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ustomProperty" PartName="/xl/customProperty1.bin"/>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60" yWindow="495" windowWidth="27405" windowHeight="11175" tabRatio="899" firstSheet="1" activeTab="1"/>
  </bookViews>
  <sheets>
    <sheet name="MW-Cache" sheetId="24089" state="veryHidden" r:id="rId1"/>
    <sheet name="ImportantDisclosures" sheetId="24145" r:id="rId2"/>
    <sheet name="Input" sheetId="23916" r:id="rId3"/>
    <sheet name="FORECAST-CORE" sheetId="23920" r:id="rId4"/>
    <sheet name="FORECAST-REPORTED" sheetId="24103" r:id="rId5"/>
    <sheet name="Guidance" sheetId="24135" r:id="rId6"/>
    <sheet name="IndexInformation" sheetId="24146" r:id="rId7"/>
    <sheet name="ModPubIndex" sheetId="24147" r:id="rId8"/>
    <sheet name="__FDSCACHE__" sheetId="23924" state="veryHidden" r:id="rId9"/>
  </sheets>
  <definedNames>
    <definedName name="__FDS_HYPERLINK_TOGGLE_STATE__" hidden="1">"ON"</definedName>
    <definedName name="_1Q00">Input!$C$4:$C$830</definedName>
    <definedName name="_1Q01">Input!$K$4:$K$830</definedName>
    <definedName name="_1Q02">Input!$S$4:$S$830</definedName>
    <definedName name="_1Q03">Input!$AA$4:$AA$830</definedName>
    <definedName name="_1Q04">Input!$AI$4:$AI$830</definedName>
    <definedName name="_1Q05">Input!$AQ$4:$AQ$830</definedName>
    <definedName name="_1Q06">Input!$AY$4:$AY$860</definedName>
    <definedName name="_1Q07">Input!$BG$4:$BG$860</definedName>
    <definedName name="_1Q08">Input!$BO:$BO</definedName>
    <definedName name="_1Q09">Input!$BW:$BW</definedName>
    <definedName name="_1Q10">Input!$CE:$CE</definedName>
    <definedName name="_1Q11">Input!$CM:$CM</definedName>
    <definedName name="_1Q12">Input!$CU:$CU</definedName>
    <definedName name="_1Q13">Input!$DC:$DC</definedName>
    <definedName name="_1Q14">Input!$DK:$DK</definedName>
    <definedName name="_1Q15">Input!$DS:$DS</definedName>
    <definedName name="_1Q16">Input!$EA:$EA</definedName>
    <definedName name="_1Q17">Input!$EI:$EI</definedName>
    <definedName name="_1Q18">Input!$EQ:$EQ</definedName>
    <definedName name="_2Q00">Input!$E$4:$E$830</definedName>
    <definedName name="_2Q01">Input!$M$4:$M$830</definedName>
    <definedName name="_2Q02">Input!$U$4:$U$830</definedName>
    <definedName name="_2Q03">Input!$AC$4:$AC$830</definedName>
    <definedName name="_2Q04">Input!$AK$4:$AK$830</definedName>
    <definedName name="_2Q05">Input!$AS$4:$AS$830</definedName>
    <definedName name="_2Q06">Input!$BA$4:$BA$860</definedName>
    <definedName name="_2Q07">Input!$BI$4:$BI$860</definedName>
    <definedName name="_2Q08">Input!$BQ:$BQ</definedName>
    <definedName name="_2Q09">Input!$BY:$BY</definedName>
    <definedName name="_2Q10">Input!$CG:$CG</definedName>
    <definedName name="_2Q11">Input!$CO:$CO</definedName>
    <definedName name="_2Q12">Input!$CW:$CW</definedName>
    <definedName name="_2Q13">Input!$DE:$DE</definedName>
    <definedName name="_2Q14">Input!$DM:$DM</definedName>
    <definedName name="_2Q15">Input!$DU:$DU</definedName>
    <definedName name="_2Q16">Input!$EC:$EC</definedName>
    <definedName name="_2Q17">Input!$EK:$EK</definedName>
    <definedName name="_2Q18">Input!$ES:$ES</definedName>
    <definedName name="_3Q00">Input!$G$4:$G$830</definedName>
    <definedName name="_3Q01">Input!$O$4:$O$830</definedName>
    <definedName name="_3Q02">Input!$W$4:$W$830</definedName>
    <definedName name="_3Q03">Input!$AE$4:$AE$830</definedName>
    <definedName name="_3Q04">Input!$AM$4:$AM$830</definedName>
    <definedName name="_3Q05">Input!$AU$4:$AU$830</definedName>
    <definedName name="_3Q06">Input!$BC$4:$BC$860</definedName>
    <definedName name="_3Q07">Input!$BK$4:$BK$860</definedName>
    <definedName name="_3Q08">Input!$BS:$BS</definedName>
    <definedName name="_3Q09">Input!$CA:$CA</definedName>
    <definedName name="_3Q10">Input!$CI:$CI</definedName>
    <definedName name="_3Q11">Input!$CQ:$CQ</definedName>
    <definedName name="_3Q12">Input!$CY:$CY</definedName>
    <definedName name="_3Q13">Input!$DG:$DG</definedName>
    <definedName name="_3Q14">Input!$DO:$DO</definedName>
    <definedName name="_3Q15">Input!$DW:$DW</definedName>
    <definedName name="_3Q16">Input!$EE:$EE</definedName>
    <definedName name="_3Q17">Input!$EM:$EM</definedName>
    <definedName name="_3Q18">Input!$EU:$EU</definedName>
    <definedName name="_4Q00">Input!$I$4:$I$830</definedName>
    <definedName name="_4Q01">Input!$Q$4:$Q$830</definedName>
    <definedName name="_4Q02">Input!$Y$4:$Y$830</definedName>
    <definedName name="_4Q03">Input!$AG$4:$AG$830</definedName>
    <definedName name="_4Q04">Input!$AO$4:$AO$830</definedName>
    <definedName name="_4Q05">Input!$AW$4:$AW$830</definedName>
    <definedName name="_4Q06">Input!$BE$4:$BE$860</definedName>
    <definedName name="_4Q07">Input!$BM$4:$BM$860</definedName>
    <definedName name="_4Q08">Input!$BU:$BU</definedName>
    <definedName name="_4Q09">Input!$CC:$CC</definedName>
    <definedName name="_4Q10">Input!$CK:$CK</definedName>
    <definedName name="_4Q11">Input!$CS:$CS</definedName>
    <definedName name="_4Q12">Input!$DA:$DA</definedName>
    <definedName name="_4Q13">Input!$DI:$DI</definedName>
    <definedName name="_4Q14">Input!$DQ:$DQ</definedName>
    <definedName name="_4Q15">Input!$DY:$DY</definedName>
    <definedName name="_4Q16">Input!$EG:$EG</definedName>
    <definedName name="_4Q17">Input!$EO:$EO</definedName>
    <definedName name="_4Q18">Input!$EW:$EW</definedName>
    <definedName name="_5_Yr">Input!$GZ$4:$GZ$830</definedName>
    <definedName name="_bdm.01271134E69B4750AB958611A0CE4AC7.edm" hidden="1">'FORECAST-CORE'!$1:$1048576</definedName>
    <definedName name="_bdm.16BC8D8054AA493394E010B48FE3454C.edm" localSheetId="3" hidden="1">'FORECAST-CORE'!$A$2:$AY$63</definedName>
    <definedName name="_bdm.16BC8D8054AA493394E010B48FE3454C.edm" localSheetId="4" hidden="1">'FORECAST-REPORTED'!$A$2:$AY$54</definedName>
    <definedName name="_bdm.719E7C38708F4153980B7E6E2E1158AF.edm" localSheetId="3" hidden="1">'FORECAST-CORE'!$A$57:$AY$98</definedName>
    <definedName name="_bdm.72B92F6B7C194E1CA4C187D30E57AF42.edm" localSheetId="3" hidden="1">'FORECAST-CORE'!$A$57:$AY$95</definedName>
    <definedName name="_bdm.72B92F6B7C194E1CA4C187D30E57AF42.edm" localSheetId="4" hidden="1">'FORECAST-REPORTED'!$A$48:$AY$85</definedName>
    <definedName name="_bdm.979B63C8118B4BACA335421D9A937B35.edm" localSheetId="3" hidden="1">'FORECAST-CORE'!$A$3:$AY$53</definedName>
    <definedName name="_bdm.C5203836CB79455B8540BA1EA7C61766.edm" localSheetId="3" hidden="1">'FORECAST-CORE'!$A$3:$AY$63</definedName>
    <definedName name="_bdm.C5203836CB79455B8540BA1EA7C61766.edm" localSheetId="4" hidden="1">'FORECAST-REPORTED'!$A$3:$AY$54</definedName>
    <definedName name="_bdm.E7E7C4752E094A16805B35604BC96506.edm" hidden="1">'FORECAST-REPORTED'!$1:$1048576</definedName>
    <definedName name="_bdm.FB46A4221C114430909CE478CB6162CC.edm" localSheetId="3" hidden="1">'FORECAST-CORE'!$A$56:$AY$95</definedName>
    <definedName name="_bdm.FB46A4221C114430909CE478CB6162CC.edm" localSheetId="4" hidden="1">'FORECAST-REPORTED'!$A$47:$AY$85</definedName>
    <definedName name="aa">Input!$A$3:$HC$830</definedName>
    <definedName name="Abnormals">Input!$627:$627</definedName>
    <definedName name="AdditionalInstructions">IndexInformation!$B$42</definedName>
    <definedName name="Address" localSheetId="1">ImportantDisclosures!$A$2:$A$2</definedName>
    <definedName name="AmtIssued">Input!$B$671:$HC$671</definedName>
    <definedName name="AmtRepurch">Input!$B$676:$HC$676</definedName>
    <definedName name="ANA" localSheetId="7">ModPubIndex!$A$7</definedName>
    <definedName name="annuities_core">Input!$574:$574</definedName>
    <definedName name="Annuities_NetRevenue">Input!$557:$557</definedName>
    <definedName name="Annuities_NII">Input!$552:$552</definedName>
    <definedName name="Annuity_Fees">Input!$551:$551</definedName>
    <definedName name="Asia_BenefitRatio">Input!$293:$293</definedName>
    <definedName name="Asia_ExpenseRatio">Input!$295:$295</definedName>
    <definedName name="Asia_IntCred">Input!$288:$288</definedName>
    <definedName name="Asia_NII">Input!$282:$282</definedName>
    <definedName name="Asia_PTMargins">Input!$307:$307</definedName>
    <definedName name="AssetMgmt_Deposits">Input!$128:$128</definedName>
    <definedName name="AssetMgmt_EOP_AUM">Input!$133:$133</definedName>
    <definedName name="AssetMgmt_NetFlows">Input!$140:$140</definedName>
    <definedName name="AssetMgmt_Withdrawals">Input!$130:$130</definedName>
    <definedName name="Assets_Pension">Input!$B$155:$HC$155</definedName>
    <definedName name="Assets_SepAcctRetirement">Input!$147:$147</definedName>
    <definedName name="ATEarns_Asia">Input!$301:$301</definedName>
    <definedName name="ATEarns_BH">Input!$577:$577</definedName>
    <definedName name="ATEarns_CO">Input!$541:$541</definedName>
    <definedName name="ATEarns_EMEA">Input!$370:$370</definedName>
    <definedName name="ATEarns_Group">Input!$115:$115</definedName>
    <definedName name="ATEarns_Intl">Input!$812:$812</definedName>
    <definedName name="ATEarns_Latam">Input!$334:$334</definedName>
    <definedName name="ATEarns_MetHold">Input!$503:$503</definedName>
    <definedName name="ATEarns_PC">Input!$269:$269</definedName>
    <definedName name="ATEarns_Pension">Input!$190:$190</definedName>
    <definedName name="ATEarns_US">Input!$616:$616</definedName>
    <definedName name="Authors" localSheetId="1">ImportantDisclosures!$A$7</definedName>
    <definedName name="Authors" localSheetId="6">IndexInformation!$B$18</definedName>
    <definedName name="Auto_CombinedRatio">Input!$222:$222</definedName>
    <definedName name="Auto_LossExpense">Input!$206:$206</definedName>
    <definedName name="Auto_NEP">Input!$201:$201</definedName>
    <definedName name="Auto_UWExp">Input!$207:$207</definedName>
    <definedName name="Avg_Eq_ex115">Input!$B$735:$HC$735</definedName>
    <definedName name="Avg_Eq_exFAS_exFX">Input!$739:$739</definedName>
    <definedName name="Avg_Eq_incl115">Input!$734:$734</definedName>
    <definedName name="AvgBasicShrs">Input!$685:$685</definedName>
    <definedName name="AvgShrsOut">Input!$687:$687</definedName>
    <definedName name="BHF_BenefitRatio">Input!$568:$568</definedName>
    <definedName name="BHF_ExpenseRatio">Input!$571:$571</definedName>
    <definedName name="BHF_PTMargins">Input!$584:$584</definedName>
    <definedName name="BIG">Input!$B$710:$HC$710</definedName>
    <definedName name="BIG_FixPct">Input!$B$709:$HC$709</definedName>
    <definedName name="BIG_ShrEqPct">Input!$B$711:$HC$711</definedName>
    <definedName name="BRO" localSheetId="7">ModPubIndex!$A$1</definedName>
    <definedName name="Buybacks_AvgPrice">Input!$674:$674</definedName>
    <definedName name="BVPS_ex115">Input!$756:$756</definedName>
    <definedName name="BVPS_exFX">Input!$757:$757</definedName>
    <definedName name="BVPS_incl115">Input!$766:$766</definedName>
    <definedName name="Charges_Latam">Input!$314:$314</definedName>
    <definedName name="CommonEquity">Input!$731:$731</definedName>
    <definedName name="Consolidated_NII">Input!$864:$864</definedName>
    <definedName name="Consolidated_OperatingExpenses">Input!$599:$599</definedName>
    <definedName name="Consolidated_OtherRevs">Input!$593:$593</definedName>
    <definedName name="Consolidated_PolicyFees">Input!$591:$591</definedName>
    <definedName name="Consolidated_Premiums">Input!$590:$590</definedName>
    <definedName name="Consolidated_Revenues">Input!$594:$594</definedName>
    <definedName name="CopyrightStamp">ImportantDisclosures!$A$30</definedName>
    <definedName name="Core_AdjRetirement_PTEarns">Input!$808:$808</definedName>
    <definedName name="Core_Annuities_PTEarns">Input!$799:$799</definedName>
    <definedName name="Core_ATEarns">Input!$B$829:$HC$829</definedName>
    <definedName name="Core_Bank_PTEarns">Input!$803:$803</definedName>
    <definedName name="Core_BH_ATEarns">Input!$581:$581</definedName>
    <definedName name="Core_CO_ATEarns">Input!$544:$544</definedName>
    <definedName name="Core_EMEA_ATEarns">Input!$372:$372</definedName>
    <definedName name="Core_Group_ATEarns">Input!$117:$117</definedName>
    <definedName name="Core_Group_PTEarns">Input!$796:$796</definedName>
    <definedName name="Core_GroupLife_PTEarns">Input!$796:$796</definedName>
    <definedName name="Core_Intl_ATEarns">Input!$816:$816</definedName>
    <definedName name="Core_Intl_PTEarns">Input!$802:$802</definedName>
    <definedName name="Core_Japan_ATEarns">Input!$304:$304</definedName>
    <definedName name="Core_Japan_PTEarns">Input!$305:$305</definedName>
    <definedName name="Core_LatAm_ATEarns">Input!$337:$337</definedName>
    <definedName name="Core_Latam_PTEarns">Input!$338:$338</definedName>
    <definedName name="Core_Life_PTEarns">Input!$797:$797</definedName>
    <definedName name="Core_METHold_AT">Input!$505:$505</definedName>
    <definedName name="Core_METHold_PT">Input!$506:$506</definedName>
    <definedName name="Core_NonMed_PTEarns">Input!$B$798:$HC$798</definedName>
    <definedName name="Core_OIR_PTEarns">Input!$373:$373</definedName>
    <definedName name="Core_OpEPS">Input!$692:$692</definedName>
    <definedName name="Core_OpROE">Input!$842:$842</definedName>
    <definedName name="Core_Other_PTEarns">Input!$804:$804</definedName>
    <definedName name="Core_PC_Earns_AT">Input!$271:$271</definedName>
    <definedName name="Core_PC_PTEarns">Input!$B$801:$HC$801</definedName>
    <definedName name="Core_Pensions_ATEarns">Input!$192:$192</definedName>
    <definedName name="Core_Retirement_ATEarns">Input!$192:$192</definedName>
    <definedName name="Core_Retirement_PTEarns">Input!$800:$800</definedName>
    <definedName name="Core_ROE">Input!$743:$743</definedName>
    <definedName name="Core_US_ATEarns">Input!$817:$817</definedName>
    <definedName name="Core_USBus_ATEarns">Input!$843:$843</definedName>
    <definedName name="CoreOp_EPS">Input!$B$692:$HC$692</definedName>
    <definedName name="CoreOpEarns_AT">Input!$628:$628</definedName>
    <definedName name="CoreOpEarns_PT">Input!$805:$805</definedName>
    <definedName name="CorePTearnings_annuities">Input!$582:$582</definedName>
    <definedName name="CorePTEarns_Annuity">Input!$B$799:$HC$799</definedName>
    <definedName name="CorePTEarns_CO">Input!$B$804:$HC$804</definedName>
    <definedName name="CorePTEarns_Group">Input!$B$796:$HC$796</definedName>
    <definedName name="CorePTEarns_Intl">Input!$B$802:$HC$802</definedName>
    <definedName name="CorePTEarns_NonMedHealth">Input!$B$798:$HC$798</definedName>
    <definedName name="CorePTEarns_NonTrad">Input!$B$797:$HC$797</definedName>
    <definedName name="CorePTEarns_PC">Input!$B$801:$HC$801</definedName>
    <definedName name="CorePTEarns_Pension">Input!$B$800:$HC$800</definedName>
    <definedName name="CoreROE_exFAS115_exFX">Input!$746:$746</definedName>
    <definedName name="Corporate_SeparateAccounts_Mkt_Impact">Input!$145:$145</definedName>
    <definedName name="COU" localSheetId="7">ModPubIndex!$A$5</definedName>
    <definedName name="CQEnd" localSheetId="6">IndexInformation!$B$31</definedName>
    <definedName name="CredCost">Input!$481:$481</definedName>
    <definedName name="Currency" localSheetId="6">IndexInformation!$B$24</definedName>
    <definedName name="CurrentStockPrice" localSheetId="6">IndexInformation!$B$23</definedName>
    <definedName name="CurrQtrEPS" localSheetId="6">IndexInformation!$B$29</definedName>
    <definedName name="CurrYearEPS" localSheetId="6">IndexInformation!$B$11</definedName>
    <definedName name="CurrYearTotalRevenue" localSheetId="6">IndexInformation!$B$10</definedName>
    <definedName name="CurrYearTotalRevenueActual" localSheetId="6">IndexInformation!$B$32</definedName>
    <definedName name="CUSIP" localSheetId="6">IndexInformation!$B$20</definedName>
    <definedName name="CYEnd" localSheetId="6">IndexInformation!$B$30</definedName>
    <definedName name="DAC">Input!$B$701:$HC$701</definedName>
    <definedName name="DAC_Asset">Input!$701:$701</definedName>
    <definedName name="Date" localSheetId="1">ImportantDisclosures!$A$8</definedName>
    <definedName name="Debt_Underlying_Equity_Units">Input!$716:$716</definedName>
    <definedName name="Deleted" localSheetId="6">IndexInformation!$B$27</definedName>
    <definedName name="DemutExp">Input!$B$634:$HC$634</definedName>
    <definedName name="Description" localSheetId="6">IndexInformation!$B$7</definedName>
    <definedName name="DEVELOPMENT">5</definedName>
    <definedName name="Discipline" localSheetId="6">IndexInformation!$B$3</definedName>
    <definedName name="DISCIPLINE" localSheetId="7">ModPubIndex!$A$12</definedName>
    <definedName name="DisclosuresText">ImportantDisclosures!$A$25</definedName>
    <definedName name="Distribution" localSheetId="6">IndexInformation!$B$26</definedName>
    <definedName name="DistTable" localSheetId="1">ImportantDisclosures!#REF!</definedName>
    <definedName name="DistTablePreamble" localSheetId="1">ImportantDisclosures!#REF!</definedName>
    <definedName name="DivAmt">Input!$B$665:$HC$665</definedName>
    <definedName name="DiviAmt">Input!$665:$665</definedName>
    <definedName name="DivPayout">Input!$B$664:$HC$664</definedName>
    <definedName name="DivPS">Input!$B$663:$HC$663</definedName>
    <definedName name="DOCDAT" localSheetId="7">ModPubIndex!$A$2</definedName>
    <definedName name="DOCTIME" localSheetId="7">ModPubIndex!$A$3</definedName>
    <definedName name="DocType" localSheetId="6">IndexInformation!$B$5</definedName>
    <definedName name="EMAIL_ALERT" localSheetId="7">ModPubIndex!$A$10</definedName>
    <definedName name="EmailAlert" localSheetId="6">IndexInformation!$B$28</definedName>
    <definedName name="EMEA_BenefitRatio">Input!$362:$362</definedName>
    <definedName name="EMEA_ExpenseRatio">Input!$364:$364</definedName>
    <definedName name="EMEA_IntCred">Input!$357:$357</definedName>
    <definedName name="EMEA_NII">Input!$351:$351</definedName>
    <definedName name="EMEA_PTMargins">Input!$375:$375</definedName>
    <definedName name="EOP_Eq_ex115">Input!$733:$733</definedName>
    <definedName name="EOP_Eq_incl115">Input!$729:$729</definedName>
    <definedName name="EOP_Group_SeparateAccounts">Input!$51:$51</definedName>
    <definedName name="EOPShrsOut">Input!$B$684:$HC$684</definedName>
    <definedName name="EPS_ForConsensus">Input!$694:$694</definedName>
    <definedName name="F1998_">Input!$FB$4:$FB$830</definedName>
    <definedName name="F1999_">Input!$FD$4:$FD$830</definedName>
    <definedName name="F2000_">Input!$FF$4:$FF$830</definedName>
    <definedName name="F2001_">Input!$FH$4:$FH$830</definedName>
    <definedName name="F2002_">Input!$FJ$4:$FJ$830</definedName>
    <definedName name="F2003_">Input!$FL$4:$FL$830</definedName>
    <definedName name="F2004_">Input!$FN$4:$FN$830</definedName>
    <definedName name="F2005_">Input!$FP$4:$FP$830</definedName>
    <definedName name="F2006_">Input!$FR$4:$FR$860</definedName>
    <definedName name="F2007_">Input!$FT$4:$FT$860</definedName>
    <definedName name="F2008_">Input!$FV:$FV</definedName>
    <definedName name="F2009_">Input!$FX:$FX</definedName>
    <definedName name="F2010_">Input!$FZ:$FZ</definedName>
    <definedName name="F2011_">Input!$GB:$GB</definedName>
    <definedName name="F2012_">Input!$GD:$GD</definedName>
    <definedName name="F2013_">Input!$GF:$GF</definedName>
    <definedName name="F2014_">Input!$GH:$GH</definedName>
    <definedName name="F2015_">Input!$GJ:$GJ</definedName>
    <definedName name="F2016_">Input!$GL:$GL</definedName>
    <definedName name="F2017_">Input!$GN:$GN</definedName>
    <definedName name="F2018_">Input!$GP:$GP</definedName>
    <definedName name="F2019_">Input!$GR:$GR</definedName>
    <definedName name="F2020_">Input!$GT:$GT</definedName>
    <definedName name="F2021_">Input!$GV:$GV</definedName>
    <definedName name="F2022_">Input!$GX:$GX</definedName>
    <definedName name="FA_Bal_EOP">Input!$444:$444</definedName>
    <definedName name="FAS115_Adjmt">Input!$732:$732</definedName>
    <definedName name="FD_Adjustment">Input!$686:$686</definedName>
    <definedName name="Fees_Intl">Input!$350:$350</definedName>
    <definedName name="Fees_Japan">Input!$281:$281</definedName>
    <definedName name="FiveYearGrowthRate" localSheetId="6">IndexInformation!$B$16</definedName>
    <definedName name="FollowingYearEPS" localSheetId="6">IndexInformation!$B$15</definedName>
    <definedName name="FollowingYearTotalRevenue" localSheetId="6">IndexInformation!$B$14</definedName>
    <definedName name="FollowingYearTotalRevenueActual" localSheetId="6">IndexInformation!$B$34</definedName>
    <definedName name="GAExp">Input!$599:$599</definedName>
    <definedName name="Goodwill">Input!$B$702:$HC$702</definedName>
    <definedName name="Group_BenefitRatio">Input!$110:$110</definedName>
    <definedName name="Group_ExpenseRatio">Input!$108:$108</definedName>
    <definedName name="Group_NetRevenues">Input!$68:$68</definedName>
    <definedName name="Group_Premiums">Input!$61:$61</definedName>
    <definedName name="Group_PTMargins">Input!$120:$120</definedName>
    <definedName name="Group_SeparateAccounts_Mkt_Impact">Input!$48:$48</definedName>
    <definedName name="HL" localSheetId="7">ModPubIndex!$A$8</definedName>
    <definedName name="HO_CombinedRatio">Input!$246:$246</definedName>
    <definedName name="HO_LossExpense">Input!$230:$230</definedName>
    <definedName name="HO_NEP">Input!$225:$225</definedName>
    <definedName name="HO_UWExp">Input!$231:$231</definedName>
    <definedName name="IND" localSheetId="7">ModPubIndex!$A$9</definedName>
    <definedName name="Industry" localSheetId="1">ImportantDisclosures!$A$12</definedName>
    <definedName name="IndustryId">IndexInformation!$B$40</definedName>
    <definedName name="IndustryRating" localSheetId="1">ImportantDisclosures!$A$13</definedName>
    <definedName name="Int_Exp">Input!$600:$600</definedName>
    <definedName name="IntCred">Input!$598:$598</definedName>
    <definedName name="Interest_Credited">Input!$863:$863</definedName>
    <definedName name="InterestCredited_Annuities">Input!$553:$553</definedName>
    <definedName name="InterestCredited_Retirement">Input!$161:$161</definedName>
    <definedName name="Intl_NII">Input!$351:$351</definedName>
    <definedName name="Intl_Revenues">Input!$353:$353</definedName>
    <definedName name="Inv_Income">Input!$862:$862</definedName>
    <definedName name="Investments">Input!$B$699:$HC$699</definedName>
    <definedName name="InvInc">Input!$B$592:$HC$592</definedName>
    <definedName name="Issuance_Timing">Input!$670:$670</definedName>
    <definedName name="KeepVersions" localSheetId="6">IndexInformation!$B$8</definedName>
    <definedName name="Label">Input!$B$4:$B$830</definedName>
    <definedName name="LanguageCode">IndexInformation!$B$38</definedName>
    <definedName name="LastCell" localSheetId="1">ImportantDisclosures!$A$25</definedName>
    <definedName name="LatAm_BenefitRatio">Input!$326:$326</definedName>
    <definedName name="LatAm_ExpenseRatio">Input!$328:$328</definedName>
    <definedName name="LatAm_IntCred">Input!$321:$321</definedName>
    <definedName name="LatAm_NII">Input!$315:$315</definedName>
    <definedName name="LatAm_PTMargins">Input!$340:$340</definedName>
    <definedName name="Linking_2">'FORECAST-CORE'!$A$3:$AY$95</definedName>
    <definedName name="Linking_3">#N/A</definedName>
    <definedName name="Linking_Range_11">'FORECAST-CORE'!$A$3:$AY$50</definedName>
    <definedName name="Linking_Range_12">'FORECAST-CORE'!$A$57:$AY$95</definedName>
    <definedName name="Linking_Range_15">'FORECAST-REPORTED'!$A$3:$AY$41</definedName>
    <definedName name="Linking_Range_16">'FORECAST-REPORTED'!$A$48:$AY$85</definedName>
    <definedName name="Linking_Range_26" localSheetId="5">Guidance!$A$109:$T$118</definedName>
    <definedName name="Linking_Range_27" localSheetId="5">Guidance!$A$73:$T$78</definedName>
    <definedName name="Linking_Range_28" localSheetId="5">Guidance!$A$49:$T$62</definedName>
    <definedName name="Linking_Range_29" localSheetId="5">Guidance!$A$49:$T$53</definedName>
    <definedName name="Linking_Range_30" localSheetId="5">Guidance!$A$90:$T$95</definedName>
    <definedName name="Linking_Range_31" localSheetId="5">Guidance!$A$73:$T$78</definedName>
    <definedName name="Linking_Text_1">201</definedName>
    <definedName name="Linking_Text_2">-17.219890202087</definedName>
    <definedName name="LTD_to_Cap_ex115">Input!$B$751:$HC$751</definedName>
    <definedName name="LTD_to_Cap_incl115">Input!$B$762:$HC$762</definedName>
    <definedName name="LTD_to_Eq_ex115">Input!$752:$752</definedName>
    <definedName name="LTD_to_LTCap_ex115">Input!$B$750:$HC$750</definedName>
    <definedName name="LTD_to_LTCap_incl115">Input!$B$761:$HC$761</definedName>
    <definedName name="LTDebt">Input!$B$715:$HC$715</definedName>
    <definedName name="MacroVersion" localSheetId="6">IndexInformation!$B$1</definedName>
    <definedName name="METHold_Ann_AUM">Input!$466:$466</definedName>
    <definedName name="METHold_Annuities_AUM">Input!$466:$466</definedName>
    <definedName name="METHold_Life_AUM">Input!$434:$434</definedName>
    <definedName name="METHold_Total_AUM">Input!$401:$401</definedName>
    <definedName name="MH_BenefitRatio">Input!$494:$494</definedName>
    <definedName name="MH_ExpenseRatio">Input!$497:$497</definedName>
    <definedName name="MH_PTMargins">Input!$508:$508</definedName>
    <definedName name="ModelPrice" localSheetId="1">ImportantDisclosures!$A$14</definedName>
    <definedName name="Multiplier" localSheetId="6">IndexInformation!$B$35</definedName>
    <definedName name="NA">Input!$848:$848</definedName>
    <definedName name="Net_EPS">Input!$B$690:$HC$690</definedName>
    <definedName name="Net_Revenues">Input!$867:$867</definedName>
    <definedName name="NetEarnedRate">Input!$480:$480</definedName>
    <definedName name="NetEarns">Input!$B$640:$HC$640</definedName>
    <definedName name="NetFlows_Retirement">Input!$154:$154</definedName>
    <definedName name="NextYearEPS" localSheetId="6">IndexInformation!$B$13</definedName>
    <definedName name="NextYearTotalRevenue" localSheetId="6">IndexInformation!$B$12</definedName>
    <definedName name="NextYearTotalRevenueActual" localSheetId="6">IndexInformation!$B$33</definedName>
    <definedName name="ObjectType">IndexInformation!$B$37</definedName>
    <definedName name="Op.Expenses_Asia">Input!$290:$290</definedName>
    <definedName name="Op.Expenses_EMEA">Input!$359:$359</definedName>
    <definedName name="Op.Expenses_Latam">Input!$323:$323</definedName>
    <definedName name="Op_Earnings_Asia">Input!$618:$618</definedName>
    <definedName name="Op_Earnings_EMEA">Input!$620:$620</definedName>
    <definedName name="Op_Earnings_Latam">Input!$619:$619</definedName>
    <definedName name="Op_EPS">Input!$689:$689</definedName>
    <definedName name="Op_ROE">Input!$742:$742</definedName>
    <definedName name="OpEarns_AT">Input!$626:$626</definedName>
    <definedName name="OpEarns_ForConsensus">Input!$631:$631</definedName>
    <definedName name="OpEarns_PT">Input!$604:$604</definedName>
    <definedName name="OpExp_Annuity">Input!$B$561:$HC$561</definedName>
    <definedName name="OpExp_Pension">Input!$177:$177</definedName>
    <definedName name="OpExpenses_Group">Input!$101:$101</definedName>
    <definedName name="Other_Latam">Input!$316:$316</definedName>
    <definedName name="OtherNonOpItems">Input!$B$636:$HC$636</definedName>
    <definedName name="PANA" localSheetId="7">ModPubIndex!$A$11</definedName>
    <definedName name="PathName" localSheetId="6">IndexInformation!$B$25</definedName>
    <definedName name="PC_ExpenseRatio">Input!$263:$263</definedName>
    <definedName name="PC_LossRatio">Input!$262:$262</definedName>
    <definedName name="PC_PTMargins">Input!$274:$274</definedName>
    <definedName name="PctContrib_Group">Input!$B$648:$HC$648</definedName>
    <definedName name="PctContrib_Intl">Input!$B$660:$HC$660</definedName>
    <definedName name="PctContrib_NonMedHealth">Input!$B$650:$HC$650</definedName>
    <definedName name="PctContrib_OtherIndiv">Input!$B$647:$HC$647</definedName>
    <definedName name="PctContrib_PC">Input!$B$658:$HC$658</definedName>
    <definedName name="Pension_Fees">Input!$158:$158</definedName>
    <definedName name="Pension_NetRevenue">Input!$165:$165</definedName>
    <definedName name="Period">Input!$B$6:$HC$6</definedName>
    <definedName name="Perpetual_Secs">Input!$730:$730</definedName>
    <definedName name="PfdStk">Input!$B$718:$HC$718</definedName>
    <definedName name="PFO_Asia">Input!$854:$854</definedName>
    <definedName name="PFO_CorpBen">Input!$852:$852</definedName>
    <definedName name="PFO_EMEA">Input!$855:$855</definedName>
    <definedName name="PFO_Group">Input!$851:$851</definedName>
    <definedName name="PFO_GroupLife">Input!$848:$848</definedName>
    <definedName name="PFO_Health">Input!$849:$849</definedName>
    <definedName name="PFO_Intl">Input!$856:$856</definedName>
    <definedName name="PFO_LatAm">Input!$853:$853</definedName>
    <definedName name="PFO_life">Input!$846:$846</definedName>
    <definedName name="PFO_PC">Input!$850:$850</definedName>
    <definedName name="PFO_Retirement">Input!$847:$847</definedName>
    <definedName name="PolicyLiabilities">Input!$720:$720</definedName>
    <definedName name="Premiums_Intl">Input!$349:$349</definedName>
    <definedName name="Premiums_Japan">Input!$280:$280</definedName>
    <definedName name="Premiums_LatAM">Input!$313:$313</definedName>
    <definedName name="Premiums_Total">Input!$858:$858</definedName>
    <definedName name="_xlnm.Print_Area" localSheetId="3">'FORECAST-CORE'!$A$1:$AY$99</definedName>
    <definedName name="_xlnm.Print_Area" localSheetId="4">'FORECAST-REPORTED'!$A$1:$AY$91</definedName>
    <definedName name="_xlnm.Print_Area" localSheetId="2">Input!$B$6:$R$902</definedName>
    <definedName name="PRODUCT" localSheetId="7">ModPubIndex!$A$6</definedName>
    <definedName name="PSYM" localSheetId="7">ModPubIndex!$A$4</definedName>
    <definedName name="PTEarns_Annuity">Input!$B$574:$HC$574</definedName>
    <definedName name="PTEarns_CO">Input!$B$545:$HC$545</definedName>
    <definedName name="PTEarns_Intl">Input!$B$367:$HC$367</definedName>
    <definedName name="PTEarns_Pension">Input!$187:$187</definedName>
    <definedName name="PublishDate" localSheetId="6">IndexInformation!$B$2</definedName>
    <definedName name="Rating" localSheetId="6">IndexInformation!$B$9</definedName>
    <definedName name="RatingsDefined" localSheetId="1">ImportantDisclosures!$A$21</definedName>
    <definedName name="RatingsDefs" localSheetId="1">ImportantDisclosures!#REF!</definedName>
    <definedName name="RealGainLoss">Input!$637:$637</definedName>
    <definedName name="RegACDisclosure" localSheetId="1">ImportantDisclosures!#REF!</definedName>
    <definedName name="Rep_Other_PTEarns">Input!$B$819:$HC$819</definedName>
    <definedName name="Rep_ROE_ex115">Input!$B$744:$HC$744</definedName>
    <definedName name="Rep_ROE_incl115">Input!$B$745:$HC$745</definedName>
    <definedName name="Rep_Timing">Input!$675:$675</definedName>
    <definedName name="Reported_EPS">Input!$690:$690</definedName>
    <definedName name="ResearchTopic" localSheetId="6">IndexInformation!$B$4</definedName>
    <definedName name="Retirement_MktImpact">Input!$145:$145</definedName>
    <definedName name="Retirement_NetFlows">Input!$783:$783</definedName>
    <definedName name="Retirement_NII">Input!$160:$160</definedName>
    <definedName name="Rev">Input!$B$594:$HC$594</definedName>
    <definedName name="Rev_Intl">Input!$B$353:$HC$353</definedName>
    <definedName name="Rev_PC">Input!$254:$254</definedName>
    <definedName name="Rev_Pension">Input!$164:$164</definedName>
    <definedName name="Revenue_Asia">Input!$284:$284</definedName>
    <definedName name="Revenue_Brighthouse">Input!$556:$556</definedName>
    <definedName name="Revenue_EMEA">Input!$353:$353</definedName>
    <definedName name="Revenue_Latam">Input!$317:$317</definedName>
    <definedName name="Revenue_MetHoldings">Input!$475:$475</definedName>
    <definedName name="RIC" localSheetId="6">IndexInformation!$B$21</definedName>
    <definedName name="RIS_BenefitRatio">Input!$182:$182</definedName>
    <definedName name="RIS_ExpenseRatio">Input!$184:$184</definedName>
    <definedName name="RIS_PTMargins">Input!$195:$195</definedName>
    <definedName name="Sale_UL">Input!$771:$771</definedName>
    <definedName name="Sales_FA">Input!$779:$779</definedName>
    <definedName name="Sales_FixLife">Input!$B$775:$HC$775</definedName>
    <definedName name="Sales_GrossVA">Input!$454:$454</definedName>
    <definedName name="Sales_IndividualLife">Input!$772:$772</definedName>
    <definedName name="Sales_Term">Input!$769:$769</definedName>
    <definedName name="Sales_TL">Input!$769:$769</definedName>
    <definedName name="Sales_Trad">Input!$B$769:$HC$769</definedName>
    <definedName name="Sales_UL">Input!$771:$771</definedName>
    <definedName name="Sales_VA">Input!$778:$778</definedName>
    <definedName name="Sales_VL">Input!$770:$770</definedName>
    <definedName name="SECSettlement" localSheetId="1">ImportantDisclosures!#REF!</definedName>
    <definedName name="SEDOL" localSheetId="6">IndexInformation!$B$22</definedName>
    <definedName name="SeptAcct">Input!$700:$700</definedName>
    <definedName name="ShareBuyback">Input!$676:$676</definedName>
    <definedName name="ShrsIssued">Input!$B$668:$HC$668</definedName>
    <definedName name="ShrsRepurch">Input!$B$673:$HC$673</definedName>
    <definedName name="SOI_FAFlows">Input!$B$824:$HC$824</definedName>
    <definedName name="SOI_Life_Sales">Input!$B$823:$HC$823</definedName>
    <definedName name="SOI_VAFlows">Input!$B$825:$HC$825</definedName>
    <definedName name="SourceDefined" localSheetId="1">ImportantDisclosures!$A$19</definedName>
    <definedName name="Spread_CorpBenefit">Input!$171:$171</definedName>
    <definedName name="STDebt">Input!$714:$714</definedName>
    <definedName name="StockRating" localSheetId="1">ImportantDisclosures!$A$11</definedName>
    <definedName name="SubjectCode" localSheetId="6">IndexInformation!$B$6</definedName>
    <definedName name="SubmitterUserId">IndexInformation!$B$39</definedName>
    <definedName name="SUPPRESSED" localSheetId="7">ModPubIndex!$A$13</definedName>
    <definedName name="Surrenders_VA">Input!$456:$456</definedName>
    <definedName name="TargetPrice" localSheetId="1">ImportantDisclosures!$A$15</definedName>
    <definedName name="taxes">Input!$B$605:$GZ$605</definedName>
    <definedName name="TaxRate">Input!$606:$606</definedName>
    <definedName name="TemplateRegion">IndexInformation!$B$36</definedName>
    <definedName name="Ticker" localSheetId="1">ImportantDisclosures!$A$10</definedName>
    <definedName name="TickerRegion">IndexInformation!$B$41</definedName>
    <definedName name="Tickers" localSheetId="6">IndexInformation!$B$19</definedName>
    <definedName name="Tot_Debt">Input!$717:$717</definedName>
    <definedName name="Total_Cap_ex115">Input!$B$749:$HC$749</definedName>
    <definedName name="Total_Cap_incl115">Input!$B$760:$HC$760</definedName>
    <definedName name="Total_DAC">Input!$601:$601</definedName>
    <definedName name="Total_Expenses">Input!$602:$602</definedName>
    <definedName name="TotalAssets">Input!$704:$704</definedName>
    <definedName name="TotalAssetsexFASexSA">Input!$707:$707</definedName>
    <definedName name="TotalNonOpItems">Input!$B$639:$HC$639</definedName>
    <definedName name="TotalRev_Asia">Input!$284:$284</definedName>
    <definedName name="TotalRev_EMEA">Input!$353:$353</definedName>
    <definedName name="TotalRev_Group">Input!$67:$67</definedName>
    <definedName name="TotalRev_Latam">Input!$317:$317</definedName>
    <definedName name="UpdateReason" localSheetId="6">IndexInformation!$B$17</definedName>
    <definedName name="USRegDisclosures" localSheetId="1">ImportantDisclosures!#REF!</definedName>
    <definedName name="VA_Bal_EOP">Input!$458:$458</definedName>
    <definedName name="VA_Earns">Input!$835:$835</definedName>
    <definedName name="VA_Expenses">Input!$566:$566</definedName>
    <definedName name="VA_Fees">Input!$550:$550</definedName>
    <definedName name="VA_NII">Input!$554:$554</definedName>
    <definedName name="VARetire_Earns">Input!$840:$840</definedName>
  </definedNames>
  <calcPr calcId="145621" iterate="1"/>
  <fileRecoveryPr autoRecover="0"/>
</workbook>
</file>

<file path=xl/calcChain.xml><?xml version="1.0" encoding="utf-8"?>
<calcChain xmlns="http://schemas.openxmlformats.org/spreadsheetml/2006/main">
  <c r="AQ98" i="23920" l="1"/>
  <c r="EY900" i="23916" l="1"/>
  <c r="GX893" i="23916"/>
  <c r="GV893" i="23916"/>
  <c r="GT893" i="23916"/>
  <c r="GR893" i="23916"/>
  <c r="GX878" i="23916"/>
  <c r="GV878" i="23916"/>
  <c r="GT878" i="23916"/>
  <c r="GR878" i="23916"/>
  <c r="GX873" i="23916"/>
  <c r="GV873" i="23916"/>
  <c r="GT873" i="23916"/>
  <c r="GR873" i="23916"/>
  <c r="GB862" i="23916"/>
  <c r="DQ864" i="23916"/>
  <c r="DQ863" i="23916"/>
  <c r="DQ862" i="23916"/>
  <c r="DO863" i="23916"/>
  <c r="DO864" i="23916" s="1"/>
  <c r="DO862" i="23916"/>
  <c r="DM863" i="23916"/>
  <c r="DM862" i="23916"/>
  <c r="DM864" i="23916" s="1"/>
  <c r="DK863" i="23916"/>
  <c r="DK862" i="23916"/>
  <c r="DK864" i="23916" s="1"/>
  <c r="DI864" i="23916"/>
  <c r="DI863" i="23916"/>
  <c r="DI862" i="23916"/>
  <c r="DG863" i="23916"/>
  <c r="DG864" i="23916" s="1"/>
  <c r="DG862" i="23916"/>
  <c r="DE863" i="23916"/>
  <c r="DE862" i="23916"/>
  <c r="DE864" i="23916" s="1"/>
  <c r="DC863" i="23916"/>
  <c r="DC862" i="23916"/>
  <c r="DC864" i="23916" s="1"/>
  <c r="DA864" i="23916"/>
  <c r="DA863" i="23916"/>
  <c r="DA862" i="23916"/>
  <c r="CY863" i="23916"/>
  <c r="CY864" i="23916" s="1"/>
  <c r="CY862" i="23916"/>
  <c r="CW863" i="23916"/>
  <c r="CW862" i="23916"/>
  <c r="CW864" i="23916" s="1"/>
  <c r="CU863" i="23916"/>
  <c r="CU862" i="23916"/>
  <c r="CU864" i="23916" s="1"/>
  <c r="CS864" i="23916"/>
  <c r="CS863" i="23916"/>
  <c r="CS862" i="23916"/>
  <c r="CQ863" i="23916"/>
  <c r="CQ864" i="23916" s="1"/>
  <c r="CQ862" i="23916"/>
  <c r="CO863" i="23916"/>
  <c r="CO862" i="23916"/>
  <c r="CO864" i="23916" s="1"/>
  <c r="CM863" i="23916"/>
  <c r="CM862" i="23916"/>
  <c r="CM864" i="23916" s="1"/>
  <c r="CK862" i="23916"/>
  <c r="CI862" i="23916"/>
  <c r="CG862" i="23916"/>
  <c r="CE862" i="23916"/>
  <c r="CC862" i="23916"/>
  <c r="CA862" i="23916"/>
  <c r="BY862" i="23916"/>
  <c r="BW862" i="23916"/>
  <c r="BU862" i="23916"/>
  <c r="BS862" i="23916"/>
  <c r="BQ862" i="23916"/>
  <c r="BO862" i="23916"/>
  <c r="BM862" i="23916"/>
  <c r="BK862" i="23916"/>
  <c r="BI862" i="23916"/>
  <c r="BG862" i="23916"/>
  <c r="BE862" i="23916"/>
  <c r="BC862" i="23916"/>
  <c r="BA862" i="23916"/>
  <c r="AY862" i="23916"/>
  <c r="AW864" i="23916"/>
  <c r="AW863" i="23916"/>
  <c r="AW862" i="23916"/>
  <c r="AU862" i="23916"/>
  <c r="AS862" i="23916"/>
  <c r="AQ862" i="23916"/>
  <c r="FZ860" i="23916"/>
  <c r="FX860" i="23916"/>
  <c r="CO860" i="23916"/>
  <c r="CM860" i="23916"/>
  <c r="CK860" i="23916"/>
  <c r="CI860" i="23916"/>
  <c r="CG860" i="23916"/>
  <c r="CE860" i="23916"/>
  <c r="CC860" i="23916"/>
  <c r="CA860" i="23916"/>
  <c r="BY860" i="23916"/>
  <c r="BW860" i="23916"/>
  <c r="BU860" i="23916"/>
  <c r="BS860" i="23916"/>
  <c r="BQ860" i="23916"/>
  <c r="BO860" i="23916"/>
  <c r="FH858" i="23916"/>
  <c r="FF858" i="23916"/>
  <c r="FD858" i="23916"/>
  <c r="FB858" i="23916"/>
  <c r="DQ858" i="23916"/>
  <c r="DO858" i="23916"/>
  <c r="DM858" i="23916"/>
  <c r="DK858" i="23916"/>
  <c r="DI858" i="23916"/>
  <c r="DG858" i="23916"/>
  <c r="DE858" i="23916"/>
  <c r="DC858" i="23916"/>
  <c r="DA858" i="23916"/>
  <c r="CY858" i="23916"/>
  <c r="CW858" i="23916"/>
  <c r="CU858" i="23916"/>
  <c r="CS858" i="23916"/>
  <c r="CQ858" i="23916"/>
  <c r="CO858" i="23916"/>
  <c r="CM858" i="23916"/>
  <c r="CK858" i="23916"/>
  <c r="CI858" i="23916"/>
  <c r="CG858" i="23916"/>
  <c r="CE858" i="23916"/>
  <c r="CC858" i="23916"/>
  <c r="CA858" i="23916"/>
  <c r="BY858" i="23916"/>
  <c r="BW858" i="23916"/>
  <c r="BU858" i="23916"/>
  <c r="BS858" i="23916"/>
  <c r="BQ858" i="23916"/>
  <c r="BO858" i="23916"/>
  <c r="GB855" i="23916"/>
  <c r="FZ853" i="23916"/>
  <c r="FX854" i="23916"/>
  <c r="FX853" i="23916"/>
  <c r="FV854" i="23916"/>
  <c r="FV853" i="23916"/>
  <c r="FT854" i="23916"/>
  <c r="FT853" i="23916"/>
  <c r="FR854" i="23916"/>
  <c r="FR853" i="23916"/>
  <c r="FP854" i="23916"/>
  <c r="FP853" i="23916"/>
  <c r="FN854" i="23916"/>
  <c r="FN853" i="23916"/>
  <c r="FL854" i="23916"/>
  <c r="FL853" i="23916"/>
  <c r="FJ854" i="23916"/>
  <c r="FJ853" i="23916"/>
  <c r="FH854" i="23916"/>
  <c r="FH853" i="23916"/>
  <c r="FF854" i="23916"/>
  <c r="FF853" i="23916"/>
  <c r="FD855" i="23916"/>
  <c r="FD856" i="23916" s="1"/>
  <c r="FD854" i="23916"/>
  <c r="FD853" i="23916"/>
  <c r="FB855" i="23916"/>
  <c r="FB854" i="23916"/>
  <c r="FB853" i="23916"/>
  <c r="EO855" i="23916"/>
  <c r="EO856" i="23916" s="1"/>
  <c r="EO854" i="23916"/>
  <c r="EO853" i="23916"/>
  <c r="EM855" i="23916"/>
  <c r="EM854" i="23916"/>
  <c r="EM853" i="23916"/>
  <c r="EK855" i="23916"/>
  <c r="EK856" i="23916" s="1"/>
  <c r="EK854" i="23916"/>
  <c r="EK853" i="23916"/>
  <c r="EI855" i="23916"/>
  <c r="EI854" i="23916"/>
  <c r="EI853" i="23916"/>
  <c r="EG855" i="23916"/>
  <c r="EG856" i="23916" s="1"/>
  <c r="EG854" i="23916"/>
  <c r="EG853" i="23916"/>
  <c r="EE855" i="23916"/>
  <c r="EE854" i="23916"/>
  <c r="EE853" i="23916"/>
  <c r="EC855" i="23916"/>
  <c r="EC856" i="23916" s="1"/>
  <c r="EC854" i="23916"/>
  <c r="EC853" i="23916"/>
  <c r="EA855" i="23916"/>
  <c r="EA854" i="23916"/>
  <c r="EA853" i="23916"/>
  <c r="DY855" i="23916"/>
  <c r="DY856" i="23916" s="1"/>
  <c r="DY854" i="23916"/>
  <c r="DY853" i="23916"/>
  <c r="DW855" i="23916"/>
  <c r="DW854" i="23916"/>
  <c r="DW853" i="23916"/>
  <c r="DU855" i="23916"/>
  <c r="DU856" i="23916" s="1"/>
  <c r="DU854" i="23916"/>
  <c r="DU853" i="23916"/>
  <c r="DS855" i="23916"/>
  <c r="DS854" i="23916"/>
  <c r="DS853" i="23916"/>
  <c r="DQ855" i="23916"/>
  <c r="DQ856" i="23916" s="1"/>
  <c r="DQ854" i="23916"/>
  <c r="DQ853" i="23916"/>
  <c r="DQ852" i="23916"/>
  <c r="DQ851" i="23916"/>
  <c r="DO855" i="23916"/>
  <c r="DO854" i="23916"/>
  <c r="DO853" i="23916"/>
  <c r="DO856" i="23916" s="1"/>
  <c r="DO852" i="23916"/>
  <c r="DO851" i="23916"/>
  <c r="DM855" i="23916"/>
  <c r="DM854" i="23916"/>
  <c r="DM853" i="23916"/>
  <c r="DM852" i="23916"/>
  <c r="DM851" i="23916"/>
  <c r="DK856" i="23916"/>
  <c r="DK855" i="23916"/>
  <c r="DK854" i="23916"/>
  <c r="DK853" i="23916"/>
  <c r="DK852" i="23916"/>
  <c r="DK851" i="23916"/>
  <c r="DI855" i="23916"/>
  <c r="DI854" i="23916"/>
  <c r="DI853" i="23916"/>
  <c r="DI852" i="23916"/>
  <c r="DI851" i="23916"/>
  <c r="DG855" i="23916"/>
  <c r="DG854" i="23916"/>
  <c r="DG853" i="23916"/>
  <c r="DG856" i="23916" s="1"/>
  <c r="DG852" i="23916"/>
  <c r="DG851" i="23916"/>
  <c r="DE855" i="23916"/>
  <c r="DE854" i="23916"/>
  <c r="DE853" i="23916"/>
  <c r="DE852" i="23916"/>
  <c r="DE851" i="23916"/>
  <c r="DC856" i="23916"/>
  <c r="DC855" i="23916"/>
  <c r="DC854" i="23916"/>
  <c r="DC853" i="23916"/>
  <c r="DC852" i="23916"/>
  <c r="DC851" i="23916"/>
  <c r="DA855" i="23916"/>
  <c r="DA856" i="23916" s="1"/>
  <c r="DA854" i="23916"/>
  <c r="DA853" i="23916"/>
  <c r="DA852" i="23916"/>
  <c r="DA851" i="23916"/>
  <c r="CY855" i="23916"/>
  <c r="CY854" i="23916"/>
  <c r="CY853" i="23916"/>
  <c r="CY856" i="23916" s="1"/>
  <c r="CY852" i="23916"/>
  <c r="CY851" i="23916"/>
  <c r="CW855" i="23916"/>
  <c r="CW854" i="23916"/>
  <c r="CW853" i="23916"/>
  <c r="CW852" i="23916"/>
  <c r="CW851" i="23916"/>
  <c r="CU856" i="23916"/>
  <c r="CU855" i="23916"/>
  <c r="CU854" i="23916"/>
  <c r="CU853" i="23916"/>
  <c r="CU852" i="23916"/>
  <c r="CU851" i="23916"/>
  <c r="CS855" i="23916"/>
  <c r="CS854" i="23916"/>
  <c r="CS853" i="23916"/>
  <c r="CS852" i="23916"/>
  <c r="CS851" i="23916"/>
  <c r="CQ855" i="23916"/>
  <c r="CQ856" i="23916" s="1"/>
  <c r="CQ854" i="23916"/>
  <c r="CQ853" i="23916"/>
  <c r="CQ852" i="23916"/>
  <c r="CQ851" i="23916"/>
  <c r="CO855" i="23916"/>
  <c r="CO854" i="23916"/>
  <c r="CO853" i="23916"/>
  <c r="CO852" i="23916"/>
  <c r="CO851" i="23916"/>
  <c r="CM855" i="23916"/>
  <c r="CM856" i="23916" s="1"/>
  <c r="CM854" i="23916"/>
  <c r="CM853" i="23916"/>
  <c r="CM852" i="23916"/>
  <c r="CM851" i="23916"/>
  <c r="CK856" i="23916"/>
  <c r="CI856" i="23916"/>
  <c r="CG856" i="23916"/>
  <c r="CE856" i="23916"/>
  <c r="CC856" i="23916"/>
  <c r="CA856" i="23916"/>
  <c r="BY856" i="23916"/>
  <c r="BW856" i="23916"/>
  <c r="BU856" i="23916"/>
  <c r="BS856" i="23916"/>
  <c r="BQ856" i="23916"/>
  <c r="BO856" i="23916"/>
  <c r="BM856" i="23916"/>
  <c r="BK856" i="23916"/>
  <c r="BI856" i="23916"/>
  <c r="BG856" i="23916"/>
  <c r="CK852" i="23916"/>
  <c r="CK851" i="23916"/>
  <c r="CI852" i="23916"/>
  <c r="CI851" i="23916"/>
  <c r="CG852" i="23916"/>
  <c r="CG851" i="23916"/>
  <c r="CE852" i="23916"/>
  <c r="CE851" i="23916"/>
  <c r="CC852" i="23916"/>
  <c r="CC851" i="23916"/>
  <c r="CA852" i="23916"/>
  <c r="CA851" i="23916"/>
  <c r="BY852" i="23916"/>
  <c r="BY851" i="23916"/>
  <c r="BW852" i="23916"/>
  <c r="BW851" i="23916"/>
  <c r="BU852" i="23916"/>
  <c r="BU851" i="23916"/>
  <c r="BS852" i="23916"/>
  <c r="BS851" i="23916"/>
  <c r="BQ852" i="23916"/>
  <c r="BQ851" i="23916"/>
  <c r="BO852" i="23916"/>
  <c r="BO851" i="23916"/>
  <c r="BM852" i="23916"/>
  <c r="BM851" i="23916"/>
  <c r="BK852" i="23916"/>
  <c r="BK851" i="23916"/>
  <c r="BI852" i="23916"/>
  <c r="BI851" i="23916"/>
  <c r="BG852" i="23916"/>
  <c r="BG851" i="23916"/>
  <c r="GH850" i="23916"/>
  <c r="GF850" i="23916"/>
  <c r="GB851" i="23916"/>
  <c r="EO851" i="23916"/>
  <c r="EM851" i="23916"/>
  <c r="EK851" i="23916"/>
  <c r="EI851" i="23916"/>
  <c r="EG851" i="23916"/>
  <c r="EE851" i="23916"/>
  <c r="EC851" i="23916"/>
  <c r="EA851" i="23916"/>
  <c r="DY851" i="23916"/>
  <c r="DW851" i="23916"/>
  <c r="DU851" i="23916"/>
  <c r="DS851" i="23916"/>
  <c r="FV850" i="23916"/>
  <c r="GH846" i="23916"/>
  <c r="GF846" i="23916"/>
  <c r="EO847" i="23916"/>
  <c r="EO846" i="23916"/>
  <c r="EM847" i="23916"/>
  <c r="EM846" i="23916"/>
  <c r="EK847" i="23916"/>
  <c r="EK846" i="23916"/>
  <c r="EI847" i="23916"/>
  <c r="EI846" i="23916"/>
  <c r="EG847" i="23916"/>
  <c r="EG846" i="23916"/>
  <c r="EE847" i="23916"/>
  <c r="EE846" i="23916"/>
  <c r="EC847" i="23916"/>
  <c r="EC846" i="23916"/>
  <c r="EA847" i="23916"/>
  <c r="EA846" i="23916"/>
  <c r="DY847" i="23916"/>
  <c r="DY846" i="23916"/>
  <c r="DW847" i="23916"/>
  <c r="DW846" i="23916"/>
  <c r="DU847" i="23916"/>
  <c r="DU846" i="23916"/>
  <c r="DS847" i="23916"/>
  <c r="DS846" i="23916"/>
  <c r="DQ847" i="23916"/>
  <c r="DQ846" i="23916"/>
  <c r="DO847" i="23916"/>
  <c r="DO846" i="23916"/>
  <c r="DM847" i="23916"/>
  <c r="DM846" i="23916"/>
  <c r="DK847" i="23916"/>
  <c r="DK846" i="23916"/>
  <c r="DI847" i="23916"/>
  <c r="DI846" i="23916"/>
  <c r="DG847" i="23916"/>
  <c r="DG846" i="23916"/>
  <c r="DE847" i="23916"/>
  <c r="DE846" i="23916"/>
  <c r="DC847" i="23916"/>
  <c r="DC846" i="23916"/>
  <c r="DA847" i="23916"/>
  <c r="DA846" i="23916"/>
  <c r="CY847" i="23916"/>
  <c r="CY846" i="23916"/>
  <c r="CW847" i="23916"/>
  <c r="CW846" i="23916"/>
  <c r="CU847" i="23916"/>
  <c r="CU846" i="23916"/>
  <c r="CS847" i="23916"/>
  <c r="CS846" i="23916"/>
  <c r="CQ847" i="23916"/>
  <c r="CQ846" i="23916"/>
  <c r="CO847" i="23916"/>
  <c r="CO846" i="23916"/>
  <c r="CM847" i="23916"/>
  <c r="CM846" i="23916"/>
  <c r="CK847" i="23916"/>
  <c r="CK846" i="23916"/>
  <c r="CI847" i="23916"/>
  <c r="CI846" i="23916"/>
  <c r="CG847" i="23916"/>
  <c r="CG846" i="23916"/>
  <c r="CE847" i="23916"/>
  <c r="CE846" i="23916"/>
  <c r="CC847" i="23916"/>
  <c r="CC846" i="23916"/>
  <c r="CA847" i="23916"/>
  <c r="CA846" i="23916"/>
  <c r="BY847" i="23916"/>
  <c r="BY846" i="23916"/>
  <c r="BW847" i="23916"/>
  <c r="BW846" i="23916"/>
  <c r="BU847" i="23916"/>
  <c r="BU846" i="23916"/>
  <c r="BS847" i="23916"/>
  <c r="BS846" i="23916"/>
  <c r="BQ847" i="23916"/>
  <c r="BQ846" i="23916"/>
  <c r="BO847" i="23916"/>
  <c r="BO846" i="23916"/>
  <c r="BM847" i="23916"/>
  <c r="BM846" i="23916"/>
  <c r="BK847" i="23916"/>
  <c r="BK846" i="23916"/>
  <c r="BI847" i="23916"/>
  <c r="BI846" i="23916"/>
  <c r="BG847" i="23916"/>
  <c r="BG846" i="23916"/>
  <c r="GX823" i="23916"/>
  <c r="GV823" i="23916"/>
  <c r="GJ823" i="23916"/>
  <c r="GH825" i="23916"/>
  <c r="GH824" i="23916"/>
  <c r="GH823" i="23916"/>
  <c r="GH820" i="23916"/>
  <c r="GF825" i="23916"/>
  <c r="GF824" i="23916"/>
  <c r="GF823" i="23916"/>
  <c r="GF820" i="23916"/>
  <c r="FL830" i="23916"/>
  <c r="FJ830" i="23916"/>
  <c r="FH830" i="23916"/>
  <c r="FF830" i="23916"/>
  <c r="FD830" i="23916"/>
  <c r="FD828" i="23916"/>
  <c r="FD827" i="23916"/>
  <c r="EO823" i="23916"/>
  <c r="EM823" i="23916"/>
  <c r="EK823" i="23916"/>
  <c r="EI823" i="23916"/>
  <c r="EG823" i="23916"/>
  <c r="EE823" i="23916"/>
  <c r="DQ828" i="23916"/>
  <c r="DQ827" i="23916"/>
  <c r="DO828" i="23916"/>
  <c r="DO827" i="23916"/>
  <c r="DM828" i="23916"/>
  <c r="DM827" i="23916"/>
  <c r="DK828" i="23916"/>
  <c r="DK827" i="23916"/>
  <c r="DI828" i="23916"/>
  <c r="DI827" i="23916"/>
  <c r="DG828" i="23916"/>
  <c r="DG827" i="23916"/>
  <c r="DE828" i="23916"/>
  <c r="DE827" i="23916"/>
  <c r="DC828" i="23916"/>
  <c r="DC827" i="23916"/>
  <c r="DA828" i="23916"/>
  <c r="DA827" i="23916"/>
  <c r="CY828" i="23916"/>
  <c r="CY827" i="23916"/>
  <c r="CW828" i="23916"/>
  <c r="CW827" i="23916"/>
  <c r="CU828" i="23916"/>
  <c r="CU827" i="23916"/>
  <c r="CS828" i="23916"/>
  <c r="CS827" i="23916"/>
  <c r="CQ828" i="23916"/>
  <c r="CQ827" i="23916"/>
  <c r="CO828" i="23916"/>
  <c r="CO827" i="23916"/>
  <c r="CM828" i="23916"/>
  <c r="CM827" i="23916"/>
  <c r="CK828" i="23916"/>
  <c r="CK827" i="23916"/>
  <c r="CI828" i="23916"/>
  <c r="CI827" i="23916"/>
  <c r="CG828" i="23916"/>
  <c r="CG827" i="23916"/>
  <c r="CE828" i="23916"/>
  <c r="CE827" i="23916"/>
  <c r="CC828" i="23916"/>
  <c r="CC827" i="23916"/>
  <c r="CA828" i="23916"/>
  <c r="CA827" i="23916"/>
  <c r="BY828" i="23916"/>
  <c r="BY827" i="23916"/>
  <c r="BW828" i="23916"/>
  <c r="BW827" i="23916"/>
  <c r="BU828" i="23916"/>
  <c r="BU827" i="23916"/>
  <c r="BS828" i="23916"/>
  <c r="BS827" i="23916"/>
  <c r="BQ828" i="23916"/>
  <c r="BQ827" i="23916"/>
  <c r="BO828" i="23916"/>
  <c r="BO827" i="23916"/>
  <c r="BM828" i="23916"/>
  <c r="BM827" i="23916"/>
  <c r="BK828" i="23916"/>
  <c r="BK827" i="23916"/>
  <c r="BI828" i="23916"/>
  <c r="BI827" i="23916"/>
  <c r="BG828" i="23916"/>
  <c r="BG827" i="23916"/>
  <c r="BE828" i="23916"/>
  <c r="BE827" i="23916"/>
  <c r="BC828" i="23916"/>
  <c r="BC827" i="23916"/>
  <c r="BA828" i="23916"/>
  <c r="BA827" i="23916"/>
  <c r="AY828" i="23916"/>
  <c r="AY827" i="23916"/>
  <c r="GD823" i="23916"/>
  <c r="GB823" i="23916"/>
  <c r="FZ823" i="23916"/>
  <c r="FX823" i="23916"/>
  <c r="FV823" i="23916"/>
  <c r="FT823" i="23916"/>
  <c r="FR823" i="23916"/>
  <c r="FP823" i="23916"/>
  <c r="FN823" i="23916"/>
  <c r="FL823" i="23916"/>
  <c r="FJ823" i="23916"/>
  <c r="FH823" i="23916"/>
  <c r="FF823" i="23916"/>
  <c r="FD823" i="23916"/>
  <c r="DQ819" i="23916"/>
  <c r="DO819" i="23916"/>
  <c r="DM819" i="23916"/>
  <c r="DK819" i="23916"/>
  <c r="DI819" i="23916"/>
  <c r="DG819" i="23916"/>
  <c r="DE819" i="23916"/>
  <c r="DC819" i="23916"/>
  <c r="DA819" i="23916"/>
  <c r="CY819" i="23916"/>
  <c r="CW819" i="23916"/>
  <c r="CU819" i="23916"/>
  <c r="CS819" i="23916"/>
  <c r="CQ819" i="23916"/>
  <c r="GT823" i="23916"/>
  <c r="GS823" i="23916"/>
  <c r="GR823" i="23916"/>
  <c r="GP823" i="23916"/>
  <c r="GQ823" i="23916" s="1"/>
  <c r="GO823" i="23916"/>
  <c r="GN823" i="23916"/>
  <c r="GL823" i="23916"/>
  <c r="GM823" i="23916" s="1"/>
  <c r="GB819" i="23916"/>
  <c r="FV819" i="23916"/>
  <c r="CO819" i="23916"/>
  <c r="CM819" i="23916"/>
  <c r="CK819" i="23916"/>
  <c r="CI819" i="23916"/>
  <c r="CG819" i="23916"/>
  <c r="CE819" i="23916"/>
  <c r="CC819" i="23916"/>
  <c r="CA819" i="23916"/>
  <c r="BY819" i="23916"/>
  <c r="BW819" i="23916"/>
  <c r="BU819" i="23916"/>
  <c r="BS819" i="23916"/>
  <c r="BQ819" i="23916"/>
  <c r="BO819" i="23916"/>
  <c r="BM819" i="23916"/>
  <c r="BK819" i="23916"/>
  <c r="BI819" i="23916"/>
  <c r="BG819" i="23916"/>
  <c r="BE819" i="23916"/>
  <c r="BC819" i="23916"/>
  <c r="BA819" i="23916"/>
  <c r="AY819" i="23916"/>
  <c r="AW819" i="23916"/>
  <c r="AU819" i="23916"/>
  <c r="AS819" i="23916"/>
  <c r="AQ819" i="23916"/>
  <c r="AO819" i="23916"/>
  <c r="AM819" i="23916"/>
  <c r="AK819" i="23916"/>
  <c r="AI819" i="23916"/>
  <c r="AG819" i="23916"/>
  <c r="AE819" i="23916"/>
  <c r="AC819" i="23916"/>
  <c r="AA819" i="23916"/>
  <c r="W819" i="23916"/>
  <c r="U819" i="23916"/>
  <c r="A819" i="23916"/>
  <c r="FB809" i="23916"/>
  <c r="GH804" i="23916"/>
  <c r="GF804" i="23916"/>
  <c r="GD804" i="23916"/>
  <c r="FZ804" i="23916"/>
  <c r="FX804" i="23916"/>
  <c r="FV804" i="23916"/>
  <c r="FT804" i="23916"/>
  <c r="FR804" i="23916"/>
  <c r="FP804" i="23916"/>
  <c r="FN804" i="23916"/>
  <c r="FL804" i="23916"/>
  <c r="FJ804" i="23916"/>
  <c r="FH804" i="23916"/>
  <c r="FF804" i="23916"/>
  <c r="FD804" i="23916"/>
  <c r="FB804" i="23916"/>
  <c r="GB804" i="23916"/>
  <c r="DA799" i="23916"/>
  <c r="CY799" i="23916"/>
  <c r="CW799" i="23916"/>
  <c r="CU799" i="23916"/>
  <c r="CS799" i="23916"/>
  <c r="CQ799" i="23916"/>
  <c r="DQ799" i="23916"/>
  <c r="DO799" i="23916"/>
  <c r="DM799" i="23916"/>
  <c r="DK799" i="23916"/>
  <c r="DI799" i="23916"/>
  <c r="DG799" i="23916"/>
  <c r="DE799" i="23916"/>
  <c r="DC799" i="23916"/>
  <c r="CO799" i="23916"/>
  <c r="CM799" i="23916"/>
  <c r="CK799" i="23916"/>
  <c r="CI799" i="23916"/>
  <c r="CG799" i="23916"/>
  <c r="CE799" i="23916"/>
  <c r="CC799" i="23916"/>
  <c r="CA799" i="23916"/>
  <c r="BY799" i="23916"/>
  <c r="BW799" i="23916"/>
  <c r="BU799" i="23916"/>
  <c r="BS799" i="23916"/>
  <c r="BQ799" i="23916"/>
  <c r="BO799" i="23916"/>
  <c r="BM799" i="23916"/>
  <c r="BK799" i="23916"/>
  <c r="BI799" i="23916"/>
  <c r="BG799" i="23916"/>
  <c r="BE799" i="23916"/>
  <c r="BC799" i="23916"/>
  <c r="BA799" i="23916"/>
  <c r="AY799" i="23916"/>
  <c r="AW799" i="23916"/>
  <c r="AU799" i="23916"/>
  <c r="AS799" i="23916"/>
  <c r="AQ799" i="23916"/>
  <c r="AO799" i="23916"/>
  <c r="AM799" i="23916"/>
  <c r="AK799" i="23916"/>
  <c r="AI799" i="23916"/>
  <c r="AG799" i="23916"/>
  <c r="AE799" i="23916"/>
  <c r="AC799" i="23916"/>
  <c r="AA799" i="23916"/>
  <c r="Y799" i="23916"/>
  <c r="W799" i="23916"/>
  <c r="U799" i="23916"/>
  <c r="S799" i="23916"/>
  <c r="GS795" i="23916"/>
  <c r="GS794" i="23916"/>
  <c r="GQ795" i="23916"/>
  <c r="GQ794" i="23916"/>
  <c r="GO795" i="23916"/>
  <c r="GO794" i="23916"/>
  <c r="GM795" i="23916"/>
  <c r="GM794" i="23916"/>
  <c r="EO793" i="23916"/>
  <c r="EM793" i="23916"/>
  <c r="EK793" i="23916"/>
  <c r="EI793" i="23916"/>
  <c r="EG793" i="23916"/>
  <c r="EE793" i="23916"/>
  <c r="EC793" i="23916"/>
  <c r="EA793" i="23916"/>
  <c r="DY793" i="23916"/>
  <c r="DW793" i="23916"/>
  <c r="DU793" i="23916"/>
  <c r="DS793" i="23916"/>
  <c r="DQ793" i="23916"/>
  <c r="DO793" i="23916"/>
  <c r="DM793" i="23916"/>
  <c r="DK793" i="23916"/>
  <c r="DI793" i="23916"/>
  <c r="DG793" i="23916"/>
  <c r="DE793" i="23916"/>
  <c r="DC793" i="23916"/>
  <c r="DA793" i="23916"/>
  <c r="CY793" i="23916"/>
  <c r="CW793" i="23916"/>
  <c r="CU793" i="23916"/>
  <c r="CS793" i="23916"/>
  <c r="CQ793" i="23916"/>
  <c r="CO793" i="23916"/>
  <c r="CM793" i="23916"/>
  <c r="CK793" i="23916"/>
  <c r="CI793" i="23916"/>
  <c r="CG793" i="23916"/>
  <c r="CE793" i="23916"/>
  <c r="CC793" i="23916"/>
  <c r="CA793" i="23916"/>
  <c r="BY793" i="23916"/>
  <c r="BW793" i="23916"/>
  <c r="BU793" i="23916"/>
  <c r="BS793" i="23916"/>
  <c r="BQ793" i="23916"/>
  <c r="BO793" i="23916"/>
  <c r="BM793" i="23916"/>
  <c r="BK793" i="23916"/>
  <c r="BI793" i="23916"/>
  <c r="BG793" i="23916"/>
  <c r="BE793" i="23916"/>
  <c r="BC793" i="23916"/>
  <c r="BA793" i="23916"/>
  <c r="AY793" i="23916"/>
  <c r="B793" i="23916"/>
  <c r="GS790" i="23916"/>
  <c r="GS786" i="23916"/>
  <c r="GS785" i="23916"/>
  <c r="GQ790" i="23916"/>
  <c r="GQ786" i="23916"/>
  <c r="GQ785" i="23916"/>
  <c r="GO790" i="23916"/>
  <c r="GO786" i="23916"/>
  <c r="GO785" i="23916"/>
  <c r="GM790" i="23916"/>
  <c r="GM786" i="23916"/>
  <c r="GM785" i="23916"/>
  <c r="CY789" i="23916"/>
  <c r="CY788" i="23916"/>
  <c r="CW789" i="23916"/>
  <c r="CW788" i="23916"/>
  <c r="CU789" i="23916"/>
  <c r="CU788" i="23916"/>
  <c r="CS789" i="23916"/>
  <c r="CS788" i="23916"/>
  <c r="CQ789" i="23916"/>
  <c r="CQ788" i="23916"/>
  <c r="CO789" i="23916"/>
  <c r="CO788" i="23916"/>
  <c r="CM789" i="23916"/>
  <c r="CM788" i="23916"/>
  <c r="CK788" i="23916"/>
  <c r="CI788" i="23916"/>
  <c r="CG788" i="23916"/>
  <c r="CE788" i="23916"/>
  <c r="CC788" i="23916"/>
  <c r="CA788" i="23916"/>
  <c r="BY788" i="23916"/>
  <c r="BW788" i="23916"/>
  <c r="BU789" i="23916"/>
  <c r="BU788" i="23916"/>
  <c r="BS788" i="23916"/>
  <c r="BQ788" i="23916"/>
  <c r="BO788" i="23916"/>
  <c r="BM788" i="23916"/>
  <c r="BK788" i="23916"/>
  <c r="BI788" i="23916"/>
  <c r="BG788" i="23916"/>
  <c r="BE788" i="23916"/>
  <c r="BC788" i="23916"/>
  <c r="BA788" i="23916"/>
  <c r="AY788" i="23916"/>
  <c r="BS784" i="23916"/>
  <c r="BQ784" i="23916"/>
  <c r="BO784" i="23916"/>
  <c r="BM784" i="23916"/>
  <c r="BK784" i="23916"/>
  <c r="BI784" i="23916"/>
  <c r="BG784" i="23916"/>
  <c r="BE784" i="23916"/>
  <c r="BC784" i="23916"/>
  <c r="BA784" i="23916"/>
  <c r="AY784" i="23916"/>
  <c r="AW784" i="23916"/>
  <c r="AU784" i="23916"/>
  <c r="AS784" i="23916"/>
  <c r="AQ784" i="23916"/>
  <c r="AO784" i="23916"/>
  <c r="AM784" i="23916"/>
  <c r="AK784" i="23916"/>
  <c r="AI784" i="23916"/>
  <c r="AG784" i="23916"/>
  <c r="AE784" i="23916"/>
  <c r="AC784" i="23916"/>
  <c r="AA784" i="23916"/>
  <c r="FB783" i="23916"/>
  <c r="GF779" i="23916"/>
  <c r="EX779" i="23916"/>
  <c r="EX778" i="23916"/>
  <c r="EV779" i="23916"/>
  <c r="EV778" i="23916"/>
  <c r="ET779" i="23916"/>
  <c r="ET778" i="23916"/>
  <c r="ER779" i="23916"/>
  <c r="ER778" i="23916"/>
  <c r="EP779" i="23916"/>
  <c r="EP778" i="23916"/>
  <c r="EN779" i="23916"/>
  <c r="EN778" i="23916"/>
  <c r="EL779" i="23916"/>
  <c r="EL778" i="23916"/>
  <c r="EJ779" i="23916"/>
  <c r="EJ778" i="23916"/>
  <c r="EH779" i="23916"/>
  <c r="EH778" i="23916"/>
  <c r="EF779" i="23916"/>
  <c r="EF778" i="23916"/>
  <c r="ED779" i="23916"/>
  <c r="ED778" i="23916"/>
  <c r="EB779" i="23916"/>
  <c r="EB778" i="23916"/>
  <c r="DZ779" i="23916"/>
  <c r="DZ778" i="23916"/>
  <c r="DX779" i="23916"/>
  <c r="DX778" i="23916"/>
  <c r="DV779" i="23916"/>
  <c r="DV778" i="23916"/>
  <c r="DT779" i="23916"/>
  <c r="DT778" i="23916"/>
  <c r="DR779" i="23916"/>
  <c r="DR778" i="23916"/>
  <c r="DP779" i="23916"/>
  <c r="DP778" i="23916"/>
  <c r="DN779" i="23916"/>
  <c r="DN778" i="23916"/>
  <c r="DL779" i="23916"/>
  <c r="DL778" i="23916"/>
  <c r="DH778" i="23916"/>
  <c r="GF778" i="23916" s="1"/>
  <c r="EX775" i="23916"/>
  <c r="EW775" i="23916"/>
  <c r="EU775" i="23916"/>
  <c r="EV775" i="23916" s="1"/>
  <c r="ET775" i="23916"/>
  <c r="ES775" i="23916"/>
  <c r="EQ775" i="23916"/>
  <c r="ER775" i="23916" s="1"/>
  <c r="EP775" i="23916"/>
  <c r="EO775" i="23916"/>
  <c r="EM775" i="23916"/>
  <c r="EN775" i="23916" s="1"/>
  <c r="EK775" i="23916"/>
  <c r="EI775" i="23916"/>
  <c r="EG775" i="23916"/>
  <c r="EE775" i="23916"/>
  <c r="BS775" i="23916"/>
  <c r="BQ775" i="23916"/>
  <c r="BO775" i="23916"/>
  <c r="BM775" i="23916"/>
  <c r="BK775" i="23916"/>
  <c r="BI775" i="23916"/>
  <c r="BG775" i="23916"/>
  <c r="BE775" i="23916"/>
  <c r="BC775" i="23916"/>
  <c r="BA775" i="23916"/>
  <c r="AY775" i="23916"/>
  <c r="AW775" i="23916"/>
  <c r="AU775" i="23916"/>
  <c r="AS775" i="23916"/>
  <c r="AQ775" i="23916"/>
  <c r="AO775" i="23916"/>
  <c r="AM775" i="23916"/>
  <c r="AK775" i="23916"/>
  <c r="AI775" i="23916"/>
  <c r="AG775" i="23916"/>
  <c r="AE775" i="23916"/>
  <c r="AC775" i="23916"/>
  <c r="AA775" i="23916"/>
  <c r="Y775" i="23916"/>
  <c r="W775" i="23916"/>
  <c r="U775" i="23916"/>
  <c r="S775" i="23916"/>
  <c r="Q775" i="23916"/>
  <c r="O775" i="23916"/>
  <c r="M775" i="23916"/>
  <c r="K775" i="23916"/>
  <c r="I775" i="23916"/>
  <c r="G775" i="23916"/>
  <c r="E775" i="23916"/>
  <c r="C775" i="23916"/>
  <c r="EX772" i="23916"/>
  <c r="EW772" i="23916"/>
  <c r="EW823" i="23916" s="1"/>
  <c r="EU772" i="23916"/>
  <c r="EU823" i="23916" s="1"/>
  <c r="ET772" i="23916"/>
  <c r="ES772" i="23916"/>
  <c r="ES823" i="23916" s="1"/>
  <c r="EQ772" i="23916"/>
  <c r="EQ823" i="23916" s="1"/>
  <c r="EP772" i="23916"/>
  <c r="EN772" i="23916"/>
  <c r="EN771" i="23916"/>
  <c r="EN770" i="23916"/>
  <c r="EN769" i="23916"/>
  <c r="EL771" i="23916"/>
  <c r="EL770" i="23916"/>
  <c r="EJ771" i="23916"/>
  <c r="EJ770" i="23916"/>
  <c r="EH771" i="23916"/>
  <c r="EH770" i="23916"/>
  <c r="EF771" i="23916"/>
  <c r="EF770" i="23916"/>
  <c r="BM772" i="23916"/>
  <c r="BM823" i="23916" s="1"/>
  <c r="BK772" i="23916"/>
  <c r="BK823" i="23916" s="1"/>
  <c r="BI772" i="23916"/>
  <c r="BI823" i="23916" s="1"/>
  <c r="BG772" i="23916"/>
  <c r="BG823" i="23916" s="1"/>
  <c r="BE772" i="23916"/>
  <c r="BE823" i="23916" s="1"/>
  <c r="BC772" i="23916"/>
  <c r="BC823" i="23916" s="1"/>
  <c r="BA772" i="23916"/>
  <c r="BA823" i="23916" s="1"/>
  <c r="AY772" i="23916"/>
  <c r="AY823" i="23916" s="1"/>
  <c r="AW772" i="23916"/>
  <c r="AW823" i="23916" s="1"/>
  <c r="AU772" i="23916"/>
  <c r="AU823" i="23916" s="1"/>
  <c r="AS772" i="23916"/>
  <c r="AS823" i="23916" s="1"/>
  <c r="AQ772" i="23916"/>
  <c r="AQ823" i="23916" s="1"/>
  <c r="AO772" i="23916"/>
  <c r="AO823" i="23916" s="1"/>
  <c r="AM772" i="23916"/>
  <c r="AM823" i="23916" s="1"/>
  <c r="AK772" i="23916"/>
  <c r="AK823" i="23916" s="1"/>
  <c r="AI772" i="23916"/>
  <c r="AI823" i="23916" s="1"/>
  <c r="AG772" i="23916"/>
  <c r="AG823" i="23916" s="1"/>
  <c r="AE772" i="23916"/>
  <c r="AE823" i="23916" s="1"/>
  <c r="AC772" i="23916"/>
  <c r="AC823" i="23916" s="1"/>
  <c r="Y772" i="23916"/>
  <c r="Y823" i="23916" s="1"/>
  <c r="W772" i="23916"/>
  <c r="W823" i="23916" s="1"/>
  <c r="U772" i="23916"/>
  <c r="U823" i="23916" s="1"/>
  <c r="S772" i="23916"/>
  <c r="S823" i="23916" s="1"/>
  <c r="EX771" i="23916"/>
  <c r="EX770" i="23916"/>
  <c r="EX769" i="23916"/>
  <c r="EV771" i="23916"/>
  <c r="EV770" i="23916"/>
  <c r="EV769" i="23916"/>
  <c r="ET771" i="23916"/>
  <c r="ET770" i="23916"/>
  <c r="ET769" i="23916"/>
  <c r="ER771" i="23916"/>
  <c r="ER770" i="23916"/>
  <c r="ER769" i="23916"/>
  <c r="EP771" i="23916"/>
  <c r="EP770" i="23916"/>
  <c r="EP769" i="23916"/>
  <c r="ED771" i="23916"/>
  <c r="ED770" i="23916"/>
  <c r="ED769" i="23916"/>
  <c r="EB771" i="23916"/>
  <c r="EB770" i="23916"/>
  <c r="DZ771" i="23916"/>
  <c r="DZ770" i="23916"/>
  <c r="DX771" i="23916"/>
  <c r="DX770" i="23916"/>
  <c r="DV771" i="23916"/>
  <c r="DV770" i="23916"/>
  <c r="DV769" i="23916"/>
  <c r="DT771" i="23916"/>
  <c r="DT770" i="23916"/>
  <c r="DR771" i="23916"/>
  <c r="DR770" i="23916"/>
  <c r="DP771" i="23916"/>
  <c r="DP770" i="23916"/>
  <c r="DN771" i="23916"/>
  <c r="DN770" i="23916"/>
  <c r="DN769" i="23916"/>
  <c r="DL771" i="23916"/>
  <c r="DL770" i="23916"/>
  <c r="CT770" i="23916"/>
  <c r="CR770" i="23916"/>
  <c r="CP770" i="23916"/>
  <c r="CN770" i="23916"/>
  <c r="CL770" i="23916"/>
  <c r="CJ770" i="23916"/>
  <c r="CH770" i="23916"/>
  <c r="CF770" i="23916"/>
  <c r="CB770" i="23916"/>
  <c r="AA770" i="23916"/>
  <c r="AA772" i="23916" s="1"/>
  <c r="AA823" i="23916" s="1"/>
  <c r="Q770" i="23916"/>
  <c r="Q772" i="23916" s="1"/>
  <c r="O770" i="23916"/>
  <c r="O772" i="23916" s="1"/>
  <c r="M770" i="23916"/>
  <c r="M772" i="23916" s="1"/>
  <c r="K770" i="23916"/>
  <c r="K772" i="23916" s="1"/>
  <c r="I770" i="23916"/>
  <c r="I772" i="23916" s="1"/>
  <c r="G770" i="23916"/>
  <c r="G772" i="23916" s="1"/>
  <c r="E770" i="23916"/>
  <c r="E772" i="23916" s="1"/>
  <c r="C770" i="23916"/>
  <c r="C772" i="23916" s="1"/>
  <c r="EC769" i="23916"/>
  <c r="EC772" i="23916" s="1"/>
  <c r="EA769" i="23916"/>
  <c r="EB769" i="23916" s="1"/>
  <c r="DY769" i="23916"/>
  <c r="DY772" i="23916" s="1"/>
  <c r="DW769" i="23916"/>
  <c r="DW775" i="23916" s="1"/>
  <c r="DU769" i="23916"/>
  <c r="DU772" i="23916" s="1"/>
  <c r="DS769" i="23916"/>
  <c r="DT769" i="23916" s="1"/>
  <c r="DQ769" i="23916"/>
  <c r="DQ772" i="23916" s="1"/>
  <c r="DO769" i="23916"/>
  <c r="DO775" i="23916" s="1"/>
  <c r="DM769" i="23916"/>
  <c r="DM772" i="23916" s="1"/>
  <c r="DK769" i="23916"/>
  <c r="DL769" i="23916" s="1"/>
  <c r="DI769" i="23916"/>
  <c r="DI775" i="23916" s="1"/>
  <c r="DG769" i="23916"/>
  <c r="DG772" i="23916" s="1"/>
  <c r="DG823" i="23916" s="1"/>
  <c r="DE769" i="23916"/>
  <c r="DE775" i="23916" s="1"/>
  <c r="DC769" i="23916"/>
  <c r="DC775" i="23916" s="1"/>
  <c r="DA769" i="23916"/>
  <c r="DA775" i="23916" s="1"/>
  <c r="CY769" i="23916"/>
  <c r="CY772" i="23916" s="1"/>
  <c r="CY823" i="23916" s="1"/>
  <c r="CW769" i="23916"/>
  <c r="CW775" i="23916" s="1"/>
  <c r="CU769" i="23916"/>
  <c r="CU775" i="23916" s="1"/>
  <c r="CS769" i="23916"/>
  <c r="CS775" i="23916" s="1"/>
  <c r="CQ769" i="23916"/>
  <c r="CQ772" i="23916" s="1"/>
  <c r="CQ823" i="23916" s="1"/>
  <c r="CO769" i="23916"/>
  <c r="CO775" i="23916" s="1"/>
  <c r="CM769" i="23916"/>
  <c r="CM775" i="23916" s="1"/>
  <c r="CK769" i="23916"/>
  <c r="CK775" i="23916" s="1"/>
  <c r="CI769" i="23916"/>
  <c r="CI772" i="23916" s="1"/>
  <c r="CI823" i="23916" s="1"/>
  <c r="CG769" i="23916"/>
  <c r="CG775" i="23916" s="1"/>
  <c r="CE769" i="23916"/>
  <c r="CE775" i="23916" s="1"/>
  <c r="CC769" i="23916"/>
  <c r="CC775" i="23916" s="1"/>
  <c r="CA769" i="23916"/>
  <c r="CA772" i="23916" s="1"/>
  <c r="CA823" i="23916" s="1"/>
  <c r="BY769" i="23916"/>
  <c r="BY775" i="23916" s="1"/>
  <c r="BW769" i="23916"/>
  <c r="BW775" i="23916" s="1"/>
  <c r="BU769" i="23916"/>
  <c r="BU775" i="23916" s="1"/>
  <c r="FB766" i="23916"/>
  <c r="FB765" i="23916"/>
  <c r="FB764" i="23916"/>
  <c r="FB763" i="23916"/>
  <c r="FB762" i="23916"/>
  <c r="FB761" i="23916"/>
  <c r="FB760" i="23916"/>
  <c r="I765" i="23916"/>
  <c r="I764" i="23916"/>
  <c r="I763" i="23916"/>
  <c r="I762" i="23916"/>
  <c r="I761" i="23916"/>
  <c r="I760" i="23916"/>
  <c r="G765" i="23916"/>
  <c r="G764" i="23916"/>
  <c r="G763" i="23916"/>
  <c r="G762" i="23916"/>
  <c r="G761" i="23916"/>
  <c r="G760" i="23916"/>
  <c r="E765" i="23916"/>
  <c r="E764" i="23916"/>
  <c r="E763" i="23916"/>
  <c r="E762" i="23916"/>
  <c r="E761" i="23916"/>
  <c r="E760" i="23916"/>
  <c r="C765" i="23916"/>
  <c r="C764" i="23916"/>
  <c r="C763" i="23916"/>
  <c r="C762" i="23916"/>
  <c r="C761" i="23916"/>
  <c r="C760" i="23916"/>
  <c r="FD766" i="23916"/>
  <c r="FE766" i="23916" s="1"/>
  <c r="FD765" i="23916"/>
  <c r="FE765" i="23916" s="1"/>
  <c r="FE764" i="23916"/>
  <c r="FD764" i="23916"/>
  <c r="FD763" i="23916"/>
  <c r="FE763" i="23916" s="1"/>
  <c r="FD762" i="23916"/>
  <c r="FE762" i="23916" s="1"/>
  <c r="FD761" i="23916"/>
  <c r="FE761" i="23916" s="1"/>
  <c r="FE760" i="23916"/>
  <c r="FD760" i="23916"/>
  <c r="EP765" i="23916"/>
  <c r="EO765" i="23916"/>
  <c r="EN765" i="23916"/>
  <c r="EM765" i="23916"/>
  <c r="EL765" i="23916"/>
  <c r="EK765" i="23916"/>
  <c r="EJ765" i="23916"/>
  <c r="EI765" i="23916"/>
  <c r="EH765" i="23916"/>
  <c r="EG765" i="23916"/>
  <c r="EF765" i="23916"/>
  <c r="EE765" i="23916"/>
  <c r="ED765" i="23916"/>
  <c r="EC765" i="23916"/>
  <c r="EB765" i="23916"/>
  <c r="EA765" i="23916"/>
  <c r="DZ765" i="23916"/>
  <c r="DY765" i="23916"/>
  <c r="DX765" i="23916"/>
  <c r="DW765" i="23916"/>
  <c r="DV765" i="23916"/>
  <c r="DU765" i="23916"/>
  <c r="DT765" i="23916"/>
  <c r="DS765" i="23916"/>
  <c r="DR765" i="23916"/>
  <c r="DQ765" i="23916"/>
  <c r="DP765" i="23916"/>
  <c r="DO765" i="23916"/>
  <c r="DN765" i="23916"/>
  <c r="DM765" i="23916"/>
  <c r="DL765" i="23916"/>
  <c r="DK765" i="23916"/>
  <c r="DJ765" i="23916"/>
  <c r="DI765" i="23916"/>
  <c r="DH765" i="23916"/>
  <c r="DG765" i="23916"/>
  <c r="DF765" i="23916"/>
  <c r="DE765" i="23916"/>
  <c r="DD765" i="23916"/>
  <c r="DC765" i="23916"/>
  <c r="DB765" i="23916"/>
  <c r="DA765" i="23916"/>
  <c r="CZ765" i="23916"/>
  <c r="CY765" i="23916"/>
  <c r="CX765" i="23916"/>
  <c r="CW765" i="23916"/>
  <c r="CV765" i="23916"/>
  <c r="CU765" i="23916"/>
  <c r="CT765" i="23916"/>
  <c r="CS765" i="23916"/>
  <c r="CR765" i="23916"/>
  <c r="CQ765" i="23916"/>
  <c r="CP765" i="23916"/>
  <c r="CO765" i="23916"/>
  <c r="CN765" i="23916"/>
  <c r="CM765" i="23916"/>
  <c r="CL765" i="23916"/>
  <c r="CK765" i="23916"/>
  <c r="CJ765" i="23916"/>
  <c r="CI765" i="23916"/>
  <c r="CH765" i="23916"/>
  <c r="CG765" i="23916"/>
  <c r="CF765" i="23916"/>
  <c r="CE765" i="23916"/>
  <c r="CD765" i="23916"/>
  <c r="CC765" i="23916"/>
  <c r="CB765" i="23916"/>
  <c r="CA765" i="23916"/>
  <c r="BZ765" i="23916"/>
  <c r="BY765" i="23916"/>
  <c r="BX765" i="23916"/>
  <c r="BW765" i="23916"/>
  <c r="BV765" i="23916"/>
  <c r="BU765" i="23916"/>
  <c r="BT765" i="23916"/>
  <c r="BS765" i="23916"/>
  <c r="BR765" i="23916"/>
  <c r="BQ765" i="23916"/>
  <c r="BP765" i="23916"/>
  <c r="BO765" i="23916"/>
  <c r="BN765" i="23916"/>
  <c r="BM765" i="23916"/>
  <c r="BL765" i="23916"/>
  <c r="BK765" i="23916"/>
  <c r="BJ765" i="23916"/>
  <c r="BI765" i="23916"/>
  <c r="BH765" i="23916"/>
  <c r="BG765" i="23916"/>
  <c r="BF765" i="23916"/>
  <c r="BE765" i="23916"/>
  <c r="BD765" i="23916"/>
  <c r="BC765" i="23916"/>
  <c r="BB765" i="23916"/>
  <c r="BA765" i="23916"/>
  <c r="AZ765" i="23916"/>
  <c r="AY765" i="23916"/>
  <c r="AX765" i="23916"/>
  <c r="AW765" i="23916"/>
  <c r="AV765" i="23916"/>
  <c r="AU765" i="23916"/>
  <c r="AT765" i="23916"/>
  <c r="AS765" i="23916"/>
  <c r="AR765" i="23916"/>
  <c r="AQ765" i="23916"/>
  <c r="AP765" i="23916"/>
  <c r="AO765" i="23916"/>
  <c r="AN765" i="23916"/>
  <c r="AM765" i="23916"/>
  <c r="AL765" i="23916"/>
  <c r="AK765" i="23916"/>
  <c r="AJ765" i="23916"/>
  <c r="AI765" i="23916"/>
  <c r="AH765" i="23916"/>
  <c r="AG765" i="23916"/>
  <c r="AF765" i="23916"/>
  <c r="AE765" i="23916"/>
  <c r="AD765" i="23916"/>
  <c r="AC765" i="23916"/>
  <c r="AB765" i="23916"/>
  <c r="AA765" i="23916"/>
  <c r="Z765" i="23916"/>
  <c r="Y765" i="23916"/>
  <c r="X765" i="23916"/>
  <c r="W765" i="23916"/>
  <c r="V765" i="23916"/>
  <c r="U765" i="23916"/>
  <c r="T765" i="23916"/>
  <c r="S765" i="23916"/>
  <c r="R765" i="23916"/>
  <c r="Q765" i="23916"/>
  <c r="P765" i="23916"/>
  <c r="O765" i="23916"/>
  <c r="N765" i="23916"/>
  <c r="M765" i="23916"/>
  <c r="L765" i="23916"/>
  <c r="K765" i="23916"/>
  <c r="EP764" i="23916"/>
  <c r="EO764" i="23916"/>
  <c r="EN764" i="23916"/>
  <c r="EM764" i="23916"/>
  <c r="EL764" i="23916"/>
  <c r="EK764" i="23916"/>
  <c r="EJ764" i="23916"/>
  <c r="EI764" i="23916"/>
  <c r="EH764" i="23916"/>
  <c r="EG764" i="23916"/>
  <c r="EF764" i="23916"/>
  <c r="EE764" i="23916"/>
  <c r="ED764" i="23916"/>
  <c r="EC764" i="23916"/>
  <c r="EB764" i="23916"/>
  <c r="EA764" i="23916"/>
  <c r="DZ764" i="23916"/>
  <c r="DY764" i="23916"/>
  <c r="DX764" i="23916"/>
  <c r="DW764" i="23916"/>
  <c r="DV764" i="23916"/>
  <c r="DU764" i="23916"/>
  <c r="DT764" i="23916"/>
  <c r="DS764" i="23916"/>
  <c r="DR764" i="23916"/>
  <c r="DQ764" i="23916"/>
  <c r="DP764" i="23916"/>
  <c r="DO764" i="23916"/>
  <c r="DN764" i="23916"/>
  <c r="DM764" i="23916"/>
  <c r="DL764" i="23916"/>
  <c r="DK764" i="23916"/>
  <c r="DJ764" i="23916"/>
  <c r="DI764" i="23916"/>
  <c r="DH764" i="23916"/>
  <c r="DG764" i="23916"/>
  <c r="DF764" i="23916"/>
  <c r="DE764" i="23916"/>
  <c r="DD764" i="23916"/>
  <c r="DC764" i="23916"/>
  <c r="DB764" i="23916"/>
  <c r="DA764" i="23916"/>
  <c r="CZ764" i="23916"/>
  <c r="CY764" i="23916"/>
  <c r="CX764" i="23916"/>
  <c r="CW764" i="23916"/>
  <c r="CV764" i="23916"/>
  <c r="CU764" i="23916"/>
  <c r="CT764" i="23916"/>
  <c r="CS764" i="23916"/>
  <c r="CR764" i="23916"/>
  <c r="CQ764" i="23916"/>
  <c r="CP764" i="23916"/>
  <c r="CO764" i="23916"/>
  <c r="CN764" i="23916"/>
  <c r="CM764" i="23916"/>
  <c r="CL764" i="23916"/>
  <c r="CK764" i="23916"/>
  <c r="CJ764" i="23916"/>
  <c r="CI764" i="23916"/>
  <c r="CH764" i="23916"/>
  <c r="CG764" i="23916"/>
  <c r="CF764" i="23916"/>
  <c r="CE764" i="23916"/>
  <c r="CD764" i="23916"/>
  <c r="CC764" i="23916"/>
  <c r="CB764" i="23916"/>
  <c r="CA764" i="23916"/>
  <c r="BZ764" i="23916"/>
  <c r="BY764" i="23916"/>
  <c r="BX764" i="23916"/>
  <c r="BW764" i="23916"/>
  <c r="BV764" i="23916"/>
  <c r="BU764" i="23916"/>
  <c r="BT764" i="23916"/>
  <c r="BS764" i="23916"/>
  <c r="BR764" i="23916"/>
  <c r="BQ764" i="23916"/>
  <c r="BP764" i="23916"/>
  <c r="BO764" i="23916"/>
  <c r="BN764" i="23916"/>
  <c r="BM764" i="23916"/>
  <c r="BL764" i="23916"/>
  <c r="BK764" i="23916"/>
  <c r="BJ764" i="23916"/>
  <c r="BI764" i="23916"/>
  <c r="BH764" i="23916"/>
  <c r="BG764" i="23916"/>
  <c r="BF764" i="23916"/>
  <c r="BE764" i="23916"/>
  <c r="BD764" i="23916"/>
  <c r="BC764" i="23916"/>
  <c r="BB764" i="23916"/>
  <c r="BA764" i="23916"/>
  <c r="AZ764" i="23916"/>
  <c r="AY764" i="23916"/>
  <c r="AX764" i="23916"/>
  <c r="AW764" i="23916"/>
  <c r="AV764" i="23916"/>
  <c r="AU764" i="23916"/>
  <c r="AT764" i="23916"/>
  <c r="AS764" i="23916"/>
  <c r="AR764" i="23916"/>
  <c r="AQ764" i="23916"/>
  <c r="AP764" i="23916"/>
  <c r="AO764" i="23916"/>
  <c r="AN764" i="23916"/>
  <c r="AM764" i="23916"/>
  <c r="AL764" i="23916"/>
  <c r="AK764" i="23916"/>
  <c r="AJ764" i="23916"/>
  <c r="AI764" i="23916"/>
  <c r="AH764" i="23916"/>
  <c r="AG764" i="23916"/>
  <c r="AF764" i="23916"/>
  <c r="AE764" i="23916"/>
  <c r="AD764" i="23916"/>
  <c r="AC764" i="23916"/>
  <c r="AB764" i="23916"/>
  <c r="AA764" i="23916"/>
  <c r="Z764" i="23916"/>
  <c r="Y764" i="23916"/>
  <c r="X764" i="23916"/>
  <c r="W764" i="23916"/>
  <c r="V764" i="23916"/>
  <c r="U764" i="23916"/>
  <c r="T764" i="23916"/>
  <c r="S764" i="23916"/>
  <c r="R764" i="23916"/>
  <c r="Q764" i="23916"/>
  <c r="P764" i="23916"/>
  <c r="O764" i="23916"/>
  <c r="N764" i="23916"/>
  <c r="M764" i="23916"/>
  <c r="L764" i="23916"/>
  <c r="K764" i="23916"/>
  <c r="BJ763" i="23916"/>
  <c r="BI763" i="23916"/>
  <c r="BH763" i="23916"/>
  <c r="BG763" i="23916"/>
  <c r="BF763" i="23916"/>
  <c r="BE763" i="23916"/>
  <c r="BD763" i="23916"/>
  <c r="BC763" i="23916"/>
  <c r="BB763" i="23916"/>
  <c r="BA763" i="23916"/>
  <c r="AZ763" i="23916"/>
  <c r="AY763" i="23916"/>
  <c r="AX763" i="23916"/>
  <c r="AW763" i="23916"/>
  <c r="AV763" i="23916"/>
  <c r="AU763" i="23916"/>
  <c r="AT763" i="23916"/>
  <c r="AS763" i="23916"/>
  <c r="AR763" i="23916"/>
  <c r="AQ763" i="23916"/>
  <c r="AP763" i="23916"/>
  <c r="AO763" i="23916"/>
  <c r="AN763" i="23916"/>
  <c r="AM763" i="23916"/>
  <c r="AL763" i="23916"/>
  <c r="AK763" i="23916"/>
  <c r="AJ763" i="23916"/>
  <c r="AI763" i="23916"/>
  <c r="AH763" i="23916"/>
  <c r="AG763" i="23916"/>
  <c r="AF763" i="23916"/>
  <c r="AE763" i="23916"/>
  <c r="AD763" i="23916"/>
  <c r="AC763" i="23916"/>
  <c r="AB763" i="23916"/>
  <c r="AA763" i="23916"/>
  <c r="Z763" i="23916"/>
  <c r="Y763" i="23916"/>
  <c r="X763" i="23916"/>
  <c r="W763" i="23916"/>
  <c r="V763" i="23916"/>
  <c r="U763" i="23916"/>
  <c r="T763" i="23916"/>
  <c r="S763" i="23916"/>
  <c r="R763" i="23916"/>
  <c r="Q763" i="23916"/>
  <c r="P763" i="23916"/>
  <c r="O763" i="23916"/>
  <c r="N763" i="23916"/>
  <c r="M763" i="23916"/>
  <c r="L763" i="23916"/>
  <c r="K763" i="23916"/>
  <c r="BJ762" i="23916"/>
  <c r="BI762" i="23916"/>
  <c r="BH762" i="23916"/>
  <c r="BG762" i="23916"/>
  <c r="BF762" i="23916"/>
  <c r="BE762" i="23916"/>
  <c r="BD762" i="23916"/>
  <c r="BC762" i="23916"/>
  <c r="BB762" i="23916"/>
  <c r="BA762" i="23916"/>
  <c r="AZ762" i="23916"/>
  <c r="AY762" i="23916"/>
  <c r="AX762" i="23916"/>
  <c r="AW762" i="23916"/>
  <c r="AV762" i="23916"/>
  <c r="AU762" i="23916"/>
  <c r="AT762" i="23916"/>
  <c r="AS762" i="23916"/>
  <c r="AR762" i="23916"/>
  <c r="AQ762" i="23916"/>
  <c r="AP762" i="23916"/>
  <c r="AO762" i="23916"/>
  <c r="AN762" i="23916"/>
  <c r="AM762" i="23916"/>
  <c r="AL762" i="23916"/>
  <c r="AK762" i="23916"/>
  <c r="AJ762" i="23916"/>
  <c r="AI762" i="23916"/>
  <c r="AH762" i="23916"/>
  <c r="AG762" i="23916"/>
  <c r="AF762" i="23916"/>
  <c r="AE762" i="23916"/>
  <c r="AD762" i="23916"/>
  <c r="AC762" i="23916"/>
  <c r="AB762" i="23916"/>
  <c r="AA762" i="23916"/>
  <c r="Z762" i="23916"/>
  <c r="Y762" i="23916"/>
  <c r="X762" i="23916"/>
  <c r="W762" i="23916"/>
  <c r="V762" i="23916"/>
  <c r="U762" i="23916"/>
  <c r="T762" i="23916"/>
  <c r="S762" i="23916"/>
  <c r="R762" i="23916"/>
  <c r="Q762" i="23916"/>
  <c r="P762" i="23916"/>
  <c r="O762" i="23916"/>
  <c r="N762" i="23916"/>
  <c r="M762" i="23916"/>
  <c r="L762" i="23916"/>
  <c r="K762" i="23916"/>
  <c r="BJ761" i="23916"/>
  <c r="BI761" i="23916"/>
  <c r="BH761" i="23916"/>
  <c r="BG761" i="23916"/>
  <c r="BF761" i="23916"/>
  <c r="BE761" i="23916"/>
  <c r="BD761" i="23916"/>
  <c r="BC761" i="23916"/>
  <c r="BB761" i="23916"/>
  <c r="BA761" i="23916"/>
  <c r="AZ761" i="23916"/>
  <c r="AY761" i="23916"/>
  <c r="AX761" i="23916"/>
  <c r="AW761" i="23916"/>
  <c r="AV761" i="23916"/>
  <c r="AU761" i="23916"/>
  <c r="AT761" i="23916"/>
  <c r="AS761" i="23916"/>
  <c r="AR761" i="23916"/>
  <c r="AQ761" i="23916"/>
  <c r="AP761" i="23916"/>
  <c r="AO761" i="23916"/>
  <c r="AN761" i="23916"/>
  <c r="AM761" i="23916"/>
  <c r="AL761" i="23916"/>
  <c r="AK761" i="23916"/>
  <c r="AJ761" i="23916"/>
  <c r="AI761" i="23916"/>
  <c r="AH761" i="23916"/>
  <c r="AG761" i="23916"/>
  <c r="AF761" i="23916"/>
  <c r="AE761" i="23916"/>
  <c r="AD761" i="23916"/>
  <c r="AC761" i="23916"/>
  <c r="AB761" i="23916"/>
  <c r="AA761" i="23916"/>
  <c r="Z761" i="23916"/>
  <c r="Y761" i="23916"/>
  <c r="X761" i="23916"/>
  <c r="W761" i="23916"/>
  <c r="V761" i="23916"/>
  <c r="U761" i="23916"/>
  <c r="T761" i="23916"/>
  <c r="S761" i="23916"/>
  <c r="R761" i="23916"/>
  <c r="Q761" i="23916"/>
  <c r="P761" i="23916"/>
  <c r="O761" i="23916"/>
  <c r="N761" i="23916"/>
  <c r="M761" i="23916"/>
  <c r="L761" i="23916"/>
  <c r="K761" i="23916"/>
  <c r="BJ760" i="23916"/>
  <c r="BI760" i="23916"/>
  <c r="BH760" i="23916"/>
  <c r="BG760" i="23916"/>
  <c r="BF760" i="23916"/>
  <c r="BE760" i="23916"/>
  <c r="BD760" i="23916"/>
  <c r="BC760" i="23916"/>
  <c r="BB760" i="23916"/>
  <c r="BA760" i="23916"/>
  <c r="AZ760" i="23916"/>
  <c r="AY760" i="23916"/>
  <c r="AX760" i="23916"/>
  <c r="AW760" i="23916"/>
  <c r="AV760" i="23916"/>
  <c r="AU760" i="23916"/>
  <c r="AT760" i="23916"/>
  <c r="AS760" i="23916"/>
  <c r="AR760" i="23916"/>
  <c r="AQ760" i="23916"/>
  <c r="AP760" i="23916"/>
  <c r="AO760" i="23916"/>
  <c r="AN760" i="23916"/>
  <c r="AM760" i="23916"/>
  <c r="AL760" i="23916"/>
  <c r="AK760" i="23916"/>
  <c r="AJ760" i="23916"/>
  <c r="AI760" i="23916"/>
  <c r="AH760" i="23916"/>
  <c r="AG760" i="23916"/>
  <c r="AF760" i="23916"/>
  <c r="AE760" i="23916"/>
  <c r="AD760" i="23916"/>
  <c r="AC760" i="23916"/>
  <c r="AB760" i="23916"/>
  <c r="AA760" i="23916"/>
  <c r="Z760" i="23916"/>
  <c r="Y760" i="23916"/>
  <c r="X760" i="23916"/>
  <c r="W760" i="23916"/>
  <c r="V760" i="23916"/>
  <c r="U760" i="23916"/>
  <c r="T760" i="23916"/>
  <c r="S760" i="23916"/>
  <c r="R760" i="23916"/>
  <c r="Q760" i="23916"/>
  <c r="P760" i="23916"/>
  <c r="O760" i="23916"/>
  <c r="N760" i="23916"/>
  <c r="M760" i="23916"/>
  <c r="L760" i="23916"/>
  <c r="K760" i="23916"/>
  <c r="FB755" i="23916"/>
  <c r="I755" i="23916"/>
  <c r="FD755" i="23916"/>
  <c r="FE755" i="23916" s="1"/>
  <c r="BS755" i="23916"/>
  <c r="BQ755" i="23916"/>
  <c r="BR755" i="23916" s="1"/>
  <c r="BO755" i="23916"/>
  <c r="BP755" i="23916" s="1"/>
  <c r="BM755" i="23916"/>
  <c r="BN755" i="23916" s="1"/>
  <c r="BK755" i="23916"/>
  <c r="BJ755" i="23916"/>
  <c r="BI755" i="23916"/>
  <c r="BG755" i="23916"/>
  <c r="BE755" i="23916"/>
  <c r="BF755" i="23916" s="1"/>
  <c r="BC755" i="23916"/>
  <c r="BA755" i="23916"/>
  <c r="AY755" i="23916"/>
  <c r="AZ755" i="23916" s="1"/>
  <c r="AW755" i="23916"/>
  <c r="AX755" i="23916" s="1"/>
  <c r="AU755" i="23916"/>
  <c r="AT755" i="23916"/>
  <c r="AS755" i="23916"/>
  <c r="BB755" i="23916" s="1"/>
  <c r="AQ755" i="23916"/>
  <c r="AO755" i="23916"/>
  <c r="AP755" i="23916" s="1"/>
  <c r="AM755" i="23916"/>
  <c r="AK755" i="23916"/>
  <c r="AI755" i="23916"/>
  <c r="AJ755" i="23916" s="1"/>
  <c r="AG755" i="23916"/>
  <c r="AH755" i="23916" s="1"/>
  <c r="AE755" i="23916"/>
  <c r="AD755" i="23916"/>
  <c r="AC755" i="23916"/>
  <c r="AL755" i="23916" s="1"/>
  <c r="AA755" i="23916"/>
  <c r="Y755" i="23916"/>
  <c r="Z755" i="23916" s="1"/>
  <c r="W755" i="23916"/>
  <c r="U755" i="23916"/>
  <c r="S755" i="23916"/>
  <c r="T755" i="23916" s="1"/>
  <c r="Q755" i="23916"/>
  <c r="R755" i="23916" s="1"/>
  <c r="O755" i="23916"/>
  <c r="M755" i="23916"/>
  <c r="V755" i="23916" s="1"/>
  <c r="K755" i="23916"/>
  <c r="FD742" i="23916"/>
  <c r="GP737" i="23916"/>
  <c r="GR737" i="23916" s="1"/>
  <c r="GT737" i="23916" s="1"/>
  <c r="GV737" i="23916" s="1"/>
  <c r="GX737" i="23916" s="1"/>
  <c r="GN737" i="23916"/>
  <c r="I733" i="23916"/>
  <c r="G733" i="23916"/>
  <c r="E733" i="23916"/>
  <c r="C733" i="23916"/>
  <c r="FB734" i="23916"/>
  <c r="FB733" i="23916"/>
  <c r="FB735" i="23916" s="1"/>
  <c r="FB742" i="23916" s="1"/>
  <c r="FD733" i="23916"/>
  <c r="EO736" i="23916"/>
  <c r="EP736" i="23916" s="1"/>
  <c r="EM736" i="23916"/>
  <c r="EN736" i="23916" s="1"/>
  <c r="EK736" i="23916"/>
  <c r="EL736" i="23916" s="1"/>
  <c r="EI736" i="23916"/>
  <c r="EJ736" i="23916" s="1"/>
  <c r="EG736" i="23916"/>
  <c r="EH736" i="23916" s="1"/>
  <c r="EE736" i="23916"/>
  <c r="EF736" i="23916" s="1"/>
  <c r="EC736" i="23916"/>
  <c r="ED736" i="23916" s="1"/>
  <c r="EA736" i="23916"/>
  <c r="EB736" i="23916" s="1"/>
  <c r="DY736" i="23916"/>
  <c r="DZ736" i="23916" s="1"/>
  <c r="DW736" i="23916"/>
  <c r="DX736" i="23916" s="1"/>
  <c r="DU736" i="23916"/>
  <c r="DS736" i="23916"/>
  <c r="DQ736" i="23916"/>
  <c r="DO736" i="23916"/>
  <c r="BI736" i="23916"/>
  <c r="BJ736" i="23916" s="1"/>
  <c r="BG736" i="23916"/>
  <c r="BE736" i="23916"/>
  <c r="BF736" i="23916" s="1"/>
  <c r="BC736" i="23916"/>
  <c r="BA736" i="23916"/>
  <c r="BB736" i="23916" s="1"/>
  <c r="AY736" i="23916"/>
  <c r="AW736" i="23916"/>
  <c r="AX736" i="23916" s="1"/>
  <c r="AU736" i="23916"/>
  <c r="AS736" i="23916"/>
  <c r="AT736" i="23916" s="1"/>
  <c r="AQ736" i="23916"/>
  <c r="AO736" i="23916"/>
  <c r="AM736" i="23916"/>
  <c r="AK736" i="23916"/>
  <c r="AI736" i="23916"/>
  <c r="BI733" i="23916"/>
  <c r="BH733" i="23916"/>
  <c r="BG733" i="23916"/>
  <c r="BE733" i="23916"/>
  <c r="BC733" i="23916"/>
  <c r="BA733" i="23916"/>
  <c r="AY733" i="23916"/>
  <c r="AY735" i="23916" s="1"/>
  <c r="AW733" i="23916"/>
  <c r="AU733" i="23916"/>
  <c r="AS733" i="23916"/>
  <c r="AR733" i="23916"/>
  <c r="AQ733" i="23916"/>
  <c r="AO733" i="23916"/>
  <c r="AM733" i="23916"/>
  <c r="AV733" i="23916" s="1"/>
  <c r="AK733" i="23916"/>
  <c r="AI733" i="23916"/>
  <c r="AI735" i="23916" s="1"/>
  <c r="AG733" i="23916"/>
  <c r="AE733" i="23916"/>
  <c r="AC733" i="23916"/>
  <c r="AB733" i="23916"/>
  <c r="AA733" i="23916"/>
  <c r="Y733" i="23916"/>
  <c r="W733" i="23916"/>
  <c r="AF733" i="23916" s="1"/>
  <c r="U733" i="23916"/>
  <c r="S733" i="23916"/>
  <c r="S735" i="23916" s="1"/>
  <c r="Q733" i="23916"/>
  <c r="P733" i="23916"/>
  <c r="O733" i="23916"/>
  <c r="M733" i="23916"/>
  <c r="L733" i="23916"/>
  <c r="K733" i="23916"/>
  <c r="DL732" i="23916"/>
  <c r="DJ732" i="23916"/>
  <c r="DH732" i="23916"/>
  <c r="DF732" i="23916"/>
  <c r="DD732" i="23916"/>
  <c r="DB732" i="23916"/>
  <c r="CZ732" i="23916"/>
  <c r="CX732" i="23916"/>
  <c r="CW732" i="23916"/>
  <c r="CV732" i="23916"/>
  <c r="CT732" i="23916"/>
  <c r="CR732" i="23916"/>
  <c r="CP732" i="23916"/>
  <c r="CN732" i="23916"/>
  <c r="CL732" i="23916"/>
  <c r="CJ732" i="23916"/>
  <c r="CH732" i="23916"/>
  <c r="CF732" i="23916"/>
  <c r="CD732" i="23916"/>
  <c r="CB732" i="23916"/>
  <c r="BZ732" i="23916"/>
  <c r="BX732" i="23916"/>
  <c r="BV732" i="23916"/>
  <c r="BT732" i="23916"/>
  <c r="BR732" i="23916"/>
  <c r="BP732" i="23916"/>
  <c r="BN732" i="23916"/>
  <c r="BL732" i="23916"/>
  <c r="BJ732" i="23916"/>
  <c r="BH732" i="23916"/>
  <c r="BF732" i="23916"/>
  <c r="BD732" i="23916"/>
  <c r="BB732" i="23916"/>
  <c r="AZ732" i="23916"/>
  <c r="AX732" i="23916"/>
  <c r="AV732" i="23916"/>
  <c r="AT732" i="23916"/>
  <c r="AR732" i="23916"/>
  <c r="AP732" i="23916"/>
  <c r="AN732" i="23916"/>
  <c r="AL732" i="23916"/>
  <c r="AJ732" i="23916"/>
  <c r="AH732" i="23916"/>
  <c r="AF732" i="23916"/>
  <c r="AD732" i="23916"/>
  <c r="AB732" i="23916"/>
  <c r="Z732" i="23916"/>
  <c r="X732" i="23916"/>
  <c r="V732" i="23916"/>
  <c r="T732" i="23916"/>
  <c r="R732" i="23916"/>
  <c r="P732" i="23916"/>
  <c r="N732" i="23916"/>
  <c r="L732" i="23916"/>
  <c r="FE736" i="23916"/>
  <c r="FE735" i="23916"/>
  <c r="FE734" i="23916"/>
  <c r="FE733" i="23916"/>
  <c r="GF732" i="23916"/>
  <c r="GG732" i="23916" s="1"/>
  <c r="GE732" i="23916"/>
  <c r="GD732" i="23916"/>
  <c r="GB732" i="23916"/>
  <c r="GC732" i="23916" s="1"/>
  <c r="GA732" i="23916"/>
  <c r="FZ732" i="23916"/>
  <c r="FX732" i="23916"/>
  <c r="FY732" i="23916" s="1"/>
  <c r="FW732" i="23916"/>
  <c r="FV732" i="23916"/>
  <c r="FT732" i="23916"/>
  <c r="FU732" i="23916" s="1"/>
  <c r="FS732" i="23916"/>
  <c r="FR732" i="23916"/>
  <c r="FP732" i="23916"/>
  <c r="FQ732" i="23916" s="1"/>
  <c r="FO732" i="23916"/>
  <c r="FN732" i="23916"/>
  <c r="FL732" i="23916"/>
  <c r="FM732" i="23916" s="1"/>
  <c r="FK732" i="23916"/>
  <c r="FJ732" i="23916"/>
  <c r="FH732" i="23916"/>
  <c r="FI732" i="23916" s="1"/>
  <c r="FG732" i="23916"/>
  <c r="FF732" i="23916"/>
  <c r="FE732" i="23916"/>
  <c r="FE731" i="23916"/>
  <c r="FD731" i="23916"/>
  <c r="FB731" i="23916"/>
  <c r="EP732" i="23916"/>
  <c r="EO732" i="23916"/>
  <c r="GN732" i="23916" s="1"/>
  <c r="EM732" i="23916"/>
  <c r="EM733" i="23916" s="1"/>
  <c r="EL732" i="23916"/>
  <c r="EK732" i="23916"/>
  <c r="EK733" i="23916" s="1"/>
  <c r="EI732" i="23916"/>
  <c r="EI733" i="23916" s="1"/>
  <c r="EH732" i="23916"/>
  <c r="EG732" i="23916"/>
  <c r="GL732" i="23916" s="1"/>
  <c r="EE732" i="23916"/>
  <c r="EE733" i="23916" s="1"/>
  <c r="ED732" i="23916"/>
  <c r="EC732" i="23916"/>
  <c r="EC733" i="23916" s="1"/>
  <c r="EA732" i="23916"/>
  <c r="EA733" i="23916" s="1"/>
  <c r="DZ732" i="23916"/>
  <c r="DY732" i="23916"/>
  <c r="GJ732" i="23916" s="1"/>
  <c r="GK732" i="23916" s="1"/>
  <c r="DW732" i="23916"/>
  <c r="DW733" i="23916" s="1"/>
  <c r="DV732" i="23916"/>
  <c r="DU732" i="23916"/>
  <c r="DU733" i="23916" s="1"/>
  <c r="DS732" i="23916"/>
  <c r="DS733" i="23916" s="1"/>
  <c r="DR732" i="23916"/>
  <c r="DQ732" i="23916"/>
  <c r="GH732" i="23916" s="1"/>
  <c r="GI732" i="23916" s="1"/>
  <c r="DO732" i="23916"/>
  <c r="DO733" i="23916" s="1"/>
  <c r="DN732" i="23916"/>
  <c r="EP731" i="23916"/>
  <c r="EO731" i="23916"/>
  <c r="EM731" i="23916"/>
  <c r="EM734" i="23916" s="1"/>
  <c r="EL731" i="23916"/>
  <c r="EK731" i="23916"/>
  <c r="EI731" i="23916"/>
  <c r="EH731" i="23916"/>
  <c r="EG731" i="23916"/>
  <c r="EE731" i="23916"/>
  <c r="ED731" i="23916"/>
  <c r="EC731" i="23916"/>
  <c r="EA731" i="23916"/>
  <c r="EA734" i="23916" s="1"/>
  <c r="DZ731" i="23916"/>
  <c r="DY731" i="23916"/>
  <c r="DW731" i="23916"/>
  <c r="DW734" i="23916" s="1"/>
  <c r="DU731" i="23916"/>
  <c r="DS731" i="23916"/>
  <c r="DQ731" i="23916"/>
  <c r="DO731" i="23916"/>
  <c r="BJ731" i="23916"/>
  <c r="BI731" i="23916"/>
  <c r="BI766" i="23916" s="1"/>
  <c r="BG731" i="23916"/>
  <c r="BG766" i="23916" s="1"/>
  <c r="BF731" i="23916"/>
  <c r="BE731" i="23916"/>
  <c r="BE766" i="23916" s="1"/>
  <c r="BC731" i="23916"/>
  <c r="BC766" i="23916" s="1"/>
  <c r="BB731" i="23916"/>
  <c r="BA731" i="23916"/>
  <c r="BA766" i="23916" s="1"/>
  <c r="AY731" i="23916"/>
  <c r="AY766" i="23916" s="1"/>
  <c r="AX731" i="23916"/>
  <c r="AW731" i="23916"/>
  <c r="AW766" i="23916" s="1"/>
  <c r="AU731" i="23916"/>
  <c r="AU766" i="23916" s="1"/>
  <c r="AT731" i="23916"/>
  <c r="AS731" i="23916"/>
  <c r="AS766" i="23916" s="1"/>
  <c r="AQ731" i="23916"/>
  <c r="AQ766" i="23916" s="1"/>
  <c r="AP731" i="23916"/>
  <c r="AO731" i="23916"/>
  <c r="AO766" i="23916" s="1"/>
  <c r="AM731" i="23916"/>
  <c r="AM766" i="23916" s="1"/>
  <c r="AL731" i="23916"/>
  <c r="AK731" i="23916"/>
  <c r="AK766" i="23916" s="1"/>
  <c r="AI731" i="23916"/>
  <c r="AI766" i="23916" s="1"/>
  <c r="AH731" i="23916"/>
  <c r="AG731" i="23916"/>
  <c r="AG766" i="23916" s="1"/>
  <c r="AE731" i="23916"/>
  <c r="AE766" i="23916" s="1"/>
  <c r="AD731" i="23916"/>
  <c r="AC731" i="23916"/>
  <c r="AC766" i="23916" s="1"/>
  <c r="AA731" i="23916"/>
  <c r="AA766" i="23916" s="1"/>
  <c r="Z731" i="23916"/>
  <c r="Y731" i="23916"/>
  <c r="Y766" i="23916" s="1"/>
  <c r="W731" i="23916"/>
  <c r="W766" i="23916" s="1"/>
  <c r="V731" i="23916"/>
  <c r="U731" i="23916"/>
  <c r="U766" i="23916" s="1"/>
  <c r="S731" i="23916"/>
  <c r="S766" i="23916" s="1"/>
  <c r="Q731" i="23916"/>
  <c r="Q766" i="23916" s="1"/>
  <c r="O731" i="23916"/>
  <c r="O766" i="23916" s="1"/>
  <c r="N731" i="23916"/>
  <c r="M731" i="23916"/>
  <c r="M766" i="23916" s="1"/>
  <c r="K731" i="23916"/>
  <c r="K766" i="23916" s="1"/>
  <c r="I731" i="23916"/>
  <c r="G731" i="23916"/>
  <c r="E731" i="23916"/>
  <c r="C731" i="23916"/>
  <c r="EN730" i="23916"/>
  <c r="EN729" i="23916"/>
  <c r="EN728" i="23916"/>
  <c r="EL730" i="23916"/>
  <c r="EL729" i="23916"/>
  <c r="EL728" i="23916"/>
  <c r="EJ730" i="23916"/>
  <c r="EJ729" i="23916"/>
  <c r="EJ728" i="23916"/>
  <c r="EH730" i="23916"/>
  <c r="EH729" i="23916"/>
  <c r="EH728" i="23916"/>
  <c r="EF730" i="23916"/>
  <c r="EF729" i="23916"/>
  <c r="EF728" i="23916"/>
  <c r="ED730" i="23916"/>
  <c r="ED729" i="23916"/>
  <c r="ED728" i="23916"/>
  <c r="EB730" i="23916"/>
  <c r="EB729" i="23916"/>
  <c r="EB728" i="23916"/>
  <c r="DZ730" i="23916"/>
  <c r="DZ729" i="23916"/>
  <c r="DZ728" i="23916"/>
  <c r="DX730" i="23916"/>
  <c r="DX729" i="23916"/>
  <c r="DX728" i="23916"/>
  <c r="DV729" i="23916"/>
  <c r="DV728" i="23916"/>
  <c r="DT729" i="23916"/>
  <c r="DT728" i="23916"/>
  <c r="DR729" i="23916"/>
  <c r="DR728" i="23916"/>
  <c r="DP729" i="23916"/>
  <c r="DP728" i="23916"/>
  <c r="BN730" i="23916"/>
  <c r="BM730" i="23916"/>
  <c r="BM736" i="23916" s="1"/>
  <c r="BN736" i="23916" s="1"/>
  <c r="BK730" i="23916"/>
  <c r="BK736" i="23916" s="1"/>
  <c r="BL736" i="23916" s="1"/>
  <c r="BJ730" i="23916"/>
  <c r="BH730" i="23916"/>
  <c r="BH729" i="23916"/>
  <c r="BH728" i="23916"/>
  <c r="BF730" i="23916"/>
  <c r="BF729" i="23916"/>
  <c r="BF728" i="23916"/>
  <c r="BD730" i="23916"/>
  <c r="BD729" i="23916"/>
  <c r="BD728" i="23916"/>
  <c r="BD727" i="23916"/>
  <c r="BB730" i="23916"/>
  <c r="BB729" i="23916"/>
  <c r="BB728" i="23916"/>
  <c r="AZ730" i="23916"/>
  <c r="AZ729" i="23916"/>
  <c r="AZ728" i="23916"/>
  <c r="AX730" i="23916"/>
  <c r="AX729" i="23916"/>
  <c r="AX728" i="23916"/>
  <c r="AV730" i="23916"/>
  <c r="AV729" i="23916"/>
  <c r="AV728" i="23916"/>
  <c r="AV727" i="23916"/>
  <c r="AT730" i="23916"/>
  <c r="AT729" i="23916"/>
  <c r="AT728" i="23916"/>
  <c r="AR730" i="23916"/>
  <c r="AR729" i="23916"/>
  <c r="AR728" i="23916"/>
  <c r="AP730" i="23916"/>
  <c r="AP729" i="23916"/>
  <c r="AP728" i="23916"/>
  <c r="AN730" i="23916"/>
  <c r="AN729" i="23916"/>
  <c r="AN728" i="23916"/>
  <c r="AN727" i="23916"/>
  <c r="AL730" i="23916"/>
  <c r="AL729" i="23916"/>
  <c r="AL728" i="23916"/>
  <c r="AJ730" i="23916"/>
  <c r="AJ729" i="23916"/>
  <c r="AJ728" i="23916"/>
  <c r="AH730" i="23916"/>
  <c r="AH729" i="23916"/>
  <c r="AH728" i="23916"/>
  <c r="AF730" i="23916"/>
  <c r="AF729" i="23916"/>
  <c r="AF728" i="23916"/>
  <c r="AF727" i="23916"/>
  <c r="AD730" i="23916"/>
  <c r="AD729" i="23916"/>
  <c r="AD728" i="23916"/>
  <c r="AB730" i="23916"/>
  <c r="AB729" i="23916"/>
  <c r="AB728" i="23916"/>
  <c r="Z730" i="23916"/>
  <c r="Z729" i="23916"/>
  <c r="Z728" i="23916"/>
  <c r="X730" i="23916"/>
  <c r="X729" i="23916"/>
  <c r="X728" i="23916"/>
  <c r="X727" i="23916"/>
  <c r="V730" i="23916"/>
  <c r="V729" i="23916"/>
  <c r="V728" i="23916"/>
  <c r="T730" i="23916"/>
  <c r="T729" i="23916"/>
  <c r="T728" i="23916"/>
  <c r="R730" i="23916"/>
  <c r="R729" i="23916"/>
  <c r="R728" i="23916"/>
  <c r="P730" i="23916"/>
  <c r="P729" i="23916"/>
  <c r="P728" i="23916"/>
  <c r="P727" i="23916"/>
  <c r="N730" i="23916"/>
  <c r="N729" i="23916"/>
  <c r="N728" i="23916"/>
  <c r="L730" i="23916"/>
  <c r="L729" i="23916"/>
  <c r="L728" i="23916"/>
  <c r="DN729" i="23916"/>
  <c r="DN728" i="23916"/>
  <c r="DL729" i="23916"/>
  <c r="DL728" i="23916"/>
  <c r="DJ729" i="23916"/>
  <c r="DJ728" i="23916"/>
  <c r="DH729" i="23916"/>
  <c r="DH728" i="23916"/>
  <c r="DF729" i="23916"/>
  <c r="DF728" i="23916"/>
  <c r="DD729" i="23916"/>
  <c r="DD728" i="23916"/>
  <c r="DB729" i="23916"/>
  <c r="DB728" i="23916"/>
  <c r="CZ729" i="23916"/>
  <c r="CZ728" i="23916"/>
  <c r="CX729" i="23916"/>
  <c r="CX728" i="23916"/>
  <c r="CV729" i="23916"/>
  <c r="CV728" i="23916"/>
  <c r="CT729" i="23916"/>
  <c r="CT728" i="23916"/>
  <c r="CR729" i="23916"/>
  <c r="CR728" i="23916"/>
  <c r="CP729" i="23916"/>
  <c r="CP728" i="23916"/>
  <c r="CN729" i="23916"/>
  <c r="CN728" i="23916"/>
  <c r="CL729" i="23916"/>
  <c r="CL728" i="23916"/>
  <c r="CJ729" i="23916"/>
  <c r="CJ728" i="23916"/>
  <c r="CH729" i="23916"/>
  <c r="CH728" i="23916"/>
  <c r="CF729" i="23916"/>
  <c r="CF728" i="23916"/>
  <c r="CD729" i="23916"/>
  <c r="CD728" i="23916"/>
  <c r="CB729" i="23916"/>
  <c r="CB728" i="23916"/>
  <c r="BZ729" i="23916"/>
  <c r="BZ728" i="23916"/>
  <c r="BX729" i="23916"/>
  <c r="BX728" i="23916"/>
  <c r="BV729" i="23916"/>
  <c r="BV728" i="23916"/>
  <c r="BT729" i="23916"/>
  <c r="BT728" i="23916"/>
  <c r="BR729" i="23916"/>
  <c r="BR728" i="23916"/>
  <c r="BP729" i="23916"/>
  <c r="BP728" i="23916"/>
  <c r="BN729" i="23916"/>
  <c r="BN728" i="23916"/>
  <c r="BL729" i="23916"/>
  <c r="BL728" i="23916"/>
  <c r="BL727" i="23916"/>
  <c r="BJ729" i="23916"/>
  <c r="BJ728" i="23916"/>
  <c r="GN730" i="23916"/>
  <c r="GO730" i="23916" s="1"/>
  <c r="GL730" i="23916"/>
  <c r="GJ730" i="23916"/>
  <c r="GK730" i="23916" s="1"/>
  <c r="GH730" i="23916"/>
  <c r="FT730" i="23916"/>
  <c r="FU730" i="23916" s="1"/>
  <c r="FR730" i="23916"/>
  <c r="FP730" i="23916"/>
  <c r="FQ730" i="23916" s="1"/>
  <c r="GO729" i="23916"/>
  <c r="GN729" i="23916"/>
  <c r="GL729" i="23916"/>
  <c r="GL731" i="23916" s="1"/>
  <c r="GK729" i="23916"/>
  <c r="GJ729" i="23916"/>
  <c r="GJ731" i="23916" s="1"/>
  <c r="GH729" i="23916"/>
  <c r="GH731" i="23916" s="1"/>
  <c r="GG729" i="23916"/>
  <c r="GF729" i="23916"/>
  <c r="GD729" i="23916"/>
  <c r="GC729" i="23916"/>
  <c r="GB729" i="23916"/>
  <c r="FZ729" i="23916"/>
  <c r="FY729" i="23916"/>
  <c r="FX729" i="23916"/>
  <c r="FV729" i="23916"/>
  <c r="FU729" i="23916"/>
  <c r="FT729" i="23916"/>
  <c r="FT731" i="23916" s="1"/>
  <c r="FR729" i="23916"/>
  <c r="FR733" i="23916" s="1"/>
  <c r="FQ729" i="23916"/>
  <c r="FP729" i="23916"/>
  <c r="GN728" i="23916"/>
  <c r="GL728" i="23916"/>
  <c r="GM728" i="23916" s="1"/>
  <c r="GJ728" i="23916"/>
  <c r="GH728" i="23916"/>
  <c r="GI728" i="23916" s="1"/>
  <c r="GF728" i="23916"/>
  <c r="GD728" i="23916"/>
  <c r="GE728" i="23916" s="1"/>
  <c r="GB728" i="23916"/>
  <c r="FZ728" i="23916"/>
  <c r="GA728" i="23916" s="1"/>
  <c r="FX728" i="23916"/>
  <c r="FV728" i="23916"/>
  <c r="FW728" i="23916" s="1"/>
  <c r="FT728" i="23916"/>
  <c r="FR728" i="23916"/>
  <c r="FS728" i="23916" s="1"/>
  <c r="FP728" i="23916"/>
  <c r="FO729" i="23916"/>
  <c r="FN729" i="23916"/>
  <c r="FN733" i="23916" s="1"/>
  <c r="FL729" i="23916"/>
  <c r="FL733" i="23916" s="1"/>
  <c r="FK729" i="23916"/>
  <c r="FJ729" i="23916"/>
  <c r="FJ733" i="23916" s="1"/>
  <c r="FH729" i="23916"/>
  <c r="FH733" i="23916" s="1"/>
  <c r="FG729" i="23916"/>
  <c r="FF729" i="23916"/>
  <c r="FF733" i="23916" s="1"/>
  <c r="FE729" i="23916"/>
  <c r="FN728" i="23916"/>
  <c r="FO728" i="23916" s="1"/>
  <c r="FL728" i="23916"/>
  <c r="FJ728" i="23916"/>
  <c r="FK728" i="23916" s="1"/>
  <c r="FH728" i="23916"/>
  <c r="FF728" i="23916"/>
  <c r="FG728" i="23916" s="1"/>
  <c r="FE728" i="23916"/>
  <c r="FE727" i="23916"/>
  <c r="EQ730" i="23916"/>
  <c r="ER730" i="23916" s="1"/>
  <c r="EP730" i="23916"/>
  <c r="EP729" i="23916"/>
  <c r="EP728" i="23916"/>
  <c r="EP727" i="23916"/>
  <c r="EO727" i="23916"/>
  <c r="GN727" i="23916" s="1"/>
  <c r="EM727" i="23916"/>
  <c r="EN727" i="23916" s="1"/>
  <c r="EK727" i="23916"/>
  <c r="EL727" i="23916" s="1"/>
  <c r="EI727" i="23916"/>
  <c r="EJ727" i="23916" s="1"/>
  <c r="EG727" i="23916"/>
  <c r="EH727" i="23916" s="1"/>
  <c r="EE727" i="23916"/>
  <c r="EF727" i="23916" s="1"/>
  <c r="EC727" i="23916"/>
  <c r="ED727" i="23916" s="1"/>
  <c r="EA727" i="23916"/>
  <c r="EB727" i="23916" s="1"/>
  <c r="DY727" i="23916"/>
  <c r="DZ727" i="23916" s="1"/>
  <c r="DW727" i="23916"/>
  <c r="DX727" i="23916" s="1"/>
  <c r="DU727" i="23916"/>
  <c r="DS727" i="23916"/>
  <c r="DQ727" i="23916"/>
  <c r="DO727" i="23916"/>
  <c r="BM727" i="23916"/>
  <c r="FT727" i="23916" s="1"/>
  <c r="BK727" i="23916"/>
  <c r="BI727" i="23916"/>
  <c r="BJ727" i="23916" s="1"/>
  <c r="BG727" i="23916"/>
  <c r="BH727" i="23916" s="1"/>
  <c r="BE727" i="23916"/>
  <c r="BF727" i="23916" s="1"/>
  <c r="BC727" i="23916"/>
  <c r="BA727" i="23916"/>
  <c r="BB727" i="23916" s="1"/>
  <c r="AY727" i="23916"/>
  <c r="AZ727" i="23916" s="1"/>
  <c r="AW727" i="23916"/>
  <c r="FP727" i="23916" s="1"/>
  <c r="AU727" i="23916"/>
  <c r="AS727" i="23916"/>
  <c r="AT727" i="23916" s="1"/>
  <c r="AQ727" i="23916"/>
  <c r="AR727" i="23916" s="1"/>
  <c r="AO727" i="23916"/>
  <c r="FN727" i="23916" s="1"/>
  <c r="AM727" i="23916"/>
  <c r="AK727" i="23916"/>
  <c r="AL727" i="23916" s="1"/>
  <c r="AI727" i="23916"/>
  <c r="AJ727" i="23916" s="1"/>
  <c r="AG727" i="23916"/>
  <c r="AH727" i="23916" s="1"/>
  <c r="AE727" i="23916"/>
  <c r="AC727" i="23916"/>
  <c r="AD727" i="23916" s="1"/>
  <c r="AA727" i="23916"/>
  <c r="AB727" i="23916" s="1"/>
  <c r="Y727" i="23916"/>
  <c r="FJ727" i="23916" s="1"/>
  <c r="W727" i="23916"/>
  <c r="U727" i="23916"/>
  <c r="V727" i="23916" s="1"/>
  <c r="S727" i="23916"/>
  <c r="T727" i="23916" s="1"/>
  <c r="Q727" i="23916"/>
  <c r="R727" i="23916" s="1"/>
  <c r="O727" i="23916"/>
  <c r="M727" i="23916"/>
  <c r="N727" i="23916" s="1"/>
  <c r="K727" i="23916"/>
  <c r="L727" i="23916" s="1"/>
  <c r="I727" i="23916"/>
  <c r="FF727" i="23916" s="1"/>
  <c r="FG727" i="23916" s="1"/>
  <c r="G727" i="23916"/>
  <c r="E727" i="23916"/>
  <c r="C727" i="23916"/>
  <c r="FE724" i="23916"/>
  <c r="EP724" i="23916"/>
  <c r="EN724" i="23916"/>
  <c r="EN723" i="23916"/>
  <c r="EL724" i="23916"/>
  <c r="EL723" i="23916"/>
  <c r="EJ724" i="23916"/>
  <c r="EJ723" i="23916"/>
  <c r="EH724" i="23916"/>
  <c r="EH723" i="23916"/>
  <c r="EF724" i="23916"/>
  <c r="EF723" i="23916"/>
  <c r="ED724" i="23916"/>
  <c r="ED723" i="23916"/>
  <c r="EB724" i="23916"/>
  <c r="EB723" i="23916"/>
  <c r="DZ724" i="23916"/>
  <c r="DZ723" i="23916"/>
  <c r="DX724" i="23916"/>
  <c r="DX723" i="23916"/>
  <c r="DV724" i="23916"/>
  <c r="DV723" i="23916"/>
  <c r="DT724" i="23916"/>
  <c r="DT723" i="23916"/>
  <c r="DR724" i="23916"/>
  <c r="DR723" i="23916"/>
  <c r="DP724" i="23916"/>
  <c r="DP723" i="23916"/>
  <c r="DN724" i="23916"/>
  <c r="DN723" i="23916"/>
  <c r="DL724" i="23916"/>
  <c r="DL723" i="23916"/>
  <c r="DJ724" i="23916"/>
  <c r="DJ723" i="23916"/>
  <c r="DH724" i="23916"/>
  <c r="DH723" i="23916"/>
  <c r="DF724" i="23916"/>
  <c r="DF723" i="23916"/>
  <c r="DD724" i="23916"/>
  <c r="DD723" i="23916"/>
  <c r="DB724" i="23916"/>
  <c r="DB723" i="23916"/>
  <c r="CZ724" i="23916"/>
  <c r="CZ723" i="23916"/>
  <c r="CX724" i="23916"/>
  <c r="CX723" i="23916"/>
  <c r="CV724" i="23916"/>
  <c r="CV723" i="23916"/>
  <c r="CT724" i="23916"/>
  <c r="CT723" i="23916"/>
  <c r="CR724" i="23916"/>
  <c r="CR723" i="23916"/>
  <c r="CP724" i="23916"/>
  <c r="CP723" i="23916"/>
  <c r="CP718" i="23916"/>
  <c r="CP716" i="23916"/>
  <c r="CP714" i="23916"/>
  <c r="CN724" i="23916"/>
  <c r="CN723" i="23916"/>
  <c r="CN718" i="23916"/>
  <c r="CN716" i="23916"/>
  <c r="CN714" i="23916"/>
  <c r="CL724" i="23916"/>
  <c r="CL723" i="23916"/>
  <c r="CL718" i="23916"/>
  <c r="CL716" i="23916"/>
  <c r="CL714" i="23916"/>
  <c r="CJ724" i="23916"/>
  <c r="CJ723" i="23916"/>
  <c r="CJ718" i="23916"/>
  <c r="CJ716" i="23916"/>
  <c r="CJ714" i="23916"/>
  <c r="CH724" i="23916"/>
  <c r="CH723" i="23916"/>
  <c r="CH718" i="23916"/>
  <c r="CH716" i="23916"/>
  <c r="CH714" i="23916"/>
  <c r="CF724" i="23916"/>
  <c r="CF723" i="23916"/>
  <c r="CF718" i="23916"/>
  <c r="CF716" i="23916"/>
  <c r="CF714" i="23916"/>
  <c r="CD724" i="23916"/>
  <c r="CD723" i="23916"/>
  <c r="CD718" i="23916"/>
  <c r="CD716" i="23916"/>
  <c r="CD714" i="23916"/>
  <c r="CB724" i="23916"/>
  <c r="CB723" i="23916"/>
  <c r="CB720" i="23916"/>
  <c r="CB718" i="23916"/>
  <c r="CB716" i="23916"/>
  <c r="CB714" i="23916"/>
  <c r="BZ724" i="23916"/>
  <c r="BZ723" i="23916"/>
  <c r="BZ720" i="23916"/>
  <c r="BZ718" i="23916"/>
  <c r="BZ714" i="23916"/>
  <c r="BX724" i="23916"/>
  <c r="BX723" i="23916"/>
  <c r="BX720" i="23916"/>
  <c r="BX718" i="23916"/>
  <c r="BX716" i="23916"/>
  <c r="BX714" i="23916"/>
  <c r="BV724" i="23916"/>
  <c r="BV723" i="23916"/>
  <c r="BV720" i="23916"/>
  <c r="BV718" i="23916"/>
  <c r="BV714" i="23916"/>
  <c r="BT724" i="23916"/>
  <c r="BT723" i="23916"/>
  <c r="BT720" i="23916"/>
  <c r="BT718" i="23916"/>
  <c r="BT714" i="23916"/>
  <c r="BR724" i="23916"/>
  <c r="BR723" i="23916"/>
  <c r="BR720" i="23916"/>
  <c r="BR718" i="23916"/>
  <c r="BR714" i="23916"/>
  <c r="BP724" i="23916"/>
  <c r="BP723" i="23916"/>
  <c r="BP720" i="23916"/>
  <c r="BP718" i="23916"/>
  <c r="BP716" i="23916"/>
  <c r="BP714" i="23916"/>
  <c r="BN724" i="23916"/>
  <c r="BN723" i="23916"/>
  <c r="BN718" i="23916"/>
  <c r="BN714" i="23916"/>
  <c r="BL724" i="23916"/>
  <c r="BL723" i="23916"/>
  <c r="BL718" i="23916"/>
  <c r="BL714" i="23916"/>
  <c r="BJ724" i="23916"/>
  <c r="BJ723" i="23916"/>
  <c r="BJ718" i="23916"/>
  <c r="BJ716" i="23916"/>
  <c r="BJ715" i="23916"/>
  <c r="BJ714" i="23916"/>
  <c r="BH724" i="23916"/>
  <c r="BH723" i="23916"/>
  <c r="BH718" i="23916"/>
  <c r="BH716" i="23916"/>
  <c r="BH715" i="23916"/>
  <c r="BH714" i="23916"/>
  <c r="BF724" i="23916"/>
  <c r="BF723" i="23916"/>
  <c r="BF718" i="23916"/>
  <c r="BF716" i="23916"/>
  <c r="BF715" i="23916"/>
  <c r="BF714" i="23916"/>
  <c r="BD724" i="23916"/>
  <c r="BD723" i="23916"/>
  <c r="BD718" i="23916"/>
  <c r="BD716" i="23916"/>
  <c r="BD715" i="23916"/>
  <c r="BD714" i="23916"/>
  <c r="BB724" i="23916"/>
  <c r="BB723" i="23916"/>
  <c r="BB718" i="23916"/>
  <c r="BB716" i="23916"/>
  <c r="BB715" i="23916"/>
  <c r="BB714" i="23916"/>
  <c r="AZ724" i="23916"/>
  <c r="AZ723" i="23916"/>
  <c r="AZ718" i="23916"/>
  <c r="AZ716" i="23916"/>
  <c r="AZ715" i="23916"/>
  <c r="AZ714" i="23916"/>
  <c r="AX724" i="23916"/>
  <c r="AX723" i="23916"/>
  <c r="AX718" i="23916"/>
  <c r="AX716" i="23916"/>
  <c r="AX715" i="23916"/>
  <c r="AX714" i="23916"/>
  <c r="AV724" i="23916"/>
  <c r="AV723" i="23916"/>
  <c r="AV718" i="23916"/>
  <c r="AV716" i="23916"/>
  <c r="AV715" i="23916"/>
  <c r="AV714" i="23916"/>
  <c r="AT724" i="23916"/>
  <c r="AT723" i="23916"/>
  <c r="AT718" i="23916"/>
  <c r="AT716" i="23916"/>
  <c r="AT715" i="23916"/>
  <c r="AT714" i="23916"/>
  <c r="AR724" i="23916"/>
  <c r="AR723" i="23916"/>
  <c r="AR718" i="23916"/>
  <c r="AR716" i="23916"/>
  <c r="AR715" i="23916"/>
  <c r="AR714" i="23916"/>
  <c r="AP723" i="23916"/>
  <c r="AP718" i="23916"/>
  <c r="AP716" i="23916"/>
  <c r="AP715" i="23916"/>
  <c r="AP714" i="23916"/>
  <c r="AN723" i="23916"/>
  <c r="AN718" i="23916"/>
  <c r="AN716" i="23916"/>
  <c r="AN715" i="23916"/>
  <c r="AN714" i="23916"/>
  <c r="AL724" i="23916"/>
  <c r="AL723" i="23916"/>
  <c r="AL718" i="23916"/>
  <c r="AL716" i="23916"/>
  <c r="AL715" i="23916"/>
  <c r="AL714" i="23916"/>
  <c r="AJ723" i="23916"/>
  <c r="AJ718" i="23916"/>
  <c r="AJ716" i="23916"/>
  <c r="AJ715" i="23916"/>
  <c r="AJ714" i="23916"/>
  <c r="AG724" i="23916"/>
  <c r="AG736" i="23916" s="1"/>
  <c r="AF724" i="23916"/>
  <c r="AE724" i="23916"/>
  <c r="AN724" i="23916" s="1"/>
  <c r="AC724" i="23916"/>
  <c r="AC736" i="23916" s="1"/>
  <c r="AB724" i="23916"/>
  <c r="AA724" i="23916"/>
  <c r="AA736" i="23916" s="1"/>
  <c r="AB736" i="23916" s="1"/>
  <c r="Y724" i="23916"/>
  <c r="Y736" i="23916" s="1"/>
  <c r="X724" i="23916"/>
  <c r="W724" i="23916"/>
  <c r="W736" i="23916" s="1"/>
  <c r="U724" i="23916"/>
  <c r="U736" i="23916" s="1"/>
  <c r="T724" i="23916"/>
  <c r="S724" i="23916"/>
  <c r="S736" i="23916" s="1"/>
  <c r="Q724" i="23916"/>
  <c r="Q736" i="23916" s="1"/>
  <c r="R736" i="23916" s="1"/>
  <c r="P724" i="23916"/>
  <c r="O724" i="23916"/>
  <c r="O736" i="23916" s="1"/>
  <c r="P736" i="23916" s="1"/>
  <c r="M724" i="23916"/>
  <c r="M736" i="23916" s="1"/>
  <c r="L724" i="23916"/>
  <c r="K724" i="23916"/>
  <c r="K736" i="23916" s="1"/>
  <c r="L736" i="23916" s="1"/>
  <c r="I724" i="23916"/>
  <c r="I736" i="23916" s="1"/>
  <c r="G724" i="23916"/>
  <c r="G736" i="23916" s="1"/>
  <c r="E724" i="23916"/>
  <c r="E736" i="23916" s="1"/>
  <c r="C724" i="23916"/>
  <c r="C736" i="23916" s="1"/>
  <c r="GW723" i="23916"/>
  <c r="GU723" i="23916"/>
  <c r="GS723" i="23916"/>
  <c r="GQ723" i="23916"/>
  <c r="GO723" i="23916"/>
  <c r="GM723" i="23916"/>
  <c r="GK723" i="23916"/>
  <c r="GI723" i="23916"/>
  <c r="GG723" i="23916"/>
  <c r="GE723" i="23916"/>
  <c r="GC723" i="23916"/>
  <c r="GA723" i="23916"/>
  <c r="FY723" i="23916"/>
  <c r="FW723" i="23916"/>
  <c r="FU723" i="23916"/>
  <c r="FS723" i="23916"/>
  <c r="FQ723" i="23916"/>
  <c r="FO723" i="23916"/>
  <c r="FM723" i="23916"/>
  <c r="FK723" i="23916"/>
  <c r="FI723" i="23916"/>
  <c r="FG723" i="23916"/>
  <c r="FG720" i="23916"/>
  <c r="FE723" i="23916"/>
  <c r="FE720" i="23916"/>
  <c r="EX723" i="23916"/>
  <c r="EV723" i="23916"/>
  <c r="ET723" i="23916"/>
  <c r="ER723" i="23916"/>
  <c r="EP723" i="23916"/>
  <c r="AH723" i="23916"/>
  <c r="AH720" i="23916"/>
  <c r="AH718" i="23916"/>
  <c r="AH716" i="23916"/>
  <c r="AH715" i="23916"/>
  <c r="AH714" i="23916"/>
  <c r="AF723" i="23916"/>
  <c r="AF718" i="23916"/>
  <c r="AF716" i="23916"/>
  <c r="AF715" i="23916"/>
  <c r="AF714" i="23916"/>
  <c r="AD723" i="23916"/>
  <c r="AD720" i="23916"/>
  <c r="AD718" i="23916"/>
  <c r="AD716" i="23916"/>
  <c r="AD715" i="23916"/>
  <c r="AD714" i="23916"/>
  <c r="AB723" i="23916"/>
  <c r="AB719" i="23916"/>
  <c r="AB718" i="23916"/>
  <c r="AB716" i="23916"/>
  <c r="AB715" i="23916"/>
  <c r="AB714" i="23916"/>
  <c r="Z723" i="23916"/>
  <c r="Z720" i="23916"/>
  <c r="Z718" i="23916"/>
  <c r="Z716" i="23916"/>
  <c r="Z715" i="23916"/>
  <c r="Z714" i="23916"/>
  <c r="X723" i="23916"/>
  <c r="X719" i="23916"/>
  <c r="X718" i="23916"/>
  <c r="X716" i="23916"/>
  <c r="X715" i="23916"/>
  <c r="X714" i="23916"/>
  <c r="V723" i="23916"/>
  <c r="V720" i="23916"/>
  <c r="V718" i="23916"/>
  <c r="V716" i="23916"/>
  <c r="V715" i="23916"/>
  <c r="V714" i="23916"/>
  <c r="T723" i="23916"/>
  <c r="T718" i="23916"/>
  <c r="T716" i="23916"/>
  <c r="T715" i="23916"/>
  <c r="T714" i="23916"/>
  <c r="R723" i="23916"/>
  <c r="R720" i="23916"/>
  <c r="R718" i="23916"/>
  <c r="R716" i="23916"/>
  <c r="R715" i="23916"/>
  <c r="R714" i="23916"/>
  <c r="P723" i="23916"/>
  <c r="P719" i="23916"/>
  <c r="P718" i="23916"/>
  <c r="P716" i="23916"/>
  <c r="P715" i="23916"/>
  <c r="P714" i="23916"/>
  <c r="N723" i="23916"/>
  <c r="N721" i="23916"/>
  <c r="N720" i="23916"/>
  <c r="N718" i="23916"/>
  <c r="N716" i="23916"/>
  <c r="N715" i="23916"/>
  <c r="N714" i="23916"/>
  <c r="L723" i="23916"/>
  <c r="FV720" i="23916"/>
  <c r="FW720" i="23916" s="1"/>
  <c r="FT720" i="23916"/>
  <c r="FD721" i="23916"/>
  <c r="FE721" i="23916" s="1"/>
  <c r="FB721" i="23916"/>
  <c r="FB722" i="23916" s="1"/>
  <c r="EO720" i="23916"/>
  <c r="EQ720" i="23916" s="1"/>
  <c r="EM720" i="23916"/>
  <c r="EK720" i="23916"/>
  <c r="EI720" i="23916"/>
  <c r="EG720" i="23916"/>
  <c r="EE720" i="23916"/>
  <c r="EC720" i="23916"/>
  <c r="EA720" i="23916"/>
  <c r="DY720" i="23916"/>
  <c r="DW720" i="23916"/>
  <c r="DU720" i="23916"/>
  <c r="DS720" i="23916"/>
  <c r="DQ720" i="23916"/>
  <c r="DO720" i="23916"/>
  <c r="DM720" i="23916"/>
  <c r="DK720" i="23916"/>
  <c r="DI720" i="23916"/>
  <c r="DG720" i="23916"/>
  <c r="DE720" i="23916"/>
  <c r="DC720" i="23916"/>
  <c r="DA720" i="23916"/>
  <c r="CY720" i="23916"/>
  <c r="CW720" i="23916"/>
  <c r="CU720" i="23916"/>
  <c r="CS720" i="23916"/>
  <c r="CQ720" i="23916"/>
  <c r="CO720" i="23916"/>
  <c r="CM720" i="23916"/>
  <c r="CK720" i="23916"/>
  <c r="CI720" i="23916"/>
  <c r="CJ720" i="23916" s="1"/>
  <c r="CG720" i="23916"/>
  <c r="CH720" i="23916" s="1"/>
  <c r="CE720" i="23916"/>
  <c r="CF720" i="23916" s="1"/>
  <c r="CC720" i="23916"/>
  <c r="BQ721" i="23916"/>
  <c r="BQ722" i="23916" s="1"/>
  <c r="BI721" i="23916"/>
  <c r="BJ721" i="23916" s="1"/>
  <c r="BG721" i="23916"/>
  <c r="BH721" i="23916" s="1"/>
  <c r="BE722" i="23916"/>
  <c r="BE721" i="23916"/>
  <c r="BE720" i="23916"/>
  <c r="BN720" i="23916" s="1"/>
  <c r="BE719" i="23916"/>
  <c r="BF719" i="23916" s="1"/>
  <c r="BC722" i="23916"/>
  <c r="BC721" i="23916"/>
  <c r="BC720" i="23916"/>
  <c r="BL720" i="23916" s="1"/>
  <c r="BC719" i="23916"/>
  <c r="BD719" i="23916" s="1"/>
  <c r="BA722" i="23916"/>
  <c r="BA721" i="23916"/>
  <c r="BA720" i="23916"/>
  <c r="BJ720" i="23916" s="1"/>
  <c r="BA719" i="23916"/>
  <c r="BB719" i="23916" s="1"/>
  <c r="AY722" i="23916"/>
  <c r="AY721" i="23916"/>
  <c r="AY720" i="23916"/>
  <c r="BH720" i="23916" s="1"/>
  <c r="AY719" i="23916"/>
  <c r="AZ719" i="23916" s="1"/>
  <c r="AW722" i="23916"/>
  <c r="AW721" i="23916"/>
  <c r="AW720" i="23916"/>
  <c r="AX720" i="23916" s="1"/>
  <c r="AW719" i="23916"/>
  <c r="AX719" i="23916" s="1"/>
  <c r="AU722" i="23916"/>
  <c r="AU721" i="23916"/>
  <c r="AU720" i="23916"/>
  <c r="AV720" i="23916" s="1"/>
  <c r="AU719" i="23916"/>
  <c r="AV719" i="23916" s="1"/>
  <c r="AS722" i="23916"/>
  <c r="AS721" i="23916"/>
  <c r="AS720" i="23916"/>
  <c r="AT720" i="23916" s="1"/>
  <c r="AS719" i="23916"/>
  <c r="AT719" i="23916" s="1"/>
  <c r="AQ722" i="23916"/>
  <c r="AQ721" i="23916"/>
  <c r="AQ720" i="23916"/>
  <c r="AR720" i="23916" s="1"/>
  <c r="AQ719" i="23916"/>
  <c r="AR719" i="23916" s="1"/>
  <c r="AO722" i="23916"/>
  <c r="AO721" i="23916"/>
  <c r="AO720" i="23916"/>
  <c r="AP720" i="23916" s="1"/>
  <c r="AO719" i="23916"/>
  <c r="AP719" i="23916" s="1"/>
  <c r="AM722" i="23916"/>
  <c r="AM721" i="23916"/>
  <c r="AM720" i="23916"/>
  <c r="AN720" i="23916" s="1"/>
  <c r="AM719" i="23916"/>
  <c r="AN719" i="23916" s="1"/>
  <c r="AK722" i="23916"/>
  <c r="AK721" i="23916"/>
  <c r="AK720" i="23916"/>
  <c r="AL720" i="23916" s="1"/>
  <c r="AK719" i="23916"/>
  <c r="AL719" i="23916" s="1"/>
  <c r="AI722" i="23916"/>
  <c r="AI721" i="23916"/>
  <c r="AI720" i="23916"/>
  <c r="AJ720" i="23916" s="1"/>
  <c r="AI719" i="23916"/>
  <c r="AJ719" i="23916" s="1"/>
  <c r="AG722" i="23916"/>
  <c r="AG721" i="23916"/>
  <c r="AG720" i="23916"/>
  <c r="FL720" i="23916" s="1"/>
  <c r="AG719" i="23916"/>
  <c r="AH719" i="23916" s="1"/>
  <c r="AE722" i="23916"/>
  <c r="AE721" i="23916"/>
  <c r="AE720" i="23916"/>
  <c r="AF720" i="23916" s="1"/>
  <c r="AE719" i="23916"/>
  <c r="AF719" i="23916" s="1"/>
  <c r="AC722" i="23916"/>
  <c r="AC721" i="23916"/>
  <c r="AC720" i="23916"/>
  <c r="AC719" i="23916"/>
  <c r="AD719" i="23916" s="1"/>
  <c r="AA722" i="23916"/>
  <c r="AA721" i="23916"/>
  <c r="AA720" i="23916"/>
  <c r="AB720" i="23916" s="1"/>
  <c r="AA719" i="23916"/>
  <c r="Y722" i="23916"/>
  <c r="Y721" i="23916"/>
  <c r="Y720" i="23916"/>
  <c r="Y719" i="23916"/>
  <c r="Z719" i="23916" s="1"/>
  <c r="W722" i="23916"/>
  <c r="W721" i="23916"/>
  <c r="W720" i="23916"/>
  <c r="X720" i="23916" s="1"/>
  <c r="W719" i="23916"/>
  <c r="U722" i="23916"/>
  <c r="U721" i="23916"/>
  <c r="U720" i="23916"/>
  <c r="U719" i="23916"/>
  <c r="V719" i="23916" s="1"/>
  <c r="S722" i="23916"/>
  <c r="S721" i="23916"/>
  <c r="S720" i="23916"/>
  <c r="T720" i="23916" s="1"/>
  <c r="S719" i="23916"/>
  <c r="Q722" i="23916"/>
  <c r="R722" i="23916" s="1"/>
  <c r="Q721" i="23916"/>
  <c r="R721" i="23916" s="1"/>
  <c r="Q720" i="23916"/>
  <c r="FH720" i="23916" s="1"/>
  <c r="FI720" i="23916" s="1"/>
  <c r="Q719" i="23916"/>
  <c r="R719" i="23916" s="1"/>
  <c r="O722" i="23916"/>
  <c r="O721" i="23916"/>
  <c r="O720" i="23916"/>
  <c r="P720" i="23916" s="1"/>
  <c r="O719" i="23916"/>
  <c r="M722" i="23916"/>
  <c r="M721" i="23916"/>
  <c r="M720" i="23916"/>
  <c r="K721" i="23916"/>
  <c r="K720" i="23916"/>
  <c r="L720" i="23916" s="1"/>
  <c r="I721" i="23916"/>
  <c r="I722" i="23916" s="1"/>
  <c r="G721" i="23916"/>
  <c r="G722" i="23916" s="1"/>
  <c r="E721" i="23916"/>
  <c r="E722" i="23916" s="1"/>
  <c r="C721" i="23916"/>
  <c r="C722" i="23916" s="1"/>
  <c r="GZ723" i="23916"/>
  <c r="GY723" i="23916"/>
  <c r="FD719" i="23916"/>
  <c r="FE719" i="23916" s="1"/>
  <c r="FB719" i="23916"/>
  <c r="BQ719" i="23916"/>
  <c r="BR719" i="23916" s="1"/>
  <c r="BI719" i="23916"/>
  <c r="BJ719" i="23916" s="1"/>
  <c r="BG719" i="23916"/>
  <c r="BH719" i="23916" s="1"/>
  <c r="M719" i="23916"/>
  <c r="N719" i="23916" s="1"/>
  <c r="K719" i="23916"/>
  <c r="I719" i="23916"/>
  <c r="G719" i="23916"/>
  <c r="E719" i="23916"/>
  <c r="C719" i="23916"/>
  <c r="L718" i="23916"/>
  <c r="L716" i="23916"/>
  <c r="L715" i="23916"/>
  <c r="L714" i="23916"/>
  <c r="FZ718" i="23916"/>
  <c r="FX718" i="23916"/>
  <c r="FV718" i="23916"/>
  <c r="FY718" i="23916" s="1"/>
  <c r="FT718" i="23916"/>
  <c r="FR718" i="23916"/>
  <c r="FU718" i="23916" s="1"/>
  <c r="FQ718" i="23916"/>
  <c r="FP718" i="23916"/>
  <c r="FN718" i="23916"/>
  <c r="FM718" i="23916"/>
  <c r="FL718" i="23916"/>
  <c r="FK718" i="23916"/>
  <c r="FJ718" i="23916"/>
  <c r="FI718" i="23916"/>
  <c r="FH718" i="23916"/>
  <c r="FG718" i="23916"/>
  <c r="FF718" i="23916"/>
  <c r="FF719" i="23916" s="1"/>
  <c r="FG719" i="23916" s="1"/>
  <c r="FE718" i="23916"/>
  <c r="FE717" i="23916"/>
  <c r="FD717" i="23916"/>
  <c r="FB717" i="23916"/>
  <c r="CU718" i="23916"/>
  <c r="CW718" i="23916" s="1"/>
  <c r="CT718" i="23916"/>
  <c r="CS718" i="23916"/>
  <c r="CR718" i="23916"/>
  <c r="EP717" i="23916"/>
  <c r="EO717" i="23916"/>
  <c r="EN717" i="23916"/>
  <c r="EM717" i="23916"/>
  <c r="EL717" i="23916"/>
  <c r="EK717" i="23916"/>
  <c r="EJ717" i="23916"/>
  <c r="EI717" i="23916"/>
  <c r="EH717" i="23916"/>
  <c r="EG717" i="23916"/>
  <c r="EF717" i="23916"/>
  <c r="EE717" i="23916"/>
  <c r="ED717" i="23916"/>
  <c r="EC717" i="23916"/>
  <c r="EB717" i="23916"/>
  <c r="EA717" i="23916"/>
  <c r="DZ717" i="23916"/>
  <c r="DY717" i="23916"/>
  <c r="DX717" i="23916"/>
  <c r="DW717" i="23916"/>
  <c r="DV717" i="23916"/>
  <c r="DU717" i="23916"/>
  <c r="DT717" i="23916"/>
  <c r="DS717" i="23916"/>
  <c r="DR717" i="23916"/>
  <c r="DQ717" i="23916"/>
  <c r="DP717" i="23916"/>
  <c r="DO717" i="23916"/>
  <c r="DN717" i="23916"/>
  <c r="DM717" i="23916"/>
  <c r="DL717" i="23916"/>
  <c r="DK717" i="23916"/>
  <c r="DJ717" i="23916"/>
  <c r="DI717" i="23916"/>
  <c r="DH717" i="23916"/>
  <c r="DG717" i="23916"/>
  <c r="DE717" i="23916"/>
  <c r="DC717" i="23916"/>
  <c r="DA717" i="23916"/>
  <c r="CY717" i="23916"/>
  <c r="CS717" i="23916"/>
  <c r="CT717" i="23916" s="1"/>
  <c r="CK717" i="23916"/>
  <c r="CL717" i="23916" s="1"/>
  <c r="CC717" i="23916"/>
  <c r="BU717" i="23916"/>
  <c r="BQ716" i="23916"/>
  <c r="BQ715" i="23916"/>
  <c r="BM717" i="23916"/>
  <c r="BN717" i="23916" s="1"/>
  <c r="BM716" i="23916"/>
  <c r="BM715" i="23916"/>
  <c r="BK716" i="23916"/>
  <c r="BK715" i="23916"/>
  <c r="BI717" i="23916"/>
  <c r="BG717" i="23916"/>
  <c r="BH717" i="23916" s="1"/>
  <c r="BE717" i="23916"/>
  <c r="BC717" i="23916"/>
  <c r="BA717" i="23916"/>
  <c r="AY717" i="23916"/>
  <c r="AZ717" i="23916" s="1"/>
  <c r="AW717" i="23916"/>
  <c r="AU717" i="23916"/>
  <c r="AS717" i="23916"/>
  <c r="AQ717" i="23916"/>
  <c r="AR717" i="23916" s="1"/>
  <c r="AO717" i="23916"/>
  <c r="AM717" i="23916"/>
  <c r="AK717" i="23916"/>
  <c r="AI717" i="23916"/>
  <c r="AJ717" i="23916" s="1"/>
  <c r="AG717" i="23916"/>
  <c r="AE717" i="23916"/>
  <c r="AC717" i="23916"/>
  <c r="AA717" i="23916"/>
  <c r="AB717" i="23916" s="1"/>
  <c r="Y717" i="23916"/>
  <c r="W717" i="23916"/>
  <c r="U717" i="23916"/>
  <c r="S717" i="23916"/>
  <c r="T717" i="23916" s="1"/>
  <c r="Q717" i="23916"/>
  <c r="R717" i="23916" s="1"/>
  <c r="O717" i="23916"/>
  <c r="M717" i="23916"/>
  <c r="N717" i="23916" s="1"/>
  <c r="K717" i="23916"/>
  <c r="L717" i="23916" s="1"/>
  <c r="I717" i="23916"/>
  <c r="G717" i="23916"/>
  <c r="E717" i="23916"/>
  <c r="C717" i="23916"/>
  <c r="FM716" i="23916"/>
  <c r="FK716" i="23916"/>
  <c r="FI716" i="23916"/>
  <c r="FG716" i="23916"/>
  <c r="FG715" i="23916"/>
  <c r="FE716" i="23916"/>
  <c r="FE715" i="23916"/>
  <c r="FE714" i="23916"/>
  <c r="EN716" i="23916"/>
  <c r="EN715" i="23916"/>
  <c r="EN714" i="23916"/>
  <c r="EL716" i="23916"/>
  <c r="EL715" i="23916"/>
  <c r="EL714" i="23916"/>
  <c r="EJ716" i="23916"/>
  <c r="EJ715" i="23916"/>
  <c r="EJ714" i="23916"/>
  <c r="EH716" i="23916"/>
  <c r="EH715" i="23916"/>
  <c r="EH714" i="23916"/>
  <c r="EF716" i="23916"/>
  <c r="EF715" i="23916"/>
  <c r="EF714" i="23916"/>
  <c r="ED716" i="23916"/>
  <c r="ED715" i="23916"/>
  <c r="ED714" i="23916"/>
  <c r="EB716" i="23916"/>
  <c r="EB715" i="23916"/>
  <c r="EB714" i="23916"/>
  <c r="DZ716" i="23916"/>
  <c r="DZ715" i="23916"/>
  <c r="DZ714" i="23916"/>
  <c r="DX716" i="23916"/>
  <c r="DX715" i="23916"/>
  <c r="DX714" i="23916"/>
  <c r="DV716" i="23916"/>
  <c r="DV715" i="23916"/>
  <c r="DV714" i="23916"/>
  <c r="DT716" i="23916"/>
  <c r="DT715" i="23916"/>
  <c r="DT714" i="23916"/>
  <c r="DR716" i="23916"/>
  <c r="DR715" i="23916"/>
  <c r="DR714" i="23916"/>
  <c r="DP716" i="23916"/>
  <c r="DP715" i="23916"/>
  <c r="DP714" i="23916"/>
  <c r="DN716" i="23916"/>
  <c r="DN715" i="23916"/>
  <c r="DN714" i="23916"/>
  <c r="DL716" i="23916"/>
  <c r="DL715" i="23916"/>
  <c r="DL714" i="23916"/>
  <c r="DJ716" i="23916"/>
  <c r="DJ715" i="23916"/>
  <c r="DJ714" i="23916"/>
  <c r="DH716" i="23916"/>
  <c r="DH715" i="23916"/>
  <c r="DH714" i="23916"/>
  <c r="DF716" i="23916"/>
  <c r="DF714" i="23916"/>
  <c r="DD716" i="23916"/>
  <c r="DD714" i="23916"/>
  <c r="DB716" i="23916"/>
  <c r="DB715" i="23916"/>
  <c r="DB714" i="23916"/>
  <c r="CZ716" i="23916"/>
  <c r="CZ715" i="23916"/>
  <c r="CZ714" i="23916"/>
  <c r="CX716" i="23916"/>
  <c r="CX714" i="23916"/>
  <c r="CV716" i="23916"/>
  <c r="CV714" i="23916"/>
  <c r="CT716" i="23916"/>
  <c r="CT715" i="23916"/>
  <c r="CT714" i="23916"/>
  <c r="CR716" i="23916"/>
  <c r="CR715" i="23916"/>
  <c r="CR714" i="23916"/>
  <c r="FN715" i="23916"/>
  <c r="FN714" i="23916"/>
  <c r="FN717" i="23916" s="1"/>
  <c r="FO717" i="23916" s="1"/>
  <c r="FL715" i="23916"/>
  <c r="FL714" i="23916"/>
  <c r="FL717" i="23916" s="1"/>
  <c r="FJ715" i="23916"/>
  <c r="FJ714" i="23916"/>
  <c r="FJ717" i="23916" s="1"/>
  <c r="FK717" i="23916" s="1"/>
  <c r="FH715" i="23916"/>
  <c r="FH714" i="23916"/>
  <c r="FH717" i="23916" s="1"/>
  <c r="FF715" i="23916"/>
  <c r="FF714" i="23916"/>
  <c r="FG714" i="23916" s="1"/>
  <c r="CW715" i="23916"/>
  <c r="CW717" i="23916" s="1"/>
  <c r="CU715" i="23916"/>
  <c r="DD715" i="23916" s="1"/>
  <c r="CS715" i="23916"/>
  <c r="CQ715" i="23916"/>
  <c r="CO715" i="23916"/>
  <c r="CO719" i="23916" s="1"/>
  <c r="CM715" i="23916"/>
  <c r="CK715" i="23916"/>
  <c r="CI715" i="23916"/>
  <c r="CG715" i="23916"/>
  <c r="CG719" i="23916" s="1"/>
  <c r="CE715" i="23916"/>
  <c r="CC715" i="23916"/>
  <c r="CA715" i="23916"/>
  <c r="BY715" i="23916"/>
  <c r="BY719" i="23916" s="1"/>
  <c r="BZ719" i="23916" s="1"/>
  <c r="BW715" i="23916"/>
  <c r="BW719" i="23916" s="1"/>
  <c r="BU715" i="23916"/>
  <c r="BS715" i="23916"/>
  <c r="BO715" i="23916"/>
  <c r="GN716" i="23916"/>
  <c r="GO716" i="23916" s="1"/>
  <c r="GL716" i="23916"/>
  <c r="GM716" i="23916" s="1"/>
  <c r="GJ716" i="23916"/>
  <c r="GK716" i="23916" s="1"/>
  <c r="GH716" i="23916"/>
  <c r="GI716" i="23916" s="1"/>
  <c r="GF716" i="23916"/>
  <c r="GG716" i="23916" s="1"/>
  <c r="GD716" i="23916"/>
  <c r="GE716" i="23916" s="1"/>
  <c r="GB716" i="23916"/>
  <c r="GC716" i="23916" s="1"/>
  <c r="FZ716" i="23916"/>
  <c r="GA716" i="23916" s="1"/>
  <c r="FX716" i="23916"/>
  <c r="FY716" i="23916" s="1"/>
  <c r="FV716" i="23916"/>
  <c r="FW716" i="23916" s="1"/>
  <c r="FT716" i="23916"/>
  <c r="FU716" i="23916" s="1"/>
  <c r="FR716" i="23916"/>
  <c r="FS716" i="23916" s="1"/>
  <c r="FP716" i="23916"/>
  <c r="FQ716" i="23916" s="1"/>
  <c r="FO716" i="23916"/>
  <c r="GN715" i="23916"/>
  <c r="GO715" i="23916" s="1"/>
  <c r="GL715" i="23916"/>
  <c r="GJ715" i="23916"/>
  <c r="GK715" i="23916" s="1"/>
  <c r="GH715" i="23916"/>
  <c r="GF715" i="23916"/>
  <c r="GG715" i="23916" s="1"/>
  <c r="GD715" i="23916"/>
  <c r="GB715" i="23916"/>
  <c r="GC715" i="23916" s="1"/>
  <c r="FZ715" i="23916"/>
  <c r="FX715" i="23916"/>
  <c r="FY715" i="23916" s="1"/>
  <c r="FV715" i="23916"/>
  <c r="FT715" i="23916"/>
  <c r="FU715" i="23916" s="1"/>
  <c r="FR715" i="23916"/>
  <c r="FP715" i="23916"/>
  <c r="FQ715" i="23916" s="1"/>
  <c r="FO715" i="23916"/>
  <c r="GN714" i="23916"/>
  <c r="GN717" i="23916" s="1"/>
  <c r="GL714" i="23916"/>
  <c r="GL717" i="23916" s="1"/>
  <c r="GM717" i="23916" s="1"/>
  <c r="GJ714" i="23916"/>
  <c r="GJ717" i="23916" s="1"/>
  <c r="GK717" i="23916" s="1"/>
  <c r="GH714" i="23916"/>
  <c r="GH717" i="23916" s="1"/>
  <c r="GI717" i="23916" s="1"/>
  <c r="GF714" i="23916"/>
  <c r="GF717" i="23916" s="1"/>
  <c r="GD714" i="23916"/>
  <c r="GD717" i="23916" s="1"/>
  <c r="GE717" i="23916" s="1"/>
  <c r="GB714" i="23916"/>
  <c r="GB717" i="23916" s="1"/>
  <c r="GC717" i="23916" s="1"/>
  <c r="FZ714" i="23916"/>
  <c r="FZ717" i="23916" s="1"/>
  <c r="GA717" i="23916" s="1"/>
  <c r="FX714" i="23916"/>
  <c r="FX717" i="23916" s="1"/>
  <c r="FV714" i="23916"/>
  <c r="FV717" i="23916" s="1"/>
  <c r="FW717" i="23916" s="1"/>
  <c r="FT714" i="23916"/>
  <c r="FT717" i="23916" s="1"/>
  <c r="FU717" i="23916" s="1"/>
  <c r="FR714" i="23916"/>
  <c r="FR717" i="23916" s="1"/>
  <c r="FS717" i="23916" s="1"/>
  <c r="FP714" i="23916"/>
  <c r="FP717" i="23916" s="1"/>
  <c r="ES716" i="23916"/>
  <c r="ET716" i="23916" s="1"/>
  <c r="ER716" i="23916"/>
  <c r="EQ716" i="23916"/>
  <c r="EP716" i="23916"/>
  <c r="ES715" i="23916"/>
  <c r="EQ715" i="23916"/>
  <c r="ER715" i="23916" s="1"/>
  <c r="EP715" i="23916"/>
  <c r="EQ714" i="23916"/>
  <c r="EQ717" i="23916" s="1"/>
  <c r="ER717" i="23916" s="1"/>
  <c r="EP714" i="23916"/>
  <c r="EM711" i="23916"/>
  <c r="EK711" i="23916"/>
  <c r="EI711" i="23916"/>
  <c r="EE711" i="23916"/>
  <c r="EC711" i="23916"/>
  <c r="EA711" i="23916"/>
  <c r="DW711" i="23916"/>
  <c r="DU711" i="23916"/>
  <c r="DS711" i="23916"/>
  <c r="DO711" i="23916"/>
  <c r="CI710" i="23916"/>
  <c r="CI709" i="23916"/>
  <c r="CG710" i="23916"/>
  <c r="CG709" i="23916"/>
  <c r="CE710" i="23916"/>
  <c r="CE709" i="23916"/>
  <c r="CC710" i="23916"/>
  <c r="CA710" i="23916"/>
  <c r="CA709" i="23916"/>
  <c r="BY710" i="23916"/>
  <c r="BW710" i="23916"/>
  <c r="BW709" i="23916"/>
  <c r="BU710" i="23916"/>
  <c r="BU709" i="23916"/>
  <c r="BS710" i="23916"/>
  <c r="BS709" i="23916"/>
  <c r="BQ710" i="23916"/>
  <c r="BQ709" i="23916"/>
  <c r="BO710" i="23916"/>
  <c r="BO709" i="23916"/>
  <c r="BM710" i="23916"/>
  <c r="BM709" i="23916"/>
  <c r="BK710" i="23916"/>
  <c r="BK709" i="23916"/>
  <c r="BI711" i="23916"/>
  <c r="BI710" i="23916"/>
  <c r="BI709" i="23916"/>
  <c r="BG710" i="23916"/>
  <c r="BG711" i="23916" s="1"/>
  <c r="BE710" i="23916"/>
  <c r="BE711" i="23916" s="1"/>
  <c r="BE709" i="23916"/>
  <c r="BC710" i="23916"/>
  <c r="BC711" i="23916" s="1"/>
  <c r="BC709" i="23916"/>
  <c r="BA711" i="23916"/>
  <c r="BA710" i="23916"/>
  <c r="BA709" i="23916"/>
  <c r="AY710" i="23916"/>
  <c r="AY711" i="23916" s="1"/>
  <c r="AW710" i="23916"/>
  <c r="AW711" i="23916" s="1"/>
  <c r="AW709" i="23916"/>
  <c r="AU710" i="23916"/>
  <c r="AU711" i="23916" s="1"/>
  <c r="AU709" i="23916"/>
  <c r="AS711" i="23916"/>
  <c r="AS710" i="23916"/>
  <c r="AS709" i="23916"/>
  <c r="AQ710" i="23916"/>
  <c r="AQ711" i="23916" s="1"/>
  <c r="AO710" i="23916"/>
  <c r="AO711" i="23916" s="1"/>
  <c r="AO709" i="23916"/>
  <c r="AM710" i="23916"/>
  <c r="AM711" i="23916" s="1"/>
  <c r="AM709" i="23916"/>
  <c r="AK711" i="23916"/>
  <c r="AK710" i="23916"/>
  <c r="AK709" i="23916"/>
  <c r="AI710" i="23916"/>
  <c r="AI711" i="23916" s="1"/>
  <c r="AG710" i="23916"/>
  <c r="AG711" i="23916" s="1"/>
  <c r="AG709" i="23916"/>
  <c r="AE710" i="23916"/>
  <c r="AE711" i="23916" s="1"/>
  <c r="AE709" i="23916"/>
  <c r="AC711" i="23916"/>
  <c r="AC710" i="23916"/>
  <c r="AC709" i="23916"/>
  <c r="AA710" i="23916"/>
  <c r="AA711" i="23916" s="1"/>
  <c r="Y710" i="23916"/>
  <c r="Y711" i="23916" s="1"/>
  <c r="Y709" i="23916"/>
  <c r="W710" i="23916"/>
  <c r="W711" i="23916" s="1"/>
  <c r="W709" i="23916"/>
  <c r="U711" i="23916"/>
  <c r="U710" i="23916"/>
  <c r="U709" i="23916"/>
  <c r="S710" i="23916"/>
  <c r="S711" i="23916" s="1"/>
  <c r="FB705" i="23916"/>
  <c r="FB706" i="23916" s="1"/>
  <c r="FB707" i="23916" s="1"/>
  <c r="I705" i="23916"/>
  <c r="I706" i="23916" s="1"/>
  <c r="I707" i="23916" s="1"/>
  <c r="G705" i="23916"/>
  <c r="G706" i="23916" s="1"/>
  <c r="G707" i="23916" s="1"/>
  <c r="E706" i="23916"/>
  <c r="E707" i="23916" s="1"/>
  <c r="E705" i="23916"/>
  <c r="C705" i="23916"/>
  <c r="C706" i="23916" s="1"/>
  <c r="C707" i="23916" s="1"/>
  <c r="GN705" i="23916"/>
  <c r="GO705" i="23916" s="1"/>
  <c r="GM705" i="23916"/>
  <c r="GL705" i="23916"/>
  <c r="GJ705" i="23916"/>
  <c r="GK705" i="23916" s="1"/>
  <c r="GI705" i="23916"/>
  <c r="GH705" i="23916"/>
  <c r="GF705" i="23916"/>
  <c r="GG705" i="23916" s="1"/>
  <c r="GE705" i="23916"/>
  <c r="GD705" i="23916"/>
  <c r="GB705" i="23916"/>
  <c r="GC705" i="23916" s="1"/>
  <c r="GA705" i="23916"/>
  <c r="FZ705" i="23916"/>
  <c r="FX705" i="23916"/>
  <c r="FY705" i="23916" s="1"/>
  <c r="FW705" i="23916"/>
  <c r="FV705" i="23916"/>
  <c r="FT705" i="23916"/>
  <c r="FU705" i="23916" s="1"/>
  <c r="FS705" i="23916"/>
  <c r="FR705" i="23916"/>
  <c r="FP705" i="23916"/>
  <c r="FQ705" i="23916" s="1"/>
  <c r="FO705" i="23916"/>
  <c r="FN705" i="23916"/>
  <c r="FL705" i="23916"/>
  <c r="FM705" i="23916" s="1"/>
  <c r="FK705" i="23916"/>
  <c r="FJ705" i="23916"/>
  <c r="FH705" i="23916"/>
  <c r="FI705" i="23916" s="1"/>
  <c r="FG705" i="23916"/>
  <c r="FF705" i="23916"/>
  <c r="FD705" i="23916"/>
  <c r="FD706" i="23916" s="1"/>
  <c r="EP705" i="23916"/>
  <c r="EO705" i="23916"/>
  <c r="EO706" i="23916" s="1"/>
  <c r="EM705" i="23916"/>
  <c r="EN705" i="23916" s="1"/>
  <c r="EL705" i="23916"/>
  <c r="EK705" i="23916"/>
  <c r="EK706" i="23916" s="1"/>
  <c r="EI705" i="23916"/>
  <c r="EJ705" i="23916" s="1"/>
  <c r="EH705" i="23916"/>
  <c r="EG705" i="23916"/>
  <c r="EG706" i="23916" s="1"/>
  <c r="EE705" i="23916"/>
  <c r="EF705" i="23916" s="1"/>
  <c r="ED705" i="23916"/>
  <c r="EC705" i="23916"/>
  <c r="EC706" i="23916" s="1"/>
  <c r="EA705" i="23916"/>
  <c r="EB705" i="23916" s="1"/>
  <c r="DZ705" i="23916"/>
  <c r="DY705" i="23916"/>
  <c r="DY706" i="23916" s="1"/>
  <c r="DW705" i="23916"/>
  <c r="DX705" i="23916" s="1"/>
  <c r="DV705" i="23916"/>
  <c r="DU705" i="23916"/>
  <c r="DU706" i="23916" s="1"/>
  <c r="DS705" i="23916"/>
  <c r="DT705" i="23916" s="1"/>
  <c r="DR705" i="23916"/>
  <c r="DQ705" i="23916"/>
  <c r="DQ706" i="23916" s="1"/>
  <c r="DO705" i="23916"/>
  <c r="DP705" i="23916" s="1"/>
  <c r="DN705" i="23916"/>
  <c r="DM705" i="23916"/>
  <c r="DM706" i="23916" s="1"/>
  <c r="DK705" i="23916"/>
  <c r="DL705" i="23916" s="1"/>
  <c r="DJ705" i="23916"/>
  <c r="DI705" i="23916"/>
  <c r="DI706" i="23916" s="1"/>
  <c r="DG705" i="23916"/>
  <c r="DH705" i="23916" s="1"/>
  <c r="DF705" i="23916"/>
  <c r="DE705" i="23916"/>
  <c r="DE706" i="23916" s="1"/>
  <c r="DC705" i="23916"/>
  <c r="DD705" i="23916" s="1"/>
  <c r="DB705" i="23916"/>
  <c r="DA705" i="23916"/>
  <c r="DA706" i="23916" s="1"/>
  <c r="CY705" i="23916"/>
  <c r="CZ705" i="23916" s="1"/>
  <c r="CX705" i="23916"/>
  <c r="CW705" i="23916"/>
  <c r="CW706" i="23916" s="1"/>
  <c r="CU705" i="23916"/>
  <c r="CV705" i="23916" s="1"/>
  <c r="CT705" i="23916"/>
  <c r="CS705" i="23916"/>
  <c r="CS706" i="23916" s="1"/>
  <c r="CQ705" i="23916"/>
  <c r="CR705" i="23916" s="1"/>
  <c r="CP705" i="23916"/>
  <c r="CO705" i="23916"/>
  <c r="CO706" i="23916" s="1"/>
  <c r="CM705" i="23916"/>
  <c r="CN705" i="23916" s="1"/>
  <c r="CL705" i="23916"/>
  <c r="CK705" i="23916"/>
  <c r="CK706" i="23916" s="1"/>
  <c r="CI705" i="23916"/>
  <c r="CJ705" i="23916" s="1"/>
  <c r="CH705" i="23916"/>
  <c r="CG705" i="23916"/>
  <c r="CG706" i="23916" s="1"/>
  <c r="CE705" i="23916"/>
  <c r="CF705" i="23916" s="1"/>
  <c r="CD705" i="23916"/>
  <c r="CC705" i="23916"/>
  <c r="CC706" i="23916" s="1"/>
  <c r="CA705" i="23916"/>
  <c r="CB705" i="23916" s="1"/>
  <c r="BZ705" i="23916"/>
  <c r="BY705" i="23916"/>
  <c r="BY706" i="23916" s="1"/>
  <c r="BW705" i="23916"/>
  <c r="BX705" i="23916" s="1"/>
  <c r="BV705" i="23916"/>
  <c r="BU705" i="23916"/>
  <c r="BU706" i="23916" s="1"/>
  <c r="BS705" i="23916"/>
  <c r="BT705" i="23916" s="1"/>
  <c r="BR705" i="23916"/>
  <c r="BQ705" i="23916"/>
  <c r="BQ706" i="23916" s="1"/>
  <c r="BO705" i="23916"/>
  <c r="BP705" i="23916" s="1"/>
  <c r="BN705" i="23916"/>
  <c r="BM705" i="23916"/>
  <c r="BM706" i="23916" s="1"/>
  <c r="BK705" i="23916"/>
  <c r="BL705" i="23916" s="1"/>
  <c r="BJ705" i="23916"/>
  <c r="BI705" i="23916"/>
  <c r="BI706" i="23916" s="1"/>
  <c r="BG705" i="23916"/>
  <c r="BH705" i="23916" s="1"/>
  <c r="BF705" i="23916"/>
  <c r="BE705" i="23916"/>
  <c r="BE706" i="23916" s="1"/>
  <c r="BC705" i="23916"/>
  <c r="BD705" i="23916" s="1"/>
  <c r="BB705" i="23916"/>
  <c r="BA705" i="23916"/>
  <c r="BA706" i="23916" s="1"/>
  <c r="AY705" i="23916"/>
  <c r="AZ705" i="23916" s="1"/>
  <c r="AX705" i="23916"/>
  <c r="AW705" i="23916"/>
  <c r="AW706" i="23916" s="1"/>
  <c r="AU705" i="23916"/>
  <c r="AV705" i="23916" s="1"/>
  <c r="AT705" i="23916"/>
  <c r="AS705" i="23916"/>
  <c r="AS706" i="23916" s="1"/>
  <c r="AQ705" i="23916"/>
  <c r="AR705" i="23916" s="1"/>
  <c r="AP705" i="23916"/>
  <c r="AO705" i="23916"/>
  <c r="AO706" i="23916" s="1"/>
  <c r="AM705" i="23916"/>
  <c r="AN705" i="23916" s="1"/>
  <c r="AL705" i="23916"/>
  <c r="AK705" i="23916"/>
  <c r="AK706" i="23916" s="1"/>
  <c r="AI705" i="23916"/>
  <c r="AJ705" i="23916" s="1"/>
  <c r="AH705" i="23916"/>
  <c r="AG705" i="23916"/>
  <c r="AG706" i="23916" s="1"/>
  <c r="AE705" i="23916"/>
  <c r="AF705" i="23916" s="1"/>
  <c r="AD705" i="23916"/>
  <c r="AC705" i="23916"/>
  <c r="AC706" i="23916" s="1"/>
  <c r="AA705" i="23916"/>
  <c r="AB705" i="23916" s="1"/>
  <c r="Z705" i="23916"/>
  <c r="Y705" i="23916"/>
  <c r="Y706" i="23916" s="1"/>
  <c r="W705" i="23916"/>
  <c r="X705" i="23916" s="1"/>
  <c r="V705" i="23916"/>
  <c r="U705" i="23916"/>
  <c r="U706" i="23916" s="1"/>
  <c r="S705" i="23916"/>
  <c r="T705" i="23916" s="1"/>
  <c r="R705" i="23916"/>
  <c r="Q705" i="23916"/>
  <c r="Q706" i="23916" s="1"/>
  <c r="O705" i="23916"/>
  <c r="P705" i="23916" s="1"/>
  <c r="N705" i="23916"/>
  <c r="M705" i="23916"/>
  <c r="M706" i="23916" s="1"/>
  <c r="K705" i="23916"/>
  <c r="L705" i="23916" s="1"/>
  <c r="EN704" i="23916"/>
  <c r="EN702" i="23916"/>
  <c r="EN701" i="23916"/>
  <c r="EN700" i="23916"/>
  <c r="EN699" i="23916"/>
  <c r="EL704" i="23916"/>
  <c r="EL702" i="23916"/>
  <c r="EL701" i="23916"/>
  <c r="EL700" i="23916"/>
  <c r="EL699" i="23916"/>
  <c r="EJ704" i="23916"/>
  <c r="EJ702" i="23916"/>
  <c r="EJ701" i="23916"/>
  <c r="EJ700" i="23916"/>
  <c r="EJ699" i="23916"/>
  <c r="EH704" i="23916"/>
  <c r="EH702" i="23916"/>
  <c r="EH701" i="23916"/>
  <c r="EH700" i="23916"/>
  <c r="EH699" i="23916"/>
  <c r="EF704" i="23916"/>
  <c r="EF702" i="23916"/>
  <c r="EF701" i="23916"/>
  <c r="EF700" i="23916"/>
  <c r="EF699" i="23916"/>
  <c r="ED704" i="23916"/>
  <c r="ED702" i="23916"/>
  <c r="ED701" i="23916"/>
  <c r="ED700" i="23916"/>
  <c r="ED699" i="23916"/>
  <c r="EB704" i="23916"/>
  <c r="EB702" i="23916"/>
  <c r="EB701" i="23916"/>
  <c r="EB700" i="23916"/>
  <c r="EB699" i="23916"/>
  <c r="DZ704" i="23916"/>
  <c r="DZ702" i="23916"/>
  <c r="DZ701" i="23916"/>
  <c r="DZ700" i="23916"/>
  <c r="DZ699" i="23916"/>
  <c r="DX704" i="23916"/>
  <c r="DX702" i="23916"/>
  <c r="DX701" i="23916"/>
  <c r="DX700" i="23916"/>
  <c r="DX699" i="23916"/>
  <c r="DV704" i="23916"/>
  <c r="DV702" i="23916"/>
  <c r="DV701" i="23916"/>
  <c r="DV700" i="23916"/>
  <c r="DV699" i="23916"/>
  <c r="DT704" i="23916"/>
  <c r="DT702" i="23916"/>
  <c r="DT701" i="23916"/>
  <c r="DT700" i="23916"/>
  <c r="DT699" i="23916"/>
  <c r="DR704" i="23916"/>
  <c r="DR702" i="23916"/>
  <c r="DR701" i="23916"/>
  <c r="DR700" i="23916"/>
  <c r="DR699" i="23916"/>
  <c r="DP704" i="23916"/>
  <c r="DP702" i="23916"/>
  <c r="DP701" i="23916"/>
  <c r="DP700" i="23916"/>
  <c r="DP699" i="23916"/>
  <c r="DN704" i="23916"/>
  <c r="DN702" i="23916"/>
  <c r="DN701" i="23916"/>
  <c r="DN700" i="23916"/>
  <c r="DN699" i="23916"/>
  <c r="DL704" i="23916"/>
  <c r="DL702" i="23916"/>
  <c r="DL701" i="23916"/>
  <c r="DL700" i="23916"/>
  <c r="DL699" i="23916"/>
  <c r="DJ704" i="23916"/>
  <c r="DJ702" i="23916"/>
  <c r="DJ701" i="23916"/>
  <c r="DJ700" i="23916"/>
  <c r="DJ699" i="23916"/>
  <c r="DH704" i="23916"/>
  <c r="DH702" i="23916"/>
  <c r="DH701" i="23916"/>
  <c r="DH700" i="23916"/>
  <c r="DH699" i="23916"/>
  <c r="DF704" i="23916"/>
  <c r="DF702" i="23916"/>
  <c r="DF701" i="23916"/>
  <c r="DF700" i="23916"/>
  <c r="DF699" i="23916"/>
  <c r="DD704" i="23916"/>
  <c r="DD702" i="23916"/>
  <c r="DD701" i="23916"/>
  <c r="DD700" i="23916"/>
  <c r="DD699" i="23916"/>
  <c r="DB704" i="23916"/>
  <c r="DB702" i="23916"/>
  <c r="DB701" i="23916"/>
  <c r="DB700" i="23916"/>
  <c r="DB699" i="23916"/>
  <c r="CZ704" i="23916"/>
  <c r="CZ702" i="23916"/>
  <c r="CZ701" i="23916"/>
  <c r="CZ700" i="23916"/>
  <c r="CZ699" i="23916"/>
  <c r="CX704" i="23916"/>
  <c r="CX702" i="23916"/>
  <c r="CX701" i="23916"/>
  <c r="CX700" i="23916"/>
  <c r="CX699" i="23916"/>
  <c r="CV704" i="23916"/>
  <c r="CV702" i="23916"/>
  <c r="CV701" i="23916"/>
  <c r="CV700" i="23916"/>
  <c r="CV699" i="23916"/>
  <c r="CT704" i="23916"/>
  <c r="CT702" i="23916"/>
  <c r="CT701" i="23916"/>
  <c r="CT700" i="23916"/>
  <c r="CT699" i="23916"/>
  <c r="CR704" i="23916"/>
  <c r="CR702" i="23916"/>
  <c r="CR701" i="23916"/>
  <c r="CR700" i="23916"/>
  <c r="CR699" i="23916"/>
  <c r="CP704" i="23916"/>
  <c r="CP702" i="23916"/>
  <c r="CP701" i="23916"/>
  <c r="CP700" i="23916"/>
  <c r="CP699" i="23916"/>
  <c r="CN704" i="23916"/>
  <c r="CN702" i="23916"/>
  <c r="CN701" i="23916"/>
  <c r="CN700" i="23916"/>
  <c r="CN699" i="23916"/>
  <c r="CL704" i="23916"/>
  <c r="CL702" i="23916"/>
  <c r="CL701" i="23916"/>
  <c r="CL700" i="23916"/>
  <c r="CL699" i="23916"/>
  <c r="CJ704" i="23916"/>
  <c r="CJ702" i="23916"/>
  <c r="CJ701" i="23916"/>
  <c r="CJ700" i="23916"/>
  <c r="CJ699" i="23916"/>
  <c r="CH704" i="23916"/>
  <c r="CH702" i="23916"/>
  <c r="CH701" i="23916"/>
  <c r="CH700" i="23916"/>
  <c r="CH699" i="23916"/>
  <c r="CF704" i="23916"/>
  <c r="CF702" i="23916"/>
  <c r="CF701" i="23916"/>
  <c r="CF700" i="23916"/>
  <c r="CF699" i="23916"/>
  <c r="CD704" i="23916"/>
  <c r="CD702" i="23916"/>
  <c r="CD701" i="23916"/>
  <c r="CD700" i="23916"/>
  <c r="CD699" i="23916"/>
  <c r="CB704" i="23916"/>
  <c r="CB702" i="23916"/>
  <c r="CB701" i="23916"/>
  <c r="CB700" i="23916"/>
  <c r="CB699" i="23916"/>
  <c r="BZ704" i="23916"/>
  <c r="BZ702" i="23916"/>
  <c r="BZ701" i="23916"/>
  <c r="BZ700" i="23916"/>
  <c r="BZ699" i="23916"/>
  <c r="BX704" i="23916"/>
  <c r="BX702" i="23916"/>
  <c r="BX701" i="23916"/>
  <c r="BX700" i="23916"/>
  <c r="BX699" i="23916"/>
  <c r="BV704" i="23916"/>
  <c r="BV702" i="23916"/>
  <c r="BV701" i="23916"/>
  <c r="BV700" i="23916"/>
  <c r="BV699" i="23916"/>
  <c r="BT704" i="23916"/>
  <c r="BT702" i="23916"/>
  <c r="BT701" i="23916"/>
  <c r="BT700" i="23916"/>
  <c r="BT699" i="23916"/>
  <c r="BR704" i="23916"/>
  <c r="BR702" i="23916"/>
  <c r="BR701" i="23916"/>
  <c r="BR700" i="23916"/>
  <c r="BR699" i="23916"/>
  <c r="BP704" i="23916"/>
  <c r="BP702" i="23916"/>
  <c r="BP701" i="23916"/>
  <c r="BP700" i="23916"/>
  <c r="BP699" i="23916"/>
  <c r="BN704" i="23916"/>
  <c r="BN702" i="23916"/>
  <c r="BN701" i="23916"/>
  <c r="BN700" i="23916"/>
  <c r="BN699" i="23916"/>
  <c r="BL704" i="23916"/>
  <c r="BL702" i="23916"/>
  <c r="BL701" i="23916"/>
  <c r="BL700" i="23916"/>
  <c r="BL699" i="23916"/>
  <c r="BJ704" i="23916"/>
  <c r="BJ702" i="23916"/>
  <c r="BJ701" i="23916"/>
  <c r="BJ700" i="23916"/>
  <c r="BJ699" i="23916"/>
  <c r="BH704" i="23916"/>
  <c r="BH702" i="23916"/>
  <c r="BH701" i="23916"/>
  <c r="BH700" i="23916"/>
  <c r="BH699" i="23916"/>
  <c r="BF704" i="23916"/>
  <c r="BF702" i="23916"/>
  <c r="BF701" i="23916"/>
  <c r="BF700" i="23916"/>
  <c r="BF699" i="23916"/>
  <c r="BD704" i="23916"/>
  <c r="BD702" i="23916"/>
  <c r="BD701" i="23916"/>
  <c r="BD700" i="23916"/>
  <c r="BD699" i="23916"/>
  <c r="BB704" i="23916"/>
  <c r="BB702" i="23916"/>
  <c r="BB701" i="23916"/>
  <c r="BB700" i="23916"/>
  <c r="BB699" i="23916"/>
  <c r="AZ704" i="23916"/>
  <c r="AZ702" i="23916"/>
  <c r="AZ701" i="23916"/>
  <c r="AZ700" i="23916"/>
  <c r="AZ699" i="23916"/>
  <c r="AX704" i="23916"/>
  <c r="AX702" i="23916"/>
  <c r="AX701" i="23916"/>
  <c r="AX700" i="23916"/>
  <c r="AX699" i="23916"/>
  <c r="AV704" i="23916"/>
  <c r="AV702" i="23916"/>
  <c r="AV701" i="23916"/>
  <c r="AV700" i="23916"/>
  <c r="AV699" i="23916"/>
  <c r="AT704" i="23916"/>
  <c r="AT703" i="23916"/>
  <c r="AT702" i="23916"/>
  <c r="AT701" i="23916"/>
  <c r="AT700" i="23916"/>
  <c r="AT699" i="23916"/>
  <c r="AR704" i="23916"/>
  <c r="AR702" i="23916"/>
  <c r="AR701" i="23916"/>
  <c r="AR700" i="23916"/>
  <c r="AR699" i="23916"/>
  <c r="AP704" i="23916"/>
  <c r="AP702" i="23916"/>
  <c r="AP701" i="23916"/>
  <c r="AP700" i="23916"/>
  <c r="AP699" i="23916"/>
  <c r="AN704" i="23916"/>
  <c r="AN702" i="23916"/>
  <c r="AN701" i="23916"/>
  <c r="AN700" i="23916"/>
  <c r="AN699" i="23916"/>
  <c r="AL704" i="23916"/>
  <c r="AL703" i="23916"/>
  <c r="AL702" i="23916"/>
  <c r="AL701" i="23916"/>
  <c r="AL700" i="23916"/>
  <c r="AL699" i="23916"/>
  <c r="AJ704" i="23916"/>
  <c r="AJ702" i="23916"/>
  <c r="AJ701" i="23916"/>
  <c r="AJ700" i="23916"/>
  <c r="AJ699" i="23916"/>
  <c r="AH704" i="23916"/>
  <c r="AH702" i="23916"/>
  <c r="AH701" i="23916"/>
  <c r="AH700" i="23916"/>
  <c r="AH699" i="23916"/>
  <c r="AF704" i="23916"/>
  <c r="AF702" i="23916"/>
  <c r="AF701" i="23916"/>
  <c r="AF700" i="23916"/>
  <c r="AF699" i="23916"/>
  <c r="AD704" i="23916"/>
  <c r="AD703" i="23916"/>
  <c r="AD702" i="23916"/>
  <c r="AD701" i="23916"/>
  <c r="AD700" i="23916"/>
  <c r="AD699" i="23916"/>
  <c r="AB704" i="23916"/>
  <c r="AB702" i="23916"/>
  <c r="AB701" i="23916"/>
  <c r="AB700" i="23916"/>
  <c r="AB699" i="23916"/>
  <c r="Z704" i="23916"/>
  <c r="Z702" i="23916"/>
  <c r="Z701" i="23916"/>
  <c r="Z700" i="23916"/>
  <c r="Z699" i="23916"/>
  <c r="X704" i="23916"/>
  <c r="X702" i="23916"/>
  <c r="X701" i="23916"/>
  <c r="X700" i="23916"/>
  <c r="X699" i="23916"/>
  <c r="V704" i="23916"/>
  <c r="V703" i="23916"/>
  <c r="V702" i="23916"/>
  <c r="V701" i="23916"/>
  <c r="V700" i="23916"/>
  <c r="V699" i="23916"/>
  <c r="T704" i="23916"/>
  <c r="T702" i="23916"/>
  <c r="T701" i="23916"/>
  <c r="T700" i="23916"/>
  <c r="T699" i="23916"/>
  <c r="R704" i="23916"/>
  <c r="R702" i="23916"/>
  <c r="R701" i="23916"/>
  <c r="R700" i="23916"/>
  <c r="R699" i="23916"/>
  <c r="P704" i="23916"/>
  <c r="P702" i="23916"/>
  <c r="P701" i="23916"/>
  <c r="P700" i="23916"/>
  <c r="P699" i="23916"/>
  <c r="N704" i="23916"/>
  <c r="N703" i="23916"/>
  <c r="N702" i="23916"/>
  <c r="N701" i="23916"/>
  <c r="N700" i="23916"/>
  <c r="N699" i="23916"/>
  <c r="L704" i="23916"/>
  <c r="L702" i="23916"/>
  <c r="L701" i="23916"/>
  <c r="L700" i="23916"/>
  <c r="L699" i="23916"/>
  <c r="GN704" i="23916"/>
  <c r="GO704" i="23916" s="1"/>
  <c r="GL704" i="23916"/>
  <c r="GJ704" i="23916"/>
  <c r="GK704" i="23916" s="1"/>
  <c r="GH704" i="23916"/>
  <c r="GF704" i="23916"/>
  <c r="GG704" i="23916" s="1"/>
  <c r="GD704" i="23916"/>
  <c r="GB704" i="23916"/>
  <c r="GC704" i="23916" s="1"/>
  <c r="FZ704" i="23916"/>
  <c r="FX704" i="23916"/>
  <c r="FY704" i="23916" s="1"/>
  <c r="FV704" i="23916"/>
  <c r="FT704" i="23916"/>
  <c r="FU704" i="23916" s="1"/>
  <c r="FR704" i="23916"/>
  <c r="FP704" i="23916"/>
  <c r="FQ704" i="23916" s="1"/>
  <c r="FN704" i="23916"/>
  <c r="FL704" i="23916"/>
  <c r="FL736" i="23916" s="1"/>
  <c r="FJ704" i="23916"/>
  <c r="FJ736" i="23916" s="1"/>
  <c r="FH704" i="23916"/>
  <c r="FH736" i="23916" s="1"/>
  <c r="FF704" i="23916"/>
  <c r="FF736" i="23916" s="1"/>
  <c r="FE704" i="23916"/>
  <c r="GN703" i="23916"/>
  <c r="GO703" i="23916" s="1"/>
  <c r="GL703" i="23916"/>
  <c r="GM703" i="23916" s="1"/>
  <c r="GJ703" i="23916"/>
  <c r="GK703" i="23916" s="1"/>
  <c r="GH703" i="23916"/>
  <c r="GI703" i="23916" s="1"/>
  <c r="GF703" i="23916"/>
  <c r="GG703" i="23916" s="1"/>
  <c r="GD703" i="23916"/>
  <c r="GE703" i="23916" s="1"/>
  <c r="GB703" i="23916"/>
  <c r="GC703" i="23916" s="1"/>
  <c r="FZ703" i="23916"/>
  <c r="GA703" i="23916" s="1"/>
  <c r="FX703" i="23916"/>
  <c r="FY703" i="23916" s="1"/>
  <c r="FV703" i="23916"/>
  <c r="FR703" i="23916"/>
  <c r="FN703" i="23916"/>
  <c r="FJ703" i="23916"/>
  <c r="FF703" i="23916"/>
  <c r="FG703" i="23916" s="1"/>
  <c r="FB703" i="23916"/>
  <c r="FE703" i="23916" s="1"/>
  <c r="EO703" i="23916"/>
  <c r="EQ703" i="23916" s="1"/>
  <c r="EM703" i="23916"/>
  <c r="EN703" i="23916" s="1"/>
  <c r="EK703" i="23916"/>
  <c r="EL703" i="23916" s="1"/>
  <c r="EI703" i="23916"/>
  <c r="EJ703" i="23916" s="1"/>
  <c r="EG703" i="23916"/>
  <c r="EH703" i="23916" s="1"/>
  <c r="EE703" i="23916"/>
  <c r="EF703" i="23916" s="1"/>
  <c r="EC703" i="23916"/>
  <c r="ED703" i="23916" s="1"/>
  <c r="EA703" i="23916"/>
  <c r="EB703" i="23916" s="1"/>
  <c r="DY703" i="23916"/>
  <c r="DZ703" i="23916" s="1"/>
  <c r="DW703" i="23916"/>
  <c r="DX703" i="23916" s="1"/>
  <c r="DU703" i="23916"/>
  <c r="DV703" i="23916" s="1"/>
  <c r="DS703" i="23916"/>
  <c r="DT703" i="23916" s="1"/>
  <c r="DQ703" i="23916"/>
  <c r="DR703" i="23916" s="1"/>
  <c r="DO703" i="23916"/>
  <c r="DP703" i="23916" s="1"/>
  <c r="DM703" i="23916"/>
  <c r="DN703" i="23916" s="1"/>
  <c r="DK703" i="23916"/>
  <c r="DL703" i="23916" s="1"/>
  <c r="DI703" i="23916"/>
  <c r="DJ703" i="23916" s="1"/>
  <c r="DG703" i="23916"/>
  <c r="DH703" i="23916" s="1"/>
  <c r="DE703" i="23916"/>
  <c r="DF703" i="23916" s="1"/>
  <c r="DC703" i="23916"/>
  <c r="DD703" i="23916" s="1"/>
  <c r="DA703" i="23916"/>
  <c r="DB703" i="23916" s="1"/>
  <c r="CY703" i="23916"/>
  <c r="CZ703" i="23916" s="1"/>
  <c r="CW703" i="23916"/>
  <c r="CX703" i="23916" s="1"/>
  <c r="CU703" i="23916"/>
  <c r="CV703" i="23916" s="1"/>
  <c r="CS703" i="23916"/>
  <c r="CT703" i="23916" s="1"/>
  <c r="CQ703" i="23916"/>
  <c r="CR703" i="23916" s="1"/>
  <c r="CO703" i="23916"/>
  <c r="CP703" i="23916" s="1"/>
  <c r="CM703" i="23916"/>
  <c r="CN703" i="23916" s="1"/>
  <c r="CK703" i="23916"/>
  <c r="CL703" i="23916" s="1"/>
  <c r="CI703" i="23916"/>
  <c r="CJ703" i="23916" s="1"/>
  <c r="CG703" i="23916"/>
  <c r="CH703" i="23916" s="1"/>
  <c r="CE703" i="23916"/>
  <c r="CF703" i="23916" s="1"/>
  <c r="CC703" i="23916"/>
  <c r="CD703" i="23916" s="1"/>
  <c r="CA703" i="23916"/>
  <c r="CB703" i="23916" s="1"/>
  <c r="BY703" i="23916"/>
  <c r="BZ703" i="23916" s="1"/>
  <c r="BW703" i="23916"/>
  <c r="BX703" i="23916" s="1"/>
  <c r="BU703" i="23916"/>
  <c r="BV703" i="23916" s="1"/>
  <c r="BS703" i="23916"/>
  <c r="BT703" i="23916" s="1"/>
  <c r="BQ703" i="23916"/>
  <c r="BR703" i="23916" s="1"/>
  <c r="BO703" i="23916"/>
  <c r="BP703" i="23916" s="1"/>
  <c r="BM703" i="23916"/>
  <c r="FT703" i="23916" s="1"/>
  <c r="FU703" i="23916" s="1"/>
  <c r="BK703" i="23916"/>
  <c r="BL703" i="23916" s="1"/>
  <c r="BI703" i="23916"/>
  <c r="BJ703" i="23916" s="1"/>
  <c r="BG703" i="23916"/>
  <c r="BH703" i="23916" s="1"/>
  <c r="BE703" i="23916"/>
  <c r="BF703" i="23916" s="1"/>
  <c r="BC703" i="23916"/>
  <c r="BD703" i="23916" s="1"/>
  <c r="BA703" i="23916"/>
  <c r="BB703" i="23916" s="1"/>
  <c r="AY703" i="23916"/>
  <c r="AZ703" i="23916" s="1"/>
  <c r="AW703" i="23916"/>
  <c r="FP703" i="23916" s="1"/>
  <c r="FQ703" i="23916" s="1"/>
  <c r="AU703" i="23916"/>
  <c r="AV703" i="23916" s="1"/>
  <c r="AS703" i="23916"/>
  <c r="AQ703" i="23916"/>
  <c r="AR703" i="23916" s="1"/>
  <c r="AO703" i="23916"/>
  <c r="AP703" i="23916" s="1"/>
  <c r="AM703" i="23916"/>
  <c r="AN703" i="23916" s="1"/>
  <c r="AK703" i="23916"/>
  <c r="AI703" i="23916"/>
  <c r="AJ703" i="23916" s="1"/>
  <c r="AG703" i="23916"/>
  <c r="FL703" i="23916" s="1"/>
  <c r="FM703" i="23916" s="1"/>
  <c r="AE703" i="23916"/>
  <c r="AF703" i="23916" s="1"/>
  <c r="AC703" i="23916"/>
  <c r="AA703" i="23916"/>
  <c r="AB703" i="23916" s="1"/>
  <c r="Y703" i="23916"/>
  <c r="Z703" i="23916" s="1"/>
  <c r="W703" i="23916"/>
  <c r="X703" i="23916" s="1"/>
  <c r="U703" i="23916"/>
  <c r="S703" i="23916"/>
  <c r="T703" i="23916" s="1"/>
  <c r="Q703" i="23916"/>
  <c r="FH703" i="23916" s="1"/>
  <c r="FI703" i="23916" s="1"/>
  <c r="O703" i="23916"/>
  <c r="P703" i="23916" s="1"/>
  <c r="M703" i="23916"/>
  <c r="K703" i="23916"/>
  <c r="L703" i="23916" s="1"/>
  <c r="I703" i="23916"/>
  <c r="G703" i="23916"/>
  <c r="E703" i="23916"/>
  <c r="C703" i="23916"/>
  <c r="FE702" i="23916"/>
  <c r="FE701" i="23916"/>
  <c r="GO702" i="23916"/>
  <c r="GN702" i="23916"/>
  <c r="GM702" i="23916"/>
  <c r="GL702" i="23916"/>
  <c r="GK702" i="23916"/>
  <c r="GJ702" i="23916"/>
  <c r="GI702" i="23916"/>
  <c r="GH702" i="23916"/>
  <c r="GG702" i="23916"/>
  <c r="GF702" i="23916"/>
  <c r="GE702" i="23916"/>
  <c r="GD702" i="23916"/>
  <c r="GC702" i="23916"/>
  <c r="GB702" i="23916"/>
  <c r="GA702" i="23916"/>
  <c r="FZ702" i="23916"/>
  <c r="FY702" i="23916"/>
  <c r="FX702" i="23916"/>
  <c r="FW702" i="23916"/>
  <c r="FV702" i="23916"/>
  <c r="FU702" i="23916"/>
  <c r="FT702" i="23916"/>
  <c r="FS702" i="23916"/>
  <c r="FR702" i="23916"/>
  <c r="FQ702" i="23916"/>
  <c r="FP702" i="23916"/>
  <c r="FO702" i="23916"/>
  <c r="FN702" i="23916"/>
  <c r="FM702" i="23916"/>
  <c r="FL702" i="23916"/>
  <c r="FK702" i="23916"/>
  <c r="FJ702" i="23916"/>
  <c r="FI702" i="23916"/>
  <c r="FH702" i="23916"/>
  <c r="FG702" i="23916"/>
  <c r="GO701" i="23916"/>
  <c r="GN701" i="23916"/>
  <c r="GM701" i="23916"/>
  <c r="GL701" i="23916"/>
  <c r="GK701" i="23916"/>
  <c r="GJ701" i="23916"/>
  <c r="GI701" i="23916"/>
  <c r="GH701" i="23916"/>
  <c r="GG701" i="23916"/>
  <c r="GF701" i="23916"/>
  <c r="GE701" i="23916"/>
  <c r="GD701" i="23916"/>
  <c r="GC701" i="23916"/>
  <c r="GB701" i="23916"/>
  <c r="GA701" i="23916"/>
  <c r="FZ701" i="23916"/>
  <c r="FY701" i="23916"/>
  <c r="FX701" i="23916"/>
  <c r="FW701" i="23916"/>
  <c r="FV701" i="23916"/>
  <c r="FU701" i="23916"/>
  <c r="FT701" i="23916"/>
  <c r="FS701" i="23916"/>
  <c r="FR701" i="23916"/>
  <c r="FQ701" i="23916"/>
  <c r="FP701" i="23916"/>
  <c r="FO701" i="23916"/>
  <c r="FN701" i="23916"/>
  <c r="FM701" i="23916"/>
  <c r="FL701" i="23916"/>
  <c r="FK701" i="23916"/>
  <c r="FJ701" i="23916"/>
  <c r="FI701" i="23916"/>
  <c r="FH701" i="23916"/>
  <c r="FG701" i="23916"/>
  <c r="EP704" i="23916"/>
  <c r="EP703" i="23916"/>
  <c r="ES702" i="23916"/>
  <c r="EU702" i="23916" s="1"/>
  <c r="EQ702" i="23916"/>
  <c r="ER702" i="23916" s="1"/>
  <c r="EP702" i="23916"/>
  <c r="ER701" i="23916"/>
  <c r="EQ701" i="23916"/>
  <c r="ES701" i="23916" s="1"/>
  <c r="EP701" i="23916"/>
  <c r="EP700" i="23916"/>
  <c r="ET699" i="23916"/>
  <c r="ES699" i="23916"/>
  <c r="EU699" i="23916" s="1"/>
  <c r="ER699" i="23916"/>
  <c r="EQ699" i="23916"/>
  <c r="EP699" i="23916"/>
  <c r="GO700" i="23916"/>
  <c r="GN700" i="23916"/>
  <c r="GM700" i="23916"/>
  <c r="GL700" i="23916"/>
  <c r="GK700" i="23916"/>
  <c r="GJ700" i="23916"/>
  <c r="GI700" i="23916"/>
  <c r="GH700" i="23916"/>
  <c r="GG700" i="23916"/>
  <c r="GF700" i="23916"/>
  <c r="GE700" i="23916"/>
  <c r="GD700" i="23916"/>
  <c r="GC700" i="23916"/>
  <c r="GB700" i="23916"/>
  <c r="GA700" i="23916"/>
  <c r="FZ700" i="23916"/>
  <c r="FY700" i="23916"/>
  <c r="FX700" i="23916"/>
  <c r="FW700" i="23916"/>
  <c r="FV700" i="23916"/>
  <c r="FU700" i="23916"/>
  <c r="FT700" i="23916"/>
  <c r="FS700" i="23916"/>
  <c r="FR700" i="23916"/>
  <c r="FQ700" i="23916"/>
  <c r="FP700" i="23916"/>
  <c r="FO700" i="23916"/>
  <c r="FN700" i="23916"/>
  <c r="FM700" i="23916"/>
  <c r="FL700" i="23916"/>
  <c r="FK700" i="23916"/>
  <c r="FJ700" i="23916"/>
  <c r="FI700" i="23916"/>
  <c r="FH700" i="23916"/>
  <c r="FG700" i="23916"/>
  <c r="FF700" i="23916"/>
  <c r="FE700" i="23916"/>
  <c r="GO699" i="23916"/>
  <c r="GN699" i="23916"/>
  <c r="GM699" i="23916"/>
  <c r="GL699" i="23916"/>
  <c r="GK699" i="23916"/>
  <c r="GJ699" i="23916"/>
  <c r="GI699" i="23916"/>
  <c r="GH699" i="23916"/>
  <c r="GG699" i="23916"/>
  <c r="GF699" i="23916"/>
  <c r="GE699" i="23916"/>
  <c r="GD699" i="23916"/>
  <c r="GC699" i="23916"/>
  <c r="GB699" i="23916"/>
  <c r="GA699" i="23916"/>
  <c r="FZ699" i="23916"/>
  <c r="FY699" i="23916"/>
  <c r="FX699" i="23916"/>
  <c r="FW699" i="23916"/>
  <c r="FV699" i="23916"/>
  <c r="FU699" i="23916"/>
  <c r="FT699" i="23916"/>
  <c r="FS699" i="23916"/>
  <c r="FR699" i="23916"/>
  <c r="FQ699" i="23916"/>
  <c r="FP699" i="23916"/>
  <c r="FO699" i="23916"/>
  <c r="FN699" i="23916"/>
  <c r="FM699" i="23916"/>
  <c r="FL699" i="23916"/>
  <c r="FK699" i="23916"/>
  <c r="FJ699" i="23916"/>
  <c r="FI699" i="23916"/>
  <c r="FH699" i="23916"/>
  <c r="FG699" i="23916"/>
  <c r="FF699" i="23916"/>
  <c r="FE699" i="23916"/>
  <c r="AK692" i="23916"/>
  <c r="AC692" i="23916"/>
  <c r="U692" i="23916"/>
  <c r="M692" i="23916"/>
  <c r="FB689" i="23916"/>
  <c r="I689" i="23916"/>
  <c r="I900" i="23916" s="1"/>
  <c r="FD689" i="23916"/>
  <c r="FE689" i="23916" s="1"/>
  <c r="BS689" i="23916"/>
  <c r="BS694" i="23916" s="1"/>
  <c r="BQ689" i="23916"/>
  <c r="BO689" i="23916"/>
  <c r="BO694" i="23916" s="1"/>
  <c r="BM689" i="23916"/>
  <c r="BM694" i="23916" s="1"/>
  <c r="BK689" i="23916"/>
  <c r="BK694" i="23916" s="1"/>
  <c r="BI689" i="23916"/>
  <c r="BG689" i="23916"/>
  <c r="BG694" i="23916" s="1"/>
  <c r="BE689" i="23916"/>
  <c r="BC689" i="23916"/>
  <c r="BC694" i="23916" s="1"/>
  <c r="BA689" i="23916"/>
  <c r="AY689" i="23916"/>
  <c r="AY694" i="23916" s="1"/>
  <c r="AW689" i="23916"/>
  <c r="AU689" i="23916"/>
  <c r="AU900" i="23916" s="1"/>
  <c r="AS689" i="23916"/>
  <c r="AQ689" i="23916"/>
  <c r="AQ900" i="23916" s="1"/>
  <c r="AO689" i="23916"/>
  <c r="AO692" i="23916" s="1"/>
  <c r="AM689" i="23916"/>
  <c r="AM900" i="23916" s="1"/>
  <c r="AK689" i="23916"/>
  <c r="AI689" i="23916"/>
  <c r="AI900" i="23916" s="1"/>
  <c r="AG689" i="23916"/>
  <c r="AE689" i="23916"/>
  <c r="AE900" i="23916" s="1"/>
  <c r="AC689" i="23916"/>
  <c r="AA689" i="23916"/>
  <c r="AA900" i="23916" s="1"/>
  <c r="Y689" i="23916"/>
  <c r="Y692" i="23916" s="1"/>
  <c r="W689" i="23916"/>
  <c r="W900" i="23916" s="1"/>
  <c r="U689" i="23916"/>
  <c r="S689" i="23916"/>
  <c r="S900" i="23916" s="1"/>
  <c r="Q689" i="23916"/>
  <c r="O689" i="23916"/>
  <c r="O900" i="23916" s="1"/>
  <c r="M689" i="23916"/>
  <c r="K689" i="23916"/>
  <c r="K900" i="23916" s="1"/>
  <c r="GC687" i="23916"/>
  <c r="GB687" i="23916"/>
  <c r="GB789" i="23916" s="1"/>
  <c r="GA687" i="23916"/>
  <c r="FZ687" i="23916"/>
  <c r="FZ789" i="23916" s="1"/>
  <c r="FY687" i="23916"/>
  <c r="FX687" i="23916"/>
  <c r="FW687" i="23916"/>
  <c r="FV687" i="23916"/>
  <c r="FU687" i="23916"/>
  <c r="FT687" i="23916"/>
  <c r="FS687" i="23916"/>
  <c r="FR687" i="23916"/>
  <c r="FQ687" i="23916"/>
  <c r="FP687" i="23916"/>
  <c r="FO687" i="23916"/>
  <c r="FN687" i="23916"/>
  <c r="FM687" i="23916"/>
  <c r="FL687" i="23916"/>
  <c r="FK687" i="23916"/>
  <c r="FJ687" i="23916"/>
  <c r="FI687" i="23916"/>
  <c r="FH687" i="23916"/>
  <c r="FG687" i="23916"/>
  <c r="FE687" i="23916"/>
  <c r="EP687" i="23916"/>
  <c r="EO687" i="23916"/>
  <c r="EO789" i="23916" s="1"/>
  <c r="EN687" i="23916"/>
  <c r="EM687" i="23916"/>
  <c r="EM789" i="23916" s="1"/>
  <c r="EL687" i="23916"/>
  <c r="EK687" i="23916"/>
  <c r="EK789" i="23916" s="1"/>
  <c r="EJ687" i="23916"/>
  <c r="EI687" i="23916"/>
  <c r="EI789" i="23916" s="1"/>
  <c r="EH687" i="23916"/>
  <c r="EG687" i="23916"/>
  <c r="EG789" i="23916" s="1"/>
  <c r="EF687" i="23916"/>
  <c r="EE687" i="23916"/>
  <c r="EE789" i="23916" s="1"/>
  <c r="ED687" i="23916"/>
  <c r="EC687" i="23916"/>
  <c r="EC789" i="23916" s="1"/>
  <c r="EB687" i="23916"/>
  <c r="EA687" i="23916"/>
  <c r="EA789" i="23916" s="1"/>
  <c r="DZ687" i="23916"/>
  <c r="DY687" i="23916"/>
  <c r="DY789" i="23916" s="1"/>
  <c r="DW687" i="23916"/>
  <c r="DW789" i="23916" s="1"/>
  <c r="DU687" i="23916"/>
  <c r="DU789" i="23916" s="1"/>
  <c r="DT687" i="23916"/>
  <c r="DS687" i="23916"/>
  <c r="DS789" i="23916" s="1"/>
  <c r="DQ687" i="23916"/>
  <c r="DQ789" i="23916" s="1"/>
  <c r="DL687" i="23916"/>
  <c r="DF687" i="23916"/>
  <c r="DE687" i="23916"/>
  <c r="DE789" i="23916" s="1"/>
  <c r="DD687" i="23916"/>
  <c r="DC687" i="23916"/>
  <c r="DC789" i="23916" s="1"/>
  <c r="DB687" i="23916"/>
  <c r="DA687" i="23916"/>
  <c r="DA789" i="23916" s="1"/>
  <c r="CZ687" i="23916"/>
  <c r="CX687" i="23916"/>
  <c r="CV687" i="23916"/>
  <c r="CT687" i="23916"/>
  <c r="CR687" i="23916"/>
  <c r="CP687" i="23916"/>
  <c r="CN687" i="23916"/>
  <c r="CL687" i="23916"/>
  <c r="CJ687" i="23916"/>
  <c r="CH687" i="23916"/>
  <c r="CF687" i="23916"/>
  <c r="CD687" i="23916"/>
  <c r="CB687" i="23916"/>
  <c r="BZ687" i="23916"/>
  <c r="BX687" i="23916"/>
  <c r="BV687" i="23916"/>
  <c r="BT687" i="23916"/>
  <c r="BR687" i="23916"/>
  <c r="BP687" i="23916"/>
  <c r="BN687" i="23916"/>
  <c r="BL687" i="23916"/>
  <c r="BJ687" i="23916"/>
  <c r="BH687" i="23916"/>
  <c r="BF687" i="23916"/>
  <c r="BD687" i="23916"/>
  <c r="BB687" i="23916"/>
  <c r="AZ687" i="23916"/>
  <c r="AX687" i="23916"/>
  <c r="AV687" i="23916"/>
  <c r="AT687" i="23916"/>
  <c r="AR687" i="23916"/>
  <c r="AP687" i="23916"/>
  <c r="AN687" i="23916"/>
  <c r="AL687" i="23916"/>
  <c r="AJ687" i="23916"/>
  <c r="AH687" i="23916"/>
  <c r="AF687" i="23916"/>
  <c r="AD687" i="23916"/>
  <c r="AB687" i="23916"/>
  <c r="Z687" i="23916"/>
  <c r="X687" i="23916"/>
  <c r="V687" i="23916"/>
  <c r="T687" i="23916"/>
  <c r="R687" i="23916"/>
  <c r="P687" i="23916"/>
  <c r="L687" i="23916"/>
  <c r="E687" i="23916"/>
  <c r="N687" i="23916" s="1"/>
  <c r="GN685" i="23916"/>
  <c r="GN793" i="23916" s="1"/>
  <c r="GO793" i="23916" s="1"/>
  <c r="GL685" i="23916"/>
  <c r="GL793" i="23916" s="1"/>
  <c r="GJ685" i="23916"/>
  <c r="GJ793" i="23916" s="1"/>
  <c r="GH685" i="23916"/>
  <c r="GH793" i="23916" s="1"/>
  <c r="GF685" i="23916"/>
  <c r="GF793" i="23916" s="1"/>
  <c r="GD685" i="23916"/>
  <c r="GD793" i="23916" s="1"/>
  <c r="GB685" i="23916"/>
  <c r="GB793" i="23916" s="1"/>
  <c r="GB684" i="23916"/>
  <c r="GB788" i="23916" s="1"/>
  <c r="FZ686" i="23916"/>
  <c r="FZ685" i="23916"/>
  <c r="FZ793" i="23916" s="1"/>
  <c r="FZ684" i="23916"/>
  <c r="FX685" i="23916"/>
  <c r="GA685" i="23916" s="1"/>
  <c r="FX684" i="23916"/>
  <c r="FX788" i="23916" s="1"/>
  <c r="FV686" i="23916"/>
  <c r="FV685" i="23916"/>
  <c r="FV793" i="23916" s="1"/>
  <c r="FV684" i="23916"/>
  <c r="EU686" i="23916"/>
  <c r="EW686" i="23916" s="1"/>
  <c r="EQ686" i="23916"/>
  <c r="ES686" i="23916" s="1"/>
  <c r="DO686" i="23916"/>
  <c r="DO687" i="23916" s="1"/>
  <c r="DO789" i="23916" s="1"/>
  <c r="DM686" i="23916"/>
  <c r="DM687" i="23916" s="1"/>
  <c r="DK686" i="23916"/>
  <c r="DK687" i="23916" s="1"/>
  <c r="DK789" i="23916" s="1"/>
  <c r="DI686" i="23916"/>
  <c r="DI687" i="23916" s="1"/>
  <c r="DG686" i="23916"/>
  <c r="DG687" i="23916" s="1"/>
  <c r="DG789" i="23916" s="1"/>
  <c r="CO686" i="23916"/>
  <c r="CM686" i="23916"/>
  <c r="CC686" i="23916"/>
  <c r="CA686" i="23916"/>
  <c r="BY686" i="23916"/>
  <c r="BW686" i="23916"/>
  <c r="BU686" i="23916"/>
  <c r="BS686" i="23916"/>
  <c r="BQ686" i="23916"/>
  <c r="BO686" i="23916"/>
  <c r="BM686" i="23916"/>
  <c r="BK686" i="23916"/>
  <c r="BI686" i="23916"/>
  <c r="BG686" i="23916"/>
  <c r="GM685" i="23916"/>
  <c r="GK685" i="23916"/>
  <c r="GE685" i="23916"/>
  <c r="GC685" i="23916"/>
  <c r="FW685" i="23916"/>
  <c r="FE685" i="23916"/>
  <c r="FE684" i="23916"/>
  <c r="EP685" i="23916"/>
  <c r="EN685" i="23916"/>
  <c r="EL685" i="23916"/>
  <c r="EJ685" i="23916"/>
  <c r="EH685" i="23916"/>
  <c r="EF685" i="23916"/>
  <c r="ED685" i="23916"/>
  <c r="EB685" i="23916"/>
  <c r="DZ685" i="23916"/>
  <c r="DX685" i="23916"/>
  <c r="DV685" i="23916"/>
  <c r="DT685" i="23916"/>
  <c r="DR685" i="23916"/>
  <c r="DP685" i="23916"/>
  <c r="DN685" i="23916"/>
  <c r="DL685" i="23916"/>
  <c r="DJ685" i="23916"/>
  <c r="DH685" i="23916"/>
  <c r="DF685" i="23916"/>
  <c r="DD685" i="23916"/>
  <c r="DB685" i="23916"/>
  <c r="CZ685" i="23916"/>
  <c r="CZ684" i="23916"/>
  <c r="CX685" i="23916"/>
  <c r="CX684" i="23916"/>
  <c r="CV685" i="23916"/>
  <c r="CV684" i="23916"/>
  <c r="CT685" i="23916"/>
  <c r="CT684" i="23916"/>
  <c r="CR685" i="23916"/>
  <c r="CR684" i="23916"/>
  <c r="CP685" i="23916"/>
  <c r="CP684" i="23916"/>
  <c r="CN685" i="23916"/>
  <c r="CN684" i="23916"/>
  <c r="CL685" i="23916"/>
  <c r="CL684" i="23916"/>
  <c r="CJ685" i="23916"/>
  <c r="CJ684" i="23916"/>
  <c r="CH685" i="23916"/>
  <c r="CH684" i="23916"/>
  <c r="CF685" i="23916"/>
  <c r="CF684" i="23916"/>
  <c r="CD685" i="23916"/>
  <c r="CD684" i="23916"/>
  <c r="CB685" i="23916"/>
  <c r="CB684" i="23916"/>
  <c r="BZ685" i="23916"/>
  <c r="BZ684" i="23916"/>
  <c r="BX685" i="23916"/>
  <c r="BX684" i="23916"/>
  <c r="BV685" i="23916"/>
  <c r="BV684" i="23916"/>
  <c r="BT685" i="23916"/>
  <c r="BT684" i="23916"/>
  <c r="BR685" i="23916"/>
  <c r="BR684" i="23916"/>
  <c r="BP685" i="23916"/>
  <c r="BP684" i="23916"/>
  <c r="BN685" i="23916"/>
  <c r="BN684" i="23916"/>
  <c r="BL685" i="23916"/>
  <c r="BL684" i="23916"/>
  <c r="BJ685" i="23916"/>
  <c r="BJ684" i="23916"/>
  <c r="BH685" i="23916"/>
  <c r="BH684" i="23916"/>
  <c r="BF685" i="23916"/>
  <c r="BF684" i="23916"/>
  <c r="BD685" i="23916"/>
  <c r="BD684" i="23916"/>
  <c r="BB685" i="23916"/>
  <c r="BB684" i="23916"/>
  <c r="AZ685" i="23916"/>
  <c r="AZ684" i="23916"/>
  <c r="AX685" i="23916"/>
  <c r="AX684" i="23916"/>
  <c r="AV685" i="23916"/>
  <c r="AV684" i="23916"/>
  <c r="AT685" i="23916"/>
  <c r="AT684" i="23916"/>
  <c r="AR685" i="23916"/>
  <c r="AR684" i="23916"/>
  <c r="AP685" i="23916"/>
  <c r="AP684" i="23916"/>
  <c r="AN685" i="23916"/>
  <c r="AN684" i="23916"/>
  <c r="AL685" i="23916"/>
  <c r="AL684" i="23916"/>
  <c r="AJ685" i="23916"/>
  <c r="AJ684" i="23916"/>
  <c r="AH685" i="23916"/>
  <c r="AH684" i="23916"/>
  <c r="AF685" i="23916"/>
  <c r="AF684" i="23916"/>
  <c r="AD685" i="23916"/>
  <c r="AD684" i="23916"/>
  <c r="AB685" i="23916"/>
  <c r="AB684" i="23916"/>
  <c r="Z685" i="23916"/>
  <c r="Z684" i="23916"/>
  <c r="X685" i="23916"/>
  <c r="X684" i="23916"/>
  <c r="V685" i="23916"/>
  <c r="V684" i="23916"/>
  <c r="T685" i="23916"/>
  <c r="T684" i="23916"/>
  <c r="R685" i="23916"/>
  <c r="R684" i="23916"/>
  <c r="P685" i="23916"/>
  <c r="P684" i="23916"/>
  <c r="N685" i="23916"/>
  <c r="N684" i="23916"/>
  <c r="L685" i="23916"/>
  <c r="L684" i="23916"/>
  <c r="FU685" i="23916"/>
  <c r="FT685" i="23916"/>
  <c r="FT793" i="23916" s="1"/>
  <c r="FS685" i="23916"/>
  <c r="FR685" i="23916"/>
  <c r="FQ685" i="23916"/>
  <c r="FP685" i="23916"/>
  <c r="FO685" i="23916"/>
  <c r="FN685" i="23916"/>
  <c r="FM685" i="23916"/>
  <c r="FL685" i="23916"/>
  <c r="FK685" i="23916"/>
  <c r="FJ685" i="23916"/>
  <c r="FI685" i="23916"/>
  <c r="FH685" i="23916"/>
  <c r="FG685" i="23916"/>
  <c r="FT684" i="23916"/>
  <c r="FR684" i="23916"/>
  <c r="FS684" i="23916" s="1"/>
  <c r="FP684" i="23916"/>
  <c r="FQ684" i="23916" s="1"/>
  <c r="FN684" i="23916"/>
  <c r="FO684" i="23916" s="1"/>
  <c r="FL684" i="23916"/>
  <c r="FJ684" i="23916"/>
  <c r="FK684" i="23916" s="1"/>
  <c r="FH684" i="23916"/>
  <c r="FI684" i="23916" s="1"/>
  <c r="FF684" i="23916"/>
  <c r="FG684" i="23916" s="1"/>
  <c r="DC684" i="23916"/>
  <c r="DA684" i="23916"/>
  <c r="DA788" i="23916" s="1"/>
  <c r="O681" i="23916"/>
  <c r="M681" i="23916"/>
  <c r="K681" i="23916"/>
  <c r="GX677" i="23916"/>
  <c r="GV677" i="23916"/>
  <c r="GT677" i="23916"/>
  <c r="GR677" i="23916"/>
  <c r="EW677" i="23916"/>
  <c r="EW676" i="23916"/>
  <c r="EU677" i="23916"/>
  <c r="ES677" i="23916"/>
  <c r="ES676" i="23916"/>
  <c r="EQ677" i="23916"/>
  <c r="GW676" i="23916"/>
  <c r="GW675" i="23916"/>
  <c r="GU676" i="23916"/>
  <c r="GU675" i="23916"/>
  <c r="GS676" i="23916"/>
  <c r="GS675" i="23916"/>
  <c r="GP676" i="23916"/>
  <c r="GL676" i="23916"/>
  <c r="GI676" i="23916"/>
  <c r="GH676" i="23916"/>
  <c r="GF676" i="23916"/>
  <c r="GE676" i="23916"/>
  <c r="GD676" i="23916"/>
  <c r="GG676" i="23916" s="1"/>
  <c r="GB676" i="23916"/>
  <c r="GA676" i="23916"/>
  <c r="FZ676" i="23916"/>
  <c r="GC676" i="23916" s="1"/>
  <c r="FX676" i="23916"/>
  <c r="FT676" i="23916"/>
  <c r="FS676" i="23916"/>
  <c r="FR676" i="23916"/>
  <c r="FU676" i="23916" s="1"/>
  <c r="FP676" i="23916"/>
  <c r="FK676" i="23916"/>
  <c r="FJ676" i="23916"/>
  <c r="FH676" i="23916"/>
  <c r="EX676" i="23916"/>
  <c r="EX675" i="23916"/>
  <c r="EV676" i="23916"/>
  <c r="EV675" i="23916"/>
  <c r="ET675" i="23916"/>
  <c r="ER676" i="23916"/>
  <c r="ER675" i="23916"/>
  <c r="EP676" i="23916"/>
  <c r="EO676" i="23916"/>
  <c r="EN676" i="23916"/>
  <c r="EL676" i="23916"/>
  <c r="EK676" i="23916"/>
  <c r="GN676" i="23916" s="1"/>
  <c r="EJ676" i="23916"/>
  <c r="EH676" i="23916"/>
  <c r="EH675" i="23916"/>
  <c r="EH673" i="23916"/>
  <c r="EF676" i="23916"/>
  <c r="EF675" i="23916"/>
  <c r="EF673" i="23916"/>
  <c r="ED676" i="23916"/>
  <c r="ED675" i="23916"/>
  <c r="ED673" i="23916"/>
  <c r="EB676" i="23916"/>
  <c r="EB675" i="23916"/>
  <c r="EB673" i="23916"/>
  <c r="DZ676" i="23916"/>
  <c r="DZ675" i="23916"/>
  <c r="DZ673" i="23916"/>
  <c r="DX676" i="23916"/>
  <c r="DX675" i="23916"/>
  <c r="DX673" i="23916"/>
  <c r="DV676" i="23916"/>
  <c r="DU676" i="23916"/>
  <c r="DS676" i="23916"/>
  <c r="GJ676" i="23916" s="1"/>
  <c r="DR676" i="23916"/>
  <c r="DP676" i="23916"/>
  <c r="DP675" i="23916"/>
  <c r="DP673" i="23916"/>
  <c r="DN676" i="23916"/>
  <c r="DN675" i="23916"/>
  <c r="DN674" i="23916"/>
  <c r="DN673" i="23916"/>
  <c r="DL676" i="23916"/>
  <c r="DL675" i="23916"/>
  <c r="DL674" i="23916"/>
  <c r="DL673" i="23916"/>
  <c r="DJ676" i="23916"/>
  <c r="DJ675" i="23916"/>
  <c r="DJ674" i="23916"/>
  <c r="DJ673" i="23916"/>
  <c r="DH676" i="23916"/>
  <c r="DH675" i="23916"/>
  <c r="DH674" i="23916"/>
  <c r="DH673" i="23916"/>
  <c r="DF676" i="23916"/>
  <c r="DF675" i="23916"/>
  <c r="DF674" i="23916"/>
  <c r="DF673" i="23916"/>
  <c r="DD676" i="23916"/>
  <c r="DD675" i="23916"/>
  <c r="DD674" i="23916"/>
  <c r="DD673" i="23916"/>
  <c r="DB676" i="23916"/>
  <c r="DB675" i="23916"/>
  <c r="DB674" i="23916"/>
  <c r="DB673" i="23916"/>
  <c r="CZ676" i="23916"/>
  <c r="CZ675" i="23916"/>
  <c r="CZ674" i="23916"/>
  <c r="CZ673" i="23916"/>
  <c r="CX676" i="23916"/>
  <c r="CX675" i="23916"/>
  <c r="CX674" i="23916"/>
  <c r="CX673" i="23916"/>
  <c r="CV676" i="23916"/>
  <c r="CV675" i="23916"/>
  <c r="CV674" i="23916"/>
  <c r="CV673" i="23916"/>
  <c r="CT676" i="23916"/>
  <c r="CT675" i="23916"/>
  <c r="CT674" i="23916"/>
  <c r="CT673" i="23916"/>
  <c r="CR676" i="23916"/>
  <c r="CR675" i="23916"/>
  <c r="CR674" i="23916"/>
  <c r="CR673" i="23916"/>
  <c r="CP676" i="23916"/>
  <c r="CP675" i="23916"/>
  <c r="CP674" i="23916"/>
  <c r="CP673" i="23916"/>
  <c r="CN676" i="23916"/>
  <c r="CN675" i="23916"/>
  <c r="CN674" i="23916"/>
  <c r="CN673" i="23916"/>
  <c r="CL676" i="23916"/>
  <c r="CL675" i="23916"/>
  <c r="CL674" i="23916"/>
  <c r="CL673" i="23916"/>
  <c r="CJ676" i="23916"/>
  <c r="CJ675" i="23916"/>
  <c r="CJ674" i="23916"/>
  <c r="CJ673" i="23916"/>
  <c r="CH676" i="23916"/>
  <c r="CH675" i="23916"/>
  <c r="CH674" i="23916"/>
  <c r="CH673" i="23916"/>
  <c r="CF676" i="23916"/>
  <c r="CF675" i="23916"/>
  <c r="CF674" i="23916"/>
  <c r="CF673" i="23916"/>
  <c r="CD676" i="23916"/>
  <c r="CD675" i="23916"/>
  <c r="CD674" i="23916"/>
  <c r="CD673" i="23916"/>
  <c r="CB676" i="23916"/>
  <c r="CB675" i="23916"/>
  <c r="CB674" i="23916"/>
  <c r="CB673" i="23916"/>
  <c r="BZ676" i="23916"/>
  <c r="BZ675" i="23916"/>
  <c r="BZ673" i="23916"/>
  <c r="BX676" i="23916"/>
  <c r="BX675" i="23916"/>
  <c r="BX673" i="23916"/>
  <c r="BV676" i="23916"/>
  <c r="BV675" i="23916"/>
  <c r="BV673" i="23916"/>
  <c r="BT676" i="23916"/>
  <c r="BT675" i="23916"/>
  <c r="BT673" i="23916"/>
  <c r="BR676" i="23916"/>
  <c r="BQ676" i="23916"/>
  <c r="FV676" i="23916" s="1"/>
  <c r="BP676" i="23916"/>
  <c r="BN676" i="23916"/>
  <c r="BN675" i="23916"/>
  <c r="BN673" i="23916"/>
  <c r="BL676" i="23916"/>
  <c r="BL675" i="23916"/>
  <c r="BL673" i="23916"/>
  <c r="BJ676" i="23916"/>
  <c r="BJ675" i="23916"/>
  <c r="BJ674" i="23916"/>
  <c r="BJ673" i="23916"/>
  <c r="BH676" i="23916"/>
  <c r="BH675" i="23916"/>
  <c r="BH673" i="23916"/>
  <c r="BF676" i="23916"/>
  <c r="BF675" i="23916"/>
  <c r="BF674" i="23916"/>
  <c r="BF673" i="23916"/>
  <c r="BD676" i="23916"/>
  <c r="BD675" i="23916"/>
  <c r="BD674" i="23916"/>
  <c r="BD673" i="23916"/>
  <c r="BB676" i="23916"/>
  <c r="BB675" i="23916"/>
  <c r="BB674" i="23916"/>
  <c r="BB673" i="23916"/>
  <c r="AZ676" i="23916"/>
  <c r="AZ675" i="23916"/>
  <c r="AZ674" i="23916"/>
  <c r="AZ673" i="23916"/>
  <c r="AX676" i="23916"/>
  <c r="AX675" i="23916"/>
  <c r="AX673" i="23916"/>
  <c r="AV676" i="23916"/>
  <c r="AV675" i="23916"/>
  <c r="AV673" i="23916"/>
  <c r="AT675" i="23916"/>
  <c r="AT673" i="23916"/>
  <c r="AR675" i="23916"/>
  <c r="AR673" i="23916"/>
  <c r="AP675" i="23916"/>
  <c r="AP673" i="23916"/>
  <c r="AN676" i="23916"/>
  <c r="AN675" i="23916"/>
  <c r="AN673" i="23916"/>
  <c r="AF676" i="23916"/>
  <c r="AD676" i="23916"/>
  <c r="AD675" i="23916"/>
  <c r="AD673" i="23916"/>
  <c r="AB676" i="23916"/>
  <c r="AB675" i="23916"/>
  <c r="AB673" i="23916"/>
  <c r="Z676" i="23916"/>
  <c r="Z675" i="23916"/>
  <c r="Z673" i="23916"/>
  <c r="X676" i="23916"/>
  <c r="X675" i="23916"/>
  <c r="X673" i="23916"/>
  <c r="V676" i="23916"/>
  <c r="V675" i="23916"/>
  <c r="V673" i="23916"/>
  <c r="T676" i="23916"/>
  <c r="T675" i="23916"/>
  <c r="T673" i="23916"/>
  <c r="R675" i="23916"/>
  <c r="R673" i="23916"/>
  <c r="P676" i="23916"/>
  <c r="P675" i="23916"/>
  <c r="P673" i="23916"/>
  <c r="N676" i="23916"/>
  <c r="N675" i="23916"/>
  <c r="N673" i="23916"/>
  <c r="L676" i="23916"/>
  <c r="L675" i="23916"/>
  <c r="L673" i="23916"/>
  <c r="I676" i="23916"/>
  <c r="R676" i="23916" s="1"/>
  <c r="GQ675" i="23916"/>
  <c r="GO675" i="23916"/>
  <c r="GM675" i="23916"/>
  <c r="GM673" i="23916"/>
  <c r="GK675" i="23916"/>
  <c r="GI675" i="23916"/>
  <c r="GG675" i="23916"/>
  <c r="GE675" i="23916"/>
  <c r="GE673" i="23916"/>
  <c r="GC675" i="23916"/>
  <c r="GA675" i="23916"/>
  <c r="FY675" i="23916"/>
  <c r="FW675" i="23916"/>
  <c r="FW673" i="23916"/>
  <c r="FU675" i="23916"/>
  <c r="FS675" i="23916"/>
  <c r="FQ675" i="23916"/>
  <c r="FO675" i="23916"/>
  <c r="FO673" i="23916"/>
  <c r="FM675" i="23916"/>
  <c r="FK675" i="23916"/>
  <c r="FI675" i="23916"/>
  <c r="FG675" i="23916"/>
  <c r="FG673" i="23916"/>
  <c r="EP675" i="23916"/>
  <c r="EP673" i="23916"/>
  <c r="EN675" i="23916"/>
  <c r="EN673" i="23916"/>
  <c r="EL675" i="23916"/>
  <c r="EL673" i="23916"/>
  <c r="EJ675" i="23916"/>
  <c r="EJ673" i="23916"/>
  <c r="DV675" i="23916"/>
  <c r="DV674" i="23916"/>
  <c r="DV673" i="23916"/>
  <c r="DT675" i="23916"/>
  <c r="DT673" i="23916"/>
  <c r="DR675" i="23916"/>
  <c r="DR674" i="23916"/>
  <c r="DR673" i="23916"/>
  <c r="BR675" i="23916"/>
  <c r="BR674" i="23916"/>
  <c r="BR673" i="23916"/>
  <c r="BP675" i="23916"/>
  <c r="BP673" i="23916"/>
  <c r="AL675" i="23916"/>
  <c r="AL673" i="23916"/>
  <c r="AJ675" i="23916"/>
  <c r="AJ674" i="23916"/>
  <c r="AJ673" i="23916"/>
  <c r="AH675" i="23916"/>
  <c r="AH673" i="23916"/>
  <c r="AF675" i="23916"/>
  <c r="AF673" i="23916"/>
  <c r="GN673" i="23916"/>
  <c r="GO673" i="23916" s="1"/>
  <c r="GL673" i="23916"/>
  <c r="GJ673" i="23916"/>
  <c r="GK673" i="23916" s="1"/>
  <c r="GH673" i="23916"/>
  <c r="GI673" i="23916" s="1"/>
  <c r="GF674" i="23916"/>
  <c r="GF673" i="23916"/>
  <c r="GG673" i="23916" s="1"/>
  <c r="GD674" i="23916"/>
  <c r="GE674" i="23916" s="1"/>
  <c r="GD673" i="23916"/>
  <c r="GB674" i="23916"/>
  <c r="GC674" i="23916" s="1"/>
  <c r="GB673" i="23916"/>
  <c r="GC673" i="23916" s="1"/>
  <c r="FZ674" i="23916"/>
  <c r="GA674" i="23916" s="1"/>
  <c r="FZ673" i="23916"/>
  <c r="GA673" i="23916" s="1"/>
  <c r="FX674" i="23916"/>
  <c r="FX673" i="23916"/>
  <c r="FY673" i="23916" s="1"/>
  <c r="FV674" i="23916"/>
  <c r="FV673" i="23916"/>
  <c r="FT673" i="23916"/>
  <c r="FU673" i="23916" s="1"/>
  <c r="FR674" i="23916"/>
  <c r="FS674" i="23916" s="1"/>
  <c r="FR673" i="23916"/>
  <c r="FS673" i="23916" s="1"/>
  <c r="FP674" i="23916"/>
  <c r="FP673" i="23916"/>
  <c r="FQ673" i="23916" s="1"/>
  <c r="FN674" i="23916"/>
  <c r="FN673" i="23916"/>
  <c r="FL673" i="23916"/>
  <c r="FM673" i="23916" s="1"/>
  <c r="FJ673" i="23916"/>
  <c r="FK673" i="23916" s="1"/>
  <c r="FH673" i="23916"/>
  <c r="FI673" i="23916" s="1"/>
  <c r="FF673" i="23916"/>
  <c r="EO674" i="23916"/>
  <c r="EP674" i="23916" s="1"/>
  <c r="EM674" i="23916"/>
  <c r="EK674" i="23916"/>
  <c r="EI674" i="23916"/>
  <c r="EJ674" i="23916" s="1"/>
  <c r="EG674" i="23916"/>
  <c r="EH674" i="23916" s="1"/>
  <c r="EA674" i="23916"/>
  <c r="EB674" i="23916" s="1"/>
  <c r="DY674" i="23916"/>
  <c r="DZ674" i="23916" s="1"/>
  <c r="DW674" i="23916"/>
  <c r="DX674" i="23916" s="1"/>
  <c r="DS674" i="23916"/>
  <c r="DT674" i="23916" s="1"/>
  <c r="DQ674" i="23916"/>
  <c r="DO674" i="23916"/>
  <c r="DP674" i="23916" s="1"/>
  <c r="BQ674" i="23916"/>
  <c r="BZ674" i="23916" s="1"/>
  <c r="BO674" i="23916"/>
  <c r="BX674" i="23916" s="1"/>
  <c r="BM674" i="23916"/>
  <c r="BV674" i="23916" s="1"/>
  <c r="BK674" i="23916"/>
  <c r="BT674" i="23916" s="1"/>
  <c r="BG674" i="23916"/>
  <c r="BH674" i="23916" s="1"/>
  <c r="AO674" i="23916"/>
  <c r="AX674" i="23916" s="1"/>
  <c r="AM674" i="23916"/>
  <c r="AV674" i="23916" s="1"/>
  <c r="AK674" i="23916"/>
  <c r="AK676" i="23916" s="1"/>
  <c r="AI674" i="23916"/>
  <c r="AI676" i="23916" s="1"/>
  <c r="AG674" i="23916"/>
  <c r="AG676" i="23916" s="1"/>
  <c r="AA674" i="23916"/>
  <c r="AB674" i="23916" s="1"/>
  <c r="Y674" i="23916"/>
  <c r="AH674" i="23916" s="1"/>
  <c r="W674" i="23916"/>
  <c r="X674" i="23916" s="1"/>
  <c r="U674" i="23916"/>
  <c r="AD674" i="23916" s="1"/>
  <c r="S674" i="23916"/>
  <c r="T674" i="23916" s="1"/>
  <c r="Q674" i="23916"/>
  <c r="R674" i="23916" s="1"/>
  <c r="O674" i="23916"/>
  <c r="P674" i="23916" s="1"/>
  <c r="M674" i="23916"/>
  <c r="N674" i="23916" s="1"/>
  <c r="K674" i="23916"/>
  <c r="L674" i="23916" s="1"/>
  <c r="I674" i="23916"/>
  <c r="FF674" i="23916" s="1"/>
  <c r="FG674" i="23916" s="1"/>
  <c r="G674" i="23916"/>
  <c r="E674" i="23916"/>
  <c r="GY676" i="23916"/>
  <c r="GZ675" i="23916"/>
  <c r="GY675" i="23916"/>
  <c r="EQ673" i="23916"/>
  <c r="ER673" i="23916" s="1"/>
  <c r="FT671" i="23916"/>
  <c r="FU671" i="23916" s="1"/>
  <c r="FR671" i="23916"/>
  <c r="FP671" i="23916"/>
  <c r="FQ671" i="23916" s="1"/>
  <c r="FN671" i="23916"/>
  <c r="FL671" i="23916"/>
  <c r="CL671" i="23916"/>
  <c r="CK671" i="23916"/>
  <c r="CI671" i="23916"/>
  <c r="CJ671" i="23916" s="1"/>
  <c r="CB671" i="23916"/>
  <c r="CB670" i="23916"/>
  <c r="CB668" i="23916"/>
  <c r="BZ671" i="23916"/>
  <c r="BZ670" i="23916"/>
  <c r="BZ669" i="23916"/>
  <c r="BZ668" i="23916"/>
  <c r="BT671" i="23916"/>
  <c r="BR671" i="23916"/>
  <c r="BR670" i="23916"/>
  <c r="BR669" i="23916"/>
  <c r="BR668" i="23916"/>
  <c r="BP671" i="23916"/>
  <c r="BP670" i="23916"/>
  <c r="BP669" i="23916"/>
  <c r="BP668" i="23916"/>
  <c r="BN671" i="23916"/>
  <c r="BN670" i="23916"/>
  <c r="BN669" i="23916"/>
  <c r="BN668" i="23916"/>
  <c r="BL671" i="23916"/>
  <c r="BL670" i="23916"/>
  <c r="BL669" i="23916"/>
  <c r="BL668" i="23916"/>
  <c r="BJ671" i="23916"/>
  <c r="BJ670" i="23916"/>
  <c r="BJ669" i="23916"/>
  <c r="BJ668" i="23916"/>
  <c r="BH671" i="23916"/>
  <c r="BH670" i="23916"/>
  <c r="BH669" i="23916"/>
  <c r="BH668" i="23916"/>
  <c r="BF671" i="23916"/>
  <c r="BF670" i="23916"/>
  <c r="BF669" i="23916"/>
  <c r="BF668" i="23916"/>
  <c r="BD671" i="23916"/>
  <c r="BD670" i="23916"/>
  <c r="BD669" i="23916"/>
  <c r="BD668" i="23916"/>
  <c r="BB671" i="23916"/>
  <c r="BB670" i="23916"/>
  <c r="BB669" i="23916"/>
  <c r="BB668" i="23916"/>
  <c r="AZ671" i="23916"/>
  <c r="AZ670" i="23916"/>
  <c r="AZ669" i="23916"/>
  <c r="AZ668" i="23916"/>
  <c r="AX671" i="23916"/>
  <c r="AX670" i="23916"/>
  <c r="AX669" i="23916"/>
  <c r="AX668" i="23916"/>
  <c r="AV671" i="23916"/>
  <c r="AV670" i="23916"/>
  <c r="AV669" i="23916"/>
  <c r="AV668" i="23916"/>
  <c r="AT671" i="23916"/>
  <c r="AT670" i="23916"/>
  <c r="AT669" i="23916"/>
  <c r="AT668" i="23916"/>
  <c r="AR671" i="23916"/>
  <c r="AR670" i="23916"/>
  <c r="AR669" i="23916"/>
  <c r="AR668" i="23916"/>
  <c r="AP671" i="23916"/>
  <c r="AP670" i="23916"/>
  <c r="AP669" i="23916"/>
  <c r="AP668" i="23916"/>
  <c r="AN671" i="23916"/>
  <c r="AN670" i="23916"/>
  <c r="AN669" i="23916"/>
  <c r="AN668" i="23916"/>
  <c r="AL671" i="23916"/>
  <c r="AL670" i="23916"/>
  <c r="AL669" i="23916"/>
  <c r="AL668" i="23916"/>
  <c r="AJ671" i="23916"/>
  <c r="AJ670" i="23916"/>
  <c r="AJ669" i="23916"/>
  <c r="AJ668" i="23916"/>
  <c r="AH671" i="23916"/>
  <c r="AH670" i="23916"/>
  <c r="AH669" i="23916"/>
  <c r="AH668" i="23916"/>
  <c r="AF671" i="23916"/>
  <c r="AF670" i="23916"/>
  <c r="AF669" i="23916"/>
  <c r="AF668" i="23916"/>
  <c r="AD671" i="23916"/>
  <c r="AD670" i="23916"/>
  <c r="AD669" i="23916"/>
  <c r="AD668" i="23916"/>
  <c r="AB671" i="23916"/>
  <c r="AB670" i="23916"/>
  <c r="AB669" i="23916"/>
  <c r="AB668" i="23916"/>
  <c r="Z671" i="23916"/>
  <c r="Z670" i="23916"/>
  <c r="Z669" i="23916"/>
  <c r="Z668" i="23916"/>
  <c r="X671" i="23916"/>
  <c r="X670" i="23916"/>
  <c r="X669" i="23916"/>
  <c r="X668" i="23916"/>
  <c r="V671" i="23916"/>
  <c r="V670" i="23916"/>
  <c r="V669" i="23916"/>
  <c r="V668" i="23916"/>
  <c r="T671" i="23916"/>
  <c r="T670" i="23916"/>
  <c r="T669" i="23916"/>
  <c r="T668" i="23916"/>
  <c r="R671" i="23916"/>
  <c r="R670" i="23916"/>
  <c r="R669" i="23916"/>
  <c r="R668" i="23916"/>
  <c r="P671" i="23916"/>
  <c r="P670" i="23916"/>
  <c r="P669" i="23916"/>
  <c r="P668" i="23916"/>
  <c r="N671" i="23916"/>
  <c r="N670" i="23916"/>
  <c r="N669" i="23916"/>
  <c r="N668" i="23916"/>
  <c r="L669" i="23916"/>
  <c r="C670" i="23916"/>
  <c r="L670" i="23916" s="1"/>
  <c r="GW670" i="23916"/>
  <c r="GU670" i="23916"/>
  <c r="GS670" i="23916"/>
  <c r="GQ670" i="23916"/>
  <c r="GO670" i="23916"/>
  <c r="GM670" i="23916"/>
  <c r="GK670" i="23916"/>
  <c r="GI670" i="23916"/>
  <c r="GE670" i="23916"/>
  <c r="GD670" i="23916"/>
  <c r="GG670" i="23916" s="1"/>
  <c r="GC670" i="23916"/>
  <c r="GA670" i="23916"/>
  <c r="FY670" i="23916"/>
  <c r="FY668" i="23916"/>
  <c r="FW670" i="23916"/>
  <c r="FU670" i="23916"/>
  <c r="FS670" i="23916"/>
  <c r="FQ670" i="23916"/>
  <c r="FQ669" i="23916"/>
  <c r="FO670" i="23916"/>
  <c r="FO669" i="23916"/>
  <c r="FM670" i="23916"/>
  <c r="FM669" i="23916"/>
  <c r="FK670" i="23916"/>
  <c r="FK669" i="23916"/>
  <c r="FI670" i="23916"/>
  <c r="FG670" i="23916"/>
  <c r="EX670" i="23916"/>
  <c r="EV670" i="23916"/>
  <c r="ET670" i="23916"/>
  <c r="ET668" i="23916"/>
  <c r="ER670" i="23916"/>
  <c r="ER668" i="23916"/>
  <c r="EP670" i="23916"/>
  <c r="EP668" i="23916"/>
  <c r="EN670" i="23916"/>
  <c r="EN668" i="23916"/>
  <c r="EL670" i="23916"/>
  <c r="EL668" i="23916"/>
  <c r="EJ670" i="23916"/>
  <c r="EJ668" i="23916"/>
  <c r="EH670" i="23916"/>
  <c r="EH668" i="23916"/>
  <c r="EF670" i="23916"/>
  <c r="EF668" i="23916"/>
  <c r="ED670" i="23916"/>
  <c r="ED668" i="23916"/>
  <c r="EB670" i="23916"/>
  <c r="EB668" i="23916"/>
  <c r="DZ670" i="23916"/>
  <c r="DZ668" i="23916"/>
  <c r="DX670" i="23916"/>
  <c r="DX669" i="23916"/>
  <c r="DX668" i="23916"/>
  <c r="DV670" i="23916"/>
  <c r="DV668" i="23916"/>
  <c r="DT670" i="23916"/>
  <c r="DT668" i="23916"/>
  <c r="DR670" i="23916"/>
  <c r="DR668" i="23916"/>
  <c r="DP670" i="23916"/>
  <c r="DP669" i="23916"/>
  <c r="DP668" i="23916"/>
  <c r="DN670" i="23916"/>
  <c r="DN668" i="23916"/>
  <c r="DL670" i="23916"/>
  <c r="DL668" i="23916"/>
  <c r="DJ670" i="23916"/>
  <c r="DJ668" i="23916"/>
  <c r="DH670" i="23916"/>
  <c r="DH669" i="23916"/>
  <c r="DH668" i="23916"/>
  <c r="DF670" i="23916"/>
  <c r="DF668" i="23916"/>
  <c r="DD670" i="23916"/>
  <c r="DD668" i="23916"/>
  <c r="DB670" i="23916"/>
  <c r="DB668" i="23916"/>
  <c r="CZ670" i="23916"/>
  <c r="CZ669" i="23916"/>
  <c r="CZ668" i="23916"/>
  <c r="CX670" i="23916"/>
  <c r="CX668" i="23916"/>
  <c r="CV670" i="23916"/>
  <c r="CV668" i="23916"/>
  <c r="CT670" i="23916"/>
  <c r="CT668" i="23916"/>
  <c r="CR670" i="23916"/>
  <c r="CR669" i="23916"/>
  <c r="CR668" i="23916"/>
  <c r="CP670" i="23916"/>
  <c r="CP668" i="23916"/>
  <c r="CN670" i="23916"/>
  <c r="CL670" i="23916"/>
  <c r="CL669" i="23916"/>
  <c r="CL668" i="23916"/>
  <c r="CJ670" i="23916"/>
  <c r="CJ669" i="23916"/>
  <c r="CJ668" i="23916"/>
  <c r="CH670" i="23916"/>
  <c r="CH668" i="23916"/>
  <c r="CF670" i="23916"/>
  <c r="CD670" i="23916"/>
  <c r="CD668" i="23916"/>
  <c r="BX670" i="23916"/>
  <c r="BX668" i="23916"/>
  <c r="BV670" i="23916"/>
  <c r="BV668" i="23916"/>
  <c r="BT670" i="23916"/>
  <c r="BT668" i="23916"/>
  <c r="GN668" i="23916"/>
  <c r="GO668" i="23916" s="1"/>
  <c r="GL668" i="23916"/>
  <c r="GM668" i="23916" s="1"/>
  <c r="GJ668" i="23916"/>
  <c r="GK668" i="23916" s="1"/>
  <c r="GH668" i="23916"/>
  <c r="FZ669" i="23916"/>
  <c r="GA669" i="23916" s="1"/>
  <c r="FX669" i="23916"/>
  <c r="FY669" i="23916" s="1"/>
  <c r="FX668" i="23916"/>
  <c r="FV669" i="23916"/>
  <c r="FV668" i="23916"/>
  <c r="FW668" i="23916" s="1"/>
  <c r="FT668" i="23916"/>
  <c r="FU668" i="23916" s="1"/>
  <c r="FR669" i="23916"/>
  <c r="FS669" i="23916" s="1"/>
  <c r="FR668" i="23916"/>
  <c r="FS668" i="23916" s="1"/>
  <c r="FH669" i="23916"/>
  <c r="FI669" i="23916" s="1"/>
  <c r="FH668" i="23916"/>
  <c r="FH671" i="23916" s="1"/>
  <c r="FF669" i="23916"/>
  <c r="FG669" i="23916" s="1"/>
  <c r="ES668" i="23916"/>
  <c r="EQ669" i="23916"/>
  <c r="EO669" i="23916"/>
  <c r="EO671" i="23916" s="1"/>
  <c r="EM669" i="23916"/>
  <c r="EM671" i="23916" s="1"/>
  <c r="EK669" i="23916"/>
  <c r="EI669" i="23916"/>
  <c r="EI671" i="23916" s="1"/>
  <c r="EG669" i="23916"/>
  <c r="EG671" i="23916" s="1"/>
  <c r="EH671" i="23916" s="1"/>
  <c r="EA669" i="23916"/>
  <c r="DY669" i="23916"/>
  <c r="DY671" i="23916" s="1"/>
  <c r="DW669" i="23916"/>
  <c r="DW671" i="23916" s="1"/>
  <c r="DU669" i="23916"/>
  <c r="DV669" i="23916" s="1"/>
  <c r="DS669" i="23916"/>
  <c r="DS671" i="23916" s="1"/>
  <c r="DQ669" i="23916"/>
  <c r="DQ671" i="23916" s="1"/>
  <c r="DO669" i="23916"/>
  <c r="DO671" i="23916" s="1"/>
  <c r="DP671" i="23916" s="1"/>
  <c r="DM669" i="23916"/>
  <c r="DN669" i="23916" s="1"/>
  <c r="DK669" i="23916"/>
  <c r="GH669" i="23916" s="1"/>
  <c r="DI669" i="23916"/>
  <c r="DI671" i="23916" s="1"/>
  <c r="DJ671" i="23916" s="1"/>
  <c r="DG669" i="23916"/>
  <c r="DE669" i="23916"/>
  <c r="DE671" i="23916" s="1"/>
  <c r="DC669" i="23916"/>
  <c r="DC671" i="23916" s="1"/>
  <c r="DA669" i="23916"/>
  <c r="DB669" i="23916" s="1"/>
  <c r="CY669" i="23916"/>
  <c r="CY671" i="23916" s="1"/>
  <c r="CW669" i="23916"/>
  <c r="CX669" i="23916" s="1"/>
  <c r="CU669" i="23916"/>
  <c r="CU671" i="23916" s="1"/>
  <c r="CS669" i="23916"/>
  <c r="CT669" i="23916" s="1"/>
  <c r="CQ669" i="23916"/>
  <c r="CQ671" i="23916" s="1"/>
  <c r="CR671" i="23916" s="1"/>
  <c r="CO669" i="23916"/>
  <c r="CP669" i="23916" s="1"/>
  <c r="CM669" i="23916"/>
  <c r="GB669" i="23916" s="1"/>
  <c r="CG669" i="23916"/>
  <c r="CH669" i="23916" s="1"/>
  <c r="CE669" i="23916"/>
  <c r="CF669" i="23916" s="1"/>
  <c r="CE668" i="23916"/>
  <c r="CN668" i="23916" s="1"/>
  <c r="BW669" i="23916"/>
  <c r="BW671" i="23916" s="1"/>
  <c r="BU669" i="23916"/>
  <c r="BV669" i="23916" s="1"/>
  <c r="BS669" i="23916"/>
  <c r="CB669" i="23916" s="1"/>
  <c r="GZ670" i="23916"/>
  <c r="GY670" i="23916"/>
  <c r="GF668" i="23916"/>
  <c r="GG668" i="23916" s="1"/>
  <c r="GE668" i="23916"/>
  <c r="GD668" i="23916"/>
  <c r="GD684" i="23916" s="1"/>
  <c r="GB668" i="23916"/>
  <c r="FP668" i="23916"/>
  <c r="FQ668" i="23916" s="1"/>
  <c r="FN668" i="23916"/>
  <c r="FO668" i="23916" s="1"/>
  <c r="FL668" i="23916"/>
  <c r="FM668" i="23916" s="1"/>
  <c r="FJ668" i="23916"/>
  <c r="FK668" i="23916" s="1"/>
  <c r="C668" i="23916"/>
  <c r="C671" i="23916" s="1"/>
  <c r="N665" i="23916"/>
  <c r="N664" i="23916"/>
  <c r="N663" i="23916"/>
  <c r="L665" i="23916"/>
  <c r="L664" i="23916"/>
  <c r="L663" i="23916"/>
  <c r="I665" i="23916"/>
  <c r="I681" i="23916" s="1"/>
  <c r="FR665" i="23916"/>
  <c r="FN665" i="23916"/>
  <c r="FJ665" i="23916"/>
  <c r="FF665" i="23916"/>
  <c r="DD665" i="23916"/>
  <c r="DC665" i="23916"/>
  <c r="DB665" i="23916"/>
  <c r="DA665" i="23916"/>
  <c r="CZ665" i="23916"/>
  <c r="CY665" i="23916"/>
  <c r="CX665" i="23916"/>
  <c r="CW665" i="23916"/>
  <c r="CV665" i="23916"/>
  <c r="CU665" i="23916"/>
  <c r="CT665" i="23916"/>
  <c r="CS665" i="23916"/>
  <c r="CR665" i="23916"/>
  <c r="CQ665" i="23916"/>
  <c r="CP665" i="23916"/>
  <c r="CO665" i="23916"/>
  <c r="CN665" i="23916"/>
  <c r="CM665" i="23916"/>
  <c r="CL665" i="23916"/>
  <c r="CK665" i="23916"/>
  <c r="CJ665" i="23916"/>
  <c r="CI665" i="23916"/>
  <c r="CH665" i="23916"/>
  <c r="CG665" i="23916"/>
  <c r="CF665" i="23916"/>
  <c r="CE665" i="23916"/>
  <c r="CD665" i="23916"/>
  <c r="CC665" i="23916"/>
  <c r="CB665" i="23916"/>
  <c r="CA665" i="23916"/>
  <c r="BZ665" i="23916"/>
  <c r="BY665" i="23916"/>
  <c r="BX665" i="23916"/>
  <c r="BW665" i="23916"/>
  <c r="BV665" i="23916"/>
  <c r="BU665" i="23916"/>
  <c r="BT665" i="23916"/>
  <c r="BS665" i="23916"/>
  <c r="BR665" i="23916"/>
  <c r="BQ665" i="23916"/>
  <c r="BP665" i="23916"/>
  <c r="BO665" i="23916"/>
  <c r="BN665" i="23916"/>
  <c r="BM665" i="23916"/>
  <c r="BL665" i="23916"/>
  <c r="BK665" i="23916"/>
  <c r="BJ665" i="23916"/>
  <c r="BI665" i="23916"/>
  <c r="BH665" i="23916"/>
  <c r="BG665" i="23916"/>
  <c r="BF665" i="23916"/>
  <c r="BE665" i="23916"/>
  <c r="BD665" i="23916"/>
  <c r="BC665" i="23916"/>
  <c r="BB665" i="23916"/>
  <c r="BA665" i="23916"/>
  <c r="AZ665" i="23916"/>
  <c r="AY665" i="23916"/>
  <c r="AX665" i="23916"/>
  <c r="AW665" i="23916"/>
  <c r="AV665" i="23916"/>
  <c r="AU665" i="23916"/>
  <c r="AT665" i="23916"/>
  <c r="AS665" i="23916"/>
  <c r="AR665" i="23916"/>
  <c r="AQ665" i="23916"/>
  <c r="AP665" i="23916"/>
  <c r="AO665" i="23916"/>
  <c r="AN665" i="23916"/>
  <c r="AM665" i="23916"/>
  <c r="AL665" i="23916"/>
  <c r="AK665" i="23916"/>
  <c r="AJ665" i="23916"/>
  <c r="AI665" i="23916"/>
  <c r="AH665" i="23916"/>
  <c r="AG665" i="23916"/>
  <c r="AF665" i="23916"/>
  <c r="AE665" i="23916"/>
  <c r="AD665" i="23916"/>
  <c r="AC665" i="23916"/>
  <c r="AB665" i="23916"/>
  <c r="AA665" i="23916"/>
  <c r="Z665" i="23916"/>
  <c r="Y665" i="23916"/>
  <c r="X665" i="23916"/>
  <c r="W665" i="23916"/>
  <c r="V665" i="23916"/>
  <c r="U665" i="23916"/>
  <c r="T665" i="23916"/>
  <c r="S665" i="23916"/>
  <c r="R665" i="23916"/>
  <c r="Q665" i="23916"/>
  <c r="P665" i="23916"/>
  <c r="P664" i="23916"/>
  <c r="GN663" i="23916"/>
  <c r="GL663" i="23916"/>
  <c r="GJ663" i="23916"/>
  <c r="GH663" i="23916"/>
  <c r="GF663" i="23916"/>
  <c r="GD663" i="23916"/>
  <c r="GB663" i="23916"/>
  <c r="GB665" i="23916" s="1"/>
  <c r="FZ663" i="23916"/>
  <c r="FZ665" i="23916" s="1"/>
  <c r="FX663" i="23916"/>
  <c r="FX665" i="23916" s="1"/>
  <c r="FV663" i="23916"/>
  <c r="FV665" i="23916" s="1"/>
  <c r="FU663" i="23916"/>
  <c r="FT663" i="23916"/>
  <c r="FT665" i="23916" s="1"/>
  <c r="FQ663" i="23916"/>
  <c r="FP663" i="23916"/>
  <c r="FN663" i="23916"/>
  <c r="FM663" i="23916"/>
  <c r="FL663" i="23916"/>
  <c r="FH663" i="23916"/>
  <c r="FG663" i="23916"/>
  <c r="ER663" i="23916"/>
  <c r="EQ663" i="23916"/>
  <c r="EP663" i="23916"/>
  <c r="EN663" i="23916"/>
  <c r="EL663" i="23916"/>
  <c r="EJ663" i="23916"/>
  <c r="EH663" i="23916"/>
  <c r="EF663" i="23916"/>
  <c r="ED663" i="23916"/>
  <c r="EB663" i="23916"/>
  <c r="DZ663" i="23916"/>
  <c r="DX663" i="23916"/>
  <c r="DV663" i="23916"/>
  <c r="DT663" i="23916"/>
  <c r="DR663" i="23916"/>
  <c r="DP663" i="23916"/>
  <c r="DN663" i="23916"/>
  <c r="DL663" i="23916"/>
  <c r="DJ663" i="23916"/>
  <c r="DH663" i="23916"/>
  <c r="DF663" i="23916"/>
  <c r="DD663" i="23916"/>
  <c r="DB663" i="23916"/>
  <c r="CZ663" i="23916"/>
  <c r="CX663" i="23916"/>
  <c r="CV663" i="23916"/>
  <c r="CT663" i="23916"/>
  <c r="CR663" i="23916"/>
  <c r="CP663" i="23916"/>
  <c r="CN663" i="23916"/>
  <c r="CL663" i="23916"/>
  <c r="CJ663" i="23916"/>
  <c r="CH663" i="23916"/>
  <c r="CF663" i="23916"/>
  <c r="CD663" i="23916"/>
  <c r="CB663" i="23916"/>
  <c r="BZ663" i="23916"/>
  <c r="BX663" i="23916"/>
  <c r="BV663" i="23916"/>
  <c r="BT663" i="23916"/>
  <c r="BR663" i="23916"/>
  <c r="BP663" i="23916"/>
  <c r="BN663" i="23916"/>
  <c r="BL663" i="23916"/>
  <c r="BJ663" i="23916"/>
  <c r="BH663" i="23916"/>
  <c r="BF663" i="23916"/>
  <c r="BD663" i="23916"/>
  <c r="BB663" i="23916"/>
  <c r="AZ663" i="23916"/>
  <c r="AX663" i="23916"/>
  <c r="AV663" i="23916"/>
  <c r="AT663" i="23916"/>
  <c r="AR663" i="23916"/>
  <c r="AP663" i="23916"/>
  <c r="AN663" i="23916"/>
  <c r="AL663" i="23916"/>
  <c r="AJ663" i="23916"/>
  <c r="AH663" i="23916"/>
  <c r="AF663" i="23916"/>
  <c r="AD663" i="23916"/>
  <c r="AB663" i="23916"/>
  <c r="Z663" i="23916"/>
  <c r="X663" i="23916"/>
  <c r="V663" i="23916"/>
  <c r="T663" i="23916"/>
  <c r="R663" i="23916"/>
  <c r="P663" i="23916"/>
  <c r="GZ659" i="23916"/>
  <c r="GZ658" i="23916"/>
  <c r="BT657" i="23916"/>
  <c r="BS657" i="23916"/>
  <c r="BR657" i="23916"/>
  <c r="BQ657" i="23916"/>
  <c r="BP657" i="23916"/>
  <c r="BO657" i="23916"/>
  <c r="BN657" i="23916"/>
  <c r="BM657" i="23916"/>
  <c r="BL657" i="23916"/>
  <c r="BK657" i="23916"/>
  <c r="BJ657" i="23916"/>
  <c r="BI657" i="23916"/>
  <c r="BH657" i="23916"/>
  <c r="BG657" i="23916"/>
  <c r="BF657" i="23916"/>
  <c r="BE657" i="23916"/>
  <c r="BD657" i="23916"/>
  <c r="BC657" i="23916"/>
  <c r="BB657" i="23916"/>
  <c r="BA657" i="23916"/>
  <c r="AZ657" i="23916"/>
  <c r="AY657" i="23916"/>
  <c r="BT656" i="23916"/>
  <c r="BS656" i="23916"/>
  <c r="BR656" i="23916"/>
  <c r="BQ656" i="23916"/>
  <c r="BP656" i="23916"/>
  <c r="BO656" i="23916"/>
  <c r="BN656" i="23916"/>
  <c r="BM656" i="23916"/>
  <c r="BL656" i="23916"/>
  <c r="BK656" i="23916"/>
  <c r="BJ656" i="23916"/>
  <c r="BI656" i="23916"/>
  <c r="BH656" i="23916"/>
  <c r="BG656" i="23916"/>
  <c r="BF656" i="23916"/>
  <c r="BE656" i="23916"/>
  <c r="BD656" i="23916"/>
  <c r="BC656" i="23916"/>
  <c r="BB656" i="23916"/>
  <c r="BA656" i="23916"/>
  <c r="AZ656" i="23916"/>
  <c r="AY656" i="23916"/>
  <c r="FD644" i="23916"/>
  <c r="ES644" i="23916"/>
  <c r="CI644" i="23916"/>
  <c r="CE644" i="23916"/>
  <c r="BS644" i="23916"/>
  <c r="BT644" i="23916" s="1"/>
  <c r="BR644" i="23916"/>
  <c r="BQ644" i="23916"/>
  <c r="BO644" i="23916"/>
  <c r="BP644" i="23916" s="1"/>
  <c r="BN644" i="23916"/>
  <c r="BM644" i="23916"/>
  <c r="BK644" i="23916"/>
  <c r="BL644" i="23916" s="1"/>
  <c r="BJ644" i="23916"/>
  <c r="BI644" i="23916"/>
  <c r="BG644" i="23916"/>
  <c r="BH644" i="23916" s="1"/>
  <c r="BF644" i="23916"/>
  <c r="BE644" i="23916"/>
  <c r="BC644" i="23916"/>
  <c r="BD644" i="23916" s="1"/>
  <c r="BB644" i="23916"/>
  <c r="BA644" i="23916"/>
  <c r="AY644" i="23916"/>
  <c r="AZ644" i="23916" s="1"/>
  <c r="AX644" i="23916"/>
  <c r="AW644" i="23916"/>
  <c r="AU644" i="23916"/>
  <c r="AV644" i="23916" s="1"/>
  <c r="AT644" i="23916"/>
  <c r="AS644" i="23916"/>
  <c r="AQ644" i="23916"/>
  <c r="AR644" i="23916" s="1"/>
  <c r="AP644" i="23916"/>
  <c r="AO644" i="23916"/>
  <c r="AM644" i="23916"/>
  <c r="AN644" i="23916" s="1"/>
  <c r="AL644" i="23916"/>
  <c r="AK644" i="23916"/>
  <c r="AI644" i="23916"/>
  <c r="AJ644" i="23916" s="1"/>
  <c r="AH644" i="23916"/>
  <c r="AG644" i="23916"/>
  <c r="AE644" i="23916"/>
  <c r="AF644" i="23916" s="1"/>
  <c r="AD644" i="23916"/>
  <c r="AC644" i="23916"/>
  <c r="AA644" i="23916"/>
  <c r="AB644" i="23916" s="1"/>
  <c r="Z644" i="23916"/>
  <c r="Y644" i="23916"/>
  <c r="W644" i="23916"/>
  <c r="X644" i="23916" s="1"/>
  <c r="V644" i="23916"/>
  <c r="U644" i="23916"/>
  <c r="S644" i="23916"/>
  <c r="T644" i="23916" s="1"/>
  <c r="Q644" i="23916"/>
  <c r="O644" i="23916"/>
  <c r="P644" i="23916" s="1"/>
  <c r="N644" i="23916"/>
  <c r="M644" i="23916"/>
  <c r="K644" i="23916"/>
  <c r="L644" i="23916" s="1"/>
  <c r="I644" i="23916"/>
  <c r="R644" i="23916" s="1"/>
  <c r="G644" i="23916"/>
  <c r="E644" i="23916"/>
  <c r="C644" i="23916"/>
  <c r="I640" i="23916"/>
  <c r="I639" i="23916"/>
  <c r="G639" i="23916"/>
  <c r="G640" i="23916" s="1"/>
  <c r="E639" i="23916"/>
  <c r="C639" i="23916"/>
  <c r="C640" i="23916" s="1"/>
  <c r="FD640" i="23916"/>
  <c r="FD639" i="23916"/>
  <c r="CI639" i="23916"/>
  <c r="CE639" i="23916"/>
  <c r="BQ639" i="23916"/>
  <c r="BQ640" i="23916" s="1"/>
  <c r="BP639" i="23916"/>
  <c r="BO639" i="23916"/>
  <c r="BO640" i="23916" s="1"/>
  <c r="BM639" i="23916"/>
  <c r="BM640" i="23916" s="1"/>
  <c r="BL639" i="23916"/>
  <c r="BK639" i="23916"/>
  <c r="BK640" i="23916" s="1"/>
  <c r="BI639" i="23916"/>
  <c r="BI640" i="23916" s="1"/>
  <c r="BH639" i="23916"/>
  <c r="BG639" i="23916"/>
  <c r="FT639" i="23916" s="1"/>
  <c r="BE639" i="23916"/>
  <c r="BE640" i="23916" s="1"/>
  <c r="BD639" i="23916"/>
  <c r="BC639" i="23916"/>
  <c r="BC640" i="23916" s="1"/>
  <c r="BA639" i="23916"/>
  <c r="BA640" i="23916" s="1"/>
  <c r="AZ639" i="23916"/>
  <c r="AY639" i="23916"/>
  <c r="FR639" i="23916" s="1"/>
  <c r="AW639" i="23916"/>
  <c r="AW640" i="23916" s="1"/>
  <c r="AV639" i="23916"/>
  <c r="AU639" i="23916"/>
  <c r="AU640" i="23916" s="1"/>
  <c r="AS639" i="23916"/>
  <c r="AS640" i="23916" s="1"/>
  <c r="AQ639" i="23916"/>
  <c r="FP639" i="23916" s="1"/>
  <c r="AO639" i="23916"/>
  <c r="AO640" i="23916" s="1"/>
  <c r="AN639" i="23916"/>
  <c r="AM639" i="23916"/>
  <c r="AM640" i="23916" s="1"/>
  <c r="AK639" i="23916"/>
  <c r="AK640" i="23916" s="1"/>
  <c r="AF639" i="23916"/>
  <c r="AE639" i="23916"/>
  <c r="AE640" i="23916" s="1"/>
  <c r="AC639" i="23916"/>
  <c r="AC640" i="23916" s="1"/>
  <c r="AB639" i="23916"/>
  <c r="AA639" i="23916"/>
  <c r="AA640" i="23916" s="1"/>
  <c r="Y639" i="23916"/>
  <c r="Y640" i="23916" s="1"/>
  <c r="X639" i="23916"/>
  <c r="W639" i="23916"/>
  <c r="W640" i="23916" s="1"/>
  <c r="U639" i="23916"/>
  <c r="U640" i="23916" s="1"/>
  <c r="T639" i="23916"/>
  <c r="S639" i="23916"/>
  <c r="S640" i="23916" s="1"/>
  <c r="Q639" i="23916"/>
  <c r="Q640" i="23916" s="1"/>
  <c r="P639" i="23916"/>
  <c r="O639" i="23916"/>
  <c r="O640" i="23916" s="1"/>
  <c r="M639" i="23916"/>
  <c r="M640" i="23916" s="1"/>
  <c r="L639" i="23916"/>
  <c r="K639" i="23916"/>
  <c r="K640" i="23916" s="1"/>
  <c r="GW638" i="23916"/>
  <c r="GW636" i="23916"/>
  <c r="GU638" i="23916"/>
  <c r="GU636" i="23916"/>
  <c r="GP638" i="23916"/>
  <c r="GO638" i="23916"/>
  <c r="GN638" i="23916"/>
  <c r="GN639" i="23916" s="1"/>
  <c r="GL638" i="23916"/>
  <c r="GK638" i="23916"/>
  <c r="GJ638" i="23916"/>
  <c r="GJ639" i="23916" s="1"/>
  <c r="GH638" i="23916"/>
  <c r="GG638" i="23916"/>
  <c r="GF638" i="23916"/>
  <c r="GD638" i="23916"/>
  <c r="GC638" i="23916"/>
  <c r="FZ638" i="23916"/>
  <c r="FX638" i="23916"/>
  <c r="FY638" i="23916" s="1"/>
  <c r="FV638" i="23916"/>
  <c r="FT638" i="23916"/>
  <c r="FU638" i="23916" s="1"/>
  <c r="FR638" i="23916"/>
  <c r="FP638" i="23916"/>
  <c r="FQ638" i="23916" s="1"/>
  <c r="FN638" i="23916"/>
  <c r="FL638" i="23916"/>
  <c r="FM638" i="23916" s="1"/>
  <c r="FJ638" i="23916"/>
  <c r="FJ639" i="23916" s="1"/>
  <c r="FH638" i="23916"/>
  <c r="FI638" i="23916" s="1"/>
  <c r="FG638" i="23916"/>
  <c r="FF638" i="23916"/>
  <c r="FF639" i="23916" s="1"/>
  <c r="FE638" i="23916"/>
  <c r="EX638" i="23916"/>
  <c r="EV638" i="23916"/>
  <c r="ET638" i="23916"/>
  <c r="ER638" i="23916"/>
  <c r="EP638" i="23916"/>
  <c r="EN638" i="23916"/>
  <c r="EL638" i="23916"/>
  <c r="EJ638" i="23916"/>
  <c r="EH638" i="23916"/>
  <c r="EF638" i="23916"/>
  <c r="ED638" i="23916"/>
  <c r="EB638" i="23916"/>
  <c r="DZ638" i="23916"/>
  <c r="DX638" i="23916"/>
  <c r="DV638" i="23916"/>
  <c r="DT638" i="23916"/>
  <c r="DR638" i="23916"/>
  <c r="DP638" i="23916"/>
  <c r="DN638" i="23916"/>
  <c r="DL638" i="23916"/>
  <c r="DJ638" i="23916"/>
  <c r="DH638" i="23916"/>
  <c r="DF638" i="23916"/>
  <c r="DD638" i="23916"/>
  <c r="DB638" i="23916"/>
  <c r="CZ638" i="23916"/>
  <c r="CX638" i="23916"/>
  <c r="CV638" i="23916"/>
  <c r="CT638" i="23916"/>
  <c r="CR638" i="23916"/>
  <c r="CP638" i="23916"/>
  <c r="CN638" i="23916"/>
  <c r="CL638" i="23916"/>
  <c r="CJ638" i="23916"/>
  <c r="CH638" i="23916"/>
  <c r="CF638" i="23916"/>
  <c r="CD638" i="23916"/>
  <c r="CB638" i="23916"/>
  <c r="BZ638" i="23916"/>
  <c r="BX638" i="23916"/>
  <c r="BV638" i="23916"/>
  <c r="BT638" i="23916"/>
  <c r="BT637" i="23916"/>
  <c r="BT635" i="23916"/>
  <c r="BR638" i="23916"/>
  <c r="BR637" i="23916"/>
  <c r="BR636" i="23916"/>
  <c r="BP638" i="23916"/>
  <c r="BP637" i="23916"/>
  <c r="BP636" i="23916"/>
  <c r="BN638" i="23916"/>
  <c r="BN637" i="23916"/>
  <c r="BN636" i="23916"/>
  <c r="BL638" i="23916"/>
  <c r="BL637" i="23916"/>
  <c r="BL636" i="23916"/>
  <c r="BJ638" i="23916"/>
  <c r="BJ637" i="23916"/>
  <c r="BJ636" i="23916"/>
  <c r="BH638" i="23916"/>
  <c r="BH637" i="23916"/>
  <c r="BH636" i="23916"/>
  <c r="BF638" i="23916"/>
  <c r="BF637" i="23916"/>
  <c r="BF636" i="23916"/>
  <c r="BD638" i="23916"/>
  <c r="BD637" i="23916"/>
  <c r="BD636" i="23916"/>
  <c r="BB638" i="23916"/>
  <c r="BB637" i="23916"/>
  <c r="BB636" i="23916"/>
  <c r="AZ638" i="23916"/>
  <c r="AZ637" i="23916"/>
  <c r="AZ636" i="23916"/>
  <c r="AX638" i="23916"/>
  <c r="AX637" i="23916"/>
  <c r="AX636" i="23916"/>
  <c r="AV638" i="23916"/>
  <c r="AV637" i="23916"/>
  <c r="AV636" i="23916"/>
  <c r="AT638" i="23916"/>
  <c r="AT637" i="23916"/>
  <c r="AT636" i="23916"/>
  <c r="AR638" i="23916"/>
  <c r="AR637" i="23916"/>
  <c r="AP638" i="23916"/>
  <c r="AP637" i="23916"/>
  <c r="AN638" i="23916"/>
  <c r="AN637" i="23916"/>
  <c r="AN636" i="23916"/>
  <c r="AL638" i="23916"/>
  <c r="AL637" i="23916"/>
  <c r="AL636" i="23916"/>
  <c r="AJ638" i="23916"/>
  <c r="AJ637" i="23916"/>
  <c r="AH638" i="23916"/>
  <c r="AH637" i="23916"/>
  <c r="AF638" i="23916"/>
  <c r="AF637" i="23916"/>
  <c r="AF636" i="23916"/>
  <c r="AD638" i="23916"/>
  <c r="AD637" i="23916"/>
  <c r="AD636" i="23916"/>
  <c r="AB638" i="23916"/>
  <c r="AB637" i="23916"/>
  <c r="AB636" i="23916"/>
  <c r="Z638" i="23916"/>
  <c r="Z637" i="23916"/>
  <c r="Z636" i="23916"/>
  <c r="X638" i="23916"/>
  <c r="X637" i="23916"/>
  <c r="X636" i="23916"/>
  <c r="V638" i="23916"/>
  <c r="V637" i="23916"/>
  <c r="V636" i="23916"/>
  <c r="T638" i="23916"/>
  <c r="T637" i="23916"/>
  <c r="T636" i="23916"/>
  <c r="R638" i="23916"/>
  <c r="R637" i="23916"/>
  <c r="R636" i="23916"/>
  <c r="P638" i="23916"/>
  <c r="P637" i="23916"/>
  <c r="P636" i="23916"/>
  <c r="N638" i="23916"/>
  <c r="N637" i="23916"/>
  <c r="N636" i="23916"/>
  <c r="L638" i="23916"/>
  <c r="L637" i="23916"/>
  <c r="L636" i="23916"/>
  <c r="GN637" i="23916"/>
  <c r="GN644" i="23916" s="1"/>
  <c r="GJ637" i="23916"/>
  <c r="GB637" i="23916"/>
  <c r="GB639" i="23916" s="1"/>
  <c r="FX637" i="23916"/>
  <c r="FX644" i="23916" s="1"/>
  <c r="FT637" i="23916"/>
  <c r="FR637" i="23916"/>
  <c r="FP637" i="23916"/>
  <c r="FS637" i="23916" s="1"/>
  <c r="FN637" i="23916"/>
  <c r="FL637" i="23916"/>
  <c r="FO637" i="23916" s="1"/>
  <c r="FJ637" i="23916"/>
  <c r="FH637" i="23916"/>
  <c r="FH644" i="23916" s="1"/>
  <c r="FI644" i="23916" s="1"/>
  <c r="FG637" i="23916"/>
  <c r="FF637" i="23916"/>
  <c r="FF644" i="23916" s="1"/>
  <c r="FG644" i="23916" s="1"/>
  <c r="FB637" i="23916"/>
  <c r="FB639" i="23916" s="1"/>
  <c r="ES637" i="23916"/>
  <c r="EQ637" i="23916"/>
  <c r="EQ639" i="23916" s="1"/>
  <c r="EO637" i="23916"/>
  <c r="EO636" i="23916"/>
  <c r="EX636" i="23916" s="1"/>
  <c r="EM637" i="23916"/>
  <c r="EN637" i="23916" s="1"/>
  <c r="EM636" i="23916"/>
  <c r="EV636" i="23916" s="1"/>
  <c r="EK637" i="23916"/>
  <c r="EK636" i="23916"/>
  <c r="ET636" i="23916" s="1"/>
  <c r="EI637" i="23916"/>
  <c r="EI644" i="23916" s="1"/>
  <c r="EI636" i="23916"/>
  <c r="ER636" i="23916" s="1"/>
  <c r="EG637" i="23916"/>
  <c r="EG636" i="23916"/>
  <c r="EH636" i="23916" s="1"/>
  <c r="EE637" i="23916"/>
  <c r="EF637" i="23916" s="1"/>
  <c r="EE636" i="23916"/>
  <c r="EF636" i="23916" s="1"/>
  <c r="EC637" i="23916"/>
  <c r="EC636" i="23916"/>
  <c r="ED636" i="23916" s="1"/>
  <c r="EA637" i="23916"/>
  <c r="EA639" i="23916" s="1"/>
  <c r="EA636" i="23916"/>
  <c r="EB636" i="23916" s="1"/>
  <c r="DY637" i="23916"/>
  <c r="DY636" i="23916"/>
  <c r="DZ636" i="23916" s="1"/>
  <c r="DW637" i="23916"/>
  <c r="DX637" i="23916" s="1"/>
  <c r="DW636" i="23916"/>
  <c r="DX636" i="23916" s="1"/>
  <c r="DU637" i="23916"/>
  <c r="DU636" i="23916"/>
  <c r="DV636" i="23916" s="1"/>
  <c r="DS637" i="23916"/>
  <c r="DS644" i="23916" s="1"/>
  <c r="DS636" i="23916"/>
  <c r="DT636" i="23916" s="1"/>
  <c r="DQ637" i="23916"/>
  <c r="DQ636" i="23916"/>
  <c r="DR636" i="23916" s="1"/>
  <c r="DO637" i="23916"/>
  <c r="DP637" i="23916" s="1"/>
  <c r="DM637" i="23916"/>
  <c r="DM636" i="23916"/>
  <c r="DN636" i="23916" s="1"/>
  <c r="DK637" i="23916"/>
  <c r="DK636" i="23916"/>
  <c r="DL636" i="23916" s="1"/>
  <c r="DI637" i="23916"/>
  <c r="DJ637" i="23916" s="1"/>
  <c r="DI636" i="23916"/>
  <c r="DJ636" i="23916" s="1"/>
  <c r="DG637" i="23916"/>
  <c r="DG636" i="23916"/>
  <c r="DP636" i="23916" s="1"/>
  <c r="DE637" i="23916"/>
  <c r="DE636" i="23916"/>
  <c r="DF636" i="23916" s="1"/>
  <c r="DC637" i="23916"/>
  <c r="DC636" i="23916"/>
  <c r="DD636" i="23916" s="1"/>
  <c r="DA637" i="23916"/>
  <c r="DB637" i="23916" s="1"/>
  <c r="DA636" i="23916"/>
  <c r="DB636" i="23916" s="1"/>
  <c r="CY637" i="23916"/>
  <c r="CY636" i="23916"/>
  <c r="CZ636" i="23916" s="1"/>
  <c r="CW637" i="23916"/>
  <c r="CW636" i="23916"/>
  <c r="CX636" i="23916" s="1"/>
  <c r="CU637" i="23916"/>
  <c r="CU636" i="23916"/>
  <c r="CV636" i="23916" s="1"/>
  <c r="CS637" i="23916"/>
  <c r="CT637" i="23916" s="1"/>
  <c r="CS636" i="23916"/>
  <c r="CT636" i="23916" s="1"/>
  <c r="CQ637" i="23916"/>
  <c r="CQ636" i="23916"/>
  <c r="CR636" i="23916" s="1"/>
  <c r="CO637" i="23916"/>
  <c r="CO636" i="23916"/>
  <c r="CP636" i="23916" s="1"/>
  <c r="CM637" i="23916"/>
  <c r="CM636" i="23916"/>
  <c r="CN636" i="23916" s="1"/>
  <c r="CK637" i="23916"/>
  <c r="CL637" i="23916" s="1"/>
  <c r="CK636" i="23916"/>
  <c r="CL636" i="23916" s="1"/>
  <c r="CG637" i="23916"/>
  <c r="CC637" i="23916"/>
  <c r="CD637" i="23916" s="1"/>
  <c r="CC636" i="23916"/>
  <c r="CD636" i="23916" s="1"/>
  <c r="CA637" i="23916"/>
  <c r="CA636" i="23916"/>
  <c r="CJ636" i="23916" s="1"/>
  <c r="BY637" i="23916"/>
  <c r="BY636" i="23916"/>
  <c r="CH636" i="23916" s="1"/>
  <c r="BW637" i="23916"/>
  <c r="CF637" i="23916" s="1"/>
  <c r="BW636" i="23916"/>
  <c r="CF636" i="23916" s="1"/>
  <c r="BU637" i="23916"/>
  <c r="BV637" i="23916" s="1"/>
  <c r="BU636" i="23916"/>
  <c r="BV636" i="23916" s="1"/>
  <c r="GP636" i="23916"/>
  <c r="GS636" i="23916" s="1"/>
  <c r="GN636" i="23916"/>
  <c r="GJ636" i="23916"/>
  <c r="GK636" i="23916" s="1"/>
  <c r="GH636" i="23916"/>
  <c r="GF636" i="23916"/>
  <c r="GG636" i="23916" s="1"/>
  <c r="GD636" i="23916"/>
  <c r="GB636" i="23916"/>
  <c r="FX636" i="23916"/>
  <c r="FT636" i="23916"/>
  <c r="FU636" i="23916" s="1"/>
  <c r="FR636" i="23916"/>
  <c r="FP636" i="23916"/>
  <c r="FL636" i="23916"/>
  <c r="FM636" i="23916" s="1"/>
  <c r="FJ636" i="23916"/>
  <c r="FH636" i="23916"/>
  <c r="FI636" i="23916" s="1"/>
  <c r="FG636" i="23916"/>
  <c r="FF636" i="23916"/>
  <c r="FE636" i="23916"/>
  <c r="BS636" i="23916"/>
  <c r="BS639" i="23916" s="1"/>
  <c r="AI636" i="23916"/>
  <c r="AR636" i="23916" s="1"/>
  <c r="AG636" i="23916"/>
  <c r="AG639" i="23916" s="1"/>
  <c r="GZ638" i="23916"/>
  <c r="GY638" i="23916"/>
  <c r="GY636" i="23916"/>
  <c r="GN635" i="23916"/>
  <c r="GL635" i="23916"/>
  <c r="GM635" i="23916" s="1"/>
  <c r="GJ635" i="23916"/>
  <c r="GH635" i="23916"/>
  <c r="GI635" i="23916" s="1"/>
  <c r="GF635" i="23916"/>
  <c r="GD635" i="23916"/>
  <c r="GE635" i="23916" s="1"/>
  <c r="GC635" i="23916"/>
  <c r="FZ635" i="23916"/>
  <c r="FY635" i="23916"/>
  <c r="FX635" i="23916"/>
  <c r="GA635" i="23916" s="1"/>
  <c r="FV635" i="23916"/>
  <c r="FU635" i="23916"/>
  <c r="FT635" i="23916"/>
  <c r="FW635" i="23916" s="1"/>
  <c r="FR635" i="23916"/>
  <c r="FQ635" i="23916"/>
  <c r="FP635" i="23916"/>
  <c r="FS635" i="23916" s="1"/>
  <c r="FN635" i="23916"/>
  <c r="FM635" i="23916"/>
  <c r="FL635" i="23916"/>
  <c r="FO635" i="23916" s="1"/>
  <c r="FJ635" i="23916"/>
  <c r="FI635" i="23916"/>
  <c r="FH635" i="23916"/>
  <c r="FK635" i="23916" s="1"/>
  <c r="FG635" i="23916"/>
  <c r="FF635" i="23916"/>
  <c r="EW635" i="23916"/>
  <c r="GP635" i="23916" s="1"/>
  <c r="EU635" i="23916"/>
  <c r="ES635" i="23916"/>
  <c r="BS630" i="23916"/>
  <c r="BS631" i="23916" s="1"/>
  <c r="BO630" i="23916"/>
  <c r="BO631" i="23916" s="1"/>
  <c r="BM630" i="23916"/>
  <c r="BM631" i="23916" s="1"/>
  <c r="BK630" i="23916"/>
  <c r="BK631" i="23916" s="1"/>
  <c r="BG630" i="23916"/>
  <c r="BG631" i="23916" s="1"/>
  <c r="BC630" i="23916"/>
  <c r="BC631" i="23916" s="1"/>
  <c r="AY630" i="23916"/>
  <c r="AY631" i="23916" s="1"/>
  <c r="FB627" i="23916"/>
  <c r="FB628" i="23916" s="1"/>
  <c r="FB842" i="23916" s="1"/>
  <c r="I627" i="23916"/>
  <c r="I628" i="23916" s="1"/>
  <c r="G627" i="23916"/>
  <c r="G626" i="23916"/>
  <c r="E627" i="23916"/>
  <c r="E626" i="23916"/>
  <c r="E628" i="23916" s="1"/>
  <c r="C627" i="23916"/>
  <c r="C628" i="23916" s="1"/>
  <c r="C626" i="23916"/>
  <c r="FL628" i="23916"/>
  <c r="FH628" i="23916"/>
  <c r="FD628" i="23916"/>
  <c r="FN627" i="23916"/>
  <c r="FM627" i="23916"/>
  <c r="FL627" i="23916"/>
  <c r="FO627" i="23916" s="1"/>
  <c r="FJ627" i="23916"/>
  <c r="FI627" i="23916"/>
  <c r="FH627" i="23916"/>
  <c r="FK627" i="23916" s="1"/>
  <c r="FF627" i="23916"/>
  <c r="FE627" i="23916"/>
  <c r="FD627" i="23916"/>
  <c r="FG627" i="23916" s="1"/>
  <c r="EW627" i="23916"/>
  <c r="EV627" i="23916"/>
  <c r="EU627" i="23916"/>
  <c r="ES627" i="23916"/>
  <c r="EQ627" i="23916"/>
  <c r="EM627" i="23916"/>
  <c r="EG627" i="23916"/>
  <c r="DU627" i="23916"/>
  <c r="DS627" i="23916"/>
  <c r="DD627" i="23916"/>
  <c r="DC627" i="23916"/>
  <c r="CV627" i="23916"/>
  <c r="CU627" i="23916"/>
  <c r="CS627" i="23916"/>
  <c r="CQ627" i="23916"/>
  <c r="CN627" i="23916"/>
  <c r="CM627" i="23916"/>
  <c r="CG627" i="23916"/>
  <c r="CH627" i="23916" s="1"/>
  <c r="CE627" i="23916"/>
  <c r="BY627" i="23916"/>
  <c r="BZ627" i="23916" s="1"/>
  <c r="BU627" i="23916"/>
  <c r="BQ627" i="23916"/>
  <c r="BQ628" i="23916" s="1"/>
  <c r="BI627" i="23916"/>
  <c r="BI628" i="23916" s="1"/>
  <c r="AV627" i="23916"/>
  <c r="AU627" i="23916"/>
  <c r="AU628" i="23916" s="1"/>
  <c r="AS627" i="23916"/>
  <c r="AS628" i="23916" s="1"/>
  <c r="AR627" i="23916"/>
  <c r="AQ627" i="23916"/>
  <c r="AQ628" i="23916" s="1"/>
  <c r="AN627" i="23916"/>
  <c r="AM627" i="23916"/>
  <c r="AM628" i="23916" s="1"/>
  <c r="AK627" i="23916"/>
  <c r="AK628" i="23916" s="1"/>
  <c r="AJ627" i="23916"/>
  <c r="AI627" i="23916"/>
  <c r="AI628" i="23916" s="1"/>
  <c r="AG627" i="23916"/>
  <c r="AG628" i="23916" s="1"/>
  <c r="AF627" i="23916"/>
  <c r="AE627" i="23916"/>
  <c r="AE628" i="23916" s="1"/>
  <c r="AC627" i="23916"/>
  <c r="AC628" i="23916" s="1"/>
  <c r="AB627" i="23916"/>
  <c r="AA627" i="23916"/>
  <c r="AA628" i="23916" s="1"/>
  <c r="Y627" i="23916"/>
  <c r="Y628" i="23916" s="1"/>
  <c r="X627" i="23916"/>
  <c r="W627" i="23916"/>
  <c r="W628" i="23916" s="1"/>
  <c r="U627" i="23916"/>
  <c r="U628" i="23916" s="1"/>
  <c r="T627" i="23916"/>
  <c r="S627" i="23916"/>
  <c r="S628" i="23916" s="1"/>
  <c r="Q627" i="23916"/>
  <c r="Q628" i="23916" s="1"/>
  <c r="P627" i="23916"/>
  <c r="O627" i="23916"/>
  <c r="O628" i="23916" s="1"/>
  <c r="M627" i="23916"/>
  <c r="M628" i="23916" s="1"/>
  <c r="L627" i="23916"/>
  <c r="K627" i="23916"/>
  <c r="K628" i="23916" s="1"/>
  <c r="FT626" i="23916"/>
  <c r="FR626" i="23916"/>
  <c r="FR647" i="23916" s="1"/>
  <c r="FS647" i="23916" s="1"/>
  <c r="FP626" i="23916"/>
  <c r="FN626" i="23916"/>
  <c r="FQ626" i="23916" s="1"/>
  <c r="FL626" i="23916"/>
  <c r="FJ626" i="23916"/>
  <c r="FM626" i="23916" s="1"/>
  <c r="FH626" i="23916"/>
  <c r="FF626" i="23916"/>
  <c r="FI626" i="23916" s="1"/>
  <c r="FE626" i="23916"/>
  <c r="BT626" i="23916"/>
  <c r="BR626" i="23916"/>
  <c r="BP626" i="23916"/>
  <c r="BN626" i="23916"/>
  <c r="BL626" i="23916"/>
  <c r="BJ626" i="23916"/>
  <c r="BH626" i="23916"/>
  <c r="BF626" i="23916"/>
  <c r="BD626" i="23916"/>
  <c r="BB626" i="23916"/>
  <c r="AZ626" i="23916"/>
  <c r="AX626" i="23916"/>
  <c r="AV626" i="23916"/>
  <c r="AT626" i="23916"/>
  <c r="AR626" i="23916"/>
  <c r="AP626" i="23916"/>
  <c r="AN626" i="23916"/>
  <c r="AL626" i="23916"/>
  <c r="AJ626" i="23916"/>
  <c r="AH626" i="23916"/>
  <c r="AF626" i="23916"/>
  <c r="AD626" i="23916"/>
  <c r="AB626" i="23916"/>
  <c r="Z626" i="23916"/>
  <c r="X626" i="23916"/>
  <c r="V626" i="23916"/>
  <c r="T626" i="23916"/>
  <c r="R626" i="23916"/>
  <c r="P626" i="23916"/>
  <c r="N626" i="23916"/>
  <c r="L626" i="23916"/>
  <c r="FZ625" i="23916"/>
  <c r="FY625" i="23916"/>
  <c r="FW625" i="23916"/>
  <c r="FW619" i="23916"/>
  <c r="FW618" i="23916"/>
  <c r="FU625" i="23916"/>
  <c r="FS625" i="23916"/>
  <c r="FV624" i="23916"/>
  <c r="FV623" i="23916"/>
  <c r="FV619" i="23916"/>
  <c r="FV618" i="23916"/>
  <c r="FT619" i="23916"/>
  <c r="FT653" i="23916" s="1"/>
  <c r="FT618" i="23916"/>
  <c r="FT652" i="23916" s="1"/>
  <c r="FR619" i="23916"/>
  <c r="FR653" i="23916" s="1"/>
  <c r="FS653" i="23916" s="1"/>
  <c r="FR618" i="23916"/>
  <c r="FR652" i="23916" s="1"/>
  <c r="FS652" i="23916" s="1"/>
  <c r="GB624" i="23916"/>
  <c r="GB623" i="23916"/>
  <c r="DQ624" i="23916"/>
  <c r="DP624" i="23916"/>
  <c r="DO624" i="23916"/>
  <c r="DM624" i="23916"/>
  <c r="DL624" i="23916"/>
  <c r="DK624" i="23916"/>
  <c r="DI624" i="23916"/>
  <c r="DR624" i="23916" s="1"/>
  <c r="DH624" i="23916"/>
  <c r="DG624" i="23916"/>
  <c r="DE624" i="23916"/>
  <c r="DD624" i="23916"/>
  <c r="DC624" i="23916"/>
  <c r="DA624" i="23916"/>
  <c r="CZ624" i="23916"/>
  <c r="CY624" i="23916"/>
  <c r="CW624" i="23916"/>
  <c r="CV624" i="23916"/>
  <c r="CU624" i="23916"/>
  <c r="CS624" i="23916"/>
  <c r="CQ624" i="23916"/>
  <c r="CO624" i="23916"/>
  <c r="CM624" i="23916"/>
  <c r="CK624" i="23916"/>
  <c r="CG624" i="23916"/>
  <c r="CC624" i="23916"/>
  <c r="BY624" i="23916"/>
  <c r="BU624" i="23916"/>
  <c r="BQ624" i="23916"/>
  <c r="BQ658" i="23916" s="1"/>
  <c r="BM624" i="23916"/>
  <c r="BM658" i="23916" s="1"/>
  <c r="BI624" i="23916"/>
  <c r="BI658" i="23916" s="1"/>
  <c r="BE624" i="23916"/>
  <c r="BE658" i="23916" s="1"/>
  <c r="BF658" i="23916" s="1"/>
  <c r="BA624" i="23916"/>
  <c r="BA658" i="23916" s="1"/>
  <c r="BB658" i="23916" s="1"/>
  <c r="DQ623" i="23916"/>
  <c r="DP623" i="23916"/>
  <c r="DO623" i="23916"/>
  <c r="DM623" i="23916"/>
  <c r="DN623" i="23916" s="1"/>
  <c r="DL623" i="23916"/>
  <c r="DK623" i="23916"/>
  <c r="DI623" i="23916"/>
  <c r="DJ623" i="23916" s="1"/>
  <c r="DH623" i="23916"/>
  <c r="DG623" i="23916"/>
  <c r="DE623" i="23916"/>
  <c r="DF623" i="23916" s="1"/>
  <c r="DD623" i="23916"/>
  <c r="DC623" i="23916"/>
  <c r="DA623" i="23916"/>
  <c r="DB623" i="23916" s="1"/>
  <c r="CZ623" i="23916"/>
  <c r="CY623" i="23916"/>
  <c r="CW623" i="23916"/>
  <c r="CX623" i="23916" s="1"/>
  <c r="CV623" i="23916"/>
  <c r="CU623" i="23916"/>
  <c r="CS623" i="23916"/>
  <c r="CT623" i="23916" s="1"/>
  <c r="CR623" i="23916"/>
  <c r="CQ623" i="23916"/>
  <c r="CO623" i="23916"/>
  <c r="CP623" i="23916" s="1"/>
  <c r="CN623" i="23916"/>
  <c r="CM623" i="23916"/>
  <c r="CK623" i="23916"/>
  <c r="CL623" i="23916" s="1"/>
  <c r="CJ623" i="23916"/>
  <c r="CI623" i="23916"/>
  <c r="CI624" i="23916" s="1"/>
  <c r="CG623" i="23916"/>
  <c r="CH623" i="23916" s="1"/>
  <c r="CF623" i="23916"/>
  <c r="CE623" i="23916"/>
  <c r="CE624" i="23916" s="1"/>
  <c r="CC623" i="23916"/>
  <c r="CD623" i="23916" s="1"/>
  <c r="CB623" i="23916"/>
  <c r="CA623" i="23916"/>
  <c r="CA624" i="23916" s="1"/>
  <c r="BY623" i="23916"/>
  <c r="BZ623" i="23916" s="1"/>
  <c r="BX623" i="23916"/>
  <c r="BW623" i="23916"/>
  <c r="BW624" i="23916" s="1"/>
  <c r="BU623" i="23916"/>
  <c r="BV623" i="23916" s="1"/>
  <c r="BT623" i="23916"/>
  <c r="BS623" i="23916"/>
  <c r="BS624" i="23916" s="1"/>
  <c r="BQ623" i="23916"/>
  <c r="BR623" i="23916" s="1"/>
  <c r="BP623" i="23916"/>
  <c r="BO623" i="23916"/>
  <c r="BO624" i="23916" s="1"/>
  <c r="BM623" i="23916"/>
  <c r="BN623" i="23916" s="1"/>
  <c r="BL623" i="23916"/>
  <c r="BK623" i="23916"/>
  <c r="BK624" i="23916" s="1"/>
  <c r="BI623" i="23916"/>
  <c r="BJ623" i="23916" s="1"/>
  <c r="BH623" i="23916"/>
  <c r="BG623" i="23916"/>
  <c r="BG624" i="23916" s="1"/>
  <c r="BE623" i="23916"/>
  <c r="BF623" i="23916" s="1"/>
  <c r="BD623" i="23916"/>
  <c r="BC623" i="23916"/>
  <c r="BC624" i="23916" s="1"/>
  <c r="BA623" i="23916"/>
  <c r="BB623" i="23916" s="1"/>
  <c r="AZ623" i="23916"/>
  <c r="AY623" i="23916"/>
  <c r="AY624" i="23916" s="1"/>
  <c r="DP622" i="23916"/>
  <c r="DN622" i="23916"/>
  <c r="DL622" i="23916"/>
  <c r="DJ622" i="23916"/>
  <c r="DH622" i="23916"/>
  <c r="DF622" i="23916"/>
  <c r="DD622" i="23916"/>
  <c r="GX625" i="23916"/>
  <c r="GY625" i="23916" s="1"/>
  <c r="GW625" i="23916"/>
  <c r="GV625" i="23916"/>
  <c r="GT625" i="23916"/>
  <c r="GU625" i="23916" s="1"/>
  <c r="GR625" i="23916"/>
  <c r="GE625" i="23916"/>
  <c r="GA619" i="23916"/>
  <c r="FZ619" i="23916"/>
  <c r="FX619" i="23916"/>
  <c r="FY619" i="23916" s="1"/>
  <c r="FX618" i="23916"/>
  <c r="EX625" i="23916"/>
  <c r="EW625" i="23916"/>
  <c r="EU625" i="23916"/>
  <c r="ET625" i="23916"/>
  <c r="ES625" i="23916"/>
  <c r="EQ625" i="23916"/>
  <c r="EP625" i="23916"/>
  <c r="EO625" i="23916"/>
  <c r="EM625" i="23916"/>
  <c r="EL625" i="23916"/>
  <c r="EK625" i="23916"/>
  <c r="EI625" i="23916"/>
  <c r="EH625" i="23916"/>
  <c r="EG625" i="23916"/>
  <c r="EE625" i="23916"/>
  <c r="ED625" i="23916"/>
  <c r="EC625" i="23916"/>
  <c r="EA625" i="23916"/>
  <c r="DZ625" i="23916"/>
  <c r="DY625" i="23916"/>
  <c r="DW625" i="23916"/>
  <c r="DV625" i="23916"/>
  <c r="DU625" i="23916"/>
  <c r="DS625" i="23916"/>
  <c r="DR625" i="23916"/>
  <c r="DR623" i="23916"/>
  <c r="DR622" i="23916"/>
  <c r="CL619" i="23916"/>
  <c r="CK619" i="23916"/>
  <c r="CI619" i="23916"/>
  <c r="CJ619" i="23916" s="1"/>
  <c r="CG619" i="23916"/>
  <c r="CE619" i="23916"/>
  <c r="CF619" i="23916" s="1"/>
  <c r="CC619" i="23916"/>
  <c r="CA619" i="23916"/>
  <c r="CB619" i="23916" s="1"/>
  <c r="BY619" i="23916"/>
  <c r="BZ619" i="23916" s="1"/>
  <c r="BW619" i="23916"/>
  <c r="BX619" i="23916" s="1"/>
  <c r="BV619" i="23916"/>
  <c r="BU619" i="23916"/>
  <c r="BS619" i="23916"/>
  <c r="BS653" i="23916" s="1"/>
  <c r="BQ619" i="23916"/>
  <c r="BQ653" i="23916" s="1"/>
  <c r="BR653" i="23916" s="1"/>
  <c r="BO619" i="23916"/>
  <c r="BO653" i="23916" s="1"/>
  <c r="BM619" i="23916"/>
  <c r="BM653" i="23916" s="1"/>
  <c r="BN653" i="23916" s="1"/>
  <c r="BK619" i="23916"/>
  <c r="BK653" i="23916" s="1"/>
  <c r="BI619" i="23916"/>
  <c r="BI653" i="23916" s="1"/>
  <c r="BG619" i="23916"/>
  <c r="BG653" i="23916" s="1"/>
  <c r="BF619" i="23916"/>
  <c r="BE619" i="23916"/>
  <c r="BE653" i="23916" s="1"/>
  <c r="BF653" i="23916" s="1"/>
  <c r="BC619" i="23916"/>
  <c r="BC653" i="23916" s="1"/>
  <c r="BD653" i="23916" s="1"/>
  <c r="BA619" i="23916"/>
  <c r="BA653" i="23916" s="1"/>
  <c r="BB653" i="23916" s="1"/>
  <c r="AY619" i="23916"/>
  <c r="AY653" i="23916" s="1"/>
  <c r="AZ653" i="23916" s="1"/>
  <c r="CI618" i="23916"/>
  <c r="CH618" i="23916"/>
  <c r="CG618" i="23916"/>
  <c r="CE618" i="23916"/>
  <c r="CD618" i="23916"/>
  <c r="CC618" i="23916"/>
  <c r="CA618" i="23916"/>
  <c r="BZ618" i="23916"/>
  <c r="BY618" i="23916"/>
  <c r="BW618" i="23916"/>
  <c r="BV618" i="23916"/>
  <c r="BU618" i="23916"/>
  <c r="BS618" i="23916"/>
  <c r="BR618" i="23916"/>
  <c r="BQ618" i="23916"/>
  <c r="BQ652" i="23916" s="1"/>
  <c r="BO618" i="23916"/>
  <c r="BN618" i="23916"/>
  <c r="BM618" i="23916"/>
  <c r="BM652" i="23916" s="1"/>
  <c r="BK618" i="23916"/>
  <c r="BJ618" i="23916"/>
  <c r="BI618" i="23916"/>
  <c r="BI652" i="23916" s="1"/>
  <c r="BG618" i="23916"/>
  <c r="BF618" i="23916"/>
  <c r="BE618" i="23916"/>
  <c r="BE652" i="23916" s="1"/>
  <c r="BF652" i="23916" s="1"/>
  <c r="BC618" i="23916"/>
  <c r="BB618" i="23916"/>
  <c r="BA618" i="23916"/>
  <c r="BA652" i="23916" s="1"/>
  <c r="BB652" i="23916" s="1"/>
  <c r="AY618" i="23916"/>
  <c r="DQ615" i="23916"/>
  <c r="DR615" i="23916" s="1"/>
  <c r="GA613" i="23916"/>
  <c r="FY613" i="23916"/>
  <c r="FW613" i="23916"/>
  <c r="FU613" i="23916"/>
  <c r="FS613" i="23916"/>
  <c r="CO613" i="23916"/>
  <c r="CN613" i="23916"/>
  <c r="CM613" i="23916"/>
  <c r="CK613" i="23916"/>
  <c r="CJ613" i="23916"/>
  <c r="CI613" i="23916"/>
  <c r="CG613" i="23916"/>
  <c r="CF613" i="23916"/>
  <c r="CE613" i="23916"/>
  <c r="CC613" i="23916"/>
  <c r="CB613" i="23916"/>
  <c r="CA613" i="23916"/>
  <c r="BY613" i="23916"/>
  <c r="BX613" i="23916"/>
  <c r="BW613" i="23916"/>
  <c r="BU613" i="23916"/>
  <c r="BT613" i="23916"/>
  <c r="BS613" i="23916"/>
  <c r="BS647" i="23916" s="1"/>
  <c r="BQ613" i="23916"/>
  <c r="BP613" i="23916"/>
  <c r="BO613" i="23916"/>
  <c r="BO647" i="23916" s="1"/>
  <c r="BM613" i="23916"/>
  <c r="BL613" i="23916"/>
  <c r="BK613" i="23916"/>
  <c r="BK647" i="23916" s="1"/>
  <c r="BI613" i="23916"/>
  <c r="BH613" i="23916"/>
  <c r="BG613" i="23916"/>
  <c r="BG647" i="23916" s="1"/>
  <c r="BE613" i="23916"/>
  <c r="BD613" i="23916"/>
  <c r="BC613" i="23916"/>
  <c r="BC647" i="23916" s="1"/>
  <c r="BD647" i="23916" s="1"/>
  <c r="BA613" i="23916"/>
  <c r="AZ613" i="23916"/>
  <c r="AY613" i="23916"/>
  <c r="AY647" i="23916" s="1"/>
  <c r="AZ647" i="23916" s="1"/>
  <c r="FT608" i="23916"/>
  <c r="FU608" i="23916" s="1"/>
  <c r="FR608" i="23916"/>
  <c r="FS608" i="23916" s="1"/>
  <c r="FP608" i="23916"/>
  <c r="FQ608" i="23916" s="1"/>
  <c r="FN608" i="23916"/>
  <c r="FO608" i="23916" s="1"/>
  <c r="FL608" i="23916"/>
  <c r="FM608" i="23916" s="1"/>
  <c r="FJ608" i="23916"/>
  <c r="FK608" i="23916" s="1"/>
  <c r="FI608" i="23916"/>
  <c r="FG608" i="23916"/>
  <c r="FE608" i="23916"/>
  <c r="BS608" i="23916"/>
  <c r="BT608" i="23916" s="1"/>
  <c r="BR608" i="23916"/>
  <c r="BQ608" i="23916"/>
  <c r="BO608" i="23916"/>
  <c r="BP608" i="23916" s="1"/>
  <c r="BN608" i="23916"/>
  <c r="BM608" i="23916"/>
  <c r="BK608" i="23916"/>
  <c r="BL608" i="23916" s="1"/>
  <c r="BJ608" i="23916"/>
  <c r="BI608" i="23916"/>
  <c r="BG608" i="23916"/>
  <c r="BH608" i="23916" s="1"/>
  <c r="BF608" i="23916"/>
  <c r="BE608" i="23916"/>
  <c r="BC608" i="23916"/>
  <c r="BD608" i="23916" s="1"/>
  <c r="BB608" i="23916"/>
  <c r="BA608" i="23916"/>
  <c r="AY608" i="23916"/>
  <c r="AZ608" i="23916" s="1"/>
  <c r="AX608" i="23916"/>
  <c r="AW608" i="23916"/>
  <c r="AU608" i="23916"/>
  <c r="AV608" i="23916" s="1"/>
  <c r="AT608" i="23916"/>
  <c r="AS608" i="23916"/>
  <c r="AQ608" i="23916"/>
  <c r="AR608" i="23916" s="1"/>
  <c r="AP608" i="23916"/>
  <c r="AO608" i="23916"/>
  <c r="AM608" i="23916"/>
  <c r="AN608" i="23916" s="1"/>
  <c r="AL608" i="23916"/>
  <c r="AK608" i="23916"/>
  <c r="AI608" i="23916"/>
  <c r="AJ608" i="23916" s="1"/>
  <c r="AH608" i="23916"/>
  <c r="AG608" i="23916"/>
  <c r="AE608" i="23916"/>
  <c r="AF608" i="23916" s="1"/>
  <c r="AD608" i="23916"/>
  <c r="AC608" i="23916"/>
  <c r="AA608" i="23916"/>
  <c r="AB608" i="23916" s="1"/>
  <c r="Z608" i="23916"/>
  <c r="Y608" i="23916"/>
  <c r="W608" i="23916"/>
  <c r="X608" i="23916" s="1"/>
  <c r="U608" i="23916"/>
  <c r="S608" i="23916"/>
  <c r="T608" i="23916" s="1"/>
  <c r="R608" i="23916"/>
  <c r="O608" i="23916"/>
  <c r="P608" i="23916" s="1"/>
  <c r="M608" i="23916"/>
  <c r="N608" i="23916" s="1"/>
  <c r="K608" i="23916"/>
  <c r="L608" i="23916" s="1"/>
  <c r="I608" i="23916"/>
  <c r="GN607" i="23916"/>
  <c r="GH607" i="23916"/>
  <c r="GH605" i="23916"/>
  <c r="GF607" i="23916"/>
  <c r="GF605" i="23916"/>
  <c r="GD607" i="23916"/>
  <c r="GD605" i="23916"/>
  <c r="GB607" i="23916"/>
  <c r="FZ607" i="23916"/>
  <c r="GA607" i="23916" s="1"/>
  <c r="FX607" i="23916"/>
  <c r="DP607" i="23916"/>
  <c r="DP605" i="23916"/>
  <c r="DN607" i="23916"/>
  <c r="DN605" i="23916"/>
  <c r="GI605" i="23916"/>
  <c r="GE605" i="23916"/>
  <c r="FK606" i="23916"/>
  <c r="FI606" i="23916"/>
  <c r="FI605" i="23916"/>
  <c r="FI604" i="23916"/>
  <c r="FG606" i="23916"/>
  <c r="FG605" i="23916"/>
  <c r="FG604" i="23916"/>
  <c r="FE606" i="23916"/>
  <c r="FE605" i="23916"/>
  <c r="FE604" i="23916"/>
  <c r="EO607" i="23916"/>
  <c r="EN607" i="23916"/>
  <c r="EM607" i="23916"/>
  <c r="EK607" i="23916"/>
  <c r="EJ607" i="23916"/>
  <c r="EI607" i="23916"/>
  <c r="EG607" i="23916"/>
  <c r="EF607" i="23916"/>
  <c r="EE607" i="23916"/>
  <c r="EC607" i="23916"/>
  <c r="EB607" i="23916"/>
  <c r="EA607" i="23916"/>
  <c r="DY607" i="23916"/>
  <c r="DX607" i="23916"/>
  <c r="DW607" i="23916"/>
  <c r="DU607" i="23916"/>
  <c r="DT607" i="23916"/>
  <c r="DS607" i="23916"/>
  <c r="DR607" i="23916"/>
  <c r="Z606" i="23916"/>
  <c r="GC605" i="23916"/>
  <c r="FZ605" i="23916"/>
  <c r="EA605" i="23916"/>
  <c r="DY605" i="23916"/>
  <c r="DW605" i="23916"/>
  <c r="DU605" i="23916"/>
  <c r="DL605" i="23916"/>
  <c r="DJ605" i="23916"/>
  <c r="DH605" i="23916"/>
  <c r="DF605" i="23916"/>
  <c r="DD605" i="23916"/>
  <c r="DB605" i="23916"/>
  <c r="CZ605" i="23916"/>
  <c r="CX605" i="23916"/>
  <c r="CV605" i="23916"/>
  <c r="CT605" i="23916"/>
  <c r="CR605" i="23916"/>
  <c r="CP605" i="23916"/>
  <c r="CN605" i="23916"/>
  <c r="CL605" i="23916"/>
  <c r="M605" i="23916"/>
  <c r="M604" i="23916"/>
  <c r="K605" i="23916"/>
  <c r="K604" i="23916"/>
  <c r="FJ604" i="23916"/>
  <c r="FK604" i="23916" s="1"/>
  <c r="EO605" i="23916"/>
  <c r="EP605" i="23916" s="1"/>
  <c r="EM605" i="23916"/>
  <c r="EK605" i="23916"/>
  <c r="EL605" i="23916" s="1"/>
  <c r="EI605" i="23916"/>
  <c r="GN605" i="23916" s="1"/>
  <c r="EG605" i="23916"/>
  <c r="EH605" i="23916" s="1"/>
  <c r="EE605" i="23916"/>
  <c r="EC605" i="23916"/>
  <c r="ED605" i="23916" s="1"/>
  <c r="DS605" i="23916"/>
  <c r="DR605" i="23916"/>
  <c r="Z604" i="23916"/>
  <c r="Y604" i="23916"/>
  <c r="Y605" i="23916" s="1"/>
  <c r="Q604" i="23916"/>
  <c r="Q605" i="23916" s="1"/>
  <c r="FH602" i="23916"/>
  <c r="FI602" i="23916" s="1"/>
  <c r="FF602" i="23916"/>
  <c r="FG602" i="23916" s="1"/>
  <c r="FE602" i="23916"/>
  <c r="BT602" i="23916"/>
  <c r="BR602" i="23916"/>
  <c r="BR600" i="23916"/>
  <c r="BR597" i="23916"/>
  <c r="BP602" i="23916"/>
  <c r="BP600" i="23916"/>
  <c r="BP597" i="23916"/>
  <c r="BN600" i="23916"/>
  <c r="BN597" i="23916"/>
  <c r="BL601" i="23916"/>
  <c r="BL600" i="23916"/>
  <c r="BL597" i="23916"/>
  <c r="BJ600" i="23916"/>
  <c r="BJ597" i="23916"/>
  <c r="BH601" i="23916"/>
  <c r="BH600" i="23916"/>
  <c r="BH597" i="23916"/>
  <c r="I602" i="23916"/>
  <c r="G602" i="23916"/>
  <c r="E602" i="23916"/>
  <c r="C602" i="23916"/>
  <c r="FI601" i="23916"/>
  <c r="FG601" i="23916"/>
  <c r="FG600" i="23916"/>
  <c r="FG599" i="23916"/>
  <c r="FG598" i="23916"/>
  <c r="FG597" i="23916"/>
  <c r="FE601" i="23916"/>
  <c r="FE600" i="23916"/>
  <c r="FE599" i="23916"/>
  <c r="FE598" i="23916"/>
  <c r="FE597" i="23916"/>
  <c r="EA600" i="23916"/>
  <c r="EA597" i="23916"/>
  <c r="DY600" i="23916"/>
  <c r="DY599" i="23916"/>
  <c r="DY597" i="23916"/>
  <c r="DW600" i="23916"/>
  <c r="DW597" i="23916"/>
  <c r="DU600" i="23916"/>
  <c r="DU597" i="23916"/>
  <c r="DR601" i="23916"/>
  <c r="DQ601" i="23916"/>
  <c r="DQ602" i="23916" s="1"/>
  <c r="DP601" i="23916"/>
  <c r="DO601" i="23916"/>
  <c r="DO602" i="23916" s="1"/>
  <c r="DN601" i="23916"/>
  <c r="DM601" i="23916"/>
  <c r="DM602" i="23916" s="1"/>
  <c r="DL601" i="23916"/>
  <c r="DK601" i="23916"/>
  <c r="GH601" i="23916" s="1"/>
  <c r="DJ601" i="23916"/>
  <c r="DI601" i="23916"/>
  <c r="DI602" i="23916" s="1"/>
  <c r="DH601" i="23916"/>
  <c r="DG601" i="23916"/>
  <c r="DG602" i="23916" s="1"/>
  <c r="DF601" i="23916"/>
  <c r="DE601" i="23916"/>
  <c r="DE602" i="23916" s="1"/>
  <c r="DD601" i="23916"/>
  <c r="DC601" i="23916"/>
  <c r="DC602" i="23916" s="1"/>
  <c r="DB601" i="23916"/>
  <c r="DA601" i="23916"/>
  <c r="DA602" i="23916" s="1"/>
  <c r="CZ601" i="23916"/>
  <c r="CY601" i="23916"/>
  <c r="CY602" i="23916" s="1"/>
  <c r="CX601" i="23916"/>
  <c r="CW601" i="23916"/>
  <c r="CW602" i="23916" s="1"/>
  <c r="CV601" i="23916"/>
  <c r="CU601" i="23916"/>
  <c r="GD601" i="23916" s="1"/>
  <c r="CT601" i="23916"/>
  <c r="CS601" i="23916"/>
  <c r="CS602" i="23916" s="1"/>
  <c r="CR601" i="23916"/>
  <c r="CQ601" i="23916"/>
  <c r="CQ602" i="23916" s="1"/>
  <c r="CP601" i="23916"/>
  <c r="CO601" i="23916"/>
  <c r="CO602" i="23916" s="1"/>
  <c r="CN601" i="23916"/>
  <c r="CM601" i="23916"/>
  <c r="CM602" i="23916" s="1"/>
  <c r="CL601" i="23916"/>
  <c r="CK601" i="23916"/>
  <c r="CJ601" i="23916"/>
  <c r="CI601" i="23916"/>
  <c r="CH601" i="23916"/>
  <c r="CG601" i="23916"/>
  <c r="CF601" i="23916"/>
  <c r="CE601" i="23916"/>
  <c r="FZ601" i="23916" s="1"/>
  <c r="GA601" i="23916" s="1"/>
  <c r="CD601" i="23916"/>
  <c r="CC601" i="23916"/>
  <c r="CA601" i="23916"/>
  <c r="BY601" i="23916"/>
  <c r="BW601" i="23916"/>
  <c r="FX601" i="23916" s="1"/>
  <c r="BV601" i="23916"/>
  <c r="BU601" i="23916"/>
  <c r="BM601" i="23916"/>
  <c r="BN601" i="23916" s="1"/>
  <c r="BK601" i="23916"/>
  <c r="BI601" i="23916"/>
  <c r="BJ601" i="23916" s="1"/>
  <c r="BG601" i="23916"/>
  <c r="FT601" i="23916" s="1"/>
  <c r="BF601" i="23916"/>
  <c r="BE601" i="23916"/>
  <c r="BD601" i="23916"/>
  <c r="BC601" i="23916"/>
  <c r="BB601" i="23916"/>
  <c r="BA601" i="23916"/>
  <c r="AZ601" i="23916"/>
  <c r="AY601" i="23916"/>
  <c r="FR601" i="23916" s="1"/>
  <c r="AX601" i="23916"/>
  <c r="AW601" i="23916"/>
  <c r="AV601" i="23916"/>
  <c r="AU601" i="23916"/>
  <c r="AT601" i="23916"/>
  <c r="AS601" i="23916"/>
  <c r="AR601" i="23916"/>
  <c r="AQ601" i="23916"/>
  <c r="FP601" i="23916" s="1"/>
  <c r="AP601" i="23916"/>
  <c r="AO601" i="23916"/>
  <c r="AN601" i="23916"/>
  <c r="AM601" i="23916"/>
  <c r="AL601" i="23916"/>
  <c r="AK601" i="23916"/>
  <c r="AJ601" i="23916"/>
  <c r="AI601" i="23916"/>
  <c r="FN601" i="23916" s="1"/>
  <c r="AH601" i="23916"/>
  <c r="AG601" i="23916"/>
  <c r="AF601" i="23916"/>
  <c r="AE601" i="23916"/>
  <c r="AD601" i="23916"/>
  <c r="AC601" i="23916"/>
  <c r="AB601" i="23916"/>
  <c r="AA601" i="23916"/>
  <c r="FL601" i="23916" s="1"/>
  <c r="Z601" i="23916"/>
  <c r="Y601" i="23916"/>
  <c r="X601" i="23916"/>
  <c r="W601" i="23916"/>
  <c r="V601" i="23916"/>
  <c r="U601" i="23916"/>
  <c r="T601" i="23916"/>
  <c r="S601" i="23916"/>
  <c r="FJ601" i="23916" s="1"/>
  <c r="FK601" i="23916" s="1"/>
  <c r="R601" i="23916"/>
  <c r="P601" i="23916"/>
  <c r="P600" i="23916"/>
  <c r="P599" i="23916"/>
  <c r="P598" i="23916"/>
  <c r="P597" i="23916"/>
  <c r="N601" i="23916"/>
  <c r="N600" i="23916"/>
  <c r="N599" i="23916"/>
  <c r="N598" i="23916"/>
  <c r="N597" i="23916"/>
  <c r="L601" i="23916"/>
  <c r="L600" i="23916"/>
  <c r="L599" i="23916"/>
  <c r="L598" i="23916"/>
  <c r="L597" i="23916"/>
  <c r="DP600" i="23916"/>
  <c r="DP599" i="23916"/>
  <c r="DP598" i="23916"/>
  <c r="DP597" i="23916"/>
  <c r="DN600" i="23916"/>
  <c r="DN599" i="23916"/>
  <c r="DN598" i="23916"/>
  <c r="DN597" i="23916"/>
  <c r="DL600" i="23916"/>
  <c r="DL599" i="23916"/>
  <c r="DL598" i="23916"/>
  <c r="DL597" i="23916"/>
  <c r="DJ600" i="23916"/>
  <c r="DJ599" i="23916"/>
  <c r="DJ598" i="23916"/>
  <c r="DJ597" i="23916"/>
  <c r="DH600" i="23916"/>
  <c r="DH599" i="23916"/>
  <c r="DH598" i="23916"/>
  <c r="DH597" i="23916"/>
  <c r="DF600" i="23916"/>
  <c r="DF599" i="23916"/>
  <c r="DF598" i="23916"/>
  <c r="DF597" i="23916"/>
  <c r="DD600" i="23916"/>
  <c r="DD599" i="23916"/>
  <c r="DD598" i="23916"/>
  <c r="DD597" i="23916"/>
  <c r="DB600" i="23916"/>
  <c r="DB599" i="23916"/>
  <c r="DB598" i="23916"/>
  <c r="DB597" i="23916"/>
  <c r="CZ600" i="23916"/>
  <c r="CZ599" i="23916"/>
  <c r="CZ598" i="23916"/>
  <c r="CZ597" i="23916"/>
  <c r="CX600" i="23916"/>
  <c r="CX599" i="23916"/>
  <c r="CX598" i="23916"/>
  <c r="CX597" i="23916"/>
  <c r="CV600" i="23916"/>
  <c r="CV599" i="23916"/>
  <c r="CV598" i="23916"/>
  <c r="CV597" i="23916"/>
  <c r="CT600" i="23916"/>
  <c r="CT599" i="23916"/>
  <c r="CT598" i="23916"/>
  <c r="CT597" i="23916"/>
  <c r="CR600" i="23916"/>
  <c r="CR599" i="23916"/>
  <c r="CR597" i="23916"/>
  <c r="CP600" i="23916"/>
  <c r="CP599" i="23916"/>
  <c r="CP598" i="23916"/>
  <c r="CP597" i="23916"/>
  <c r="CN600" i="23916"/>
  <c r="CN599" i="23916"/>
  <c r="CN597" i="23916"/>
  <c r="CL597" i="23916"/>
  <c r="CJ600" i="23916"/>
  <c r="CJ599" i="23916"/>
  <c r="CJ597" i="23916"/>
  <c r="CH600" i="23916"/>
  <c r="CH599" i="23916"/>
  <c r="CH598" i="23916"/>
  <c r="CH597" i="23916"/>
  <c r="CF600" i="23916"/>
  <c r="CF599" i="23916"/>
  <c r="CF597" i="23916"/>
  <c r="BZ600" i="23916"/>
  <c r="BZ598" i="23916"/>
  <c r="BZ597" i="23916"/>
  <c r="BX600" i="23916"/>
  <c r="BX597" i="23916"/>
  <c r="BV600" i="23916"/>
  <c r="BV598" i="23916"/>
  <c r="BV597" i="23916"/>
  <c r="BT600" i="23916"/>
  <c r="BT598" i="23916"/>
  <c r="BT597" i="23916"/>
  <c r="BF600" i="23916"/>
  <c r="BF598" i="23916"/>
  <c r="BF597" i="23916"/>
  <c r="BD600" i="23916"/>
  <c r="BD598" i="23916"/>
  <c r="BD597" i="23916"/>
  <c r="BB600" i="23916"/>
  <c r="BB597" i="23916"/>
  <c r="AZ600" i="23916"/>
  <c r="AZ598" i="23916"/>
  <c r="AZ597" i="23916"/>
  <c r="AX600" i="23916"/>
  <c r="AX597" i="23916"/>
  <c r="AV600" i="23916"/>
  <c r="AV598" i="23916"/>
  <c r="AV597" i="23916"/>
  <c r="AT600" i="23916"/>
  <c r="AT597" i="23916"/>
  <c r="AR600" i="23916"/>
  <c r="AR598" i="23916"/>
  <c r="AR597" i="23916"/>
  <c r="AP600" i="23916"/>
  <c r="AP597" i="23916"/>
  <c r="AN600" i="23916"/>
  <c r="AN598" i="23916"/>
  <c r="AN597" i="23916"/>
  <c r="AL600" i="23916"/>
  <c r="AL598" i="23916"/>
  <c r="AL597" i="23916"/>
  <c r="AJ600" i="23916"/>
  <c r="AJ598" i="23916"/>
  <c r="AJ597" i="23916"/>
  <c r="AH600" i="23916"/>
  <c r="AH598" i="23916"/>
  <c r="AH597" i="23916"/>
  <c r="AF600" i="23916"/>
  <c r="AF598" i="23916"/>
  <c r="AF597" i="23916"/>
  <c r="AD600" i="23916"/>
  <c r="AD598" i="23916"/>
  <c r="AD597" i="23916"/>
  <c r="AB600" i="23916"/>
  <c r="AB598" i="23916"/>
  <c r="AB597" i="23916"/>
  <c r="Z600" i="23916"/>
  <c r="Z598" i="23916"/>
  <c r="Z597" i="23916"/>
  <c r="X600" i="23916"/>
  <c r="X598" i="23916"/>
  <c r="X597" i="23916"/>
  <c r="V600" i="23916"/>
  <c r="V598" i="23916"/>
  <c r="V597" i="23916"/>
  <c r="T600" i="23916"/>
  <c r="T598" i="23916"/>
  <c r="T597" i="23916"/>
  <c r="R600" i="23916"/>
  <c r="R599" i="23916"/>
  <c r="R598" i="23916"/>
  <c r="R597" i="23916"/>
  <c r="FZ600" i="23916"/>
  <c r="FW600" i="23916"/>
  <c r="FV600" i="23916"/>
  <c r="FU600" i="23916"/>
  <c r="FT600" i="23916"/>
  <c r="FS600" i="23916"/>
  <c r="FR600" i="23916"/>
  <c r="FQ600" i="23916"/>
  <c r="FP600" i="23916"/>
  <c r="FO600" i="23916"/>
  <c r="FN600" i="23916"/>
  <c r="FM600" i="23916"/>
  <c r="FL600" i="23916"/>
  <c r="FK600" i="23916"/>
  <c r="FJ600" i="23916"/>
  <c r="FI600" i="23916"/>
  <c r="FZ599" i="23916"/>
  <c r="GC599" i="23916" s="1"/>
  <c r="FI599" i="23916"/>
  <c r="CD600" i="23916"/>
  <c r="CC600" i="23916"/>
  <c r="CL600" i="23916" s="1"/>
  <c r="CB600" i="23916"/>
  <c r="CC599" i="23916"/>
  <c r="CL599" i="23916" s="1"/>
  <c r="BS598" i="23916"/>
  <c r="BS863" i="23916" s="1"/>
  <c r="BS864" i="23916" s="1"/>
  <c r="BQ598" i="23916"/>
  <c r="BQ863" i="23916" s="1"/>
  <c r="BO598" i="23916"/>
  <c r="BO863" i="23916" s="1"/>
  <c r="BM599" i="23916"/>
  <c r="BV599" i="23916" s="1"/>
  <c r="BM598" i="23916"/>
  <c r="BM863" i="23916" s="1"/>
  <c r="BM864" i="23916" s="1"/>
  <c r="BK599" i="23916"/>
  <c r="BL599" i="23916" s="1"/>
  <c r="BK598" i="23916"/>
  <c r="BK863" i="23916" s="1"/>
  <c r="BK864" i="23916" s="1"/>
  <c r="BI599" i="23916"/>
  <c r="BJ599" i="23916" s="1"/>
  <c r="BI598" i="23916"/>
  <c r="BI863" i="23916" s="1"/>
  <c r="BG599" i="23916"/>
  <c r="BH599" i="23916" s="1"/>
  <c r="BG598" i="23916"/>
  <c r="BG863" i="23916" s="1"/>
  <c r="BE599" i="23916"/>
  <c r="BF599" i="23916" s="1"/>
  <c r="BE598" i="23916"/>
  <c r="BE863" i="23916" s="1"/>
  <c r="BE864" i="23916" s="1"/>
  <c r="BC599" i="23916"/>
  <c r="BD599" i="23916" s="1"/>
  <c r="BC598" i="23916"/>
  <c r="BC863" i="23916" s="1"/>
  <c r="BC864" i="23916" s="1"/>
  <c r="BA599" i="23916"/>
  <c r="BB599" i="23916" s="1"/>
  <c r="BA598" i="23916"/>
  <c r="BA863" i="23916" s="1"/>
  <c r="AY599" i="23916"/>
  <c r="FR599" i="23916" s="1"/>
  <c r="AY598" i="23916"/>
  <c r="AY863" i="23916" s="1"/>
  <c r="AW599" i="23916"/>
  <c r="AW602" i="23916" s="1"/>
  <c r="AU599" i="23916"/>
  <c r="AV599" i="23916" s="1"/>
  <c r="AU598" i="23916"/>
  <c r="AU863" i="23916" s="1"/>
  <c r="AU864" i="23916" s="1"/>
  <c r="AS599" i="23916"/>
  <c r="AT599" i="23916" s="1"/>
  <c r="AS598" i="23916"/>
  <c r="AS863" i="23916" s="1"/>
  <c r="AQ599" i="23916"/>
  <c r="AR599" i="23916" s="1"/>
  <c r="AQ598" i="23916"/>
  <c r="AQ863" i="23916" s="1"/>
  <c r="AO599" i="23916"/>
  <c r="AP599" i="23916" s="1"/>
  <c r="AO598" i="23916"/>
  <c r="AO602" i="23916" s="1"/>
  <c r="AM599" i="23916"/>
  <c r="AN599" i="23916" s="1"/>
  <c r="AM598" i="23916"/>
  <c r="AM602" i="23916" s="1"/>
  <c r="AK599" i="23916"/>
  <c r="AK602" i="23916" s="1"/>
  <c r="AI599" i="23916"/>
  <c r="FN599" i="23916" s="1"/>
  <c r="AG599" i="23916"/>
  <c r="AG602" i="23916" s="1"/>
  <c r="AE599" i="23916"/>
  <c r="AF599" i="23916" s="1"/>
  <c r="AC599" i="23916"/>
  <c r="AC602" i="23916" s="1"/>
  <c r="AA599" i="23916"/>
  <c r="AB599" i="23916" s="1"/>
  <c r="Y599" i="23916"/>
  <c r="Z599" i="23916" s="1"/>
  <c r="W599" i="23916"/>
  <c r="X599" i="23916" s="1"/>
  <c r="U599" i="23916"/>
  <c r="U602" i="23916" s="1"/>
  <c r="S599" i="23916"/>
  <c r="FJ599" i="23916" s="1"/>
  <c r="FK599" i="23916" s="1"/>
  <c r="CK598" i="23916"/>
  <c r="CK863" i="23916" s="1"/>
  <c r="CK864" i="23916" s="1"/>
  <c r="CI598" i="23916"/>
  <c r="CI863" i="23916" s="1"/>
  <c r="CI864" i="23916" s="1"/>
  <c r="CG598" i="23916"/>
  <c r="CG863" i="23916" s="1"/>
  <c r="CE598" i="23916"/>
  <c r="CE863" i="23916" s="1"/>
  <c r="CC598" i="23916"/>
  <c r="CC863" i="23916" s="1"/>
  <c r="CC864" i="23916" s="1"/>
  <c r="CA598" i="23916"/>
  <c r="CA863" i="23916" s="1"/>
  <c r="CA864" i="23916" s="1"/>
  <c r="BY598" i="23916"/>
  <c r="BY863" i="23916" s="1"/>
  <c r="BW598" i="23916"/>
  <c r="BW863" i="23916" s="1"/>
  <c r="BU598" i="23916"/>
  <c r="BU863" i="23916" s="1"/>
  <c r="BU864" i="23916" s="1"/>
  <c r="GN600" i="23916"/>
  <c r="GH600" i="23916"/>
  <c r="GI600" i="23916" s="1"/>
  <c r="GF600" i="23916"/>
  <c r="GG600" i="23916" s="1"/>
  <c r="GD600" i="23916"/>
  <c r="GE600" i="23916" s="1"/>
  <c r="GC600" i="23916"/>
  <c r="GH599" i="23916"/>
  <c r="GI599" i="23916" s="1"/>
  <c r="GF599" i="23916"/>
  <c r="GG599" i="23916" s="1"/>
  <c r="GD599" i="23916"/>
  <c r="GE599" i="23916" s="1"/>
  <c r="GH598" i="23916"/>
  <c r="GH863" i="23916" s="1"/>
  <c r="GF598" i="23916"/>
  <c r="GF863" i="23916" s="1"/>
  <c r="GD598" i="23916"/>
  <c r="GD863" i="23916" s="1"/>
  <c r="GH597" i="23916"/>
  <c r="GH602" i="23916" s="1"/>
  <c r="GF597" i="23916"/>
  <c r="GD597" i="23916"/>
  <c r="GD602" i="23916" s="1"/>
  <c r="GB598" i="23916"/>
  <c r="GB863" i="23916" s="1"/>
  <c r="FX598" i="23916"/>
  <c r="FX863" i="23916" s="1"/>
  <c r="FV598" i="23916"/>
  <c r="FV863" i="23916" s="1"/>
  <c r="FT598" i="23916"/>
  <c r="FT863" i="23916" s="1"/>
  <c r="FR598" i="23916"/>
  <c r="FR863" i="23916" s="1"/>
  <c r="FP598" i="23916"/>
  <c r="FP863" i="23916" s="1"/>
  <c r="FL598" i="23916"/>
  <c r="FM598" i="23916" s="1"/>
  <c r="FJ598" i="23916"/>
  <c r="FK598" i="23916" s="1"/>
  <c r="FI598" i="23916"/>
  <c r="GB597" i="23916"/>
  <c r="FZ597" i="23916"/>
  <c r="FX597" i="23916"/>
  <c r="FV597" i="23916"/>
  <c r="FT597" i="23916"/>
  <c r="FR597" i="23916"/>
  <c r="FR602" i="23916" s="1"/>
  <c r="FP597" i="23916"/>
  <c r="FN597" i="23916"/>
  <c r="FL597" i="23916"/>
  <c r="FJ597" i="23916"/>
  <c r="FJ602" i="23916" s="1"/>
  <c r="FK602" i="23916" s="1"/>
  <c r="FI597" i="23916"/>
  <c r="EP600" i="23916"/>
  <c r="EO600" i="23916"/>
  <c r="EN600" i="23916"/>
  <c r="EM600" i="23916"/>
  <c r="EL600" i="23916"/>
  <c r="EK600" i="23916"/>
  <c r="EJ600" i="23916"/>
  <c r="EI600" i="23916"/>
  <c r="EH600" i="23916"/>
  <c r="EG600" i="23916"/>
  <c r="EF600" i="23916"/>
  <c r="EE600" i="23916"/>
  <c r="ED600" i="23916"/>
  <c r="EC600" i="23916"/>
  <c r="EN597" i="23916"/>
  <c r="EM597" i="23916"/>
  <c r="EL597" i="23916"/>
  <c r="EK597" i="23916"/>
  <c r="EJ597" i="23916"/>
  <c r="EI597" i="23916"/>
  <c r="EH597" i="23916"/>
  <c r="EG597" i="23916"/>
  <c r="EF597" i="23916"/>
  <c r="EE597" i="23916"/>
  <c r="ED597" i="23916"/>
  <c r="EC597" i="23916"/>
  <c r="DS600" i="23916"/>
  <c r="DR600" i="23916"/>
  <c r="DR599" i="23916"/>
  <c r="DR598" i="23916"/>
  <c r="DS597" i="23916"/>
  <c r="DR597" i="23916"/>
  <c r="CD597" i="23916"/>
  <c r="CB597" i="23916"/>
  <c r="FH594" i="23916"/>
  <c r="FI594" i="23916" s="1"/>
  <c r="FF594" i="23916"/>
  <c r="FG594" i="23916" s="1"/>
  <c r="FE594" i="23916"/>
  <c r="DR594" i="23916"/>
  <c r="DQ594" i="23916"/>
  <c r="DQ866" i="23916" s="1"/>
  <c r="DQ867" i="23916" s="1"/>
  <c r="DP594" i="23916"/>
  <c r="DO594" i="23916"/>
  <c r="DO866" i="23916" s="1"/>
  <c r="DO867" i="23916" s="1"/>
  <c r="DN594" i="23916"/>
  <c r="DM594" i="23916"/>
  <c r="DM866" i="23916" s="1"/>
  <c r="DM867" i="23916" s="1"/>
  <c r="DL594" i="23916"/>
  <c r="DK594" i="23916"/>
  <c r="DK866" i="23916" s="1"/>
  <c r="DK867" i="23916" s="1"/>
  <c r="DJ594" i="23916"/>
  <c r="DI594" i="23916"/>
  <c r="DI866" i="23916" s="1"/>
  <c r="DI867" i="23916" s="1"/>
  <c r="DH594" i="23916"/>
  <c r="DG594" i="23916"/>
  <c r="DG866" i="23916" s="1"/>
  <c r="DG867" i="23916" s="1"/>
  <c r="DF594" i="23916"/>
  <c r="DE594" i="23916"/>
  <c r="DE866" i="23916" s="1"/>
  <c r="DE867" i="23916" s="1"/>
  <c r="DD594" i="23916"/>
  <c r="DC594" i="23916"/>
  <c r="DC866" i="23916" s="1"/>
  <c r="DC867" i="23916" s="1"/>
  <c r="DB594" i="23916"/>
  <c r="DA594" i="23916"/>
  <c r="DA866" i="23916" s="1"/>
  <c r="DA867" i="23916" s="1"/>
  <c r="CZ594" i="23916"/>
  <c r="CY594" i="23916"/>
  <c r="CY866" i="23916" s="1"/>
  <c r="CY867" i="23916" s="1"/>
  <c r="CX594" i="23916"/>
  <c r="CW594" i="23916"/>
  <c r="CW866" i="23916" s="1"/>
  <c r="CW867" i="23916" s="1"/>
  <c r="CV594" i="23916"/>
  <c r="CU594" i="23916"/>
  <c r="CU866" i="23916" s="1"/>
  <c r="CU867" i="23916" s="1"/>
  <c r="CT594" i="23916"/>
  <c r="CS594" i="23916"/>
  <c r="CS866" i="23916" s="1"/>
  <c r="CS867" i="23916" s="1"/>
  <c r="CR594" i="23916"/>
  <c r="CQ594" i="23916"/>
  <c r="CQ866" i="23916" s="1"/>
  <c r="CQ867" i="23916" s="1"/>
  <c r="CP594" i="23916"/>
  <c r="CO594" i="23916"/>
  <c r="CO866" i="23916" s="1"/>
  <c r="CO867" i="23916" s="1"/>
  <c r="CN594" i="23916"/>
  <c r="CM594" i="23916"/>
  <c r="CM866" i="23916" s="1"/>
  <c r="CM867" i="23916" s="1"/>
  <c r="CL594" i="23916"/>
  <c r="CK594" i="23916"/>
  <c r="CK866" i="23916" s="1"/>
  <c r="CK867" i="23916" s="1"/>
  <c r="CJ594" i="23916"/>
  <c r="CI594" i="23916"/>
  <c r="CI866" i="23916" s="1"/>
  <c r="CI867" i="23916" s="1"/>
  <c r="CH594" i="23916"/>
  <c r="CG594" i="23916"/>
  <c r="CG866" i="23916" s="1"/>
  <c r="CG867" i="23916" s="1"/>
  <c r="CF594" i="23916"/>
  <c r="CE594" i="23916"/>
  <c r="CE866" i="23916" s="1"/>
  <c r="CD594" i="23916"/>
  <c r="CC594" i="23916"/>
  <c r="CC866" i="23916" s="1"/>
  <c r="CC867" i="23916" s="1"/>
  <c r="CB594" i="23916"/>
  <c r="CA594" i="23916"/>
  <c r="CA866" i="23916" s="1"/>
  <c r="BZ594" i="23916"/>
  <c r="BY594" i="23916"/>
  <c r="BY866" i="23916" s="1"/>
  <c r="BY867" i="23916" s="1"/>
  <c r="BX594" i="23916"/>
  <c r="BW594" i="23916"/>
  <c r="BW866" i="23916" s="1"/>
  <c r="BW867" i="23916" s="1"/>
  <c r="BV594" i="23916"/>
  <c r="BU594" i="23916"/>
  <c r="BU866" i="23916" s="1"/>
  <c r="BU867" i="23916" s="1"/>
  <c r="BT594" i="23916"/>
  <c r="BS594" i="23916"/>
  <c r="BS866" i="23916" s="1"/>
  <c r="BS867" i="23916" s="1"/>
  <c r="BR594" i="23916"/>
  <c r="BQ594" i="23916"/>
  <c r="BQ866" i="23916" s="1"/>
  <c r="BQ867" i="23916" s="1"/>
  <c r="BP594" i="23916"/>
  <c r="BO594" i="23916"/>
  <c r="BO866" i="23916" s="1"/>
  <c r="BO867" i="23916" s="1"/>
  <c r="BN594" i="23916"/>
  <c r="BM594" i="23916"/>
  <c r="BM866" i="23916" s="1"/>
  <c r="BM867" i="23916" s="1"/>
  <c r="BL594" i="23916"/>
  <c r="BK594" i="23916"/>
  <c r="BK866" i="23916" s="1"/>
  <c r="BK867" i="23916" s="1"/>
  <c r="BJ594" i="23916"/>
  <c r="BI594" i="23916"/>
  <c r="BI866" i="23916" s="1"/>
  <c r="BI867" i="23916" s="1"/>
  <c r="BH594" i="23916"/>
  <c r="BG594" i="23916"/>
  <c r="BG866" i="23916" s="1"/>
  <c r="BG867" i="23916" s="1"/>
  <c r="BF594" i="23916"/>
  <c r="BE594" i="23916"/>
  <c r="BE866" i="23916" s="1"/>
  <c r="BE867" i="23916" s="1"/>
  <c r="BD594" i="23916"/>
  <c r="BC594" i="23916"/>
  <c r="BC866" i="23916" s="1"/>
  <c r="BC867" i="23916" s="1"/>
  <c r="BB594" i="23916"/>
  <c r="BA594" i="23916"/>
  <c r="BA866" i="23916" s="1"/>
  <c r="BA867" i="23916" s="1"/>
  <c r="AZ594" i="23916"/>
  <c r="AY594" i="23916"/>
  <c r="AY866" i="23916" s="1"/>
  <c r="AY867" i="23916" s="1"/>
  <c r="AX594" i="23916"/>
  <c r="AW594" i="23916"/>
  <c r="AW866" i="23916" s="1"/>
  <c r="AW867" i="23916" s="1"/>
  <c r="AV594" i="23916"/>
  <c r="AU594" i="23916"/>
  <c r="AU866" i="23916" s="1"/>
  <c r="AU867" i="23916" s="1"/>
  <c r="AT594" i="23916"/>
  <c r="AS594" i="23916"/>
  <c r="AS866" i="23916" s="1"/>
  <c r="AR594" i="23916"/>
  <c r="AQ594" i="23916"/>
  <c r="AQ866" i="23916" s="1"/>
  <c r="AQ867" i="23916" s="1"/>
  <c r="AP594" i="23916"/>
  <c r="AO594" i="23916"/>
  <c r="AO604" i="23916" s="1"/>
  <c r="AN594" i="23916"/>
  <c r="AM594" i="23916"/>
  <c r="AL594" i="23916"/>
  <c r="AK594" i="23916"/>
  <c r="AK604" i="23916" s="1"/>
  <c r="AJ594" i="23916"/>
  <c r="AI594" i="23916"/>
  <c r="AH594" i="23916"/>
  <c r="AG594" i="23916"/>
  <c r="AG604" i="23916" s="1"/>
  <c r="AF594" i="23916"/>
  <c r="AE594" i="23916"/>
  <c r="AD594" i="23916"/>
  <c r="AC594" i="23916"/>
  <c r="AC604" i="23916" s="1"/>
  <c r="AB594" i="23916"/>
  <c r="AA594" i="23916"/>
  <c r="Z594" i="23916"/>
  <c r="Y594" i="23916"/>
  <c r="Y602" i="23916" s="1"/>
  <c r="Z602" i="23916" s="1"/>
  <c r="X594" i="23916"/>
  <c r="W594" i="23916"/>
  <c r="V594" i="23916"/>
  <c r="U594" i="23916"/>
  <c r="U604" i="23916" s="1"/>
  <c r="T594" i="23916"/>
  <c r="S594" i="23916"/>
  <c r="Q594" i="23916"/>
  <c r="Q602" i="23916" s="1"/>
  <c r="R602" i="23916" s="1"/>
  <c r="P594" i="23916"/>
  <c r="O594" i="23916"/>
  <c r="O602" i="23916" s="1"/>
  <c r="P602" i="23916" s="1"/>
  <c r="N594" i="23916"/>
  <c r="M594" i="23916"/>
  <c r="M602" i="23916" s="1"/>
  <c r="N602" i="23916" s="1"/>
  <c r="L594" i="23916"/>
  <c r="K594" i="23916"/>
  <c r="K602" i="23916" s="1"/>
  <c r="L602" i="23916" s="1"/>
  <c r="I594" i="23916"/>
  <c r="I604" i="23916" s="1"/>
  <c r="G594" i="23916"/>
  <c r="G604" i="23916" s="1"/>
  <c r="E594" i="23916"/>
  <c r="E604" i="23916" s="1"/>
  <c r="E605" i="23916" s="1"/>
  <c r="E606" i="23916" s="1"/>
  <c r="N606" i="23916" s="1"/>
  <c r="C594" i="23916"/>
  <c r="C604" i="23916" s="1"/>
  <c r="C605" i="23916" s="1"/>
  <c r="C606" i="23916" s="1"/>
  <c r="L606" i="23916" s="1"/>
  <c r="FG593" i="23916"/>
  <c r="FG592" i="23916"/>
  <c r="FG591" i="23916"/>
  <c r="FG590" i="23916"/>
  <c r="FE593" i="23916"/>
  <c r="FE592" i="23916"/>
  <c r="FE591" i="23916"/>
  <c r="FE590" i="23916"/>
  <c r="EA593" i="23916"/>
  <c r="EA592" i="23916"/>
  <c r="EA862" i="23916" s="1"/>
  <c r="EA591" i="23916"/>
  <c r="DY593" i="23916"/>
  <c r="DY592" i="23916"/>
  <c r="DY862" i="23916" s="1"/>
  <c r="DY591" i="23916"/>
  <c r="DW593" i="23916"/>
  <c r="DW592" i="23916"/>
  <c r="DW862" i="23916" s="1"/>
  <c r="DW591" i="23916"/>
  <c r="DU593" i="23916"/>
  <c r="DU592" i="23916"/>
  <c r="DU862" i="23916" s="1"/>
  <c r="DU591" i="23916"/>
  <c r="DP593" i="23916"/>
  <c r="DP592" i="23916"/>
  <c r="DP591" i="23916"/>
  <c r="DP590" i="23916"/>
  <c r="DN593" i="23916"/>
  <c r="DN592" i="23916"/>
  <c r="DN591" i="23916"/>
  <c r="DN590" i="23916"/>
  <c r="DL593" i="23916"/>
  <c r="DL592" i="23916"/>
  <c r="DL591" i="23916"/>
  <c r="DL590" i="23916"/>
  <c r="DJ593" i="23916"/>
  <c r="DJ592" i="23916"/>
  <c r="DJ591" i="23916"/>
  <c r="DJ590" i="23916"/>
  <c r="DH593" i="23916"/>
  <c r="DH592" i="23916"/>
  <c r="DH591" i="23916"/>
  <c r="DH590" i="23916"/>
  <c r="DF593" i="23916"/>
  <c r="DF592" i="23916"/>
  <c r="DF591" i="23916"/>
  <c r="DF590" i="23916"/>
  <c r="DD593" i="23916"/>
  <c r="DD592" i="23916"/>
  <c r="DD591" i="23916"/>
  <c r="DD590" i="23916"/>
  <c r="DB593" i="23916"/>
  <c r="DB592" i="23916"/>
  <c r="DB591" i="23916"/>
  <c r="DB590" i="23916"/>
  <c r="CZ593" i="23916"/>
  <c r="CZ592" i="23916"/>
  <c r="CZ591" i="23916"/>
  <c r="CZ590" i="23916"/>
  <c r="CX593" i="23916"/>
  <c r="CX592" i="23916"/>
  <c r="CX591" i="23916"/>
  <c r="CX590" i="23916"/>
  <c r="CV593" i="23916"/>
  <c r="CV592" i="23916"/>
  <c r="CV591" i="23916"/>
  <c r="CV590" i="23916"/>
  <c r="CT593" i="23916"/>
  <c r="CT592" i="23916"/>
  <c r="CT591" i="23916"/>
  <c r="CT590" i="23916"/>
  <c r="CR593" i="23916"/>
  <c r="CR592" i="23916"/>
  <c r="CR591" i="23916"/>
  <c r="CR590" i="23916"/>
  <c r="CP593" i="23916"/>
  <c r="CP592" i="23916"/>
  <c r="CP591" i="23916"/>
  <c r="CP590" i="23916"/>
  <c r="CN593" i="23916"/>
  <c r="CN592" i="23916"/>
  <c r="CN591" i="23916"/>
  <c r="CN590" i="23916"/>
  <c r="CL593" i="23916"/>
  <c r="CL592" i="23916"/>
  <c r="CL591" i="23916"/>
  <c r="CL590" i="23916"/>
  <c r="CJ593" i="23916"/>
  <c r="CJ592" i="23916"/>
  <c r="CJ591" i="23916"/>
  <c r="CJ590" i="23916"/>
  <c r="CH593" i="23916"/>
  <c r="CH592" i="23916"/>
  <c r="CH591" i="23916"/>
  <c r="CH590" i="23916"/>
  <c r="CF593" i="23916"/>
  <c r="CF592" i="23916"/>
  <c r="CF591" i="23916"/>
  <c r="CF590" i="23916"/>
  <c r="CD593" i="23916"/>
  <c r="CD592" i="23916"/>
  <c r="CD591" i="23916"/>
  <c r="CD590" i="23916"/>
  <c r="CB593" i="23916"/>
  <c r="CB592" i="23916"/>
  <c r="CB591" i="23916"/>
  <c r="CB590" i="23916"/>
  <c r="BZ593" i="23916"/>
  <c r="BZ592" i="23916"/>
  <c r="BZ591" i="23916"/>
  <c r="BZ590" i="23916"/>
  <c r="BX593" i="23916"/>
  <c r="BX592" i="23916"/>
  <c r="BX591" i="23916"/>
  <c r="BX590" i="23916"/>
  <c r="BV593" i="23916"/>
  <c r="BV592" i="23916"/>
  <c r="BV591" i="23916"/>
  <c r="BV590" i="23916"/>
  <c r="BT593" i="23916"/>
  <c r="BT592" i="23916"/>
  <c r="BT591" i="23916"/>
  <c r="BT590" i="23916"/>
  <c r="BR593" i="23916"/>
  <c r="BR592" i="23916"/>
  <c r="BR591" i="23916"/>
  <c r="BR590" i="23916"/>
  <c r="BP593" i="23916"/>
  <c r="BP592" i="23916"/>
  <c r="BP591" i="23916"/>
  <c r="BP590" i="23916"/>
  <c r="BN593" i="23916"/>
  <c r="BN592" i="23916"/>
  <c r="BN591" i="23916"/>
  <c r="BN590" i="23916"/>
  <c r="BL593" i="23916"/>
  <c r="BL592" i="23916"/>
  <c r="BL591" i="23916"/>
  <c r="BL590" i="23916"/>
  <c r="BJ593" i="23916"/>
  <c r="BJ592" i="23916"/>
  <c r="BJ591" i="23916"/>
  <c r="BJ590" i="23916"/>
  <c r="BH593" i="23916"/>
  <c r="BH592" i="23916"/>
  <c r="BH591" i="23916"/>
  <c r="BH590" i="23916"/>
  <c r="BF593" i="23916"/>
  <c r="BF592" i="23916"/>
  <c r="BF591" i="23916"/>
  <c r="BF590" i="23916"/>
  <c r="BD593" i="23916"/>
  <c r="BD592" i="23916"/>
  <c r="BD591" i="23916"/>
  <c r="BD590" i="23916"/>
  <c r="BB593" i="23916"/>
  <c r="BB592" i="23916"/>
  <c r="BB591" i="23916"/>
  <c r="BB590" i="23916"/>
  <c r="AZ593" i="23916"/>
  <c r="AZ592" i="23916"/>
  <c r="AZ591" i="23916"/>
  <c r="AZ590" i="23916"/>
  <c r="AX593" i="23916"/>
  <c r="AX592" i="23916"/>
  <c r="AX591" i="23916"/>
  <c r="AX590" i="23916"/>
  <c r="AV593" i="23916"/>
  <c r="AV592" i="23916"/>
  <c r="AV591" i="23916"/>
  <c r="AV590" i="23916"/>
  <c r="AT593" i="23916"/>
  <c r="AT592" i="23916"/>
  <c r="AT591" i="23916"/>
  <c r="AT590" i="23916"/>
  <c r="AR593" i="23916"/>
  <c r="AR592" i="23916"/>
  <c r="AR591" i="23916"/>
  <c r="AR590" i="23916"/>
  <c r="AP593" i="23916"/>
  <c r="AP592" i="23916"/>
  <c r="AP591" i="23916"/>
  <c r="AP590" i="23916"/>
  <c r="AN593" i="23916"/>
  <c r="AN592" i="23916"/>
  <c r="AN591" i="23916"/>
  <c r="AN590" i="23916"/>
  <c r="AL593" i="23916"/>
  <c r="AL592" i="23916"/>
  <c r="AL591" i="23916"/>
  <c r="AL590" i="23916"/>
  <c r="AJ593" i="23916"/>
  <c r="AJ592" i="23916"/>
  <c r="AJ591" i="23916"/>
  <c r="AJ590" i="23916"/>
  <c r="AH593" i="23916"/>
  <c r="AH592" i="23916"/>
  <c r="AH591" i="23916"/>
  <c r="AH590" i="23916"/>
  <c r="AF593" i="23916"/>
  <c r="AF592" i="23916"/>
  <c r="AF591" i="23916"/>
  <c r="AF590" i="23916"/>
  <c r="AD593" i="23916"/>
  <c r="AD592" i="23916"/>
  <c r="AD591" i="23916"/>
  <c r="AD590" i="23916"/>
  <c r="AB593" i="23916"/>
  <c r="AB592" i="23916"/>
  <c r="AB591" i="23916"/>
  <c r="AB590" i="23916"/>
  <c r="Z593" i="23916"/>
  <c r="Z592" i="23916"/>
  <c r="Z591" i="23916"/>
  <c r="Z590" i="23916"/>
  <c r="X593" i="23916"/>
  <c r="X592" i="23916"/>
  <c r="X591" i="23916"/>
  <c r="X590" i="23916"/>
  <c r="V593" i="23916"/>
  <c r="V592" i="23916"/>
  <c r="V591" i="23916"/>
  <c r="V590" i="23916"/>
  <c r="T593" i="23916"/>
  <c r="T592" i="23916"/>
  <c r="T591" i="23916"/>
  <c r="T590" i="23916"/>
  <c r="R593" i="23916"/>
  <c r="R592" i="23916"/>
  <c r="R591" i="23916"/>
  <c r="R590" i="23916"/>
  <c r="P593" i="23916"/>
  <c r="P592" i="23916"/>
  <c r="P591" i="23916"/>
  <c r="P590" i="23916"/>
  <c r="N593" i="23916"/>
  <c r="N592" i="23916"/>
  <c r="N591" i="23916"/>
  <c r="N590" i="23916"/>
  <c r="L593" i="23916"/>
  <c r="L592" i="23916"/>
  <c r="L591" i="23916"/>
  <c r="L590" i="23916"/>
  <c r="GA593" i="23916"/>
  <c r="FZ593" i="23916"/>
  <c r="FY593" i="23916"/>
  <c r="FX593" i="23916"/>
  <c r="FW593" i="23916"/>
  <c r="FV593" i="23916"/>
  <c r="FU593" i="23916"/>
  <c r="FT593" i="23916"/>
  <c r="FS593" i="23916"/>
  <c r="FR593" i="23916"/>
  <c r="FQ593" i="23916"/>
  <c r="FP593" i="23916"/>
  <c r="FO593" i="23916"/>
  <c r="FN593" i="23916"/>
  <c r="FM593" i="23916"/>
  <c r="FL593" i="23916"/>
  <c r="FK593" i="23916"/>
  <c r="FJ593" i="23916"/>
  <c r="FI593" i="23916"/>
  <c r="FZ592" i="23916"/>
  <c r="FZ862" i="23916" s="1"/>
  <c r="FX592" i="23916"/>
  <c r="FX862" i="23916" s="1"/>
  <c r="FX864" i="23916" s="1"/>
  <c r="FV592" i="23916"/>
  <c r="FV862" i="23916" s="1"/>
  <c r="FV864" i="23916" s="1"/>
  <c r="FT592" i="23916"/>
  <c r="FT862" i="23916" s="1"/>
  <c r="FT864" i="23916" s="1"/>
  <c r="FR592" i="23916"/>
  <c r="FR862" i="23916" s="1"/>
  <c r="FR864" i="23916" s="1"/>
  <c r="FP592" i="23916"/>
  <c r="FP862" i="23916" s="1"/>
  <c r="FP864" i="23916" s="1"/>
  <c r="FN592" i="23916"/>
  <c r="FO592" i="23916" s="1"/>
  <c r="FL592" i="23916"/>
  <c r="FM592" i="23916" s="1"/>
  <c r="FJ592" i="23916"/>
  <c r="FK592" i="23916" s="1"/>
  <c r="FI592" i="23916"/>
  <c r="GN593" i="23916"/>
  <c r="GO593" i="23916" s="1"/>
  <c r="GL593" i="23916"/>
  <c r="GH593" i="23916"/>
  <c r="GI593" i="23916" s="1"/>
  <c r="GF593" i="23916"/>
  <c r="GG593" i="23916" s="1"/>
  <c r="GD593" i="23916"/>
  <c r="GE593" i="23916" s="1"/>
  <c r="GC593" i="23916"/>
  <c r="GN592" i="23916"/>
  <c r="GN862" i="23916" s="1"/>
  <c r="GL592" i="23916"/>
  <c r="GL862" i="23916" s="1"/>
  <c r="GH592" i="23916"/>
  <c r="GH862" i="23916" s="1"/>
  <c r="GH864" i="23916" s="1"/>
  <c r="GF592" i="23916"/>
  <c r="GF862" i="23916" s="1"/>
  <c r="GF864" i="23916" s="1"/>
  <c r="GD592" i="23916"/>
  <c r="GD862" i="23916" s="1"/>
  <c r="GD864" i="23916" s="1"/>
  <c r="GN591" i="23916"/>
  <c r="GO591" i="23916" s="1"/>
  <c r="GL591" i="23916"/>
  <c r="GH591" i="23916"/>
  <c r="GI591" i="23916" s="1"/>
  <c r="GF591" i="23916"/>
  <c r="GG591" i="23916" s="1"/>
  <c r="GD591" i="23916"/>
  <c r="GE591" i="23916" s="1"/>
  <c r="GH590" i="23916"/>
  <c r="GH858" i="23916" s="1"/>
  <c r="GF590" i="23916"/>
  <c r="GF858" i="23916" s="1"/>
  <c r="GD590" i="23916"/>
  <c r="GD858" i="23916" s="1"/>
  <c r="GB591" i="23916"/>
  <c r="GC591" i="23916" s="1"/>
  <c r="FZ591" i="23916"/>
  <c r="GA591" i="23916" s="1"/>
  <c r="FX591" i="23916"/>
  <c r="FY591" i="23916" s="1"/>
  <c r="FV591" i="23916"/>
  <c r="FW591" i="23916" s="1"/>
  <c r="FT591" i="23916"/>
  <c r="FU591" i="23916" s="1"/>
  <c r="FR591" i="23916"/>
  <c r="FS591" i="23916" s="1"/>
  <c r="FP591" i="23916"/>
  <c r="FQ591" i="23916" s="1"/>
  <c r="FN591" i="23916"/>
  <c r="FO591" i="23916" s="1"/>
  <c r="FL591" i="23916"/>
  <c r="FM591" i="23916" s="1"/>
  <c r="FJ591" i="23916"/>
  <c r="FK591" i="23916" s="1"/>
  <c r="FI591" i="23916"/>
  <c r="GB590" i="23916"/>
  <c r="GB858" i="23916" s="1"/>
  <c r="FZ590" i="23916"/>
  <c r="FZ858" i="23916" s="1"/>
  <c r="FX590" i="23916"/>
  <c r="FX858" i="23916" s="1"/>
  <c r="FV590" i="23916"/>
  <c r="FV858" i="23916" s="1"/>
  <c r="FT590" i="23916"/>
  <c r="FT858" i="23916" s="1"/>
  <c r="FR590" i="23916"/>
  <c r="FR858" i="23916" s="1"/>
  <c r="FP590" i="23916"/>
  <c r="FP858" i="23916" s="1"/>
  <c r="FN590" i="23916"/>
  <c r="FN858" i="23916" s="1"/>
  <c r="FL590" i="23916"/>
  <c r="FL858" i="23916" s="1"/>
  <c r="FJ590" i="23916"/>
  <c r="FJ858" i="23916" s="1"/>
  <c r="FI590" i="23916"/>
  <c r="EP593" i="23916"/>
  <c r="EO593" i="23916"/>
  <c r="EN593" i="23916"/>
  <c r="EM593" i="23916"/>
  <c r="EL593" i="23916"/>
  <c r="EK593" i="23916"/>
  <c r="EJ593" i="23916"/>
  <c r="EI593" i="23916"/>
  <c r="EH593" i="23916"/>
  <c r="EG593" i="23916"/>
  <c r="EF593" i="23916"/>
  <c r="EE593" i="23916"/>
  <c r="ED593" i="23916"/>
  <c r="EC593" i="23916"/>
  <c r="EP592" i="23916"/>
  <c r="EO592" i="23916"/>
  <c r="EO862" i="23916" s="1"/>
  <c r="EN592" i="23916"/>
  <c r="EM592" i="23916"/>
  <c r="EM862" i="23916" s="1"/>
  <c r="EL592" i="23916"/>
  <c r="EK592" i="23916"/>
  <c r="EK862" i="23916" s="1"/>
  <c r="EJ592" i="23916"/>
  <c r="EI592" i="23916"/>
  <c r="EI862" i="23916" s="1"/>
  <c r="EH592" i="23916"/>
  <c r="EG592" i="23916"/>
  <c r="EG862" i="23916" s="1"/>
  <c r="EF592" i="23916"/>
  <c r="EE592" i="23916"/>
  <c r="EE862" i="23916" s="1"/>
  <c r="ED592" i="23916"/>
  <c r="EC592" i="23916"/>
  <c r="EC862" i="23916" s="1"/>
  <c r="EP591" i="23916"/>
  <c r="EO591" i="23916"/>
  <c r="EN591" i="23916"/>
  <c r="EM591" i="23916"/>
  <c r="EL591" i="23916"/>
  <c r="EK591" i="23916"/>
  <c r="EJ591" i="23916"/>
  <c r="EI591" i="23916"/>
  <c r="EH591" i="23916"/>
  <c r="EG591" i="23916"/>
  <c r="EF591" i="23916"/>
  <c r="EE591" i="23916"/>
  <c r="ED591" i="23916"/>
  <c r="EC591" i="23916"/>
  <c r="DS593" i="23916"/>
  <c r="DR593" i="23916"/>
  <c r="DS592" i="23916"/>
  <c r="DS862" i="23916" s="1"/>
  <c r="DR592" i="23916"/>
  <c r="DS591" i="23916"/>
  <c r="DR591" i="23916"/>
  <c r="DR590" i="23916"/>
  <c r="GW585" i="23916"/>
  <c r="GW584" i="23916"/>
  <c r="GS585" i="23916"/>
  <c r="GS584" i="23916"/>
  <c r="EX585" i="23916"/>
  <c r="EX584" i="23916"/>
  <c r="EV585" i="23916"/>
  <c r="EV584" i="23916"/>
  <c r="ET585" i="23916"/>
  <c r="ET584" i="23916"/>
  <c r="ER585" i="23916"/>
  <c r="ER584" i="23916"/>
  <c r="EP585" i="23916"/>
  <c r="EP584" i="23916"/>
  <c r="EL585" i="23916"/>
  <c r="EL584" i="23916"/>
  <c r="GY585" i="23916"/>
  <c r="GY584" i="23916"/>
  <c r="GW582" i="23916"/>
  <c r="GW581" i="23916"/>
  <c r="GW580" i="23916"/>
  <c r="GS582" i="23916"/>
  <c r="GS581" i="23916"/>
  <c r="GS580" i="23916"/>
  <c r="EX582" i="23916"/>
  <c r="EX581" i="23916"/>
  <c r="EX580" i="23916"/>
  <c r="EV582" i="23916"/>
  <c r="EV581" i="23916"/>
  <c r="EV580" i="23916"/>
  <c r="ET582" i="23916"/>
  <c r="ET581" i="23916"/>
  <c r="ET580" i="23916"/>
  <c r="ER582" i="23916"/>
  <c r="ER581" i="23916"/>
  <c r="ER580" i="23916"/>
  <c r="EP582" i="23916"/>
  <c r="EP581" i="23916"/>
  <c r="EP580" i="23916"/>
  <c r="EL582" i="23916"/>
  <c r="EL581" i="23916"/>
  <c r="EL580" i="23916"/>
  <c r="GY582" i="23916"/>
  <c r="GY581" i="23916"/>
  <c r="GY580" i="23916"/>
  <c r="GN580" i="23916"/>
  <c r="GQ580" i="23916" s="1"/>
  <c r="GL580" i="23916"/>
  <c r="GM580" i="23916" s="1"/>
  <c r="GJ580" i="23916"/>
  <c r="GH580" i="23916"/>
  <c r="GI580" i="23916" s="1"/>
  <c r="GF580" i="23916"/>
  <c r="GD580" i="23916"/>
  <c r="GE580" i="23916" s="1"/>
  <c r="GB580" i="23916"/>
  <c r="FZ580" i="23916"/>
  <c r="GA580" i="23916" s="1"/>
  <c r="FX580" i="23916"/>
  <c r="FV580" i="23916"/>
  <c r="FW580" i="23916" s="1"/>
  <c r="FT580" i="23916"/>
  <c r="FS580" i="23916"/>
  <c r="FR580" i="23916"/>
  <c r="FQ580" i="23916"/>
  <c r="FP580" i="23916"/>
  <c r="GZ578" i="23916"/>
  <c r="GZ575" i="23916"/>
  <c r="GN578" i="23916"/>
  <c r="GN575" i="23916"/>
  <c r="GY577" i="23916"/>
  <c r="GY576" i="23916"/>
  <c r="GY575" i="23916"/>
  <c r="GY574" i="23916"/>
  <c r="GW577" i="23916"/>
  <c r="GW576" i="23916"/>
  <c r="GW575" i="23916"/>
  <c r="GW574" i="23916"/>
  <c r="GS577" i="23916"/>
  <c r="GS576" i="23916"/>
  <c r="GS575" i="23916"/>
  <c r="GS574" i="23916"/>
  <c r="GQ575" i="23916"/>
  <c r="GO575" i="23916"/>
  <c r="EX577" i="23916"/>
  <c r="EX576" i="23916"/>
  <c r="EX575" i="23916"/>
  <c r="EX574" i="23916"/>
  <c r="EV577" i="23916"/>
  <c r="EV576" i="23916"/>
  <c r="EV575" i="23916"/>
  <c r="EV574" i="23916"/>
  <c r="ET577" i="23916"/>
  <c r="ET576" i="23916"/>
  <c r="ET575" i="23916"/>
  <c r="ET574" i="23916"/>
  <c r="ER577" i="23916"/>
  <c r="ER576" i="23916"/>
  <c r="ER575" i="23916"/>
  <c r="ER574" i="23916"/>
  <c r="EP577" i="23916"/>
  <c r="EP576" i="23916"/>
  <c r="EP575" i="23916"/>
  <c r="EP574" i="23916"/>
  <c r="EL577" i="23916"/>
  <c r="EL576" i="23916"/>
  <c r="EL575" i="23916"/>
  <c r="EL574" i="23916"/>
  <c r="FU575" i="23916"/>
  <c r="FT575" i="23916"/>
  <c r="FS575" i="23916"/>
  <c r="FR575" i="23916"/>
  <c r="FQ575" i="23916"/>
  <c r="FP575" i="23916"/>
  <c r="FO575" i="23916"/>
  <c r="FN575" i="23916"/>
  <c r="FM575" i="23916"/>
  <c r="FL575" i="23916"/>
  <c r="FK575" i="23916"/>
  <c r="FJ575" i="23916"/>
  <c r="FI575" i="23916"/>
  <c r="FH575" i="23916"/>
  <c r="FG575" i="23916"/>
  <c r="FF575" i="23916"/>
  <c r="FE575" i="23916"/>
  <c r="FD575" i="23916"/>
  <c r="GM575" i="23916"/>
  <c r="GL575" i="23916"/>
  <c r="GK575" i="23916"/>
  <c r="GJ575" i="23916"/>
  <c r="GI575" i="23916"/>
  <c r="GH575" i="23916"/>
  <c r="GG575" i="23916"/>
  <c r="GF575" i="23916"/>
  <c r="GE575" i="23916"/>
  <c r="GD575" i="23916"/>
  <c r="GC575" i="23916"/>
  <c r="GB575" i="23916"/>
  <c r="GA575" i="23916"/>
  <c r="FZ575" i="23916"/>
  <c r="FY575" i="23916"/>
  <c r="FX575" i="23916"/>
  <c r="FW575" i="23916"/>
  <c r="GW571" i="23916"/>
  <c r="GW570" i="23916"/>
  <c r="GS571" i="23916"/>
  <c r="GS570" i="23916"/>
  <c r="EX571" i="23916"/>
  <c r="EX570" i="23916"/>
  <c r="EV571" i="23916"/>
  <c r="EV570" i="23916"/>
  <c r="ET571" i="23916"/>
  <c r="ET570" i="23916"/>
  <c r="ER571" i="23916"/>
  <c r="ER570" i="23916"/>
  <c r="EP571" i="23916"/>
  <c r="EP570" i="23916"/>
  <c r="EL571" i="23916"/>
  <c r="EL570" i="23916"/>
  <c r="GY571" i="23916"/>
  <c r="GY570" i="23916"/>
  <c r="GY568" i="23916"/>
  <c r="GW568" i="23916"/>
  <c r="GS568" i="23916"/>
  <c r="EX568" i="23916"/>
  <c r="EV568" i="23916"/>
  <c r="ET568" i="23916"/>
  <c r="ER568" i="23916"/>
  <c r="EP568" i="23916"/>
  <c r="EL568" i="23916"/>
  <c r="GY566" i="23916"/>
  <c r="GW566" i="23916"/>
  <c r="GS566" i="23916"/>
  <c r="FD566" i="23916"/>
  <c r="FE566" i="23916" s="1"/>
  <c r="FB566" i="23916"/>
  <c r="EX566" i="23916"/>
  <c r="EV566" i="23916"/>
  <c r="ET566" i="23916"/>
  <c r="ER566" i="23916"/>
  <c r="EP566" i="23916"/>
  <c r="EL566" i="23916"/>
  <c r="GN565" i="23916"/>
  <c r="GN564" i="23916"/>
  <c r="GN563" i="23916"/>
  <c r="GN562" i="23916"/>
  <c r="GN561" i="23916"/>
  <c r="GN566" i="23916" s="1"/>
  <c r="GN560" i="23916"/>
  <c r="GN570" i="23916" s="1"/>
  <c r="GL565" i="23916"/>
  <c r="GL564" i="23916"/>
  <c r="GL563" i="23916"/>
  <c r="GL562" i="23916"/>
  <c r="GL561" i="23916"/>
  <c r="GL566" i="23916" s="1"/>
  <c r="GL560" i="23916"/>
  <c r="GJ565" i="23916"/>
  <c r="GJ564" i="23916"/>
  <c r="GJ563" i="23916"/>
  <c r="GJ562" i="23916"/>
  <c r="GJ561" i="23916"/>
  <c r="GJ566" i="23916" s="1"/>
  <c r="GJ560" i="23916"/>
  <c r="GZ563" i="23916"/>
  <c r="GZ562" i="23916"/>
  <c r="GZ561" i="23916"/>
  <c r="GZ560" i="23916"/>
  <c r="GY562" i="23916"/>
  <c r="GY561" i="23916"/>
  <c r="GY560" i="23916"/>
  <c r="GW562" i="23916"/>
  <c r="GW561" i="23916"/>
  <c r="GW560" i="23916"/>
  <c r="GS562" i="23916"/>
  <c r="GS561" i="23916"/>
  <c r="GS560" i="23916"/>
  <c r="GQ562" i="23916"/>
  <c r="GQ561" i="23916"/>
  <c r="GQ560" i="23916"/>
  <c r="GO562" i="23916"/>
  <c r="GO560" i="23916"/>
  <c r="GM562" i="23916"/>
  <c r="GM561" i="23916"/>
  <c r="GM560" i="23916"/>
  <c r="GK560" i="23916"/>
  <c r="FK562" i="23916"/>
  <c r="FK561" i="23916"/>
  <c r="FI562" i="23916"/>
  <c r="FG562" i="23916"/>
  <c r="FG561" i="23916"/>
  <c r="FE562" i="23916"/>
  <c r="FE561" i="23916"/>
  <c r="FE560" i="23916"/>
  <c r="EX562" i="23916"/>
  <c r="EX561" i="23916"/>
  <c r="EX560" i="23916"/>
  <c r="EV562" i="23916"/>
  <c r="EV561" i="23916"/>
  <c r="EV560" i="23916"/>
  <c r="ET562" i="23916"/>
  <c r="ET561" i="23916"/>
  <c r="ET560" i="23916"/>
  <c r="ER562" i="23916"/>
  <c r="ER561" i="23916"/>
  <c r="ER560" i="23916"/>
  <c r="EP562" i="23916"/>
  <c r="EP561" i="23916"/>
  <c r="EP560" i="23916"/>
  <c r="EL562" i="23916"/>
  <c r="EL561" i="23916"/>
  <c r="EL560" i="23916"/>
  <c r="GH562" i="23916"/>
  <c r="GK562" i="23916" s="1"/>
  <c r="GF562" i="23916"/>
  <c r="GF566" i="23916" s="1"/>
  <c r="GD562" i="23916"/>
  <c r="GE562" i="23916" s="1"/>
  <c r="GB562" i="23916"/>
  <c r="GB566" i="23916" s="1"/>
  <c r="FZ562" i="23916"/>
  <c r="GA562" i="23916" s="1"/>
  <c r="FX562" i="23916"/>
  <c r="FX566" i="23916" s="1"/>
  <c r="FV562" i="23916"/>
  <c r="FW562" i="23916" s="1"/>
  <c r="FT562" i="23916"/>
  <c r="FT566" i="23916" s="1"/>
  <c r="FR562" i="23916"/>
  <c r="FS562" i="23916" s="1"/>
  <c r="FP562" i="23916"/>
  <c r="FP566" i="23916" s="1"/>
  <c r="FN562" i="23916"/>
  <c r="FO562" i="23916" s="1"/>
  <c r="FM562" i="23916"/>
  <c r="GI561" i="23916"/>
  <c r="GH561" i="23916"/>
  <c r="GG561" i="23916"/>
  <c r="GF561" i="23916"/>
  <c r="GE561" i="23916"/>
  <c r="GD561" i="23916"/>
  <c r="GC561" i="23916"/>
  <c r="GB561" i="23916"/>
  <c r="GB571" i="23916" s="1"/>
  <c r="GA561" i="23916"/>
  <c r="FZ561" i="23916"/>
  <c r="FY561" i="23916"/>
  <c r="FX561" i="23916"/>
  <c r="FW561" i="23916"/>
  <c r="FV561" i="23916"/>
  <c r="FV571" i="23916" s="1"/>
  <c r="FU561" i="23916"/>
  <c r="FT561" i="23916"/>
  <c r="FS561" i="23916"/>
  <c r="FR561" i="23916"/>
  <c r="FQ561" i="23916"/>
  <c r="FP561" i="23916"/>
  <c r="FO561" i="23916"/>
  <c r="FN561" i="23916"/>
  <c r="FM561" i="23916"/>
  <c r="FL561" i="23916"/>
  <c r="FL560" i="23916"/>
  <c r="FL566" i="23916" s="1"/>
  <c r="FJ561" i="23916"/>
  <c r="FJ560" i="23916"/>
  <c r="FH561" i="23916"/>
  <c r="FH560" i="23916"/>
  <c r="FH566" i="23916" s="1"/>
  <c r="FF561" i="23916"/>
  <c r="FF560" i="23916"/>
  <c r="GH560" i="23916"/>
  <c r="GF560" i="23916"/>
  <c r="GG560" i="23916" s="1"/>
  <c r="GD560" i="23916"/>
  <c r="GB560" i="23916"/>
  <c r="GC560" i="23916" s="1"/>
  <c r="FZ560" i="23916"/>
  <c r="FX560" i="23916"/>
  <c r="FY560" i="23916" s="1"/>
  <c r="FU560" i="23916"/>
  <c r="FT560" i="23916"/>
  <c r="FS560" i="23916"/>
  <c r="FR560" i="23916"/>
  <c r="FQ560" i="23916"/>
  <c r="FP560" i="23916"/>
  <c r="FO560" i="23916"/>
  <c r="FN560" i="23916"/>
  <c r="GW557" i="23916"/>
  <c r="GW556" i="23916"/>
  <c r="GW555" i="23916"/>
  <c r="GW554" i="23916"/>
  <c r="GW553" i="23916"/>
  <c r="GW552" i="23916"/>
  <c r="GW551" i="23916"/>
  <c r="GW550" i="23916"/>
  <c r="GS557" i="23916"/>
  <c r="GS556" i="23916"/>
  <c r="GS555" i="23916"/>
  <c r="GS554" i="23916"/>
  <c r="GS553" i="23916"/>
  <c r="GS552" i="23916"/>
  <c r="GS551" i="23916"/>
  <c r="GS550" i="23916"/>
  <c r="GQ552" i="23916"/>
  <c r="GQ550" i="23916"/>
  <c r="FB556" i="23916"/>
  <c r="FB557" i="23916" s="1"/>
  <c r="EX557" i="23916"/>
  <c r="EX556" i="23916"/>
  <c r="EX555" i="23916"/>
  <c r="EX554" i="23916"/>
  <c r="EX553" i="23916"/>
  <c r="EX552" i="23916"/>
  <c r="EX551" i="23916"/>
  <c r="EX550" i="23916"/>
  <c r="EV557" i="23916"/>
  <c r="EV556" i="23916"/>
  <c r="EV555" i="23916"/>
  <c r="EV554" i="23916"/>
  <c r="EV553" i="23916"/>
  <c r="EV552" i="23916"/>
  <c r="EV551" i="23916"/>
  <c r="EV550" i="23916"/>
  <c r="ET557" i="23916"/>
  <c r="ET556" i="23916"/>
  <c r="ET555" i="23916"/>
  <c r="ET554" i="23916"/>
  <c r="ET553" i="23916"/>
  <c r="ET552" i="23916"/>
  <c r="ET551" i="23916"/>
  <c r="ET550" i="23916"/>
  <c r="ER557" i="23916"/>
  <c r="ER556" i="23916"/>
  <c r="ER555" i="23916"/>
  <c r="ER554" i="23916"/>
  <c r="ER553" i="23916"/>
  <c r="ER552" i="23916"/>
  <c r="ER551" i="23916"/>
  <c r="ER550" i="23916"/>
  <c r="EP557" i="23916"/>
  <c r="EP556" i="23916"/>
  <c r="EP555" i="23916"/>
  <c r="EP554" i="23916"/>
  <c r="EP553" i="23916"/>
  <c r="EP552" i="23916"/>
  <c r="EP551" i="23916"/>
  <c r="EP550" i="23916"/>
  <c r="EL557" i="23916"/>
  <c r="EL556" i="23916"/>
  <c r="EL555" i="23916"/>
  <c r="EL554" i="23916"/>
  <c r="EL553" i="23916"/>
  <c r="EL552" i="23916"/>
  <c r="EL551" i="23916"/>
  <c r="EL550" i="23916"/>
  <c r="GY557" i="23916"/>
  <c r="GY556" i="23916"/>
  <c r="GY555" i="23916"/>
  <c r="GY554" i="23916"/>
  <c r="GY553" i="23916"/>
  <c r="GY552" i="23916"/>
  <c r="GY551" i="23916"/>
  <c r="GY550" i="23916"/>
  <c r="FV557" i="23916"/>
  <c r="FV568" i="23916" s="1"/>
  <c r="GN556" i="23916"/>
  <c r="GN557" i="23916" s="1"/>
  <c r="GJ556" i="23916"/>
  <c r="GJ557" i="23916" s="1"/>
  <c r="GF556" i="23916"/>
  <c r="GF557" i="23916" s="1"/>
  <c r="GB556" i="23916"/>
  <c r="GB557" i="23916" s="1"/>
  <c r="FX556" i="23916"/>
  <c r="FX557" i="23916" s="1"/>
  <c r="FY557" i="23916" s="1"/>
  <c r="FV556" i="23916"/>
  <c r="FD556" i="23916"/>
  <c r="FD557" i="23916" s="1"/>
  <c r="FT555" i="23916"/>
  <c r="FW555" i="23916" s="1"/>
  <c r="FR555" i="23916"/>
  <c r="FR556" i="23916" s="1"/>
  <c r="FP555" i="23916"/>
  <c r="FQ555" i="23916" s="1"/>
  <c r="FN555" i="23916"/>
  <c r="FN556" i="23916" s="1"/>
  <c r="FL555" i="23916"/>
  <c r="FM555" i="23916" s="1"/>
  <c r="FJ555" i="23916"/>
  <c r="FJ556" i="23916" s="1"/>
  <c r="FH555" i="23916"/>
  <c r="FI555" i="23916" s="1"/>
  <c r="FF555" i="23916"/>
  <c r="FF556" i="23916" s="1"/>
  <c r="FE555" i="23916"/>
  <c r="FV554" i="23916"/>
  <c r="FD554" i="23916"/>
  <c r="FE554" i="23916" s="1"/>
  <c r="FB554" i="23916"/>
  <c r="FU553" i="23916"/>
  <c r="FT553" i="23916"/>
  <c r="FS553" i="23916"/>
  <c r="FR553" i="23916"/>
  <c r="FQ553" i="23916"/>
  <c r="FP553" i="23916"/>
  <c r="FO553" i="23916"/>
  <c r="FN553" i="23916"/>
  <c r="FM553" i="23916"/>
  <c r="FL553" i="23916"/>
  <c r="FK553" i="23916"/>
  <c r="FJ553" i="23916"/>
  <c r="FI553" i="23916"/>
  <c r="FH553" i="23916"/>
  <c r="FG553" i="23916"/>
  <c r="FF553" i="23916"/>
  <c r="FE553" i="23916"/>
  <c r="FT552" i="23916"/>
  <c r="FU552" i="23916" s="1"/>
  <c r="FR552" i="23916"/>
  <c r="FR554" i="23916" s="1"/>
  <c r="FP552" i="23916"/>
  <c r="FQ552" i="23916" s="1"/>
  <c r="FN552" i="23916"/>
  <c r="FN554" i="23916" s="1"/>
  <c r="FL552" i="23916"/>
  <c r="FM552" i="23916" s="1"/>
  <c r="FJ552" i="23916"/>
  <c r="FJ554" i="23916" s="1"/>
  <c r="FH552" i="23916"/>
  <c r="FI552" i="23916" s="1"/>
  <c r="FF552" i="23916"/>
  <c r="FF554" i="23916" s="1"/>
  <c r="FG554" i="23916" s="1"/>
  <c r="FE552" i="23916"/>
  <c r="FU551" i="23916"/>
  <c r="FT551" i="23916"/>
  <c r="FS551" i="23916"/>
  <c r="FR551" i="23916"/>
  <c r="FQ551" i="23916"/>
  <c r="FP551" i="23916"/>
  <c r="FO551" i="23916"/>
  <c r="FN551" i="23916"/>
  <c r="FM551" i="23916"/>
  <c r="FL551" i="23916"/>
  <c r="FK551" i="23916"/>
  <c r="FJ551" i="23916"/>
  <c r="FI551" i="23916"/>
  <c r="FH551" i="23916"/>
  <c r="FG551" i="23916"/>
  <c r="FF551" i="23916"/>
  <c r="FE551" i="23916"/>
  <c r="GN555" i="23916"/>
  <c r="GQ555" i="23916" s="1"/>
  <c r="GL555" i="23916"/>
  <c r="GL556" i="23916" s="1"/>
  <c r="GJ555" i="23916"/>
  <c r="GK555" i="23916" s="1"/>
  <c r="GH555" i="23916"/>
  <c r="GH556" i="23916" s="1"/>
  <c r="GF555" i="23916"/>
  <c r="GG555" i="23916" s="1"/>
  <c r="GD555" i="23916"/>
  <c r="GD556" i="23916" s="1"/>
  <c r="GB555" i="23916"/>
  <c r="GC555" i="23916" s="1"/>
  <c r="FZ555" i="23916"/>
  <c r="FZ556" i="23916" s="1"/>
  <c r="FX555" i="23916"/>
  <c r="FY555" i="23916" s="1"/>
  <c r="GN553" i="23916"/>
  <c r="GQ553" i="23916" s="1"/>
  <c r="GL553" i="23916"/>
  <c r="GM553" i="23916" s="1"/>
  <c r="GJ553" i="23916"/>
  <c r="GK553" i="23916" s="1"/>
  <c r="GH553" i="23916"/>
  <c r="GI553" i="23916" s="1"/>
  <c r="GF553" i="23916"/>
  <c r="GG553" i="23916" s="1"/>
  <c r="GD553" i="23916"/>
  <c r="GE553" i="23916" s="1"/>
  <c r="GB553" i="23916"/>
  <c r="GC553" i="23916" s="1"/>
  <c r="FZ553" i="23916"/>
  <c r="GA553" i="23916" s="1"/>
  <c r="FX553" i="23916"/>
  <c r="FY553" i="23916" s="1"/>
  <c r="FW553" i="23916"/>
  <c r="GO552" i="23916"/>
  <c r="GN552" i="23916"/>
  <c r="GZ552" i="23916" s="1"/>
  <c r="GM552" i="23916"/>
  <c r="GL552" i="23916"/>
  <c r="GL554" i="23916" s="1"/>
  <c r="GK552" i="23916"/>
  <c r="GJ552" i="23916"/>
  <c r="GJ554" i="23916" s="1"/>
  <c r="GK554" i="23916" s="1"/>
  <c r="GI552" i="23916"/>
  <c r="GH552" i="23916"/>
  <c r="GH554" i="23916" s="1"/>
  <c r="GG552" i="23916"/>
  <c r="GF552" i="23916"/>
  <c r="GF554" i="23916" s="1"/>
  <c r="GG554" i="23916" s="1"/>
  <c r="GE552" i="23916"/>
  <c r="GD552" i="23916"/>
  <c r="GD554" i="23916" s="1"/>
  <c r="GC552" i="23916"/>
  <c r="GB552" i="23916"/>
  <c r="GB554" i="23916" s="1"/>
  <c r="GC554" i="23916" s="1"/>
  <c r="GA552" i="23916"/>
  <c r="FZ552" i="23916"/>
  <c r="FZ554" i="23916" s="1"/>
  <c r="FY552" i="23916"/>
  <c r="FX552" i="23916"/>
  <c r="FX554" i="23916" s="1"/>
  <c r="FY554" i="23916" s="1"/>
  <c r="FW552" i="23916"/>
  <c r="GN551" i="23916"/>
  <c r="GQ551" i="23916" s="1"/>
  <c r="GL551" i="23916"/>
  <c r="GM551" i="23916" s="1"/>
  <c r="GJ551" i="23916"/>
  <c r="GK551" i="23916" s="1"/>
  <c r="GH551" i="23916"/>
  <c r="GI551" i="23916" s="1"/>
  <c r="GF551" i="23916"/>
  <c r="GG551" i="23916" s="1"/>
  <c r="GD551" i="23916"/>
  <c r="GE551" i="23916" s="1"/>
  <c r="GB551" i="23916"/>
  <c r="GC551" i="23916" s="1"/>
  <c r="FZ551" i="23916"/>
  <c r="GA551" i="23916" s="1"/>
  <c r="FX551" i="23916"/>
  <c r="FY551" i="23916" s="1"/>
  <c r="FW551" i="23916"/>
  <c r="GO550" i="23916"/>
  <c r="GN550" i="23916"/>
  <c r="GZ550" i="23916" s="1"/>
  <c r="GM550" i="23916"/>
  <c r="GL550" i="23916"/>
  <c r="GK550" i="23916"/>
  <c r="GJ550" i="23916"/>
  <c r="GI550" i="23916"/>
  <c r="GH550" i="23916"/>
  <c r="GG550" i="23916"/>
  <c r="GF550" i="23916"/>
  <c r="GE550" i="23916"/>
  <c r="GD550" i="23916"/>
  <c r="GC550" i="23916"/>
  <c r="GB550" i="23916"/>
  <c r="GA550" i="23916"/>
  <c r="FZ550" i="23916"/>
  <c r="FY550" i="23916"/>
  <c r="FX550" i="23916"/>
  <c r="FW550" i="23916"/>
  <c r="FV550" i="23916"/>
  <c r="FV847" i="23916" s="1"/>
  <c r="FU550" i="23916"/>
  <c r="FT550" i="23916"/>
  <c r="FS550" i="23916"/>
  <c r="FR550" i="23916"/>
  <c r="FQ550" i="23916"/>
  <c r="FP550" i="23916"/>
  <c r="FO550" i="23916"/>
  <c r="FN550" i="23916"/>
  <c r="FM550" i="23916"/>
  <c r="FL550" i="23916"/>
  <c r="FK550" i="23916"/>
  <c r="FJ550" i="23916"/>
  <c r="FI550" i="23916"/>
  <c r="FH550" i="23916"/>
  <c r="FG550" i="23916"/>
  <c r="FF550" i="23916"/>
  <c r="FE550" i="23916"/>
  <c r="FN544" i="23916"/>
  <c r="FN822" i="23916" s="1"/>
  <c r="M545" i="23916"/>
  <c r="K545" i="23916"/>
  <c r="DQ544" i="23916"/>
  <c r="DQ822" i="23916" s="1"/>
  <c r="DM544" i="23916"/>
  <c r="DM822" i="23916" s="1"/>
  <c r="DK544" i="23916"/>
  <c r="DK822" i="23916" s="1"/>
  <c r="DI544" i="23916"/>
  <c r="DI822" i="23916" s="1"/>
  <c r="DG544" i="23916"/>
  <c r="DG822" i="23916" s="1"/>
  <c r="DE544" i="23916"/>
  <c r="DE822" i="23916" s="1"/>
  <c r="DC544" i="23916"/>
  <c r="DC822" i="23916" s="1"/>
  <c r="CY544" i="23916"/>
  <c r="CY822" i="23916" s="1"/>
  <c r="CW544" i="23916"/>
  <c r="CW822" i="23916" s="1"/>
  <c r="CU544" i="23916"/>
  <c r="CU822" i="23916" s="1"/>
  <c r="CS544" i="23916"/>
  <c r="CS822" i="23916" s="1"/>
  <c r="CQ544" i="23916"/>
  <c r="CQ822" i="23916" s="1"/>
  <c r="CM544" i="23916"/>
  <c r="CM822" i="23916" s="1"/>
  <c r="CK544" i="23916"/>
  <c r="CK822" i="23916" s="1"/>
  <c r="CI544" i="23916"/>
  <c r="CI822" i="23916" s="1"/>
  <c r="CG544" i="23916"/>
  <c r="CG822" i="23916" s="1"/>
  <c r="CE544" i="23916"/>
  <c r="CE822" i="23916" s="1"/>
  <c r="CC544" i="23916"/>
  <c r="CC822" i="23916" s="1"/>
  <c r="CA544" i="23916"/>
  <c r="CA822" i="23916" s="1"/>
  <c r="BY544" i="23916"/>
  <c r="BY822" i="23916" s="1"/>
  <c r="BU544" i="23916"/>
  <c r="BU822" i="23916" s="1"/>
  <c r="BQ544" i="23916"/>
  <c r="BQ822" i="23916" s="1"/>
  <c r="BI544" i="23916"/>
  <c r="BI822" i="23916" s="1"/>
  <c r="BG544" i="23916"/>
  <c r="BG822" i="23916" s="1"/>
  <c r="BE544" i="23916"/>
  <c r="BE822" i="23916" s="1"/>
  <c r="BC544" i="23916"/>
  <c r="BC822" i="23916" s="1"/>
  <c r="BA544" i="23916"/>
  <c r="BA822" i="23916" s="1"/>
  <c r="AY544" i="23916"/>
  <c r="AY822" i="23916" s="1"/>
  <c r="AW544" i="23916"/>
  <c r="AW822" i="23916" s="1"/>
  <c r="AU544" i="23916"/>
  <c r="AU822" i="23916" s="1"/>
  <c r="AS544" i="23916"/>
  <c r="AS822" i="23916" s="1"/>
  <c r="AQ544" i="23916"/>
  <c r="AQ822" i="23916" s="1"/>
  <c r="AO544" i="23916"/>
  <c r="AO822" i="23916" s="1"/>
  <c r="AM544" i="23916"/>
  <c r="AM822" i="23916" s="1"/>
  <c r="AK544" i="23916"/>
  <c r="AK822" i="23916" s="1"/>
  <c r="AI544" i="23916"/>
  <c r="AI822" i="23916" s="1"/>
  <c r="AG544" i="23916"/>
  <c r="AG822" i="23916" s="1"/>
  <c r="AE544" i="23916"/>
  <c r="AE822" i="23916" s="1"/>
  <c r="AC544" i="23916"/>
  <c r="AC822" i="23916" s="1"/>
  <c r="AA544" i="23916"/>
  <c r="AA822" i="23916" s="1"/>
  <c r="W544" i="23916"/>
  <c r="W822" i="23916" s="1"/>
  <c r="U544" i="23916"/>
  <c r="U822" i="23916" s="1"/>
  <c r="Q544" i="23916"/>
  <c r="M544" i="23916"/>
  <c r="N544" i="23916" s="1"/>
  <c r="K544" i="23916"/>
  <c r="GW543" i="23916"/>
  <c r="GU543" i="23916"/>
  <c r="GP543" i="23916"/>
  <c r="GS543" i="23916" s="1"/>
  <c r="GM543" i="23916"/>
  <c r="GL543" i="23916"/>
  <c r="GJ543" i="23916"/>
  <c r="EX543" i="23916"/>
  <c r="EV543" i="23916"/>
  <c r="EP543" i="23916"/>
  <c r="EO543" i="23916"/>
  <c r="EO627" i="23916" s="1"/>
  <c r="EN543" i="23916"/>
  <c r="EK543" i="23916"/>
  <c r="EK627" i="23916" s="1"/>
  <c r="EI543" i="23916"/>
  <c r="EI627" i="23916" s="1"/>
  <c r="EH543" i="23916"/>
  <c r="EF543" i="23916"/>
  <c r="EF542" i="23916"/>
  <c r="ED543" i="23916"/>
  <c r="ED542" i="23916"/>
  <c r="EB543" i="23916"/>
  <c r="EB542" i="23916"/>
  <c r="DZ543" i="23916"/>
  <c r="DZ542" i="23916"/>
  <c r="DX543" i="23916"/>
  <c r="DW543" i="23916"/>
  <c r="DV543" i="23916"/>
  <c r="DT543" i="23916"/>
  <c r="DT542" i="23916"/>
  <c r="DR543" i="23916"/>
  <c r="DR542" i="23916"/>
  <c r="DR541" i="23916"/>
  <c r="DO543" i="23916"/>
  <c r="DO544" i="23916" s="1"/>
  <c r="DN543" i="23916"/>
  <c r="DL543" i="23916"/>
  <c r="DK543" i="23916"/>
  <c r="DK627" i="23916" s="1"/>
  <c r="DI543" i="23916"/>
  <c r="GF543" i="23916" s="1"/>
  <c r="DH543" i="23916"/>
  <c r="DF542" i="23916"/>
  <c r="DF541" i="23916"/>
  <c r="DD543" i="23916"/>
  <c r="DD542" i="23916"/>
  <c r="DD541" i="23916"/>
  <c r="DA543" i="23916"/>
  <c r="DJ543" i="23916" s="1"/>
  <c r="CZ543" i="23916"/>
  <c r="CW543" i="23916"/>
  <c r="GD543" i="23916" s="1"/>
  <c r="CV543" i="23916"/>
  <c r="CT542" i="23916"/>
  <c r="CT541" i="23916"/>
  <c r="CR543" i="23916"/>
  <c r="CR542" i="23916"/>
  <c r="CR541" i="23916"/>
  <c r="CO543" i="23916"/>
  <c r="CO627" i="23916" s="1"/>
  <c r="CP627" i="23916" s="1"/>
  <c r="CN543" i="23916"/>
  <c r="CL543" i="23916"/>
  <c r="CK543" i="23916"/>
  <c r="CT543" i="23916" s="1"/>
  <c r="CJ543" i="23916"/>
  <c r="CI543" i="23916"/>
  <c r="CI627" i="23916" s="1"/>
  <c r="CH543" i="23916"/>
  <c r="CF542" i="23916"/>
  <c r="CF541" i="23916"/>
  <c r="CD543" i="23916"/>
  <c r="CC543" i="23916"/>
  <c r="CB543" i="23916"/>
  <c r="CA543" i="23916"/>
  <c r="BZ543" i="23916"/>
  <c r="BW543" i="23916"/>
  <c r="BW544" i="23916" s="1"/>
  <c r="BS543" i="23916"/>
  <c r="BS544" i="23916" s="1"/>
  <c r="BR543" i="23916"/>
  <c r="BO543" i="23916"/>
  <c r="BO544" i="23916" s="1"/>
  <c r="BM543" i="23916"/>
  <c r="BN543" i="23916" s="1"/>
  <c r="BK543" i="23916"/>
  <c r="BK544" i="23916" s="1"/>
  <c r="BH543" i="23916"/>
  <c r="BG543" i="23916"/>
  <c r="FT543" i="23916" s="1"/>
  <c r="BF543" i="23916"/>
  <c r="BE543" i="23916"/>
  <c r="BD543" i="23916"/>
  <c r="BC543" i="23916"/>
  <c r="BB543" i="23916"/>
  <c r="BA543" i="23916"/>
  <c r="BJ543" i="23916" s="1"/>
  <c r="AZ543" i="23916"/>
  <c r="AY543" i="23916"/>
  <c r="FR543" i="23916" s="1"/>
  <c r="AX543" i="23916"/>
  <c r="AW543" i="23916"/>
  <c r="AW627" i="23916" s="1"/>
  <c r="AV543" i="23916"/>
  <c r="AT543" i="23916"/>
  <c r="AT542" i="23916"/>
  <c r="AT541" i="23916"/>
  <c r="AR543" i="23916"/>
  <c r="AP543" i="23916"/>
  <c r="AN543" i="23916"/>
  <c r="AL543" i="23916"/>
  <c r="GX542" i="23916"/>
  <c r="GZ542" i="23916" s="1"/>
  <c r="GV542" i="23916"/>
  <c r="GT542" i="23916"/>
  <c r="GU542" i="23916" s="1"/>
  <c r="GR542" i="23916"/>
  <c r="GS542" i="23916" s="1"/>
  <c r="GP542" i="23916"/>
  <c r="GQ542" i="23916" s="1"/>
  <c r="GN542" i="23916"/>
  <c r="GO542" i="23916" s="1"/>
  <c r="GL542" i="23916"/>
  <c r="GM542" i="23916" s="1"/>
  <c r="GJ542" i="23916"/>
  <c r="GK542" i="23916" s="1"/>
  <c r="GH542" i="23916"/>
  <c r="GI542" i="23916" s="1"/>
  <c r="GF542" i="23916"/>
  <c r="GG542" i="23916" s="1"/>
  <c r="GD542" i="23916"/>
  <c r="GE542" i="23916" s="1"/>
  <c r="GB542" i="23916"/>
  <c r="FZ542" i="23916"/>
  <c r="GA542" i="23916" s="1"/>
  <c r="FX542" i="23916"/>
  <c r="FY542" i="23916" s="1"/>
  <c r="FV542" i="23916"/>
  <c r="FW542" i="23916" s="1"/>
  <c r="FT542" i="23916"/>
  <c r="FU542" i="23916" s="1"/>
  <c r="FR542" i="23916"/>
  <c r="FS542" i="23916" s="1"/>
  <c r="FP542" i="23916"/>
  <c r="FQ542" i="23916" s="1"/>
  <c r="EN542" i="23916"/>
  <c r="EL542" i="23916"/>
  <c r="EJ542" i="23916"/>
  <c r="EH542" i="23916"/>
  <c r="DX542" i="23916"/>
  <c r="DV542" i="23916"/>
  <c r="DP542" i="23916"/>
  <c r="DP541" i="23916"/>
  <c r="DN542" i="23916"/>
  <c r="DN541" i="23916"/>
  <c r="DL542" i="23916"/>
  <c r="DL541" i="23916"/>
  <c r="DJ542" i="23916"/>
  <c r="DJ541" i="23916"/>
  <c r="DH542" i="23916"/>
  <c r="DH541" i="23916"/>
  <c r="DB542" i="23916"/>
  <c r="DB541" i="23916"/>
  <c r="CZ542" i="23916"/>
  <c r="CZ541" i="23916"/>
  <c r="CX542" i="23916"/>
  <c r="CX541" i="23916"/>
  <c r="CV542" i="23916"/>
  <c r="CV541" i="23916"/>
  <c r="CP542" i="23916"/>
  <c r="CP541" i="23916"/>
  <c r="CN542" i="23916"/>
  <c r="CN541" i="23916"/>
  <c r="CL542" i="23916"/>
  <c r="CL541" i="23916"/>
  <c r="CJ542" i="23916"/>
  <c r="CJ541" i="23916"/>
  <c r="CH542" i="23916"/>
  <c r="CH541" i="23916"/>
  <c r="CD542" i="23916"/>
  <c r="CD541" i="23916"/>
  <c r="CB542" i="23916"/>
  <c r="CB541" i="23916"/>
  <c r="BZ542" i="23916"/>
  <c r="BZ541" i="23916"/>
  <c r="BX542" i="23916"/>
  <c r="BX541" i="23916"/>
  <c r="BV542" i="23916"/>
  <c r="BV541" i="23916"/>
  <c r="BT542" i="23916"/>
  <c r="BT541" i="23916"/>
  <c r="BR542" i="23916"/>
  <c r="BR541" i="23916"/>
  <c r="BP542" i="23916"/>
  <c r="BP541" i="23916"/>
  <c r="BN542" i="23916"/>
  <c r="BN541" i="23916"/>
  <c r="BL542" i="23916"/>
  <c r="BL541" i="23916"/>
  <c r="BJ542" i="23916"/>
  <c r="BJ541" i="23916"/>
  <c r="BH542" i="23916"/>
  <c r="BH541" i="23916"/>
  <c r="BF542" i="23916"/>
  <c r="BF541" i="23916"/>
  <c r="BD542" i="23916"/>
  <c r="BD541" i="23916"/>
  <c r="BB542" i="23916"/>
  <c r="BB541" i="23916"/>
  <c r="AZ542" i="23916"/>
  <c r="AZ541" i="23916"/>
  <c r="AX542" i="23916"/>
  <c r="AX541" i="23916"/>
  <c r="AV542" i="23916"/>
  <c r="AV541" i="23916"/>
  <c r="GY543" i="23916"/>
  <c r="GY542" i="23916"/>
  <c r="GI541" i="23916"/>
  <c r="GH541" i="23916"/>
  <c r="GG541" i="23916"/>
  <c r="GF541" i="23916"/>
  <c r="GE541" i="23916"/>
  <c r="GD541" i="23916"/>
  <c r="FZ541" i="23916"/>
  <c r="FX541" i="23916"/>
  <c r="FW541" i="23916"/>
  <c r="FU541" i="23916"/>
  <c r="FT541" i="23916"/>
  <c r="FS541" i="23916"/>
  <c r="FR541" i="23916"/>
  <c r="FQ541" i="23916"/>
  <c r="FP541" i="23916"/>
  <c r="FP819" i="23916" s="1"/>
  <c r="FO541" i="23916"/>
  <c r="FN541" i="23916"/>
  <c r="FN819" i="23916" s="1"/>
  <c r="FL541" i="23916"/>
  <c r="FL819" i="23916" s="1"/>
  <c r="FE541" i="23916"/>
  <c r="FD541" i="23916"/>
  <c r="FD819" i="23916" s="1"/>
  <c r="EQ542" i="23916"/>
  <c r="ER542" i="23916" s="1"/>
  <c r="EP542" i="23916"/>
  <c r="AR541" i="23916"/>
  <c r="AP541" i="23916"/>
  <c r="AN541" i="23916"/>
  <c r="AL541" i="23916"/>
  <c r="AJ541" i="23916"/>
  <c r="AF541" i="23916"/>
  <c r="AD541" i="23916"/>
  <c r="Y541" i="23916"/>
  <c r="Y819" i="23916" s="1"/>
  <c r="V541" i="23916"/>
  <c r="S541" i="23916"/>
  <c r="S819" i="23916" s="1"/>
  <c r="Q541" i="23916"/>
  <c r="Q545" i="23916" s="1"/>
  <c r="O541" i="23916"/>
  <c r="O545" i="23916" s="1"/>
  <c r="I541" i="23916"/>
  <c r="I544" i="23916" s="1"/>
  <c r="G541" i="23916"/>
  <c r="E541" i="23916"/>
  <c r="E544" i="23916" s="1"/>
  <c r="C541" i="23916"/>
  <c r="L541" i="23916" s="1"/>
  <c r="GN538" i="23916"/>
  <c r="GN536" i="23916"/>
  <c r="GN534" i="23916"/>
  <c r="EU535" i="23916"/>
  <c r="EW535" i="23916" s="1"/>
  <c r="ES538" i="23916"/>
  <c r="ES536" i="23916"/>
  <c r="ES535" i="23916"/>
  <c r="GL538" i="23916"/>
  <c r="GL536" i="23916"/>
  <c r="GL607" i="23916" s="1"/>
  <c r="GL534" i="23916"/>
  <c r="GJ536" i="23916"/>
  <c r="GJ607" i="23916" s="1"/>
  <c r="GJ534" i="23916"/>
  <c r="GH537" i="23916"/>
  <c r="GF537" i="23916"/>
  <c r="GD537" i="23916"/>
  <c r="EQ536" i="23916"/>
  <c r="EQ607" i="23916" s="1"/>
  <c r="EO537" i="23916"/>
  <c r="DQ537" i="23916"/>
  <c r="DO537" i="23916"/>
  <c r="DM537" i="23916"/>
  <c r="DK537" i="23916"/>
  <c r="DI537" i="23916"/>
  <c r="DG537" i="23916"/>
  <c r="DE537" i="23916"/>
  <c r="DC537" i="23916"/>
  <c r="GN530" i="23916"/>
  <c r="GN529" i="23916"/>
  <c r="GN527" i="23916"/>
  <c r="GN526" i="23916"/>
  <c r="GL529" i="23916"/>
  <c r="GL527" i="23916"/>
  <c r="GL526" i="23916"/>
  <c r="GJ529" i="23916"/>
  <c r="GJ528" i="23916"/>
  <c r="GJ527" i="23916"/>
  <c r="GJ526" i="23916"/>
  <c r="ES530" i="23916"/>
  <c r="ES527" i="23916"/>
  <c r="EO531" i="23916"/>
  <c r="EO530" i="23916"/>
  <c r="EM531" i="23916"/>
  <c r="EM530" i="23916"/>
  <c r="EK531" i="23916"/>
  <c r="EK530" i="23916"/>
  <c r="EI530" i="23916"/>
  <c r="EG531" i="23916"/>
  <c r="EE530" i="23916"/>
  <c r="EC530" i="23916"/>
  <c r="EA530" i="23916"/>
  <c r="DY530" i="23916"/>
  <c r="DW530" i="23916"/>
  <c r="DU531" i="23916"/>
  <c r="DS531" i="23916"/>
  <c r="DS530" i="23916"/>
  <c r="EQ529" i="23916"/>
  <c r="EO528" i="23916"/>
  <c r="EM528" i="23916"/>
  <c r="EM599" i="23916" s="1"/>
  <c r="EK528" i="23916"/>
  <c r="EI528" i="23916"/>
  <c r="EI599" i="23916" s="1"/>
  <c r="EG528" i="23916"/>
  <c r="EG599" i="23916" s="1"/>
  <c r="EH599" i="23916" s="1"/>
  <c r="EE528" i="23916"/>
  <c r="EC528" i="23916"/>
  <c r="EA528" i="23916"/>
  <c r="EQ527" i="23916"/>
  <c r="GN522" i="23916"/>
  <c r="GN521" i="23916"/>
  <c r="GN520" i="23916"/>
  <c r="GN519" i="23916"/>
  <c r="GL522" i="23916"/>
  <c r="GL521" i="23916"/>
  <c r="GL520" i="23916"/>
  <c r="GL519" i="23916"/>
  <c r="GL523" i="23916" s="1"/>
  <c r="GJ522" i="23916"/>
  <c r="GJ521" i="23916"/>
  <c r="GJ520" i="23916"/>
  <c r="GJ519" i="23916"/>
  <c r="GJ523" i="23916" s="1"/>
  <c r="ES521" i="23916"/>
  <c r="EU521" i="23916" s="1"/>
  <c r="EW521" i="23916" s="1"/>
  <c r="EQ522" i="23916"/>
  <c r="EO523" i="23916"/>
  <c r="EO533" i="23916" s="1"/>
  <c r="EO535" i="23916" s="1"/>
  <c r="EM523" i="23916"/>
  <c r="EM533" i="23916" s="1"/>
  <c r="EK523" i="23916"/>
  <c r="EK533" i="23916" s="1"/>
  <c r="EI523" i="23916"/>
  <c r="EG523" i="23916"/>
  <c r="EG533" i="23916" s="1"/>
  <c r="EG535" i="23916" s="1"/>
  <c r="EE523" i="23916"/>
  <c r="EC523" i="23916"/>
  <c r="EA523" i="23916"/>
  <c r="DY523" i="23916"/>
  <c r="DW523" i="23916"/>
  <c r="DU523" i="23916"/>
  <c r="DU533" i="23916" s="1"/>
  <c r="DS523" i="23916"/>
  <c r="DS533" i="23916" s="1"/>
  <c r="DS535" i="23916" s="1"/>
  <c r="EQ520" i="23916"/>
  <c r="ES520" i="23916" s="1"/>
  <c r="EU520" i="23916" s="1"/>
  <c r="EW520" i="23916" s="1"/>
  <c r="EQ519" i="23916"/>
  <c r="ES519" i="23916" s="1"/>
  <c r="GY514" i="23916"/>
  <c r="GY513" i="23916"/>
  <c r="GW514" i="23916"/>
  <c r="GW513" i="23916"/>
  <c r="GU514" i="23916"/>
  <c r="GU513" i="23916"/>
  <c r="GS514" i="23916"/>
  <c r="GS513" i="23916"/>
  <c r="GQ514" i="23916"/>
  <c r="GQ513" i="23916"/>
  <c r="GO514" i="23916"/>
  <c r="GO513" i="23916"/>
  <c r="GM514" i="23916"/>
  <c r="GM513" i="23916"/>
  <c r="GK514" i="23916"/>
  <c r="GK513" i="23916"/>
  <c r="GI514" i="23916"/>
  <c r="GI513" i="23916"/>
  <c r="GG514" i="23916"/>
  <c r="GG513" i="23916"/>
  <c r="GE514" i="23916"/>
  <c r="GE513" i="23916"/>
  <c r="GC514" i="23916"/>
  <c r="GC513" i="23916"/>
  <c r="GA514" i="23916"/>
  <c r="GA513" i="23916"/>
  <c r="FY514" i="23916"/>
  <c r="FY513" i="23916"/>
  <c r="FW514" i="23916"/>
  <c r="FW513" i="23916"/>
  <c r="FU514" i="23916"/>
  <c r="FU513" i="23916"/>
  <c r="FS514" i="23916"/>
  <c r="FS513" i="23916"/>
  <c r="FQ514" i="23916"/>
  <c r="FQ513" i="23916"/>
  <c r="FO514" i="23916"/>
  <c r="FO513" i="23916"/>
  <c r="FM514" i="23916"/>
  <c r="FM513" i="23916"/>
  <c r="FK514" i="23916"/>
  <c r="FK513" i="23916"/>
  <c r="FI514" i="23916"/>
  <c r="FI513" i="23916"/>
  <c r="FB514" i="23916"/>
  <c r="FB513" i="23916"/>
  <c r="EX514" i="23916"/>
  <c r="EX513" i="23916"/>
  <c r="EV514" i="23916"/>
  <c r="EV513" i="23916"/>
  <c r="ET514" i="23916"/>
  <c r="ET513" i="23916"/>
  <c r="ER514" i="23916"/>
  <c r="ER513" i="23916"/>
  <c r="EP514" i="23916"/>
  <c r="EP513" i="23916"/>
  <c r="EN514" i="23916"/>
  <c r="EN513" i="23916"/>
  <c r="EL514" i="23916"/>
  <c r="EL513" i="23916"/>
  <c r="EJ514" i="23916"/>
  <c r="EJ513" i="23916"/>
  <c r="EH514" i="23916"/>
  <c r="EH513" i="23916"/>
  <c r="EF514" i="23916"/>
  <c r="EF513" i="23916"/>
  <c r="ED514" i="23916"/>
  <c r="ED513" i="23916"/>
  <c r="EB514" i="23916"/>
  <c r="EB513" i="23916"/>
  <c r="DZ514" i="23916"/>
  <c r="DZ513" i="23916"/>
  <c r="DX514" i="23916"/>
  <c r="DX513" i="23916"/>
  <c r="DV514" i="23916"/>
  <c r="DV513" i="23916"/>
  <c r="DT514" i="23916"/>
  <c r="DT513" i="23916"/>
  <c r="DR514" i="23916"/>
  <c r="DR513" i="23916"/>
  <c r="DP514" i="23916"/>
  <c r="DP513" i="23916"/>
  <c r="DN514" i="23916"/>
  <c r="DN513" i="23916"/>
  <c r="DL514" i="23916"/>
  <c r="DL513" i="23916"/>
  <c r="DJ514" i="23916"/>
  <c r="DJ513" i="23916"/>
  <c r="DH514" i="23916"/>
  <c r="DH513" i="23916"/>
  <c r="DF514" i="23916"/>
  <c r="DF513" i="23916"/>
  <c r="DD514" i="23916"/>
  <c r="DD513" i="23916"/>
  <c r="DB514" i="23916"/>
  <c r="DB513" i="23916"/>
  <c r="CZ514" i="23916"/>
  <c r="CZ513" i="23916"/>
  <c r="CX514" i="23916"/>
  <c r="CX513" i="23916"/>
  <c r="CV514" i="23916"/>
  <c r="CV513" i="23916"/>
  <c r="CT514" i="23916"/>
  <c r="CT513" i="23916"/>
  <c r="CR514" i="23916"/>
  <c r="CR513" i="23916"/>
  <c r="CP514" i="23916"/>
  <c r="CP513" i="23916"/>
  <c r="CN514" i="23916"/>
  <c r="CN513" i="23916"/>
  <c r="CL514" i="23916"/>
  <c r="CL513" i="23916"/>
  <c r="CJ514" i="23916"/>
  <c r="CJ513" i="23916"/>
  <c r="CH514" i="23916"/>
  <c r="CH513" i="23916"/>
  <c r="CF514" i="23916"/>
  <c r="CF513" i="23916"/>
  <c r="CD514" i="23916"/>
  <c r="CD513" i="23916"/>
  <c r="CB514" i="23916"/>
  <c r="CB513" i="23916"/>
  <c r="BZ514" i="23916"/>
  <c r="BZ513" i="23916"/>
  <c r="BX514" i="23916"/>
  <c r="BX513" i="23916"/>
  <c r="BV514" i="23916"/>
  <c r="BV513" i="23916"/>
  <c r="BT514" i="23916"/>
  <c r="BT513" i="23916"/>
  <c r="BR514" i="23916"/>
  <c r="BR513" i="23916"/>
  <c r="BP514" i="23916"/>
  <c r="BP513" i="23916"/>
  <c r="BN514" i="23916"/>
  <c r="BN513" i="23916"/>
  <c r="BL514" i="23916"/>
  <c r="BL513" i="23916"/>
  <c r="BJ514" i="23916"/>
  <c r="BJ513" i="23916"/>
  <c r="BH514" i="23916"/>
  <c r="BH513" i="23916"/>
  <c r="BF514" i="23916"/>
  <c r="BF513" i="23916"/>
  <c r="BD514" i="23916"/>
  <c r="BD513" i="23916"/>
  <c r="BB514" i="23916"/>
  <c r="BB513" i="23916"/>
  <c r="AZ514" i="23916"/>
  <c r="AZ513" i="23916"/>
  <c r="AX514" i="23916"/>
  <c r="AX513" i="23916"/>
  <c r="AV514" i="23916"/>
  <c r="AV513" i="23916"/>
  <c r="AT514" i="23916"/>
  <c r="AT513" i="23916"/>
  <c r="AR514" i="23916"/>
  <c r="AR513" i="23916"/>
  <c r="AP514" i="23916"/>
  <c r="AP513" i="23916"/>
  <c r="AN514" i="23916"/>
  <c r="AN513" i="23916"/>
  <c r="AL514" i="23916"/>
  <c r="AL513" i="23916"/>
  <c r="AJ514" i="23916"/>
  <c r="AJ513" i="23916"/>
  <c r="AH514" i="23916"/>
  <c r="AH513" i="23916"/>
  <c r="AF514" i="23916"/>
  <c r="AF513" i="23916"/>
  <c r="AD514" i="23916"/>
  <c r="AD513" i="23916"/>
  <c r="AB514" i="23916"/>
  <c r="AB513" i="23916"/>
  <c r="Z514" i="23916"/>
  <c r="Z513" i="23916"/>
  <c r="X514" i="23916"/>
  <c r="X513" i="23916"/>
  <c r="V514" i="23916"/>
  <c r="V513" i="23916"/>
  <c r="T514" i="23916"/>
  <c r="T513" i="23916"/>
  <c r="R514" i="23916"/>
  <c r="R513" i="23916"/>
  <c r="P514" i="23916"/>
  <c r="P513" i="23916"/>
  <c r="N514" i="23916"/>
  <c r="N513" i="23916"/>
  <c r="L514" i="23916"/>
  <c r="L513" i="23916"/>
  <c r="GZ513" i="23916"/>
  <c r="FE514" i="23916"/>
  <c r="FD514" i="23916"/>
  <c r="FG514" i="23916" s="1"/>
  <c r="FE513" i="23916"/>
  <c r="FD513" i="23916"/>
  <c r="FG513" i="23916" s="1"/>
  <c r="GW504" i="23916"/>
  <c r="GU504" i="23916"/>
  <c r="GS504" i="23916"/>
  <c r="GP504" i="23916"/>
  <c r="GQ504" i="23916" s="1"/>
  <c r="GN504" i="23916"/>
  <c r="GH504" i="23916"/>
  <c r="GB504" i="23916"/>
  <c r="GC504" i="23916" s="1"/>
  <c r="FZ504" i="23916"/>
  <c r="GA504" i="23916" s="1"/>
  <c r="FX504" i="23916"/>
  <c r="FY504" i="23916" s="1"/>
  <c r="FV504" i="23916"/>
  <c r="FW504" i="23916" s="1"/>
  <c r="FQ504" i="23916"/>
  <c r="FP504" i="23916"/>
  <c r="EX504" i="23916"/>
  <c r="EV504" i="23916"/>
  <c r="ET504" i="23916"/>
  <c r="ER504" i="23916"/>
  <c r="EP504" i="23916"/>
  <c r="EP501" i="23916"/>
  <c r="EN501" i="23916"/>
  <c r="EL501" i="23916"/>
  <c r="EJ504" i="23916"/>
  <c r="EJ501" i="23916"/>
  <c r="EH504" i="23916"/>
  <c r="EH501" i="23916"/>
  <c r="EE504" i="23916"/>
  <c r="EN504" i="23916" s="1"/>
  <c r="EC504" i="23916"/>
  <c r="GL504" i="23916" s="1"/>
  <c r="EB504" i="23916"/>
  <c r="DZ504" i="23916"/>
  <c r="DZ501" i="23916"/>
  <c r="DW504" i="23916"/>
  <c r="DX504" i="23916" s="1"/>
  <c r="DV504" i="23916"/>
  <c r="DT504" i="23916"/>
  <c r="DT501" i="23916"/>
  <c r="DR504" i="23916"/>
  <c r="DR501" i="23916"/>
  <c r="DP504" i="23916"/>
  <c r="DO504" i="23916"/>
  <c r="DN504" i="23916"/>
  <c r="DL501" i="23916"/>
  <c r="DJ504" i="23916"/>
  <c r="DJ501" i="23916"/>
  <c r="DH504" i="23916"/>
  <c r="DH501" i="23916"/>
  <c r="DF504" i="23916"/>
  <c r="DF501" i="23916"/>
  <c r="DC504" i="23916"/>
  <c r="DL504" i="23916" s="1"/>
  <c r="DA504" i="23916"/>
  <c r="GD504" i="23916" s="1"/>
  <c r="GE504" i="23916" s="1"/>
  <c r="CZ504" i="23916"/>
  <c r="CX504" i="23916"/>
  <c r="CX501" i="23916"/>
  <c r="CV504" i="23916"/>
  <c r="CV501" i="23916"/>
  <c r="CT504" i="23916"/>
  <c r="CS504" i="23916"/>
  <c r="CR504" i="23916"/>
  <c r="CQ504" i="23916"/>
  <c r="CP504" i="23916"/>
  <c r="CN504" i="23916"/>
  <c r="CN501" i="23916"/>
  <c r="CL504" i="23916"/>
  <c r="CL501" i="23916"/>
  <c r="CJ501" i="23916"/>
  <c r="CH504" i="23916"/>
  <c r="CH501" i="23916"/>
  <c r="CF504" i="23916"/>
  <c r="CF501" i="23916"/>
  <c r="CD504" i="23916"/>
  <c r="CC504" i="23916"/>
  <c r="CB504" i="23916"/>
  <c r="CA504" i="23916"/>
  <c r="CJ504" i="23916" s="1"/>
  <c r="BZ504" i="23916"/>
  <c r="BX504" i="23916"/>
  <c r="BX501" i="23916"/>
  <c r="BV504" i="23916"/>
  <c r="BV501" i="23916"/>
  <c r="BT504" i="23916"/>
  <c r="BT501" i="23916"/>
  <c r="BR504" i="23916"/>
  <c r="BR501" i="23916"/>
  <c r="BP501" i="23916"/>
  <c r="BM504" i="23916"/>
  <c r="BK504" i="23916"/>
  <c r="BJ504" i="23916"/>
  <c r="BG504" i="23916"/>
  <c r="FT504" i="23916" s="1"/>
  <c r="BE504" i="23916"/>
  <c r="BN504" i="23916" s="1"/>
  <c r="BC504" i="23916"/>
  <c r="BD504" i="23916" s="1"/>
  <c r="BB504" i="23916"/>
  <c r="AZ504" i="23916"/>
  <c r="AY504" i="23916"/>
  <c r="FR504" i="23916" s="1"/>
  <c r="FS504" i="23916" s="1"/>
  <c r="AX504" i="23916"/>
  <c r="AV504" i="23916"/>
  <c r="AV501" i="23916"/>
  <c r="AT504" i="23916"/>
  <c r="AT501" i="23916"/>
  <c r="AR504" i="23916"/>
  <c r="AR501" i="23916"/>
  <c r="AP504" i="23916"/>
  <c r="AP501" i="23916"/>
  <c r="AN504" i="23916"/>
  <c r="AN501" i="23916"/>
  <c r="ES502" i="23916"/>
  <c r="EU502" i="23916" s="1"/>
  <c r="FT501" i="23916"/>
  <c r="FR501" i="23916"/>
  <c r="FS501" i="23916" s="1"/>
  <c r="FP501" i="23916"/>
  <c r="FN501" i="23916"/>
  <c r="FO501" i="23916" s="1"/>
  <c r="FL501" i="23916"/>
  <c r="FJ501" i="23916"/>
  <c r="FK501" i="23916" s="1"/>
  <c r="FH501" i="23916"/>
  <c r="FF501" i="23916"/>
  <c r="FG501" i="23916" s="1"/>
  <c r="FD501" i="23916"/>
  <c r="EF501" i="23916"/>
  <c r="ED501" i="23916"/>
  <c r="EB501" i="23916"/>
  <c r="DX501" i="23916"/>
  <c r="DV501" i="23916"/>
  <c r="DP501" i="23916"/>
  <c r="DN501" i="23916"/>
  <c r="DD501" i="23916"/>
  <c r="DB501" i="23916"/>
  <c r="CZ501" i="23916"/>
  <c r="CT501" i="23916"/>
  <c r="CR501" i="23916"/>
  <c r="CP501" i="23916"/>
  <c r="CD501" i="23916"/>
  <c r="CB501" i="23916"/>
  <c r="BZ501" i="23916"/>
  <c r="BN501" i="23916"/>
  <c r="BL501" i="23916"/>
  <c r="BJ501" i="23916"/>
  <c r="BH501" i="23916"/>
  <c r="BF501" i="23916"/>
  <c r="BD501" i="23916"/>
  <c r="BB501" i="23916"/>
  <c r="AZ501" i="23916"/>
  <c r="AX501" i="23916"/>
  <c r="AL501" i="23916"/>
  <c r="AJ501" i="23916"/>
  <c r="AH501" i="23916"/>
  <c r="AF501" i="23916"/>
  <c r="AD501" i="23916"/>
  <c r="AB501" i="23916"/>
  <c r="X501" i="23916"/>
  <c r="V501" i="23916"/>
  <c r="T501" i="23916"/>
  <c r="Q501" i="23916"/>
  <c r="Z501" i="23916" s="1"/>
  <c r="P501" i="23916"/>
  <c r="N501" i="23916"/>
  <c r="L501" i="23916"/>
  <c r="GZ504" i="23916"/>
  <c r="GY504" i="23916"/>
  <c r="GN501" i="23916"/>
  <c r="GL501" i="23916"/>
  <c r="GM501" i="23916" s="1"/>
  <c r="GJ501" i="23916"/>
  <c r="GH501" i="23916"/>
  <c r="GI501" i="23916" s="1"/>
  <c r="GF501" i="23916"/>
  <c r="GD501" i="23916"/>
  <c r="GE501" i="23916" s="1"/>
  <c r="GB501" i="23916"/>
  <c r="FZ501" i="23916"/>
  <c r="GA501" i="23916" s="1"/>
  <c r="FX501" i="23916"/>
  <c r="ES494" i="23916"/>
  <c r="EU494" i="23916" s="1"/>
  <c r="EQ495" i="23916"/>
  <c r="FE492" i="23916"/>
  <c r="FD492" i="23916"/>
  <c r="FB492" i="23916"/>
  <c r="EK492" i="23916"/>
  <c r="EL492" i="23916" s="1"/>
  <c r="EG492" i="23916"/>
  <c r="EH492" i="23916" s="1"/>
  <c r="EC492" i="23916"/>
  <c r="ED492" i="23916" s="1"/>
  <c r="DY492" i="23916"/>
  <c r="DZ492" i="23916" s="1"/>
  <c r="DU492" i="23916"/>
  <c r="DV492" i="23916" s="1"/>
  <c r="DQ492" i="23916"/>
  <c r="DR492" i="23916" s="1"/>
  <c r="DM492" i="23916"/>
  <c r="DN492" i="23916" s="1"/>
  <c r="DI492" i="23916"/>
  <c r="DJ492" i="23916" s="1"/>
  <c r="DE492" i="23916"/>
  <c r="DF492" i="23916" s="1"/>
  <c r="DA492" i="23916"/>
  <c r="DB492" i="23916" s="1"/>
  <c r="CW492" i="23916"/>
  <c r="CX492" i="23916" s="1"/>
  <c r="CS492" i="23916"/>
  <c r="CO492" i="23916"/>
  <c r="BY492" i="23916"/>
  <c r="BZ492" i="23916" s="1"/>
  <c r="BU492" i="23916"/>
  <c r="BV492" i="23916" s="1"/>
  <c r="BQ492" i="23916"/>
  <c r="BR492" i="23916" s="1"/>
  <c r="BM492" i="23916"/>
  <c r="BN492" i="23916" s="1"/>
  <c r="BI492" i="23916"/>
  <c r="BJ492" i="23916" s="1"/>
  <c r="BE492" i="23916"/>
  <c r="BF492" i="23916" s="1"/>
  <c r="BA492" i="23916"/>
  <c r="BB492" i="23916" s="1"/>
  <c r="AW492" i="23916"/>
  <c r="AX492" i="23916" s="1"/>
  <c r="AS492" i="23916"/>
  <c r="AT492" i="23916" s="1"/>
  <c r="AO492" i="23916"/>
  <c r="AP492" i="23916" s="1"/>
  <c r="AK492" i="23916"/>
  <c r="AL492" i="23916" s="1"/>
  <c r="AI492" i="23916"/>
  <c r="AJ492" i="23916" s="1"/>
  <c r="AG492" i="23916"/>
  <c r="AH492" i="23916" s="1"/>
  <c r="AE492" i="23916"/>
  <c r="AF492" i="23916" s="1"/>
  <c r="AC492" i="23916"/>
  <c r="AD492" i="23916" s="1"/>
  <c r="AA492" i="23916"/>
  <c r="AB492" i="23916" s="1"/>
  <c r="Y492" i="23916"/>
  <c r="Z492" i="23916" s="1"/>
  <c r="W492" i="23916"/>
  <c r="X492" i="23916" s="1"/>
  <c r="U492" i="23916"/>
  <c r="V492" i="23916" s="1"/>
  <c r="S492" i="23916"/>
  <c r="T492" i="23916" s="1"/>
  <c r="Q492" i="23916"/>
  <c r="R492" i="23916" s="1"/>
  <c r="O492" i="23916"/>
  <c r="P492" i="23916" s="1"/>
  <c r="M492" i="23916"/>
  <c r="N492" i="23916" s="1"/>
  <c r="K492" i="23916"/>
  <c r="L492" i="23916" s="1"/>
  <c r="I492" i="23916"/>
  <c r="G492" i="23916"/>
  <c r="E492" i="23916"/>
  <c r="C492" i="23916"/>
  <c r="GV491" i="23916"/>
  <c r="GX491" i="23916" s="1"/>
  <c r="GN491" i="23916"/>
  <c r="GN490" i="23916"/>
  <c r="GL491" i="23916"/>
  <c r="GL490" i="23916"/>
  <c r="ES491" i="23916"/>
  <c r="GJ490" i="23916"/>
  <c r="EQ490" i="23916"/>
  <c r="ES490" i="23916" s="1"/>
  <c r="EQ489" i="23916"/>
  <c r="GF489" i="23916"/>
  <c r="GB489" i="23916"/>
  <c r="FX489" i="23916"/>
  <c r="FT489" i="23916"/>
  <c r="FP489" i="23916"/>
  <c r="FM489" i="23916"/>
  <c r="FK489" i="23916"/>
  <c r="FI489" i="23916"/>
  <c r="FG489" i="23916"/>
  <c r="FE489" i="23916"/>
  <c r="EP489" i="23916"/>
  <c r="EO489" i="23916"/>
  <c r="EM489" i="23916"/>
  <c r="EM492" i="23916" s="1"/>
  <c r="EL489" i="23916"/>
  <c r="EK489" i="23916"/>
  <c r="EI489" i="23916"/>
  <c r="EI492" i="23916" s="1"/>
  <c r="EJ492" i="23916" s="1"/>
  <c r="EH489" i="23916"/>
  <c r="EG489" i="23916"/>
  <c r="EE489" i="23916"/>
  <c r="EE492" i="23916" s="1"/>
  <c r="EF492" i="23916" s="1"/>
  <c r="ED489" i="23916"/>
  <c r="EC489" i="23916"/>
  <c r="EA489" i="23916"/>
  <c r="EA492" i="23916" s="1"/>
  <c r="DZ489" i="23916"/>
  <c r="DY489" i="23916"/>
  <c r="DW489" i="23916"/>
  <c r="DW492" i="23916" s="1"/>
  <c r="DV489" i="23916"/>
  <c r="DU489" i="23916"/>
  <c r="DS489" i="23916"/>
  <c r="DS492" i="23916" s="1"/>
  <c r="DT492" i="23916" s="1"/>
  <c r="DR489" i="23916"/>
  <c r="DQ489" i="23916"/>
  <c r="DO489" i="23916"/>
  <c r="DO492" i="23916" s="1"/>
  <c r="DP492" i="23916" s="1"/>
  <c r="DN489" i="23916"/>
  <c r="DM489" i="23916"/>
  <c r="DK489" i="23916"/>
  <c r="DK492" i="23916" s="1"/>
  <c r="DJ489" i="23916"/>
  <c r="DI489" i="23916"/>
  <c r="DG489" i="23916"/>
  <c r="DG492" i="23916" s="1"/>
  <c r="DF489" i="23916"/>
  <c r="DE489" i="23916"/>
  <c r="DC489" i="23916"/>
  <c r="DC492" i="23916" s="1"/>
  <c r="DD492" i="23916" s="1"/>
  <c r="DB489" i="23916"/>
  <c r="DA489" i="23916"/>
  <c r="CY489" i="23916"/>
  <c r="CY492" i="23916" s="1"/>
  <c r="CZ492" i="23916" s="1"/>
  <c r="CX489" i="23916"/>
  <c r="CW489" i="23916"/>
  <c r="CU489" i="23916"/>
  <c r="CU492" i="23916" s="1"/>
  <c r="CT489" i="23916"/>
  <c r="CS489" i="23916"/>
  <c r="CQ489" i="23916"/>
  <c r="CQ492" i="23916" s="1"/>
  <c r="CP489" i="23916"/>
  <c r="CO489" i="23916"/>
  <c r="CM489" i="23916"/>
  <c r="CM492" i="23916" s="1"/>
  <c r="CN492" i="23916" s="1"/>
  <c r="CL489" i="23916"/>
  <c r="CK489" i="23916"/>
  <c r="CI489" i="23916"/>
  <c r="CI492" i="23916" s="1"/>
  <c r="CJ492" i="23916" s="1"/>
  <c r="CH489" i="23916"/>
  <c r="CG489" i="23916"/>
  <c r="CE489" i="23916"/>
  <c r="CE492" i="23916" s="1"/>
  <c r="CD489" i="23916"/>
  <c r="CC489" i="23916"/>
  <c r="CA489" i="23916"/>
  <c r="CA492" i="23916" s="1"/>
  <c r="BZ489" i="23916"/>
  <c r="BY489" i="23916"/>
  <c r="BW489" i="23916"/>
  <c r="BW492" i="23916" s="1"/>
  <c r="BX492" i="23916" s="1"/>
  <c r="BV489" i="23916"/>
  <c r="BU489" i="23916"/>
  <c r="BS489" i="23916"/>
  <c r="BS492" i="23916" s="1"/>
  <c r="BT492" i="23916" s="1"/>
  <c r="BR489" i="23916"/>
  <c r="BQ489" i="23916"/>
  <c r="BO489" i="23916"/>
  <c r="BO492" i="23916" s="1"/>
  <c r="BN489" i="23916"/>
  <c r="BM489" i="23916"/>
  <c r="BK489" i="23916"/>
  <c r="BK492" i="23916" s="1"/>
  <c r="BJ489" i="23916"/>
  <c r="BI489" i="23916"/>
  <c r="BG489" i="23916"/>
  <c r="BG492" i="23916" s="1"/>
  <c r="BH492" i="23916" s="1"/>
  <c r="BF489" i="23916"/>
  <c r="BE489" i="23916"/>
  <c r="BC489" i="23916"/>
  <c r="BC492" i="23916" s="1"/>
  <c r="BD492" i="23916" s="1"/>
  <c r="BB489" i="23916"/>
  <c r="BA489" i="23916"/>
  <c r="AY489" i="23916"/>
  <c r="AY492" i="23916" s="1"/>
  <c r="AX489" i="23916"/>
  <c r="AW489" i="23916"/>
  <c r="AU489" i="23916"/>
  <c r="AU492" i="23916" s="1"/>
  <c r="AT489" i="23916"/>
  <c r="AS489" i="23916"/>
  <c r="AQ489" i="23916"/>
  <c r="AQ492" i="23916" s="1"/>
  <c r="AR492" i="23916" s="1"/>
  <c r="AP489" i="23916"/>
  <c r="AO489" i="23916"/>
  <c r="AM489" i="23916"/>
  <c r="AM492" i="23916" s="1"/>
  <c r="AN492" i="23916" s="1"/>
  <c r="AL489" i="23916"/>
  <c r="AJ489" i="23916"/>
  <c r="AJ488" i="23916"/>
  <c r="AJ487" i="23916"/>
  <c r="AH489" i="23916"/>
  <c r="AH488" i="23916"/>
  <c r="AH487" i="23916"/>
  <c r="AF489" i="23916"/>
  <c r="AF488" i="23916"/>
  <c r="AF487" i="23916"/>
  <c r="AD489" i="23916"/>
  <c r="AD488" i="23916"/>
  <c r="AD487" i="23916"/>
  <c r="AB489" i="23916"/>
  <c r="AB488" i="23916"/>
  <c r="AB487" i="23916"/>
  <c r="Z489" i="23916"/>
  <c r="Z487" i="23916"/>
  <c r="X489" i="23916"/>
  <c r="X488" i="23916"/>
  <c r="X487" i="23916"/>
  <c r="V489" i="23916"/>
  <c r="V488" i="23916"/>
  <c r="V487" i="23916"/>
  <c r="T489" i="23916"/>
  <c r="T488" i="23916"/>
  <c r="T487" i="23916"/>
  <c r="R489" i="23916"/>
  <c r="R487" i="23916"/>
  <c r="P489" i="23916"/>
  <c r="P488" i="23916"/>
  <c r="P487" i="23916"/>
  <c r="N489" i="23916"/>
  <c r="N488" i="23916"/>
  <c r="N487" i="23916"/>
  <c r="L489" i="23916"/>
  <c r="L488" i="23916"/>
  <c r="L487" i="23916"/>
  <c r="GN488" i="23916"/>
  <c r="GL488" i="23916"/>
  <c r="GJ488" i="23916"/>
  <c r="GF488" i="23916"/>
  <c r="GB488" i="23916"/>
  <c r="FV488" i="23916"/>
  <c r="FN488" i="23916"/>
  <c r="FL488" i="23916"/>
  <c r="FJ488" i="23916"/>
  <c r="FJ492" i="23916" s="1"/>
  <c r="FH488" i="23916"/>
  <c r="FG488" i="23916"/>
  <c r="FF488" i="23916"/>
  <c r="FF492" i="23916" s="1"/>
  <c r="FG492" i="23916" s="1"/>
  <c r="FE488" i="23916"/>
  <c r="EN488" i="23916"/>
  <c r="EN487" i="23916"/>
  <c r="EL488" i="23916"/>
  <c r="EL487" i="23916"/>
  <c r="EJ488" i="23916"/>
  <c r="EJ487" i="23916"/>
  <c r="EH488" i="23916"/>
  <c r="EH487" i="23916"/>
  <c r="EF488" i="23916"/>
  <c r="EF487" i="23916"/>
  <c r="ED488" i="23916"/>
  <c r="ED487" i="23916"/>
  <c r="EB488" i="23916"/>
  <c r="EB487" i="23916"/>
  <c r="DZ487" i="23916"/>
  <c r="DX488" i="23916"/>
  <c r="DX487" i="23916"/>
  <c r="DV487" i="23916"/>
  <c r="DT488" i="23916"/>
  <c r="DT487" i="23916"/>
  <c r="DQ488" i="23916"/>
  <c r="DZ488" i="23916" s="1"/>
  <c r="DP488" i="23916"/>
  <c r="DO488" i="23916"/>
  <c r="DM488" i="23916"/>
  <c r="GH488" i="23916" s="1"/>
  <c r="DL488" i="23916"/>
  <c r="DJ488" i="23916"/>
  <c r="DJ487" i="23916"/>
  <c r="DH488" i="23916"/>
  <c r="DH487" i="23916"/>
  <c r="DF488" i="23916"/>
  <c r="DF487" i="23916"/>
  <c r="DD488" i="23916"/>
  <c r="DD487" i="23916"/>
  <c r="DB487" i="23916"/>
  <c r="CZ488" i="23916"/>
  <c r="CZ487" i="23916"/>
  <c r="CX488" i="23916"/>
  <c r="CW488" i="23916"/>
  <c r="GD488" i="23916" s="1"/>
  <c r="CV488" i="23916"/>
  <c r="CS488" i="23916"/>
  <c r="CP487" i="23916"/>
  <c r="CN488" i="23916"/>
  <c r="CN487" i="23916"/>
  <c r="CK488" i="23916"/>
  <c r="CL488" i="23916" s="1"/>
  <c r="CJ488" i="23916"/>
  <c r="CI488" i="23916"/>
  <c r="CG488" i="23916"/>
  <c r="CP488" i="23916" s="1"/>
  <c r="CF488" i="23916"/>
  <c r="CE488" i="23916"/>
  <c r="CC488" i="23916"/>
  <c r="CD488" i="23916" s="1"/>
  <c r="CB488" i="23916"/>
  <c r="BY488" i="23916"/>
  <c r="BZ488" i="23916" s="1"/>
  <c r="BX488" i="23916"/>
  <c r="BV488" i="23916"/>
  <c r="BV487" i="23916"/>
  <c r="BT488" i="23916"/>
  <c r="BT487" i="23916"/>
  <c r="BR488" i="23916"/>
  <c r="BR487" i="23916"/>
  <c r="BP487" i="23916"/>
  <c r="BN488" i="23916"/>
  <c r="BN487" i="23916"/>
  <c r="BL487" i="23916"/>
  <c r="BJ488" i="23916"/>
  <c r="BJ487" i="23916"/>
  <c r="BG488" i="23916"/>
  <c r="BF488" i="23916"/>
  <c r="BE488" i="23916"/>
  <c r="BC488" i="23916"/>
  <c r="BB488" i="23916"/>
  <c r="BA488" i="23916"/>
  <c r="AY488" i="23916"/>
  <c r="AX488" i="23916"/>
  <c r="AW488" i="23916"/>
  <c r="AU488" i="23916"/>
  <c r="AT488" i="23916"/>
  <c r="AR488" i="23916"/>
  <c r="AR487" i="23916"/>
  <c r="AP488" i="23916"/>
  <c r="AP487" i="23916"/>
  <c r="AN488" i="23916"/>
  <c r="AN487" i="23916"/>
  <c r="AL488" i="23916"/>
  <c r="AL487" i="23916"/>
  <c r="Q488" i="23916"/>
  <c r="GM487" i="23916"/>
  <c r="GL487" i="23916"/>
  <c r="GJ487" i="23916"/>
  <c r="GI487" i="23916"/>
  <c r="GH487" i="23916"/>
  <c r="GF487" i="23916"/>
  <c r="GE487" i="23916"/>
  <c r="GD487" i="23916"/>
  <c r="GB487" i="23916"/>
  <c r="GA487" i="23916"/>
  <c r="FZ487" i="23916"/>
  <c r="FX487" i="23916"/>
  <c r="FW487" i="23916"/>
  <c r="FT487" i="23916"/>
  <c r="FR487" i="23916"/>
  <c r="FS487" i="23916" s="1"/>
  <c r="FP487" i="23916"/>
  <c r="FN487" i="23916"/>
  <c r="FO487" i="23916" s="1"/>
  <c r="FL487" i="23916"/>
  <c r="FJ487" i="23916"/>
  <c r="FK487" i="23916" s="1"/>
  <c r="FH487" i="23916"/>
  <c r="FF487" i="23916"/>
  <c r="FG487" i="23916" s="1"/>
  <c r="FE487" i="23916"/>
  <c r="EP488" i="23916"/>
  <c r="EO487" i="23916"/>
  <c r="DR487" i="23916"/>
  <c r="DP487" i="23916"/>
  <c r="DN487" i="23916"/>
  <c r="DL487" i="23916"/>
  <c r="CX487" i="23916"/>
  <c r="CV487" i="23916"/>
  <c r="CT487" i="23916"/>
  <c r="CR487" i="23916"/>
  <c r="CL487" i="23916"/>
  <c r="CJ487" i="23916"/>
  <c r="CH487" i="23916"/>
  <c r="CF487" i="23916"/>
  <c r="CD487" i="23916"/>
  <c r="CB487" i="23916"/>
  <c r="BZ487" i="23916"/>
  <c r="BX487" i="23916"/>
  <c r="BH487" i="23916"/>
  <c r="BF487" i="23916"/>
  <c r="BD487" i="23916"/>
  <c r="BB487" i="23916"/>
  <c r="AZ487" i="23916"/>
  <c r="AX487" i="23916"/>
  <c r="AV487" i="23916"/>
  <c r="AT487" i="23916"/>
  <c r="FG484" i="23916"/>
  <c r="FG483" i="23916"/>
  <c r="FE484" i="23916"/>
  <c r="FE483" i="23916"/>
  <c r="FE479" i="23916"/>
  <c r="EO484" i="23916"/>
  <c r="EO483" i="23916"/>
  <c r="EM484" i="23916"/>
  <c r="EM483" i="23916"/>
  <c r="EK484" i="23916"/>
  <c r="EK483" i="23916"/>
  <c r="EI484" i="23916"/>
  <c r="EI483" i="23916"/>
  <c r="EG484" i="23916"/>
  <c r="EG483" i="23916"/>
  <c r="EE484" i="23916"/>
  <c r="EE483" i="23916"/>
  <c r="EC484" i="23916"/>
  <c r="EC483" i="23916"/>
  <c r="EA484" i="23916"/>
  <c r="EA483" i="23916"/>
  <c r="DY484" i="23916"/>
  <c r="DY483" i="23916"/>
  <c r="DW484" i="23916"/>
  <c r="DW483" i="23916"/>
  <c r="DU484" i="23916"/>
  <c r="DU483" i="23916"/>
  <c r="DS484" i="23916"/>
  <c r="DS483" i="23916"/>
  <c r="FD481" i="23916"/>
  <c r="FE481" i="23916" s="1"/>
  <c r="FD480" i="23916"/>
  <c r="FD482" i="23916" s="1"/>
  <c r="FD479" i="23916"/>
  <c r="FD478" i="23916"/>
  <c r="FE478" i="23916" s="1"/>
  <c r="FB481" i="23916"/>
  <c r="FB480" i="23916"/>
  <c r="FB482" i="23916" s="1"/>
  <c r="FB479" i="23916"/>
  <c r="ES479" i="23916"/>
  <c r="EU478" i="23916"/>
  <c r="EW478" i="23916" s="1"/>
  <c r="ES478" i="23916"/>
  <c r="CL477" i="23916"/>
  <c r="CL474" i="23916"/>
  <c r="CL472" i="23916"/>
  <c r="CL470" i="23916"/>
  <c r="CL469" i="23916"/>
  <c r="FB475" i="23916"/>
  <c r="FB496" i="23916" s="1"/>
  <c r="I476" i="23916"/>
  <c r="I497" i="23916" s="1"/>
  <c r="I475" i="23916"/>
  <c r="I500" i="23916" s="1"/>
  <c r="G475" i="23916"/>
  <c r="G496" i="23916" s="1"/>
  <c r="E476" i="23916"/>
  <c r="E497" i="23916" s="1"/>
  <c r="E475" i="23916"/>
  <c r="E500" i="23916" s="1"/>
  <c r="C475" i="23916"/>
  <c r="C496" i="23916" s="1"/>
  <c r="FD475" i="23916"/>
  <c r="FD496" i="23916" s="1"/>
  <c r="EO475" i="23916"/>
  <c r="EN475" i="23916"/>
  <c r="EM475" i="23916"/>
  <c r="EM496" i="23916" s="1"/>
  <c r="EK475" i="23916"/>
  <c r="EL475" i="23916" s="1"/>
  <c r="EJ475" i="23916"/>
  <c r="EI475" i="23916"/>
  <c r="EI496" i="23916" s="1"/>
  <c r="EG475" i="23916"/>
  <c r="EG500" i="23916" s="1"/>
  <c r="EF475" i="23916"/>
  <c r="EE475" i="23916"/>
  <c r="EE496" i="23916" s="1"/>
  <c r="EF496" i="23916" s="1"/>
  <c r="EC475" i="23916"/>
  <c r="ED475" i="23916" s="1"/>
  <c r="EB475" i="23916"/>
  <c r="EA475" i="23916"/>
  <c r="EA496" i="23916" s="1"/>
  <c r="EB496" i="23916" s="1"/>
  <c r="DY475" i="23916"/>
  <c r="DY500" i="23916" s="1"/>
  <c r="DX475" i="23916"/>
  <c r="DW475" i="23916"/>
  <c r="DW496" i="23916" s="1"/>
  <c r="DU475" i="23916"/>
  <c r="DV475" i="23916" s="1"/>
  <c r="DT475" i="23916"/>
  <c r="DS475" i="23916"/>
  <c r="DS496" i="23916" s="1"/>
  <c r="DQ475" i="23916"/>
  <c r="DQ500" i="23916" s="1"/>
  <c r="DP475" i="23916"/>
  <c r="DO475" i="23916"/>
  <c r="DO496" i="23916" s="1"/>
  <c r="DP496" i="23916" s="1"/>
  <c r="DM475" i="23916"/>
  <c r="DN475" i="23916" s="1"/>
  <c r="DL475" i="23916"/>
  <c r="DK475" i="23916"/>
  <c r="DK496" i="23916" s="1"/>
  <c r="DL496" i="23916" s="1"/>
  <c r="DI475" i="23916"/>
  <c r="DI500" i="23916" s="1"/>
  <c r="DH475" i="23916"/>
  <c r="DG475" i="23916"/>
  <c r="DG496" i="23916" s="1"/>
  <c r="DE475" i="23916"/>
  <c r="DF475" i="23916" s="1"/>
  <c r="DD475" i="23916"/>
  <c r="DC475" i="23916"/>
  <c r="DC496" i="23916" s="1"/>
  <c r="DA475" i="23916"/>
  <c r="DA500" i="23916" s="1"/>
  <c r="CZ475" i="23916"/>
  <c r="CY475" i="23916"/>
  <c r="CY496" i="23916" s="1"/>
  <c r="CZ496" i="23916" s="1"/>
  <c r="CW475" i="23916"/>
  <c r="CX475" i="23916" s="1"/>
  <c r="CV475" i="23916"/>
  <c r="CU475" i="23916"/>
  <c r="CU496" i="23916" s="1"/>
  <c r="CS475" i="23916"/>
  <c r="CS500" i="23916" s="1"/>
  <c r="CQ475" i="23916"/>
  <c r="CQ496" i="23916" s="1"/>
  <c r="CO475" i="23916"/>
  <c r="CP475" i="23916" s="1"/>
  <c r="CM475" i="23916"/>
  <c r="CM496" i="23916" s="1"/>
  <c r="CK475" i="23916"/>
  <c r="CI475" i="23916"/>
  <c r="CI496" i="23916" s="1"/>
  <c r="CH475" i="23916"/>
  <c r="CG475" i="23916"/>
  <c r="CG476" i="23916" s="1"/>
  <c r="CE475" i="23916"/>
  <c r="CE496" i="23916" s="1"/>
  <c r="CA475" i="23916"/>
  <c r="CA496" i="23916" s="1"/>
  <c r="BZ475" i="23916"/>
  <c r="BY475" i="23916"/>
  <c r="BY476" i="23916" s="1"/>
  <c r="BW475" i="23916"/>
  <c r="BW496" i="23916" s="1"/>
  <c r="BX496" i="23916" s="1"/>
  <c r="BV475" i="23916"/>
  <c r="BU475" i="23916"/>
  <c r="BU500" i="23916" s="1"/>
  <c r="BS475" i="23916"/>
  <c r="BS496" i="23916" s="1"/>
  <c r="BT496" i="23916" s="1"/>
  <c r="BR475" i="23916"/>
  <c r="BQ475" i="23916"/>
  <c r="BQ476" i="23916" s="1"/>
  <c r="BO475" i="23916"/>
  <c r="BO496" i="23916" s="1"/>
  <c r="BN475" i="23916"/>
  <c r="BM475" i="23916"/>
  <c r="BM500" i="23916" s="1"/>
  <c r="BK475" i="23916"/>
  <c r="BK496" i="23916" s="1"/>
  <c r="BJ475" i="23916"/>
  <c r="BI475" i="23916"/>
  <c r="BI476" i="23916" s="1"/>
  <c r="BG475" i="23916"/>
  <c r="BG496" i="23916" s="1"/>
  <c r="BH496" i="23916" s="1"/>
  <c r="BF475" i="23916"/>
  <c r="BE475" i="23916"/>
  <c r="BE500" i="23916" s="1"/>
  <c r="BC475" i="23916"/>
  <c r="BC496" i="23916" s="1"/>
  <c r="BD496" i="23916" s="1"/>
  <c r="BB475" i="23916"/>
  <c r="BA475" i="23916"/>
  <c r="BA476" i="23916" s="1"/>
  <c r="AY475" i="23916"/>
  <c r="AY496" i="23916" s="1"/>
  <c r="AX475" i="23916"/>
  <c r="AW475" i="23916"/>
  <c r="AW500" i="23916" s="1"/>
  <c r="AU475" i="23916"/>
  <c r="AU496" i="23916" s="1"/>
  <c r="AT475" i="23916"/>
  <c r="AS475" i="23916"/>
  <c r="AS476" i="23916" s="1"/>
  <c r="AQ475" i="23916"/>
  <c r="AQ496" i="23916" s="1"/>
  <c r="AR496" i="23916" s="1"/>
  <c r="AP475" i="23916"/>
  <c r="AO475" i="23916"/>
  <c r="AO500" i="23916" s="1"/>
  <c r="AM475" i="23916"/>
  <c r="AM496" i="23916" s="1"/>
  <c r="AN496" i="23916" s="1"/>
  <c r="AL475" i="23916"/>
  <c r="AK475" i="23916"/>
  <c r="AK476" i="23916" s="1"/>
  <c r="AI475" i="23916"/>
  <c r="AI496" i="23916" s="1"/>
  <c r="AH475" i="23916"/>
  <c r="AG475" i="23916"/>
  <c r="AG500" i="23916" s="1"/>
  <c r="AE475" i="23916"/>
  <c r="AE496" i="23916" s="1"/>
  <c r="AD475" i="23916"/>
  <c r="AC475" i="23916"/>
  <c r="AC476" i="23916" s="1"/>
  <c r="AA475" i="23916"/>
  <c r="AA496" i="23916" s="1"/>
  <c r="AB496" i="23916" s="1"/>
  <c r="Z475" i="23916"/>
  <c r="Y475" i="23916"/>
  <c r="Y500" i="23916" s="1"/>
  <c r="W475" i="23916"/>
  <c r="W496" i="23916" s="1"/>
  <c r="X496" i="23916" s="1"/>
  <c r="V475" i="23916"/>
  <c r="U475" i="23916"/>
  <c r="U476" i="23916" s="1"/>
  <c r="S475" i="23916"/>
  <c r="S496" i="23916" s="1"/>
  <c r="R475" i="23916"/>
  <c r="Q475" i="23916"/>
  <c r="Q500" i="23916" s="1"/>
  <c r="O475" i="23916"/>
  <c r="O496" i="23916" s="1"/>
  <c r="P496" i="23916" s="1"/>
  <c r="N475" i="23916"/>
  <c r="M475" i="23916"/>
  <c r="M500" i="23916" s="1"/>
  <c r="K475" i="23916"/>
  <c r="K496" i="23916" s="1"/>
  <c r="L496" i="23916" s="1"/>
  <c r="FT474" i="23916"/>
  <c r="FT475" i="23916" s="1"/>
  <c r="FR474" i="23916"/>
  <c r="FS474" i="23916" s="1"/>
  <c r="FP474" i="23916"/>
  <c r="FP475" i="23916" s="1"/>
  <c r="FN474" i="23916"/>
  <c r="FO474" i="23916" s="1"/>
  <c r="FL474" i="23916"/>
  <c r="FL475" i="23916" s="1"/>
  <c r="FJ474" i="23916"/>
  <c r="FK474" i="23916" s="1"/>
  <c r="FH474" i="23916"/>
  <c r="FH475" i="23916" s="1"/>
  <c r="FF474" i="23916"/>
  <c r="FG474" i="23916" s="1"/>
  <c r="FE474" i="23916"/>
  <c r="EN474" i="23916"/>
  <c r="EN472" i="23916"/>
  <c r="EN471" i="23916"/>
  <c r="EN470" i="23916"/>
  <c r="EN469" i="23916"/>
  <c r="EL474" i="23916"/>
  <c r="EL472" i="23916"/>
  <c r="EL471" i="23916"/>
  <c r="EL470" i="23916"/>
  <c r="EL469" i="23916"/>
  <c r="EJ474" i="23916"/>
  <c r="EJ472" i="23916"/>
  <c r="EJ471" i="23916"/>
  <c r="EJ470" i="23916"/>
  <c r="EJ469" i="23916"/>
  <c r="EH474" i="23916"/>
  <c r="EH472" i="23916"/>
  <c r="EH471" i="23916"/>
  <c r="EH470" i="23916"/>
  <c r="EH469" i="23916"/>
  <c r="EF474" i="23916"/>
  <c r="EF472" i="23916"/>
  <c r="EF471" i="23916"/>
  <c r="EF470" i="23916"/>
  <c r="EF469" i="23916"/>
  <c r="ED474" i="23916"/>
  <c r="ED472" i="23916"/>
  <c r="ED471" i="23916"/>
  <c r="ED470" i="23916"/>
  <c r="ED469" i="23916"/>
  <c r="EB474" i="23916"/>
  <c r="EB472" i="23916"/>
  <c r="EB471" i="23916"/>
  <c r="EB470" i="23916"/>
  <c r="EB469" i="23916"/>
  <c r="DZ474" i="23916"/>
  <c r="DZ472" i="23916"/>
  <c r="DZ471" i="23916"/>
  <c r="DZ470" i="23916"/>
  <c r="DZ469" i="23916"/>
  <c r="DX474" i="23916"/>
  <c r="DX472" i="23916"/>
  <c r="DX471" i="23916"/>
  <c r="DX470" i="23916"/>
  <c r="DX469" i="23916"/>
  <c r="DV474" i="23916"/>
  <c r="DV472" i="23916"/>
  <c r="DV471" i="23916"/>
  <c r="DV470" i="23916"/>
  <c r="DV469" i="23916"/>
  <c r="DT474" i="23916"/>
  <c r="DT472" i="23916"/>
  <c r="DT471" i="23916"/>
  <c r="DT470" i="23916"/>
  <c r="DT469" i="23916"/>
  <c r="DR474" i="23916"/>
  <c r="DR472" i="23916"/>
  <c r="DR471" i="23916"/>
  <c r="DR470" i="23916"/>
  <c r="DR469" i="23916"/>
  <c r="DP474" i="23916"/>
  <c r="DP472" i="23916"/>
  <c r="DP471" i="23916"/>
  <c r="DP470" i="23916"/>
  <c r="DP469" i="23916"/>
  <c r="DN474" i="23916"/>
  <c r="DN472" i="23916"/>
  <c r="DN471" i="23916"/>
  <c r="DN470" i="23916"/>
  <c r="DN469" i="23916"/>
  <c r="DL474" i="23916"/>
  <c r="DL472" i="23916"/>
  <c r="DL471" i="23916"/>
  <c r="DL470" i="23916"/>
  <c r="DL469" i="23916"/>
  <c r="DJ474" i="23916"/>
  <c r="DJ472" i="23916"/>
  <c r="DJ471" i="23916"/>
  <c r="DJ470" i="23916"/>
  <c r="DJ469" i="23916"/>
  <c r="DH474" i="23916"/>
  <c r="DH472" i="23916"/>
  <c r="DH471" i="23916"/>
  <c r="DH470" i="23916"/>
  <c r="DH469" i="23916"/>
  <c r="DF474" i="23916"/>
  <c r="DF472" i="23916"/>
  <c r="DF471" i="23916"/>
  <c r="DF470" i="23916"/>
  <c r="DF469" i="23916"/>
  <c r="DD474" i="23916"/>
  <c r="DD472" i="23916"/>
  <c r="DD471" i="23916"/>
  <c r="DD470" i="23916"/>
  <c r="DD469" i="23916"/>
  <c r="DB474" i="23916"/>
  <c r="DB472" i="23916"/>
  <c r="DB471" i="23916"/>
  <c r="DB470" i="23916"/>
  <c r="DB469" i="23916"/>
  <c r="CZ474" i="23916"/>
  <c r="CZ472" i="23916"/>
  <c r="CZ471" i="23916"/>
  <c r="CZ470" i="23916"/>
  <c r="CZ469" i="23916"/>
  <c r="CX474" i="23916"/>
  <c r="CX472" i="23916"/>
  <c r="CX471" i="23916"/>
  <c r="CX470" i="23916"/>
  <c r="CX469" i="23916"/>
  <c r="CV474" i="23916"/>
  <c r="CV472" i="23916"/>
  <c r="CV471" i="23916"/>
  <c r="CV470" i="23916"/>
  <c r="CV469" i="23916"/>
  <c r="CT474" i="23916"/>
  <c r="CT472" i="23916"/>
  <c r="CT471" i="23916"/>
  <c r="CT470" i="23916"/>
  <c r="CT469" i="23916"/>
  <c r="CR474" i="23916"/>
  <c r="CR472" i="23916"/>
  <c r="CR471" i="23916"/>
  <c r="CR470" i="23916"/>
  <c r="CR469" i="23916"/>
  <c r="CP474" i="23916"/>
  <c r="CP472" i="23916"/>
  <c r="CP471" i="23916"/>
  <c r="CP470" i="23916"/>
  <c r="CP469" i="23916"/>
  <c r="CN474" i="23916"/>
  <c r="CN472" i="23916"/>
  <c r="CN471" i="23916"/>
  <c r="CN470" i="23916"/>
  <c r="CN469" i="23916"/>
  <c r="CJ474" i="23916"/>
  <c r="CJ472" i="23916"/>
  <c r="CJ471" i="23916"/>
  <c r="CJ470" i="23916"/>
  <c r="CJ469" i="23916"/>
  <c r="CH474" i="23916"/>
  <c r="CH472" i="23916"/>
  <c r="CH471" i="23916"/>
  <c r="CH470" i="23916"/>
  <c r="CH469" i="23916"/>
  <c r="CF474" i="23916"/>
  <c r="CF472" i="23916"/>
  <c r="CF471" i="23916"/>
  <c r="CF470" i="23916"/>
  <c r="CF469" i="23916"/>
  <c r="CD474" i="23916"/>
  <c r="CD472" i="23916"/>
  <c r="CD470" i="23916"/>
  <c r="CD469" i="23916"/>
  <c r="CB474" i="23916"/>
  <c r="CB472" i="23916"/>
  <c r="CB471" i="23916"/>
  <c r="CB470" i="23916"/>
  <c r="CB469" i="23916"/>
  <c r="BZ474" i="23916"/>
  <c r="BZ472" i="23916"/>
  <c r="BZ471" i="23916"/>
  <c r="BZ470" i="23916"/>
  <c r="BZ469" i="23916"/>
  <c r="BX474" i="23916"/>
  <c r="BX472" i="23916"/>
  <c r="BX471" i="23916"/>
  <c r="BX470" i="23916"/>
  <c r="BX469" i="23916"/>
  <c r="BV474" i="23916"/>
  <c r="BV472" i="23916"/>
  <c r="BV471" i="23916"/>
  <c r="BV470" i="23916"/>
  <c r="BV469" i="23916"/>
  <c r="BT474" i="23916"/>
  <c r="BT472" i="23916"/>
  <c r="BT471" i="23916"/>
  <c r="BT470" i="23916"/>
  <c r="BT469" i="23916"/>
  <c r="BR474" i="23916"/>
  <c r="BR472" i="23916"/>
  <c r="BR471" i="23916"/>
  <c r="BR470" i="23916"/>
  <c r="BR469" i="23916"/>
  <c r="BP474" i="23916"/>
  <c r="BP472" i="23916"/>
  <c r="BP471" i="23916"/>
  <c r="BP470" i="23916"/>
  <c r="BP469" i="23916"/>
  <c r="BN474" i="23916"/>
  <c r="BN472" i="23916"/>
  <c r="BN471" i="23916"/>
  <c r="BN470" i="23916"/>
  <c r="BN469" i="23916"/>
  <c r="BL474" i="23916"/>
  <c r="BL472" i="23916"/>
  <c r="BL471" i="23916"/>
  <c r="BL470" i="23916"/>
  <c r="BL469" i="23916"/>
  <c r="BJ474" i="23916"/>
  <c r="BJ472" i="23916"/>
  <c r="BJ471" i="23916"/>
  <c r="BJ470" i="23916"/>
  <c r="BJ469" i="23916"/>
  <c r="BH474" i="23916"/>
  <c r="BH472" i="23916"/>
  <c r="BH471" i="23916"/>
  <c r="BH470" i="23916"/>
  <c r="BH469" i="23916"/>
  <c r="BF474" i="23916"/>
  <c r="BF472" i="23916"/>
  <c r="BF471" i="23916"/>
  <c r="BF470" i="23916"/>
  <c r="BF469" i="23916"/>
  <c r="BD474" i="23916"/>
  <c r="BD472" i="23916"/>
  <c r="BD471" i="23916"/>
  <c r="BD470" i="23916"/>
  <c r="BD469" i="23916"/>
  <c r="BB474" i="23916"/>
  <c r="BB472" i="23916"/>
  <c r="BB471" i="23916"/>
  <c r="BB470" i="23916"/>
  <c r="BB469" i="23916"/>
  <c r="AZ474" i="23916"/>
  <c r="AZ472" i="23916"/>
  <c r="AZ471" i="23916"/>
  <c r="AZ470" i="23916"/>
  <c r="AZ469" i="23916"/>
  <c r="AX474" i="23916"/>
  <c r="AX472" i="23916"/>
  <c r="AX471" i="23916"/>
  <c r="AX470" i="23916"/>
  <c r="AX469" i="23916"/>
  <c r="AV474" i="23916"/>
  <c r="AV472" i="23916"/>
  <c r="AV471" i="23916"/>
  <c r="AV470" i="23916"/>
  <c r="AV469" i="23916"/>
  <c r="AT474" i="23916"/>
  <c r="AT472" i="23916"/>
  <c r="AT471" i="23916"/>
  <c r="AT470" i="23916"/>
  <c r="AT469" i="23916"/>
  <c r="AR474" i="23916"/>
  <c r="AR472" i="23916"/>
  <c r="AR471" i="23916"/>
  <c r="AR470" i="23916"/>
  <c r="AR469" i="23916"/>
  <c r="AP474" i="23916"/>
  <c r="AP472" i="23916"/>
  <c r="AP471" i="23916"/>
  <c r="AP470" i="23916"/>
  <c r="AP469" i="23916"/>
  <c r="AN474" i="23916"/>
  <c r="AN473" i="23916"/>
  <c r="AN472" i="23916"/>
  <c r="AN471" i="23916"/>
  <c r="AN470" i="23916"/>
  <c r="AN469" i="23916"/>
  <c r="AL474" i="23916"/>
  <c r="AL472" i="23916"/>
  <c r="AL471" i="23916"/>
  <c r="AL470" i="23916"/>
  <c r="AL469" i="23916"/>
  <c r="AJ474" i="23916"/>
  <c r="AJ472" i="23916"/>
  <c r="AJ471" i="23916"/>
  <c r="AJ470" i="23916"/>
  <c r="AJ469" i="23916"/>
  <c r="AH474" i="23916"/>
  <c r="AH472" i="23916"/>
  <c r="AH471" i="23916"/>
  <c r="AH470" i="23916"/>
  <c r="AH469" i="23916"/>
  <c r="AF474" i="23916"/>
  <c r="AF473" i="23916"/>
  <c r="AF472" i="23916"/>
  <c r="AF471" i="23916"/>
  <c r="AF470" i="23916"/>
  <c r="AF469" i="23916"/>
  <c r="AD474" i="23916"/>
  <c r="AD472" i="23916"/>
  <c r="AD471" i="23916"/>
  <c r="AD470" i="23916"/>
  <c r="AD469" i="23916"/>
  <c r="AB474" i="23916"/>
  <c r="AB472" i="23916"/>
  <c r="AB471" i="23916"/>
  <c r="AB470" i="23916"/>
  <c r="AB469" i="23916"/>
  <c r="Z474" i="23916"/>
  <c r="Z472" i="23916"/>
  <c r="Z471" i="23916"/>
  <c r="Z470" i="23916"/>
  <c r="Z469" i="23916"/>
  <c r="X474" i="23916"/>
  <c r="X473" i="23916"/>
  <c r="X472" i="23916"/>
  <c r="X471" i="23916"/>
  <c r="X470" i="23916"/>
  <c r="X469" i="23916"/>
  <c r="V474" i="23916"/>
  <c r="V472" i="23916"/>
  <c r="V471" i="23916"/>
  <c r="V470" i="23916"/>
  <c r="V469" i="23916"/>
  <c r="T474" i="23916"/>
  <c r="T472" i="23916"/>
  <c r="T471" i="23916"/>
  <c r="T470" i="23916"/>
  <c r="T469" i="23916"/>
  <c r="R474" i="23916"/>
  <c r="R472" i="23916"/>
  <c r="R471" i="23916"/>
  <c r="R470" i="23916"/>
  <c r="R469" i="23916"/>
  <c r="P474" i="23916"/>
  <c r="P473" i="23916"/>
  <c r="P472" i="23916"/>
  <c r="P471" i="23916"/>
  <c r="P470" i="23916"/>
  <c r="P469" i="23916"/>
  <c r="N474" i="23916"/>
  <c r="N472" i="23916"/>
  <c r="N471" i="23916"/>
  <c r="N470" i="23916"/>
  <c r="N469" i="23916"/>
  <c r="L474" i="23916"/>
  <c r="L472" i="23916"/>
  <c r="L471" i="23916"/>
  <c r="L470" i="23916"/>
  <c r="L469" i="23916"/>
  <c r="FV473" i="23916"/>
  <c r="FD473" i="23916"/>
  <c r="FE473" i="23916" s="1"/>
  <c r="FB473" i="23916"/>
  <c r="EO473" i="23916"/>
  <c r="EM473" i="23916"/>
  <c r="EN473" i="23916" s="1"/>
  <c r="EK473" i="23916"/>
  <c r="EL473" i="23916" s="1"/>
  <c r="EI473" i="23916"/>
  <c r="EJ473" i="23916" s="1"/>
  <c r="EG473" i="23916"/>
  <c r="EH473" i="23916" s="1"/>
  <c r="EE473" i="23916"/>
  <c r="EF473" i="23916" s="1"/>
  <c r="EC473" i="23916"/>
  <c r="ED473" i="23916" s="1"/>
  <c r="EA473" i="23916"/>
  <c r="EB473" i="23916" s="1"/>
  <c r="DY473" i="23916"/>
  <c r="DZ473" i="23916" s="1"/>
  <c r="DW473" i="23916"/>
  <c r="DX473" i="23916" s="1"/>
  <c r="DU473" i="23916"/>
  <c r="DV473" i="23916" s="1"/>
  <c r="DS473" i="23916"/>
  <c r="DT473" i="23916" s="1"/>
  <c r="DQ473" i="23916"/>
  <c r="DR473" i="23916" s="1"/>
  <c r="DO473" i="23916"/>
  <c r="DP473" i="23916" s="1"/>
  <c r="DM473" i="23916"/>
  <c r="DN473" i="23916" s="1"/>
  <c r="DK473" i="23916"/>
  <c r="DL473" i="23916" s="1"/>
  <c r="DI473" i="23916"/>
  <c r="DJ473" i="23916" s="1"/>
  <c r="DG473" i="23916"/>
  <c r="DH473" i="23916" s="1"/>
  <c r="DE473" i="23916"/>
  <c r="DF473" i="23916" s="1"/>
  <c r="DC473" i="23916"/>
  <c r="DD473" i="23916" s="1"/>
  <c r="DA473" i="23916"/>
  <c r="DB473" i="23916" s="1"/>
  <c r="CY473" i="23916"/>
  <c r="CZ473" i="23916" s="1"/>
  <c r="CW473" i="23916"/>
  <c r="CX473" i="23916" s="1"/>
  <c r="CU473" i="23916"/>
  <c r="CV473" i="23916" s="1"/>
  <c r="CS473" i="23916"/>
  <c r="CT473" i="23916" s="1"/>
  <c r="CQ473" i="23916"/>
  <c r="CR473" i="23916" s="1"/>
  <c r="CO473" i="23916"/>
  <c r="CP473" i="23916" s="1"/>
  <c r="CM473" i="23916"/>
  <c r="CN473" i="23916" s="1"/>
  <c r="CK473" i="23916"/>
  <c r="CI473" i="23916"/>
  <c r="CJ473" i="23916" s="1"/>
  <c r="CG473" i="23916"/>
  <c r="CH473" i="23916" s="1"/>
  <c r="CE473" i="23916"/>
  <c r="CF473" i="23916" s="1"/>
  <c r="CA473" i="23916"/>
  <c r="CB473" i="23916" s="1"/>
  <c r="BY473" i="23916"/>
  <c r="BZ473" i="23916" s="1"/>
  <c r="BW473" i="23916"/>
  <c r="BX473" i="23916" s="1"/>
  <c r="BU473" i="23916"/>
  <c r="BV473" i="23916" s="1"/>
  <c r="BS473" i="23916"/>
  <c r="BT473" i="23916" s="1"/>
  <c r="BQ473" i="23916"/>
  <c r="BR473" i="23916" s="1"/>
  <c r="BO473" i="23916"/>
  <c r="BP473" i="23916" s="1"/>
  <c r="BM473" i="23916"/>
  <c r="BN473" i="23916" s="1"/>
  <c r="BK473" i="23916"/>
  <c r="BL473" i="23916" s="1"/>
  <c r="BI473" i="23916"/>
  <c r="BJ473" i="23916" s="1"/>
  <c r="BG473" i="23916"/>
  <c r="BH473" i="23916" s="1"/>
  <c r="BE473" i="23916"/>
  <c r="BF473" i="23916" s="1"/>
  <c r="BC473" i="23916"/>
  <c r="BD473" i="23916" s="1"/>
  <c r="BA473" i="23916"/>
  <c r="BB473" i="23916" s="1"/>
  <c r="AY473" i="23916"/>
  <c r="AZ473" i="23916" s="1"/>
  <c r="AW473" i="23916"/>
  <c r="AX473" i="23916" s="1"/>
  <c r="AU473" i="23916"/>
  <c r="AV473" i="23916" s="1"/>
  <c r="AS473" i="23916"/>
  <c r="AT473" i="23916" s="1"/>
  <c r="AQ473" i="23916"/>
  <c r="AR473" i="23916" s="1"/>
  <c r="AO473" i="23916"/>
  <c r="AP473" i="23916" s="1"/>
  <c r="AM473" i="23916"/>
  <c r="AK473" i="23916"/>
  <c r="AL473" i="23916" s="1"/>
  <c r="AI473" i="23916"/>
  <c r="AJ473" i="23916" s="1"/>
  <c r="AG473" i="23916"/>
  <c r="AH473" i="23916" s="1"/>
  <c r="AE473" i="23916"/>
  <c r="AC473" i="23916"/>
  <c r="AD473" i="23916" s="1"/>
  <c r="AA473" i="23916"/>
  <c r="AB473" i="23916" s="1"/>
  <c r="Y473" i="23916"/>
  <c r="Z473" i="23916" s="1"/>
  <c r="W473" i="23916"/>
  <c r="U473" i="23916"/>
  <c r="V473" i="23916" s="1"/>
  <c r="S473" i="23916"/>
  <c r="T473" i="23916" s="1"/>
  <c r="Q473" i="23916"/>
  <c r="R473" i="23916" s="1"/>
  <c r="O473" i="23916"/>
  <c r="M473" i="23916"/>
  <c r="N473" i="23916" s="1"/>
  <c r="K473" i="23916"/>
  <c r="L473" i="23916" s="1"/>
  <c r="I473" i="23916"/>
  <c r="G473" i="23916"/>
  <c r="E473" i="23916"/>
  <c r="C473" i="23916"/>
  <c r="CC471" i="23916"/>
  <c r="CC475" i="23916" s="1"/>
  <c r="FT472" i="23916"/>
  <c r="FU472" i="23916" s="1"/>
  <c r="FR472" i="23916"/>
  <c r="FR473" i="23916" s="1"/>
  <c r="FP472" i="23916"/>
  <c r="FQ472" i="23916" s="1"/>
  <c r="FN472" i="23916"/>
  <c r="FN473" i="23916" s="1"/>
  <c r="FL472" i="23916"/>
  <c r="FM472" i="23916" s="1"/>
  <c r="FJ472" i="23916"/>
  <c r="FJ473" i="23916" s="1"/>
  <c r="FH472" i="23916"/>
  <c r="FI472" i="23916" s="1"/>
  <c r="FG472" i="23916"/>
  <c r="FF472" i="23916"/>
  <c r="FF473" i="23916" s="1"/>
  <c r="FG473" i="23916" s="1"/>
  <c r="FE472" i="23916"/>
  <c r="FU471" i="23916"/>
  <c r="FT471" i="23916"/>
  <c r="FR471" i="23916"/>
  <c r="FQ471" i="23916"/>
  <c r="FP471" i="23916"/>
  <c r="FS471" i="23916" s="1"/>
  <c r="FN471" i="23916"/>
  <c r="FM471" i="23916"/>
  <c r="FL471" i="23916"/>
  <c r="FO471" i="23916" s="1"/>
  <c r="FJ471" i="23916"/>
  <c r="FI471" i="23916"/>
  <c r="FH471" i="23916"/>
  <c r="FK471" i="23916" s="1"/>
  <c r="FG471" i="23916"/>
  <c r="FF471" i="23916"/>
  <c r="FE471" i="23916"/>
  <c r="FT470" i="23916"/>
  <c r="FW470" i="23916" s="1"/>
  <c r="FR470" i="23916"/>
  <c r="FS470" i="23916" s="1"/>
  <c r="FP470" i="23916"/>
  <c r="FN470" i="23916"/>
  <c r="FO470" i="23916" s="1"/>
  <c r="FL470" i="23916"/>
  <c r="FJ470" i="23916"/>
  <c r="FK470" i="23916" s="1"/>
  <c r="FH470" i="23916"/>
  <c r="FF470" i="23916"/>
  <c r="FG470" i="23916" s="1"/>
  <c r="FE470" i="23916"/>
  <c r="GN474" i="23916"/>
  <c r="GN475" i="23916" s="1"/>
  <c r="GL474" i="23916"/>
  <c r="GM474" i="23916" s="1"/>
  <c r="GJ474" i="23916"/>
  <c r="GH474" i="23916"/>
  <c r="GI474" i="23916" s="1"/>
  <c r="GF474" i="23916"/>
  <c r="GF475" i="23916" s="1"/>
  <c r="GD474" i="23916"/>
  <c r="GE474" i="23916" s="1"/>
  <c r="GB474" i="23916"/>
  <c r="GB475" i="23916" s="1"/>
  <c r="FZ474" i="23916"/>
  <c r="GA474" i="23916" s="1"/>
  <c r="FY474" i="23916"/>
  <c r="FX474" i="23916"/>
  <c r="FX475" i="23916" s="1"/>
  <c r="FW474" i="23916"/>
  <c r="GN472" i="23916"/>
  <c r="GL472" i="23916"/>
  <c r="GJ472" i="23916"/>
  <c r="GH472" i="23916"/>
  <c r="GI472" i="23916" s="1"/>
  <c r="GF472" i="23916"/>
  <c r="GD472" i="23916"/>
  <c r="GE472" i="23916" s="1"/>
  <c r="GB472" i="23916"/>
  <c r="FZ472" i="23916"/>
  <c r="GA472" i="23916" s="1"/>
  <c r="FY472" i="23916"/>
  <c r="FX472" i="23916"/>
  <c r="GN471" i="23916"/>
  <c r="GO471" i="23916" s="1"/>
  <c r="GL471" i="23916"/>
  <c r="GL473" i="23916" s="1"/>
  <c r="GJ471" i="23916"/>
  <c r="GH471" i="23916"/>
  <c r="GH473" i="23916" s="1"/>
  <c r="GF471" i="23916"/>
  <c r="GG471" i="23916" s="1"/>
  <c r="GD471" i="23916"/>
  <c r="GD473" i="23916" s="1"/>
  <c r="GB471" i="23916"/>
  <c r="GC471" i="23916" s="1"/>
  <c r="FZ471" i="23916"/>
  <c r="FZ473" i="23916" s="1"/>
  <c r="FX471" i="23916"/>
  <c r="FY471" i="23916" s="1"/>
  <c r="FW471" i="23916"/>
  <c r="GN470" i="23916"/>
  <c r="GL470" i="23916"/>
  <c r="GJ470" i="23916"/>
  <c r="GH470" i="23916"/>
  <c r="GF470" i="23916"/>
  <c r="GD470" i="23916"/>
  <c r="GB470" i="23916"/>
  <c r="FZ470" i="23916"/>
  <c r="FY470" i="23916"/>
  <c r="FX470" i="23916"/>
  <c r="GN469" i="23916"/>
  <c r="GN846" i="23916" s="1"/>
  <c r="GL469" i="23916"/>
  <c r="GJ469" i="23916"/>
  <c r="GM469" i="23916" s="1"/>
  <c r="GH469" i="23916"/>
  <c r="GF469" i="23916"/>
  <c r="GD469" i="23916"/>
  <c r="GB469" i="23916"/>
  <c r="GB846" i="23916" s="1"/>
  <c r="FZ469" i="23916"/>
  <c r="FX469" i="23916"/>
  <c r="FX846" i="23916" s="1"/>
  <c r="FV469" i="23916"/>
  <c r="FV846" i="23916" s="1"/>
  <c r="FT469" i="23916"/>
  <c r="FU469" i="23916" s="1"/>
  <c r="FR469" i="23916"/>
  <c r="FP469" i="23916"/>
  <c r="FQ469" i="23916" s="1"/>
  <c r="FN469" i="23916"/>
  <c r="FL469" i="23916"/>
  <c r="FM469" i="23916" s="1"/>
  <c r="FJ469" i="23916"/>
  <c r="FH469" i="23916"/>
  <c r="FI469" i="23916" s="1"/>
  <c r="FG469" i="23916"/>
  <c r="FF469" i="23916"/>
  <c r="FE469" i="23916"/>
  <c r="ET474" i="23916"/>
  <c r="ES474" i="23916"/>
  <c r="ER474" i="23916"/>
  <c r="EQ474" i="23916"/>
  <c r="EP474" i="23916"/>
  <c r="EP473" i="23916"/>
  <c r="EP472" i="23916"/>
  <c r="EP471" i="23916"/>
  <c r="EP470" i="23916"/>
  <c r="EP469" i="23916"/>
  <c r="FB466" i="23916"/>
  <c r="GR464" i="23916"/>
  <c r="GT464" i="23916" s="1"/>
  <c r="GV464" i="23916" s="1"/>
  <c r="GX464" i="23916" s="1"/>
  <c r="GZ464" i="23916" s="1"/>
  <c r="DK461" i="23916"/>
  <c r="DK825" i="23916" s="1"/>
  <c r="DI461" i="23916"/>
  <c r="DI825" i="23916" s="1"/>
  <c r="DG461" i="23916"/>
  <c r="DG825" i="23916" s="1"/>
  <c r="DE461" i="23916"/>
  <c r="DE825" i="23916" s="1"/>
  <c r="DC461" i="23916"/>
  <c r="DC825" i="23916" s="1"/>
  <c r="DA461" i="23916"/>
  <c r="DA825" i="23916" s="1"/>
  <c r="CY461" i="23916"/>
  <c r="CY825" i="23916" s="1"/>
  <c r="CW461" i="23916"/>
  <c r="CW825" i="23916" s="1"/>
  <c r="CU461" i="23916"/>
  <c r="CU825" i="23916" s="1"/>
  <c r="CS461" i="23916"/>
  <c r="CS825" i="23916" s="1"/>
  <c r="CQ461" i="23916"/>
  <c r="CQ825" i="23916" s="1"/>
  <c r="CO461" i="23916"/>
  <c r="CO825" i="23916" s="1"/>
  <c r="CM464" i="23916"/>
  <c r="CM463" i="23916"/>
  <c r="CM462" i="23916"/>
  <c r="CM461" i="23916"/>
  <c r="CM825" i="23916" s="1"/>
  <c r="CK461" i="23916"/>
  <c r="CK825" i="23916" s="1"/>
  <c r="CI461" i="23916"/>
  <c r="CI825" i="23916" s="1"/>
  <c r="CG461" i="23916"/>
  <c r="CG825" i="23916" s="1"/>
  <c r="CE461" i="23916"/>
  <c r="CE825" i="23916" s="1"/>
  <c r="CA461" i="23916"/>
  <c r="CA825" i="23916" s="1"/>
  <c r="BY461" i="23916"/>
  <c r="BY825" i="23916" s="1"/>
  <c r="BW461" i="23916"/>
  <c r="BW825" i="23916" s="1"/>
  <c r="BU461" i="23916"/>
  <c r="BU825" i="23916" s="1"/>
  <c r="BS461" i="23916"/>
  <c r="BS825" i="23916" s="1"/>
  <c r="BQ461" i="23916"/>
  <c r="BQ825" i="23916" s="1"/>
  <c r="BO461" i="23916"/>
  <c r="BO825" i="23916" s="1"/>
  <c r="BM464" i="23916"/>
  <c r="BM463" i="23916"/>
  <c r="BM462" i="23916"/>
  <c r="BM461" i="23916"/>
  <c r="BM825" i="23916" s="1"/>
  <c r="FE461" i="23916"/>
  <c r="DS463" i="23916"/>
  <c r="DS464" i="23916" s="1"/>
  <c r="DS462" i="23916"/>
  <c r="EO461" i="23916"/>
  <c r="EO825" i="23916" s="1"/>
  <c r="EM461" i="23916"/>
  <c r="EM825" i="23916" s="1"/>
  <c r="EK461" i="23916"/>
  <c r="EK825" i="23916" s="1"/>
  <c r="EI461" i="23916"/>
  <c r="EI825" i="23916" s="1"/>
  <c r="EG461" i="23916"/>
  <c r="EG825" i="23916" s="1"/>
  <c r="EE461" i="23916"/>
  <c r="EE825" i="23916" s="1"/>
  <c r="EC461" i="23916"/>
  <c r="EC825" i="23916" s="1"/>
  <c r="EA461" i="23916"/>
  <c r="EA825" i="23916" s="1"/>
  <c r="DY461" i="23916"/>
  <c r="DY825" i="23916" s="1"/>
  <c r="DW461" i="23916"/>
  <c r="DW825" i="23916" s="1"/>
  <c r="DU461" i="23916"/>
  <c r="DU825" i="23916" s="1"/>
  <c r="DS461" i="23916"/>
  <c r="DS825" i="23916" s="1"/>
  <c r="DQ461" i="23916"/>
  <c r="DQ825" i="23916" s="1"/>
  <c r="DO461" i="23916"/>
  <c r="DO825" i="23916" s="1"/>
  <c r="DM461" i="23916"/>
  <c r="DM825" i="23916" s="1"/>
  <c r="DL461" i="23916"/>
  <c r="DJ461" i="23916"/>
  <c r="DH461" i="23916"/>
  <c r="DF461" i="23916"/>
  <c r="DD461" i="23916"/>
  <c r="DB461" i="23916"/>
  <c r="CZ461" i="23916"/>
  <c r="CX461" i="23916"/>
  <c r="CV461" i="23916"/>
  <c r="CT461" i="23916"/>
  <c r="CR461" i="23916"/>
  <c r="CP461" i="23916"/>
  <c r="CN461" i="23916"/>
  <c r="CJ461" i="23916"/>
  <c r="CH461" i="23916"/>
  <c r="CF461" i="23916"/>
  <c r="CB461" i="23916"/>
  <c r="BZ461" i="23916"/>
  <c r="BX461" i="23916"/>
  <c r="BV461" i="23916"/>
  <c r="BT461" i="23916"/>
  <c r="BR461" i="23916"/>
  <c r="BP461" i="23916"/>
  <c r="BN461" i="23916"/>
  <c r="FB459" i="23916"/>
  <c r="FE457" i="23916"/>
  <c r="FE456" i="23916"/>
  <c r="FE455" i="23916"/>
  <c r="FE454" i="23916"/>
  <c r="DS458" i="23916"/>
  <c r="DS459" i="23916" s="1"/>
  <c r="CM458" i="23916"/>
  <c r="EO457" i="23916"/>
  <c r="EQ457" i="23916" s="1"/>
  <c r="EM457" i="23916"/>
  <c r="EN457" i="23916" s="1"/>
  <c r="EK457" i="23916"/>
  <c r="EL457" i="23916" s="1"/>
  <c r="EI457" i="23916"/>
  <c r="EJ457" i="23916" s="1"/>
  <c r="EG457" i="23916"/>
  <c r="EH457" i="23916" s="1"/>
  <c r="EE457" i="23916"/>
  <c r="EF457" i="23916" s="1"/>
  <c r="EC457" i="23916"/>
  <c r="GL457" i="23916" s="1"/>
  <c r="GM457" i="23916" s="1"/>
  <c r="EA457" i="23916"/>
  <c r="EB457" i="23916" s="1"/>
  <c r="DY457" i="23916"/>
  <c r="DZ457" i="23916" s="1"/>
  <c r="DW457" i="23916"/>
  <c r="DX457" i="23916" s="1"/>
  <c r="DU457" i="23916"/>
  <c r="DV457" i="23916" s="1"/>
  <c r="DS457" i="23916"/>
  <c r="DT457" i="23916" s="1"/>
  <c r="DQ457" i="23916"/>
  <c r="DR457" i="23916" s="1"/>
  <c r="DO457" i="23916"/>
  <c r="DP457" i="23916" s="1"/>
  <c r="DM457" i="23916"/>
  <c r="GH457" i="23916" s="1"/>
  <c r="GI457" i="23916" s="1"/>
  <c r="DK457" i="23916"/>
  <c r="DL457" i="23916" s="1"/>
  <c r="DI457" i="23916"/>
  <c r="DJ457" i="23916" s="1"/>
  <c r="DG457" i="23916"/>
  <c r="DH457" i="23916" s="1"/>
  <c r="DE457" i="23916"/>
  <c r="DF457" i="23916" s="1"/>
  <c r="DC457" i="23916"/>
  <c r="DD457" i="23916" s="1"/>
  <c r="DA457" i="23916"/>
  <c r="DB457" i="23916" s="1"/>
  <c r="CY457" i="23916"/>
  <c r="CZ457" i="23916" s="1"/>
  <c r="CW457" i="23916"/>
  <c r="GD457" i="23916" s="1"/>
  <c r="GE457" i="23916" s="1"/>
  <c r="CU457" i="23916"/>
  <c r="CV457" i="23916" s="1"/>
  <c r="CS457" i="23916"/>
  <c r="CT457" i="23916" s="1"/>
  <c r="CQ457" i="23916"/>
  <c r="CR457" i="23916" s="1"/>
  <c r="CO457" i="23916"/>
  <c r="CP457" i="23916" s="1"/>
  <c r="CM457" i="23916"/>
  <c r="CM459" i="23916" s="1"/>
  <c r="CK457" i="23916"/>
  <c r="CL457" i="23916" s="1"/>
  <c r="CI457" i="23916"/>
  <c r="CG457" i="23916"/>
  <c r="FZ457" i="23916" s="1"/>
  <c r="CE457" i="23916"/>
  <c r="CF457" i="23916" s="1"/>
  <c r="CC457" i="23916"/>
  <c r="CD457" i="23916" s="1"/>
  <c r="BY457" i="23916"/>
  <c r="BZ457" i="23916" s="1"/>
  <c r="BW457" i="23916"/>
  <c r="BX457" i="23916" s="1"/>
  <c r="BU457" i="23916"/>
  <c r="BV457" i="23916" s="1"/>
  <c r="BS457" i="23916"/>
  <c r="BT457" i="23916" s="1"/>
  <c r="BQ457" i="23916"/>
  <c r="FV457" i="23916" s="1"/>
  <c r="FW457" i="23916" s="1"/>
  <c r="BO457" i="23916"/>
  <c r="BP457" i="23916" s="1"/>
  <c r="BM457" i="23916"/>
  <c r="BM458" i="23916" s="1"/>
  <c r="EN456" i="23916"/>
  <c r="EN455" i="23916"/>
  <c r="EN454" i="23916"/>
  <c r="EL456" i="23916"/>
  <c r="EL455" i="23916"/>
  <c r="EL454" i="23916"/>
  <c r="EJ456" i="23916"/>
  <c r="EJ455" i="23916"/>
  <c r="EJ454" i="23916"/>
  <c r="EH456" i="23916"/>
  <c r="EH455" i="23916"/>
  <c r="EH454" i="23916"/>
  <c r="EF456" i="23916"/>
  <c r="EF455" i="23916"/>
  <c r="EF454" i="23916"/>
  <c r="ED456" i="23916"/>
  <c r="ED455" i="23916"/>
  <c r="ED454" i="23916"/>
  <c r="EB456" i="23916"/>
  <c r="EB455" i="23916"/>
  <c r="EB454" i="23916"/>
  <c r="DZ456" i="23916"/>
  <c r="DZ455" i="23916"/>
  <c r="DZ454" i="23916"/>
  <c r="DX456" i="23916"/>
  <c r="DX455" i="23916"/>
  <c r="DX454" i="23916"/>
  <c r="DV456" i="23916"/>
  <c r="DV455" i="23916"/>
  <c r="DV454" i="23916"/>
  <c r="DT456" i="23916"/>
  <c r="DT455" i="23916"/>
  <c r="DT454" i="23916"/>
  <c r="DR456" i="23916"/>
  <c r="DR455" i="23916"/>
  <c r="DR454" i="23916"/>
  <c r="DP456" i="23916"/>
  <c r="DP455" i="23916"/>
  <c r="DP454" i="23916"/>
  <c r="DN456" i="23916"/>
  <c r="DN455" i="23916"/>
  <c r="DN454" i="23916"/>
  <c r="DL456" i="23916"/>
  <c r="DL455" i="23916"/>
  <c r="DL454" i="23916"/>
  <c r="DJ456" i="23916"/>
  <c r="DJ455" i="23916"/>
  <c r="DJ454" i="23916"/>
  <c r="DH456" i="23916"/>
  <c r="DH455" i="23916"/>
  <c r="DH454" i="23916"/>
  <c r="DF456" i="23916"/>
  <c r="DF455" i="23916"/>
  <c r="DF454" i="23916"/>
  <c r="DD456" i="23916"/>
  <c r="DD455" i="23916"/>
  <c r="DD454" i="23916"/>
  <c r="DB456" i="23916"/>
  <c r="DB455" i="23916"/>
  <c r="DB454" i="23916"/>
  <c r="CZ456" i="23916"/>
  <c r="CZ455" i="23916"/>
  <c r="CZ454" i="23916"/>
  <c r="CX456" i="23916"/>
  <c r="CX455" i="23916"/>
  <c r="CX454" i="23916"/>
  <c r="CV456" i="23916"/>
  <c r="CV455" i="23916"/>
  <c r="CV454" i="23916"/>
  <c r="CT456" i="23916"/>
  <c r="CT455" i="23916"/>
  <c r="CT454" i="23916"/>
  <c r="CR456" i="23916"/>
  <c r="CR455" i="23916"/>
  <c r="CR454" i="23916"/>
  <c r="CP456" i="23916"/>
  <c r="CP455" i="23916"/>
  <c r="CP454" i="23916"/>
  <c r="CN456" i="23916"/>
  <c r="CN455" i="23916"/>
  <c r="CN454" i="23916"/>
  <c r="CL455" i="23916"/>
  <c r="CL454" i="23916"/>
  <c r="CJ456" i="23916"/>
  <c r="CJ455" i="23916"/>
  <c r="CJ454" i="23916"/>
  <c r="CH456" i="23916"/>
  <c r="CH455" i="23916"/>
  <c r="CH454" i="23916"/>
  <c r="CF456" i="23916"/>
  <c r="CF455" i="23916"/>
  <c r="CF454" i="23916"/>
  <c r="CC456" i="23916"/>
  <c r="CB456" i="23916"/>
  <c r="BZ456" i="23916"/>
  <c r="BZ455" i="23916"/>
  <c r="BZ454" i="23916"/>
  <c r="BX456" i="23916"/>
  <c r="BX455" i="23916"/>
  <c r="BX454" i="23916"/>
  <c r="BV456" i="23916"/>
  <c r="BV455" i="23916"/>
  <c r="BV454" i="23916"/>
  <c r="BT456" i="23916"/>
  <c r="BT455" i="23916"/>
  <c r="BT454" i="23916"/>
  <c r="BR456" i="23916"/>
  <c r="BR455" i="23916"/>
  <c r="BR454" i="23916"/>
  <c r="BP456" i="23916"/>
  <c r="BP455" i="23916"/>
  <c r="BP454" i="23916"/>
  <c r="BN456" i="23916"/>
  <c r="BN455" i="23916"/>
  <c r="BN454" i="23916"/>
  <c r="BN453" i="23916"/>
  <c r="CD455" i="23916"/>
  <c r="CD454" i="23916"/>
  <c r="CB455" i="23916"/>
  <c r="CB454" i="23916"/>
  <c r="GN457" i="23916"/>
  <c r="GO457" i="23916" s="1"/>
  <c r="GJ457" i="23916"/>
  <c r="GK457" i="23916" s="1"/>
  <c r="GF457" i="23916"/>
  <c r="GG457" i="23916" s="1"/>
  <c r="GB457" i="23916"/>
  <c r="GC457" i="23916" s="1"/>
  <c r="GO456" i="23916"/>
  <c r="GN456" i="23916"/>
  <c r="GM456" i="23916"/>
  <c r="GL456" i="23916"/>
  <c r="GK456" i="23916"/>
  <c r="GJ456" i="23916"/>
  <c r="GJ462" i="23916" s="1"/>
  <c r="GI456" i="23916"/>
  <c r="GH456" i="23916"/>
  <c r="GG456" i="23916"/>
  <c r="GF456" i="23916"/>
  <c r="GE456" i="23916"/>
  <c r="GD456" i="23916"/>
  <c r="GC456" i="23916"/>
  <c r="GB456" i="23916"/>
  <c r="GB462" i="23916" s="1"/>
  <c r="GA456" i="23916"/>
  <c r="FZ456" i="23916"/>
  <c r="FY456" i="23916"/>
  <c r="FX456" i="23916"/>
  <c r="FW456" i="23916"/>
  <c r="FV456" i="23916"/>
  <c r="GN455" i="23916"/>
  <c r="GL455" i="23916"/>
  <c r="GJ455" i="23916"/>
  <c r="GJ463" i="23916" s="1"/>
  <c r="GH455" i="23916"/>
  <c r="GF455" i="23916"/>
  <c r="GD455" i="23916"/>
  <c r="GB455" i="23916"/>
  <c r="GB463" i="23916" s="1"/>
  <c r="FZ455" i="23916"/>
  <c r="GA455" i="23916" s="1"/>
  <c r="FX455" i="23916"/>
  <c r="FV455" i="23916"/>
  <c r="GO454" i="23916"/>
  <c r="GN454" i="23916"/>
  <c r="GN461" i="23916" s="1"/>
  <c r="GM454" i="23916"/>
  <c r="GL454" i="23916"/>
  <c r="GL461" i="23916" s="1"/>
  <c r="GK454" i="23916"/>
  <c r="GJ454" i="23916"/>
  <c r="GJ461" i="23916" s="1"/>
  <c r="GI454" i="23916"/>
  <c r="GH454" i="23916"/>
  <c r="GH461" i="23916" s="1"/>
  <c r="GG454" i="23916"/>
  <c r="GF454" i="23916"/>
  <c r="GF461" i="23916" s="1"/>
  <c r="GG461" i="23916" s="1"/>
  <c r="GE454" i="23916"/>
  <c r="GD454" i="23916"/>
  <c r="GD461" i="23916" s="1"/>
  <c r="GC454" i="23916"/>
  <c r="GB454" i="23916"/>
  <c r="GB461" i="23916" s="1"/>
  <c r="GC461" i="23916" s="1"/>
  <c r="GA454" i="23916"/>
  <c r="FZ454" i="23916"/>
  <c r="FZ461" i="23916" s="1"/>
  <c r="FY454" i="23916"/>
  <c r="FX454" i="23916"/>
  <c r="FX461" i="23916" s="1"/>
  <c r="FY461" i="23916" s="1"/>
  <c r="FW454" i="23916"/>
  <c r="FV454" i="23916"/>
  <c r="FV461" i="23916" s="1"/>
  <c r="FW461" i="23916" s="1"/>
  <c r="GJ453" i="23916"/>
  <c r="GB453" i="23916"/>
  <c r="FD453" i="23916"/>
  <c r="FE453" i="23916" s="1"/>
  <c r="EP456" i="23916"/>
  <c r="EP455" i="23916"/>
  <c r="ER454" i="23916"/>
  <c r="EQ454" i="23916"/>
  <c r="EP454" i="23916"/>
  <c r="EO447" i="23916"/>
  <c r="EO824" i="23916" s="1"/>
  <c r="EM447" i="23916"/>
  <c r="EM824" i="23916" s="1"/>
  <c r="EK447" i="23916"/>
  <c r="EK824" i="23916" s="1"/>
  <c r="EI447" i="23916"/>
  <c r="EI824" i="23916" s="1"/>
  <c r="EG447" i="23916"/>
  <c r="EG824" i="23916" s="1"/>
  <c r="EE447" i="23916"/>
  <c r="EE824" i="23916" s="1"/>
  <c r="EC447" i="23916"/>
  <c r="EC824" i="23916" s="1"/>
  <c r="EA447" i="23916"/>
  <c r="EA824" i="23916" s="1"/>
  <c r="DY447" i="23916"/>
  <c r="DY824" i="23916" s="1"/>
  <c r="DW447" i="23916"/>
  <c r="DW824" i="23916" s="1"/>
  <c r="DU447" i="23916"/>
  <c r="DU824" i="23916" s="1"/>
  <c r="DS450" i="23916"/>
  <c r="DS449" i="23916"/>
  <c r="DS448" i="23916"/>
  <c r="DS447" i="23916"/>
  <c r="DS824" i="23916" s="1"/>
  <c r="CM449" i="23916"/>
  <c r="BN449" i="23916"/>
  <c r="BM449" i="23916"/>
  <c r="FB445" i="23916"/>
  <c r="GR443" i="23916"/>
  <c r="GP443" i="23916"/>
  <c r="GQ443" i="23916" s="1"/>
  <c r="GN443" i="23916"/>
  <c r="GO443" i="23916" s="1"/>
  <c r="GL443" i="23916"/>
  <c r="GJ443" i="23916"/>
  <c r="GK443" i="23916" s="1"/>
  <c r="GF443" i="23916"/>
  <c r="GG443" i="23916" s="1"/>
  <c r="GB443" i="23916"/>
  <c r="FE443" i="23916"/>
  <c r="EX443" i="23916"/>
  <c r="ET443" i="23916"/>
  <c r="EP443" i="23916"/>
  <c r="EO443" i="23916"/>
  <c r="EN443" i="23916"/>
  <c r="EM443" i="23916"/>
  <c r="EV443" i="23916" s="1"/>
  <c r="EL443" i="23916"/>
  <c r="EK443" i="23916"/>
  <c r="EJ443" i="23916"/>
  <c r="EI443" i="23916"/>
  <c r="ER443" i="23916" s="1"/>
  <c r="EH443" i="23916"/>
  <c r="EG443" i="23916"/>
  <c r="EF443" i="23916"/>
  <c r="EE443" i="23916"/>
  <c r="ED443" i="23916"/>
  <c r="EC443" i="23916"/>
  <c r="EB443" i="23916"/>
  <c r="EA443" i="23916"/>
  <c r="DZ443" i="23916"/>
  <c r="DY443" i="23916"/>
  <c r="DX443" i="23916"/>
  <c r="DW443" i="23916"/>
  <c r="DV443" i="23916"/>
  <c r="DU443" i="23916"/>
  <c r="DT443" i="23916"/>
  <c r="DS443" i="23916"/>
  <c r="DS444" i="23916" s="1"/>
  <c r="DR443" i="23916"/>
  <c r="DQ443" i="23916"/>
  <c r="DP443" i="23916"/>
  <c r="DO443" i="23916"/>
  <c r="DN443" i="23916"/>
  <c r="DM443" i="23916"/>
  <c r="DL443" i="23916"/>
  <c r="DK443" i="23916"/>
  <c r="GH443" i="23916" s="1"/>
  <c r="DJ443" i="23916"/>
  <c r="DI443" i="23916"/>
  <c r="DH443" i="23916"/>
  <c r="DG443" i="23916"/>
  <c r="DF443" i="23916"/>
  <c r="DE443" i="23916"/>
  <c r="DD443" i="23916"/>
  <c r="DC443" i="23916"/>
  <c r="DB443" i="23916"/>
  <c r="DA443" i="23916"/>
  <c r="CZ443" i="23916"/>
  <c r="CY443" i="23916"/>
  <c r="CX443" i="23916"/>
  <c r="CW443" i="23916"/>
  <c r="CV443" i="23916"/>
  <c r="CU443" i="23916"/>
  <c r="GD443" i="23916" s="1"/>
  <c r="GE443" i="23916" s="1"/>
  <c r="CS443" i="23916"/>
  <c r="CQ443" i="23916"/>
  <c r="CO443" i="23916"/>
  <c r="CM443" i="23916"/>
  <c r="CM444" i="23916" s="1"/>
  <c r="BZ443" i="23916"/>
  <c r="BY443" i="23916"/>
  <c r="BX443" i="23916"/>
  <c r="BW443" i="23916"/>
  <c r="BV443" i="23916"/>
  <c r="BU443" i="23916"/>
  <c r="BT443" i="23916"/>
  <c r="BS443" i="23916"/>
  <c r="BR443" i="23916"/>
  <c r="BQ443" i="23916"/>
  <c r="BP443" i="23916"/>
  <c r="BO443" i="23916"/>
  <c r="FV443" i="23916" s="1"/>
  <c r="FW443" i="23916" s="1"/>
  <c r="BN443" i="23916"/>
  <c r="BM443" i="23916"/>
  <c r="BM445" i="23916" s="1"/>
  <c r="GN442" i="23916"/>
  <c r="GN441" i="23916"/>
  <c r="GN440" i="23916"/>
  <c r="GN439" i="23916"/>
  <c r="GN447" i="23916" s="1"/>
  <c r="GN824" i="23916" s="1"/>
  <c r="GL442" i="23916"/>
  <c r="GL441" i="23916"/>
  <c r="GL440" i="23916"/>
  <c r="GL439" i="23916"/>
  <c r="GL447" i="23916" s="1"/>
  <c r="GL824" i="23916" s="1"/>
  <c r="GJ442" i="23916"/>
  <c r="GJ450" i="23916" s="1"/>
  <c r="GK450" i="23916" s="1"/>
  <c r="GJ441" i="23916"/>
  <c r="GJ449" i="23916" s="1"/>
  <c r="GJ440" i="23916"/>
  <c r="GJ448" i="23916" s="1"/>
  <c r="GJ439" i="23916"/>
  <c r="GJ438" i="23916"/>
  <c r="EQ439" i="23916"/>
  <c r="EN442" i="23916"/>
  <c r="EN441" i="23916"/>
  <c r="EN440" i="23916"/>
  <c r="EN439" i="23916"/>
  <c r="EL442" i="23916"/>
  <c r="EL441" i="23916"/>
  <c r="EL440" i="23916"/>
  <c r="EL439" i="23916"/>
  <c r="EJ442" i="23916"/>
  <c r="EJ441" i="23916"/>
  <c r="EJ440" i="23916"/>
  <c r="EJ439" i="23916"/>
  <c r="EH442" i="23916"/>
  <c r="EH441" i="23916"/>
  <c r="EH440" i="23916"/>
  <c r="EH439" i="23916"/>
  <c r="EF442" i="23916"/>
  <c r="EF441" i="23916"/>
  <c r="EF440" i="23916"/>
  <c r="EF439" i="23916"/>
  <c r="GO440" i="23916"/>
  <c r="GM440" i="23916"/>
  <c r="GK440" i="23916"/>
  <c r="FE441" i="23916"/>
  <c r="FE440" i="23916"/>
  <c r="FE439" i="23916"/>
  <c r="EP441" i="23916"/>
  <c r="EP440" i="23916"/>
  <c r="EP439" i="23916"/>
  <c r="ED441" i="23916"/>
  <c r="ED440" i="23916"/>
  <c r="ED439" i="23916"/>
  <c r="EB441" i="23916"/>
  <c r="EB440" i="23916"/>
  <c r="EB439" i="23916"/>
  <c r="DZ441" i="23916"/>
  <c r="DZ440" i="23916"/>
  <c r="DZ439" i="23916"/>
  <c r="DX441" i="23916"/>
  <c r="DX440" i="23916"/>
  <c r="DX439" i="23916"/>
  <c r="DV441" i="23916"/>
  <c r="DV440" i="23916"/>
  <c r="DV439" i="23916"/>
  <c r="DT441" i="23916"/>
  <c r="DT440" i="23916"/>
  <c r="DT439" i="23916"/>
  <c r="DR441" i="23916"/>
  <c r="DR440" i="23916"/>
  <c r="DR439" i="23916"/>
  <c r="DP441" i="23916"/>
  <c r="DP440" i="23916"/>
  <c r="DP439" i="23916"/>
  <c r="DN441" i="23916"/>
  <c r="DN440" i="23916"/>
  <c r="DN439" i="23916"/>
  <c r="DL441" i="23916"/>
  <c r="DL440" i="23916"/>
  <c r="DL439" i="23916"/>
  <c r="DJ441" i="23916"/>
  <c r="DJ440" i="23916"/>
  <c r="DJ439" i="23916"/>
  <c r="DH441" i="23916"/>
  <c r="DH440" i="23916"/>
  <c r="DH439" i="23916"/>
  <c r="DF441" i="23916"/>
  <c r="DF440" i="23916"/>
  <c r="DF439" i="23916"/>
  <c r="DD441" i="23916"/>
  <c r="DD440" i="23916"/>
  <c r="DD439" i="23916"/>
  <c r="DB441" i="23916"/>
  <c r="DB440" i="23916"/>
  <c r="DB439" i="23916"/>
  <c r="CZ441" i="23916"/>
  <c r="CZ440" i="23916"/>
  <c r="CZ439" i="23916"/>
  <c r="CX441" i="23916"/>
  <c r="CX440" i="23916"/>
  <c r="CX439" i="23916"/>
  <c r="CV441" i="23916"/>
  <c r="CV440" i="23916"/>
  <c r="CV439" i="23916"/>
  <c r="CT441" i="23916"/>
  <c r="CT440" i="23916"/>
  <c r="CT439" i="23916"/>
  <c r="CR441" i="23916"/>
  <c r="CR440" i="23916"/>
  <c r="CR439" i="23916"/>
  <c r="CP441" i="23916"/>
  <c r="CP440" i="23916"/>
  <c r="CP439" i="23916"/>
  <c r="CN441" i="23916"/>
  <c r="CN440" i="23916"/>
  <c r="CN439" i="23916"/>
  <c r="CL441" i="23916"/>
  <c r="CL440" i="23916"/>
  <c r="CL439" i="23916"/>
  <c r="CJ441" i="23916"/>
  <c r="CJ440" i="23916"/>
  <c r="CJ439" i="23916"/>
  <c r="CH441" i="23916"/>
  <c r="CH440" i="23916"/>
  <c r="CH439" i="23916"/>
  <c r="CF441" i="23916"/>
  <c r="CF440" i="23916"/>
  <c r="CF439" i="23916"/>
  <c r="CD441" i="23916"/>
  <c r="CD440" i="23916"/>
  <c r="CD439" i="23916"/>
  <c r="CB441" i="23916"/>
  <c r="CB440" i="23916"/>
  <c r="CB439" i="23916"/>
  <c r="BZ441" i="23916"/>
  <c r="BZ440" i="23916"/>
  <c r="BZ439" i="23916"/>
  <c r="BX441" i="23916"/>
  <c r="BX440" i="23916"/>
  <c r="BX439" i="23916"/>
  <c r="BV441" i="23916"/>
  <c r="BV440" i="23916"/>
  <c r="BV439" i="23916"/>
  <c r="BT441" i="23916"/>
  <c r="BT440" i="23916"/>
  <c r="BT439" i="23916"/>
  <c r="BR441" i="23916"/>
  <c r="BR440" i="23916"/>
  <c r="BR439" i="23916"/>
  <c r="BP441" i="23916"/>
  <c r="BP440" i="23916"/>
  <c r="BP439" i="23916"/>
  <c r="BN441" i="23916"/>
  <c r="BN440" i="23916"/>
  <c r="BN439" i="23916"/>
  <c r="BN438" i="23916"/>
  <c r="GH441" i="23916"/>
  <c r="GF441" i="23916"/>
  <c r="GD441" i="23916"/>
  <c r="GB441" i="23916"/>
  <c r="FZ441" i="23916"/>
  <c r="FX441" i="23916"/>
  <c r="FV441" i="23916"/>
  <c r="GH440" i="23916"/>
  <c r="GF440" i="23916"/>
  <c r="GD440" i="23916"/>
  <c r="GB440" i="23916"/>
  <c r="FZ440" i="23916"/>
  <c r="FX440" i="23916"/>
  <c r="FW440" i="23916"/>
  <c r="FV440" i="23916"/>
  <c r="GH439" i="23916"/>
  <c r="GI439" i="23916" s="1"/>
  <c r="GF439" i="23916"/>
  <c r="GD439" i="23916"/>
  <c r="GB439" i="23916"/>
  <c r="FZ439" i="23916"/>
  <c r="FX439" i="23916"/>
  <c r="FV439" i="23916"/>
  <c r="GB438" i="23916"/>
  <c r="FD438" i="23916"/>
  <c r="FE438" i="23916" s="1"/>
  <c r="FB434" i="23916"/>
  <c r="GZ432" i="23916"/>
  <c r="CM431" i="23916"/>
  <c r="CM432" i="23916" s="1"/>
  <c r="CM430" i="23916"/>
  <c r="BM431" i="23916"/>
  <c r="BM432" i="23916" s="1"/>
  <c r="BM430" i="23916"/>
  <c r="DS431" i="23916"/>
  <c r="DS432" i="23916" s="1"/>
  <c r="DS430" i="23916"/>
  <c r="FE428" i="23916"/>
  <c r="EO428" i="23916"/>
  <c r="EP428" i="23916" s="1"/>
  <c r="EN428" i="23916"/>
  <c r="EM428" i="23916"/>
  <c r="EK428" i="23916"/>
  <c r="EL428" i="23916" s="1"/>
  <c r="EJ428" i="23916"/>
  <c r="EI428" i="23916"/>
  <c r="EG428" i="23916"/>
  <c r="EH428" i="23916" s="1"/>
  <c r="EF428" i="23916"/>
  <c r="EE428" i="23916"/>
  <c r="EC428" i="23916"/>
  <c r="ED428" i="23916" s="1"/>
  <c r="EB428" i="23916"/>
  <c r="EA428" i="23916"/>
  <c r="DY428" i="23916"/>
  <c r="DZ428" i="23916" s="1"/>
  <c r="DX428" i="23916"/>
  <c r="DW428" i="23916"/>
  <c r="DU428" i="23916"/>
  <c r="DV428" i="23916" s="1"/>
  <c r="DT428" i="23916"/>
  <c r="DS428" i="23916"/>
  <c r="DQ428" i="23916"/>
  <c r="DR428" i="23916" s="1"/>
  <c r="DP428" i="23916"/>
  <c r="DO428" i="23916"/>
  <c r="DM428" i="23916"/>
  <c r="DN428" i="23916" s="1"/>
  <c r="DL428" i="23916"/>
  <c r="DK428" i="23916"/>
  <c r="DI428" i="23916"/>
  <c r="DJ428" i="23916" s="1"/>
  <c r="DH428" i="23916"/>
  <c r="DG428" i="23916"/>
  <c r="DE428" i="23916"/>
  <c r="DF428" i="23916" s="1"/>
  <c r="DD428" i="23916"/>
  <c r="DC428" i="23916"/>
  <c r="DA428" i="23916"/>
  <c r="DB428" i="23916" s="1"/>
  <c r="CZ428" i="23916"/>
  <c r="CY428" i="23916"/>
  <c r="CW428" i="23916"/>
  <c r="CX428" i="23916" s="1"/>
  <c r="CV428" i="23916"/>
  <c r="CU428" i="23916"/>
  <c r="CS428" i="23916"/>
  <c r="CT428" i="23916" s="1"/>
  <c r="CR428" i="23916"/>
  <c r="CQ428" i="23916"/>
  <c r="CO428" i="23916"/>
  <c r="CP428" i="23916" s="1"/>
  <c r="CN428" i="23916"/>
  <c r="CM428" i="23916"/>
  <c r="CK428" i="23916"/>
  <c r="CJ428" i="23916"/>
  <c r="CI428" i="23916"/>
  <c r="CG428" i="23916"/>
  <c r="CH428" i="23916" s="1"/>
  <c r="CF428" i="23916"/>
  <c r="CE428" i="23916"/>
  <c r="CB428" i="23916"/>
  <c r="CA428" i="23916"/>
  <c r="BY428" i="23916"/>
  <c r="BZ428" i="23916" s="1"/>
  <c r="BX428" i="23916"/>
  <c r="BW428" i="23916"/>
  <c r="BU428" i="23916"/>
  <c r="BV428" i="23916" s="1"/>
  <c r="BT428" i="23916"/>
  <c r="BS428" i="23916"/>
  <c r="BQ428" i="23916"/>
  <c r="BR428" i="23916" s="1"/>
  <c r="BP428" i="23916"/>
  <c r="BO428" i="23916"/>
  <c r="BM428" i="23916"/>
  <c r="BN428" i="23916" s="1"/>
  <c r="FB426" i="23916"/>
  <c r="FE424" i="23916"/>
  <c r="FE423" i="23916"/>
  <c r="FE422" i="23916"/>
  <c r="FE421" i="23916"/>
  <c r="DS425" i="23916"/>
  <c r="CM425" i="23916"/>
  <c r="EO424" i="23916"/>
  <c r="EQ424" i="23916" s="1"/>
  <c r="EN424" i="23916"/>
  <c r="EM424" i="23916"/>
  <c r="EK424" i="23916"/>
  <c r="EL424" i="23916" s="1"/>
  <c r="EJ424" i="23916"/>
  <c r="EI424" i="23916"/>
  <c r="EG424" i="23916"/>
  <c r="EH424" i="23916" s="1"/>
  <c r="EF424" i="23916"/>
  <c r="EE424" i="23916"/>
  <c r="EC424" i="23916"/>
  <c r="ED424" i="23916" s="1"/>
  <c r="EB424" i="23916"/>
  <c r="EA424" i="23916"/>
  <c r="DY424" i="23916"/>
  <c r="DZ424" i="23916" s="1"/>
  <c r="DX424" i="23916"/>
  <c r="DW424" i="23916"/>
  <c r="DU424" i="23916"/>
  <c r="DV424" i="23916" s="1"/>
  <c r="DT424" i="23916"/>
  <c r="DS424" i="23916"/>
  <c r="DS426" i="23916" s="1"/>
  <c r="DQ424" i="23916"/>
  <c r="DR424" i="23916" s="1"/>
  <c r="DP424" i="23916"/>
  <c r="DO424" i="23916"/>
  <c r="DM424" i="23916"/>
  <c r="DN424" i="23916" s="1"/>
  <c r="DL424" i="23916"/>
  <c r="DK424" i="23916"/>
  <c r="DI424" i="23916"/>
  <c r="DJ424" i="23916" s="1"/>
  <c r="DH424" i="23916"/>
  <c r="DG424" i="23916"/>
  <c r="DE424" i="23916"/>
  <c r="DF424" i="23916" s="1"/>
  <c r="DD424" i="23916"/>
  <c r="DC424" i="23916"/>
  <c r="DA424" i="23916"/>
  <c r="DB424" i="23916" s="1"/>
  <c r="CZ424" i="23916"/>
  <c r="CY424" i="23916"/>
  <c r="CW424" i="23916"/>
  <c r="CX424" i="23916" s="1"/>
  <c r="CV424" i="23916"/>
  <c r="CU424" i="23916"/>
  <c r="CS424" i="23916"/>
  <c r="CT424" i="23916" s="1"/>
  <c r="CR424" i="23916"/>
  <c r="CQ424" i="23916"/>
  <c r="CO424" i="23916"/>
  <c r="CP424" i="23916" s="1"/>
  <c r="CN424" i="23916"/>
  <c r="CM424" i="23916"/>
  <c r="CM426" i="23916" s="1"/>
  <c r="CK424" i="23916"/>
  <c r="CL424" i="23916" s="1"/>
  <c r="CI424" i="23916"/>
  <c r="CG424" i="23916"/>
  <c r="CH424" i="23916" s="1"/>
  <c r="CF424" i="23916"/>
  <c r="CE424" i="23916"/>
  <c r="CC424" i="23916"/>
  <c r="CD424" i="23916" s="1"/>
  <c r="BY424" i="23916"/>
  <c r="BZ424" i="23916" s="1"/>
  <c r="BX424" i="23916"/>
  <c r="BW424" i="23916"/>
  <c r="BU424" i="23916"/>
  <c r="BV424" i="23916" s="1"/>
  <c r="BT424" i="23916"/>
  <c r="BS424" i="23916"/>
  <c r="BQ424" i="23916"/>
  <c r="BR424" i="23916" s="1"/>
  <c r="BP424" i="23916"/>
  <c r="BO424" i="23916"/>
  <c r="BM424" i="23916"/>
  <c r="BM426" i="23916" s="1"/>
  <c r="BN426" i="23916" s="1"/>
  <c r="EN423" i="23916"/>
  <c r="EN422" i="23916"/>
  <c r="EN421" i="23916"/>
  <c r="EL423" i="23916"/>
  <c r="EL422" i="23916"/>
  <c r="EL421" i="23916"/>
  <c r="EJ423" i="23916"/>
  <c r="EJ422" i="23916"/>
  <c r="EJ421" i="23916"/>
  <c r="EH423" i="23916"/>
  <c r="EH422" i="23916"/>
  <c r="EH421" i="23916"/>
  <c r="EF423" i="23916"/>
  <c r="EF422" i="23916"/>
  <c r="EF421" i="23916"/>
  <c r="ED423" i="23916"/>
  <c r="ED422" i="23916"/>
  <c r="ED421" i="23916"/>
  <c r="EB423" i="23916"/>
  <c r="EB422" i="23916"/>
  <c r="EB421" i="23916"/>
  <c r="DZ423" i="23916"/>
  <c r="DZ422" i="23916"/>
  <c r="DZ421" i="23916"/>
  <c r="DX423" i="23916"/>
  <c r="DX422" i="23916"/>
  <c r="DX421" i="23916"/>
  <c r="DV423" i="23916"/>
  <c r="DV422" i="23916"/>
  <c r="DV421" i="23916"/>
  <c r="DT423" i="23916"/>
  <c r="DT422" i="23916"/>
  <c r="DT421" i="23916"/>
  <c r="DR423" i="23916"/>
  <c r="DR422" i="23916"/>
  <c r="DR421" i="23916"/>
  <c r="DP423" i="23916"/>
  <c r="DP422" i="23916"/>
  <c r="DP421" i="23916"/>
  <c r="DN423" i="23916"/>
  <c r="DN422" i="23916"/>
  <c r="DN421" i="23916"/>
  <c r="DL423" i="23916"/>
  <c r="DL422" i="23916"/>
  <c r="DL421" i="23916"/>
  <c r="DJ423" i="23916"/>
  <c r="DJ422" i="23916"/>
  <c r="DJ421" i="23916"/>
  <c r="DH423" i="23916"/>
  <c r="DH422" i="23916"/>
  <c r="DH421" i="23916"/>
  <c r="DF423" i="23916"/>
  <c r="DF422" i="23916"/>
  <c r="DF421" i="23916"/>
  <c r="DD423" i="23916"/>
  <c r="DD422" i="23916"/>
  <c r="DD421" i="23916"/>
  <c r="DB423" i="23916"/>
  <c r="DB422" i="23916"/>
  <c r="DB421" i="23916"/>
  <c r="CZ423" i="23916"/>
  <c r="CZ422" i="23916"/>
  <c r="CZ421" i="23916"/>
  <c r="CX423" i="23916"/>
  <c r="CX422" i="23916"/>
  <c r="CX421" i="23916"/>
  <c r="CV423" i="23916"/>
  <c r="CV422" i="23916"/>
  <c r="CV421" i="23916"/>
  <c r="CT423" i="23916"/>
  <c r="CT422" i="23916"/>
  <c r="CT421" i="23916"/>
  <c r="CR423" i="23916"/>
  <c r="CR422" i="23916"/>
  <c r="CR421" i="23916"/>
  <c r="CP423" i="23916"/>
  <c r="CP422" i="23916"/>
  <c r="CP421" i="23916"/>
  <c r="CN423" i="23916"/>
  <c r="CN422" i="23916"/>
  <c r="CN421" i="23916"/>
  <c r="CL423" i="23916"/>
  <c r="CL422" i="23916"/>
  <c r="CL421" i="23916"/>
  <c r="CJ423" i="23916"/>
  <c r="CJ422" i="23916"/>
  <c r="CJ421" i="23916"/>
  <c r="CH423" i="23916"/>
  <c r="CH422" i="23916"/>
  <c r="CH421" i="23916"/>
  <c r="CF423" i="23916"/>
  <c r="CF422" i="23916"/>
  <c r="CF421" i="23916"/>
  <c r="CD423" i="23916"/>
  <c r="CC423" i="23916"/>
  <c r="CB423" i="23916"/>
  <c r="BZ423" i="23916"/>
  <c r="BZ422" i="23916"/>
  <c r="BZ421" i="23916"/>
  <c r="BX423" i="23916"/>
  <c r="BX422" i="23916"/>
  <c r="BX421" i="23916"/>
  <c r="BV423" i="23916"/>
  <c r="BV422" i="23916"/>
  <c r="BV421" i="23916"/>
  <c r="BT423" i="23916"/>
  <c r="BT422" i="23916"/>
  <c r="BT421" i="23916"/>
  <c r="BR423" i="23916"/>
  <c r="BR422" i="23916"/>
  <c r="BR421" i="23916"/>
  <c r="BP423" i="23916"/>
  <c r="BP422" i="23916"/>
  <c r="BP421" i="23916"/>
  <c r="BN423" i="23916"/>
  <c r="BN422" i="23916"/>
  <c r="BN421" i="23916"/>
  <c r="BN420" i="23916"/>
  <c r="CD422" i="23916"/>
  <c r="CD421" i="23916"/>
  <c r="CB422" i="23916"/>
  <c r="CB421" i="23916"/>
  <c r="GN424" i="23916"/>
  <c r="GO424" i="23916" s="1"/>
  <c r="GM424" i="23916"/>
  <c r="GL424" i="23916"/>
  <c r="GJ424" i="23916"/>
  <c r="GK424" i="23916" s="1"/>
  <c r="GI424" i="23916"/>
  <c r="GH424" i="23916"/>
  <c r="GF424" i="23916"/>
  <c r="GG424" i="23916" s="1"/>
  <c r="GE424" i="23916"/>
  <c r="GD424" i="23916"/>
  <c r="GB424" i="23916"/>
  <c r="GC424" i="23916" s="1"/>
  <c r="FZ424" i="23916"/>
  <c r="FW424" i="23916"/>
  <c r="FV424" i="23916"/>
  <c r="GN423" i="23916"/>
  <c r="GL423" i="23916"/>
  <c r="GM423" i="23916" s="1"/>
  <c r="GJ423" i="23916"/>
  <c r="GH423" i="23916"/>
  <c r="GF423" i="23916"/>
  <c r="GD423" i="23916"/>
  <c r="GE423" i="23916" s="1"/>
  <c r="GB423" i="23916"/>
  <c r="FZ423" i="23916"/>
  <c r="FV423" i="23916"/>
  <c r="FW423" i="23916" s="1"/>
  <c r="GO422" i="23916"/>
  <c r="GN422" i="23916"/>
  <c r="GL422" i="23916"/>
  <c r="GM422" i="23916" s="1"/>
  <c r="GK422" i="23916"/>
  <c r="GJ422" i="23916"/>
  <c r="GJ431" i="23916" s="1"/>
  <c r="GH422" i="23916"/>
  <c r="GI422" i="23916" s="1"/>
  <c r="GG422" i="23916"/>
  <c r="GF422" i="23916"/>
  <c r="GD422" i="23916"/>
  <c r="GC422" i="23916"/>
  <c r="GB422" i="23916"/>
  <c r="GB431" i="23916" s="1"/>
  <c r="FZ422" i="23916"/>
  <c r="FY422" i="23916"/>
  <c r="FX422" i="23916"/>
  <c r="FV422" i="23916"/>
  <c r="GN421" i="23916"/>
  <c r="GO421" i="23916" s="1"/>
  <c r="GL421" i="23916"/>
  <c r="GL428" i="23916" s="1"/>
  <c r="GJ421" i="23916"/>
  <c r="GK421" i="23916" s="1"/>
  <c r="GH421" i="23916"/>
  <c r="GH428" i="23916" s="1"/>
  <c r="GF421" i="23916"/>
  <c r="GG421" i="23916" s="1"/>
  <c r="GD421" i="23916"/>
  <c r="GD428" i="23916" s="1"/>
  <c r="GB421" i="23916"/>
  <c r="GC421" i="23916" s="1"/>
  <c r="FZ421" i="23916"/>
  <c r="FZ428" i="23916" s="1"/>
  <c r="FX421" i="23916"/>
  <c r="FY421" i="23916" s="1"/>
  <c r="FW421" i="23916"/>
  <c r="FV421" i="23916"/>
  <c r="FV428" i="23916" s="1"/>
  <c r="FW428" i="23916" s="1"/>
  <c r="GJ420" i="23916"/>
  <c r="GB420" i="23916"/>
  <c r="FD420" i="23916"/>
  <c r="FD430" i="23916" s="1"/>
  <c r="EP423" i="23916"/>
  <c r="EP422" i="23916"/>
  <c r="EQ421" i="23916"/>
  <c r="ER421" i="23916" s="1"/>
  <c r="EP421" i="23916"/>
  <c r="DU420" i="23916"/>
  <c r="DU426" i="23916" s="1"/>
  <c r="CO420" i="23916"/>
  <c r="CO430" i="23916" s="1"/>
  <c r="EO414" i="23916"/>
  <c r="EM414" i="23916"/>
  <c r="EK414" i="23916"/>
  <c r="EI414" i="23916"/>
  <c r="EG414" i="23916"/>
  <c r="EE414" i="23916"/>
  <c r="EC414" i="23916"/>
  <c r="EA414" i="23916"/>
  <c r="DY414" i="23916"/>
  <c r="DW417" i="23916"/>
  <c r="DW416" i="23916"/>
  <c r="DW415" i="23916"/>
  <c r="DW414" i="23916"/>
  <c r="DU414" i="23916"/>
  <c r="DS417" i="23916"/>
  <c r="DS416" i="23916"/>
  <c r="DS415" i="23916"/>
  <c r="DS414" i="23916"/>
  <c r="CM416" i="23916"/>
  <c r="BM416" i="23916"/>
  <c r="BN416" i="23916" s="1"/>
  <c r="FB412" i="23916"/>
  <c r="FE410" i="23916"/>
  <c r="DW411" i="23916"/>
  <c r="DS411" i="23916"/>
  <c r="DS434" i="23916" s="1"/>
  <c r="CM411" i="23916"/>
  <c r="EO410" i="23916"/>
  <c r="EP410" i="23916" s="1"/>
  <c r="EN410" i="23916"/>
  <c r="EM410" i="23916"/>
  <c r="EK410" i="23916"/>
  <c r="EL410" i="23916" s="1"/>
  <c r="EJ410" i="23916"/>
  <c r="EI410" i="23916"/>
  <c r="GN410" i="23916" s="1"/>
  <c r="EG410" i="23916"/>
  <c r="EH410" i="23916" s="1"/>
  <c r="EF410" i="23916"/>
  <c r="EE410" i="23916"/>
  <c r="EC410" i="23916"/>
  <c r="ED410" i="23916" s="1"/>
  <c r="EB410" i="23916"/>
  <c r="EA410" i="23916"/>
  <c r="DY410" i="23916"/>
  <c r="DZ410" i="23916" s="1"/>
  <c r="DX410" i="23916"/>
  <c r="DW410" i="23916"/>
  <c r="DW412" i="23916" s="1"/>
  <c r="DU410" i="23916"/>
  <c r="DV410" i="23916" s="1"/>
  <c r="DT410" i="23916"/>
  <c r="DS410" i="23916"/>
  <c r="GJ410" i="23916" s="1"/>
  <c r="DQ410" i="23916"/>
  <c r="DR410" i="23916" s="1"/>
  <c r="DP410" i="23916"/>
  <c r="DO410" i="23916"/>
  <c r="DM410" i="23916"/>
  <c r="DN410" i="23916" s="1"/>
  <c r="DL410" i="23916"/>
  <c r="DK410" i="23916"/>
  <c r="DI410" i="23916"/>
  <c r="DJ410" i="23916" s="1"/>
  <c r="DH410" i="23916"/>
  <c r="DG410" i="23916"/>
  <c r="DE410" i="23916"/>
  <c r="DF410" i="23916" s="1"/>
  <c r="DD410" i="23916"/>
  <c r="DC410" i="23916"/>
  <c r="GF410" i="23916" s="1"/>
  <c r="DA410" i="23916"/>
  <c r="DB410" i="23916" s="1"/>
  <c r="CZ410" i="23916"/>
  <c r="CY410" i="23916"/>
  <c r="CW410" i="23916"/>
  <c r="CX410" i="23916" s="1"/>
  <c r="CV410" i="23916"/>
  <c r="CU410" i="23916"/>
  <c r="CS410" i="23916"/>
  <c r="CQ410" i="23916"/>
  <c r="CO410" i="23916"/>
  <c r="CM410" i="23916"/>
  <c r="GB410" i="23916" s="1"/>
  <c r="BY410" i="23916"/>
  <c r="BZ410" i="23916" s="1"/>
  <c r="BX410" i="23916"/>
  <c r="BW410" i="23916"/>
  <c r="BU410" i="23916"/>
  <c r="BV410" i="23916" s="1"/>
  <c r="BT410" i="23916"/>
  <c r="BS410" i="23916"/>
  <c r="BQ410" i="23916"/>
  <c r="BR410" i="23916" s="1"/>
  <c r="BP410" i="23916"/>
  <c r="BO410" i="23916"/>
  <c r="BM410" i="23916"/>
  <c r="BN410" i="23916" s="1"/>
  <c r="GN409" i="23916"/>
  <c r="GN408" i="23916"/>
  <c r="GN407" i="23916"/>
  <c r="GO407" i="23916" s="1"/>
  <c r="GN406" i="23916"/>
  <c r="GN414" i="23916" s="1"/>
  <c r="GL409" i="23916"/>
  <c r="GL408" i="23916"/>
  <c r="GL407" i="23916"/>
  <c r="GM407" i="23916" s="1"/>
  <c r="GL406" i="23916"/>
  <c r="GL414" i="23916" s="1"/>
  <c r="GJ409" i="23916"/>
  <c r="GJ417" i="23916" s="1"/>
  <c r="GK417" i="23916" s="1"/>
  <c r="GJ408" i="23916"/>
  <c r="GJ416" i="23916" s="1"/>
  <c r="GJ407" i="23916"/>
  <c r="GJ406" i="23916"/>
  <c r="GJ414" i="23916" s="1"/>
  <c r="GJ405" i="23916"/>
  <c r="GJ415" i="23916" s="1"/>
  <c r="EQ406" i="23916"/>
  <c r="ES406" i="23916" s="1"/>
  <c r="EN409" i="23916"/>
  <c r="EN408" i="23916"/>
  <c r="EN407" i="23916"/>
  <c r="EN406" i="23916"/>
  <c r="EL409" i="23916"/>
  <c r="EL408" i="23916"/>
  <c r="EL407" i="23916"/>
  <c r="EL406" i="23916"/>
  <c r="EJ409" i="23916"/>
  <c r="EJ408" i="23916"/>
  <c r="EJ407" i="23916"/>
  <c r="EJ406" i="23916"/>
  <c r="EH409" i="23916"/>
  <c r="EH408" i="23916"/>
  <c r="EH407" i="23916"/>
  <c r="EH406" i="23916"/>
  <c r="EF409" i="23916"/>
  <c r="EF408" i="23916"/>
  <c r="EF407" i="23916"/>
  <c r="EF406" i="23916"/>
  <c r="GO406" i="23916"/>
  <c r="GM406" i="23916"/>
  <c r="GK406" i="23916"/>
  <c r="FE408" i="23916"/>
  <c r="FE407" i="23916"/>
  <c r="FE406" i="23916"/>
  <c r="ER406" i="23916"/>
  <c r="EP408" i="23916"/>
  <c r="EP407" i="23916"/>
  <c r="EP406" i="23916"/>
  <c r="ED408" i="23916"/>
  <c r="ED407" i="23916"/>
  <c r="ED406" i="23916"/>
  <c r="EB408" i="23916"/>
  <c r="EB407" i="23916"/>
  <c r="EB406" i="23916"/>
  <c r="DZ408" i="23916"/>
  <c r="DZ407" i="23916"/>
  <c r="DZ406" i="23916"/>
  <c r="DX408" i="23916"/>
  <c r="DX407" i="23916"/>
  <c r="DX406" i="23916"/>
  <c r="DV408" i="23916"/>
  <c r="DV407" i="23916"/>
  <c r="DV406" i="23916"/>
  <c r="DT408" i="23916"/>
  <c r="DT407" i="23916"/>
  <c r="DT406" i="23916"/>
  <c r="DR408" i="23916"/>
  <c r="DR407" i="23916"/>
  <c r="DR406" i="23916"/>
  <c r="DP408" i="23916"/>
  <c r="DP407" i="23916"/>
  <c r="DP406" i="23916"/>
  <c r="DN408" i="23916"/>
  <c r="DN407" i="23916"/>
  <c r="DN406" i="23916"/>
  <c r="DL408" i="23916"/>
  <c r="DL407" i="23916"/>
  <c r="DL406" i="23916"/>
  <c r="DJ408" i="23916"/>
  <c r="DJ407" i="23916"/>
  <c r="DJ406" i="23916"/>
  <c r="DH408" i="23916"/>
  <c r="DH407" i="23916"/>
  <c r="DH406" i="23916"/>
  <c r="DF408" i="23916"/>
  <c r="DF407" i="23916"/>
  <c r="DF406" i="23916"/>
  <c r="DD408" i="23916"/>
  <c r="DD407" i="23916"/>
  <c r="DD406" i="23916"/>
  <c r="DB408" i="23916"/>
  <c r="DB407" i="23916"/>
  <c r="DB406" i="23916"/>
  <c r="CZ408" i="23916"/>
  <c r="CZ407" i="23916"/>
  <c r="CZ406" i="23916"/>
  <c r="CX408" i="23916"/>
  <c r="CX407" i="23916"/>
  <c r="CX406" i="23916"/>
  <c r="CV408" i="23916"/>
  <c r="CV407" i="23916"/>
  <c r="CV406" i="23916"/>
  <c r="CT408" i="23916"/>
  <c r="CT407" i="23916"/>
  <c r="CT406" i="23916"/>
  <c r="CR408" i="23916"/>
  <c r="CR407" i="23916"/>
  <c r="CR406" i="23916"/>
  <c r="CP408" i="23916"/>
  <c r="CP407" i="23916"/>
  <c r="CP406" i="23916"/>
  <c r="CN408" i="23916"/>
  <c r="CN407" i="23916"/>
  <c r="CN406" i="23916"/>
  <c r="CL408" i="23916"/>
  <c r="CL407" i="23916"/>
  <c r="CL406" i="23916"/>
  <c r="CJ408" i="23916"/>
  <c r="CJ407" i="23916"/>
  <c r="CJ406" i="23916"/>
  <c r="CH408" i="23916"/>
  <c r="CH407" i="23916"/>
  <c r="CH406" i="23916"/>
  <c r="CF408" i="23916"/>
  <c r="CF407" i="23916"/>
  <c r="CF406" i="23916"/>
  <c r="CD408" i="23916"/>
  <c r="CD407" i="23916"/>
  <c r="CD406" i="23916"/>
  <c r="CB408" i="23916"/>
  <c r="CB407" i="23916"/>
  <c r="CB406" i="23916"/>
  <c r="BZ408" i="23916"/>
  <c r="BZ407" i="23916"/>
  <c r="BZ406" i="23916"/>
  <c r="BX408" i="23916"/>
  <c r="BX407" i="23916"/>
  <c r="BX406" i="23916"/>
  <c r="BV408" i="23916"/>
  <c r="BV407" i="23916"/>
  <c r="BV406" i="23916"/>
  <c r="BT408" i="23916"/>
  <c r="BT407" i="23916"/>
  <c r="BT406" i="23916"/>
  <c r="BR408" i="23916"/>
  <c r="BR407" i="23916"/>
  <c r="BR406" i="23916"/>
  <c r="BP408" i="23916"/>
  <c r="BP407" i="23916"/>
  <c r="BP406" i="23916"/>
  <c r="BN408" i="23916"/>
  <c r="BN407" i="23916"/>
  <c r="BN406" i="23916"/>
  <c r="BN405" i="23916"/>
  <c r="GH408" i="23916"/>
  <c r="GG408" i="23916"/>
  <c r="GF408" i="23916"/>
  <c r="GD408" i="23916"/>
  <c r="GC408" i="23916"/>
  <c r="GB408" i="23916"/>
  <c r="GB416" i="23916" s="1"/>
  <c r="FZ408" i="23916"/>
  <c r="FY408" i="23916"/>
  <c r="FX408" i="23916"/>
  <c r="FW408" i="23916"/>
  <c r="FV408" i="23916"/>
  <c r="GI407" i="23916"/>
  <c r="GH407" i="23916"/>
  <c r="GK407" i="23916" s="1"/>
  <c r="GF407" i="23916"/>
  <c r="GE407" i="23916"/>
  <c r="GD407" i="23916"/>
  <c r="GB407" i="23916"/>
  <c r="GA407" i="23916"/>
  <c r="FZ407" i="23916"/>
  <c r="FX407" i="23916"/>
  <c r="FW407" i="23916"/>
  <c r="FV407" i="23916"/>
  <c r="GH406" i="23916"/>
  <c r="GG406" i="23916"/>
  <c r="GF406" i="23916"/>
  <c r="GI406" i="23916" s="1"/>
  <c r="GD406" i="23916"/>
  <c r="GC406" i="23916"/>
  <c r="GB406" i="23916"/>
  <c r="GE406" i="23916" s="1"/>
  <c r="FZ406" i="23916"/>
  <c r="FY406" i="23916"/>
  <c r="FX406" i="23916"/>
  <c r="GA406" i="23916" s="1"/>
  <c r="FW406" i="23916"/>
  <c r="FV406" i="23916"/>
  <c r="GB405" i="23916"/>
  <c r="GB411" i="23916" s="1"/>
  <c r="FD405" i="23916"/>
  <c r="FD416" i="23916" s="1"/>
  <c r="FE416" i="23916" s="1"/>
  <c r="DY405" i="23916"/>
  <c r="DY415" i="23916" s="1"/>
  <c r="DU405" i="23916"/>
  <c r="DU415" i="23916" s="1"/>
  <c r="FB401" i="23916"/>
  <c r="FE400" i="23916"/>
  <c r="DR400" i="23916"/>
  <c r="DQ400" i="23916"/>
  <c r="DP400" i="23916"/>
  <c r="DO400" i="23916"/>
  <c r="DN400" i="23916"/>
  <c r="DM400" i="23916"/>
  <c r="DL400" i="23916"/>
  <c r="DK400" i="23916"/>
  <c r="DJ400" i="23916"/>
  <c r="DI400" i="23916"/>
  <c r="DH400" i="23916"/>
  <c r="DG400" i="23916"/>
  <c r="DF400" i="23916"/>
  <c r="DE400" i="23916"/>
  <c r="DD400" i="23916"/>
  <c r="DC400" i="23916"/>
  <c r="DB400" i="23916"/>
  <c r="DA400" i="23916"/>
  <c r="CZ400" i="23916"/>
  <c r="CY400" i="23916"/>
  <c r="CX400" i="23916"/>
  <c r="CW400" i="23916"/>
  <c r="CV400" i="23916"/>
  <c r="CU400" i="23916"/>
  <c r="CT400" i="23916"/>
  <c r="CS400" i="23916"/>
  <c r="CR400" i="23916"/>
  <c r="CQ400" i="23916"/>
  <c r="CP400" i="23916"/>
  <c r="CO400" i="23916"/>
  <c r="CN400" i="23916"/>
  <c r="CM400" i="23916"/>
  <c r="CK400" i="23916"/>
  <c r="CJ400" i="23916"/>
  <c r="CI400" i="23916"/>
  <c r="CH400" i="23916"/>
  <c r="CG400" i="23916"/>
  <c r="CF400" i="23916"/>
  <c r="CE400" i="23916"/>
  <c r="CB400" i="23916"/>
  <c r="CA400" i="23916"/>
  <c r="BZ400" i="23916"/>
  <c r="BY400" i="23916"/>
  <c r="BX400" i="23916"/>
  <c r="BW400" i="23916"/>
  <c r="BV400" i="23916"/>
  <c r="BU400" i="23916"/>
  <c r="BT400" i="23916"/>
  <c r="BS400" i="23916"/>
  <c r="BR400" i="23916"/>
  <c r="BQ400" i="23916"/>
  <c r="BP400" i="23916"/>
  <c r="BO400" i="23916"/>
  <c r="BN400" i="23916"/>
  <c r="BM400" i="23916"/>
  <c r="FB398" i="23916"/>
  <c r="FE396" i="23916"/>
  <c r="FE395" i="23916"/>
  <c r="FE394" i="23916"/>
  <c r="FE393" i="23916"/>
  <c r="CM397" i="23916"/>
  <c r="EP396" i="23916"/>
  <c r="EO396" i="23916"/>
  <c r="EN396" i="23916"/>
  <c r="EM396" i="23916"/>
  <c r="EL396" i="23916"/>
  <c r="EK396" i="23916"/>
  <c r="EJ396" i="23916"/>
  <c r="EI396" i="23916"/>
  <c r="EH396" i="23916"/>
  <c r="EG396" i="23916"/>
  <c r="EF396" i="23916"/>
  <c r="EE396" i="23916"/>
  <c r="ED396" i="23916"/>
  <c r="EC396" i="23916"/>
  <c r="EB396" i="23916"/>
  <c r="EA396" i="23916"/>
  <c r="DZ396" i="23916"/>
  <c r="DY396" i="23916"/>
  <c r="DX396" i="23916"/>
  <c r="DW396" i="23916"/>
  <c r="DV396" i="23916"/>
  <c r="DU396" i="23916"/>
  <c r="DT396" i="23916"/>
  <c r="DS396" i="23916"/>
  <c r="DR396" i="23916"/>
  <c r="DQ396" i="23916"/>
  <c r="DP396" i="23916"/>
  <c r="DO396" i="23916"/>
  <c r="DN396" i="23916"/>
  <c r="DM396" i="23916"/>
  <c r="DL396" i="23916"/>
  <c r="DK396" i="23916"/>
  <c r="DJ396" i="23916"/>
  <c r="DI396" i="23916"/>
  <c r="DH396" i="23916"/>
  <c r="DG396" i="23916"/>
  <c r="DF396" i="23916"/>
  <c r="DE396" i="23916"/>
  <c r="DD396" i="23916"/>
  <c r="DC396" i="23916"/>
  <c r="DB396" i="23916"/>
  <c r="DA396" i="23916"/>
  <c r="CZ396" i="23916"/>
  <c r="CY396" i="23916"/>
  <c r="CX396" i="23916"/>
  <c r="CW396" i="23916"/>
  <c r="CV396" i="23916"/>
  <c r="CU396" i="23916"/>
  <c r="CT396" i="23916"/>
  <c r="CS396" i="23916"/>
  <c r="CR396" i="23916"/>
  <c r="CQ396" i="23916"/>
  <c r="CP396" i="23916"/>
  <c r="CO396" i="23916"/>
  <c r="CN396" i="23916"/>
  <c r="CM396" i="23916"/>
  <c r="CM398" i="23916" s="1"/>
  <c r="CL396" i="23916"/>
  <c r="CK396" i="23916"/>
  <c r="CI396" i="23916"/>
  <c r="CH396" i="23916"/>
  <c r="CG396" i="23916"/>
  <c r="CF396" i="23916"/>
  <c r="CE396" i="23916"/>
  <c r="CD396" i="23916"/>
  <c r="CC396" i="23916"/>
  <c r="BZ396" i="23916"/>
  <c r="BY396" i="23916"/>
  <c r="BX396" i="23916"/>
  <c r="BW396" i="23916"/>
  <c r="BV396" i="23916"/>
  <c r="BU396" i="23916"/>
  <c r="BT396" i="23916"/>
  <c r="BS396" i="23916"/>
  <c r="BR396" i="23916"/>
  <c r="BQ396" i="23916"/>
  <c r="BP396" i="23916"/>
  <c r="BO396" i="23916"/>
  <c r="BN396" i="23916"/>
  <c r="BM396" i="23916"/>
  <c r="BM397" i="23916" s="1"/>
  <c r="DP395" i="23916"/>
  <c r="DP394" i="23916"/>
  <c r="DP393" i="23916"/>
  <c r="DN395" i="23916"/>
  <c r="DN394" i="23916"/>
  <c r="DN393" i="23916"/>
  <c r="DL395" i="23916"/>
  <c r="DL394" i="23916"/>
  <c r="DL393" i="23916"/>
  <c r="DJ395" i="23916"/>
  <c r="DJ394" i="23916"/>
  <c r="DJ393" i="23916"/>
  <c r="DH395" i="23916"/>
  <c r="DH394" i="23916"/>
  <c r="DH393" i="23916"/>
  <c r="DF395" i="23916"/>
  <c r="DF394" i="23916"/>
  <c r="DF393" i="23916"/>
  <c r="DD395" i="23916"/>
  <c r="DD394" i="23916"/>
  <c r="DD393" i="23916"/>
  <c r="DB395" i="23916"/>
  <c r="DB394" i="23916"/>
  <c r="DB393" i="23916"/>
  <c r="CZ395" i="23916"/>
  <c r="CZ394" i="23916"/>
  <c r="CZ393" i="23916"/>
  <c r="CX395" i="23916"/>
  <c r="CX394" i="23916"/>
  <c r="CX393" i="23916"/>
  <c r="CV395" i="23916"/>
  <c r="CV394" i="23916"/>
  <c r="CV393" i="23916"/>
  <c r="CT395" i="23916"/>
  <c r="CT394" i="23916"/>
  <c r="CT393" i="23916"/>
  <c r="CR395" i="23916"/>
  <c r="CR394" i="23916"/>
  <c r="CR393" i="23916"/>
  <c r="CP395" i="23916"/>
  <c r="CP394" i="23916"/>
  <c r="CP393" i="23916"/>
  <c r="CN395" i="23916"/>
  <c r="CN394" i="23916"/>
  <c r="CN393" i="23916"/>
  <c r="CL395" i="23916"/>
  <c r="CL394" i="23916"/>
  <c r="CL393" i="23916"/>
  <c r="CJ395" i="23916"/>
  <c r="CJ394" i="23916"/>
  <c r="CJ393" i="23916"/>
  <c r="CH395" i="23916"/>
  <c r="CH394" i="23916"/>
  <c r="CH393" i="23916"/>
  <c r="CF395" i="23916"/>
  <c r="CF394" i="23916"/>
  <c r="CF393" i="23916"/>
  <c r="CD395" i="23916"/>
  <c r="CC395" i="23916"/>
  <c r="CC400" i="23916" s="1"/>
  <c r="CB395" i="23916"/>
  <c r="BZ395" i="23916"/>
  <c r="BZ394" i="23916"/>
  <c r="BZ393" i="23916"/>
  <c r="BX395" i="23916"/>
  <c r="BX394" i="23916"/>
  <c r="BX393" i="23916"/>
  <c r="BV395" i="23916"/>
  <c r="BV394" i="23916"/>
  <c r="BV393" i="23916"/>
  <c r="BT395" i="23916"/>
  <c r="BT394" i="23916"/>
  <c r="BT393" i="23916"/>
  <c r="BR395" i="23916"/>
  <c r="BR394" i="23916"/>
  <c r="BR393" i="23916"/>
  <c r="BP395" i="23916"/>
  <c r="BP394" i="23916"/>
  <c r="BP393" i="23916"/>
  <c r="BN395" i="23916"/>
  <c r="BN394" i="23916"/>
  <c r="BN393" i="23916"/>
  <c r="BN392" i="23916"/>
  <c r="CD394" i="23916"/>
  <c r="CD393" i="23916"/>
  <c r="CB394" i="23916"/>
  <c r="CB393" i="23916"/>
  <c r="GO396" i="23916"/>
  <c r="GN396" i="23916"/>
  <c r="GM396" i="23916"/>
  <c r="GL396" i="23916"/>
  <c r="GK396" i="23916"/>
  <c r="GJ396" i="23916"/>
  <c r="GI396" i="23916"/>
  <c r="GH396" i="23916"/>
  <c r="GG396" i="23916"/>
  <c r="GF396" i="23916"/>
  <c r="GE396" i="23916"/>
  <c r="GD396" i="23916"/>
  <c r="GC396" i="23916"/>
  <c r="GB396" i="23916"/>
  <c r="FZ396" i="23916"/>
  <c r="FW396" i="23916"/>
  <c r="FV396" i="23916"/>
  <c r="GH395" i="23916"/>
  <c r="GI395" i="23916" s="1"/>
  <c r="GF395" i="23916"/>
  <c r="GG395" i="23916" s="1"/>
  <c r="GD395" i="23916"/>
  <c r="GE395" i="23916" s="1"/>
  <c r="GB395" i="23916"/>
  <c r="GC395" i="23916" s="1"/>
  <c r="FZ395" i="23916"/>
  <c r="GA395" i="23916" s="1"/>
  <c r="FX395" i="23916"/>
  <c r="FY395" i="23916" s="1"/>
  <c r="FV395" i="23916"/>
  <c r="FW395" i="23916" s="1"/>
  <c r="GI394" i="23916"/>
  <c r="GH394" i="23916"/>
  <c r="GG394" i="23916"/>
  <c r="GF394" i="23916"/>
  <c r="GE394" i="23916"/>
  <c r="GD394" i="23916"/>
  <c r="GC394" i="23916"/>
  <c r="GB394" i="23916"/>
  <c r="GA394" i="23916"/>
  <c r="FZ394" i="23916"/>
  <c r="FY394" i="23916"/>
  <c r="FX394" i="23916"/>
  <c r="FW394" i="23916"/>
  <c r="FV394" i="23916"/>
  <c r="GH393" i="23916"/>
  <c r="GI393" i="23916" s="1"/>
  <c r="GF393" i="23916"/>
  <c r="GG393" i="23916" s="1"/>
  <c r="GD393" i="23916"/>
  <c r="GE393" i="23916" s="1"/>
  <c r="GB393" i="23916"/>
  <c r="GC393" i="23916" s="1"/>
  <c r="FZ393" i="23916"/>
  <c r="GA393" i="23916" s="1"/>
  <c r="FX393" i="23916"/>
  <c r="FY393" i="23916" s="1"/>
  <c r="FV393" i="23916"/>
  <c r="FW393" i="23916" s="1"/>
  <c r="GB392" i="23916"/>
  <c r="FD392" i="23916"/>
  <c r="FE392" i="23916" s="1"/>
  <c r="EO395" i="23916"/>
  <c r="EP395" i="23916" s="1"/>
  <c r="EM395" i="23916"/>
  <c r="EN395" i="23916" s="1"/>
  <c r="EK395" i="23916"/>
  <c r="EL395" i="23916" s="1"/>
  <c r="EI395" i="23916"/>
  <c r="EJ395" i="23916" s="1"/>
  <c r="EG395" i="23916"/>
  <c r="EH395" i="23916" s="1"/>
  <c r="EE395" i="23916"/>
  <c r="EF395" i="23916" s="1"/>
  <c r="EC395" i="23916"/>
  <c r="ED395" i="23916" s="1"/>
  <c r="EA395" i="23916"/>
  <c r="EB395" i="23916" s="1"/>
  <c r="DY395" i="23916"/>
  <c r="DZ395" i="23916" s="1"/>
  <c r="DW395" i="23916"/>
  <c r="DX395" i="23916" s="1"/>
  <c r="DU395" i="23916"/>
  <c r="DV395" i="23916" s="1"/>
  <c r="DS395" i="23916"/>
  <c r="DT395" i="23916" s="1"/>
  <c r="DR395" i="23916"/>
  <c r="EP394" i="23916"/>
  <c r="EO394" i="23916"/>
  <c r="EN394" i="23916"/>
  <c r="EM394" i="23916"/>
  <c r="EL394" i="23916"/>
  <c r="EK394" i="23916"/>
  <c r="EJ394" i="23916"/>
  <c r="EI394" i="23916"/>
  <c r="GN394" i="23916" s="1"/>
  <c r="EH394" i="23916"/>
  <c r="EG394" i="23916"/>
  <c r="EF394" i="23916"/>
  <c r="EE394" i="23916"/>
  <c r="ED394" i="23916"/>
  <c r="EC394" i="23916"/>
  <c r="EB394" i="23916"/>
  <c r="EA394" i="23916"/>
  <c r="GL394" i="23916" s="1"/>
  <c r="DZ394" i="23916"/>
  <c r="DY394" i="23916"/>
  <c r="DX394" i="23916"/>
  <c r="DW394" i="23916"/>
  <c r="DV394" i="23916"/>
  <c r="DU394" i="23916"/>
  <c r="DT394" i="23916"/>
  <c r="DS394" i="23916"/>
  <c r="GJ394" i="23916" s="1"/>
  <c r="GK394" i="23916" s="1"/>
  <c r="DR394" i="23916"/>
  <c r="EQ393" i="23916"/>
  <c r="EO393" i="23916"/>
  <c r="EP393" i="23916" s="1"/>
  <c r="EM393" i="23916"/>
  <c r="EM400" i="23916" s="1"/>
  <c r="EK393" i="23916"/>
  <c r="EL393" i="23916" s="1"/>
  <c r="EI393" i="23916"/>
  <c r="EI400" i="23916" s="1"/>
  <c r="EG393" i="23916"/>
  <c r="EH393" i="23916" s="1"/>
  <c r="EE393" i="23916"/>
  <c r="EE400" i="23916" s="1"/>
  <c r="EC393" i="23916"/>
  <c r="ED393" i="23916" s="1"/>
  <c r="EA393" i="23916"/>
  <c r="EA400" i="23916" s="1"/>
  <c r="DY393" i="23916"/>
  <c r="DZ393" i="23916" s="1"/>
  <c r="DW393" i="23916"/>
  <c r="DW400" i="23916" s="1"/>
  <c r="DX400" i="23916" s="1"/>
  <c r="DU393" i="23916"/>
  <c r="DV393" i="23916" s="1"/>
  <c r="DS393" i="23916"/>
  <c r="DS400" i="23916" s="1"/>
  <c r="DT400" i="23916" s="1"/>
  <c r="DR393" i="23916"/>
  <c r="DS392" i="23916"/>
  <c r="DS398" i="23916" s="1"/>
  <c r="CO392" i="23916"/>
  <c r="CO397" i="23916" s="1"/>
  <c r="FB388" i="23916"/>
  <c r="FE386" i="23916"/>
  <c r="CM387" i="23916"/>
  <c r="EO386" i="23916"/>
  <c r="EP386" i="23916" s="1"/>
  <c r="EM386" i="23916"/>
  <c r="EN386" i="23916" s="1"/>
  <c r="EK386" i="23916"/>
  <c r="EL386" i="23916" s="1"/>
  <c r="EI386" i="23916"/>
  <c r="GN386" i="23916" s="1"/>
  <c r="EG386" i="23916"/>
  <c r="EH386" i="23916" s="1"/>
  <c r="EE386" i="23916"/>
  <c r="EF386" i="23916" s="1"/>
  <c r="EC386" i="23916"/>
  <c r="ED386" i="23916" s="1"/>
  <c r="EA386" i="23916"/>
  <c r="GL386" i="23916" s="1"/>
  <c r="DY386" i="23916"/>
  <c r="DZ386" i="23916" s="1"/>
  <c r="DW386" i="23916"/>
  <c r="DX386" i="23916" s="1"/>
  <c r="DU386" i="23916"/>
  <c r="DV386" i="23916" s="1"/>
  <c r="DS386" i="23916"/>
  <c r="GJ386" i="23916" s="1"/>
  <c r="DQ386" i="23916"/>
  <c r="DR386" i="23916" s="1"/>
  <c r="DO386" i="23916"/>
  <c r="DP386" i="23916" s="1"/>
  <c r="DM386" i="23916"/>
  <c r="DN386" i="23916" s="1"/>
  <c r="DK386" i="23916"/>
  <c r="GH386" i="23916" s="1"/>
  <c r="DI386" i="23916"/>
  <c r="DJ386" i="23916" s="1"/>
  <c r="DG386" i="23916"/>
  <c r="DH386" i="23916" s="1"/>
  <c r="DE386" i="23916"/>
  <c r="DF386" i="23916" s="1"/>
  <c r="DC386" i="23916"/>
  <c r="GF386" i="23916" s="1"/>
  <c r="DA386" i="23916"/>
  <c r="DB386" i="23916" s="1"/>
  <c r="CY386" i="23916"/>
  <c r="CZ386" i="23916" s="1"/>
  <c r="CW386" i="23916"/>
  <c r="CX386" i="23916" s="1"/>
  <c r="CU386" i="23916"/>
  <c r="GD386" i="23916" s="1"/>
  <c r="CS386" i="23916"/>
  <c r="CQ386" i="23916"/>
  <c r="CO386" i="23916"/>
  <c r="CM386" i="23916"/>
  <c r="GB386" i="23916" s="1"/>
  <c r="BY386" i="23916"/>
  <c r="BZ386" i="23916" s="1"/>
  <c r="BW386" i="23916"/>
  <c r="BU386" i="23916"/>
  <c r="BV386" i="23916" s="1"/>
  <c r="BS386" i="23916"/>
  <c r="BT386" i="23916" s="1"/>
  <c r="BQ386" i="23916"/>
  <c r="BR386" i="23916" s="1"/>
  <c r="BO386" i="23916"/>
  <c r="FV386" i="23916" s="1"/>
  <c r="FW386" i="23916" s="1"/>
  <c r="BM386" i="23916"/>
  <c r="BN386" i="23916" s="1"/>
  <c r="GN385" i="23916"/>
  <c r="GN383" i="23916"/>
  <c r="GO383" i="23916" s="1"/>
  <c r="GJ381" i="23916"/>
  <c r="EQ382" i="23916"/>
  <c r="EO385" i="23916"/>
  <c r="EN385" i="23916"/>
  <c r="EM385" i="23916"/>
  <c r="EK385" i="23916"/>
  <c r="EJ385" i="23916"/>
  <c r="EI385" i="23916"/>
  <c r="EH385" i="23916"/>
  <c r="EG385" i="23916"/>
  <c r="EF385" i="23916"/>
  <c r="EE385" i="23916"/>
  <c r="EC385" i="23916"/>
  <c r="EL385" i="23916" s="1"/>
  <c r="EC384" i="23916"/>
  <c r="EC828" i="23916" s="1"/>
  <c r="EC383" i="23916"/>
  <c r="EC382" i="23916"/>
  <c r="EC827" i="23916" s="1"/>
  <c r="EA385" i="23916"/>
  <c r="GL385" i="23916" s="1"/>
  <c r="EA384" i="23916"/>
  <c r="EA828" i="23916" s="1"/>
  <c r="EA383" i="23916"/>
  <c r="GL383" i="23916" s="1"/>
  <c r="EA382" i="23916"/>
  <c r="EA827" i="23916" s="1"/>
  <c r="DY385" i="23916"/>
  <c r="DY384" i="23916"/>
  <c r="DY828" i="23916" s="1"/>
  <c r="DY383" i="23916"/>
  <c r="DZ383" i="23916" s="1"/>
  <c r="DY382" i="23916"/>
  <c r="DY827" i="23916" s="1"/>
  <c r="DW385" i="23916"/>
  <c r="DW384" i="23916"/>
  <c r="DW828" i="23916" s="1"/>
  <c r="DW383" i="23916"/>
  <c r="DW382" i="23916"/>
  <c r="DW827" i="23916" s="1"/>
  <c r="DU385" i="23916"/>
  <c r="GJ385" i="23916" s="1"/>
  <c r="DU384" i="23916"/>
  <c r="DU828" i="23916" s="1"/>
  <c r="DU383" i="23916"/>
  <c r="DV383" i="23916" s="1"/>
  <c r="DU382" i="23916"/>
  <c r="DU827" i="23916" s="1"/>
  <c r="DS385" i="23916"/>
  <c r="DS384" i="23916"/>
  <c r="DS828" i="23916" s="1"/>
  <c r="DS383" i="23916"/>
  <c r="DS382" i="23916"/>
  <c r="DS827" i="23916" s="1"/>
  <c r="DS381" i="23916"/>
  <c r="FE384" i="23916"/>
  <c r="FE383" i="23916"/>
  <c r="FE382" i="23916"/>
  <c r="EB384" i="23916"/>
  <c r="EB383" i="23916"/>
  <c r="EB382" i="23916"/>
  <c r="DZ384" i="23916"/>
  <c r="DZ382" i="23916"/>
  <c r="DX383" i="23916"/>
  <c r="DX382" i="23916"/>
  <c r="DV384" i="23916"/>
  <c r="DV382" i="23916"/>
  <c r="DT384" i="23916"/>
  <c r="DT383" i="23916"/>
  <c r="DT382" i="23916"/>
  <c r="DR384" i="23916"/>
  <c r="DR383" i="23916"/>
  <c r="DR382" i="23916"/>
  <c r="DP384" i="23916"/>
  <c r="DP383" i="23916"/>
  <c r="DP382" i="23916"/>
  <c r="DN384" i="23916"/>
  <c r="DN383" i="23916"/>
  <c r="DN382" i="23916"/>
  <c r="DL384" i="23916"/>
  <c r="DL383" i="23916"/>
  <c r="DL382" i="23916"/>
  <c r="DJ384" i="23916"/>
  <c r="DJ383" i="23916"/>
  <c r="DJ382" i="23916"/>
  <c r="DH384" i="23916"/>
  <c r="DH383" i="23916"/>
  <c r="DH382" i="23916"/>
  <c r="DF384" i="23916"/>
  <c r="DF383" i="23916"/>
  <c r="DF382" i="23916"/>
  <c r="DD384" i="23916"/>
  <c r="DD383" i="23916"/>
  <c r="DD382" i="23916"/>
  <c r="DB384" i="23916"/>
  <c r="DB383" i="23916"/>
  <c r="DB382" i="23916"/>
  <c r="CZ384" i="23916"/>
  <c r="CZ383" i="23916"/>
  <c r="CZ382" i="23916"/>
  <c r="CX384" i="23916"/>
  <c r="CX383" i="23916"/>
  <c r="CX382" i="23916"/>
  <c r="CV384" i="23916"/>
  <c r="CV383" i="23916"/>
  <c r="CV382" i="23916"/>
  <c r="CT384" i="23916"/>
  <c r="CT383" i="23916"/>
  <c r="CT382" i="23916"/>
  <c r="CR384" i="23916"/>
  <c r="CR383" i="23916"/>
  <c r="CR382" i="23916"/>
  <c r="CP384" i="23916"/>
  <c r="CP383" i="23916"/>
  <c r="CP382" i="23916"/>
  <c r="CN384" i="23916"/>
  <c r="CN383" i="23916"/>
  <c r="CN382" i="23916"/>
  <c r="CL384" i="23916"/>
  <c r="CL383" i="23916"/>
  <c r="CL382" i="23916"/>
  <c r="CJ384" i="23916"/>
  <c r="CJ383" i="23916"/>
  <c r="CJ382" i="23916"/>
  <c r="CH384" i="23916"/>
  <c r="CH383" i="23916"/>
  <c r="CH382" i="23916"/>
  <c r="CF384" i="23916"/>
  <c r="CF383" i="23916"/>
  <c r="CF382" i="23916"/>
  <c r="CD384" i="23916"/>
  <c r="CD383" i="23916"/>
  <c r="CD382" i="23916"/>
  <c r="CB384" i="23916"/>
  <c r="CB383" i="23916"/>
  <c r="CB382" i="23916"/>
  <c r="BZ384" i="23916"/>
  <c r="BZ383" i="23916"/>
  <c r="BZ382" i="23916"/>
  <c r="BX384" i="23916"/>
  <c r="BX383" i="23916"/>
  <c r="BX382" i="23916"/>
  <c r="BV384" i="23916"/>
  <c r="BV383" i="23916"/>
  <c r="BV382" i="23916"/>
  <c r="BT384" i="23916"/>
  <c r="BT383" i="23916"/>
  <c r="BT382" i="23916"/>
  <c r="BR384" i="23916"/>
  <c r="BR383" i="23916"/>
  <c r="BR382" i="23916"/>
  <c r="BP384" i="23916"/>
  <c r="BP383" i="23916"/>
  <c r="BP382" i="23916"/>
  <c r="BN384" i="23916"/>
  <c r="BN383" i="23916"/>
  <c r="BN382" i="23916"/>
  <c r="BN381" i="23916"/>
  <c r="GI384" i="23916"/>
  <c r="GH384" i="23916"/>
  <c r="GG384" i="23916"/>
  <c r="GF384" i="23916"/>
  <c r="GE384" i="23916"/>
  <c r="GD384" i="23916"/>
  <c r="GC384" i="23916"/>
  <c r="GB384" i="23916"/>
  <c r="GA384" i="23916"/>
  <c r="FZ384" i="23916"/>
  <c r="FY384" i="23916"/>
  <c r="FX384" i="23916"/>
  <c r="FW384" i="23916"/>
  <c r="FV384" i="23916"/>
  <c r="GI383" i="23916"/>
  <c r="GH383" i="23916"/>
  <c r="GG383" i="23916"/>
  <c r="GF383" i="23916"/>
  <c r="GE383" i="23916"/>
  <c r="GD383" i="23916"/>
  <c r="GC383" i="23916"/>
  <c r="GB383" i="23916"/>
  <c r="GA383" i="23916"/>
  <c r="FZ383" i="23916"/>
  <c r="FY383" i="23916"/>
  <c r="FX383" i="23916"/>
  <c r="FW383" i="23916"/>
  <c r="FV383" i="23916"/>
  <c r="GI382" i="23916"/>
  <c r="GH382" i="23916"/>
  <c r="GG382" i="23916"/>
  <c r="GF382" i="23916"/>
  <c r="GE382" i="23916"/>
  <c r="GD382" i="23916"/>
  <c r="GC382" i="23916"/>
  <c r="GB382" i="23916"/>
  <c r="GA382" i="23916"/>
  <c r="FZ382" i="23916"/>
  <c r="FY382" i="23916"/>
  <c r="FX382" i="23916"/>
  <c r="FW382" i="23916"/>
  <c r="FV382" i="23916"/>
  <c r="GB381" i="23916"/>
  <c r="FD381" i="23916"/>
  <c r="FD387" i="23916" s="1"/>
  <c r="EO384" i="23916"/>
  <c r="EO828" i="23916" s="1"/>
  <c r="EM384" i="23916"/>
  <c r="EM828" i="23916" s="1"/>
  <c r="EK384" i="23916"/>
  <c r="EK828" i="23916" s="1"/>
  <c r="EI384" i="23916"/>
  <c r="EI828" i="23916" s="1"/>
  <c r="EG384" i="23916"/>
  <c r="EG828" i="23916" s="1"/>
  <c r="EE384" i="23916"/>
  <c r="EE828" i="23916" s="1"/>
  <c r="ED384" i="23916"/>
  <c r="EP383" i="23916"/>
  <c r="EO383" i="23916"/>
  <c r="EN383" i="23916"/>
  <c r="EM383" i="23916"/>
  <c r="EL383" i="23916"/>
  <c r="EK383" i="23916"/>
  <c r="EJ383" i="23916"/>
  <c r="EI383" i="23916"/>
  <c r="EH383" i="23916"/>
  <c r="EG383" i="23916"/>
  <c r="EF383" i="23916"/>
  <c r="EE383" i="23916"/>
  <c r="ED383" i="23916"/>
  <c r="EO382" i="23916"/>
  <c r="EO827" i="23916" s="1"/>
  <c r="EM382" i="23916"/>
  <c r="EM827" i="23916" s="1"/>
  <c r="EK382" i="23916"/>
  <c r="EK827" i="23916" s="1"/>
  <c r="EI382" i="23916"/>
  <c r="EI827" i="23916" s="1"/>
  <c r="EG382" i="23916"/>
  <c r="EG827" i="23916" s="1"/>
  <c r="EE382" i="23916"/>
  <c r="EE827" i="23916" s="1"/>
  <c r="ED382" i="23916"/>
  <c r="FT371" i="23916"/>
  <c r="FP371" i="23916"/>
  <c r="FQ371" i="23916" s="1"/>
  <c r="EX371" i="23916"/>
  <c r="EV371" i="23916"/>
  <c r="ET371" i="23916"/>
  <c r="ER371" i="23916"/>
  <c r="EP371" i="23916"/>
  <c r="EP368" i="23916"/>
  <c r="EN371" i="23916"/>
  <c r="EN368" i="23916"/>
  <c r="EL371" i="23916"/>
  <c r="EL368" i="23916"/>
  <c r="EJ371" i="23916"/>
  <c r="EJ368" i="23916"/>
  <c r="EH371" i="23916"/>
  <c r="EH368" i="23916"/>
  <c r="EF371" i="23916"/>
  <c r="EF368" i="23916"/>
  <c r="ED371" i="23916"/>
  <c r="ED368" i="23916"/>
  <c r="EB371" i="23916"/>
  <c r="EB368" i="23916"/>
  <c r="DZ371" i="23916"/>
  <c r="DZ368" i="23916"/>
  <c r="DX371" i="23916"/>
  <c r="DX368" i="23916"/>
  <c r="DV371" i="23916"/>
  <c r="DV368" i="23916"/>
  <c r="DT371" i="23916"/>
  <c r="DT368" i="23916"/>
  <c r="DR371" i="23916"/>
  <c r="DR368" i="23916"/>
  <c r="DP371" i="23916"/>
  <c r="DP368" i="23916"/>
  <c r="DN368" i="23916"/>
  <c r="DL371" i="23916"/>
  <c r="DL368" i="23916"/>
  <c r="DJ371" i="23916"/>
  <c r="DJ368" i="23916"/>
  <c r="DH371" i="23916"/>
  <c r="DH368" i="23916"/>
  <c r="DE371" i="23916"/>
  <c r="DN371" i="23916" s="1"/>
  <c r="DD371" i="23916"/>
  <c r="DB371" i="23916"/>
  <c r="DB368" i="23916"/>
  <c r="CZ371" i="23916"/>
  <c r="CZ368" i="23916"/>
  <c r="CX371" i="23916"/>
  <c r="CX368" i="23916"/>
  <c r="CV371" i="23916"/>
  <c r="CV368" i="23916"/>
  <c r="CT371" i="23916"/>
  <c r="CT368" i="23916"/>
  <c r="CR371" i="23916"/>
  <c r="CR368" i="23916"/>
  <c r="CP371" i="23916"/>
  <c r="CP368" i="23916"/>
  <c r="CN371" i="23916"/>
  <c r="CN368" i="23916"/>
  <c r="CK371" i="23916"/>
  <c r="CK627" i="23916" s="1"/>
  <c r="CJ371" i="23916"/>
  <c r="CH371" i="23916"/>
  <c r="CH368" i="23916"/>
  <c r="CF371" i="23916"/>
  <c r="CF368" i="23916"/>
  <c r="CC371" i="23916"/>
  <c r="CC627" i="23916" s="1"/>
  <c r="CD627" i="23916" s="1"/>
  <c r="CA371" i="23916"/>
  <c r="CB371" i="23916" s="1"/>
  <c r="BZ371" i="23916"/>
  <c r="BX371" i="23916"/>
  <c r="BW371" i="23916"/>
  <c r="BV371" i="23916"/>
  <c r="BS371" i="23916"/>
  <c r="BT371" i="23916" s="1"/>
  <c r="BR371" i="23916"/>
  <c r="BO371" i="23916"/>
  <c r="BO627" i="23916" s="1"/>
  <c r="BM371" i="23916"/>
  <c r="BM627" i="23916" s="1"/>
  <c r="BK371" i="23916"/>
  <c r="BJ371" i="23916"/>
  <c r="BG371" i="23916"/>
  <c r="BG627" i="23916" s="1"/>
  <c r="BE371" i="23916"/>
  <c r="BF371" i="23916" s="1"/>
  <c r="BC371" i="23916"/>
  <c r="BC627" i="23916" s="1"/>
  <c r="BB371" i="23916"/>
  <c r="AZ371" i="23916"/>
  <c r="AZ368" i="23916"/>
  <c r="AX371" i="23916"/>
  <c r="AX368" i="23916"/>
  <c r="AV371" i="23916"/>
  <c r="AV368" i="23916"/>
  <c r="AT371" i="23916"/>
  <c r="AT368" i="23916"/>
  <c r="AR371" i="23916"/>
  <c r="AR368" i="23916"/>
  <c r="AP371" i="23916"/>
  <c r="AP368" i="23916"/>
  <c r="AN371" i="23916"/>
  <c r="AN368" i="23916"/>
  <c r="ES369" i="23916"/>
  <c r="GR371" i="23916"/>
  <c r="GR627" i="23916" s="1"/>
  <c r="GP371" i="23916"/>
  <c r="GN371" i="23916"/>
  <c r="GO371" i="23916" s="1"/>
  <c r="GL371" i="23916"/>
  <c r="GM371" i="23916" s="1"/>
  <c r="GJ371" i="23916"/>
  <c r="GH371" i="23916"/>
  <c r="GI371" i="23916" s="1"/>
  <c r="GF371" i="23916"/>
  <c r="GG371" i="23916" s="1"/>
  <c r="GD371" i="23916"/>
  <c r="GB371" i="23916"/>
  <c r="FZ371" i="23916"/>
  <c r="FX371" i="23916"/>
  <c r="FE369" i="23916"/>
  <c r="GA368" i="23916"/>
  <c r="FZ368" i="23916"/>
  <c r="FY368" i="23916"/>
  <c r="FX368" i="23916"/>
  <c r="FT368" i="23916"/>
  <c r="FU368" i="23916" s="1"/>
  <c r="FR368" i="23916"/>
  <c r="FS368" i="23916" s="1"/>
  <c r="FP368" i="23916"/>
  <c r="FQ368" i="23916" s="1"/>
  <c r="FN368" i="23916"/>
  <c r="FO368" i="23916" s="1"/>
  <c r="FL368" i="23916"/>
  <c r="FM368" i="23916" s="1"/>
  <c r="FJ368" i="23916"/>
  <c r="FK368" i="23916" s="1"/>
  <c r="FH368" i="23916"/>
  <c r="FI368" i="23916" s="1"/>
  <c r="FG368" i="23916"/>
  <c r="FE368" i="23916"/>
  <c r="DF368" i="23916"/>
  <c r="DD368" i="23916"/>
  <c r="CL368" i="23916"/>
  <c r="CJ368" i="23916"/>
  <c r="CD368" i="23916"/>
  <c r="CB368" i="23916"/>
  <c r="BZ368" i="23916"/>
  <c r="BX368" i="23916"/>
  <c r="BV368" i="23916"/>
  <c r="BT368" i="23916"/>
  <c r="BR368" i="23916"/>
  <c r="BP368" i="23916"/>
  <c r="BN368" i="23916"/>
  <c r="BL368" i="23916"/>
  <c r="BJ368" i="23916"/>
  <c r="BH368" i="23916"/>
  <c r="BF368" i="23916"/>
  <c r="BD368" i="23916"/>
  <c r="BB368" i="23916"/>
  <c r="AL368" i="23916"/>
  <c r="AJ368" i="23916"/>
  <c r="AH368" i="23916"/>
  <c r="AF368" i="23916"/>
  <c r="AD368" i="23916"/>
  <c r="AB368" i="23916"/>
  <c r="Z368" i="23916"/>
  <c r="X368" i="23916"/>
  <c r="V368" i="23916"/>
  <c r="T368" i="23916"/>
  <c r="R368" i="23916"/>
  <c r="P368" i="23916"/>
  <c r="N368" i="23916"/>
  <c r="L368" i="23916"/>
  <c r="GN368" i="23916"/>
  <c r="GO368" i="23916" s="1"/>
  <c r="GL368" i="23916"/>
  <c r="GM368" i="23916" s="1"/>
  <c r="GJ368" i="23916"/>
  <c r="GK368" i="23916" s="1"/>
  <c r="GH368" i="23916"/>
  <c r="GF368" i="23916"/>
  <c r="GD368" i="23916"/>
  <c r="GE368" i="23916" s="1"/>
  <c r="GC368" i="23916"/>
  <c r="GT364" i="23916"/>
  <c r="GT365" i="23916" s="1"/>
  <c r="GR365" i="23916"/>
  <c r="ES365" i="23916"/>
  <c r="ES364" i="23916"/>
  <c r="EU364" i="23916" s="1"/>
  <c r="ES363" i="23916"/>
  <c r="ES362" i="23916"/>
  <c r="EU362" i="23916" s="1"/>
  <c r="EQ365" i="23916"/>
  <c r="GU364" i="23916"/>
  <c r="EQ363" i="23916"/>
  <c r="GB362" i="23916"/>
  <c r="FD362" i="23916"/>
  <c r="FE362" i="23916" s="1"/>
  <c r="FB362" i="23916"/>
  <c r="ET362" i="23916"/>
  <c r="EP362" i="23916"/>
  <c r="EO362" i="23916"/>
  <c r="EN362" i="23916"/>
  <c r="EM362" i="23916"/>
  <c r="EL362" i="23916"/>
  <c r="EK362" i="23916"/>
  <c r="EJ362" i="23916"/>
  <c r="EI362" i="23916"/>
  <c r="ER362" i="23916" s="1"/>
  <c r="EH362" i="23916"/>
  <c r="EG362" i="23916"/>
  <c r="EF362" i="23916"/>
  <c r="EE362" i="23916"/>
  <c r="ED362" i="23916"/>
  <c r="EC362" i="23916"/>
  <c r="EB362" i="23916"/>
  <c r="EA362" i="23916"/>
  <c r="DZ362" i="23916"/>
  <c r="DY362" i="23916"/>
  <c r="DX362" i="23916"/>
  <c r="DW362" i="23916"/>
  <c r="DV362" i="23916"/>
  <c r="DU362" i="23916"/>
  <c r="DT362" i="23916"/>
  <c r="DS362" i="23916"/>
  <c r="DR362" i="23916"/>
  <c r="DQ362" i="23916"/>
  <c r="DP362" i="23916"/>
  <c r="DO362" i="23916"/>
  <c r="DN362" i="23916"/>
  <c r="DM362" i="23916"/>
  <c r="DL362" i="23916"/>
  <c r="DK362" i="23916"/>
  <c r="DJ362" i="23916"/>
  <c r="DI362" i="23916"/>
  <c r="DH362" i="23916"/>
  <c r="DG362" i="23916"/>
  <c r="DF362" i="23916"/>
  <c r="DE362" i="23916"/>
  <c r="DD362" i="23916"/>
  <c r="DC362" i="23916"/>
  <c r="DB362" i="23916"/>
  <c r="DA362" i="23916"/>
  <c r="CZ362" i="23916"/>
  <c r="CY362" i="23916"/>
  <c r="CX362" i="23916"/>
  <c r="CW362" i="23916"/>
  <c r="CV362" i="23916"/>
  <c r="CU362" i="23916"/>
  <c r="CT362" i="23916"/>
  <c r="CS362" i="23916"/>
  <c r="CR362" i="23916"/>
  <c r="CQ362" i="23916"/>
  <c r="CP362" i="23916"/>
  <c r="CO362" i="23916"/>
  <c r="CN362" i="23916"/>
  <c r="CM362" i="23916"/>
  <c r="CL362" i="23916"/>
  <c r="CK362" i="23916"/>
  <c r="CJ362" i="23916"/>
  <c r="CI362" i="23916"/>
  <c r="CH362" i="23916"/>
  <c r="CG362" i="23916"/>
  <c r="CF362" i="23916"/>
  <c r="CE362" i="23916"/>
  <c r="CD362" i="23916"/>
  <c r="CC362" i="23916"/>
  <c r="CB362" i="23916"/>
  <c r="CA362" i="23916"/>
  <c r="BZ362" i="23916"/>
  <c r="BY362" i="23916"/>
  <c r="BX362" i="23916"/>
  <c r="BW362" i="23916"/>
  <c r="BV362" i="23916"/>
  <c r="BU362" i="23916"/>
  <c r="BT362" i="23916"/>
  <c r="BS362" i="23916"/>
  <c r="BR362" i="23916"/>
  <c r="BQ362" i="23916"/>
  <c r="BP362" i="23916"/>
  <c r="BO362" i="23916"/>
  <c r="BN362" i="23916"/>
  <c r="BM362" i="23916"/>
  <c r="BL362" i="23916"/>
  <c r="BK362" i="23916"/>
  <c r="BJ362" i="23916"/>
  <c r="BI362" i="23916"/>
  <c r="BH362" i="23916"/>
  <c r="BG362" i="23916"/>
  <c r="BF362" i="23916"/>
  <c r="BE362" i="23916"/>
  <c r="BD362" i="23916"/>
  <c r="BC362" i="23916"/>
  <c r="BB362" i="23916"/>
  <c r="BA362" i="23916"/>
  <c r="AZ362" i="23916"/>
  <c r="AY362" i="23916"/>
  <c r="AX362" i="23916"/>
  <c r="AW362" i="23916"/>
  <c r="AV362" i="23916"/>
  <c r="AU362" i="23916"/>
  <c r="AT362" i="23916"/>
  <c r="AS362" i="23916"/>
  <c r="AR362" i="23916"/>
  <c r="AQ362" i="23916"/>
  <c r="AP362" i="23916"/>
  <c r="AO362" i="23916"/>
  <c r="AN362" i="23916"/>
  <c r="AM362" i="23916"/>
  <c r="AL362" i="23916"/>
  <c r="AK362" i="23916"/>
  <c r="AJ362" i="23916"/>
  <c r="AI362" i="23916"/>
  <c r="AH362" i="23916"/>
  <c r="AG362" i="23916"/>
  <c r="AF362" i="23916"/>
  <c r="AE362" i="23916"/>
  <c r="AD362" i="23916"/>
  <c r="AC362" i="23916"/>
  <c r="AB362" i="23916"/>
  <c r="AA362" i="23916"/>
  <c r="Z362" i="23916"/>
  <c r="Y362" i="23916"/>
  <c r="X362" i="23916"/>
  <c r="W362" i="23916"/>
  <c r="V362" i="23916"/>
  <c r="U362" i="23916"/>
  <c r="T362" i="23916"/>
  <c r="S362" i="23916"/>
  <c r="Q362" i="23916"/>
  <c r="P362" i="23916"/>
  <c r="O362" i="23916"/>
  <c r="M362" i="23916"/>
  <c r="L362" i="23916"/>
  <c r="K362" i="23916"/>
  <c r="I362" i="23916"/>
  <c r="R362" i="23916" s="1"/>
  <c r="G362" i="23916"/>
  <c r="E362" i="23916"/>
  <c r="N362" i="23916" s="1"/>
  <c r="C362" i="23916"/>
  <c r="FD360" i="23916"/>
  <c r="FE360" i="23916" s="1"/>
  <c r="FB360" i="23916"/>
  <c r="DZ360" i="23916"/>
  <c r="AL360" i="23916"/>
  <c r="AK360" i="23916"/>
  <c r="AH360" i="23916"/>
  <c r="AG360" i="23916"/>
  <c r="AF360" i="23916"/>
  <c r="AE360" i="23916"/>
  <c r="AD360" i="23916"/>
  <c r="AC360" i="23916"/>
  <c r="AB360" i="23916"/>
  <c r="AA360" i="23916"/>
  <c r="Z360" i="23916"/>
  <c r="Y360" i="23916"/>
  <c r="X360" i="23916"/>
  <c r="W360" i="23916"/>
  <c r="V360" i="23916"/>
  <c r="U360" i="23916"/>
  <c r="T360" i="23916"/>
  <c r="S360" i="23916"/>
  <c r="Q360" i="23916"/>
  <c r="P360" i="23916"/>
  <c r="O360" i="23916"/>
  <c r="N360" i="23916"/>
  <c r="M360" i="23916"/>
  <c r="L360" i="23916"/>
  <c r="K360" i="23916"/>
  <c r="I360" i="23916"/>
  <c r="R360" i="23916" s="1"/>
  <c r="G360" i="23916"/>
  <c r="E360" i="23916"/>
  <c r="C360" i="23916"/>
  <c r="FW359" i="23916"/>
  <c r="FV359" i="23916"/>
  <c r="FT359" i="23916"/>
  <c r="FO359" i="23916"/>
  <c r="FN359" i="23916"/>
  <c r="FM359" i="23916"/>
  <c r="FL359" i="23916"/>
  <c r="FK359" i="23916"/>
  <c r="FJ359" i="23916"/>
  <c r="FI359" i="23916"/>
  <c r="FH359" i="23916"/>
  <c r="FG359" i="23916"/>
  <c r="FF359" i="23916"/>
  <c r="FE359" i="23916"/>
  <c r="EN359" i="23916"/>
  <c r="EN358" i="23916"/>
  <c r="EN357" i="23916"/>
  <c r="EN356" i="23916"/>
  <c r="EL359" i="23916"/>
  <c r="EL357" i="23916"/>
  <c r="EL356" i="23916"/>
  <c r="EJ359" i="23916"/>
  <c r="EJ358" i="23916"/>
  <c r="EJ357" i="23916"/>
  <c r="EJ356" i="23916"/>
  <c r="EH359" i="23916"/>
  <c r="EH357" i="23916"/>
  <c r="EH356" i="23916"/>
  <c r="EF359" i="23916"/>
  <c r="EF358" i="23916"/>
  <c r="EF357" i="23916"/>
  <c r="EF356" i="23916"/>
  <c r="ED359" i="23916"/>
  <c r="ED357" i="23916"/>
  <c r="ED356" i="23916"/>
  <c r="EB359" i="23916"/>
  <c r="EB358" i="23916"/>
  <c r="EB357" i="23916"/>
  <c r="EB356" i="23916"/>
  <c r="DZ359" i="23916"/>
  <c r="DZ357" i="23916"/>
  <c r="DZ356" i="23916"/>
  <c r="DX359" i="23916"/>
  <c r="DX358" i="23916"/>
  <c r="DX357" i="23916"/>
  <c r="DX356" i="23916"/>
  <c r="DV359" i="23916"/>
  <c r="DV357" i="23916"/>
  <c r="DV356" i="23916"/>
  <c r="DT359" i="23916"/>
  <c r="DT358" i="23916"/>
  <c r="DT357" i="23916"/>
  <c r="DT356" i="23916"/>
  <c r="DR358" i="23916"/>
  <c r="DR357" i="23916"/>
  <c r="DR356" i="23916"/>
  <c r="DP359" i="23916"/>
  <c r="DP358" i="23916"/>
  <c r="DP357" i="23916"/>
  <c r="DP356" i="23916"/>
  <c r="DN357" i="23916"/>
  <c r="DN356" i="23916"/>
  <c r="DL358" i="23916"/>
  <c r="DL357" i="23916"/>
  <c r="DL356" i="23916"/>
  <c r="DI359" i="23916"/>
  <c r="DF359" i="23916"/>
  <c r="DE359" i="23916"/>
  <c r="DN359" i="23916" s="1"/>
  <c r="DD359" i="23916"/>
  <c r="DC359" i="23916"/>
  <c r="DL359" i="23916" s="1"/>
  <c r="DA359" i="23916"/>
  <c r="CZ359" i="23916"/>
  <c r="CY359" i="23916"/>
  <c r="DH359" i="23916" s="1"/>
  <c r="CX359" i="23916"/>
  <c r="CW359" i="23916"/>
  <c r="CV359" i="23916"/>
  <c r="CS359" i="23916"/>
  <c r="DB359" i="23916" s="1"/>
  <c r="CP359" i="23916"/>
  <c r="CP357" i="23916"/>
  <c r="CP356" i="23916"/>
  <c r="CN359" i="23916"/>
  <c r="CM359" i="23916"/>
  <c r="CL359" i="23916"/>
  <c r="CK359" i="23916"/>
  <c r="CJ359" i="23916"/>
  <c r="CI359" i="23916"/>
  <c r="CR359" i="23916" s="1"/>
  <c r="CH359" i="23916"/>
  <c r="CG359" i="23916"/>
  <c r="CF359" i="23916"/>
  <c r="CE359" i="23916"/>
  <c r="FZ359" i="23916" s="1"/>
  <c r="CD359" i="23916"/>
  <c r="CC359" i="23916"/>
  <c r="FX359" i="23916" s="1"/>
  <c r="FY359" i="23916" s="1"/>
  <c r="CB359" i="23916"/>
  <c r="BZ359" i="23916"/>
  <c r="BZ358" i="23916"/>
  <c r="BZ357" i="23916"/>
  <c r="BZ356" i="23916"/>
  <c r="BX359" i="23916"/>
  <c r="BX357" i="23916"/>
  <c r="BX356" i="23916"/>
  <c r="BV359" i="23916"/>
  <c r="BV358" i="23916"/>
  <c r="BV357" i="23916"/>
  <c r="BV356" i="23916"/>
  <c r="BT359" i="23916"/>
  <c r="BT357" i="23916"/>
  <c r="BT356" i="23916"/>
  <c r="BR359" i="23916"/>
  <c r="BR358" i="23916"/>
  <c r="BR357" i="23916"/>
  <c r="BR356" i="23916"/>
  <c r="BP359" i="23916"/>
  <c r="BP357" i="23916"/>
  <c r="BP356" i="23916"/>
  <c r="BN357" i="23916"/>
  <c r="BN356" i="23916"/>
  <c r="BL358" i="23916"/>
  <c r="BL357" i="23916"/>
  <c r="BL356" i="23916"/>
  <c r="BJ358" i="23916"/>
  <c r="BJ357" i="23916"/>
  <c r="BJ356" i="23916"/>
  <c r="BH357" i="23916"/>
  <c r="BH356" i="23916"/>
  <c r="BE359" i="23916"/>
  <c r="BC359" i="23916"/>
  <c r="BA359" i="23916"/>
  <c r="AY359" i="23916"/>
  <c r="AY364" i="23916" s="1"/>
  <c r="AW359" i="23916"/>
  <c r="AU359" i="23916"/>
  <c r="AT359" i="23916"/>
  <c r="AR359" i="23916"/>
  <c r="AR357" i="23916"/>
  <c r="AR356" i="23916"/>
  <c r="AP359" i="23916"/>
  <c r="AP357" i="23916"/>
  <c r="AP356" i="23916"/>
  <c r="AN359" i="23916"/>
  <c r="AN357" i="23916"/>
  <c r="AN356" i="23916"/>
  <c r="AL359" i="23916"/>
  <c r="AL358" i="23916"/>
  <c r="AL357" i="23916"/>
  <c r="AL356" i="23916"/>
  <c r="AJ359" i="23916"/>
  <c r="AJ357" i="23916"/>
  <c r="AJ356" i="23916"/>
  <c r="AH359" i="23916"/>
  <c r="AH358" i="23916"/>
  <c r="AH357" i="23916"/>
  <c r="AH356" i="23916"/>
  <c r="AF359" i="23916"/>
  <c r="AF358" i="23916"/>
  <c r="AF357" i="23916"/>
  <c r="AF356" i="23916"/>
  <c r="AD359" i="23916"/>
  <c r="AD358" i="23916"/>
  <c r="AD357" i="23916"/>
  <c r="AD356" i="23916"/>
  <c r="AB359" i="23916"/>
  <c r="AB358" i="23916"/>
  <c r="AB357" i="23916"/>
  <c r="AB356" i="23916"/>
  <c r="Z359" i="23916"/>
  <c r="Z358" i="23916"/>
  <c r="Z357" i="23916"/>
  <c r="Z356" i="23916"/>
  <c r="X359" i="23916"/>
  <c r="X358" i="23916"/>
  <c r="X357" i="23916"/>
  <c r="X356" i="23916"/>
  <c r="V359" i="23916"/>
  <c r="V358" i="23916"/>
  <c r="V357" i="23916"/>
  <c r="V356" i="23916"/>
  <c r="T359" i="23916"/>
  <c r="T358" i="23916"/>
  <c r="T357" i="23916"/>
  <c r="T356" i="23916"/>
  <c r="R359" i="23916"/>
  <c r="R358" i="23916"/>
  <c r="R357" i="23916"/>
  <c r="R356" i="23916"/>
  <c r="P359" i="23916"/>
  <c r="P358" i="23916"/>
  <c r="P357" i="23916"/>
  <c r="P356" i="23916"/>
  <c r="N359" i="23916"/>
  <c r="N358" i="23916"/>
  <c r="N357" i="23916"/>
  <c r="N356" i="23916"/>
  <c r="L359" i="23916"/>
  <c r="L358" i="23916"/>
  <c r="L357" i="23916"/>
  <c r="L356" i="23916"/>
  <c r="GB358" i="23916"/>
  <c r="GB360" i="23916" s="1"/>
  <c r="FM358" i="23916"/>
  <c r="FK358" i="23916"/>
  <c r="FI358" i="23916"/>
  <c r="FI357" i="23916"/>
  <c r="FG358" i="23916"/>
  <c r="FE358" i="23916"/>
  <c r="FE357" i="23916"/>
  <c r="FE356" i="23916"/>
  <c r="EO358" i="23916"/>
  <c r="EM358" i="23916"/>
  <c r="EM360" i="23916" s="1"/>
  <c r="EK358" i="23916"/>
  <c r="EI358" i="23916"/>
  <c r="EI360" i="23916" s="1"/>
  <c r="EG358" i="23916"/>
  <c r="EG360" i="23916" s="1"/>
  <c r="EH360" i="23916" s="1"/>
  <c r="EE358" i="23916"/>
  <c r="EE360" i="23916" s="1"/>
  <c r="EC358" i="23916"/>
  <c r="EA358" i="23916"/>
  <c r="EA360" i="23916" s="1"/>
  <c r="DY358" i="23916"/>
  <c r="DY360" i="23916" s="1"/>
  <c r="DW358" i="23916"/>
  <c r="DW360" i="23916" s="1"/>
  <c r="DU358" i="23916"/>
  <c r="DS358" i="23916"/>
  <c r="DS360" i="23916" s="1"/>
  <c r="DQ358" i="23916"/>
  <c r="DQ360" i="23916" s="1"/>
  <c r="DR360" i="23916" s="1"/>
  <c r="DO358" i="23916"/>
  <c r="DO360" i="23916" s="1"/>
  <c r="DP360" i="23916" s="1"/>
  <c r="DM358" i="23916"/>
  <c r="DN358" i="23916" s="1"/>
  <c r="DK358" i="23916"/>
  <c r="DK360" i="23916" s="1"/>
  <c r="DJ358" i="23916"/>
  <c r="DI358" i="23916"/>
  <c r="DI360" i="23916" s="1"/>
  <c r="DJ360" i="23916" s="1"/>
  <c r="DH358" i="23916"/>
  <c r="DG358" i="23916"/>
  <c r="DG360" i="23916" s="1"/>
  <c r="DF358" i="23916"/>
  <c r="DE358" i="23916"/>
  <c r="DE360" i="23916" s="1"/>
  <c r="DF360" i="23916" s="1"/>
  <c r="DD358" i="23916"/>
  <c r="DC358" i="23916"/>
  <c r="DC360" i="23916" s="1"/>
  <c r="DB358" i="23916"/>
  <c r="DA358" i="23916"/>
  <c r="DA360" i="23916" s="1"/>
  <c r="DB360" i="23916" s="1"/>
  <c r="CZ358" i="23916"/>
  <c r="CY358" i="23916"/>
  <c r="CY360" i="23916" s="1"/>
  <c r="CW358" i="23916"/>
  <c r="CW360" i="23916" s="1"/>
  <c r="CV358" i="23916"/>
  <c r="CU358" i="23916"/>
  <c r="CU360" i="23916" s="1"/>
  <c r="CS358" i="23916"/>
  <c r="CS360" i="23916" s="1"/>
  <c r="CR358" i="23916"/>
  <c r="CQ358" i="23916"/>
  <c r="CQ360" i="23916" s="1"/>
  <c r="CO358" i="23916"/>
  <c r="CM358" i="23916"/>
  <c r="CK358" i="23916"/>
  <c r="CT358" i="23916" s="1"/>
  <c r="CI358" i="23916"/>
  <c r="CG358" i="23916"/>
  <c r="CE358" i="23916"/>
  <c r="FZ358" i="23916" s="1"/>
  <c r="CC358" i="23916"/>
  <c r="CA358" i="23916"/>
  <c r="BY358" i="23916"/>
  <c r="BY360" i="23916" s="1"/>
  <c r="BW358" i="23916"/>
  <c r="BW360" i="23916" s="1"/>
  <c r="BU358" i="23916"/>
  <c r="BU360" i="23916" s="1"/>
  <c r="BV360" i="23916" s="1"/>
  <c r="BS358" i="23916"/>
  <c r="BT358" i="23916" s="1"/>
  <c r="BQ358" i="23916"/>
  <c r="BQ601" i="23916" s="1"/>
  <c r="BO358" i="23916"/>
  <c r="BP358" i="23916" s="1"/>
  <c r="BM358" i="23916"/>
  <c r="BM360" i="23916" s="1"/>
  <c r="BK358" i="23916"/>
  <c r="BK360" i="23916" s="1"/>
  <c r="BI358" i="23916"/>
  <c r="BI360" i="23916" s="1"/>
  <c r="BG358" i="23916"/>
  <c r="BG360" i="23916" s="1"/>
  <c r="BE358" i="23916"/>
  <c r="BN358" i="23916" s="1"/>
  <c r="BC358" i="23916"/>
  <c r="BA358" i="23916"/>
  <c r="AY358" i="23916"/>
  <c r="FR358" i="23916" s="1"/>
  <c r="AW358" i="23916"/>
  <c r="AU358" i="23916"/>
  <c r="AS358" i="23916"/>
  <c r="AQ358" i="23916"/>
  <c r="AQ360" i="23916" s="1"/>
  <c r="AO358" i="23916"/>
  <c r="AM358" i="23916"/>
  <c r="AM360" i="23916" s="1"/>
  <c r="AN360" i="23916" s="1"/>
  <c r="AI358" i="23916"/>
  <c r="FJ357" i="23916"/>
  <c r="FK357" i="23916" s="1"/>
  <c r="FJ356" i="23916"/>
  <c r="FJ360" i="23916" s="1"/>
  <c r="FH357" i="23916"/>
  <c r="FH356" i="23916"/>
  <c r="FF357" i="23916"/>
  <c r="FG357" i="23916" s="1"/>
  <c r="FF356" i="23916"/>
  <c r="FF360" i="23916" s="1"/>
  <c r="FG360" i="23916" s="1"/>
  <c r="DJ357" i="23916"/>
  <c r="DJ356" i="23916"/>
  <c r="DH357" i="23916"/>
  <c r="DH356" i="23916"/>
  <c r="DF357" i="23916"/>
  <c r="DF356" i="23916"/>
  <c r="DD357" i="23916"/>
  <c r="DD356" i="23916"/>
  <c r="DB357" i="23916"/>
  <c r="DB356" i="23916"/>
  <c r="CZ357" i="23916"/>
  <c r="CZ356" i="23916"/>
  <c r="CX357" i="23916"/>
  <c r="CX356" i="23916"/>
  <c r="CV357" i="23916"/>
  <c r="CV356" i="23916"/>
  <c r="CT357" i="23916"/>
  <c r="CT356" i="23916"/>
  <c r="CR357" i="23916"/>
  <c r="CR356" i="23916"/>
  <c r="CN357" i="23916"/>
  <c r="CN356" i="23916"/>
  <c r="CL357" i="23916"/>
  <c r="CL356" i="23916"/>
  <c r="CJ357" i="23916"/>
  <c r="CJ356" i="23916"/>
  <c r="CH357" i="23916"/>
  <c r="CH356" i="23916"/>
  <c r="CF357" i="23916"/>
  <c r="CF356" i="23916"/>
  <c r="CD357" i="23916"/>
  <c r="CD356" i="23916"/>
  <c r="CB357" i="23916"/>
  <c r="CB356" i="23916"/>
  <c r="BF357" i="23916"/>
  <c r="BF356" i="23916"/>
  <c r="BD357" i="23916"/>
  <c r="BD356" i="23916"/>
  <c r="BB357" i="23916"/>
  <c r="BB356" i="23916"/>
  <c r="AZ357" i="23916"/>
  <c r="AZ356" i="23916"/>
  <c r="AX357" i="23916"/>
  <c r="AX356" i="23916"/>
  <c r="AV357" i="23916"/>
  <c r="AV356" i="23916"/>
  <c r="AT357" i="23916"/>
  <c r="AT356" i="23916"/>
  <c r="GO359" i="23916"/>
  <c r="GN359" i="23916"/>
  <c r="GM359" i="23916"/>
  <c r="GL359" i="23916"/>
  <c r="GK359" i="23916"/>
  <c r="GJ359" i="23916"/>
  <c r="GH359" i="23916"/>
  <c r="GE359" i="23916"/>
  <c r="GD359" i="23916"/>
  <c r="GC359" i="23916"/>
  <c r="GG358" i="23916"/>
  <c r="GF358" i="23916"/>
  <c r="GD358" i="23916"/>
  <c r="GO357" i="23916"/>
  <c r="GN357" i="23916"/>
  <c r="GM357" i="23916"/>
  <c r="GL357" i="23916"/>
  <c r="GK357" i="23916"/>
  <c r="GJ357" i="23916"/>
  <c r="GI357" i="23916"/>
  <c r="GH357" i="23916"/>
  <c r="GF357" i="23916"/>
  <c r="GD357" i="23916"/>
  <c r="GE357" i="23916" s="1"/>
  <c r="GO356" i="23916"/>
  <c r="GN356" i="23916"/>
  <c r="GM356" i="23916"/>
  <c r="GL356" i="23916"/>
  <c r="GK356" i="23916"/>
  <c r="GJ356" i="23916"/>
  <c r="GI356" i="23916"/>
  <c r="GH356" i="23916"/>
  <c r="GG356" i="23916"/>
  <c r="GF356" i="23916"/>
  <c r="GE356" i="23916"/>
  <c r="GD356" i="23916"/>
  <c r="FZ357" i="23916"/>
  <c r="GA357" i="23916" s="1"/>
  <c r="FY357" i="23916"/>
  <c r="FX357" i="23916"/>
  <c r="FV357" i="23916"/>
  <c r="FT357" i="23916"/>
  <c r="FU357" i="23916" s="1"/>
  <c r="FR357" i="23916"/>
  <c r="FP357" i="23916"/>
  <c r="FQ357" i="23916" s="1"/>
  <c r="FN357" i="23916"/>
  <c r="FO357" i="23916" s="1"/>
  <c r="FL357" i="23916"/>
  <c r="FM357" i="23916" s="1"/>
  <c r="FZ356" i="23916"/>
  <c r="GC356" i="23916" s="1"/>
  <c r="FY356" i="23916"/>
  <c r="FX356" i="23916"/>
  <c r="FX362" i="23916" s="1"/>
  <c r="FV356" i="23916"/>
  <c r="FT356" i="23916"/>
  <c r="FU356" i="23916" s="1"/>
  <c r="FR356" i="23916"/>
  <c r="FP356" i="23916"/>
  <c r="FP362" i="23916" s="1"/>
  <c r="FN356" i="23916"/>
  <c r="FL356" i="23916"/>
  <c r="FL360" i="23916" s="1"/>
  <c r="EP359" i="23916"/>
  <c r="EP358" i="23916"/>
  <c r="EP357" i="23916"/>
  <c r="EP356" i="23916"/>
  <c r="GB353" i="23916"/>
  <c r="GB364" i="23916" s="1"/>
  <c r="FE353" i="23916"/>
  <c r="FD353" i="23916"/>
  <c r="FD367" i="23916" s="1"/>
  <c r="FB353" i="23916"/>
  <c r="FB364" i="23916" s="1"/>
  <c r="FB802" i="23916" s="1"/>
  <c r="EP353" i="23916"/>
  <c r="EO353" i="23916"/>
  <c r="EM353" i="23916"/>
  <c r="EK353" i="23916"/>
  <c r="EI353" i="23916"/>
  <c r="EG353" i="23916"/>
  <c r="EH353" i="23916" s="1"/>
  <c r="EE353" i="23916"/>
  <c r="EE364" i="23916" s="1"/>
  <c r="EC353" i="23916"/>
  <c r="EA353" i="23916"/>
  <c r="EB353" i="23916" s="1"/>
  <c r="DZ353" i="23916"/>
  <c r="DY353" i="23916"/>
  <c r="DW353" i="23916"/>
  <c r="DU353" i="23916"/>
  <c r="DS353" i="23916"/>
  <c r="DQ353" i="23916"/>
  <c r="DR353" i="23916" s="1"/>
  <c r="DP353" i="23916"/>
  <c r="DO353" i="23916"/>
  <c r="DM353" i="23916"/>
  <c r="DN353" i="23916" s="1"/>
  <c r="DL353" i="23916"/>
  <c r="DK353" i="23916"/>
  <c r="DK367" i="23916" s="1"/>
  <c r="DI353" i="23916"/>
  <c r="DI367" i="23916" s="1"/>
  <c r="DH353" i="23916"/>
  <c r="DG353" i="23916"/>
  <c r="DG367" i="23916" s="1"/>
  <c r="DE353" i="23916"/>
  <c r="DF353" i="23916" s="1"/>
  <c r="DD353" i="23916"/>
  <c r="DC353" i="23916"/>
  <c r="DC367" i="23916" s="1"/>
  <c r="DA353" i="23916"/>
  <c r="DB353" i="23916" s="1"/>
  <c r="CZ353" i="23916"/>
  <c r="CY353" i="23916"/>
  <c r="CY367" i="23916" s="1"/>
  <c r="CW353" i="23916"/>
  <c r="CX353" i="23916" s="1"/>
  <c r="CV353" i="23916"/>
  <c r="CU353" i="23916"/>
  <c r="CU367" i="23916" s="1"/>
  <c r="CS353" i="23916"/>
  <c r="CS367" i="23916" s="1"/>
  <c r="CR353" i="23916"/>
  <c r="CQ353" i="23916"/>
  <c r="CQ367" i="23916" s="1"/>
  <c r="CO353" i="23916"/>
  <c r="CP353" i="23916" s="1"/>
  <c r="CN353" i="23916"/>
  <c r="CM353" i="23916"/>
  <c r="CM364" i="23916" s="1"/>
  <c r="CK353" i="23916"/>
  <c r="CL353" i="23916" s="1"/>
  <c r="CJ353" i="23916"/>
  <c r="CI353" i="23916"/>
  <c r="CG353" i="23916"/>
  <c r="CH353" i="23916" s="1"/>
  <c r="CF353" i="23916"/>
  <c r="CE353" i="23916"/>
  <c r="CC353" i="23916"/>
  <c r="CD353" i="23916" s="1"/>
  <c r="CB353" i="23916"/>
  <c r="CA353" i="23916"/>
  <c r="BY353" i="23916"/>
  <c r="BZ353" i="23916" s="1"/>
  <c r="BX353" i="23916"/>
  <c r="BW353" i="23916"/>
  <c r="BW367" i="23916" s="1"/>
  <c r="BU353" i="23916"/>
  <c r="BV353" i="23916" s="1"/>
  <c r="BT353" i="23916"/>
  <c r="BS353" i="23916"/>
  <c r="BQ353" i="23916"/>
  <c r="BR353" i="23916" s="1"/>
  <c r="BP353" i="23916"/>
  <c r="BO353" i="23916"/>
  <c r="BM353" i="23916"/>
  <c r="BN353" i="23916" s="1"/>
  <c r="BL353" i="23916"/>
  <c r="BK353" i="23916"/>
  <c r="BK367" i="23916" s="1"/>
  <c r="BI353" i="23916"/>
  <c r="BJ353" i="23916" s="1"/>
  <c r="BH353" i="23916"/>
  <c r="BG353" i="23916"/>
  <c r="BG364" i="23916" s="1"/>
  <c r="BH364" i="23916" s="1"/>
  <c r="BE353" i="23916"/>
  <c r="BF353" i="23916" s="1"/>
  <c r="BD353" i="23916"/>
  <c r="BC353" i="23916"/>
  <c r="BA353" i="23916"/>
  <c r="BB353" i="23916" s="1"/>
  <c r="AZ353" i="23916"/>
  <c r="AY353" i="23916"/>
  <c r="AW353" i="23916"/>
  <c r="AX353" i="23916" s="1"/>
  <c r="AV353" i="23916"/>
  <c r="AU353" i="23916"/>
  <c r="AS353" i="23916"/>
  <c r="AT353" i="23916" s="1"/>
  <c r="AR353" i="23916"/>
  <c r="AQ353" i="23916"/>
  <c r="AQ367" i="23916" s="1"/>
  <c r="AO353" i="23916"/>
  <c r="AP353" i="23916" s="1"/>
  <c r="AN353" i="23916"/>
  <c r="AM353" i="23916"/>
  <c r="AM367" i="23916" s="1"/>
  <c r="AK353" i="23916"/>
  <c r="AL353" i="23916" s="1"/>
  <c r="AJ353" i="23916"/>
  <c r="AI353" i="23916"/>
  <c r="AG353" i="23916"/>
  <c r="AH353" i="23916" s="1"/>
  <c r="AF353" i="23916"/>
  <c r="AE353" i="23916"/>
  <c r="AE367" i="23916" s="1"/>
  <c r="AC353" i="23916"/>
  <c r="AD353" i="23916" s="1"/>
  <c r="AB353" i="23916"/>
  <c r="AA353" i="23916"/>
  <c r="AA364" i="23916" s="1"/>
  <c r="Y353" i="23916"/>
  <c r="Z353" i="23916" s="1"/>
  <c r="X353" i="23916"/>
  <c r="W353" i="23916"/>
  <c r="W367" i="23916" s="1"/>
  <c r="U353" i="23916"/>
  <c r="V353" i="23916" s="1"/>
  <c r="T353" i="23916"/>
  <c r="S353" i="23916"/>
  <c r="S367" i="23916" s="1"/>
  <c r="Q353" i="23916"/>
  <c r="R353" i="23916" s="1"/>
  <c r="P353" i="23916"/>
  <c r="O353" i="23916"/>
  <c r="O367" i="23916" s="1"/>
  <c r="M353" i="23916"/>
  <c r="N353" i="23916" s="1"/>
  <c r="L353" i="23916"/>
  <c r="K353" i="23916"/>
  <c r="K367" i="23916" s="1"/>
  <c r="I353" i="23916"/>
  <c r="G353" i="23916"/>
  <c r="E353" i="23916"/>
  <c r="C353" i="23916"/>
  <c r="C367" i="23916" s="1"/>
  <c r="FZ352" i="23916"/>
  <c r="FZ353" i="23916" s="1"/>
  <c r="FY352" i="23916"/>
  <c r="FX352" i="23916"/>
  <c r="FV352" i="23916"/>
  <c r="FV353" i="23916" s="1"/>
  <c r="FU352" i="23916"/>
  <c r="FT352" i="23916"/>
  <c r="FR352" i="23916"/>
  <c r="FR353" i="23916" s="1"/>
  <c r="FQ352" i="23916"/>
  <c r="FP352" i="23916"/>
  <c r="FN352" i="23916"/>
  <c r="FO352" i="23916" s="1"/>
  <c r="FM352" i="23916"/>
  <c r="FL352" i="23916"/>
  <c r="FJ352" i="23916"/>
  <c r="FJ353" i="23916" s="1"/>
  <c r="FI352" i="23916"/>
  <c r="FH352" i="23916"/>
  <c r="FF352" i="23916"/>
  <c r="FF353" i="23916" s="1"/>
  <c r="FE352" i="23916"/>
  <c r="EN352" i="23916"/>
  <c r="EN351" i="23916"/>
  <c r="EN350" i="23916"/>
  <c r="EN349" i="23916"/>
  <c r="EL352" i="23916"/>
  <c r="EL351" i="23916"/>
  <c r="EL350" i="23916"/>
  <c r="EL349" i="23916"/>
  <c r="EJ352" i="23916"/>
  <c r="EJ351" i="23916"/>
  <c r="EJ350" i="23916"/>
  <c r="EJ349" i="23916"/>
  <c r="EH352" i="23916"/>
  <c r="EH351" i="23916"/>
  <c r="EH350" i="23916"/>
  <c r="EH349" i="23916"/>
  <c r="EF352" i="23916"/>
  <c r="EF351" i="23916"/>
  <c r="EF350" i="23916"/>
  <c r="EF349" i="23916"/>
  <c r="ED352" i="23916"/>
  <c r="ED351" i="23916"/>
  <c r="ED350" i="23916"/>
  <c r="ED349" i="23916"/>
  <c r="EB352" i="23916"/>
  <c r="EB351" i="23916"/>
  <c r="EB350" i="23916"/>
  <c r="EB349" i="23916"/>
  <c r="DZ352" i="23916"/>
  <c r="DZ351" i="23916"/>
  <c r="DZ350" i="23916"/>
  <c r="DZ349" i="23916"/>
  <c r="DX352" i="23916"/>
  <c r="DX351" i="23916"/>
  <c r="DX350" i="23916"/>
  <c r="DX349" i="23916"/>
  <c r="DV352" i="23916"/>
  <c r="DV351" i="23916"/>
  <c r="DV350" i="23916"/>
  <c r="DV349" i="23916"/>
  <c r="DT352" i="23916"/>
  <c r="DT351" i="23916"/>
  <c r="DT350" i="23916"/>
  <c r="DT349" i="23916"/>
  <c r="DR352" i="23916"/>
  <c r="DR351" i="23916"/>
  <c r="DR350" i="23916"/>
  <c r="DR349" i="23916"/>
  <c r="DP352" i="23916"/>
  <c r="DP351" i="23916"/>
  <c r="DP350" i="23916"/>
  <c r="DP349" i="23916"/>
  <c r="DN352" i="23916"/>
  <c r="DN351" i="23916"/>
  <c r="DN350" i="23916"/>
  <c r="DN349" i="23916"/>
  <c r="DL352" i="23916"/>
  <c r="DL351" i="23916"/>
  <c r="DL350" i="23916"/>
  <c r="DL349" i="23916"/>
  <c r="DJ352" i="23916"/>
  <c r="DJ351" i="23916"/>
  <c r="DJ350" i="23916"/>
  <c r="DJ349" i="23916"/>
  <c r="DH352" i="23916"/>
  <c r="DH351" i="23916"/>
  <c r="DH350" i="23916"/>
  <c r="DH349" i="23916"/>
  <c r="DF352" i="23916"/>
  <c r="DF351" i="23916"/>
  <c r="DF350" i="23916"/>
  <c r="DF349" i="23916"/>
  <c r="DD352" i="23916"/>
  <c r="DD351" i="23916"/>
  <c r="DD350" i="23916"/>
  <c r="DD349" i="23916"/>
  <c r="DB352" i="23916"/>
  <c r="DB351" i="23916"/>
  <c r="DB350" i="23916"/>
  <c r="DB349" i="23916"/>
  <c r="CZ352" i="23916"/>
  <c r="CZ351" i="23916"/>
  <c r="CZ350" i="23916"/>
  <c r="CZ349" i="23916"/>
  <c r="CX352" i="23916"/>
  <c r="CX351" i="23916"/>
  <c r="CX350" i="23916"/>
  <c r="CX349" i="23916"/>
  <c r="CV352" i="23916"/>
  <c r="CV351" i="23916"/>
  <c r="CV350" i="23916"/>
  <c r="CV349" i="23916"/>
  <c r="CT352" i="23916"/>
  <c r="CT351" i="23916"/>
  <c r="CT350" i="23916"/>
  <c r="CT349" i="23916"/>
  <c r="CR352" i="23916"/>
  <c r="CR351" i="23916"/>
  <c r="CR350" i="23916"/>
  <c r="CR349" i="23916"/>
  <c r="CP352" i="23916"/>
  <c r="CP351" i="23916"/>
  <c r="CP350" i="23916"/>
  <c r="CP349" i="23916"/>
  <c r="CN352" i="23916"/>
  <c r="CN351" i="23916"/>
  <c r="CN350" i="23916"/>
  <c r="CN349" i="23916"/>
  <c r="CL352" i="23916"/>
  <c r="CL351" i="23916"/>
  <c r="CL350" i="23916"/>
  <c r="CL349" i="23916"/>
  <c r="CJ352" i="23916"/>
  <c r="CJ351" i="23916"/>
  <c r="CJ350" i="23916"/>
  <c r="CJ349" i="23916"/>
  <c r="CH352" i="23916"/>
  <c r="CH351" i="23916"/>
  <c r="CH350" i="23916"/>
  <c r="CH349" i="23916"/>
  <c r="CF352" i="23916"/>
  <c r="CF351" i="23916"/>
  <c r="CF350" i="23916"/>
  <c r="CF349" i="23916"/>
  <c r="CD352" i="23916"/>
  <c r="CD351" i="23916"/>
  <c r="CD350" i="23916"/>
  <c r="CD349" i="23916"/>
  <c r="CB352" i="23916"/>
  <c r="CB351" i="23916"/>
  <c r="CB350" i="23916"/>
  <c r="CB349" i="23916"/>
  <c r="BZ352" i="23916"/>
  <c r="BZ351" i="23916"/>
  <c r="BZ350" i="23916"/>
  <c r="BZ349" i="23916"/>
  <c r="BX352" i="23916"/>
  <c r="BX351" i="23916"/>
  <c r="BX350" i="23916"/>
  <c r="BX349" i="23916"/>
  <c r="BV352" i="23916"/>
  <c r="BV351" i="23916"/>
  <c r="BV350" i="23916"/>
  <c r="BV349" i="23916"/>
  <c r="BT352" i="23916"/>
  <c r="BT351" i="23916"/>
  <c r="BT350" i="23916"/>
  <c r="BT349" i="23916"/>
  <c r="BR352" i="23916"/>
  <c r="BR351" i="23916"/>
  <c r="BR350" i="23916"/>
  <c r="BR349" i="23916"/>
  <c r="BP352" i="23916"/>
  <c r="BP351" i="23916"/>
  <c r="BP350" i="23916"/>
  <c r="BP349" i="23916"/>
  <c r="BN352" i="23916"/>
  <c r="BN351" i="23916"/>
  <c r="BN350" i="23916"/>
  <c r="BN349" i="23916"/>
  <c r="BL352" i="23916"/>
  <c r="BL351" i="23916"/>
  <c r="BL350" i="23916"/>
  <c r="BL349" i="23916"/>
  <c r="BJ352" i="23916"/>
  <c r="BJ351" i="23916"/>
  <c r="BJ350" i="23916"/>
  <c r="BJ349" i="23916"/>
  <c r="BH352" i="23916"/>
  <c r="BH351" i="23916"/>
  <c r="BH350" i="23916"/>
  <c r="BH349" i="23916"/>
  <c r="BF352" i="23916"/>
  <c r="BF351" i="23916"/>
  <c r="BF350" i="23916"/>
  <c r="BF349" i="23916"/>
  <c r="BD352" i="23916"/>
  <c r="BD351" i="23916"/>
  <c r="BD350" i="23916"/>
  <c r="BD349" i="23916"/>
  <c r="BB352" i="23916"/>
  <c r="BB351" i="23916"/>
  <c r="BB350" i="23916"/>
  <c r="BB349" i="23916"/>
  <c r="AZ352" i="23916"/>
  <c r="AZ351" i="23916"/>
  <c r="AZ350" i="23916"/>
  <c r="AZ349" i="23916"/>
  <c r="AX352" i="23916"/>
  <c r="AX351" i="23916"/>
  <c r="AX350" i="23916"/>
  <c r="AX349" i="23916"/>
  <c r="AV352" i="23916"/>
  <c r="AV351" i="23916"/>
  <c r="AV350" i="23916"/>
  <c r="AV349" i="23916"/>
  <c r="AT352" i="23916"/>
  <c r="AT351" i="23916"/>
  <c r="AT350" i="23916"/>
  <c r="AT349" i="23916"/>
  <c r="AR352" i="23916"/>
  <c r="AR351" i="23916"/>
  <c r="AR350" i="23916"/>
  <c r="AR349" i="23916"/>
  <c r="AP352" i="23916"/>
  <c r="AP351" i="23916"/>
  <c r="AP350" i="23916"/>
  <c r="AP349" i="23916"/>
  <c r="AN352" i="23916"/>
  <c r="AN351" i="23916"/>
  <c r="AN350" i="23916"/>
  <c r="AN349" i="23916"/>
  <c r="AL352" i="23916"/>
  <c r="AL351" i="23916"/>
  <c r="AL350" i="23916"/>
  <c r="AL349" i="23916"/>
  <c r="AJ352" i="23916"/>
  <c r="AJ351" i="23916"/>
  <c r="AJ350" i="23916"/>
  <c r="AJ349" i="23916"/>
  <c r="AH352" i="23916"/>
  <c r="AH351" i="23916"/>
  <c r="AH350" i="23916"/>
  <c r="AH349" i="23916"/>
  <c r="AF352" i="23916"/>
  <c r="AF351" i="23916"/>
  <c r="AF350" i="23916"/>
  <c r="AF349" i="23916"/>
  <c r="AD352" i="23916"/>
  <c r="AD351" i="23916"/>
  <c r="AD350" i="23916"/>
  <c r="AD349" i="23916"/>
  <c r="AB352" i="23916"/>
  <c r="AB351" i="23916"/>
  <c r="AB350" i="23916"/>
  <c r="AB349" i="23916"/>
  <c r="Z352" i="23916"/>
  <c r="Z351" i="23916"/>
  <c r="Z350" i="23916"/>
  <c r="Z349" i="23916"/>
  <c r="X352" i="23916"/>
  <c r="X351" i="23916"/>
  <c r="X350" i="23916"/>
  <c r="X349" i="23916"/>
  <c r="V352" i="23916"/>
  <c r="V351" i="23916"/>
  <c r="V350" i="23916"/>
  <c r="V349" i="23916"/>
  <c r="T352" i="23916"/>
  <c r="T351" i="23916"/>
  <c r="T350" i="23916"/>
  <c r="T349" i="23916"/>
  <c r="R352" i="23916"/>
  <c r="R351" i="23916"/>
  <c r="R350" i="23916"/>
  <c r="R349" i="23916"/>
  <c r="P352" i="23916"/>
  <c r="P351" i="23916"/>
  <c r="P350" i="23916"/>
  <c r="P349" i="23916"/>
  <c r="N352" i="23916"/>
  <c r="N351" i="23916"/>
  <c r="N350" i="23916"/>
  <c r="N349" i="23916"/>
  <c r="L352" i="23916"/>
  <c r="L351" i="23916"/>
  <c r="L350" i="23916"/>
  <c r="L349" i="23916"/>
  <c r="FT351" i="23916"/>
  <c r="FU351" i="23916" s="1"/>
  <c r="FR351" i="23916"/>
  <c r="FS351" i="23916" s="1"/>
  <c r="FP351" i="23916"/>
  <c r="FQ351" i="23916" s="1"/>
  <c r="FN351" i="23916"/>
  <c r="FO351" i="23916" s="1"/>
  <c r="FL351" i="23916"/>
  <c r="FM351" i="23916" s="1"/>
  <c r="FJ351" i="23916"/>
  <c r="FK351" i="23916" s="1"/>
  <c r="FH351" i="23916"/>
  <c r="FI351" i="23916" s="1"/>
  <c r="FF351" i="23916"/>
  <c r="FG351" i="23916" s="1"/>
  <c r="FE351" i="23916"/>
  <c r="GN352" i="23916"/>
  <c r="GL352" i="23916"/>
  <c r="GM352" i="23916" s="1"/>
  <c r="GJ352" i="23916"/>
  <c r="GH352" i="23916"/>
  <c r="GI352" i="23916" s="1"/>
  <c r="GF352" i="23916"/>
  <c r="GD352" i="23916"/>
  <c r="GD353" i="23916" s="1"/>
  <c r="GC352" i="23916"/>
  <c r="GN351" i="23916"/>
  <c r="GO351" i="23916" s="1"/>
  <c r="GL351" i="23916"/>
  <c r="GM351" i="23916" s="1"/>
  <c r="GJ351" i="23916"/>
  <c r="GK351" i="23916" s="1"/>
  <c r="GH351" i="23916"/>
  <c r="GI351" i="23916" s="1"/>
  <c r="GF351" i="23916"/>
  <c r="GG351" i="23916" s="1"/>
  <c r="GD351" i="23916"/>
  <c r="GE351" i="23916" s="1"/>
  <c r="GN350" i="23916"/>
  <c r="GO350" i="23916" s="1"/>
  <c r="GL350" i="23916"/>
  <c r="GM350" i="23916" s="1"/>
  <c r="GJ350" i="23916"/>
  <c r="GK350" i="23916" s="1"/>
  <c r="GH350" i="23916"/>
  <c r="GI350" i="23916" s="1"/>
  <c r="GF350" i="23916"/>
  <c r="GG350" i="23916" s="1"/>
  <c r="GD350" i="23916"/>
  <c r="GE350" i="23916" s="1"/>
  <c r="GN349" i="23916"/>
  <c r="GN855" i="23916" s="1"/>
  <c r="GL349" i="23916"/>
  <c r="GL855" i="23916" s="1"/>
  <c r="GJ349" i="23916"/>
  <c r="GJ855" i="23916" s="1"/>
  <c r="GH349" i="23916"/>
  <c r="GH855" i="23916" s="1"/>
  <c r="GF349" i="23916"/>
  <c r="GF855" i="23916" s="1"/>
  <c r="GD349" i="23916"/>
  <c r="GD855" i="23916" s="1"/>
  <c r="FZ351" i="23916"/>
  <c r="GC351" i="23916" s="1"/>
  <c r="FY351" i="23916"/>
  <c r="FX351" i="23916"/>
  <c r="FW351" i="23916"/>
  <c r="FZ350" i="23916"/>
  <c r="GA350" i="23916" s="1"/>
  <c r="FX350" i="23916"/>
  <c r="FY350" i="23916" s="1"/>
  <c r="GA349" i="23916"/>
  <c r="FZ349" i="23916"/>
  <c r="FX349" i="23916"/>
  <c r="FX855" i="23916" s="1"/>
  <c r="FX856" i="23916" s="1"/>
  <c r="FW349" i="23916"/>
  <c r="FV350" i="23916"/>
  <c r="FT350" i="23916"/>
  <c r="FW350" i="23916" s="1"/>
  <c r="FS350" i="23916"/>
  <c r="FR350" i="23916"/>
  <c r="FP350" i="23916"/>
  <c r="FQ350" i="23916" s="1"/>
  <c r="FO350" i="23916"/>
  <c r="FN350" i="23916"/>
  <c r="FL350" i="23916"/>
  <c r="FM350" i="23916" s="1"/>
  <c r="FK350" i="23916"/>
  <c r="FJ350" i="23916"/>
  <c r="FH350" i="23916"/>
  <c r="FI350" i="23916" s="1"/>
  <c r="FG350" i="23916"/>
  <c r="FF350" i="23916"/>
  <c r="FE350" i="23916"/>
  <c r="FV349" i="23916"/>
  <c r="FV855" i="23916" s="1"/>
  <c r="FV856" i="23916" s="1"/>
  <c r="FU349" i="23916"/>
  <c r="FT349" i="23916"/>
  <c r="FR349" i="23916"/>
  <c r="FR855" i="23916" s="1"/>
  <c r="FR856" i="23916" s="1"/>
  <c r="FQ349" i="23916"/>
  <c r="FP349" i="23916"/>
  <c r="FN349" i="23916"/>
  <c r="FN855" i="23916" s="1"/>
  <c r="FN856" i="23916" s="1"/>
  <c r="FM349" i="23916"/>
  <c r="FL349" i="23916"/>
  <c r="FJ349" i="23916"/>
  <c r="FJ855" i="23916" s="1"/>
  <c r="FJ856" i="23916" s="1"/>
  <c r="FI349" i="23916"/>
  <c r="FH349" i="23916"/>
  <c r="FF349" i="23916"/>
  <c r="FF855" i="23916" s="1"/>
  <c r="FF856" i="23916" s="1"/>
  <c r="FE349" i="23916"/>
  <c r="EQ352" i="23916"/>
  <c r="EQ353" i="23916" s="1"/>
  <c r="EP352" i="23916"/>
  <c r="ES351" i="23916"/>
  <c r="EU351" i="23916" s="1"/>
  <c r="ER351" i="23916"/>
  <c r="EQ351" i="23916"/>
  <c r="EQ357" i="23916" s="1"/>
  <c r="EP351" i="23916"/>
  <c r="ES350" i="23916"/>
  <c r="ET350" i="23916" s="1"/>
  <c r="EQ350" i="23916"/>
  <c r="ER350" i="23916" s="1"/>
  <c r="EP350" i="23916"/>
  <c r="EQ349" i="23916"/>
  <c r="EQ356" i="23916" s="1"/>
  <c r="EP349" i="23916"/>
  <c r="GY344" i="23916"/>
  <c r="GW344" i="23916"/>
  <c r="GU344" i="23916"/>
  <c r="GJ342" i="23916"/>
  <c r="GJ344" i="23916" s="1"/>
  <c r="GH343" i="23916"/>
  <c r="GJ343" i="23916" s="1"/>
  <c r="GL343" i="23916" s="1"/>
  <c r="GN343" i="23916" s="1"/>
  <c r="GP343" i="23916" s="1"/>
  <c r="GW336" i="23916"/>
  <c r="GW335" i="23916"/>
  <c r="GU336" i="23916"/>
  <c r="GU335" i="23916"/>
  <c r="GS336" i="23916"/>
  <c r="GS335" i="23916"/>
  <c r="EX336" i="23916"/>
  <c r="EX335" i="23916"/>
  <c r="EV336" i="23916"/>
  <c r="EV335" i="23916"/>
  <c r="ET336" i="23916"/>
  <c r="ET335" i="23916"/>
  <c r="ER336" i="23916"/>
  <c r="ER335" i="23916"/>
  <c r="EP336" i="23916"/>
  <c r="EP335" i="23916"/>
  <c r="EP332" i="23916"/>
  <c r="EN336" i="23916"/>
  <c r="EN335" i="23916"/>
  <c r="EN332" i="23916"/>
  <c r="EL336" i="23916"/>
  <c r="EL335" i="23916"/>
  <c r="EL332" i="23916"/>
  <c r="EJ335" i="23916"/>
  <c r="EJ332" i="23916"/>
  <c r="EH335" i="23916"/>
  <c r="EH332" i="23916"/>
  <c r="EE336" i="23916"/>
  <c r="ED336" i="23916"/>
  <c r="EA336" i="23916"/>
  <c r="GL336" i="23916" s="1"/>
  <c r="GM336" i="23916" s="1"/>
  <c r="DY336" i="23916"/>
  <c r="DW336" i="23916"/>
  <c r="DX336" i="23916" s="1"/>
  <c r="DV336" i="23916"/>
  <c r="DT336" i="23916"/>
  <c r="DT335" i="23916"/>
  <c r="DT332" i="23916"/>
  <c r="DR336" i="23916"/>
  <c r="DR335" i="23916"/>
  <c r="DR332" i="23916"/>
  <c r="DP336" i="23916"/>
  <c r="DP335" i="23916"/>
  <c r="DP332" i="23916"/>
  <c r="DN336" i="23916"/>
  <c r="DN335" i="23916"/>
  <c r="DN332" i="23916"/>
  <c r="DL336" i="23916"/>
  <c r="DL335" i="23916"/>
  <c r="DL332" i="23916"/>
  <c r="DJ336" i="23916"/>
  <c r="DJ335" i="23916"/>
  <c r="DJ332" i="23916"/>
  <c r="DH336" i="23916"/>
  <c r="DH335" i="23916"/>
  <c r="DH332" i="23916"/>
  <c r="DF336" i="23916"/>
  <c r="DF335" i="23916"/>
  <c r="DF332" i="23916"/>
  <c r="DD336" i="23916"/>
  <c r="DD335" i="23916"/>
  <c r="DD332" i="23916"/>
  <c r="DB336" i="23916"/>
  <c r="DB335" i="23916"/>
  <c r="DB332" i="23916"/>
  <c r="CZ336" i="23916"/>
  <c r="CZ335" i="23916"/>
  <c r="CZ332" i="23916"/>
  <c r="CX336" i="23916"/>
  <c r="CX335" i="23916"/>
  <c r="CX332" i="23916"/>
  <c r="CV336" i="23916"/>
  <c r="CV335" i="23916"/>
  <c r="CV332" i="23916"/>
  <c r="CT336" i="23916"/>
  <c r="CT335" i="23916"/>
  <c r="CT332" i="23916"/>
  <c r="CR336" i="23916"/>
  <c r="CR335" i="23916"/>
  <c r="CR332" i="23916"/>
  <c r="CP336" i="23916"/>
  <c r="CP335" i="23916"/>
  <c r="CP332" i="23916"/>
  <c r="CN336" i="23916"/>
  <c r="CN335" i="23916"/>
  <c r="CN332" i="23916"/>
  <c r="GQ336" i="23916"/>
  <c r="GP336" i="23916"/>
  <c r="GO336" i="23916"/>
  <c r="GN336" i="23916"/>
  <c r="GI336" i="23916"/>
  <c r="GH336" i="23916"/>
  <c r="GG336" i="23916"/>
  <c r="GF336" i="23916"/>
  <c r="GE336" i="23916"/>
  <c r="GD336" i="23916"/>
  <c r="GC336" i="23916"/>
  <c r="GB336" i="23916"/>
  <c r="GQ335" i="23916"/>
  <c r="GP335" i="23916"/>
  <c r="GO335" i="23916"/>
  <c r="GN335" i="23916"/>
  <c r="GM335" i="23916"/>
  <c r="GL335" i="23916"/>
  <c r="GK335" i="23916"/>
  <c r="GJ335" i="23916"/>
  <c r="GI335" i="23916"/>
  <c r="GH335" i="23916"/>
  <c r="GG335" i="23916"/>
  <c r="GF335" i="23916"/>
  <c r="GE335" i="23916"/>
  <c r="GD335" i="23916"/>
  <c r="GC335" i="23916"/>
  <c r="GB335" i="23916"/>
  <c r="EF335" i="23916"/>
  <c r="EF332" i="23916"/>
  <c r="ED335" i="23916"/>
  <c r="ED332" i="23916"/>
  <c r="EB335" i="23916"/>
  <c r="EB332" i="23916"/>
  <c r="DZ335" i="23916"/>
  <c r="DZ332" i="23916"/>
  <c r="DX335" i="23916"/>
  <c r="DX332" i="23916"/>
  <c r="DV335" i="23916"/>
  <c r="DV332" i="23916"/>
  <c r="GZ336" i="23916"/>
  <c r="GY336" i="23916"/>
  <c r="GZ335" i="23916"/>
  <c r="GY335" i="23916"/>
  <c r="GN332" i="23916"/>
  <c r="GL332" i="23916"/>
  <c r="GJ332" i="23916"/>
  <c r="GH332" i="23916"/>
  <c r="GF332" i="23916"/>
  <c r="GD332" i="23916"/>
  <c r="GB332" i="23916"/>
  <c r="GT329" i="23916"/>
  <c r="GT328" i="23916"/>
  <c r="GV328" i="23916" s="1"/>
  <c r="GR329" i="23916"/>
  <c r="EW326" i="23916"/>
  <c r="EW327" i="23916" s="1"/>
  <c r="EU326" i="23916"/>
  <c r="EV326" i="23916" s="1"/>
  <c r="ES328" i="23916"/>
  <c r="ES329" i="23916" s="1"/>
  <c r="ES326" i="23916"/>
  <c r="ES327" i="23916" s="1"/>
  <c r="ES320" i="23916" s="1"/>
  <c r="ET320" i="23916" s="1"/>
  <c r="EQ329" i="23916"/>
  <c r="GU328" i="23916"/>
  <c r="EQ326" i="23916"/>
  <c r="EQ327" i="23916" s="1"/>
  <c r="EQ320" i="23916" s="1"/>
  <c r="EX326" i="23916"/>
  <c r="ET326" i="23916"/>
  <c r="EP326" i="23916"/>
  <c r="EO326" i="23916"/>
  <c r="EN326" i="23916"/>
  <c r="EM326" i="23916"/>
  <c r="EL326" i="23916"/>
  <c r="EK326" i="23916"/>
  <c r="EJ326" i="23916"/>
  <c r="EI326" i="23916"/>
  <c r="EH326" i="23916"/>
  <c r="EG326" i="23916"/>
  <c r="EF326" i="23916"/>
  <c r="EE326" i="23916"/>
  <c r="ED326" i="23916"/>
  <c r="EC326" i="23916"/>
  <c r="EB326" i="23916"/>
  <c r="EA326" i="23916"/>
  <c r="DZ326" i="23916"/>
  <c r="DY326" i="23916"/>
  <c r="DX326" i="23916"/>
  <c r="DW326" i="23916"/>
  <c r="DV326" i="23916"/>
  <c r="DU326" i="23916"/>
  <c r="DT326" i="23916"/>
  <c r="DS326" i="23916"/>
  <c r="DR326" i="23916"/>
  <c r="DQ326" i="23916"/>
  <c r="DP326" i="23916"/>
  <c r="DO326" i="23916"/>
  <c r="DN326" i="23916"/>
  <c r="DM326" i="23916"/>
  <c r="DL326" i="23916"/>
  <c r="DK326" i="23916"/>
  <c r="DJ326" i="23916"/>
  <c r="DI326" i="23916"/>
  <c r="DH326" i="23916"/>
  <c r="DG326" i="23916"/>
  <c r="DF326" i="23916"/>
  <c r="DE326" i="23916"/>
  <c r="DD326" i="23916"/>
  <c r="DC326" i="23916"/>
  <c r="DB326" i="23916"/>
  <c r="DA326" i="23916"/>
  <c r="CZ326" i="23916"/>
  <c r="CY326" i="23916"/>
  <c r="CX326" i="23916"/>
  <c r="CW326" i="23916"/>
  <c r="CV326" i="23916"/>
  <c r="CU326" i="23916"/>
  <c r="CT326" i="23916"/>
  <c r="CS326" i="23916"/>
  <c r="CR326" i="23916"/>
  <c r="CQ326" i="23916"/>
  <c r="CP326" i="23916"/>
  <c r="CO326" i="23916"/>
  <c r="CN326" i="23916"/>
  <c r="CM326" i="23916"/>
  <c r="EN323" i="23916"/>
  <c r="EN321" i="23916"/>
  <c r="EN320" i="23916"/>
  <c r="EL323" i="23916"/>
  <c r="EL321" i="23916"/>
  <c r="EL320" i="23916"/>
  <c r="EJ323" i="23916"/>
  <c r="EJ321" i="23916"/>
  <c r="EJ320" i="23916"/>
  <c r="EH323" i="23916"/>
  <c r="EH321" i="23916"/>
  <c r="EH320" i="23916"/>
  <c r="EF323" i="23916"/>
  <c r="EF321" i="23916"/>
  <c r="EF320" i="23916"/>
  <c r="ED323" i="23916"/>
  <c r="ED321" i="23916"/>
  <c r="ED320" i="23916"/>
  <c r="EB323" i="23916"/>
  <c r="EB321" i="23916"/>
  <c r="EB320" i="23916"/>
  <c r="DZ323" i="23916"/>
  <c r="DZ321" i="23916"/>
  <c r="DZ320" i="23916"/>
  <c r="DX323" i="23916"/>
  <c r="DX321" i="23916"/>
  <c r="DX320" i="23916"/>
  <c r="DV323" i="23916"/>
  <c r="DV321" i="23916"/>
  <c r="DV320" i="23916"/>
  <c r="DT323" i="23916"/>
  <c r="DT321" i="23916"/>
  <c r="DT320" i="23916"/>
  <c r="DR323" i="23916"/>
  <c r="DR321" i="23916"/>
  <c r="DR320" i="23916"/>
  <c r="DP323" i="23916"/>
  <c r="DP321" i="23916"/>
  <c r="DP320" i="23916"/>
  <c r="DM323" i="23916"/>
  <c r="DM328" i="23916" s="1"/>
  <c r="DJ321" i="23916"/>
  <c r="DJ320" i="23916"/>
  <c r="DH321" i="23916"/>
  <c r="DH320" i="23916"/>
  <c r="DE323" i="23916"/>
  <c r="DF323" i="23916" s="1"/>
  <c r="DC323" i="23916"/>
  <c r="DD323" i="23916" s="1"/>
  <c r="DA323" i="23916"/>
  <c r="DJ323" i="23916" s="1"/>
  <c r="CY323" i="23916"/>
  <c r="CZ323" i="23916" s="1"/>
  <c r="CV323" i="23916"/>
  <c r="CU323" i="23916"/>
  <c r="CT323" i="23916"/>
  <c r="CS323" i="23916"/>
  <c r="CS328" i="23916" s="1"/>
  <c r="CT328" i="23916" s="1"/>
  <c r="CR323" i="23916"/>
  <c r="CQ323" i="23916"/>
  <c r="CP323" i="23916"/>
  <c r="CO323" i="23916"/>
  <c r="CX323" i="23916" s="1"/>
  <c r="CN323" i="23916"/>
  <c r="EO322" i="23916"/>
  <c r="EO324" i="23916" s="1"/>
  <c r="EM322" i="23916"/>
  <c r="EN322" i="23916" s="1"/>
  <c r="EK322" i="23916"/>
  <c r="EK324" i="23916" s="1"/>
  <c r="EI322" i="23916"/>
  <c r="EJ322" i="23916" s="1"/>
  <c r="EG322" i="23916"/>
  <c r="EG324" i="23916" s="1"/>
  <c r="EE322" i="23916"/>
  <c r="EF322" i="23916" s="1"/>
  <c r="EC322" i="23916"/>
  <c r="EC324" i="23916" s="1"/>
  <c r="EA322" i="23916"/>
  <c r="EB322" i="23916" s="1"/>
  <c r="DY322" i="23916"/>
  <c r="DY324" i="23916" s="1"/>
  <c r="DW322" i="23916"/>
  <c r="DX322" i="23916" s="1"/>
  <c r="DU322" i="23916"/>
  <c r="DU324" i="23916" s="1"/>
  <c r="DS322" i="23916"/>
  <c r="DT322" i="23916" s="1"/>
  <c r="DQ322" i="23916"/>
  <c r="DQ324" i="23916" s="1"/>
  <c r="DO322" i="23916"/>
  <c r="DP322" i="23916" s="1"/>
  <c r="DM322" i="23916"/>
  <c r="DM324" i="23916" s="1"/>
  <c r="DK322" i="23916"/>
  <c r="DL322" i="23916" s="1"/>
  <c r="DI322" i="23916"/>
  <c r="DI324" i="23916" s="1"/>
  <c r="DG322" i="23916"/>
  <c r="DG324" i="23916" s="1"/>
  <c r="DE322" i="23916"/>
  <c r="DE324" i="23916" s="1"/>
  <c r="DC322" i="23916"/>
  <c r="DC324" i="23916" s="1"/>
  <c r="DA322" i="23916"/>
  <c r="DA324" i="23916" s="1"/>
  <c r="CY322" i="23916"/>
  <c r="CY324" i="23916" s="1"/>
  <c r="CW322" i="23916"/>
  <c r="CW324" i="23916" s="1"/>
  <c r="CU322" i="23916"/>
  <c r="GD322" i="23916" s="1"/>
  <c r="CS322" i="23916"/>
  <c r="CS324" i="23916" s="1"/>
  <c r="CT324" i="23916" s="1"/>
  <c r="CQ322" i="23916"/>
  <c r="CQ324" i="23916" s="1"/>
  <c r="CR324" i="23916" s="1"/>
  <c r="CO322" i="23916"/>
  <c r="CO324" i="23916" s="1"/>
  <c r="CP324" i="23916" s="1"/>
  <c r="CM322" i="23916"/>
  <c r="CM324" i="23916" s="1"/>
  <c r="CN324" i="23916" s="1"/>
  <c r="DN321" i="23916"/>
  <c r="DN320" i="23916"/>
  <c r="DL321" i="23916"/>
  <c r="DL320" i="23916"/>
  <c r="DF321" i="23916"/>
  <c r="DF320" i="23916"/>
  <c r="DD321" i="23916"/>
  <c r="DD320" i="23916"/>
  <c r="DB321" i="23916"/>
  <c r="DB320" i="23916"/>
  <c r="CZ321" i="23916"/>
  <c r="CZ320" i="23916"/>
  <c r="CX321" i="23916"/>
  <c r="CX320" i="23916"/>
  <c r="CV321" i="23916"/>
  <c r="CV320" i="23916"/>
  <c r="CT321" i="23916"/>
  <c r="CT320" i="23916"/>
  <c r="CR321" i="23916"/>
  <c r="CR320" i="23916"/>
  <c r="CP321" i="23916"/>
  <c r="CP320" i="23916"/>
  <c r="CN321" i="23916"/>
  <c r="CN320" i="23916"/>
  <c r="GN323" i="23916"/>
  <c r="GO323" i="23916" s="1"/>
  <c r="GL323" i="23916"/>
  <c r="GM323" i="23916" s="1"/>
  <c r="GJ323" i="23916"/>
  <c r="GK323" i="23916" s="1"/>
  <c r="GH323" i="23916"/>
  <c r="GI323" i="23916" s="1"/>
  <c r="GF323" i="23916"/>
  <c r="GG323" i="23916" s="1"/>
  <c r="GD323" i="23916"/>
  <c r="GE323" i="23916" s="1"/>
  <c r="GB323" i="23916"/>
  <c r="GC323" i="23916" s="1"/>
  <c r="GN321" i="23916"/>
  <c r="GO321" i="23916" s="1"/>
  <c r="GL321" i="23916"/>
  <c r="GM321" i="23916" s="1"/>
  <c r="GJ321" i="23916"/>
  <c r="GK321" i="23916" s="1"/>
  <c r="GH321" i="23916"/>
  <c r="GI321" i="23916" s="1"/>
  <c r="GF321" i="23916"/>
  <c r="GG321" i="23916" s="1"/>
  <c r="GD321" i="23916"/>
  <c r="GE321" i="23916" s="1"/>
  <c r="GB321" i="23916"/>
  <c r="GC321" i="23916" s="1"/>
  <c r="GO320" i="23916"/>
  <c r="GN320" i="23916"/>
  <c r="GN326" i="23916" s="1"/>
  <c r="GO326" i="23916" s="1"/>
  <c r="GM320" i="23916"/>
  <c r="GL320" i="23916"/>
  <c r="GL326" i="23916" s="1"/>
  <c r="GK320" i="23916"/>
  <c r="GJ320" i="23916"/>
  <c r="GJ326" i="23916" s="1"/>
  <c r="GK326" i="23916" s="1"/>
  <c r="GI320" i="23916"/>
  <c r="GH320" i="23916"/>
  <c r="GH326" i="23916" s="1"/>
  <c r="GG320" i="23916"/>
  <c r="GF320" i="23916"/>
  <c r="GF326" i="23916" s="1"/>
  <c r="GG326" i="23916" s="1"/>
  <c r="GE320" i="23916"/>
  <c r="GD320" i="23916"/>
  <c r="GD326" i="23916" s="1"/>
  <c r="GC320" i="23916"/>
  <c r="GB320" i="23916"/>
  <c r="GB326" i="23916" s="1"/>
  <c r="GC326" i="23916" s="1"/>
  <c r="EP323" i="23916"/>
  <c r="EQ322" i="23916"/>
  <c r="EP322" i="23916"/>
  <c r="EP321" i="23916"/>
  <c r="EP320" i="23916"/>
  <c r="EP317" i="23916"/>
  <c r="EO317" i="23916"/>
  <c r="EN317" i="23916"/>
  <c r="EM317" i="23916"/>
  <c r="EL317" i="23916"/>
  <c r="EK317" i="23916"/>
  <c r="EK331" i="23916" s="1"/>
  <c r="EJ317" i="23916"/>
  <c r="EI317" i="23916"/>
  <c r="EI328" i="23916" s="1"/>
  <c r="EH317" i="23916"/>
  <c r="EG317" i="23916"/>
  <c r="EF317" i="23916"/>
  <c r="EE317" i="23916"/>
  <c r="ED317" i="23916"/>
  <c r="EC317" i="23916"/>
  <c r="EC331" i="23916" s="1"/>
  <c r="EB317" i="23916"/>
  <c r="EA317" i="23916"/>
  <c r="EA328" i="23916" s="1"/>
  <c r="DZ317" i="23916"/>
  <c r="DY317" i="23916"/>
  <c r="DX317" i="23916"/>
  <c r="DW317" i="23916"/>
  <c r="DV317" i="23916"/>
  <c r="DU317" i="23916"/>
  <c r="DU331" i="23916" s="1"/>
  <c r="DT317" i="23916"/>
  <c r="DS317" i="23916"/>
  <c r="DS328" i="23916" s="1"/>
  <c r="DR317" i="23916"/>
  <c r="DQ317" i="23916"/>
  <c r="DP317" i="23916"/>
  <c r="DO317" i="23916"/>
  <c r="DN317" i="23916"/>
  <c r="DM317" i="23916"/>
  <c r="DM331" i="23916" s="1"/>
  <c r="DL317" i="23916"/>
  <c r="DK317" i="23916"/>
  <c r="DK328" i="23916" s="1"/>
  <c r="DJ317" i="23916"/>
  <c r="DI317" i="23916"/>
  <c r="DH317" i="23916"/>
  <c r="DG317" i="23916"/>
  <c r="DG331" i="23916" s="1"/>
  <c r="DF317" i="23916"/>
  <c r="DE317" i="23916"/>
  <c r="DE331" i="23916" s="1"/>
  <c r="DD317" i="23916"/>
  <c r="DC317" i="23916"/>
  <c r="DC331" i="23916" s="1"/>
  <c r="DB317" i="23916"/>
  <c r="DA317" i="23916"/>
  <c r="CZ317" i="23916"/>
  <c r="CY317" i="23916"/>
  <c r="CY331" i="23916" s="1"/>
  <c r="CX317" i="23916"/>
  <c r="CW317" i="23916"/>
  <c r="CW331" i="23916" s="1"/>
  <c r="CV317" i="23916"/>
  <c r="CU317" i="23916"/>
  <c r="CU328" i="23916" s="1"/>
  <c r="CT317" i="23916"/>
  <c r="CS317" i="23916"/>
  <c r="CR317" i="23916"/>
  <c r="CQ317" i="23916"/>
  <c r="CQ331" i="23916" s="1"/>
  <c r="CP317" i="23916"/>
  <c r="CO317" i="23916"/>
  <c r="CO331" i="23916" s="1"/>
  <c r="CN317" i="23916"/>
  <c r="CM317" i="23916"/>
  <c r="CM328" i="23916" s="1"/>
  <c r="CN328" i="23916" s="1"/>
  <c r="EN316" i="23916"/>
  <c r="EN315" i="23916"/>
  <c r="EN314" i="23916"/>
  <c r="EN313" i="23916"/>
  <c r="EL316" i="23916"/>
  <c r="EL315" i="23916"/>
  <c r="EL314" i="23916"/>
  <c r="EL313" i="23916"/>
  <c r="EJ316" i="23916"/>
  <c r="EJ315" i="23916"/>
  <c r="EJ314" i="23916"/>
  <c r="EJ313" i="23916"/>
  <c r="EH316" i="23916"/>
  <c r="EH315" i="23916"/>
  <c r="EH314" i="23916"/>
  <c r="EH313" i="23916"/>
  <c r="EF316" i="23916"/>
  <c r="EF315" i="23916"/>
  <c r="EF314" i="23916"/>
  <c r="EF313" i="23916"/>
  <c r="ED316" i="23916"/>
  <c r="ED315" i="23916"/>
  <c r="ED314" i="23916"/>
  <c r="ED313" i="23916"/>
  <c r="EB316" i="23916"/>
  <c r="EB315" i="23916"/>
  <c r="EB314" i="23916"/>
  <c r="EB313" i="23916"/>
  <c r="DZ316" i="23916"/>
  <c r="DZ315" i="23916"/>
  <c r="DZ314" i="23916"/>
  <c r="DZ313" i="23916"/>
  <c r="DX316" i="23916"/>
  <c r="DX315" i="23916"/>
  <c r="DX314" i="23916"/>
  <c r="DX313" i="23916"/>
  <c r="DV316" i="23916"/>
  <c r="DV315" i="23916"/>
  <c r="DV314" i="23916"/>
  <c r="DV313" i="23916"/>
  <c r="DT316" i="23916"/>
  <c r="DT315" i="23916"/>
  <c r="DT314" i="23916"/>
  <c r="DT313" i="23916"/>
  <c r="DR316" i="23916"/>
  <c r="DR315" i="23916"/>
  <c r="DR314" i="23916"/>
  <c r="DR313" i="23916"/>
  <c r="DP316" i="23916"/>
  <c r="DP315" i="23916"/>
  <c r="DP314" i="23916"/>
  <c r="DP313" i="23916"/>
  <c r="DN316" i="23916"/>
  <c r="DN315" i="23916"/>
  <c r="DN314" i="23916"/>
  <c r="DN313" i="23916"/>
  <c r="DL316" i="23916"/>
  <c r="DL315" i="23916"/>
  <c r="DL314" i="23916"/>
  <c r="DL313" i="23916"/>
  <c r="DJ316" i="23916"/>
  <c r="DJ315" i="23916"/>
  <c r="DJ314" i="23916"/>
  <c r="DJ313" i="23916"/>
  <c r="DH316" i="23916"/>
  <c r="DH315" i="23916"/>
  <c r="DH314" i="23916"/>
  <c r="DH313" i="23916"/>
  <c r="DF316" i="23916"/>
  <c r="DF315" i="23916"/>
  <c r="DF314" i="23916"/>
  <c r="DF313" i="23916"/>
  <c r="DD316" i="23916"/>
  <c r="DD315" i="23916"/>
  <c r="DD314" i="23916"/>
  <c r="DD313" i="23916"/>
  <c r="DB316" i="23916"/>
  <c r="DB315" i="23916"/>
  <c r="DB314" i="23916"/>
  <c r="DB313" i="23916"/>
  <c r="CZ316" i="23916"/>
  <c r="CZ315" i="23916"/>
  <c r="CZ314" i="23916"/>
  <c r="CZ313" i="23916"/>
  <c r="CX316" i="23916"/>
  <c r="CX315" i="23916"/>
  <c r="CX314" i="23916"/>
  <c r="CX313" i="23916"/>
  <c r="CV316" i="23916"/>
  <c r="CV315" i="23916"/>
  <c r="CV314" i="23916"/>
  <c r="CV313" i="23916"/>
  <c r="CT316" i="23916"/>
  <c r="CT315" i="23916"/>
  <c r="CT314" i="23916"/>
  <c r="CT313" i="23916"/>
  <c r="CR316" i="23916"/>
  <c r="CR315" i="23916"/>
  <c r="CR314" i="23916"/>
  <c r="CR313" i="23916"/>
  <c r="CP316" i="23916"/>
  <c r="CP315" i="23916"/>
  <c r="CP314" i="23916"/>
  <c r="CP313" i="23916"/>
  <c r="CN316" i="23916"/>
  <c r="CN315" i="23916"/>
  <c r="CN314" i="23916"/>
  <c r="CN313" i="23916"/>
  <c r="GO316" i="23916"/>
  <c r="GN316" i="23916"/>
  <c r="GM316" i="23916"/>
  <c r="GL316" i="23916"/>
  <c r="GK316" i="23916"/>
  <c r="GJ316" i="23916"/>
  <c r="GI316" i="23916"/>
  <c r="GH316" i="23916"/>
  <c r="GG316" i="23916"/>
  <c r="GF316" i="23916"/>
  <c r="GE316" i="23916"/>
  <c r="GD316" i="23916"/>
  <c r="GC316" i="23916"/>
  <c r="GB316" i="23916"/>
  <c r="GN315" i="23916"/>
  <c r="GO315" i="23916" s="1"/>
  <c r="GL315" i="23916"/>
  <c r="GM315" i="23916" s="1"/>
  <c r="GJ315" i="23916"/>
  <c r="GK315" i="23916" s="1"/>
  <c r="GH315" i="23916"/>
  <c r="GI315" i="23916" s="1"/>
  <c r="GF315" i="23916"/>
  <c r="GG315" i="23916" s="1"/>
  <c r="GD315" i="23916"/>
  <c r="GE315" i="23916" s="1"/>
  <c r="GB315" i="23916"/>
  <c r="GC315" i="23916" s="1"/>
  <c r="GO314" i="23916"/>
  <c r="GN314" i="23916"/>
  <c r="GM314" i="23916"/>
  <c r="GL314" i="23916"/>
  <c r="GK314" i="23916"/>
  <c r="GJ314" i="23916"/>
  <c r="GI314" i="23916"/>
  <c r="GH314" i="23916"/>
  <c r="GG314" i="23916"/>
  <c r="GF314" i="23916"/>
  <c r="GE314" i="23916"/>
  <c r="GD314" i="23916"/>
  <c r="GC314" i="23916"/>
  <c r="GB314" i="23916"/>
  <c r="GN313" i="23916"/>
  <c r="GN853" i="23916" s="1"/>
  <c r="GO853" i="23916" s="1"/>
  <c r="GL313" i="23916"/>
  <c r="GL853" i="23916" s="1"/>
  <c r="GJ313" i="23916"/>
  <c r="GJ853" i="23916" s="1"/>
  <c r="GH313" i="23916"/>
  <c r="GH853" i="23916" s="1"/>
  <c r="GF313" i="23916"/>
  <c r="GF853" i="23916" s="1"/>
  <c r="GD313" i="23916"/>
  <c r="GD853" i="23916" s="1"/>
  <c r="GB313" i="23916"/>
  <c r="GB853" i="23916" s="1"/>
  <c r="EQ316" i="23916"/>
  <c r="EQ317" i="23916" s="1"/>
  <c r="EP316" i="23916"/>
  <c r="ER315" i="23916"/>
  <c r="EQ315" i="23916"/>
  <c r="ES315" i="23916" s="1"/>
  <c r="EP315" i="23916"/>
  <c r="ES314" i="23916"/>
  <c r="ET314" i="23916" s="1"/>
  <c r="EQ314" i="23916"/>
  <c r="EP314" i="23916"/>
  <c r="ET313" i="23916"/>
  <c r="ES313" i="23916"/>
  <c r="ER313" i="23916"/>
  <c r="EQ313" i="23916"/>
  <c r="EP313" i="23916"/>
  <c r="GW303" i="23916"/>
  <c r="GW302" i="23916"/>
  <c r="GU303" i="23916"/>
  <c r="GU302" i="23916"/>
  <c r="EX303" i="23916"/>
  <c r="EX302" i="23916"/>
  <c r="EV303" i="23916"/>
  <c r="EV302" i="23916"/>
  <c r="ET303" i="23916"/>
  <c r="ET302" i="23916"/>
  <c r="ER303" i="23916"/>
  <c r="ER302" i="23916"/>
  <c r="EP303" i="23916"/>
  <c r="EP302" i="23916"/>
  <c r="EP299" i="23916"/>
  <c r="EN302" i="23916"/>
  <c r="EN299" i="23916"/>
  <c r="EL303" i="23916"/>
  <c r="EL302" i="23916"/>
  <c r="EL299" i="23916"/>
  <c r="EJ302" i="23916"/>
  <c r="EJ299" i="23916"/>
  <c r="EH303" i="23916"/>
  <c r="EH302" i="23916"/>
  <c r="EH299" i="23916"/>
  <c r="EE303" i="23916"/>
  <c r="EN303" i="23916" s="1"/>
  <c r="ED303" i="23916"/>
  <c r="EB303" i="23916"/>
  <c r="EA303" i="23916"/>
  <c r="EJ303" i="23916" s="1"/>
  <c r="DZ303" i="23916"/>
  <c r="DW303" i="23916"/>
  <c r="DX303" i="23916" s="1"/>
  <c r="DV303" i="23916"/>
  <c r="DT303" i="23916"/>
  <c r="DT302" i="23916"/>
  <c r="DT299" i="23916"/>
  <c r="DR303" i="23916"/>
  <c r="DR302" i="23916"/>
  <c r="DR299" i="23916"/>
  <c r="DO303" i="23916"/>
  <c r="DN303" i="23916"/>
  <c r="DL303" i="23916"/>
  <c r="DL302" i="23916"/>
  <c r="DL299" i="23916"/>
  <c r="DJ303" i="23916"/>
  <c r="DJ302" i="23916"/>
  <c r="DJ299" i="23916"/>
  <c r="DG303" i="23916"/>
  <c r="DH303" i="23916" s="1"/>
  <c r="DD303" i="23916"/>
  <c r="DD302" i="23916"/>
  <c r="DD299" i="23916"/>
  <c r="DB303" i="23916"/>
  <c r="DB302" i="23916"/>
  <c r="DB299" i="23916"/>
  <c r="CZ303" i="23916"/>
  <c r="CZ302" i="23916"/>
  <c r="CZ299" i="23916"/>
  <c r="CX303" i="23916"/>
  <c r="CW303" i="23916"/>
  <c r="CW627" i="23916" s="1"/>
  <c r="CX627" i="23916" s="1"/>
  <c r="CV303" i="23916"/>
  <c r="CT303" i="23916"/>
  <c r="CT302" i="23916"/>
  <c r="CT299" i="23916"/>
  <c r="CR303" i="23916"/>
  <c r="CR302" i="23916"/>
  <c r="CR299" i="23916"/>
  <c r="CP303" i="23916"/>
  <c r="CP302" i="23916"/>
  <c r="CP299" i="23916"/>
  <c r="CN303" i="23916"/>
  <c r="CN302" i="23916"/>
  <c r="CN299" i="23916"/>
  <c r="CL303" i="23916"/>
  <c r="CL302" i="23916"/>
  <c r="CL299" i="23916"/>
  <c r="GP303" i="23916"/>
  <c r="GQ303" i="23916" s="1"/>
  <c r="GN303" i="23916"/>
  <c r="GO303" i="23916" s="1"/>
  <c r="GL303" i="23916"/>
  <c r="GM303" i="23916" s="1"/>
  <c r="GJ303" i="23916"/>
  <c r="GK303" i="23916" s="1"/>
  <c r="GH303" i="23916"/>
  <c r="GI303" i="23916" s="1"/>
  <c r="GF303" i="23916"/>
  <c r="GG303" i="23916" s="1"/>
  <c r="GD303" i="23916"/>
  <c r="GE303" i="23916" s="1"/>
  <c r="GB303" i="23916"/>
  <c r="GC303" i="23916" s="1"/>
  <c r="FZ303" i="23916"/>
  <c r="GA303" i="23916" s="1"/>
  <c r="GP302" i="23916"/>
  <c r="GQ302" i="23916" s="1"/>
  <c r="GN302" i="23916"/>
  <c r="GO302" i="23916" s="1"/>
  <c r="GL302" i="23916"/>
  <c r="GM302" i="23916" s="1"/>
  <c r="GJ302" i="23916"/>
  <c r="GK302" i="23916" s="1"/>
  <c r="GH302" i="23916"/>
  <c r="GI302" i="23916" s="1"/>
  <c r="GF302" i="23916"/>
  <c r="GG302" i="23916" s="1"/>
  <c r="GD302" i="23916"/>
  <c r="GE302" i="23916" s="1"/>
  <c r="GB302" i="23916"/>
  <c r="GC302" i="23916" s="1"/>
  <c r="FZ302" i="23916"/>
  <c r="GA302" i="23916" s="1"/>
  <c r="EF302" i="23916"/>
  <c r="EF299" i="23916"/>
  <c r="ED302" i="23916"/>
  <c r="ED299" i="23916"/>
  <c r="EB302" i="23916"/>
  <c r="EB299" i="23916"/>
  <c r="DZ302" i="23916"/>
  <c r="DZ299" i="23916"/>
  <c r="DX302" i="23916"/>
  <c r="DX299" i="23916"/>
  <c r="DV302" i="23916"/>
  <c r="DV299" i="23916"/>
  <c r="DP302" i="23916"/>
  <c r="DP299" i="23916"/>
  <c r="DN302" i="23916"/>
  <c r="DN299" i="23916"/>
  <c r="DH302" i="23916"/>
  <c r="DH299" i="23916"/>
  <c r="DF302" i="23916"/>
  <c r="DF299" i="23916"/>
  <c r="CX302" i="23916"/>
  <c r="CX299" i="23916"/>
  <c r="CV302" i="23916"/>
  <c r="CV299" i="23916"/>
  <c r="ES300" i="23916"/>
  <c r="EU300" i="23916" s="1"/>
  <c r="GA299" i="23916"/>
  <c r="FZ299" i="23916"/>
  <c r="GZ303" i="23916"/>
  <c r="GY303" i="23916"/>
  <c r="GZ302" i="23916"/>
  <c r="GY302" i="23916"/>
  <c r="GN299" i="23916"/>
  <c r="GO299" i="23916" s="1"/>
  <c r="GL299" i="23916"/>
  <c r="GJ299" i="23916"/>
  <c r="GK299" i="23916" s="1"/>
  <c r="GH299" i="23916"/>
  <c r="GF299" i="23916"/>
  <c r="GG299" i="23916" s="1"/>
  <c r="GD299" i="23916"/>
  <c r="GC299" i="23916"/>
  <c r="GT296" i="23916"/>
  <c r="GT295" i="23916"/>
  <c r="GV295" i="23916" s="1"/>
  <c r="GR296" i="23916"/>
  <c r="ES295" i="23916"/>
  <c r="ES293" i="23916"/>
  <c r="ES294" i="23916" s="1"/>
  <c r="ES287" i="23916" s="1"/>
  <c r="EQ296" i="23916"/>
  <c r="GU295" i="23916"/>
  <c r="EQ294" i="23916"/>
  <c r="GB293" i="23916"/>
  <c r="EO293" i="23916"/>
  <c r="EP293" i="23916" s="1"/>
  <c r="EM293" i="23916"/>
  <c r="EN293" i="23916" s="1"/>
  <c r="EK293" i="23916"/>
  <c r="EL293" i="23916" s="1"/>
  <c r="EI293" i="23916"/>
  <c r="EJ293" i="23916" s="1"/>
  <c r="EG293" i="23916"/>
  <c r="EH293" i="23916" s="1"/>
  <c r="EE293" i="23916"/>
  <c r="EF293" i="23916" s="1"/>
  <c r="EC293" i="23916"/>
  <c r="ED293" i="23916" s="1"/>
  <c r="EA293" i="23916"/>
  <c r="EB293" i="23916" s="1"/>
  <c r="DY293" i="23916"/>
  <c r="DZ293" i="23916" s="1"/>
  <c r="DW293" i="23916"/>
  <c r="DX293" i="23916" s="1"/>
  <c r="DU293" i="23916"/>
  <c r="DV293" i="23916" s="1"/>
  <c r="DS293" i="23916"/>
  <c r="DT293" i="23916" s="1"/>
  <c r="DQ293" i="23916"/>
  <c r="DR293" i="23916" s="1"/>
  <c r="DO293" i="23916"/>
  <c r="DP293" i="23916" s="1"/>
  <c r="DM293" i="23916"/>
  <c r="DN293" i="23916" s="1"/>
  <c r="DK293" i="23916"/>
  <c r="DL293" i="23916" s="1"/>
  <c r="DI293" i="23916"/>
  <c r="DJ293" i="23916" s="1"/>
  <c r="DG293" i="23916"/>
  <c r="DH293" i="23916" s="1"/>
  <c r="DE293" i="23916"/>
  <c r="DF293" i="23916" s="1"/>
  <c r="DC293" i="23916"/>
  <c r="DD293" i="23916" s="1"/>
  <c r="DA293" i="23916"/>
  <c r="DB293" i="23916" s="1"/>
  <c r="CY293" i="23916"/>
  <c r="CZ293" i="23916" s="1"/>
  <c r="CW293" i="23916"/>
  <c r="CX293" i="23916" s="1"/>
  <c r="CU293" i="23916"/>
  <c r="CV293" i="23916" s="1"/>
  <c r="CS293" i="23916"/>
  <c r="CT293" i="23916" s="1"/>
  <c r="CQ293" i="23916"/>
  <c r="CR293" i="23916" s="1"/>
  <c r="CO293" i="23916"/>
  <c r="CP293" i="23916" s="1"/>
  <c r="CM293" i="23916"/>
  <c r="CN293" i="23916" s="1"/>
  <c r="CK293" i="23916"/>
  <c r="CL293" i="23916" s="1"/>
  <c r="GA290" i="23916"/>
  <c r="FZ290" i="23916"/>
  <c r="EN290" i="23916"/>
  <c r="EN288" i="23916"/>
  <c r="EN287" i="23916"/>
  <c r="EL290" i="23916"/>
  <c r="EL288" i="23916"/>
  <c r="EL287" i="23916"/>
  <c r="EJ290" i="23916"/>
  <c r="EJ288" i="23916"/>
  <c r="EJ287" i="23916"/>
  <c r="EH290" i="23916"/>
  <c r="EH288" i="23916"/>
  <c r="EH287" i="23916"/>
  <c r="EF290" i="23916"/>
  <c r="EF288" i="23916"/>
  <c r="EF287" i="23916"/>
  <c r="ED290" i="23916"/>
  <c r="ED288" i="23916"/>
  <c r="ED287" i="23916"/>
  <c r="EB290" i="23916"/>
  <c r="EB288" i="23916"/>
  <c r="EB287" i="23916"/>
  <c r="DZ290" i="23916"/>
  <c r="DZ288" i="23916"/>
  <c r="DZ287" i="23916"/>
  <c r="DX290" i="23916"/>
  <c r="DX288" i="23916"/>
  <c r="DX287" i="23916"/>
  <c r="DV290" i="23916"/>
  <c r="DV288" i="23916"/>
  <c r="DV287" i="23916"/>
  <c r="DT290" i="23916"/>
  <c r="DT288" i="23916"/>
  <c r="DT287" i="23916"/>
  <c r="DR290" i="23916"/>
  <c r="DR288" i="23916"/>
  <c r="DR287" i="23916"/>
  <c r="DP290" i="23916"/>
  <c r="DP288" i="23916"/>
  <c r="DP287" i="23916"/>
  <c r="DN290" i="23916"/>
  <c r="DN288" i="23916"/>
  <c r="DN287" i="23916"/>
  <c r="DL290" i="23916"/>
  <c r="DL288" i="23916"/>
  <c r="DL287" i="23916"/>
  <c r="DJ290" i="23916"/>
  <c r="DJ288" i="23916"/>
  <c r="DJ287" i="23916"/>
  <c r="DH290" i="23916"/>
  <c r="DH288" i="23916"/>
  <c r="DH287" i="23916"/>
  <c r="DF290" i="23916"/>
  <c r="DF288" i="23916"/>
  <c r="DF287" i="23916"/>
  <c r="DD288" i="23916"/>
  <c r="DD287" i="23916"/>
  <c r="DB290" i="23916"/>
  <c r="DB288" i="23916"/>
  <c r="DB287" i="23916"/>
  <c r="CZ290" i="23916"/>
  <c r="CZ288" i="23916"/>
  <c r="CZ287" i="23916"/>
  <c r="CW290" i="23916"/>
  <c r="CU290" i="23916"/>
  <c r="CT290" i="23916"/>
  <c r="CR290" i="23916"/>
  <c r="CR289" i="23916"/>
  <c r="CR288" i="23916"/>
  <c r="CR287" i="23916"/>
  <c r="CO290" i="23916"/>
  <c r="CP290" i="23916" s="1"/>
  <c r="CN290" i="23916"/>
  <c r="CM290" i="23916"/>
  <c r="CL290" i="23916"/>
  <c r="GB289" i="23916"/>
  <c r="GB291" i="23916" s="1"/>
  <c r="EO289" i="23916"/>
  <c r="EO291" i="23916" s="1"/>
  <c r="EM289" i="23916"/>
  <c r="EN289" i="23916" s="1"/>
  <c r="EK289" i="23916"/>
  <c r="EI289" i="23916"/>
  <c r="EJ289" i="23916" s="1"/>
  <c r="EG289" i="23916"/>
  <c r="EG291" i="23916" s="1"/>
  <c r="EE289" i="23916"/>
  <c r="EF289" i="23916" s="1"/>
  <c r="EC289" i="23916"/>
  <c r="EA289" i="23916"/>
  <c r="EB289" i="23916" s="1"/>
  <c r="DY289" i="23916"/>
  <c r="DY291" i="23916" s="1"/>
  <c r="DW289" i="23916"/>
  <c r="DX289" i="23916" s="1"/>
  <c r="DU289" i="23916"/>
  <c r="DS289" i="23916"/>
  <c r="DT289" i="23916" s="1"/>
  <c r="DQ289" i="23916"/>
  <c r="DQ291" i="23916" s="1"/>
  <c r="DO289" i="23916"/>
  <c r="DP289" i="23916" s="1"/>
  <c r="DM289" i="23916"/>
  <c r="DK289" i="23916"/>
  <c r="DL289" i="23916" s="1"/>
  <c r="DI289" i="23916"/>
  <c r="DI291" i="23916" s="1"/>
  <c r="DG289" i="23916"/>
  <c r="DH289" i="23916" s="1"/>
  <c r="DE289" i="23916"/>
  <c r="DC289" i="23916"/>
  <c r="DD289" i="23916" s="1"/>
  <c r="DA289" i="23916"/>
  <c r="DA291" i="23916" s="1"/>
  <c r="CY289" i="23916"/>
  <c r="CZ289" i="23916" s="1"/>
  <c r="CX289" i="23916"/>
  <c r="CW289" i="23916"/>
  <c r="CW291" i="23916" s="1"/>
  <c r="CU289" i="23916"/>
  <c r="CV289" i="23916" s="1"/>
  <c r="CS289" i="23916"/>
  <c r="CS291" i="23916" s="1"/>
  <c r="CQ289" i="23916"/>
  <c r="CQ291" i="23916" s="1"/>
  <c r="CR291" i="23916" s="1"/>
  <c r="CO289" i="23916"/>
  <c r="CN289" i="23916"/>
  <c r="CM289" i="23916"/>
  <c r="CM291" i="23916" s="1"/>
  <c r="CN291" i="23916" s="1"/>
  <c r="CK289" i="23916"/>
  <c r="CX288" i="23916"/>
  <c r="CX287" i="23916"/>
  <c r="CV288" i="23916"/>
  <c r="CV287" i="23916"/>
  <c r="CT288" i="23916"/>
  <c r="CT287" i="23916"/>
  <c r="CP288" i="23916"/>
  <c r="CP287" i="23916"/>
  <c r="CN288" i="23916"/>
  <c r="CN287" i="23916"/>
  <c r="CL288" i="23916"/>
  <c r="CL287" i="23916"/>
  <c r="GO290" i="23916"/>
  <c r="GN290" i="23916"/>
  <c r="GL290" i="23916"/>
  <c r="GM290" i="23916" s="1"/>
  <c r="GK290" i="23916"/>
  <c r="GJ290" i="23916"/>
  <c r="GH290" i="23916"/>
  <c r="GI290" i="23916" s="1"/>
  <c r="GF290" i="23916"/>
  <c r="GC290" i="23916"/>
  <c r="GD289" i="23916"/>
  <c r="GE289" i="23916" s="1"/>
  <c r="GO288" i="23916"/>
  <c r="GN288" i="23916"/>
  <c r="GL288" i="23916"/>
  <c r="GM288" i="23916" s="1"/>
  <c r="GK288" i="23916"/>
  <c r="GJ288" i="23916"/>
  <c r="GH288" i="23916"/>
  <c r="GI288" i="23916" s="1"/>
  <c r="GG288" i="23916"/>
  <c r="GF288" i="23916"/>
  <c r="GD288" i="23916"/>
  <c r="GE288" i="23916" s="1"/>
  <c r="GC288" i="23916"/>
  <c r="GO287" i="23916"/>
  <c r="GN287" i="23916"/>
  <c r="GN293" i="23916" s="1"/>
  <c r="GL287" i="23916"/>
  <c r="GM287" i="23916" s="1"/>
  <c r="GK287" i="23916"/>
  <c r="GJ287" i="23916"/>
  <c r="GJ293" i="23916" s="1"/>
  <c r="GH287" i="23916"/>
  <c r="GI287" i="23916" s="1"/>
  <c r="GG287" i="23916"/>
  <c r="GF287" i="23916"/>
  <c r="GF293" i="23916" s="1"/>
  <c r="GD287" i="23916"/>
  <c r="GE287" i="23916" s="1"/>
  <c r="GC287" i="23916"/>
  <c r="GA288" i="23916"/>
  <c r="FZ288" i="23916"/>
  <c r="FZ287" i="23916"/>
  <c r="EP290" i="23916"/>
  <c r="ES289" i="23916"/>
  <c r="ER289" i="23916"/>
  <c r="EQ289" i="23916"/>
  <c r="EP289" i="23916"/>
  <c r="EP288" i="23916"/>
  <c r="ET287" i="23916"/>
  <c r="EP287" i="23916"/>
  <c r="EP284" i="23916"/>
  <c r="EO284" i="23916"/>
  <c r="EO298" i="23916" s="1"/>
  <c r="EM284" i="23916"/>
  <c r="EL284" i="23916"/>
  <c r="EK284" i="23916"/>
  <c r="EI284" i="23916"/>
  <c r="EH284" i="23916"/>
  <c r="EG284" i="23916"/>
  <c r="EG298" i="23916" s="1"/>
  <c r="EE284" i="23916"/>
  <c r="ED284" i="23916"/>
  <c r="EC284" i="23916"/>
  <c r="EA284" i="23916"/>
  <c r="DZ284" i="23916"/>
  <c r="DY284" i="23916"/>
  <c r="DY298" i="23916" s="1"/>
  <c r="DW284" i="23916"/>
  <c r="DV284" i="23916"/>
  <c r="DU284" i="23916"/>
  <c r="DS284" i="23916"/>
  <c r="DR284" i="23916"/>
  <c r="DQ284" i="23916"/>
  <c r="DQ298" i="23916" s="1"/>
  <c r="DO284" i="23916"/>
  <c r="DN284" i="23916"/>
  <c r="DM284" i="23916"/>
  <c r="DK284" i="23916"/>
  <c r="DJ284" i="23916"/>
  <c r="DI284" i="23916"/>
  <c r="DI298" i="23916" s="1"/>
  <c r="DG284" i="23916"/>
  <c r="DF284" i="23916"/>
  <c r="DE284" i="23916"/>
  <c r="DC284" i="23916"/>
  <c r="DB284" i="23916"/>
  <c r="DA284" i="23916"/>
  <c r="DA298" i="23916" s="1"/>
  <c r="CY284" i="23916"/>
  <c r="CX284" i="23916"/>
  <c r="CW284" i="23916"/>
  <c r="CW298" i="23916" s="1"/>
  <c r="CU284" i="23916"/>
  <c r="CT284" i="23916"/>
  <c r="CS284" i="23916"/>
  <c r="CS298" i="23916" s="1"/>
  <c r="CQ284" i="23916"/>
  <c r="CP284" i="23916"/>
  <c r="CO284" i="23916"/>
  <c r="CM284" i="23916"/>
  <c r="CL284" i="23916"/>
  <c r="CK284" i="23916"/>
  <c r="GB284" i="23916"/>
  <c r="GN283" i="23916"/>
  <c r="GL283" i="23916"/>
  <c r="GJ283" i="23916"/>
  <c r="GH283" i="23916"/>
  <c r="GF283" i="23916"/>
  <c r="GD283" i="23916"/>
  <c r="GB283" i="23916"/>
  <c r="GB854" i="23916" s="1"/>
  <c r="FZ283" i="23916"/>
  <c r="EN283" i="23916"/>
  <c r="EN282" i="23916"/>
  <c r="EN281" i="23916"/>
  <c r="EN280" i="23916"/>
  <c r="EL283" i="23916"/>
  <c r="EL282" i="23916"/>
  <c r="EL281" i="23916"/>
  <c r="EL280" i="23916"/>
  <c r="EJ283" i="23916"/>
  <c r="EJ282" i="23916"/>
  <c r="EJ281" i="23916"/>
  <c r="EJ280" i="23916"/>
  <c r="EH283" i="23916"/>
  <c r="EH282" i="23916"/>
  <c r="EH281" i="23916"/>
  <c r="EH280" i="23916"/>
  <c r="EF283" i="23916"/>
  <c r="EF282" i="23916"/>
  <c r="EF281" i="23916"/>
  <c r="EF280" i="23916"/>
  <c r="ED283" i="23916"/>
  <c r="ED282" i="23916"/>
  <c r="ED281" i="23916"/>
  <c r="ED280" i="23916"/>
  <c r="EB283" i="23916"/>
  <c r="EB282" i="23916"/>
  <c r="EB281" i="23916"/>
  <c r="EB280" i="23916"/>
  <c r="DZ283" i="23916"/>
  <c r="DZ282" i="23916"/>
  <c r="DZ281" i="23916"/>
  <c r="DZ280" i="23916"/>
  <c r="DX283" i="23916"/>
  <c r="DX282" i="23916"/>
  <c r="DX281" i="23916"/>
  <c r="DX280" i="23916"/>
  <c r="DV283" i="23916"/>
  <c r="DV282" i="23916"/>
  <c r="DV281" i="23916"/>
  <c r="DV280" i="23916"/>
  <c r="DT283" i="23916"/>
  <c r="DT282" i="23916"/>
  <c r="DT281" i="23916"/>
  <c r="DT280" i="23916"/>
  <c r="DR283" i="23916"/>
  <c r="DR282" i="23916"/>
  <c r="DR281" i="23916"/>
  <c r="DR280" i="23916"/>
  <c r="DP283" i="23916"/>
  <c r="DP282" i="23916"/>
  <c r="DP281" i="23916"/>
  <c r="DP280" i="23916"/>
  <c r="DN283" i="23916"/>
  <c r="DN282" i="23916"/>
  <c r="DN281" i="23916"/>
  <c r="DN280" i="23916"/>
  <c r="DL283" i="23916"/>
  <c r="DL282" i="23916"/>
  <c r="DL281" i="23916"/>
  <c r="DL280" i="23916"/>
  <c r="DJ283" i="23916"/>
  <c r="DJ282" i="23916"/>
  <c r="DJ281" i="23916"/>
  <c r="DJ280" i="23916"/>
  <c r="DH283" i="23916"/>
  <c r="DH282" i="23916"/>
  <c r="DH281" i="23916"/>
  <c r="DH280" i="23916"/>
  <c r="DF283" i="23916"/>
  <c r="DF282" i="23916"/>
  <c r="DF281" i="23916"/>
  <c r="DF280" i="23916"/>
  <c r="DD283" i="23916"/>
  <c r="DD282" i="23916"/>
  <c r="DD281" i="23916"/>
  <c r="DD280" i="23916"/>
  <c r="DB283" i="23916"/>
  <c r="DB282" i="23916"/>
  <c r="DB281" i="23916"/>
  <c r="DB280" i="23916"/>
  <c r="CZ283" i="23916"/>
  <c r="CZ282" i="23916"/>
  <c r="CZ281" i="23916"/>
  <c r="CZ280" i="23916"/>
  <c r="CX283" i="23916"/>
  <c r="CX282" i="23916"/>
  <c r="CX281" i="23916"/>
  <c r="CX280" i="23916"/>
  <c r="CV283" i="23916"/>
  <c r="CV282" i="23916"/>
  <c r="CV281" i="23916"/>
  <c r="CV280" i="23916"/>
  <c r="CT283" i="23916"/>
  <c r="CT282" i="23916"/>
  <c r="CT281" i="23916"/>
  <c r="CT280" i="23916"/>
  <c r="CR283" i="23916"/>
  <c r="CR282" i="23916"/>
  <c r="CR281" i="23916"/>
  <c r="CR280" i="23916"/>
  <c r="CP283" i="23916"/>
  <c r="CP282" i="23916"/>
  <c r="CP281" i="23916"/>
  <c r="CP280" i="23916"/>
  <c r="CN283" i="23916"/>
  <c r="CN282" i="23916"/>
  <c r="CN281" i="23916"/>
  <c r="CN280" i="23916"/>
  <c r="CL283" i="23916"/>
  <c r="CL282" i="23916"/>
  <c r="CL281" i="23916"/>
  <c r="CL280" i="23916"/>
  <c r="GO282" i="23916"/>
  <c r="GN282" i="23916"/>
  <c r="GN284" i="23916" s="1"/>
  <c r="GL282" i="23916"/>
  <c r="GM282" i="23916" s="1"/>
  <c r="GK282" i="23916"/>
  <c r="GJ282" i="23916"/>
  <c r="GJ284" i="23916" s="1"/>
  <c r="GH282" i="23916"/>
  <c r="GI282" i="23916" s="1"/>
  <c r="GG282" i="23916"/>
  <c r="GF282" i="23916"/>
  <c r="GF284" i="23916" s="1"/>
  <c r="GD282" i="23916"/>
  <c r="GE282" i="23916" s="1"/>
  <c r="GC282" i="23916"/>
  <c r="GO281" i="23916"/>
  <c r="GN281" i="23916"/>
  <c r="GL281" i="23916"/>
  <c r="GM281" i="23916" s="1"/>
  <c r="GK281" i="23916"/>
  <c r="GJ281" i="23916"/>
  <c r="GH281" i="23916"/>
  <c r="GI281" i="23916" s="1"/>
  <c r="GG281" i="23916"/>
  <c r="GF281" i="23916"/>
  <c r="GD281" i="23916"/>
  <c r="GE281" i="23916" s="1"/>
  <c r="GC281" i="23916"/>
  <c r="GO280" i="23916"/>
  <c r="GN280" i="23916"/>
  <c r="GN854" i="23916" s="1"/>
  <c r="GL280" i="23916"/>
  <c r="GK280" i="23916"/>
  <c r="GJ280" i="23916"/>
  <c r="GJ854" i="23916" s="1"/>
  <c r="GH280" i="23916"/>
  <c r="GG280" i="23916"/>
  <c r="GF280" i="23916"/>
  <c r="GF854" i="23916" s="1"/>
  <c r="GD280" i="23916"/>
  <c r="GC280" i="23916"/>
  <c r="GA282" i="23916"/>
  <c r="FZ282" i="23916"/>
  <c r="FZ281" i="23916"/>
  <c r="GA281" i="23916" s="1"/>
  <c r="GA280" i="23916"/>
  <c r="FZ280" i="23916"/>
  <c r="ES283" i="23916"/>
  <c r="ER283" i="23916"/>
  <c r="EQ283" i="23916"/>
  <c r="EP283" i="23916"/>
  <c r="EQ282" i="23916"/>
  <c r="EQ288" i="23916" s="1"/>
  <c r="EP282" i="23916"/>
  <c r="EQ281" i="23916"/>
  <c r="EP281" i="23916"/>
  <c r="ES280" i="23916"/>
  <c r="EU280" i="23916" s="1"/>
  <c r="ER280" i="23916"/>
  <c r="EQ280" i="23916"/>
  <c r="EP280" i="23916"/>
  <c r="GW270" i="23916"/>
  <c r="GU270" i="23916"/>
  <c r="GQ270" i="23916"/>
  <c r="GP270" i="23916"/>
  <c r="GS270" i="23916" s="1"/>
  <c r="GN270" i="23916"/>
  <c r="GI270" i="23916"/>
  <c r="GH270" i="23916"/>
  <c r="GF270" i="23916"/>
  <c r="GG270" i="23916" s="1"/>
  <c r="GE270" i="23916"/>
  <c r="GD270" i="23916"/>
  <c r="GB270" i="23916"/>
  <c r="GC270" i="23916" s="1"/>
  <c r="GA270" i="23916"/>
  <c r="FZ270" i="23916"/>
  <c r="FX270" i="23916"/>
  <c r="FY270" i="23916" s="1"/>
  <c r="FW270" i="23916"/>
  <c r="FV270" i="23916"/>
  <c r="FT270" i="23916"/>
  <c r="FU270" i="23916" s="1"/>
  <c r="FS270" i="23916"/>
  <c r="FR270" i="23916"/>
  <c r="FP270" i="23916"/>
  <c r="FQ270" i="23916" s="1"/>
  <c r="EX270" i="23916"/>
  <c r="EV270" i="23916"/>
  <c r="ET270" i="23916"/>
  <c r="ER270" i="23916"/>
  <c r="EP270" i="23916"/>
  <c r="EP267" i="23916"/>
  <c r="EN270" i="23916"/>
  <c r="EN267" i="23916"/>
  <c r="EL270" i="23916"/>
  <c r="EL267" i="23916"/>
  <c r="EJ267" i="23916"/>
  <c r="EH270" i="23916"/>
  <c r="EH267" i="23916"/>
  <c r="EF267" i="23916"/>
  <c r="ED270" i="23916"/>
  <c r="ED267" i="23916"/>
  <c r="EA270" i="23916"/>
  <c r="EJ270" i="23916" s="1"/>
  <c r="DY270" i="23916"/>
  <c r="DW270" i="23916"/>
  <c r="GJ270" i="23916" s="1"/>
  <c r="GK270" i="23916" s="1"/>
  <c r="ES268" i="23916"/>
  <c r="EU268" i="23916" s="1"/>
  <c r="DZ267" i="23916"/>
  <c r="DX267" i="23916"/>
  <c r="FT267" i="23916"/>
  <c r="FR267" i="23916"/>
  <c r="FP267" i="23916"/>
  <c r="FN267" i="23916"/>
  <c r="FL267" i="23916"/>
  <c r="FJ267" i="23916"/>
  <c r="FH267" i="23916"/>
  <c r="FF267" i="23916"/>
  <c r="FD267" i="23916"/>
  <c r="EB267" i="23916"/>
  <c r="DV267" i="23916"/>
  <c r="DT267" i="23916"/>
  <c r="GZ270" i="23916"/>
  <c r="GY270" i="23916"/>
  <c r="GN267" i="23916"/>
  <c r="GM267" i="23916"/>
  <c r="GL267" i="23916"/>
  <c r="GJ267" i="23916"/>
  <c r="GI267" i="23916"/>
  <c r="GH267" i="23916"/>
  <c r="GF267" i="23916"/>
  <c r="GE267" i="23916"/>
  <c r="GD267" i="23916"/>
  <c r="GB267" i="23916"/>
  <c r="GA267" i="23916"/>
  <c r="FZ267" i="23916"/>
  <c r="FX267" i="23916"/>
  <c r="FW267" i="23916"/>
  <c r="DW266" i="23916"/>
  <c r="EO263" i="23916"/>
  <c r="EM262" i="23916"/>
  <c r="EG263" i="23916"/>
  <c r="EE262" i="23916"/>
  <c r="DY263" i="23916"/>
  <c r="DW262" i="23916"/>
  <c r="FR260" i="23916"/>
  <c r="FN260" i="23916"/>
  <c r="FJ260" i="23916"/>
  <c r="FG260" i="23916"/>
  <c r="FF260" i="23916"/>
  <c r="FD260" i="23916"/>
  <c r="FE260" i="23916" s="1"/>
  <c r="FB260" i="23916"/>
  <c r="I260" i="23916"/>
  <c r="G260" i="23916"/>
  <c r="E260" i="23916"/>
  <c r="C260" i="23916"/>
  <c r="EM260" i="23916"/>
  <c r="DW260" i="23916"/>
  <c r="DX260" i="23916" s="1"/>
  <c r="EQ259" i="23916"/>
  <c r="EP259" i="23916"/>
  <c r="EO259" i="23916"/>
  <c r="EO260" i="23916" s="1"/>
  <c r="EM259" i="23916"/>
  <c r="EL259" i="23916"/>
  <c r="EK259" i="23916"/>
  <c r="EK260" i="23916" s="1"/>
  <c r="EL260" i="23916" s="1"/>
  <c r="EI259" i="23916"/>
  <c r="EH259" i="23916"/>
  <c r="EG259" i="23916"/>
  <c r="EG260" i="23916" s="1"/>
  <c r="EH260" i="23916" s="1"/>
  <c r="EE259" i="23916"/>
  <c r="ED259" i="23916"/>
  <c r="EC259" i="23916"/>
  <c r="EC260" i="23916" s="1"/>
  <c r="EA259" i="23916"/>
  <c r="DZ259" i="23916"/>
  <c r="DY259" i="23916"/>
  <c r="DY260" i="23916" s="1"/>
  <c r="DZ260" i="23916" s="1"/>
  <c r="DW259" i="23916"/>
  <c r="DX259" i="23916" s="1"/>
  <c r="DV259" i="23916"/>
  <c r="DU259" i="23916"/>
  <c r="DU260" i="23916" s="1"/>
  <c r="DV260" i="23916" s="1"/>
  <c r="DS259" i="23916"/>
  <c r="GH259" i="23916"/>
  <c r="GI259" i="23916" s="1"/>
  <c r="GG259" i="23916"/>
  <c r="GF259" i="23916"/>
  <c r="GD259" i="23916"/>
  <c r="GE259" i="23916" s="1"/>
  <c r="GC259" i="23916"/>
  <c r="GB259" i="23916"/>
  <c r="FZ259" i="23916"/>
  <c r="GA259" i="23916" s="1"/>
  <c r="FY259" i="23916"/>
  <c r="FX259" i="23916"/>
  <c r="FV259" i="23916"/>
  <c r="FW259" i="23916" s="1"/>
  <c r="GN258" i="23916"/>
  <c r="GL258" i="23916"/>
  <c r="GL263" i="23916" s="1"/>
  <c r="GJ258" i="23916"/>
  <c r="GH258" i="23916"/>
  <c r="GF258" i="23916"/>
  <c r="GD258" i="23916"/>
  <c r="GB258" i="23916"/>
  <c r="FZ258" i="23916"/>
  <c r="FX258" i="23916"/>
  <c r="FV258" i="23916"/>
  <c r="EN258" i="23916"/>
  <c r="EN257" i="23916"/>
  <c r="EL258" i="23916"/>
  <c r="EL257" i="23916"/>
  <c r="EJ258" i="23916"/>
  <c r="EJ257" i="23916"/>
  <c r="EH258" i="23916"/>
  <c r="EH257" i="23916"/>
  <c r="EF258" i="23916"/>
  <c r="EF257" i="23916"/>
  <c r="ED258" i="23916"/>
  <c r="ED257" i="23916"/>
  <c r="EB258" i="23916"/>
  <c r="EB257" i="23916"/>
  <c r="DZ258" i="23916"/>
  <c r="DZ257" i="23916"/>
  <c r="DX258" i="23916"/>
  <c r="DX257" i="23916"/>
  <c r="DV258" i="23916"/>
  <c r="DV257" i="23916"/>
  <c r="DT258" i="23916"/>
  <c r="DT257" i="23916"/>
  <c r="GO257" i="23916"/>
  <c r="GN257" i="23916"/>
  <c r="GL257" i="23916"/>
  <c r="GM257" i="23916" s="1"/>
  <c r="GK257" i="23916"/>
  <c r="GJ257" i="23916"/>
  <c r="GH257" i="23916"/>
  <c r="GI257" i="23916" s="1"/>
  <c r="GG257" i="23916"/>
  <c r="GF257" i="23916"/>
  <c r="GD257" i="23916"/>
  <c r="GE257" i="23916" s="1"/>
  <c r="GC257" i="23916"/>
  <c r="GB257" i="23916"/>
  <c r="FZ257" i="23916"/>
  <c r="GA257" i="23916" s="1"/>
  <c r="FY257" i="23916"/>
  <c r="FX257" i="23916"/>
  <c r="FT258" i="23916"/>
  <c r="FR258" i="23916"/>
  <c r="FP258" i="23916"/>
  <c r="FN258" i="23916"/>
  <c r="FL258" i="23916"/>
  <c r="FJ258" i="23916"/>
  <c r="FH258" i="23916"/>
  <c r="FG258" i="23916"/>
  <c r="FF258" i="23916"/>
  <c r="FE258" i="23916"/>
  <c r="FU257" i="23916"/>
  <c r="FT257" i="23916"/>
  <c r="FW257" i="23916" s="1"/>
  <c r="FR257" i="23916"/>
  <c r="FS257" i="23916" s="1"/>
  <c r="FQ257" i="23916"/>
  <c r="FP257" i="23916"/>
  <c r="FN257" i="23916"/>
  <c r="FO257" i="23916" s="1"/>
  <c r="FM257" i="23916"/>
  <c r="FL257" i="23916"/>
  <c r="FJ257" i="23916"/>
  <c r="FK257" i="23916" s="1"/>
  <c r="FI257" i="23916"/>
  <c r="FH257" i="23916"/>
  <c r="FF257" i="23916"/>
  <c r="FG257" i="23916" s="1"/>
  <c r="FE257" i="23916"/>
  <c r="EP258" i="23916"/>
  <c r="EP257" i="23916"/>
  <c r="FW254" i="23916"/>
  <c r="FV254" i="23916"/>
  <c r="FD254" i="23916"/>
  <c r="FB254" i="23916"/>
  <c r="FB266" i="23916" s="1"/>
  <c r="EQ254" i="23916"/>
  <c r="EM254" i="23916"/>
  <c r="EI254" i="23916"/>
  <c r="EE254" i="23916"/>
  <c r="EF254" i="23916" s="1"/>
  <c r="EA254" i="23916"/>
  <c r="DW254" i="23916"/>
  <c r="DX254" i="23916" s="1"/>
  <c r="DS254" i="23916"/>
  <c r="I254" i="23916"/>
  <c r="G254" i="23916"/>
  <c r="E254" i="23916"/>
  <c r="C254" i="23916"/>
  <c r="EN253" i="23916"/>
  <c r="EN252" i="23916"/>
  <c r="EL253" i="23916"/>
  <c r="EL252" i="23916"/>
  <c r="EJ253" i="23916"/>
  <c r="EJ252" i="23916"/>
  <c r="EH253" i="23916"/>
  <c r="EH252" i="23916"/>
  <c r="EH251" i="23916"/>
  <c r="EF253" i="23916"/>
  <c r="EF252" i="23916"/>
  <c r="ED253" i="23916"/>
  <c r="ED252" i="23916"/>
  <c r="EB253" i="23916"/>
  <c r="EB252" i="23916"/>
  <c r="DZ253" i="23916"/>
  <c r="DZ252" i="23916"/>
  <c r="DZ251" i="23916"/>
  <c r="DX253" i="23916"/>
  <c r="DX252" i="23916"/>
  <c r="DV253" i="23916"/>
  <c r="DV252" i="23916"/>
  <c r="DT253" i="23916"/>
  <c r="DT252" i="23916"/>
  <c r="GN253" i="23916"/>
  <c r="GL253" i="23916"/>
  <c r="GJ253" i="23916"/>
  <c r="GH253" i="23916"/>
  <c r="GF253" i="23916"/>
  <c r="GD253" i="23916"/>
  <c r="GB253" i="23916"/>
  <c r="FZ253" i="23916"/>
  <c r="FY253" i="23916"/>
  <c r="FX253" i="23916"/>
  <c r="GN252" i="23916"/>
  <c r="GL252" i="23916"/>
  <c r="GJ252" i="23916"/>
  <c r="GH252" i="23916"/>
  <c r="GF252" i="23916"/>
  <c r="GD252" i="23916"/>
  <c r="GB252" i="23916"/>
  <c r="FZ252" i="23916"/>
  <c r="FX252" i="23916"/>
  <c r="FW252" i="23916"/>
  <c r="GL251" i="23916"/>
  <c r="GH251" i="23916"/>
  <c r="GI251" i="23916" s="1"/>
  <c r="GF251" i="23916"/>
  <c r="GD251" i="23916"/>
  <c r="GB251" i="23916"/>
  <c r="FZ251" i="23916"/>
  <c r="FY251" i="23916"/>
  <c r="FX251" i="23916"/>
  <c r="FU253" i="23916"/>
  <c r="FT253" i="23916"/>
  <c r="FT254" i="23916" s="1"/>
  <c r="FR253" i="23916"/>
  <c r="FS253" i="23916" s="1"/>
  <c r="FQ253" i="23916"/>
  <c r="FP253" i="23916"/>
  <c r="FP254" i="23916" s="1"/>
  <c r="FN253" i="23916"/>
  <c r="FO253" i="23916" s="1"/>
  <c r="FM253" i="23916"/>
  <c r="FL253" i="23916"/>
  <c r="FL254" i="23916" s="1"/>
  <c r="FJ253" i="23916"/>
  <c r="FK253" i="23916" s="1"/>
  <c r="FI253" i="23916"/>
  <c r="FH253" i="23916"/>
  <c r="FH254" i="23916" s="1"/>
  <c r="FF253" i="23916"/>
  <c r="FG253" i="23916" s="1"/>
  <c r="FE253" i="23916"/>
  <c r="FT252" i="23916"/>
  <c r="FR252" i="23916"/>
  <c r="FP252" i="23916"/>
  <c r="FN252" i="23916"/>
  <c r="FL252" i="23916"/>
  <c r="FJ252" i="23916"/>
  <c r="FH252" i="23916"/>
  <c r="FF252" i="23916"/>
  <c r="FE252" i="23916"/>
  <c r="FT251" i="23916"/>
  <c r="FU251" i="23916" s="1"/>
  <c r="FS251" i="23916"/>
  <c r="FR251" i="23916"/>
  <c r="FP251" i="23916"/>
  <c r="FQ251" i="23916" s="1"/>
  <c r="FO251" i="23916"/>
  <c r="FN251" i="23916"/>
  <c r="FL251" i="23916"/>
  <c r="FM251" i="23916" s="1"/>
  <c r="FK251" i="23916"/>
  <c r="FJ251" i="23916"/>
  <c r="FH251" i="23916"/>
  <c r="FI251" i="23916" s="1"/>
  <c r="FG251" i="23916"/>
  <c r="FF251" i="23916"/>
  <c r="FE251" i="23916"/>
  <c r="ES253" i="23916"/>
  <c r="ER253" i="23916"/>
  <c r="EQ253" i="23916"/>
  <c r="EP253" i="23916"/>
  <c r="ET252" i="23916"/>
  <c r="ES252" i="23916"/>
  <c r="EU252" i="23916" s="1"/>
  <c r="EQ252" i="23916"/>
  <c r="EP252" i="23916"/>
  <c r="EQ251" i="23916"/>
  <c r="EP251" i="23916"/>
  <c r="EO251" i="23916"/>
  <c r="EO262" i="23916" s="1"/>
  <c r="EM251" i="23916"/>
  <c r="EK251" i="23916"/>
  <c r="EI251" i="23916"/>
  <c r="EG251" i="23916"/>
  <c r="EG262" i="23916" s="1"/>
  <c r="EE251" i="23916"/>
  <c r="EC251" i="23916"/>
  <c r="EA251" i="23916"/>
  <c r="DY251" i="23916"/>
  <c r="DY262" i="23916" s="1"/>
  <c r="DW251" i="23916"/>
  <c r="DU251" i="23916"/>
  <c r="DS251" i="23916"/>
  <c r="GJ242" i="23916"/>
  <c r="EW243" i="23916"/>
  <c r="EW242" i="23916"/>
  <c r="EU243" i="23916"/>
  <c r="EU242" i="23916"/>
  <c r="ES243" i="23916"/>
  <c r="ES242" i="23916"/>
  <c r="EQ245" i="23916"/>
  <c r="EQ244" i="23916"/>
  <c r="EQ246" i="23916" s="1"/>
  <c r="EQ243" i="23916"/>
  <c r="EQ242" i="23916"/>
  <c r="EO243" i="23916"/>
  <c r="EO242" i="23916"/>
  <c r="EM243" i="23916"/>
  <c r="EM242" i="23916"/>
  <c r="EK243" i="23916"/>
  <c r="EK242" i="23916"/>
  <c r="EI243" i="23916"/>
  <c r="EI242" i="23916"/>
  <c r="EG243" i="23916"/>
  <c r="EG242" i="23916"/>
  <c r="EE243" i="23916"/>
  <c r="EE242" i="23916"/>
  <c r="EC243" i="23916"/>
  <c r="EC242" i="23916"/>
  <c r="EA244" i="23916"/>
  <c r="EA243" i="23916"/>
  <c r="EA242" i="23916"/>
  <c r="DY243" i="23916"/>
  <c r="DY242" i="23916"/>
  <c r="DW243" i="23916"/>
  <c r="DW242" i="23916"/>
  <c r="DU243" i="23916"/>
  <c r="DU242" i="23916"/>
  <c r="DS243" i="23916"/>
  <c r="DS242" i="23916"/>
  <c r="GY240" i="23916"/>
  <c r="GW240" i="23916"/>
  <c r="GU240" i="23916"/>
  <c r="EU238" i="23916"/>
  <c r="EW238" i="23916" s="1"/>
  <c r="ES237" i="23916"/>
  <c r="ES245" i="23916" s="1"/>
  <c r="ES231" i="23916" s="1"/>
  <c r="EQ235" i="23916"/>
  <c r="EQ236" i="23916" s="1"/>
  <c r="GJ225" i="23916"/>
  <c r="EQ231" i="23916"/>
  <c r="EQ227" i="23916"/>
  <c r="EQ226" i="23916"/>
  <c r="EQ225" i="23916"/>
  <c r="ES225" i="23916" s="1"/>
  <c r="EO229" i="23916"/>
  <c r="EO227" i="23916"/>
  <c r="EM229" i="23916"/>
  <c r="EM227" i="23916"/>
  <c r="EK229" i="23916"/>
  <c r="GN229" i="23916" s="1"/>
  <c r="EK227" i="23916"/>
  <c r="EI232" i="23916"/>
  <c r="EI229" i="23916"/>
  <c r="EI227" i="23916"/>
  <c r="EG231" i="23916"/>
  <c r="EG237" i="23916" s="1"/>
  <c r="EG245" i="23916" s="1"/>
  <c r="EG229" i="23916"/>
  <c r="EG227" i="23916"/>
  <c r="GL227" i="23916" s="1"/>
  <c r="EE229" i="23916"/>
  <c r="EE227" i="23916"/>
  <c r="EC229" i="23916"/>
  <c r="GL229" i="23916" s="1"/>
  <c r="EC227" i="23916"/>
  <c r="EA229" i="23916"/>
  <c r="EA227" i="23916"/>
  <c r="DY229" i="23916"/>
  <c r="DY227" i="23916"/>
  <c r="GJ227" i="23916" s="1"/>
  <c r="GJ241" i="23916" s="1"/>
  <c r="DW229" i="23916"/>
  <c r="DW227" i="23916"/>
  <c r="DU229" i="23916"/>
  <c r="DU227" i="23916"/>
  <c r="DS229" i="23916"/>
  <c r="DS228" i="23916"/>
  <c r="DS226" i="23916" s="1"/>
  <c r="DS227" i="23916"/>
  <c r="GN227" i="23916"/>
  <c r="GN225" i="23916"/>
  <c r="GL225" i="23916"/>
  <c r="GO225" i="23916"/>
  <c r="GM225" i="23916"/>
  <c r="EW219" i="23916"/>
  <c r="EW218" i="23916"/>
  <c r="EU219" i="23916"/>
  <c r="EU218" i="23916"/>
  <c r="ES219" i="23916"/>
  <c r="ES218" i="23916"/>
  <c r="EQ221" i="23916"/>
  <c r="EQ219" i="23916"/>
  <c r="EQ218" i="23916"/>
  <c r="EO222" i="23916"/>
  <c r="EO221" i="23916"/>
  <c r="EM222" i="23916"/>
  <c r="EM221" i="23916"/>
  <c r="EK222" i="23916"/>
  <c r="EK221" i="23916"/>
  <c r="EI222" i="23916"/>
  <c r="EI221" i="23916"/>
  <c r="EG222" i="23916"/>
  <c r="EG221" i="23916"/>
  <c r="EE222" i="23916"/>
  <c r="EE221" i="23916"/>
  <c r="EC222" i="23916"/>
  <c r="EC221" i="23916"/>
  <c r="EA222" i="23916"/>
  <c r="EA221" i="23916"/>
  <c r="DY222" i="23916"/>
  <c r="DY221" i="23916"/>
  <c r="DW222" i="23916"/>
  <c r="DW221" i="23916"/>
  <c r="DU222" i="23916"/>
  <c r="DU221" i="23916"/>
  <c r="DS222" i="23916"/>
  <c r="DS221" i="23916"/>
  <c r="EO219" i="23916"/>
  <c r="EO211" i="23916" s="1"/>
  <c r="EO213" i="23916" s="1"/>
  <c r="EO218" i="23916"/>
  <c r="EM219" i="23916"/>
  <c r="EM218" i="23916"/>
  <c r="EK219" i="23916"/>
  <c r="EK211" i="23916" s="1"/>
  <c r="EK213" i="23916" s="1"/>
  <c r="EK218" i="23916"/>
  <c r="EI219" i="23916"/>
  <c r="EI218" i="23916"/>
  <c r="EG219" i="23916"/>
  <c r="EG211" i="23916" s="1"/>
  <c r="EG213" i="23916" s="1"/>
  <c r="EG218" i="23916"/>
  <c r="EE219" i="23916"/>
  <c r="EE218" i="23916"/>
  <c r="EC219" i="23916"/>
  <c r="EC211" i="23916" s="1"/>
  <c r="EC213" i="23916" s="1"/>
  <c r="EC218" i="23916"/>
  <c r="EA219" i="23916"/>
  <c r="EA218" i="23916"/>
  <c r="DY219" i="23916"/>
  <c r="DY211" i="23916" s="1"/>
  <c r="DY213" i="23916" s="1"/>
  <c r="DY218" i="23916"/>
  <c r="DW219" i="23916"/>
  <c r="DW218" i="23916"/>
  <c r="DU219" i="23916"/>
  <c r="DU211" i="23916" s="1"/>
  <c r="DU213" i="23916" s="1"/>
  <c r="DU218" i="23916"/>
  <c r="DS219" i="23916"/>
  <c r="DS218" i="23916"/>
  <c r="GY216" i="23916"/>
  <c r="GW216" i="23916"/>
  <c r="GU216" i="23916"/>
  <c r="GX215" i="23916"/>
  <c r="GV215" i="23916"/>
  <c r="GT215" i="23916"/>
  <c r="GU215" i="23916" s="1"/>
  <c r="GR215" i="23916"/>
  <c r="EW215" i="23916"/>
  <c r="EU215" i="23916"/>
  <c r="ES215" i="23916"/>
  <c r="EQ215" i="23916"/>
  <c r="EO215" i="23916"/>
  <c r="EM215" i="23916"/>
  <c r="EK215" i="23916"/>
  <c r="EI215" i="23916"/>
  <c r="EG215" i="23916"/>
  <c r="EE215" i="23916"/>
  <c r="EC215" i="23916"/>
  <c r="EA215" i="23916"/>
  <c r="DY215" i="23916"/>
  <c r="DW215" i="23916"/>
  <c r="DU215" i="23916"/>
  <c r="DS215" i="23916"/>
  <c r="EW213" i="23916"/>
  <c r="EU212" i="23916"/>
  <c r="ES213" i="23916"/>
  <c r="EU213" i="23916" s="1"/>
  <c r="EI213" i="23916"/>
  <c r="EA213" i="23916"/>
  <c r="DS213" i="23916"/>
  <c r="EQ212" i="23916"/>
  <c r="ES212" i="23916" s="1"/>
  <c r="ES221" i="23916" s="1"/>
  <c r="EQ211" i="23916"/>
  <c r="EM211" i="23916"/>
  <c r="EM213" i="23916" s="1"/>
  <c r="EI211" i="23916"/>
  <c r="EE211" i="23916"/>
  <c r="EE213" i="23916" s="1"/>
  <c r="EA211" i="23916"/>
  <c r="DW211" i="23916"/>
  <c r="DW213" i="23916" s="1"/>
  <c r="DS211" i="23916"/>
  <c r="GJ203" i="23916"/>
  <c r="GJ217" i="23916" s="1"/>
  <c r="GJ201" i="23916"/>
  <c r="EQ207" i="23916"/>
  <c r="EQ258" i="23916" s="1"/>
  <c r="EQ203" i="23916"/>
  <c r="EQ201" i="23916"/>
  <c r="ES201" i="23916" s="1"/>
  <c r="ES203" i="23916" s="1"/>
  <c r="EO207" i="23916"/>
  <c r="GN207" i="23916" s="1"/>
  <c r="EO206" i="23916"/>
  <c r="EO208" i="23916" s="1"/>
  <c r="EO205" i="23916"/>
  <c r="EO203" i="23916"/>
  <c r="GN203" i="23916" s="1"/>
  <c r="EM207" i="23916"/>
  <c r="EM231" i="23916" s="1"/>
  <c r="EM237" i="23916" s="1"/>
  <c r="EM245" i="23916" s="1"/>
  <c r="EM206" i="23916"/>
  <c r="EM205" i="23916"/>
  <c r="EM203" i="23916"/>
  <c r="EK207" i="23916"/>
  <c r="EK231" i="23916" s="1"/>
  <c r="EK237" i="23916" s="1"/>
  <c r="EK245" i="23916" s="1"/>
  <c r="EK206" i="23916"/>
  <c r="EK230" i="23916" s="1"/>
  <c r="EK205" i="23916"/>
  <c r="EK203" i="23916"/>
  <c r="EI208" i="23916"/>
  <c r="EI207" i="23916"/>
  <c r="EI231" i="23916" s="1"/>
  <c r="EI237" i="23916" s="1"/>
  <c r="EI245" i="23916" s="1"/>
  <c r="EI206" i="23916"/>
  <c r="EI230" i="23916" s="1"/>
  <c r="EI205" i="23916"/>
  <c r="EI204" i="23916"/>
  <c r="EI202" i="23916" s="1"/>
  <c r="EI203" i="23916"/>
  <c r="EG207" i="23916"/>
  <c r="GL207" i="23916" s="1"/>
  <c r="EG206" i="23916"/>
  <c r="EG205" i="23916"/>
  <c r="EG204" i="23916"/>
  <c r="EG203" i="23916"/>
  <c r="GL203" i="23916" s="1"/>
  <c r="EE207" i="23916"/>
  <c r="EE231" i="23916" s="1"/>
  <c r="EE237" i="23916" s="1"/>
  <c r="EE245" i="23916" s="1"/>
  <c r="EE206" i="23916"/>
  <c r="EE205" i="23916"/>
  <c r="EE203" i="23916"/>
  <c r="EC207" i="23916"/>
  <c r="EC231" i="23916" s="1"/>
  <c r="EC237" i="23916" s="1"/>
  <c r="EC245" i="23916" s="1"/>
  <c r="EC206" i="23916"/>
  <c r="EC230" i="23916" s="1"/>
  <c r="EC205" i="23916"/>
  <c r="GL205" i="23916" s="1"/>
  <c r="EC203" i="23916"/>
  <c r="EA208" i="23916"/>
  <c r="EA207" i="23916"/>
  <c r="EA231" i="23916" s="1"/>
  <c r="EA206" i="23916"/>
  <c r="EA230" i="23916" s="1"/>
  <c r="EA232" i="23916" s="1"/>
  <c r="EA205" i="23916"/>
  <c r="EA204" i="23916"/>
  <c r="EA202" i="23916" s="1"/>
  <c r="EA203" i="23916"/>
  <c r="DY207" i="23916"/>
  <c r="DY208" i="23916" s="1"/>
  <c r="DY206" i="23916"/>
  <c r="DY230" i="23916" s="1"/>
  <c r="DY205" i="23916"/>
  <c r="DY204" i="23916"/>
  <c r="DY203" i="23916"/>
  <c r="DW207" i="23916"/>
  <c r="DW231" i="23916" s="1"/>
  <c r="DW237" i="23916" s="1"/>
  <c r="DW245" i="23916" s="1"/>
  <c r="DW206" i="23916"/>
  <c r="DW205" i="23916"/>
  <c r="DW203" i="23916"/>
  <c r="DU207" i="23916"/>
  <c r="DU231" i="23916" s="1"/>
  <c r="DU206" i="23916"/>
  <c r="DU230" i="23916" s="1"/>
  <c r="DU205" i="23916"/>
  <c r="DU203" i="23916"/>
  <c r="DS208" i="23916"/>
  <c r="DS207" i="23916"/>
  <c r="DS231" i="23916" s="1"/>
  <c r="DS237" i="23916" s="1"/>
  <c r="DS245" i="23916" s="1"/>
  <c r="DS206" i="23916"/>
  <c r="DS230" i="23916" s="1"/>
  <c r="DS244" i="23916" s="1"/>
  <c r="DS205" i="23916"/>
  <c r="DS204" i="23916"/>
  <c r="DS202" i="23916" s="1"/>
  <c r="DS203" i="23916"/>
  <c r="GN205" i="23916"/>
  <c r="GN201" i="23916"/>
  <c r="GL201" i="23916"/>
  <c r="GO201" i="23916"/>
  <c r="GM201" i="23916"/>
  <c r="GW191" i="23916"/>
  <c r="GU191" i="23916"/>
  <c r="GS191" i="23916"/>
  <c r="GQ191" i="23916"/>
  <c r="GP191" i="23916"/>
  <c r="GN191" i="23916"/>
  <c r="GH191" i="23916"/>
  <c r="GE191" i="23916"/>
  <c r="GD191" i="23916"/>
  <c r="GC191" i="23916"/>
  <c r="GB191" i="23916"/>
  <c r="FZ191" i="23916"/>
  <c r="FQ191" i="23916"/>
  <c r="FP191" i="23916"/>
  <c r="EX191" i="23916"/>
  <c r="EV191" i="23916"/>
  <c r="ET191" i="23916"/>
  <c r="ER191" i="23916"/>
  <c r="EP191" i="23916"/>
  <c r="EP188" i="23916"/>
  <c r="EN191" i="23916"/>
  <c r="EN188" i="23916"/>
  <c r="EL191" i="23916"/>
  <c r="EL188" i="23916"/>
  <c r="EJ191" i="23916"/>
  <c r="EJ188" i="23916"/>
  <c r="EH191" i="23916"/>
  <c r="EH188" i="23916"/>
  <c r="EF188" i="23916"/>
  <c r="ED191" i="23916"/>
  <c r="EC191" i="23916"/>
  <c r="EC627" i="23916" s="1"/>
  <c r="ED627" i="23916" s="1"/>
  <c r="EB191" i="23916"/>
  <c r="DZ191" i="23916"/>
  <c r="DZ188" i="23916"/>
  <c r="DX191" i="23916"/>
  <c r="DW191" i="23916"/>
  <c r="DW627" i="23916" s="1"/>
  <c r="DV191" i="23916"/>
  <c r="DT191" i="23916"/>
  <c r="DT188" i="23916"/>
  <c r="DR188" i="23916"/>
  <c r="DP191" i="23916"/>
  <c r="DP188" i="23916"/>
  <c r="DN191" i="23916"/>
  <c r="DN188" i="23916"/>
  <c r="DL191" i="23916"/>
  <c r="DL188" i="23916"/>
  <c r="DJ191" i="23916"/>
  <c r="DI191" i="23916"/>
  <c r="DR191" i="23916" s="1"/>
  <c r="DH191" i="23916"/>
  <c r="DF191" i="23916"/>
  <c r="DF188" i="23916"/>
  <c r="DD191" i="23916"/>
  <c r="DD188" i="23916"/>
  <c r="DB191" i="23916"/>
  <c r="DB188" i="23916"/>
  <c r="CZ191" i="23916"/>
  <c r="CZ188" i="23916"/>
  <c r="CX191" i="23916"/>
  <c r="CX188" i="23916"/>
  <c r="CV191" i="23916"/>
  <c r="CV188" i="23916"/>
  <c r="CT191" i="23916"/>
  <c r="CT188" i="23916"/>
  <c r="CR191" i="23916"/>
  <c r="CR188" i="23916"/>
  <c r="CP191" i="23916"/>
  <c r="CP188" i="23916"/>
  <c r="CN191" i="23916"/>
  <c r="CN188" i="23916"/>
  <c r="CL191" i="23916"/>
  <c r="CL188" i="23916"/>
  <c r="CJ191" i="23916"/>
  <c r="CJ188" i="23916"/>
  <c r="CH191" i="23916"/>
  <c r="CH188" i="23916"/>
  <c r="CF188" i="23916"/>
  <c r="CD191" i="23916"/>
  <c r="CD188" i="23916"/>
  <c r="CB191" i="23916"/>
  <c r="CA191" i="23916"/>
  <c r="CA627" i="23916" s="1"/>
  <c r="BZ191" i="23916"/>
  <c r="BW191" i="23916"/>
  <c r="BV191" i="23916"/>
  <c r="BS191" i="23916"/>
  <c r="BS627" i="23916" s="1"/>
  <c r="BR191" i="23916"/>
  <c r="BP191" i="23916"/>
  <c r="BP188" i="23916"/>
  <c r="BN188" i="23916"/>
  <c r="BK191" i="23916"/>
  <c r="BH191" i="23916"/>
  <c r="BH188" i="23916"/>
  <c r="BE191" i="23916"/>
  <c r="BD191" i="23916"/>
  <c r="BB191" i="23916"/>
  <c r="BA191" i="23916"/>
  <c r="BA627" i="23916" s="1"/>
  <c r="AZ191" i="23916"/>
  <c r="AY191" i="23916"/>
  <c r="AY627" i="23916" s="1"/>
  <c r="AV191" i="23916"/>
  <c r="AV188" i="23916"/>
  <c r="AT191" i="23916"/>
  <c r="AT188" i="23916"/>
  <c r="AR191" i="23916"/>
  <c r="AR188" i="23916"/>
  <c r="AN191" i="23916"/>
  <c r="ES189" i="23916"/>
  <c r="EU189" i="23916" s="1"/>
  <c r="FT188" i="23916"/>
  <c r="FU188" i="23916" s="1"/>
  <c r="FS188" i="23916"/>
  <c r="FR188" i="23916"/>
  <c r="FP188" i="23916"/>
  <c r="FQ188" i="23916" s="1"/>
  <c r="FO188" i="23916"/>
  <c r="FN188" i="23916"/>
  <c r="FL188" i="23916"/>
  <c r="FM188" i="23916" s="1"/>
  <c r="FK188" i="23916"/>
  <c r="FJ188" i="23916"/>
  <c r="FH188" i="23916"/>
  <c r="FI188" i="23916" s="1"/>
  <c r="FG188" i="23916"/>
  <c r="FF188" i="23916"/>
  <c r="FD188" i="23916"/>
  <c r="FE188" i="23916" s="1"/>
  <c r="ED188" i="23916"/>
  <c r="EB188" i="23916"/>
  <c r="DX188" i="23916"/>
  <c r="DV188" i="23916"/>
  <c r="DJ188" i="23916"/>
  <c r="DH188" i="23916"/>
  <c r="CB188" i="23916"/>
  <c r="BZ188" i="23916"/>
  <c r="BX188" i="23916"/>
  <c r="BV188" i="23916"/>
  <c r="BT188" i="23916"/>
  <c r="BR188" i="23916"/>
  <c r="BL188" i="23916"/>
  <c r="BJ188" i="23916"/>
  <c r="BF188" i="23916"/>
  <c r="BD188" i="23916"/>
  <c r="BB188" i="23916"/>
  <c r="AZ188" i="23916"/>
  <c r="AX188" i="23916"/>
  <c r="AP188" i="23916"/>
  <c r="AN188" i="23916"/>
  <c r="AL188" i="23916"/>
  <c r="AJ188" i="23916"/>
  <c r="AH188" i="23916"/>
  <c r="AF188" i="23916"/>
  <c r="AD188" i="23916"/>
  <c r="AB188" i="23916"/>
  <c r="Z188" i="23916"/>
  <c r="X188" i="23916"/>
  <c r="V188" i="23916"/>
  <c r="T188" i="23916"/>
  <c r="R188" i="23916"/>
  <c r="Q188" i="23916"/>
  <c r="P188" i="23916"/>
  <c r="N188" i="23916"/>
  <c r="L188" i="23916"/>
  <c r="GZ191" i="23916"/>
  <c r="GY191" i="23916"/>
  <c r="GO188" i="23916"/>
  <c r="GN188" i="23916"/>
  <c r="GM188" i="23916"/>
  <c r="GL188" i="23916"/>
  <c r="GK188" i="23916"/>
  <c r="GJ188" i="23916"/>
  <c r="GI188" i="23916"/>
  <c r="GH188" i="23916"/>
  <c r="GG188" i="23916"/>
  <c r="GF188" i="23916"/>
  <c r="GE188" i="23916"/>
  <c r="GD188" i="23916"/>
  <c r="GC188" i="23916"/>
  <c r="GB188" i="23916"/>
  <c r="GA188" i="23916"/>
  <c r="FZ188" i="23916"/>
  <c r="FY188" i="23916"/>
  <c r="FX188" i="23916"/>
  <c r="FW188" i="23916"/>
  <c r="GT184" i="23916"/>
  <c r="GT185" i="23916" s="1"/>
  <c r="GR185" i="23916"/>
  <c r="EW185" i="23916"/>
  <c r="ES185" i="23916"/>
  <c r="ES184" i="23916"/>
  <c r="EU184" i="23916" s="1"/>
  <c r="EW184" i="23916" s="1"/>
  <c r="ES183" i="23916"/>
  <c r="ES182" i="23916"/>
  <c r="EU182" i="23916" s="1"/>
  <c r="EQ185" i="23916"/>
  <c r="G184" i="23916"/>
  <c r="EQ183" i="23916"/>
  <c r="FV182" i="23916"/>
  <c r="GP179" i="23916"/>
  <c r="GL179" i="23916"/>
  <c r="GM179" i="23916" s="1"/>
  <c r="GJ179" i="23916"/>
  <c r="GH179" i="23916"/>
  <c r="GI179" i="23916" s="1"/>
  <c r="GF179" i="23916"/>
  <c r="GD179" i="23916"/>
  <c r="GE179" i="23916" s="1"/>
  <c r="GB179" i="23916"/>
  <c r="FZ179" i="23916"/>
  <c r="GA179" i="23916" s="1"/>
  <c r="FX179" i="23916"/>
  <c r="FV179" i="23916"/>
  <c r="FW179" i="23916" s="1"/>
  <c r="EO179" i="23916"/>
  <c r="EX179" i="23916" s="1"/>
  <c r="EM179" i="23916"/>
  <c r="EK179" i="23916"/>
  <c r="EL179" i="23916" s="1"/>
  <c r="EI179" i="23916"/>
  <c r="EG179" i="23916"/>
  <c r="EH179" i="23916" s="1"/>
  <c r="EE179" i="23916"/>
  <c r="EF179" i="23916" s="1"/>
  <c r="EC179" i="23916"/>
  <c r="ED179" i="23916" s="1"/>
  <c r="DZ179" i="23916"/>
  <c r="DY179" i="23916"/>
  <c r="DX179" i="23916"/>
  <c r="DW179" i="23916"/>
  <c r="DV179" i="23916"/>
  <c r="DU179" i="23916"/>
  <c r="DT179" i="23916"/>
  <c r="DS179" i="23916"/>
  <c r="EB179" i="23916" s="1"/>
  <c r="DR179" i="23916"/>
  <c r="DQ179" i="23916"/>
  <c r="DP179" i="23916"/>
  <c r="DO179" i="23916"/>
  <c r="DN179" i="23916"/>
  <c r="DM179" i="23916"/>
  <c r="DL179" i="23916"/>
  <c r="DK179" i="23916"/>
  <c r="DJ179" i="23916"/>
  <c r="DI179" i="23916"/>
  <c r="DH179" i="23916"/>
  <c r="DG179" i="23916"/>
  <c r="DF179" i="23916"/>
  <c r="DE179" i="23916"/>
  <c r="DD179" i="23916"/>
  <c r="DC179" i="23916"/>
  <c r="DB179" i="23916"/>
  <c r="DA179" i="23916"/>
  <c r="CZ179" i="23916"/>
  <c r="CY179" i="23916"/>
  <c r="CX179" i="23916"/>
  <c r="CW179" i="23916"/>
  <c r="CV179" i="23916"/>
  <c r="CU179" i="23916"/>
  <c r="CT179" i="23916"/>
  <c r="CS179" i="23916"/>
  <c r="CR179" i="23916"/>
  <c r="CQ179" i="23916"/>
  <c r="CP179" i="23916"/>
  <c r="CO179" i="23916"/>
  <c r="CN179" i="23916"/>
  <c r="CM179" i="23916"/>
  <c r="CL179" i="23916"/>
  <c r="CK179" i="23916"/>
  <c r="CJ179" i="23916"/>
  <c r="CI179" i="23916"/>
  <c r="CH179" i="23916"/>
  <c r="CG179" i="23916"/>
  <c r="CF179" i="23916"/>
  <c r="CE179" i="23916"/>
  <c r="CD179" i="23916"/>
  <c r="CC179" i="23916"/>
  <c r="CB179" i="23916"/>
  <c r="CA179" i="23916"/>
  <c r="BZ179" i="23916"/>
  <c r="BY179" i="23916"/>
  <c r="BX179" i="23916"/>
  <c r="BW179" i="23916"/>
  <c r="BV179" i="23916"/>
  <c r="BU179" i="23916"/>
  <c r="GN178" i="23916"/>
  <c r="GN177" i="23916"/>
  <c r="GL178" i="23916"/>
  <c r="GL174" i="23916"/>
  <c r="GJ178" i="23916"/>
  <c r="GJ175" i="23916"/>
  <c r="GJ176" i="23916" s="1"/>
  <c r="GJ174" i="23916"/>
  <c r="ES178" i="23916"/>
  <c r="EQ178" i="23916"/>
  <c r="EP177" i="23916"/>
  <c r="EN177" i="23916"/>
  <c r="EN175" i="23916"/>
  <c r="EN174" i="23916"/>
  <c r="EL177" i="23916"/>
  <c r="EL174" i="23916"/>
  <c r="EJ177" i="23916"/>
  <c r="EJ174" i="23916"/>
  <c r="EH177" i="23916"/>
  <c r="EH174" i="23916"/>
  <c r="EE177" i="23916"/>
  <c r="ED177" i="23916"/>
  <c r="EC177" i="23916"/>
  <c r="EA177" i="23916"/>
  <c r="GL177" i="23916" s="1"/>
  <c r="DW177" i="23916"/>
  <c r="DW599" i="23916" s="1"/>
  <c r="DU177" i="23916"/>
  <c r="DS177" i="23916"/>
  <c r="DS599" i="23916" s="1"/>
  <c r="DQ177" i="23916"/>
  <c r="DO177" i="23916"/>
  <c r="DP177" i="23916" s="1"/>
  <c r="DM177" i="23916"/>
  <c r="DK177" i="23916"/>
  <c r="DL177" i="23916" s="1"/>
  <c r="DI177" i="23916"/>
  <c r="DG177" i="23916"/>
  <c r="DH177" i="23916" s="1"/>
  <c r="DE177" i="23916"/>
  <c r="DC177" i="23916"/>
  <c r="DD177" i="23916" s="1"/>
  <c r="DA177" i="23916"/>
  <c r="CY177" i="23916"/>
  <c r="CZ177" i="23916" s="1"/>
  <c r="CW177" i="23916"/>
  <c r="CU177" i="23916"/>
  <c r="CV177" i="23916" s="1"/>
  <c r="CS177" i="23916"/>
  <c r="CQ177" i="23916"/>
  <c r="CR177" i="23916" s="1"/>
  <c r="CO177" i="23916"/>
  <c r="CM177" i="23916"/>
  <c r="CN177" i="23916" s="1"/>
  <c r="CK177" i="23916"/>
  <c r="CL177" i="23916" s="1"/>
  <c r="CI177" i="23916"/>
  <c r="CJ177" i="23916" s="1"/>
  <c r="CG177" i="23916"/>
  <c r="CH177" i="23916" s="1"/>
  <c r="CE177" i="23916"/>
  <c r="CF177" i="23916" s="1"/>
  <c r="CB177" i="23916"/>
  <c r="CA177" i="23916"/>
  <c r="BZ177" i="23916"/>
  <c r="BY177" i="23916"/>
  <c r="BX177" i="23916"/>
  <c r="BW177" i="23916"/>
  <c r="BV177" i="23916"/>
  <c r="BU177" i="23916"/>
  <c r="CD177" i="23916" s="1"/>
  <c r="BT177" i="23916"/>
  <c r="BR177" i="23916"/>
  <c r="BR174" i="23916"/>
  <c r="BP177" i="23916"/>
  <c r="BP174" i="23916"/>
  <c r="BN174" i="23916"/>
  <c r="BL177" i="23916"/>
  <c r="BL174" i="23916"/>
  <c r="BJ174" i="23916"/>
  <c r="BH174" i="23916"/>
  <c r="BE177" i="23916"/>
  <c r="BN177" i="23916" s="1"/>
  <c r="BB177" i="23916"/>
  <c r="BA177" i="23916"/>
  <c r="BJ177" i="23916" s="1"/>
  <c r="AZ177" i="23916"/>
  <c r="AY177" i="23916"/>
  <c r="BH177" i="23916" s="1"/>
  <c r="AX177" i="23916"/>
  <c r="AW177" i="23916"/>
  <c r="AV177" i="23916"/>
  <c r="AU177" i="23916"/>
  <c r="AT177" i="23916"/>
  <c r="AR177" i="23916"/>
  <c r="AR174" i="23916"/>
  <c r="AP177" i="23916"/>
  <c r="AP174" i="23916"/>
  <c r="AN177" i="23916"/>
  <c r="AN174" i="23916"/>
  <c r="AL177" i="23916"/>
  <c r="AL174" i="23916"/>
  <c r="AJ177" i="23916"/>
  <c r="AJ174" i="23916"/>
  <c r="AH177" i="23916"/>
  <c r="AH174" i="23916"/>
  <c r="AF177" i="23916"/>
  <c r="AF174" i="23916"/>
  <c r="AD177" i="23916"/>
  <c r="AD174" i="23916"/>
  <c r="AB177" i="23916"/>
  <c r="AB174" i="23916"/>
  <c r="Z174" i="23916"/>
  <c r="X177" i="23916"/>
  <c r="X174" i="23916"/>
  <c r="V177" i="23916"/>
  <c r="V174" i="23916"/>
  <c r="T177" i="23916"/>
  <c r="T174" i="23916"/>
  <c r="Q177" i="23916"/>
  <c r="Z177" i="23916" s="1"/>
  <c r="P177" i="23916"/>
  <c r="N177" i="23916"/>
  <c r="N175" i="23916"/>
  <c r="N174" i="23916"/>
  <c r="L177" i="23916"/>
  <c r="L175" i="23916"/>
  <c r="L174" i="23916"/>
  <c r="FD176" i="23916"/>
  <c r="FE176" i="23916" s="1"/>
  <c r="FD175" i="23916"/>
  <c r="FB176" i="23916"/>
  <c r="FB180" i="23916" s="1"/>
  <c r="FB187" i="23916" s="1"/>
  <c r="FB175" i="23916"/>
  <c r="EO176" i="23916"/>
  <c r="EO175" i="23916"/>
  <c r="EO598" i="23916" s="1"/>
  <c r="EO174" i="23916"/>
  <c r="EM175" i="23916"/>
  <c r="EK175" i="23916"/>
  <c r="EK598" i="23916" s="1"/>
  <c r="EI175" i="23916"/>
  <c r="BQ175" i="23916"/>
  <c r="BQ176" i="23916" s="1"/>
  <c r="BO175" i="23916"/>
  <c r="BM175" i="23916"/>
  <c r="BM176" i="23916" s="1"/>
  <c r="BK175" i="23916"/>
  <c r="BI175" i="23916"/>
  <c r="BI176" i="23916" s="1"/>
  <c r="AQ175" i="23916"/>
  <c r="AO175" i="23916"/>
  <c r="AO176" i="23916" s="1"/>
  <c r="AM175" i="23916"/>
  <c r="AK175" i="23916"/>
  <c r="AK176" i="23916" s="1"/>
  <c r="AI175" i="23916"/>
  <c r="AG175" i="23916"/>
  <c r="AG176" i="23916" s="1"/>
  <c r="AE175" i="23916"/>
  <c r="AC175" i="23916"/>
  <c r="AC176" i="23916" s="1"/>
  <c r="AA175" i="23916"/>
  <c r="Y175" i="23916"/>
  <c r="Y176" i="23916" s="1"/>
  <c r="Y174" i="23916"/>
  <c r="W176" i="23916"/>
  <c r="W175" i="23916"/>
  <c r="X175" i="23916" s="1"/>
  <c r="U176" i="23916"/>
  <c r="V176" i="23916" s="1"/>
  <c r="U175" i="23916"/>
  <c r="V175" i="23916" s="1"/>
  <c r="M176" i="23916"/>
  <c r="M175" i="23916"/>
  <c r="K176" i="23916"/>
  <c r="K180" i="23916" s="1"/>
  <c r="L180" i="23916" s="1"/>
  <c r="K175" i="23916"/>
  <c r="I176" i="23916"/>
  <c r="I180" i="23916" s="1"/>
  <c r="I175" i="23916"/>
  <c r="G176" i="23916"/>
  <c r="G180" i="23916" s="1"/>
  <c r="G187" i="23916" s="1"/>
  <c r="G175" i="23916"/>
  <c r="E176" i="23916"/>
  <c r="E180" i="23916" s="1"/>
  <c r="E175" i="23916"/>
  <c r="C176" i="23916"/>
  <c r="C180" i="23916" s="1"/>
  <c r="C175" i="23916"/>
  <c r="FY177" i="23916"/>
  <c r="FX177" i="23916"/>
  <c r="FW177" i="23916"/>
  <c r="FV177" i="23916"/>
  <c r="FV184" i="23916" s="1"/>
  <c r="FT177" i="23916"/>
  <c r="FQ177" i="23916"/>
  <c r="FP177" i="23916"/>
  <c r="FO177" i="23916"/>
  <c r="FN177" i="23916"/>
  <c r="FM177" i="23916"/>
  <c r="FL177" i="23916"/>
  <c r="FJ177" i="23916"/>
  <c r="FG177" i="23916"/>
  <c r="FF177" i="23916"/>
  <c r="FE177" i="23916"/>
  <c r="FV176" i="23916"/>
  <c r="FV175" i="23916"/>
  <c r="FE175" i="23916"/>
  <c r="EG175" i="23916"/>
  <c r="EH175" i="23916" s="1"/>
  <c r="EE175" i="23916"/>
  <c r="EE598" i="23916" s="1"/>
  <c r="EC175" i="23916"/>
  <c r="EA175" i="23916"/>
  <c r="EA598" i="23916" s="1"/>
  <c r="EA863" i="23916" s="1"/>
  <c r="DY175" i="23916"/>
  <c r="DW175" i="23916"/>
  <c r="DW598" i="23916" s="1"/>
  <c r="DW863" i="23916" s="1"/>
  <c r="DU175" i="23916"/>
  <c r="DS175" i="23916"/>
  <c r="DS598" i="23916" s="1"/>
  <c r="DS863" i="23916" s="1"/>
  <c r="DQ175" i="23916"/>
  <c r="DO175" i="23916"/>
  <c r="DP175" i="23916" s="1"/>
  <c r="DM175" i="23916"/>
  <c r="DK175" i="23916"/>
  <c r="DL175" i="23916" s="1"/>
  <c r="DI175" i="23916"/>
  <c r="DG175" i="23916"/>
  <c r="DH175" i="23916" s="1"/>
  <c r="DE175" i="23916"/>
  <c r="DC175" i="23916"/>
  <c r="DD175" i="23916" s="1"/>
  <c r="DA175" i="23916"/>
  <c r="CY175" i="23916"/>
  <c r="CZ175" i="23916" s="1"/>
  <c r="CW175" i="23916"/>
  <c r="CU175" i="23916"/>
  <c r="CV175" i="23916" s="1"/>
  <c r="CS175" i="23916"/>
  <c r="CQ175" i="23916"/>
  <c r="CR175" i="23916" s="1"/>
  <c r="CO175" i="23916"/>
  <c r="CM175" i="23916"/>
  <c r="CN175" i="23916" s="1"/>
  <c r="CK175" i="23916"/>
  <c r="CI175" i="23916"/>
  <c r="CJ175" i="23916" s="1"/>
  <c r="CG175" i="23916"/>
  <c r="CE175" i="23916"/>
  <c r="CF175" i="23916" s="1"/>
  <c r="CC175" i="23916"/>
  <c r="CA175" i="23916"/>
  <c r="CB175" i="23916" s="1"/>
  <c r="BY175" i="23916"/>
  <c r="BW175" i="23916"/>
  <c r="BX175" i="23916" s="1"/>
  <c r="BU175" i="23916"/>
  <c r="BS175" i="23916"/>
  <c r="BT175" i="23916" s="1"/>
  <c r="BG175" i="23916"/>
  <c r="BH175" i="23916" s="1"/>
  <c r="BE175" i="23916"/>
  <c r="BC175" i="23916"/>
  <c r="BD175" i="23916" s="1"/>
  <c r="BA175" i="23916"/>
  <c r="AY175" i="23916"/>
  <c r="AZ175" i="23916" s="1"/>
  <c r="AW175" i="23916"/>
  <c r="AU175" i="23916"/>
  <c r="AV175" i="23916" s="1"/>
  <c r="AS175" i="23916"/>
  <c r="S175" i="23916"/>
  <c r="S176" i="23916" s="1"/>
  <c r="Q175" i="23916"/>
  <c r="R175" i="23916" s="1"/>
  <c r="O175" i="23916"/>
  <c r="O176" i="23916" s="1"/>
  <c r="O180" i="23916" s="1"/>
  <c r="O187" i="23916" s="1"/>
  <c r="GH174" i="23916"/>
  <c r="GF174" i="23916"/>
  <c r="GG174" i="23916" s="1"/>
  <c r="GD174" i="23916"/>
  <c r="GE174" i="23916" s="1"/>
  <c r="GB174" i="23916"/>
  <c r="GC174" i="23916" s="1"/>
  <c r="FZ174" i="23916"/>
  <c r="GA174" i="23916" s="1"/>
  <c r="FX174" i="23916"/>
  <c r="FY174" i="23916" s="1"/>
  <c r="FU174" i="23916"/>
  <c r="FT174" i="23916"/>
  <c r="FS174" i="23916"/>
  <c r="FR174" i="23916"/>
  <c r="FQ174" i="23916"/>
  <c r="FP174" i="23916"/>
  <c r="FO174" i="23916"/>
  <c r="FN174" i="23916"/>
  <c r="FM174" i="23916"/>
  <c r="FL174" i="23916"/>
  <c r="FJ174" i="23916"/>
  <c r="FG174" i="23916"/>
  <c r="FF174" i="23916"/>
  <c r="FE174" i="23916"/>
  <c r="EF174" i="23916"/>
  <c r="ED174" i="23916"/>
  <c r="EB174" i="23916"/>
  <c r="DZ174" i="23916"/>
  <c r="DX174" i="23916"/>
  <c r="DV174" i="23916"/>
  <c r="DT174" i="23916"/>
  <c r="DR174" i="23916"/>
  <c r="DP174" i="23916"/>
  <c r="DN174" i="23916"/>
  <c r="DL174" i="23916"/>
  <c r="DJ174" i="23916"/>
  <c r="DH174" i="23916"/>
  <c r="DF174" i="23916"/>
  <c r="DD174" i="23916"/>
  <c r="DB174" i="23916"/>
  <c r="CZ174" i="23916"/>
  <c r="CX174" i="23916"/>
  <c r="CV174" i="23916"/>
  <c r="CT174" i="23916"/>
  <c r="CR174" i="23916"/>
  <c r="CP174" i="23916"/>
  <c r="CN174" i="23916"/>
  <c r="CL174" i="23916"/>
  <c r="CJ174" i="23916"/>
  <c r="CH174" i="23916"/>
  <c r="CF174" i="23916"/>
  <c r="CD174" i="23916"/>
  <c r="CB174" i="23916"/>
  <c r="BZ174" i="23916"/>
  <c r="BX174" i="23916"/>
  <c r="BV174" i="23916"/>
  <c r="BT174" i="23916"/>
  <c r="BF174" i="23916"/>
  <c r="BD174" i="23916"/>
  <c r="BB174" i="23916"/>
  <c r="AZ174" i="23916"/>
  <c r="AX174" i="23916"/>
  <c r="AV174" i="23916"/>
  <c r="AT174" i="23916"/>
  <c r="Q174" i="23916"/>
  <c r="P174" i="23916"/>
  <c r="I168" i="23916"/>
  <c r="G168" i="23916"/>
  <c r="E168" i="23916"/>
  <c r="C168" i="23916"/>
  <c r="EQ170" i="23916"/>
  <c r="GN168" i="23916"/>
  <c r="GJ168" i="23916"/>
  <c r="GF168" i="23916"/>
  <c r="GB168" i="23916"/>
  <c r="FX168" i="23916"/>
  <c r="FY168" i="23916" s="1"/>
  <c r="FV168" i="23916"/>
  <c r="FT168" i="23916"/>
  <c r="FP168" i="23916"/>
  <c r="FL168" i="23916"/>
  <c r="FH168" i="23916"/>
  <c r="FD168" i="23916"/>
  <c r="FE168" i="23916" s="1"/>
  <c r="ES171" i="23916"/>
  <c r="EU169" i="23916"/>
  <c r="ES169" i="23916"/>
  <c r="ET168" i="23916"/>
  <c r="ES168" i="23916"/>
  <c r="EU168" i="23916" s="1"/>
  <c r="ER168" i="23916"/>
  <c r="ES167" i="23916"/>
  <c r="EP168" i="23916"/>
  <c r="EO168" i="23916"/>
  <c r="EN168" i="23916"/>
  <c r="EM168" i="23916"/>
  <c r="EL168" i="23916"/>
  <c r="EK168" i="23916"/>
  <c r="EJ168" i="23916"/>
  <c r="EI168" i="23916"/>
  <c r="EH168" i="23916"/>
  <c r="EG168" i="23916"/>
  <c r="EF168" i="23916"/>
  <c r="EE168" i="23916"/>
  <c r="ED168" i="23916"/>
  <c r="EC168" i="23916"/>
  <c r="EB168" i="23916"/>
  <c r="EA168" i="23916"/>
  <c r="DZ168" i="23916"/>
  <c r="DY168" i="23916"/>
  <c r="DX168" i="23916"/>
  <c r="DW168" i="23916"/>
  <c r="DV168" i="23916"/>
  <c r="DU168" i="23916"/>
  <c r="DT168" i="23916"/>
  <c r="DS168" i="23916"/>
  <c r="DR168" i="23916"/>
  <c r="DQ168" i="23916"/>
  <c r="DP168" i="23916"/>
  <c r="DO168" i="23916"/>
  <c r="DN168" i="23916"/>
  <c r="DM168" i="23916"/>
  <c r="DL168" i="23916"/>
  <c r="DK168" i="23916"/>
  <c r="DJ168" i="23916"/>
  <c r="DI168" i="23916"/>
  <c r="DH168" i="23916"/>
  <c r="DG168" i="23916"/>
  <c r="DF168" i="23916"/>
  <c r="DE168" i="23916"/>
  <c r="DD168" i="23916"/>
  <c r="DC168" i="23916"/>
  <c r="DB168" i="23916"/>
  <c r="DA168" i="23916"/>
  <c r="CZ168" i="23916"/>
  <c r="CY168" i="23916"/>
  <c r="CX168" i="23916"/>
  <c r="CW168" i="23916"/>
  <c r="CV168" i="23916"/>
  <c r="CU168" i="23916"/>
  <c r="CT168" i="23916"/>
  <c r="CS168" i="23916"/>
  <c r="CR168" i="23916"/>
  <c r="CQ168" i="23916"/>
  <c r="CP168" i="23916"/>
  <c r="CO168" i="23916"/>
  <c r="CN168" i="23916"/>
  <c r="CM168" i="23916"/>
  <c r="CL168" i="23916"/>
  <c r="CK168" i="23916"/>
  <c r="CJ168" i="23916"/>
  <c r="CI168" i="23916"/>
  <c r="CH168" i="23916"/>
  <c r="CG168" i="23916"/>
  <c r="CF168" i="23916"/>
  <c r="CE168" i="23916"/>
  <c r="CD168" i="23916"/>
  <c r="CC168" i="23916"/>
  <c r="CB168" i="23916"/>
  <c r="CA168" i="23916"/>
  <c r="BZ168" i="23916"/>
  <c r="BY168" i="23916"/>
  <c r="BX168" i="23916"/>
  <c r="BW168" i="23916"/>
  <c r="BV168" i="23916"/>
  <c r="BU168" i="23916"/>
  <c r="BT168" i="23916"/>
  <c r="BS168" i="23916"/>
  <c r="BR168" i="23916"/>
  <c r="BQ168" i="23916"/>
  <c r="BP168" i="23916"/>
  <c r="BO168" i="23916"/>
  <c r="BN168" i="23916"/>
  <c r="BM168" i="23916"/>
  <c r="BL168" i="23916"/>
  <c r="BK168" i="23916"/>
  <c r="BJ168" i="23916"/>
  <c r="BI168" i="23916"/>
  <c r="BH168" i="23916"/>
  <c r="BG168" i="23916"/>
  <c r="BF168" i="23916"/>
  <c r="BE168" i="23916"/>
  <c r="BD168" i="23916"/>
  <c r="BC168" i="23916"/>
  <c r="BB168" i="23916"/>
  <c r="BA168" i="23916"/>
  <c r="AZ168" i="23916"/>
  <c r="AY168" i="23916"/>
  <c r="AX168" i="23916"/>
  <c r="AW168" i="23916"/>
  <c r="AV168" i="23916"/>
  <c r="AU168" i="23916"/>
  <c r="AT168" i="23916"/>
  <c r="AS168" i="23916"/>
  <c r="AR168" i="23916"/>
  <c r="AQ168" i="23916"/>
  <c r="AP168" i="23916"/>
  <c r="AO168" i="23916"/>
  <c r="AN168" i="23916"/>
  <c r="AM168" i="23916"/>
  <c r="AL168" i="23916"/>
  <c r="AK168" i="23916"/>
  <c r="AJ168" i="23916"/>
  <c r="AI168" i="23916"/>
  <c r="AH168" i="23916"/>
  <c r="AG168" i="23916"/>
  <c r="AF168" i="23916"/>
  <c r="AE168" i="23916"/>
  <c r="AD168" i="23916"/>
  <c r="AC168" i="23916"/>
  <c r="AB168" i="23916"/>
  <c r="AA168" i="23916"/>
  <c r="Z168" i="23916"/>
  <c r="Y168" i="23916"/>
  <c r="X168" i="23916"/>
  <c r="W168" i="23916"/>
  <c r="V168" i="23916"/>
  <c r="U168" i="23916"/>
  <c r="T168" i="23916"/>
  <c r="S168" i="23916"/>
  <c r="R168" i="23916"/>
  <c r="Q168" i="23916"/>
  <c r="P168" i="23916"/>
  <c r="O168" i="23916"/>
  <c r="N168" i="23916"/>
  <c r="M168" i="23916"/>
  <c r="L168" i="23916"/>
  <c r="K168" i="23916"/>
  <c r="FB165" i="23916"/>
  <c r="FB184" i="23916" s="1"/>
  <c r="FB164" i="23916"/>
  <c r="I165" i="23916"/>
  <c r="I184" i="23916" s="1"/>
  <c r="I164" i="23916"/>
  <c r="I187" i="23916" s="1"/>
  <c r="I193" i="23916" s="1"/>
  <c r="G165" i="23916"/>
  <c r="G182" i="23916" s="1"/>
  <c r="G164" i="23916"/>
  <c r="E165" i="23916"/>
  <c r="E164" i="23916"/>
  <c r="C165" i="23916"/>
  <c r="C184" i="23916" s="1"/>
  <c r="C164" i="23916"/>
  <c r="C187" i="23916" s="1"/>
  <c r="C190" i="23916" s="1"/>
  <c r="FV165" i="23916"/>
  <c r="FD165" i="23916"/>
  <c r="FV164" i="23916"/>
  <c r="FE164" i="23916"/>
  <c r="FD164" i="23916"/>
  <c r="EP164" i="23916"/>
  <c r="EO164" i="23916"/>
  <c r="EN164" i="23916"/>
  <c r="EM164" i="23916"/>
  <c r="EM165" i="23916" s="1"/>
  <c r="EN165" i="23916" s="1"/>
  <c r="EL164" i="23916"/>
  <c r="EK164" i="23916"/>
  <c r="EJ164" i="23916"/>
  <c r="EI164" i="23916"/>
  <c r="EI165" i="23916" s="1"/>
  <c r="EH164" i="23916"/>
  <c r="EG164" i="23916"/>
  <c r="EF164" i="23916"/>
  <c r="EE164" i="23916"/>
  <c r="EE165" i="23916" s="1"/>
  <c r="EE182" i="23916" s="1"/>
  <c r="ED164" i="23916"/>
  <c r="EC164" i="23916"/>
  <c r="EB164" i="23916"/>
  <c r="EA164" i="23916"/>
  <c r="EA165" i="23916" s="1"/>
  <c r="EA182" i="23916" s="1"/>
  <c r="DZ164" i="23916"/>
  <c r="DY164" i="23916"/>
  <c r="DX164" i="23916"/>
  <c r="DW164" i="23916"/>
  <c r="DW165" i="23916" s="1"/>
  <c r="DW182" i="23916" s="1"/>
  <c r="DV164" i="23916"/>
  <c r="DU164" i="23916"/>
  <c r="DT164" i="23916"/>
  <c r="DS164" i="23916"/>
  <c r="DS165" i="23916" s="1"/>
  <c r="DS182" i="23916" s="1"/>
  <c r="DR164" i="23916"/>
  <c r="DQ164" i="23916"/>
  <c r="DP164" i="23916"/>
  <c r="DO164" i="23916"/>
  <c r="DO165" i="23916" s="1"/>
  <c r="DO182" i="23916" s="1"/>
  <c r="DN164" i="23916"/>
  <c r="DM164" i="23916"/>
  <c r="DL164" i="23916"/>
  <c r="DK164" i="23916"/>
  <c r="DK165" i="23916" s="1"/>
  <c r="DK182" i="23916" s="1"/>
  <c r="DJ164" i="23916"/>
  <c r="DI164" i="23916"/>
  <c r="DH164" i="23916"/>
  <c r="DG164" i="23916"/>
  <c r="DG165" i="23916" s="1"/>
  <c r="DG182" i="23916" s="1"/>
  <c r="DF164" i="23916"/>
  <c r="DE164" i="23916"/>
  <c r="DD164" i="23916"/>
  <c r="DC164" i="23916"/>
  <c r="DC165" i="23916" s="1"/>
  <c r="DC182" i="23916" s="1"/>
  <c r="DB164" i="23916"/>
  <c r="DA164" i="23916"/>
  <c r="CZ164" i="23916"/>
  <c r="CY164" i="23916"/>
  <c r="CY165" i="23916" s="1"/>
  <c r="CY182" i="23916" s="1"/>
  <c r="CX164" i="23916"/>
  <c r="CW164" i="23916"/>
  <c r="CV164" i="23916"/>
  <c r="CU164" i="23916"/>
  <c r="CU165" i="23916" s="1"/>
  <c r="CU182" i="23916" s="1"/>
  <c r="CT164" i="23916"/>
  <c r="CS164" i="23916"/>
  <c r="CR164" i="23916"/>
  <c r="CQ164" i="23916"/>
  <c r="CQ165" i="23916" s="1"/>
  <c r="CQ182" i="23916" s="1"/>
  <c r="CP164" i="23916"/>
  <c r="CO164" i="23916"/>
  <c r="CN164" i="23916"/>
  <c r="CM164" i="23916"/>
  <c r="CM165" i="23916" s="1"/>
  <c r="CM182" i="23916" s="1"/>
  <c r="CL164" i="23916"/>
  <c r="CK164" i="23916"/>
  <c r="CJ164" i="23916"/>
  <c r="CI164" i="23916"/>
  <c r="CI165" i="23916" s="1"/>
  <c r="CI182" i="23916" s="1"/>
  <c r="CH164" i="23916"/>
  <c r="CG164" i="23916"/>
  <c r="CF164" i="23916"/>
  <c r="CE164" i="23916"/>
  <c r="CE165" i="23916" s="1"/>
  <c r="CE182" i="23916" s="1"/>
  <c r="CD164" i="23916"/>
  <c r="CC164" i="23916"/>
  <c r="CB164" i="23916"/>
  <c r="CA164" i="23916"/>
  <c r="CA165" i="23916" s="1"/>
  <c r="CA182" i="23916" s="1"/>
  <c r="BZ164" i="23916"/>
  <c r="BY164" i="23916"/>
  <c r="BX164" i="23916"/>
  <c r="BW164" i="23916"/>
  <c r="BW165" i="23916" s="1"/>
  <c r="BW182" i="23916" s="1"/>
  <c r="BV164" i="23916"/>
  <c r="BU164" i="23916"/>
  <c r="BT164" i="23916"/>
  <c r="BS164" i="23916"/>
  <c r="BS165" i="23916" s="1"/>
  <c r="BR164" i="23916"/>
  <c r="BQ164" i="23916"/>
  <c r="BP164" i="23916"/>
  <c r="BO164" i="23916"/>
  <c r="BO165" i="23916" s="1"/>
  <c r="BN164" i="23916"/>
  <c r="BM164" i="23916"/>
  <c r="BL164" i="23916"/>
  <c r="BK164" i="23916"/>
  <c r="BK165" i="23916" s="1"/>
  <c r="BL165" i="23916" s="1"/>
  <c r="BJ164" i="23916"/>
  <c r="BI164" i="23916"/>
  <c r="BH164" i="23916"/>
  <c r="BG164" i="23916"/>
  <c r="BG165" i="23916" s="1"/>
  <c r="BF164" i="23916"/>
  <c r="BE164" i="23916"/>
  <c r="BD164" i="23916"/>
  <c r="BC164" i="23916"/>
  <c r="BC165" i="23916" s="1"/>
  <c r="BB164" i="23916"/>
  <c r="BA164" i="23916"/>
  <c r="AZ164" i="23916"/>
  <c r="AY164" i="23916"/>
  <c r="AY165" i="23916" s="1"/>
  <c r="AY182" i="23916" s="1"/>
  <c r="AX164" i="23916"/>
  <c r="AW164" i="23916"/>
  <c r="AV164" i="23916"/>
  <c r="AU164" i="23916"/>
  <c r="AU165" i="23916" s="1"/>
  <c r="AU182" i="23916" s="1"/>
  <c r="AT164" i="23916"/>
  <c r="AS164" i="23916"/>
  <c r="AR164" i="23916"/>
  <c r="AQ164" i="23916"/>
  <c r="AQ165" i="23916" s="1"/>
  <c r="AP164" i="23916"/>
  <c r="AO164" i="23916"/>
  <c r="AN164" i="23916"/>
  <c r="AM164" i="23916"/>
  <c r="AM165" i="23916" s="1"/>
  <c r="AL164" i="23916"/>
  <c r="AK164" i="23916"/>
  <c r="AJ164" i="23916"/>
  <c r="AI164" i="23916"/>
  <c r="AI165" i="23916" s="1"/>
  <c r="AH164" i="23916"/>
  <c r="AG164" i="23916"/>
  <c r="AF164" i="23916"/>
  <c r="AE164" i="23916"/>
  <c r="AE165" i="23916" s="1"/>
  <c r="AF165" i="23916" s="1"/>
  <c r="AD164" i="23916"/>
  <c r="AC164" i="23916"/>
  <c r="AB164" i="23916"/>
  <c r="AA164" i="23916"/>
  <c r="AA165" i="23916" s="1"/>
  <c r="Z164" i="23916"/>
  <c r="Y164" i="23916"/>
  <c r="X164" i="23916"/>
  <c r="W164" i="23916"/>
  <c r="W165" i="23916" s="1"/>
  <c r="V164" i="23916"/>
  <c r="U164" i="23916"/>
  <c r="T164" i="23916"/>
  <c r="S164" i="23916"/>
  <c r="S165" i="23916" s="1"/>
  <c r="R164" i="23916"/>
  <c r="Q164" i="23916"/>
  <c r="P164" i="23916"/>
  <c r="O164" i="23916"/>
  <c r="O165" i="23916" s="1"/>
  <c r="P165" i="23916" s="1"/>
  <c r="N164" i="23916"/>
  <c r="M164" i="23916"/>
  <c r="L164" i="23916"/>
  <c r="K164" i="23916"/>
  <c r="K165" i="23916" s="1"/>
  <c r="FU163" i="23916"/>
  <c r="FT163" i="23916"/>
  <c r="FS163" i="23916"/>
  <c r="FR163" i="23916"/>
  <c r="FR164" i="23916" s="1"/>
  <c r="FQ163" i="23916"/>
  <c r="FP163" i="23916"/>
  <c r="FO163" i="23916"/>
  <c r="FN163" i="23916"/>
  <c r="FN164" i="23916" s="1"/>
  <c r="FM163" i="23916"/>
  <c r="FL163" i="23916"/>
  <c r="FK163" i="23916"/>
  <c r="FJ163" i="23916"/>
  <c r="FJ164" i="23916" s="1"/>
  <c r="FI163" i="23916"/>
  <c r="FH163" i="23916"/>
  <c r="FG163" i="23916"/>
  <c r="FF163" i="23916"/>
  <c r="FF164" i="23916" s="1"/>
  <c r="FE163" i="23916"/>
  <c r="EN163" i="23916"/>
  <c r="EN162" i="23916"/>
  <c r="EN161" i="23916"/>
  <c r="EN160" i="23916"/>
  <c r="EN159" i="23916"/>
  <c r="EN158" i="23916"/>
  <c r="EL163" i="23916"/>
  <c r="EL161" i="23916"/>
  <c r="EL160" i="23916"/>
  <c r="EL159" i="23916"/>
  <c r="EL158" i="23916"/>
  <c r="EJ163" i="23916"/>
  <c r="EJ161" i="23916"/>
  <c r="EJ160" i="23916"/>
  <c r="EJ159" i="23916"/>
  <c r="EJ158" i="23916"/>
  <c r="EH163" i="23916"/>
  <c r="EH161" i="23916"/>
  <c r="EH160" i="23916"/>
  <c r="EH159" i="23916"/>
  <c r="EH158" i="23916"/>
  <c r="EF163" i="23916"/>
  <c r="EF162" i="23916"/>
  <c r="EF161" i="23916"/>
  <c r="EF160" i="23916"/>
  <c r="EF159" i="23916"/>
  <c r="EF158" i="23916"/>
  <c r="ED163" i="23916"/>
  <c r="ED161" i="23916"/>
  <c r="ED160" i="23916"/>
  <c r="ED159" i="23916"/>
  <c r="ED158" i="23916"/>
  <c r="EB163" i="23916"/>
  <c r="EB161" i="23916"/>
  <c r="EB160" i="23916"/>
  <c r="EB159" i="23916"/>
  <c r="EB158" i="23916"/>
  <c r="DZ163" i="23916"/>
  <c r="DZ161" i="23916"/>
  <c r="DZ160" i="23916"/>
  <c r="DZ159" i="23916"/>
  <c r="DZ158" i="23916"/>
  <c r="DX163" i="23916"/>
  <c r="DX162" i="23916"/>
  <c r="DX161" i="23916"/>
  <c r="DX160" i="23916"/>
  <c r="DX159" i="23916"/>
  <c r="DX158" i="23916"/>
  <c r="DV163" i="23916"/>
  <c r="DV161" i="23916"/>
  <c r="DV160" i="23916"/>
  <c r="DV159" i="23916"/>
  <c r="DV158" i="23916"/>
  <c r="DT163" i="23916"/>
  <c r="DT161" i="23916"/>
  <c r="DT160" i="23916"/>
  <c r="DT159" i="23916"/>
  <c r="DT158" i="23916"/>
  <c r="DR163" i="23916"/>
  <c r="DR161" i="23916"/>
  <c r="DR160" i="23916"/>
  <c r="DR159" i="23916"/>
  <c r="DR158" i="23916"/>
  <c r="DP163" i="23916"/>
  <c r="DP162" i="23916"/>
  <c r="DP161" i="23916"/>
  <c r="DP160" i="23916"/>
  <c r="DP159" i="23916"/>
  <c r="DP158" i="23916"/>
  <c r="DN163" i="23916"/>
  <c r="DN161" i="23916"/>
  <c r="DN160" i="23916"/>
  <c r="DN159" i="23916"/>
  <c r="DN158" i="23916"/>
  <c r="DL163" i="23916"/>
  <c r="DL161" i="23916"/>
  <c r="DL160" i="23916"/>
  <c r="DL159" i="23916"/>
  <c r="DL158" i="23916"/>
  <c r="DJ163" i="23916"/>
  <c r="DJ161" i="23916"/>
  <c r="DJ160" i="23916"/>
  <c r="DJ159" i="23916"/>
  <c r="DJ158" i="23916"/>
  <c r="DH163" i="23916"/>
  <c r="DH162" i="23916"/>
  <c r="DH161" i="23916"/>
  <c r="DH160" i="23916"/>
  <c r="DH159" i="23916"/>
  <c r="DH158" i="23916"/>
  <c r="DF163" i="23916"/>
  <c r="DF161" i="23916"/>
  <c r="DF160" i="23916"/>
  <c r="DF159" i="23916"/>
  <c r="DF158" i="23916"/>
  <c r="DD163" i="23916"/>
  <c r="DD161" i="23916"/>
  <c r="DD160" i="23916"/>
  <c r="DD159" i="23916"/>
  <c r="DD158" i="23916"/>
  <c r="DB163" i="23916"/>
  <c r="DB161" i="23916"/>
  <c r="DB160" i="23916"/>
  <c r="DB159" i="23916"/>
  <c r="DB158" i="23916"/>
  <c r="CZ163" i="23916"/>
  <c r="CZ162" i="23916"/>
  <c r="CZ161" i="23916"/>
  <c r="CZ160" i="23916"/>
  <c r="CZ159" i="23916"/>
  <c r="CZ158" i="23916"/>
  <c r="CX163" i="23916"/>
  <c r="CX162" i="23916"/>
  <c r="CX161" i="23916"/>
  <c r="CX160" i="23916"/>
  <c r="CX159" i="23916"/>
  <c r="CX158" i="23916"/>
  <c r="CV163" i="23916"/>
  <c r="CV161" i="23916"/>
  <c r="CV160" i="23916"/>
  <c r="CV159" i="23916"/>
  <c r="CV158" i="23916"/>
  <c r="CT163" i="23916"/>
  <c r="CT161" i="23916"/>
  <c r="CT160" i="23916"/>
  <c r="CT159" i="23916"/>
  <c r="CT158" i="23916"/>
  <c r="CR163" i="23916"/>
  <c r="CR162" i="23916"/>
  <c r="CR161" i="23916"/>
  <c r="CR160" i="23916"/>
  <c r="CR159" i="23916"/>
  <c r="CR158" i="23916"/>
  <c r="CP163" i="23916"/>
  <c r="CP162" i="23916"/>
  <c r="CP161" i="23916"/>
  <c r="CP160" i="23916"/>
  <c r="CP159" i="23916"/>
  <c r="CP158" i="23916"/>
  <c r="CN163" i="23916"/>
  <c r="CN161" i="23916"/>
  <c r="CN160" i="23916"/>
  <c r="CN159" i="23916"/>
  <c r="CN158" i="23916"/>
  <c r="CL163" i="23916"/>
  <c r="CL161" i="23916"/>
  <c r="CL160" i="23916"/>
  <c r="CL159" i="23916"/>
  <c r="CL158" i="23916"/>
  <c r="CJ163" i="23916"/>
  <c r="CJ162" i="23916"/>
  <c r="CJ161" i="23916"/>
  <c r="CJ160" i="23916"/>
  <c r="CJ159" i="23916"/>
  <c r="CJ158" i="23916"/>
  <c r="CH163" i="23916"/>
  <c r="CH162" i="23916"/>
  <c r="CH161" i="23916"/>
  <c r="CH160" i="23916"/>
  <c r="CH159" i="23916"/>
  <c r="CH158" i="23916"/>
  <c r="CF163" i="23916"/>
  <c r="CF161" i="23916"/>
  <c r="CF160" i="23916"/>
  <c r="CF159" i="23916"/>
  <c r="CF158" i="23916"/>
  <c r="CD163" i="23916"/>
  <c r="CD162" i="23916"/>
  <c r="CD161" i="23916"/>
  <c r="CD160" i="23916"/>
  <c r="CD159" i="23916"/>
  <c r="CD158" i="23916"/>
  <c r="CB163" i="23916"/>
  <c r="CB162" i="23916"/>
  <c r="CB161" i="23916"/>
  <c r="CB160" i="23916"/>
  <c r="CB159" i="23916"/>
  <c r="CB158" i="23916"/>
  <c r="BZ163" i="23916"/>
  <c r="BZ162" i="23916"/>
  <c r="BZ161" i="23916"/>
  <c r="BZ160" i="23916"/>
  <c r="BZ159" i="23916"/>
  <c r="BZ158" i="23916"/>
  <c r="BX163" i="23916"/>
  <c r="BX161" i="23916"/>
  <c r="BX160" i="23916"/>
  <c r="BX159" i="23916"/>
  <c r="BX158" i="23916"/>
  <c r="BV163" i="23916"/>
  <c r="BV162" i="23916"/>
  <c r="BV161" i="23916"/>
  <c r="BV160" i="23916"/>
  <c r="BV159" i="23916"/>
  <c r="BV158" i="23916"/>
  <c r="BT163" i="23916"/>
  <c r="BT162" i="23916"/>
  <c r="BT161" i="23916"/>
  <c r="BT160" i="23916"/>
  <c r="BT159" i="23916"/>
  <c r="BT158" i="23916"/>
  <c r="BR163" i="23916"/>
  <c r="BR162" i="23916"/>
  <c r="BR161" i="23916"/>
  <c r="BR160" i="23916"/>
  <c r="BR159" i="23916"/>
  <c r="BR158" i="23916"/>
  <c r="BP163" i="23916"/>
  <c r="BP161" i="23916"/>
  <c r="BP160" i="23916"/>
  <c r="BP159" i="23916"/>
  <c r="BP158" i="23916"/>
  <c r="BN163" i="23916"/>
  <c r="BN162" i="23916"/>
  <c r="BN161" i="23916"/>
  <c r="BN160" i="23916"/>
  <c r="BN159" i="23916"/>
  <c r="BN158" i="23916"/>
  <c r="BL163" i="23916"/>
  <c r="BL162" i="23916"/>
  <c r="BL161" i="23916"/>
  <c r="BL160" i="23916"/>
  <c r="BL159" i="23916"/>
  <c r="BL158" i="23916"/>
  <c r="BJ163" i="23916"/>
  <c r="BJ162" i="23916"/>
  <c r="BJ161" i="23916"/>
  <c r="BJ160" i="23916"/>
  <c r="BJ159" i="23916"/>
  <c r="BJ158" i="23916"/>
  <c r="BH163" i="23916"/>
  <c r="BH161" i="23916"/>
  <c r="BH160" i="23916"/>
  <c r="BH159" i="23916"/>
  <c r="BH158" i="23916"/>
  <c r="BF163" i="23916"/>
  <c r="BF162" i="23916"/>
  <c r="BF161" i="23916"/>
  <c r="BF160" i="23916"/>
  <c r="BF159" i="23916"/>
  <c r="BF158" i="23916"/>
  <c r="BD163" i="23916"/>
  <c r="BD162" i="23916"/>
  <c r="BD161" i="23916"/>
  <c r="BD160" i="23916"/>
  <c r="BD159" i="23916"/>
  <c r="BD158" i="23916"/>
  <c r="BB163" i="23916"/>
  <c r="BB162" i="23916"/>
  <c r="BB161" i="23916"/>
  <c r="BB160" i="23916"/>
  <c r="BB159" i="23916"/>
  <c r="BB158" i="23916"/>
  <c r="AZ163" i="23916"/>
  <c r="AZ161" i="23916"/>
  <c r="AZ160" i="23916"/>
  <c r="AZ159" i="23916"/>
  <c r="AZ158" i="23916"/>
  <c r="AX163" i="23916"/>
  <c r="AX162" i="23916"/>
  <c r="AX161" i="23916"/>
  <c r="AX160" i="23916"/>
  <c r="AX159" i="23916"/>
  <c r="AX158" i="23916"/>
  <c r="AV163" i="23916"/>
  <c r="AV162" i="23916"/>
  <c r="AV161" i="23916"/>
  <c r="AV160" i="23916"/>
  <c r="AV159" i="23916"/>
  <c r="AV158" i="23916"/>
  <c r="AT163" i="23916"/>
  <c r="AT162" i="23916"/>
  <c r="AT161" i="23916"/>
  <c r="AT160" i="23916"/>
  <c r="AT159" i="23916"/>
  <c r="AT158" i="23916"/>
  <c r="AR163" i="23916"/>
  <c r="AR161" i="23916"/>
  <c r="AR160" i="23916"/>
  <c r="AR159" i="23916"/>
  <c r="AR158" i="23916"/>
  <c r="AP163" i="23916"/>
  <c r="AP162" i="23916"/>
  <c r="AP161" i="23916"/>
  <c r="AP160" i="23916"/>
  <c r="AP159" i="23916"/>
  <c r="AP158" i="23916"/>
  <c r="AN163" i="23916"/>
  <c r="AN162" i="23916"/>
  <c r="AN161" i="23916"/>
  <c r="AN160" i="23916"/>
  <c r="AN159" i="23916"/>
  <c r="AN158" i="23916"/>
  <c r="AL163" i="23916"/>
  <c r="AL162" i="23916"/>
  <c r="AL161" i="23916"/>
  <c r="AL160" i="23916"/>
  <c r="AJ163" i="23916"/>
  <c r="AJ161" i="23916"/>
  <c r="AJ160" i="23916"/>
  <c r="AH163" i="23916"/>
  <c r="AH162" i="23916"/>
  <c r="AH161" i="23916"/>
  <c r="AH160" i="23916"/>
  <c r="AF163" i="23916"/>
  <c r="AF161" i="23916"/>
  <c r="AF160" i="23916"/>
  <c r="AD163" i="23916"/>
  <c r="AD162" i="23916"/>
  <c r="AD161" i="23916"/>
  <c r="AD160" i="23916"/>
  <c r="AB163" i="23916"/>
  <c r="AB161" i="23916"/>
  <c r="AB160" i="23916"/>
  <c r="Z163" i="23916"/>
  <c r="Z162" i="23916"/>
  <c r="Z161" i="23916"/>
  <c r="Z160" i="23916"/>
  <c r="X163" i="23916"/>
  <c r="X161" i="23916"/>
  <c r="X160" i="23916"/>
  <c r="V163" i="23916"/>
  <c r="V162" i="23916"/>
  <c r="V161" i="23916"/>
  <c r="V160" i="23916"/>
  <c r="T163" i="23916"/>
  <c r="T161" i="23916"/>
  <c r="T160" i="23916"/>
  <c r="R163" i="23916"/>
  <c r="R162" i="23916"/>
  <c r="R161" i="23916"/>
  <c r="R160" i="23916"/>
  <c r="P163" i="23916"/>
  <c r="P161" i="23916"/>
  <c r="P160" i="23916"/>
  <c r="N163" i="23916"/>
  <c r="N162" i="23916"/>
  <c r="N161" i="23916"/>
  <c r="N160" i="23916"/>
  <c r="L163" i="23916"/>
  <c r="L161" i="23916"/>
  <c r="L160" i="23916"/>
  <c r="FV162" i="23916"/>
  <c r="FD162" i="23916"/>
  <c r="FB162" i="23916"/>
  <c r="FE162" i="23916" s="1"/>
  <c r="EO162" i="23916"/>
  <c r="EM162" i="23916"/>
  <c r="EK162" i="23916"/>
  <c r="EL162" i="23916" s="1"/>
  <c r="EI162" i="23916"/>
  <c r="EJ162" i="23916" s="1"/>
  <c r="EG162" i="23916"/>
  <c r="EH162" i="23916" s="1"/>
  <c r="EE162" i="23916"/>
  <c r="EC162" i="23916"/>
  <c r="ED162" i="23916" s="1"/>
  <c r="EA162" i="23916"/>
  <c r="EB162" i="23916" s="1"/>
  <c r="DY162" i="23916"/>
  <c r="DZ162" i="23916" s="1"/>
  <c r="DW162" i="23916"/>
  <c r="DU162" i="23916"/>
  <c r="DV162" i="23916" s="1"/>
  <c r="DS162" i="23916"/>
  <c r="DT162" i="23916" s="1"/>
  <c r="DQ162" i="23916"/>
  <c r="DR162" i="23916" s="1"/>
  <c r="DO162" i="23916"/>
  <c r="DM162" i="23916"/>
  <c r="DN162" i="23916" s="1"/>
  <c r="DK162" i="23916"/>
  <c r="DL162" i="23916" s="1"/>
  <c r="DI162" i="23916"/>
  <c r="DJ162" i="23916" s="1"/>
  <c r="DG162" i="23916"/>
  <c r="DE162" i="23916"/>
  <c r="DF162" i="23916" s="1"/>
  <c r="DC162" i="23916"/>
  <c r="DD162" i="23916" s="1"/>
  <c r="DA162" i="23916"/>
  <c r="DB162" i="23916" s="1"/>
  <c r="CY162" i="23916"/>
  <c r="CW162" i="23916"/>
  <c r="CU162" i="23916"/>
  <c r="CV162" i="23916" s="1"/>
  <c r="CS162" i="23916"/>
  <c r="CT162" i="23916" s="1"/>
  <c r="CQ162" i="23916"/>
  <c r="CO162" i="23916"/>
  <c r="CM162" i="23916"/>
  <c r="CN162" i="23916" s="1"/>
  <c r="CK162" i="23916"/>
  <c r="CL162" i="23916" s="1"/>
  <c r="CI162" i="23916"/>
  <c r="CG162" i="23916"/>
  <c r="CE162" i="23916"/>
  <c r="CF162" i="23916" s="1"/>
  <c r="CC162" i="23916"/>
  <c r="CA162" i="23916"/>
  <c r="BY162" i="23916"/>
  <c r="BW162" i="23916"/>
  <c r="BX162" i="23916" s="1"/>
  <c r="BU162" i="23916"/>
  <c r="BS162" i="23916"/>
  <c r="BQ162" i="23916"/>
  <c r="BO162" i="23916"/>
  <c r="BP162" i="23916" s="1"/>
  <c r="BM162" i="23916"/>
  <c r="BK162" i="23916"/>
  <c r="BI162" i="23916"/>
  <c r="BG162" i="23916"/>
  <c r="BH162" i="23916" s="1"/>
  <c r="BE162" i="23916"/>
  <c r="BC162" i="23916"/>
  <c r="BA162" i="23916"/>
  <c r="AY162" i="23916"/>
  <c r="AZ162" i="23916" s="1"/>
  <c r="AW162" i="23916"/>
  <c r="AU162" i="23916"/>
  <c r="AS162" i="23916"/>
  <c r="AQ162" i="23916"/>
  <c r="AR162" i="23916" s="1"/>
  <c r="AO162" i="23916"/>
  <c r="AM162" i="23916"/>
  <c r="AK162" i="23916"/>
  <c r="AI162" i="23916"/>
  <c r="AG162" i="23916"/>
  <c r="AE162" i="23916"/>
  <c r="AF162" i="23916" s="1"/>
  <c r="AC162" i="23916"/>
  <c r="AA162" i="23916"/>
  <c r="Y162" i="23916"/>
  <c r="W162" i="23916"/>
  <c r="X162" i="23916" s="1"/>
  <c r="U162" i="23916"/>
  <c r="S162" i="23916"/>
  <c r="Q162" i="23916"/>
  <c r="O162" i="23916"/>
  <c r="P162" i="23916" s="1"/>
  <c r="M162" i="23916"/>
  <c r="K162" i="23916"/>
  <c r="I162" i="23916"/>
  <c r="G162" i="23916"/>
  <c r="E162" i="23916"/>
  <c r="C162" i="23916"/>
  <c r="FT161" i="23916"/>
  <c r="FT175" i="23916" s="1"/>
  <c r="FR161" i="23916"/>
  <c r="FP161" i="23916"/>
  <c r="FP175" i="23916" s="1"/>
  <c r="FP176" i="23916" s="1"/>
  <c r="FP180" i="23916" s="1"/>
  <c r="FN161" i="23916"/>
  <c r="FL161" i="23916"/>
  <c r="FL175" i="23916" s="1"/>
  <c r="FL176" i="23916" s="1"/>
  <c r="FL180" i="23916" s="1"/>
  <c r="FJ161" i="23916"/>
  <c r="FH161" i="23916"/>
  <c r="FH175" i="23916" s="1"/>
  <c r="FF161" i="23916"/>
  <c r="FE161" i="23916"/>
  <c r="FU160" i="23916"/>
  <c r="FT160" i="23916"/>
  <c r="FS160" i="23916"/>
  <c r="FR160" i="23916"/>
  <c r="FQ160" i="23916"/>
  <c r="FP160" i="23916"/>
  <c r="FO160" i="23916"/>
  <c r="FN160" i="23916"/>
  <c r="FM160" i="23916"/>
  <c r="FL160" i="23916"/>
  <c r="FK160" i="23916"/>
  <c r="FJ160" i="23916"/>
  <c r="FI160" i="23916"/>
  <c r="FH160" i="23916"/>
  <c r="FG160" i="23916"/>
  <c r="FF160" i="23916"/>
  <c r="FE160" i="23916"/>
  <c r="GO163" i="23916"/>
  <c r="GN163" i="23916"/>
  <c r="GN164" i="23916" s="1"/>
  <c r="GO164" i="23916" s="1"/>
  <c r="GM163" i="23916"/>
  <c r="GL163" i="23916"/>
  <c r="GL164" i="23916" s="1"/>
  <c r="GK163" i="23916"/>
  <c r="GJ163" i="23916"/>
  <c r="GJ164" i="23916" s="1"/>
  <c r="GJ165" i="23916" s="1"/>
  <c r="GI163" i="23916"/>
  <c r="GH163" i="23916"/>
  <c r="GH164" i="23916" s="1"/>
  <c r="GG163" i="23916"/>
  <c r="GF163" i="23916"/>
  <c r="GF164" i="23916" s="1"/>
  <c r="GF165" i="23916" s="1"/>
  <c r="GE163" i="23916"/>
  <c r="GD163" i="23916"/>
  <c r="GD164" i="23916" s="1"/>
  <c r="GC163" i="23916"/>
  <c r="GB163" i="23916"/>
  <c r="GB164" i="23916" s="1"/>
  <c r="GB165" i="23916" s="1"/>
  <c r="GA163" i="23916"/>
  <c r="FZ163" i="23916"/>
  <c r="FZ164" i="23916" s="1"/>
  <c r="FY163" i="23916"/>
  <c r="FX163" i="23916"/>
  <c r="FX164" i="23916" s="1"/>
  <c r="FY164" i="23916" s="1"/>
  <c r="FW163" i="23916"/>
  <c r="GO161" i="23916"/>
  <c r="GN161" i="23916"/>
  <c r="GN175" i="23916" s="1"/>
  <c r="GM161" i="23916"/>
  <c r="GL161" i="23916"/>
  <c r="GL168" i="23916" s="1"/>
  <c r="GM168" i="23916" s="1"/>
  <c r="GK161" i="23916"/>
  <c r="GJ161" i="23916"/>
  <c r="GI161" i="23916"/>
  <c r="GH161" i="23916"/>
  <c r="GH168" i="23916" s="1"/>
  <c r="GI168" i="23916" s="1"/>
  <c r="GG161" i="23916"/>
  <c r="GF161" i="23916"/>
  <c r="GF175" i="23916" s="1"/>
  <c r="GE161" i="23916"/>
  <c r="GD161" i="23916"/>
  <c r="GD168" i="23916" s="1"/>
  <c r="GE168" i="23916" s="1"/>
  <c r="GC161" i="23916"/>
  <c r="GB161" i="23916"/>
  <c r="GB175" i="23916" s="1"/>
  <c r="GA161" i="23916"/>
  <c r="FZ161" i="23916"/>
  <c r="FZ168" i="23916" s="1"/>
  <c r="GA168" i="23916" s="1"/>
  <c r="FY161" i="23916"/>
  <c r="FX161" i="23916"/>
  <c r="FX175" i="23916" s="1"/>
  <c r="FY175" i="23916" s="1"/>
  <c r="FW161" i="23916"/>
  <c r="GO160" i="23916"/>
  <c r="GN160" i="23916"/>
  <c r="GN162" i="23916" s="1"/>
  <c r="GM160" i="23916"/>
  <c r="GL160" i="23916"/>
  <c r="GK160" i="23916"/>
  <c r="GJ160" i="23916"/>
  <c r="GJ162" i="23916" s="1"/>
  <c r="GI160" i="23916"/>
  <c r="GH160" i="23916"/>
  <c r="GG160" i="23916"/>
  <c r="GF160" i="23916"/>
  <c r="GF162" i="23916" s="1"/>
  <c r="GE160" i="23916"/>
  <c r="GD160" i="23916"/>
  <c r="GC160" i="23916"/>
  <c r="GB160" i="23916"/>
  <c r="GB162" i="23916" s="1"/>
  <c r="GA160" i="23916"/>
  <c r="FZ160" i="23916"/>
  <c r="FY160" i="23916"/>
  <c r="FX160" i="23916"/>
  <c r="FX162" i="23916" s="1"/>
  <c r="FY162" i="23916" s="1"/>
  <c r="FW160" i="23916"/>
  <c r="GO159" i="23916"/>
  <c r="GN159" i="23916"/>
  <c r="GM159" i="23916"/>
  <c r="GL159" i="23916"/>
  <c r="GK159" i="23916"/>
  <c r="GJ159" i="23916"/>
  <c r="GI159" i="23916"/>
  <c r="GH159" i="23916"/>
  <c r="GG159" i="23916"/>
  <c r="GF159" i="23916"/>
  <c r="GE159" i="23916"/>
  <c r="GD159" i="23916"/>
  <c r="GC159" i="23916"/>
  <c r="GB159" i="23916"/>
  <c r="GA159" i="23916"/>
  <c r="FZ159" i="23916"/>
  <c r="FY159" i="23916"/>
  <c r="FX159" i="23916"/>
  <c r="FW159" i="23916"/>
  <c r="GO158" i="23916"/>
  <c r="GN158" i="23916"/>
  <c r="GN847" i="23916" s="1"/>
  <c r="GM158" i="23916"/>
  <c r="GL158" i="23916"/>
  <c r="GK158" i="23916"/>
  <c r="GJ158" i="23916"/>
  <c r="GJ847" i="23916" s="1"/>
  <c r="GI158" i="23916"/>
  <c r="GH158" i="23916"/>
  <c r="GG158" i="23916"/>
  <c r="GF158" i="23916"/>
  <c r="GE158" i="23916"/>
  <c r="GD158" i="23916"/>
  <c r="GC158" i="23916"/>
  <c r="GB158" i="23916"/>
  <c r="GA158" i="23916"/>
  <c r="FZ158" i="23916"/>
  <c r="FY158" i="23916"/>
  <c r="FX158" i="23916"/>
  <c r="FT159" i="23916"/>
  <c r="FU159" i="23916" s="1"/>
  <c r="FR159" i="23916"/>
  <c r="FS159" i="23916" s="1"/>
  <c r="FP159" i="23916"/>
  <c r="FQ159" i="23916" s="1"/>
  <c r="FN159" i="23916"/>
  <c r="FO159" i="23916" s="1"/>
  <c r="FT158" i="23916"/>
  <c r="FR158" i="23916"/>
  <c r="FS158" i="23916" s="1"/>
  <c r="FP158" i="23916"/>
  <c r="FN158" i="23916"/>
  <c r="FO158" i="23916" s="1"/>
  <c r="FL158" i="23916"/>
  <c r="FJ158" i="23916"/>
  <c r="FK158" i="23916" s="1"/>
  <c r="FH158" i="23916"/>
  <c r="FF158" i="23916"/>
  <c r="FG158" i="23916" s="1"/>
  <c r="FE158" i="23916"/>
  <c r="EX163" i="23916"/>
  <c r="EW163" i="23916"/>
  <c r="EV163" i="23916"/>
  <c r="EU163" i="23916"/>
  <c r="ET163" i="23916"/>
  <c r="ES163" i="23916"/>
  <c r="ER163" i="23916"/>
  <c r="EQ163" i="23916"/>
  <c r="EP163" i="23916"/>
  <c r="EP162" i="23916"/>
  <c r="EP161" i="23916"/>
  <c r="EP160" i="23916"/>
  <c r="ET159" i="23916"/>
  <c r="ES159" i="23916"/>
  <c r="EU159" i="23916" s="1"/>
  <c r="ER159" i="23916"/>
  <c r="EQ159" i="23916"/>
  <c r="EP159" i="23916"/>
  <c r="EP158" i="23916"/>
  <c r="AL158" i="23916"/>
  <c r="AJ158" i="23916"/>
  <c r="AH158" i="23916"/>
  <c r="AF158" i="23916"/>
  <c r="AD158" i="23916"/>
  <c r="AB158" i="23916"/>
  <c r="Z158" i="23916"/>
  <c r="X158" i="23916"/>
  <c r="V158" i="23916"/>
  <c r="T158" i="23916"/>
  <c r="R158" i="23916"/>
  <c r="P158" i="23916"/>
  <c r="N158" i="23916"/>
  <c r="L158" i="23916"/>
  <c r="FB155" i="23916"/>
  <c r="I154" i="23916"/>
  <c r="G154" i="23916"/>
  <c r="E154" i="23916"/>
  <c r="C154" i="23916"/>
  <c r="FD154" i="23916"/>
  <c r="FE154" i="23916" s="1"/>
  <c r="EO154" i="23916"/>
  <c r="EM154" i="23916"/>
  <c r="EN154" i="23916" s="1"/>
  <c r="EK154" i="23916"/>
  <c r="EI154" i="23916"/>
  <c r="EJ154" i="23916" s="1"/>
  <c r="EG154" i="23916"/>
  <c r="EE154" i="23916"/>
  <c r="EF154" i="23916" s="1"/>
  <c r="EC154" i="23916"/>
  <c r="EA154" i="23916"/>
  <c r="EB154" i="23916" s="1"/>
  <c r="DY154" i="23916"/>
  <c r="DW154" i="23916"/>
  <c r="DX154" i="23916" s="1"/>
  <c r="DU154" i="23916"/>
  <c r="DS154" i="23916"/>
  <c r="DT154" i="23916" s="1"/>
  <c r="DQ154" i="23916"/>
  <c r="DO154" i="23916"/>
  <c r="DP154" i="23916" s="1"/>
  <c r="DM154" i="23916"/>
  <c r="DK154" i="23916"/>
  <c r="DL154" i="23916" s="1"/>
  <c r="DI154" i="23916"/>
  <c r="DG154" i="23916"/>
  <c r="DH154" i="23916" s="1"/>
  <c r="DE154" i="23916"/>
  <c r="DC154" i="23916"/>
  <c r="DD154" i="23916" s="1"/>
  <c r="DA154" i="23916"/>
  <c r="CY154" i="23916"/>
  <c r="CZ154" i="23916" s="1"/>
  <c r="CW154" i="23916"/>
  <c r="CU154" i="23916"/>
  <c r="CV154" i="23916" s="1"/>
  <c r="CS154" i="23916"/>
  <c r="CQ154" i="23916"/>
  <c r="CR154" i="23916" s="1"/>
  <c r="CO154" i="23916"/>
  <c r="CM154" i="23916"/>
  <c r="CK154" i="23916"/>
  <c r="CI154" i="23916"/>
  <c r="CJ154" i="23916" s="1"/>
  <c r="CG154" i="23916"/>
  <c r="CC154" i="23916"/>
  <c r="CA154" i="23916"/>
  <c r="CB154" i="23916" s="1"/>
  <c r="BY154" i="23916"/>
  <c r="BW154" i="23916"/>
  <c r="BX154" i="23916" s="1"/>
  <c r="BU154" i="23916"/>
  <c r="BS154" i="23916"/>
  <c r="BT154" i="23916" s="1"/>
  <c r="BQ154" i="23916"/>
  <c r="BO154" i="23916"/>
  <c r="BP154" i="23916" s="1"/>
  <c r="BM154" i="23916"/>
  <c r="BK154" i="23916"/>
  <c r="BL154" i="23916" s="1"/>
  <c r="BI154" i="23916"/>
  <c r="BG154" i="23916"/>
  <c r="BH154" i="23916" s="1"/>
  <c r="BE154" i="23916"/>
  <c r="BC154" i="23916"/>
  <c r="BD154" i="23916" s="1"/>
  <c r="BA154" i="23916"/>
  <c r="AY154" i="23916"/>
  <c r="AZ154" i="23916" s="1"/>
  <c r="AW154" i="23916"/>
  <c r="AU154" i="23916"/>
  <c r="AV154" i="23916" s="1"/>
  <c r="AS154" i="23916"/>
  <c r="AQ154" i="23916"/>
  <c r="AR154" i="23916" s="1"/>
  <c r="AO154" i="23916"/>
  <c r="AM154" i="23916"/>
  <c r="AN154" i="23916" s="1"/>
  <c r="AK154" i="23916"/>
  <c r="AI154" i="23916"/>
  <c r="AJ154" i="23916" s="1"/>
  <c r="AG154" i="23916"/>
  <c r="AE154" i="23916"/>
  <c r="AF154" i="23916" s="1"/>
  <c r="AC154" i="23916"/>
  <c r="AA154" i="23916"/>
  <c r="AB154" i="23916" s="1"/>
  <c r="Y154" i="23916"/>
  <c r="W154" i="23916"/>
  <c r="X154" i="23916" s="1"/>
  <c r="U154" i="23916"/>
  <c r="S154" i="23916"/>
  <c r="T154" i="23916" s="1"/>
  <c r="Q154" i="23916"/>
  <c r="R154" i="23916" s="1"/>
  <c r="O154" i="23916"/>
  <c r="M154" i="23916"/>
  <c r="N154" i="23916" s="1"/>
  <c r="K154" i="23916"/>
  <c r="L154" i="23916" s="1"/>
  <c r="GT152" i="23916"/>
  <c r="GV152" i="23916" s="1"/>
  <c r="GX152" i="23916" s="1"/>
  <c r="GZ152" i="23916" s="1"/>
  <c r="GR152" i="23916"/>
  <c r="CM152" i="23916"/>
  <c r="CM151" i="23916"/>
  <c r="CM150" i="23916"/>
  <c r="CG151" i="23916"/>
  <c r="CG152" i="23916" s="1"/>
  <c r="CC151" i="23916"/>
  <c r="CC152" i="23916" s="1"/>
  <c r="BU151" i="23916"/>
  <c r="BU152" i="23916" s="1"/>
  <c r="FD151" i="23916"/>
  <c r="FD150" i="23916"/>
  <c r="DS151" i="23916"/>
  <c r="DS150" i="23916"/>
  <c r="AM151" i="23916"/>
  <c r="AM150" i="23916"/>
  <c r="FB148" i="23916"/>
  <c r="FD148" i="23916"/>
  <c r="FE148" i="23916" s="1"/>
  <c r="FE147" i="23916"/>
  <c r="FD147" i="23916"/>
  <c r="EP146" i="23916"/>
  <c r="EO146" i="23916"/>
  <c r="EN146" i="23916"/>
  <c r="EM146" i="23916"/>
  <c r="EL146" i="23916"/>
  <c r="EK146" i="23916"/>
  <c r="EJ146" i="23916"/>
  <c r="EI146" i="23916"/>
  <c r="EH146" i="23916"/>
  <c r="EG146" i="23916"/>
  <c r="EF146" i="23916"/>
  <c r="EE146" i="23916"/>
  <c r="ED146" i="23916"/>
  <c r="EC146" i="23916"/>
  <c r="EB146" i="23916"/>
  <c r="EA146" i="23916"/>
  <c r="DZ146" i="23916"/>
  <c r="DY146" i="23916"/>
  <c r="DX146" i="23916"/>
  <c r="DW146" i="23916"/>
  <c r="DV146" i="23916"/>
  <c r="DU146" i="23916"/>
  <c r="DT146" i="23916"/>
  <c r="DS146" i="23916"/>
  <c r="DS148" i="23916" s="1"/>
  <c r="DR146" i="23916"/>
  <c r="DQ146" i="23916"/>
  <c r="DP146" i="23916"/>
  <c r="DO146" i="23916"/>
  <c r="DN146" i="23916"/>
  <c r="DM146" i="23916"/>
  <c r="DL146" i="23916"/>
  <c r="DK146" i="23916"/>
  <c r="DJ146" i="23916"/>
  <c r="DI146" i="23916"/>
  <c r="DH146" i="23916"/>
  <c r="DG146" i="23916"/>
  <c r="DF146" i="23916"/>
  <c r="DE146" i="23916"/>
  <c r="DD146" i="23916"/>
  <c r="DC146" i="23916"/>
  <c r="DB146" i="23916"/>
  <c r="DA146" i="23916"/>
  <c r="CZ146" i="23916"/>
  <c r="CY146" i="23916"/>
  <c r="CX146" i="23916"/>
  <c r="CW146" i="23916"/>
  <c r="CV146" i="23916"/>
  <c r="CU146" i="23916"/>
  <c r="CT146" i="23916"/>
  <c r="CS146" i="23916"/>
  <c r="CR146" i="23916"/>
  <c r="CQ146" i="23916"/>
  <c r="CP146" i="23916"/>
  <c r="CO146" i="23916"/>
  <c r="CM146" i="23916"/>
  <c r="CM148" i="23916" s="1"/>
  <c r="CL146" i="23916"/>
  <c r="CK146" i="23916"/>
  <c r="CJ146" i="23916"/>
  <c r="CI146" i="23916"/>
  <c r="CH146" i="23916"/>
  <c r="CG146" i="23916"/>
  <c r="CG150" i="23916" s="1"/>
  <c r="CD146" i="23916"/>
  <c r="CC146" i="23916"/>
  <c r="CC148" i="23916" s="1"/>
  <c r="CD148" i="23916" s="1"/>
  <c r="CB146" i="23916"/>
  <c r="CA146" i="23916"/>
  <c r="BZ146" i="23916"/>
  <c r="BY146" i="23916"/>
  <c r="BX146" i="23916"/>
  <c r="BW146" i="23916"/>
  <c r="BV146" i="23916"/>
  <c r="BU146" i="23916"/>
  <c r="BU148" i="23916" s="1"/>
  <c r="BT146" i="23916"/>
  <c r="BS146" i="23916"/>
  <c r="BR146" i="23916"/>
  <c r="BQ146" i="23916"/>
  <c r="BP146" i="23916"/>
  <c r="BO146" i="23916"/>
  <c r="BN146" i="23916"/>
  <c r="BM146" i="23916"/>
  <c r="BL146" i="23916"/>
  <c r="BK146" i="23916"/>
  <c r="BJ146" i="23916"/>
  <c r="BI146" i="23916"/>
  <c r="BH146" i="23916"/>
  <c r="BG146" i="23916"/>
  <c r="BF146" i="23916"/>
  <c r="BE146" i="23916"/>
  <c r="BD146" i="23916"/>
  <c r="BC146" i="23916"/>
  <c r="BB146" i="23916"/>
  <c r="BA146" i="23916"/>
  <c r="AZ146" i="23916"/>
  <c r="AY146" i="23916"/>
  <c r="AX146" i="23916"/>
  <c r="AW146" i="23916"/>
  <c r="AV146" i="23916"/>
  <c r="AU146" i="23916"/>
  <c r="AT146" i="23916"/>
  <c r="AS146" i="23916"/>
  <c r="AR146" i="23916"/>
  <c r="AQ146" i="23916"/>
  <c r="AP146" i="23916"/>
  <c r="AO146" i="23916"/>
  <c r="AN146" i="23916"/>
  <c r="AM146" i="23916"/>
  <c r="AM147" i="23916" s="1"/>
  <c r="AL146" i="23916"/>
  <c r="AK146" i="23916"/>
  <c r="AJ146" i="23916"/>
  <c r="AI146" i="23916"/>
  <c r="AH146" i="23916"/>
  <c r="AG146" i="23916"/>
  <c r="AF146" i="23916"/>
  <c r="AE146" i="23916"/>
  <c r="AD146" i="23916"/>
  <c r="AC146" i="23916"/>
  <c r="AB146" i="23916"/>
  <c r="AA146" i="23916"/>
  <c r="Z146" i="23916"/>
  <c r="Y146" i="23916"/>
  <c r="X146" i="23916"/>
  <c r="W146" i="23916"/>
  <c r="V146" i="23916"/>
  <c r="U146" i="23916"/>
  <c r="T146" i="23916"/>
  <c r="S146" i="23916"/>
  <c r="R146" i="23916"/>
  <c r="Q146" i="23916"/>
  <c r="P146" i="23916"/>
  <c r="O146" i="23916"/>
  <c r="N146" i="23916"/>
  <c r="M146" i="23916"/>
  <c r="L146" i="23916"/>
  <c r="K146" i="23916"/>
  <c r="EN145" i="23916"/>
  <c r="EN144" i="23916"/>
  <c r="EL145" i="23916"/>
  <c r="EL144" i="23916"/>
  <c r="EJ145" i="23916"/>
  <c r="EJ144" i="23916"/>
  <c r="EH145" i="23916"/>
  <c r="EH144" i="23916"/>
  <c r="EF145" i="23916"/>
  <c r="EE145" i="23916"/>
  <c r="ED145" i="23916"/>
  <c r="EB145" i="23916"/>
  <c r="EB144" i="23916"/>
  <c r="DZ145" i="23916"/>
  <c r="DZ144" i="23916"/>
  <c r="DX145" i="23916"/>
  <c r="DX144" i="23916"/>
  <c r="DV145" i="23916"/>
  <c r="DV144" i="23916"/>
  <c r="DT145" i="23916"/>
  <c r="DT144" i="23916"/>
  <c r="DR145" i="23916"/>
  <c r="DR144" i="23916"/>
  <c r="DP145" i="23916"/>
  <c r="DP144" i="23916"/>
  <c r="DN145" i="23916"/>
  <c r="DN144" i="23916"/>
  <c r="DL145" i="23916"/>
  <c r="DL144" i="23916"/>
  <c r="DJ145" i="23916"/>
  <c r="DJ144" i="23916"/>
  <c r="DH145" i="23916"/>
  <c r="DH144" i="23916"/>
  <c r="DF145" i="23916"/>
  <c r="DF144" i="23916"/>
  <c r="DD145" i="23916"/>
  <c r="DD144" i="23916"/>
  <c r="DB145" i="23916"/>
  <c r="DB144" i="23916"/>
  <c r="CZ145" i="23916"/>
  <c r="CZ144" i="23916"/>
  <c r="CX145" i="23916"/>
  <c r="CX144" i="23916"/>
  <c r="CV145" i="23916"/>
  <c r="CV144" i="23916"/>
  <c r="CT145" i="23916"/>
  <c r="CT144" i="23916"/>
  <c r="CR145" i="23916"/>
  <c r="CR144" i="23916"/>
  <c r="CP145" i="23916"/>
  <c r="CP144" i="23916"/>
  <c r="CN145" i="23916"/>
  <c r="CN144" i="23916"/>
  <c r="CL145" i="23916"/>
  <c r="CL144" i="23916"/>
  <c r="CJ145" i="23916"/>
  <c r="CJ144" i="23916"/>
  <c r="CH145" i="23916"/>
  <c r="CH144" i="23916"/>
  <c r="CF145" i="23916"/>
  <c r="CF144" i="23916"/>
  <c r="CD145" i="23916"/>
  <c r="CD144" i="23916"/>
  <c r="CD143" i="23916"/>
  <c r="CB145" i="23916"/>
  <c r="CB144" i="23916"/>
  <c r="BZ145" i="23916"/>
  <c r="BZ144" i="23916"/>
  <c r="BX145" i="23916"/>
  <c r="BX144" i="23916"/>
  <c r="BV145" i="23916"/>
  <c r="BV144" i="23916"/>
  <c r="BT145" i="23916"/>
  <c r="BT144" i="23916"/>
  <c r="BR145" i="23916"/>
  <c r="BR144" i="23916"/>
  <c r="BP145" i="23916"/>
  <c r="BP144" i="23916"/>
  <c r="BN145" i="23916"/>
  <c r="BN144" i="23916"/>
  <c r="BL145" i="23916"/>
  <c r="BL144" i="23916"/>
  <c r="BJ145" i="23916"/>
  <c r="BJ144" i="23916"/>
  <c r="BH145" i="23916"/>
  <c r="BH144" i="23916"/>
  <c r="BF145" i="23916"/>
  <c r="BF144" i="23916"/>
  <c r="BD145" i="23916"/>
  <c r="BD144" i="23916"/>
  <c r="BB145" i="23916"/>
  <c r="BB144" i="23916"/>
  <c r="AZ145" i="23916"/>
  <c r="AZ144" i="23916"/>
  <c r="AX145" i="23916"/>
  <c r="AX144" i="23916"/>
  <c r="AV145" i="23916"/>
  <c r="AV144" i="23916"/>
  <c r="AT145" i="23916"/>
  <c r="AT144" i="23916"/>
  <c r="AR145" i="23916"/>
  <c r="AR144" i="23916"/>
  <c r="AP145" i="23916"/>
  <c r="AP144" i="23916"/>
  <c r="AN145" i="23916"/>
  <c r="AN144" i="23916"/>
  <c r="AL145" i="23916"/>
  <c r="AL144" i="23916"/>
  <c r="AJ145" i="23916"/>
  <c r="AJ144" i="23916"/>
  <c r="AH145" i="23916"/>
  <c r="AH144" i="23916"/>
  <c r="AF145" i="23916"/>
  <c r="AF144" i="23916"/>
  <c r="AD145" i="23916"/>
  <c r="AD144" i="23916"/>
  <c r="AB145" i="23916"/>
  <c r="AB144" i="23916"/>
  <c r="Z145" i="23916"/>
  <c r="Z144" i="23916"/>
  <c r="X145" i="23916"/>
  <c r="X144" i="23916"/>
  <c r="V145" i="23916"/>
  <c r="V144" i="23916"/>
  <c r="T145" i="23916"/>
  <c r="T144" i="23916"/>
  <c r="R145" i="23916"/>
  <c r="R144" i="23916"/>
  <c r="P145" i="23916"/>
  <c r="P144" i="23916"/>
  <c r="N145" i="23916"/>
  <c r="N144" i="23916"/>
  <c r="L145" i="23916"/>
  <c r="L144" i="23916"/>
  <c r="GN146" i="23916"/>
  <c r="GL146" i="23916"/>
  <c r="GM146" i="23916" s="1"/>
  <c r="GJ146" i="23916"/>
  <c r="GH146" i="23916"/>
  <c r="GI146" i="23916" s="1"/>
  <c r="GF146" i="23916"/>
  <c r="GD146" i="23916"/>
  <c r="GE146" i="23916" s="1"/>
  <c r="GB146" i="23916"/>
  <c r="FX146" i="23916"/>
  <c r="FV146" i="23916"/>
  <c r="FW146" i="23916" s="1"/>
  <c r="FT146" i="23916"/>
  <c r="FR146" i="23916"/>
  <c r="FS146" i="23916" s="1"/>
  <c r="FP146" i="23916"/>
  <c r="FN146" i="23916"/>
  <c r="FO146" i="23916" s="1"/>
  <c r="FL146" i="23916"/>
  <c r="FJ146" i="23916"/>
  <c r="FK146" i="23916" s="1"/>
  <c r="FH146" i="23916"/>
  <c r="FF146" i="23916"/>
  <c r="FG146" i="23916" s="1"/>
  <c r="FE146" i="23916"/>
  <c r="GN145" i="23916"/>
  <c r="GO145" i="23916" s="1"/>
  <c r="GL145" i="23916"/>
  <c r="GJ145" i="23916"/>
  <c r="GK145" i="23916" s="1"/>
  <c r="GH145" i="23916"/>
  <c r="GF145" i="23916"/>
  <c r="GD145" i="23916"/>
  <c r="GB145" i="23916"/>
  <c r="FZ145" i="23916"/>
  <c r="FX145" i="23916"/>
  <c r="FV145" i="23916"/>
  <c r="FT145" i="23916"/>
  <c r="FR145" i="23916"/>
  <c r="FP145" i="23916"/>
  <c r="FN145" i="23916"/>
  <c r="FL145" i="23916"/>
  <c r="FJ145" i="23916"/>
  <c r="FH145" i="23916"/>
  <c r="FF145" i="23916"/>
  <c r="FE145" i="23916"/>
  <c r="GN144" i="23916"/>
  <c r="GL144" i="23916"/>
  <c r="GM144" i="23916" s="1"/>
  <c r="GJ144" i="23916"/>
  <c r="GH144" i="23916"/>
  <c r="GI144" i="23916" s="1"/>
  <c r="GF144" i="23916"/>
  <c r="GD144" i="23916"/>
  <c r="GE144" i="23916" s="1"/>
  <c r="GB144" i="23916"/>
  <c r="FZ144" i="23916"/>
  <c r="GA144" i="23916" s="1"/>
  <c r="FX144" i="23916"/>
  <c r="FV144" i="23916"/>
  <c r="FW144" i="23916" s="1"/>
  <c r="FT144" i="23916"/>
  <c r="FR144" i="23916"/>
  <c r="FS144" i="23916" s="1"/>
  <c r="FP144" i="23916"/>
  <c r="FN144" i="23916"/>
  <c r="FO144" i="23916" s="1"/>
  <c r="FL144" i="23916"/>
  <c r="FJ144" i="23916"/>
  <c r="FK144" i="23916" s="1"/>
  <c r="FH144" i="23916"/>
  <c r="FF144" i="23916"/>
  <c r="FG144" i="23916" s="1"/>
  <c r="FE144" i="23916"/>
  <c r="EF144" i="23916"/>
  <c r="ED144" i="23916"/>
  <c r="GJ143" i="23916"/>
  <c r="FG143" i="23916"/>
  <c r="FF143" i="23916"/>
  <c r="FE143" i="23916"/>
  <c r="EP145" i="23916"/>
  <c r="ET144" i="23916"/>
  <c r="ES144" i="23916"/>
  <c r="EU144" i="23916" s="1"/>
  <c r="ER144" i="23916"/>
  <c r="EQ144" i="23916"/>
  <c r="EP144" i="23916"/>
  <c r="AO143" i="23916"/>
  <c r="C143" i="23916"/>
  <c r="FE140" i="23916"/>
  <c r="FD140" i="23916"/>
  <c r="EP140" i="23916"/>
  <c r="EO140" i="23916"/>
  <c r="EN140" i="23916"/>
  <c r="EM140" i="23916"/>
  <c r="EL140" i="23916"/>
  <c r="EK140" i="23916"/>
  <c r="EJ140" i="23916"/>
  <c r="EI140" i="23916"/>
  <c r="EH140" i="23916"/>
  <c r="EG140" i="23916"/>
  <c r="EF140" i="23916"/>
  <c r="EE140" i="23916"/>
  <c r="ED140" i="23916"/>
  <c r="EC140" i="23916"/>
  <c r="EB140" i="23916"/>
  <c r="EA140" i="23916"/>
  <c r="DZ140" i="23916"/>
  <c r="DY140" i="23916"/>
  <c r="DX140" i="23916"/>
  <c r="DW140" i="23916"/>
  <c r="DV140" i="23916"/>
  <c r="DU140" i="23916"/>
  <c r="DT140" i="23916"/>
  <c r="DS140" i="23916"/>
  <c r="DR140" i="23916"/>
  <c r="DQ140" i="23916"/>
  <c r="DP140" i="23916"/>
  <c r="DO140" i="23916"/>
  <c r="DN140" i="23916"/>
  <c r="DM140" i="23916"/>
  <c r="DL140" i="23916"/>
  <c r="DK140" i="23916"/>
  <c r="DJ140" i="23916"/>
  <c r="DI140" i="23916"/>
  <c r="DH140" i="23916"/>
  <c r="DG140" i="23916"/>
  <c r="DF140" i="23916"/>
  <c r="DE140" i="23916"/>
  <c r="DD140" i="23916"/>
  <c r="DC140" i="23916"/>
  <c r="DB140" i="23916"/>
  <c r="DA140" i="23916"/>
  <c r="CZ140" i="23916"/>
  <c r="CY140" i="23916"/>
  <c r="CX140" i="23916"/>
  <c r="CW140" i="23916"/>
  <c r="CV140" i="23916"/>
  <c r="CU140" i="23916"/>
  <c r="CT140" i="23916"/>
  <c r="CS140" i="23916"/>
  <c r="CR140" i="23916"/>
  <c r="CQ140" i="23916"/>
  <c r="CP140" i="23916"/>
  <c r="CO140" i="23916"/>
  <c r="CN140" i="23916"/>
  <c r="CM140" i="23916"/>
  <c r="CL140" i="23916"/>
  <c r="CK140" i="23916"/>
  <c r="CJ140" i="23916"/>
  <c r="CI140" i="23916"/>
  <c r="CH140" i="23916"/>
  <c r="CG140" i="23916"/>
  <c r="CF140" i="23916"/>
  <c r="CE140" i="23916"/>
  <c r="CD140" i="23916"/>
  <c r="CC140" i="23916"/>
  <c r="CB140" i="23916"/>
  <c r="CA140" i="23916"/>
  <c r="BZ140" i="23916"/>
  <c r="BY140" i="23916"/>
  <c r="BX140" i="23916"/>
  <c r="BW140" i="23916"/>
  <c r="BV140" i="23916"/>
  <c r="BU140" i="23916"/>
  <c r="BT140" i="23916"/>
  <c r="BS140" i="23916"/>
  <c r="BR140" i="23916"/>
  <c r="BQ140" i="23916"/>
  <c r="BP140" i="23916"/>
  <c r="BO140" i="23916"/>
  <c r="BN140" i="23916"/>
  <c r="BM140" i="23916"/>
  <c r="BL140" i="23916"/>
  <c r="BK140" i="23916"/>
  <c r="BJ140" i="23916"/>
  <c r="BI140" i="23916"/>
  <c r="BH140" i="23916"/>
  <c r="BG140" i="23916"/>
  <c r="BF140" i="23916"/>
  <c r="BE140" i="23916"/>
  <c r="BD140" i="23916"/>
  <c r="BC140" i="23916"/>
  <c r="BB140" i="23916"/>
  <c r="BA140" i="23916"/>
  <c r="AZ140" i="23916"/>
  <c r="AY140" i="23916"/>
  <c r="AX140" i="23916"/>
  <c r="AW140" i="23916"/>
  <c r="AW783" i="23916" s="1"/>
  <c r="AV140" i="23916"/>
  <c r="AU140" i="23916"/>
  <c r="AU783" i="23916" s="1"/>
  <c r="AT140" i="23916"/>
  <c r="AS140" i="23916"/>
  <c r="AS783" i="23916" s="1"/>
  <c r="AR140" i="23916"/>
  <c r="AQ140" i="23916"/>
  <c r="AQ783" i="23916" s="1"/>
  <c r="AP140" i="23916"/>
  <c r="AO140" i="23916"/>
  <c r="AO783" i="23916" s="1"/>
  <c r="AN140" i="23916"/>
  <c r="AM140" i="23916"/>
  <c r="AM783" i="23916" s="1"/>
  <c r="AL140" i="23916"/>
  <c r="AK140" i="23916"/>
  <c r="AK783" i="23916" s="1"/>
  <c r="AJ140" i="23916"/>
  <c r="AI140" i="23916"/>
  <c r="AI783" i="23916" s="1"/>
  <c r="AH140" i="23916"/>
  <c r="AG140" i="23916"/>
  <c r="AG783" i="23916" s="1"/>
  <c r="AF140" i="23916"/>
  <c r="AE140" i="23916"/>
  <c r="AE783" i="23916" s="1"/>
  <c r="AD140" i="23916"/>
  <c r="AC140" i="23916"/>
  <c r="AC783" i="23916" s="1"/>
  <c r="AB140" i="23916"/>
  <c r="AA140" i="23916"/>
  <c r="AA783" i="23916" s="1"/>
  <c r="Z140" i="23916"/>
  <c r="Y140" i="23916"/>
  <c r="Y783" i="23916" s="1"/>
  <c r="X140" i="23916"/>
  <c r="W140" i="23916"/>
  <c r="W783" i="23916" s="1"/>
  <c r="V140" i="23916"/>
  <c r="U140" i="23916"/>
  <c r="U783" i="23916" s="1"/>
  <c r="T140" i="23916"/>
  <c r="S140" i="23916"/>
  <c r="S783" i="23916" s="1"/>
  <c r="Q140" i="23916"/>
  <c r="Q783" i="23916" s="1"/>
  <c r="P140" i="23916"/>
  <c r="O140" i="23916"/>
  <c r="O783" i="23916" s="1"/>
  <c r="N140" i="23916"/>
  <c r="M140" i="23916"/>
  <c r="M783" i="23916" s="1"/>
  <c r="L140" i="23916"/>
  <c r="K140" i="23916"/>
  <c r="K783" i="23916" s="1"/>
  <c r="I140" i="23916"/>
  <c r="I783" i="23916" s="1"/>
  <c r="G140" i="23916"/>
  <c r="G783" i="23916" s="1"/>
  <c r="E140" i="23916"/>
  <c r="E783" i="23916" s="1"/>
  <c r="C140" i="23916"/>
  <c r="C783" i="23916" s="1"/>
  <c r="G138" i="23916"/>
  <c r="G137" i="23916"/>
  <c r="DS138" i="23916"/>
  <c r="CM138" i="23916"/>
  <c r="CD138" i="23916"/>
  <c r="CC138" i="23916"/>
  <c r="BU138" i="23916"/>
  <c r="AM138" i="23916"/>
  <c r="DS137" i="23916"/>
  <c r="CM137" i="23916"/>
  <c r="CD137" i="23916"/>
  <c r="CC137" i="23916"/>
  <c r="BU137" i="23916"/>
  <c r="AM137" i="23916"/>
  <c r="FB135" i="23916"/>
  <c r="FB167" i="23916" s="1"/>
  <c r="CD135" i="23916"/>
  <c r="CC135" i="23916"/>
  <c r="BU135" i="23916"/>
  <c r="DS133" i="23916"/>
  <c r="CM133" i="23916"/>
  <c r="CC133" i="23916"/>
  <c r="BU133" i="23916"/>
  <c r="AM133" i="23916"/>
  <c r="AM155" i="23916" s="1"/>
  <c r="G133" i="23916"/>
  <c r="GW132" i="23916"/>
  <c r="GU132" i="23916"/>
  <c r="GP132" i="23916"/>
  <c r="GQ132" i="23916" s="1"/>
  <c r="GN132" i="23916"/>
  <c r="GO132" i="23916" s="1"/>
  <c r="GL132" i="23916"/>
  <c r="GM132" i="23916" s="1"/>
  <c r="GJ132" i="23916"/>
  <c r="GK132" i="23916" s="1"/>
  <c r="GH132" i="23916"/>
  <c r="GI132" i="23916" s="1"/>
  <c r="GF132" i="23916"/>
  <c r="GG132" i="23916" s="1"/>
  <c r="GD132" i="23916"/>
  <c r="GE132" i="23916" s="1"/>
  <c r="GB132" i="23916"/>
  <c r="GC132" i="23916" s="1"/>
  <c r="FZ132" i="23916"/>
  <c r="GA132" i="23916" s="1"/>
  <c r="FX132" i="23916"/>
  <c r="FY132" i="23916" s="1"/>
  <c r="FV132" i="23916"/>
  <c r="FW132" i="23916" s="1"/>
  <c r="FT132" i="23916"/>
  <c r="FU132" i="23916" s="1"/>
  <c r="FR132" i="23916"/>
  <c r="FS132" i="23916" s="1"/>
  <c r="FP132" i="23916"/>
  <c r="FQ132" i="23916" s="1"/>
  <c r="FN132" i="23916"/>
  <c r="FO132" i="23916" s="1"/>
  <c r="FL132" i="23916"/>
  <c r="FM132" i="23916" s="1"/>
  <c r="FJ132" i="23916"/>
  <c r="FK132" i="23916" s="1"/>
  <c r="FH132" i="23916"/>
  <c r="FI132" i="23916" s="1"/>
  <c r="FF132" i="23916"/>
  <c r="FG132" i="23916" s="1"/>
  <c r="FE132" i="23916"/>
  <c r="EX132" i="23916"/>
  <c r="EV132" i="23916"/>
  <c r="ET132" i="23916"/>
  <c r="ER132" i="23916"/>
  <c r="EP132" i="23916"/>
  <c r="EO132" i="23916"/>
  <c r="EN132" i="23916"/>
  <c r="EM132" i="23916"/>
  <c r="EL132" i="23916"/>
  <c r="EK132" i="23916"/>
  <c r="EJ132" i="23916"/>
  <c r="EI132" i="23916"/>
  <c r="EH132" i="23916"/>
  <c r="EG132" i="23916"/>
  <c r="EF132" i="23916"/>
  <c r="EE132" i="23916"/>
  <c r="ED132" i="23916"/>
  <c r="EC132" i="23916"/>
  <c r="EB132" i="23916"/>
  <c r="EA132" i="23916"/>
  <c r="DZ132" i="23916"/>
  <c r="DY132" i="23916"/>
  <c r="DX132" i="23916"/>
  <c r="DW132" i="23916"/>
  <c r="DV132" i="23916"/>
  <c r="DU132" i="23916"/>
  <c r="DT132" i="23916"/>
  <c r="DS132" i="23916"/>
  <c r="DS135" i="23916" s="1"/>
  <c r="DR132" i="23916"/>
  <c r="DQ132" i="23916"/>
  <c r="DP132" i="23916"/>
  <c r="DO132" i="23916"/>
  <c r="DN132" i="23916"/>
  <c r="DM132" i="23916"/>
  <c r="DL132" i="23916"/>
  <c r="DK132" i="23916"/>
  <c r="DJ132" i="23916"/>
  <c r="DI132" i="23916"/>
  <c r="DH132" i="23916"/>
  <c r="DG132" i="23916"/>
  <c r="DF132" i="23916"/>
  <c r="DE132" i="23916"/>
  <c r="DD132" i="23916"/>
  <c r="DC132" i="23916"/>
  <c r="DB132" i="23916"/>
  <c r="DA132" i="23916"/>
  <c r="CZ132" i="23916"/>
  <c r="CY132" i="23916"/>
  <c r="CX132" i="23916"/>
  <c r="CW132" i="23916"/>
  <c r="CV132" i="23916"/>
  <c r="CU132" i="23916"/>
  <c r="CT132" i="23916"/>
  <c r="CS132" i="23916"/>
  <c r="CR132" i="23916"/>
  <c r="CQ132" i="23916"/>
  <c r="CP132" i="23916"/>
  <c r="CO132" i="23916"/>
  <c r="CN132" i="23916"/>
  <c r="CM132" i="23916"/>
  <c r="CM135" i="23916" s="1"/>
  <c r="CL132" i="23916"/>
  <c r="CK132" i="23916"/>
  <c r="CJ132" i="23916"/>
  <c r="CI132" i="23916"/>
  <c r="CH132" i="23916"/>
  <c r="CG132" i="23916"/>
  <c r="CF132" i="23916"/>
  <c r="CE132" i="23916"/>
  <c r="CE135" i="23916" s="1"/>
  <c r="CD132" i="23916"/>
  <c r="CC132" i="23916"/>
  <c r="CB132" i="23916"/>
  <c r="CA132" i="23916"/>
  <c r="BZ132" i="23916"/>
  <c r="BY132" i="23916"/>
  <c r="BX132" i="23916"/>
  <c r="BW132" i="23916"/>
  <c r="BW135" i="23916" s="1"/>
  <c r="BV132" i="23916"/>
  <c r="BU132" i="23916"/>
  <c r="BT132" i="23916"/>
  <c r="BR132" i="23916"/>
  <c r="BR131" i="23916"/>
  <c r="BR130" i="23916"/>
  <c r="BR129" i="23916"/>
  <c r="BR128" i="23916"/>
  <c r="BP132" i="23916"/>
  <c r="BP131" i="23916"/>
  <c r="BP130" i="23916"/>
  <c r="BP129" i="23916"/>
  <c r="BP128" i="23916"/>
  <c r="BN132" i="23916"/>
  <c r="BN131" i="23916"/>
  <c r="BN130" i="23916"/>
  <c r="BN129" i="23916"/>
  <c r="BN128" i="23916"/>
  <c r="BL132" i="23916"/>
  <c r="BL131" i="23916"/>
  <c r="BL130" i="23916"/>
  <c r="BL129" i="23916"/>
  <c r="BL128" i="23916"/>
  <c r="BJ132" i="23916"/>
  <c r="BJ131" i="23916"/>
  <c r="BJ130" i="23916"/>
  <c r="BJ129" i="23916"/>
  <c r="BJ128" i="23916"/>
  <c r="BH132" i="23916"/>
  <c r="BH131" i="23916"/>
  <c r="BH130" i="23916"/>
  <c r="BH129" i="23916"/>
  <c r="BH128" i="23916"/>
  <c r="BF132" i="23916"/>
  <c r="BF131" i="23916"/>
  <c r="BF130" i="23916"/>
  <c r="BF129" i="23916"/>
  <c r="BF128" i="23916"/>
  <c r="BD132" i="23916"/>
  <c r="BD131" i="23916"/>
  <c r="BD130" i="23916"/>
  <c r="BD129" i="23916"/>
  <c r="BD128" i="23916"/>
  <c r="BB132" i="23916"/>
  <c r="BB131" i="23916"/>
  <c r="BB130" i="23916"/>
  <c r="BB129" i="23916"/>
  <c r="BB128" i="23916"/>
  <c r="AZ132" i="23916"/>
  <c r="AZ131" i="23916"/>
  <c r="AZ130" i="23916"/>
  <c r="AZ129" i="23916"/>
  <c r="AZ128" i="23916"/>
  <c r="AX132" i="23916"/>
  <c r="AX131" i="23916"/>
  <c r="AX130" i="23916"/>
  <c r="AX129" i="23916"/>
  <c r="AX128" i="23916"/>
  <c r="AV132" i="23916"/>
  <c r="AV131" i="23916"/>
  <c r="AV130" i="23916"/>
  <c r="AV129" i="23916"/>
  <c r="AV128" i="23916"/>
  <c r="AT132" i="23916"/>
  <c r="AT131" i="23916"/>
  <c r="AT130" i="23916"/>
  <c r="AT129" i="23916"/>
  <c r="AT128" i="23916"/>
  <c r="AR132" i="23916"/>
  <c r="AR131" i="23916"/>
  <c r="AR130" i="23916"/>
  <c r="AR129" i="23916"/>
  <c r="AR128" i="23916"/>
  <c r="AP132" i="23916"/>
  <c r="AP131" i="23916"/>
  <c r="AP130" i="23916"/>
  <c r="AP129" i="23916"/>
  <c r="AP128" i="23916"/>
  <c r="AN132" i="23916"/>
  <c r="AN131" i="23916"/>
  <c r="AN130" i="23916"/>
  <c r="AN129" i="23916"/>
  <c r="AN128" i="23916"/>
  <c r="AL132" i="23916"/>
  <c r="AL131" i="23916"/>
  <c r="AL130" i="23916"/>
  <c r="AL129" i="23916"/>
  <c r="AL128" i="23916"/>
  <c r="AJ132" i="23916"/>
  <c r="AJ131" i="23916"/>
  <c r="AJ130" i="23916"/>
  <c r="AJ129" i="23916"/>
  <c r="AJ128" i="23916"/>
  <c r="AH132" i="23916"/>
  <c r="AH131" i="23916"/>
  <c r="AH130" i="23916"/>
  <c r="AH129" i="23916"/>
  <c r="AH128" i="23916"/>
  <c r="AF132" i="23916"/>
  <c r="AF131" i="23916"/>
  <c r="AF130" i="23916"/>
  <c r="AF129" i="23916"/>
  <c r="AF128" i="23916"/>
  <c r="AD132" i="23916"/>
  <c r="AD131" i="23916"/>
  <c r="AD130" i="23916"/>
  <c r="AD129" i="23916"/>
  <c r="AD128" i="23916"/>
  <c r="AB132" i="23916"/>
  <c r="AB131" i="23916"/>
  <c r="AB130" i="23916"/>
  <c r="AB129" i="23916"/>
  <c r="AB128" i="23916"/>
  <c r="Z132" i="23916"/>
  <c r="Z131" i="23916"/>
  <c r="Z130" i="23916"/>
  <c r="Z129" i="23916"/>
  <c r="Z128" i="23916"/>
  <c r="X132" i="23916"/>
  <c r="X131" i="23916"/>
  <c r="X130" i="23916"/>
  <c r="X129" i="23916"/>
  <c r="X128" i="23916"/>
  <c r="V132" i="23916"/>
  <c r="V131" i="23916"/>
  <c r="V130" i="23916"/>
  <c r="V129" i="23916"/>
  <c r="V128" i="23916"/>
  <c r="T132" i="23916"/>
  <c r="T131" i="23916"/>
  <c r="T130" i="23916"/>
  <c r="T129" i="23916"/>
  <c r="T128" i="23916"/>
  <c r="R132" i="23916"/>
  <c r="R131" i="23916"/>
  <c r="R130" i="23916"/>
  <c r="R129" i="23916"/>
  <c r="R128" i="23916"/>
  <c r="P132" i="23916"/>
  <c r="P131" i="23916"/>
  <c r="P130" i="23916"/>
  <c r="P129" i="23916"/>
  <c r="P128" i="23916"/>
  <c r="N132" i="23916"/>
  <c r="N131" i="23916"/>
  <c r="N130" i="23916"/>
  <c r="N129" i="23916"/>
  <c r="N128" i="23916"/>
  <c r="L132" i="23916"/>
  <c r="L131" i="23916"/>
  <c r="L130" i="23916"/>
  <c r="L129" i="23916"/>
  <c r="L128" i="23916"/>
  <c r="EN131" i="23916"/>
  <c r="EN130" i="23916"/>
  <c r="EN128" i="23916"/>
  <c r="EL131" i="23916"/>
  <c r="EL130" i="23916"/>
  <c r="EL128" i="23916"/>
  <c r="EJ131" i="23916"/>
  <c r="EJ130" i="23916"/>
  <c r="EJ128" i="23916"/>
  <c r="EH131" i="23916"/>
  <c r="EH130" i="23916"/>
  <c r="EH129" i="23916"/>
  <c r="EH128" i="23916"/>
  <c r="EF131" i="23916"/>
  <c r="EF130" i="23916"/>
  <c r="EF128" i="23916"/>
  <c r="ED131" i="23916"/>
  <c r="ED130" i="23916"/>
  <c r="ED129" i="23916"/>
  <c r="ED128" i="23916"/>
  <c r="EB131" i="23916"/>
  <c r="EB130" i="23916"/>
  <c r="EB129" i="23916"/>
  <c r="EB128" i="23916"/>
  <c r="DZ131" i="23916"/>
  <c r="DZ130" i="23916"/>
  <c r="DZ129" i="23916"/>
  <c r="DZ128" i="23916"/>
  <c r="DX131" i="23916"/>
  <c r="DX130" i="23916"/>
  <c r="DX129" i="23916"/>
  <c r="DX128" i="23916"/>
  <c r="DV131" i="23916"/>
  <c r="DV130" i="23916"/>
  <c r="DV129" i="23916"/>
  <c r="DV128" i="23916"/>
  <c r="DT131" i="23916"/>
  <c r="DT130" i="23916"/>
  <c r="DT129" i="23916"/>
  <c r="DT128" i="23916"/>
  <c r="DR131" i="23916"/>
  <c r="DR130" i="23916"/>
  <c r="DR129" i="23916"/>
  <c r="DR128" i="23916"/>
  <c r="DP131" i="23916"/>
  <c r="DP130" i="23916"/>
  <c r="DP129" i="23916"/>
  <c r="DP128" i="23916"/>
  <c r="DN131" i="23916"/>
  <c r="DN130" i="23916"/>
  <c r="DN129" i="23916"/>
  <c r="DN128" i="23916"/>
  <c r="DL131" i="23916"/>
  <c r="DL130" i="23916"/>
  <c r="DL129" i="23916"/>
  <c r="DL128" i="23916"/>
  <c r="DJ131" i="23916"/>
  <c r="DJ130" i="23916"/>
  <c r="DJ129" i="23916"/>
  <c r="DJ128" i="23916"/>
  <c r="DH131" i="23916"/>
  <c r="DH130" i="23916"/>
  <c r="DH129" i="23916"/>
  <c r="DH128" i="23916"/>
  <c r="DF131" i="23916"/>
  <c r="DF130" i="23916"/>
  <c r="DF129" i="23916"/>
  <c r="DF128" i="23916"/>
  <c r="DD131" i="23916"/>
  <c r="DD130" i="23916"/>
  <c r="DD129" i="23916"/>
  <c r="DD128" i="23916"/>
  <c r="DB131" i="23916"/>
  <c r="DB130" i="23916"/>
  <c r="DB129" i="23916"/>
  <c r="DB128" i="23916"/>
  <c r="CZ131" i="23916"/>
  <c r="CZ130" i="23916"/>
  <c r="CZ129" i="23916"/>
  <c r="CZ128" i="23916"/>
  <c r="CX131" i="23916"/>
  <c r="CX130" i="23916"/>
  <c r="CX129" i="23916"/>
  <c r="CX128" i="23916"/>
  <c r="CV131" i="23916"/>
  <c r="CV130" i="23916"/>
  <c r="CV129" i="23916"/>
  <c r="CV128" i="23916"/>
  <c r="CT131" i="23916"/>
  <c r="CT130" i="23916"/>
  <c r="CT129" i="23916"/>
  <c r="CT128" i="23916"/>
  <c r="CR131" i="23916"/>
  <c r="CR130" i="23916"/>
  <c r="CR129" i="23916"/>
  <c r="CR128" i="23916"/>
  <c r="CP131" i="23916"/>
  <c r="CP130" i="23916"/>
  <c r="CP129" i="23916"/>
  <c r="CP128" i="23916"/>
  <c r="CN131" i="23916"/>
  <c r="CN130" i="23916"/>
  <c r="CN129" i="23916"/>
  <c r="CN128" i="23916"/>
  <c r="CL131" i="23916"/>
  <c r="CL130" i="23916"/>
  <c r="CL129" i="23916"/>
  <c r="CL128" i="23916"/>
  <c r="CJ131" i="23916"/>
  <c r="CJ130" i="23916"/>
  <c r="CJ129" i="23916"/>
  <c r="CJ128" i="23916"/>
  <c r="CH131" i="23916"/>
  <c r="CH130" i="23916"/>
  <c r="CH129" i="23916"/>
  <c r="CH128" i="23916"/>
  <c r="CF131" i="23916"/>
  <c r="CF130" i="23916"/>
  <c r="CF129" i="23916"/>
  <c r="CF128" i="23916"/>
  <c r="CD131" i="23916"/>
  <c r="CD130" i="23916"/>
  <c r="CD129" i="23916"/>
  <c r="CD128" i="23916"/>
  <c r="CD127" i="23916"/>
  <c r="CB131" i="23916"/>
  <c r="CB130" i="23916"/>
  <c r="CB129" i="23916"/>
  <c r="CB128" i="23916"/>
  <c r="BZ131" i="23916"/>
  <c r="BZ130" i="23916"/>
  <c r="BZ129" i="23916"/>
  <c r="BZ128" i="23916"/>
  <c r="BX131" i="23916"/>
  <c r="BX130" i="23916"/>
  <c r="BX129" i="23916"/>
  <c r="BX128" i="23916"/>
  <c r="BV131" i="23916"/>
  <c r="BV130" i="23916"/>
  <c r="BV129" i="23916"/>
  <c r="BV128" i="23916"/>
  <c r="BT131" i="23916"/>
  <c r="BT130" i="23916"/>
  <c r="BT129" i="23916"/>
  <c r="BT128" i="23916"/>
  <c r="EO129" i="23916"/>
  <c r="EM129" i="23916"/>
  <c r="EN129" i="23916" s="1"/>
  <c r="EK129" i="23916"/>
  <c r="EI129" i="23916"/>
  <c r="EE129" i="23916"/>
  <c r="GL129" i="23916" s="1"/>
  <c r="GZ132" i="23916"/>
  <c r="GY132" i="23916"/>
  <c r="GO131" i="23916"/>
  <c r="GN131" i="23916"/>
  <c r="GM131" i="23916"/>
  <c r="GL131" i="23916"/>
  <c r="GK131" i="23916"/>
  <c r="GJ131" i="23916"/>
  <c r="GJ138" i="23916" s="1"/>
  <c r="GI131" i="23916"/>
  <c r="GH131" i="23916"/>
  <c r="GG131" i="23916"/>
  <c r="GF131" i="23916"/>
  <c r="GE131" i="23916"/>
  <c r="GD131" i="23916"/>
  <c r="GC131" i="23916"/>
  <c r="GB131" i="23916"/>
  <c r="GA131" i="23916"/>
  <c r="FZ131" i="23916"/>
  <c r="FY131" i="23916"/>
  <c r="FX131" i="23916"/>
  <c r="FW131" i="23916"/>
  <c r="FV131" i="23916"/>
  <c r="FU131" i="23916"/>
  <c r="FT131" i="23916"/>
  <c r="FS131" i="23916"/>
  <c r="FR131" i="23916"/>
  <c r="FQ131" i="23916"/>
  <c r="FP131" i="23916"/>
  <c r="FO131" i="23916"/>
  <c r="FN131" i="23916"/>
  <c r="FM131" i="23916"/>
  <c r="FL131" i="23916"/>
  <c r="FK131" i="23916"/>
  <c r="FJ131" i="23916"/>
  <c r="FI131" i="23916"/>
  <c r="FH131" i="23916"/>
  <c r="FG131" i="23916"/>
  <c r="FF131" i="23916"/>
  <c r="FE131" i="23916"/>
  <c r="GO130" i="23916"/>
  <c r="GN130" i="23916"/>
  <c r="GM130" i="23916"/>
  <c r="GL130" i="23916"/>
  <c r="GK130" i="23916"/>
  <c r="GJ130" i="23916"/>
  <c r="GI130" i="23916"/>
  <c r="GH130" i="23916"/>
  <c r="GH828" i="23916" s="1"/>
  <c r="GG130" i="23916"/>
  <c r="GF130" i="23916"/>
  <c r="GF828" i="23916" s="1"/>
  <c r="GE130" i="23916"/>
  <c r="GD130" i="23916"/>
  <c r="GD828" i="23916" s="1"/>
  <c r="GC130" i="23916"/>
  <c r="GB130" i="23916"/>
  <c r="GB828" i="23916" s="1"/>
  <c r="GA130" i="23916"/>
  <c r="FZ130" i="23916"/>
  <c r="FZ828" i="23916" s="1"/>
  <c r="FY130" i="23916"/>
  <c r="FX130" i="23916"/>
  <c r="FX828" i="23916" s="1"/>
  <c r="FW130" i="23916"/>
  <c r="FV130" i="23916"/>
  <c r="FV828" i="23916" s="1"/>
  <c r="FU130" i="23916"/>
  <c r="FT130" i="23916"/>
  <c r="FT828" i="23916" s="1"/>
  <c r="FS130" i="23916"/>
  <c r="FR130" i="23916"/>
  <c r="FR828" i="23916" s="1"/>
  <c r="FQ130" i="23916"/>
  <c r="FP130" i="23916"/>
  <c r="FP828" i="23916" s="1"/>
  <c r="FO130" i="23916"/>
  <c r="FN130" i="23916"/>
  <c r="FN828" i="23916" s="1"/>
  <c r="FM130" i="23916"/>
  <c r="FL130" i="23916"/>
  <c r="FL828" i="23916" s="1"/>
  <c r="FK130" i="23916"/>
  <c r="FJ130" i="23916"/>
  <c r="FJ828" i="23916" s="1"/>
  <c r="FI130" i="23916"/>
  <c r="FH130" i="23916"/>
  <c r="FH828" i="23916" s="1"/>
  <c r="FG130" i="23916"/>
  <c r="FF130" i="23916"/>
  <c r="FF828" i="23916" s="1"/>
  <c r="FE130" i="23916"/>
  <c r="GK129" i="23916"/>
  <c r="GJ129" i="23916"/>
  <c r="GI129" i="23916"/>
  <c r="GH129" i="23916"/>
  <c r="GG129" i="23916"/>
  <c r="GF129" i="23916"/>
  <c r="GE129" i="23916"/>
  <c r="GD129" i="23916"/>
  <c r="GC129" i="23916"/>
  <c r="GB129" i="23916"/>
  <c r="GA129" i="23916"/>
  <c r="FZ129" i="23916"/>
  <c r="FY129" i="23916"/>
  <c r="FX129" i="23916"/>
  <c r="FW129" i="23916"/>
  <c r="FV129" i="23916"/>
  <c r="FU129" i="23916"/>
  <c r="FT129" i="23916"/>
  <c r="FS129" i="23916"/>
  <c r="FR129" i="23916"/>
  <c r="FQ129" i="23916"/>
  <c r="FP129" i="23916"/>
  <c r="FO129" i="23916"/>
  <c r="FN129" i="23916"/>
  <c r="FM129" i="23916"/>
  <c r="FL129" i="23916"/>
  <c r="FK129" i="23916"/>
  <c r="FJ129" i="23916"/>
  <c r="FI129" i="23916"/>
  <c r="FH129" i="23916"/>
  <c r="FG129" i="23916"/>
  <c r="FF129" i="23916"/>
  <c r="FE129" i="23916"/>
  <c r="GO128" i="23916"/>
  <c r="GN128" i="23916"/>
  <c r="GM128" i="23916"/>
  <c r="GL128" i="23916"/>
  <c r="GL140" i="23916" s="1"/>
  <c r="GK128" i="23916"/>
  <c r="GJ128" i="23916"/>
  <c r="GI128" i="23916"/>
  <c r="GH128" i="23916"/>
  <c r="GH827" i="23916" s="1"/>
  <c r="GG128" i="23916"/>
  <c r="GF128" i="23916"/>
  <c r="GF827" i="23916" s="1"/>
  <c r="GE128" i="23916"/>
  <c r="GD128" i="23916"/>
  <c r="GD827" i="23916" s="1"/>
  <c r="GC128" i="23916"/>
  <c r="GB128" i="23916"/>
  <c r="GB827" i="23916" s="1"/>
  <c r="GA128" i="23916"/>
  <c r="FZ128" i="23916"/>
  <c r="FZ827" i="23916" s="1"/>
  <c r="FY128" i="23916"/>
  <c r="FX128" i="23916"/>
  <c r="FX827" i="23916" s="1"/>
  <c r="FW128" i="23916"/>
  <c r="FV128" i="23916"/>
  <c r="FV827" i="23916" s="1"/>
  <c r="FU128" i="23916"/>
  <c r="FT128" i="23916"/>
  <c r="FT827" i="23916" s="1"/>
  <c r="FS128" i="23916"/>
  <c r="FR128" i="23916"/>
  <c r="FR827" i="23916" s="1"/>
  <c r="FQ128" i="23916"/>
  <c r="FP128" i="23916"/>
  <c r="FP827" i="23916" s="1"/>
  <c r="FO128" i="23916"/>
  <c r="FN128" i="23916"/>
  <c r="FN827" i="23916" s="1"/>
  <c r="FM128" i="23916"/>
  <c r="FL128" i="23916"/>
  <c r="FL827" i="23916" s="1"/>
  <c r="FK128" i="23916"/>
  <c r="FJ128" i="23916"/>
  <c r="FJ827" i="23916" s="1"/>
  <c r="FI128" i="23916"/>
  <c r="FH128" i="23916"/>
  <c r="FH827" i="23916" s="1"/>
  <c r="FG128" i="23916"/>
  <c r="FF128" i="23916"/>
  <c r="FF827" i="23916" s="1"/>
  <c r="FE128" i="23916"/>
  <c r="GJ127" i="23916"/>
  <c r="GJ133" i="23916" s="1"/>
  <c r="FE127" i="23916"/>
  <c r="FD127" i="23916"/>
  <c r="FD138" i="23916" s="1"/>
  <c r="FE138" i="23916" s="1"/>
  <c r="EP131" i="23916"/>
  <c r="EP130" i="23916"/>
  <c r="EQ128" i="23916"/>
  <c r="EQ827" i="23916" s="1"/>
  <c r="EP128" i="23916"/>
  <c r="DU127" i="23916"/>
  <c r="DU138" i="23916" s="1"/>
  <c r="CO127" i="23916"/>
  <c r="CO138" i="23916" s="1"/>
  <c r="CE127" i="23916"/>
  <c r="CE133" i="23916" s="1"/>
  <c r="BW127" i="23916"/>
  <c r="BW133" i="23916" s="1"/>
  <c r="AO127" i="23916"/>
  <c r="AO138" i="23916" s="1"/>
  <c r="I127" i="23916"/>
  <c r="I138" i="23916" s="1"/>
  <c r="GW116" i="23916"/>
  <c r="GU116" i="23916"/>
  <c r="GS116" i="23916"/>
  <c r="GP116" i="23916"/>
  <c r="GP627" i="23916" s="1"/>
  <c r="GN116" i="23916"/>
  <c r="GO116" i="23916" s="1"/>
  <c r="GL116" i="23916"/>
  <c r="GM116" i="23916" s="1"/>
  <c r="GJ116" i="23916"/>
  <c r="GF116" i="23916"/>
  <c r="GB116" i="23916"/>
  <c r="GC116" i="23916" s="1"/>
  <c r="EX116" i="23916"/>
  <c r="EV116" i="23916"/>
  <c r="ET116" i="23916"/>
  <c r="ER116" i="23916"/>
  <c r="EP116" i="23916"/>
  <c r="EP113" i="23916"/>
  <c r="EN116" i="23916"/>
  <c r="EN113" i="23916"/>
  <c r="EL116" i="23916"/>
  <c r="EL113" i="23916"/>
  <c r="EJ116" i="23916"/>
  <c r="EJ113" i="23916"/>
  <c r="EH116" i="23916"/>
  <c r="EH113" i="23916"/>
  <c r="EF116" i="23916"/>
  <c r="EF113" i="23916"/>
  <c r="ED116" i="23916"/>
  <c r="ED113" i="23916"/>
  <c r="EB116" i="23916"/>
  <c r="EB113" i="23916"/>
  <c r="DZ113" i="23916"/>
  <c r="DX113" i="23916"/>
  <c r="DV113" i="23916"/>
  <c r="DT116" i="23916"/>
  <c r="DT113" i="23916"/>
  <c r="DQ116" i="23916"/>
  <c r="DQ627" i="23916" s="1"/>
  <c r="DR627" i="23916" s="1"/>
  <c r="DO116" i="23916"/>
  <c r="DO627" i="23916" s="1"/>
  <c r="DP627" i="23916" s="1"/>
  <c r="DM116" i="23916"/>
  <c r="DM627" i="23916" s="1"/>
  <c r="DN627" i="23916" s="1"/>
  <c r="DL116" i="23916"/>
  <c r="DI116" i="23916"/>
  <c r="DI627" i="23916" s="1"/>
  <c r="DG116" i="23916"/>
  <c r="DG627" i="23916" s="1"/>
  <c r="DF116" i="23916"/>
  <c r="DE116" i="23916"/>
  <c r="DE627" i="23916" s="1"/>
  <c r="DF627" i="23916" s="1"/>
  <c r="DD116" i="23916"/>
  <c r="DA116" i="23916"/>
  <c r="DA627" i="23916" s="1"/>
  <c r="DB627" i="23916" s="1"/>
  <c r="CY116" i="23916"/>
  <c r="CY627" i="23916" s="1"/>
  <c r="CZ627" i="23916" s="1"/>
  <c r="CX116" i="23916"/>
  <c r="CV116" i="23916"/>
  <c r="CV113" i="23916"/>
  <c r="CT116" i="23916"/>
  <c r="CT113" i="23916"/>
  <c r="CR116" i="23916"/>
  <c r="CR113" i="23916"/>
  <c r="ES114" i="23916"/>
  <c r="EU114" i="23916" s="1"/>
  <c r="DR113" i="23916"/>
  <c r="DP113" i="23916"/>
  <c r="DN113" i="23916"/>
  <c r="DL113" i="23916"/>
  <c r="DJ113" i="23916"/>
  <c r="DH113" i="23916"/>
  <c r="DF113" i="23916"/>
  <c r="DD113" i="23916"/>
  <c r="DB113" i="23916"/>
  <c r="CZ113" i="23916"/>
  <c r="CX113" i="23916"/>
  <c r="GZ116" i="23916"/>
  <c r="GY116" i="23916"/>
  <c r="GN113" i="23916"/>
  <c r="GL113" i="23916"/>
  <c r="GJ113" i="23916"/>
  <c r="GH113" i="23916"/>
  <c r="GF113" i="23916"/>
  <c r="GD113" i="23916"/>
  <c r="GC113" i="23916"/>
  <c r="GB110" i="23916"/>
  <c r="EO110" i="23916"/>
  <c r="EP110" i="23916" s="1"/>
  <c r="EM110" i="23916"/>
  <c r="EN110" i="23916" s="1"/>
  <c r="EK110" i="23916"/>
  <c r="EL110" i="23916" s="1"/>
  <c r="EI110" i="23916"/>
  <c r="EJ110" i="23916" s="1"/>
  <c r="EG110" i="23916"/>
  <c r="EH110" i="23916" s="1"/>
  <c r="EE110" i="23916"/>
  <c r="EF110" i="23916" s="1"/>
  <c r="EC110" i="23916"/>
  <c r="ED110" i="23916" s="1"/>
  <c r="EA110" i="23916"/>
  <c r="EB110" i="23916" s="1"/>
  <c r="DY110" i="23916"/>
  <c r="DZ110" i="23916" s="1"/>
  <c r="DW110" i="23916"/>
  <c r="DX110" i="23916" s="1"/>
  <c r="DU110" i="23916"/>
  <c r="DV110" i="23916" s="1"/>
  <c r="DS110" i="23916"/>
  <c r="DT110" i="23916" s="1"/>
  <c r="DQ110" i="23916"/>
  <c r="DR110" i="23916" s="1"/>
  <c r="DO110" i="23916"/>
  <c r="DP110" i="23916" s="1"/>
  <c r="DM110" i="23916"/>
  <c r="DN110" i="23916" s="1"/>
  <c r="DK110" i="23916"/>
  <c r="DI110" i="23916"/>
  <c r="DG110" i="23916"/>
  <c r="DE110" i="23916"/>
  <c r="DC110" i="23916"/>
  <c r="DA110" i="23916"/>
  <c r="CY110" i="23916"/>
  <c r="CW110" i="23916"/>
  <c r="CU110" i="23916"/>
  <c r="CS110" i="23916"/>
  <c r="CQ110" i="23916"/>
  <c r="GS109" i="23916"/>
  <c r="GR109" i="23916"/>
  <c r="GQ109" i="23916"/>
  <c r="GO109" i="23916"/>
  <c r="GM109" i="23916"/>
  <c r="GK109" i="23916"/>
  <c r="GI109" i="23916"/>
  <c r="ES106" i="23916"/>
  <c r="ES107" i="23916" s="1"/>
  <c r="EQ107" i="23916"/>
  <c r="GV108" i="23916"/>
  <c r="GV109" i="23916" s="1"/>
  <c r="GW109" i="23916" s="1"/>
  <c r="GT108" i="23916"/>
  <c r="GT109" i="23916" s="1"/>
  <c r="GU109" i="23916" s="1"/>
  <c r="GB102" i="23916"/>
  <c r="GB103" i="23916" s="1"/>
  <c r="GC103" i="23916" s="1"/>
  <c r="EO102" i="23916"/>
  <c r="EP102" i="23916" s="1"/>
  <c r="EM102" i="23916"/>
  <c r="EN102" i="23916" s="1"/>
  <c r="EK102" i="23916"/>
  <c r="EL102" i="23916" s="1"/>
  <c r="EI102" i="23916"/>
  <c r="EJ102" i="23916" s="1"/>
  <c r="EG102" i="23916"/>
  <c r="EH102" i="23916" s="1"/>
  <c r="EE102" i="23916"/>
  <c r="EF102" i="23916" s="1"/>
  <c r="EC102" i="23916"/>
  <c r="ED102" i="23916" s="1"/>
  <c r="EA102" i="23916"/>
  <c r="EB102" i="23916" s="1"/>
  <c r="DY102" i="23916"/>
  <c r="DZ102" i="23916" s="1"/>
  <c r="DW102" i="23916"/>
  <c r="DX102" i="23916" s="1"/>
  <c r="DU102" i="23916"/>
  <c r="DV102" i="23916" s="1"/>
  <c r="DS102" i="23916"/>
  <c r="DT102" i="23916" s="1"/>
  <c r="DQ102" i="23916"/>
  <c r="DR102" i="23916" s="1"/>
  <c r="DO102" i="23916"/>
  <c r="DP102" i="23916" s="1"/>
  <c r="DM102" i="23916"/>
  <c r="DN102" i="23916" s="1"/>
  <c r="DK102" i="23916"/>
  <c r="DL102" i="23916" s="1"/>
  <c r="DI102" i="23916"/>
  <c r="DJ102" i="23916" s="1"/>
  <c r="DG102" i="23916"/>
  <c r="DH102" i="23916" s="1"/>
  <c r="DE102" i="23916"/>
  <c r="DF102" i="23916" s="1"/>
  <c r="DC102" i="23916"/>
  <c r="DD102" i="23916" s="1"/>
  <c r="DA102" i="23916"/>
  <c r="DB102" i="23916" s="1"/>
  <c r="CY102" i="23916"/>
  <c r="CZ102" i="23916" s="1"/>
  <c r="CW102" i="23916"/>
  <c r="CX102" i="23916" s="1"/>
  <c r="CU102" i="23916"/>
  <c r="CV102" i="23916" s="1"/>
  <c r="CS102" i="23916"/>
  <c r="CT102" i="23916" s="1"/>
  <c r="CQ102" i="23916"/>
  <c r="CR102" i="23916" s="1"/>
  <c r="EO101" i="23916"/>
  <c r="EP101" i="23916" s="1"/>
  <c r="EN101" i="23916"/>
  <c r="EL101" i="23916"/>
  <c r="EK101" i="23916"/>
  <c r="EK108" i="23916" s="1"/>
  <c r="EJ101" i="23916"/>
  <c r="EH101" i="23916"/>
  <c r="EH100" i="23916"/>
  <c r="EF101" i="23916"/>
  <c r="EF100" i="23916"/>
  <c r="ED101" i="23916"/>
  <c r="ED100" i="23916"/>
  <c r="EB101" i="23916"/>
  <c r="EB100" i="23916"/>
  <c r="DZ100" i="23916"/>
  <c r="DX101" i="23916"/>
  <c r="DX100" i="23916"/>
  <c r="DV101" i="23916"/>
  <c r="DV100" i="23916"/>
  <c r="DT101" i="23916"/>
  <c r="DT100" i="23916"/>
  <c r="DQ101" i="23916"/>
  <c r="DQ108" i="23916" s="1"/>
  <c r="DP101" i="23916"/>
  <c r="DN101" i="23916"/>
  <c r="DN100" i="23916"/>
  <c r="DL101" i="23916"/>
  <c r="DL100" i="23916"/>
  <c r="DJ101" i="23916"/>
  <c r="DJ100" i="23916"/>
  <c r="DH101" i="23916"/>
  <c r="DH100" i="23916"/>
  <c r="DF101" i="23916"/>
  <c r="DF100" i="23916"/>
  <c r="DD101" i="23916"/>
  <c r="DD100" i="23916"/>
  <c r="DB101" i="23916"/>
  <c r="DB100" i="23916"/>
  <c r="CZ101" i="23916"/>
  <c r="CY101" i="23916"/>
  <c r="CY108" i="23916" s="1"/>
  <c r="CX101" i="23916"/>
  <c r="CV101" i="23916"/>
  <c r="CV100" i="23916"/>
  <c r="CT101" i="23916"/>
  <c r="CT100" i="23916"/>
  <c r="CR101" i="23916"/>
  <c r="CR100" i="23916"/>
  <c r="GM101" i="23916"/>
  <c r="GL101" i="23916"/>
  <c r="GL108" i="23916" s="1"/>
  <c r="GJ101" i="23916"/>
  <c r="GG101" i="23916"/>
  <c r="GF101" i="23916"/>
  <c r="GE101" i="23916"/>
  <c r="GD101" i="23916"/>
  <c r="GD108" i="23916" s="1"/>
  <c r="GC101" i="23916"/>
  <c r="GO100" i="23916"/>
  <c r="GN100" i="23916"/>
  <c r="GN110" i="23916" s="1"/>
  <c r="GO110" i="23916" s="1"/>
  <c r="GM100" i="23916"/>
  <c r="GL100" i="23916"/>
  <c r="GL110" i="23916" s="1"/>
  <c r="GK100" i="23916"/>
  <c r="GJ100" i="23916"/>
  <c r="GJ110" i="23916" s="1"/>
  <c r="GK110" i="23916" s="1"/>
  <c r="GI100" i="23916"/>
  <c r="GH100" i="23916"/>
  <c r="GH110" i="23916" s="1"/>
  <c r="GG100" i="23916"/>
  <c r="GF100" i="23916"/>
  <c r="GE100" i="23916"/>
  <c r="GD100" i="23916"/>
  <c r="GC100" i="23916"/>
  <c r="EP100" i="23916"/>
  <c r="EN100" i="23916"/>
  <c r="EL100" i="23916"/>
  <c r="EJ100" i="23916"/>
  <c r="DR100" i="23916"/>
  <c r="DP100" i="23916"/>
  <c r="CZ100" i="23916"/>
  <c r="CX100" i="23916"/>
  <c r="EO92" i="23916"/>
  <c r="EO91" i="23916"/>
  <c r="EO93" i="23916" s="1"/>
  <c r="EO90" i="23916"/>
  <c r="EM92" i="23916"/>
  <c r="EM93" i="23916" s="1"/>
  <c r="EM91" i="23916"/>
  <c r="EM90" i="23916"/>
  <c r="EK93" i="23916"/>
  <c r="EK94" i="23916" s="1"/>
  <c r="EK92" i="23916"/>
  <c r="EK91" i="23916"/>
  <c r="EK90" i="23916"/>
  <c r="EI92" i="23916"/>
  <c r="EI93" i="23916" s="1"/>
  <c r="EI91" i="23916"/>
  <c r="EI90" i="23916"/>
  <c r="EG92" i="23916"/>
  <c r="EG91" i="23916"/>
  <c r="EG93" i="23916" s="1"/>
  <c r="EG90" i="23916"/>
  <c r="EE92" i="23916"/>
  <c r="EE93" i="23916" s="1"/>
  <c r="EE91" i="23916"/>
  <c r="EE90" i="23916"/>
  <c r="EC93" i="23916"/>
  <c r="EC94" i="23916" s="1"/>
  <c r="EC92" i="23916"/>
  <c r="EC91" i="23916"/>
  <c r="EC90" i="23916"/>
  <c r="EA92" i="23916"/>
  <c r="EA93" i="23916" s="1"/>
  <c r="EA91" i="23916"/>
  <c r="EA90" i="23916"/>
  <c r="DY92" i="23916"/>
  <c r="DY91" i="23916"/>
  <c r="DY93" i="23916" s="1"/>
  <c r="DY90" i="23916"/>
  <c r="DW92" i="23916"/>
  <c r="DW93" i="23916" s="1"/>
  <c r="DW91" i="23916"/>
  <c r="DW90" i="23916"/>
  <c r="DU93" i="23916"/>
  <c r="DU94" i="23916" s="1"/>
  <c r="DU92" i="23916"/>
  <c r="DU91" i="23916"/>
  <c r="DU90" i="23916"/>
  <c r="DS92" i="23916"/>
  <c r="DS93" i="23916" s="1"/>
  <c r="DS91" i="23916"/>
  <c r="DS90" i="23916"/>
  <c r="DQ92" i="23916"/>
  <c r="DQ91" i="23916"/>
  <c r="DQ93" i="23916" s="1"/>
  <c r="DQ90" i="23916"/>
  <c r="DO92" i="23916"/>
  <c r="DO93" i="23916" s="1"/>
  <c r="DO91" i="23916"/>
  <c r="DO90" i="23916"/>
  <c r="DM93" i="23916"/>
  <c r="DM94" i="23916" s="1"/>
  <c r="DM92" i="23916"/>
  <c r="DM91" i="23916"/>
  <c r="DM90" i="23916"/>
  <c r="DK92" i="23916"/>
  <c r="DK93" i="23916" s="1"/>
  <c r="DK91" i="23916"/>
  <c r="DK90" i="23916"/>
  <c r="DI92" i="23916"/>
  <c r="DI91" i="23916"/>
  <c r="DI93" i="23916" s="1"/>
  <c r="DI90" i="23916"/>
  <c r="DG92" i="23916"/>
  <c r="DG93" i="23916" s="1"/>
  <c r="DG91" i="23916"/>
  <c r="DG90" i="23916"/>
  <c r="DE93" i="23916"/>
  <c r="DE94" i="23916" s="1"/>
  <c r="DE92" i="23916"/>
  <c r="DE91" i="23916"/>
  <c r="DF91" i="23916" s="1"/>
  <c r="DE90" i="23916"/>
  <c r="DC92" i="23916"/>
  <c r="DC93" i="23916" s="1"/>
  <c r="DC91" i="23916"/>
  <c r="DC90" i="23916"/>
  <c r="DA92" i="23916"/>
  <c r="DA91" i="23916"/>
  <c r="DA93" i="23916" s="1"/>
  <c r="DA90" i="23916"/>
  <c r="CY92" i="23916"/>
  <c r="CY93" i="23916" s="1"/>
  <c r="CY91" i="23916"/>
  <c r="CY90" i="23916"/>
  <c r="CW93" i="23916"/>
  <c r="CW94" i="23916" s="1"/>
  <c r="CW92" i="23916"/>
  <c r="CW91" i="23916"/>
  <c r="CW90" i="23916"/>
  <c r="CU92" i="23916"/>
  <c r="CU93" i="23916" s="1"/>
  <c r="CU91" i="23916"/>
  <c r="CU90" i="23916"/>
  <c r="DF92" i="23916"/>
  <c r="DF90" i="23916"/>
  <c r="DB92" i="23916"/>
  <c r="DB93" i="23916" s="1"/>
  <c r="DB94" i="23916" s="1"/>
  <c r="DB91" i="23916"/>
  <c r="DB90" i="23916"/>
  <c r="CZ92" i="23916"/>
  <c r="CZ93" i="23916" s="1"/>
  <c r="CZ94" i="23916" s="1"/>
  <c r="CZ91" i="23916"/>
  <c r="CZ90" i="23916"/>
  <c r="EU90" i="23916"/>
  <c r="DH91" i="23916"/>
  <c r="B90" i="23916"/>
  <c r="EW87" i="23916"/>
  <c r="EW92" i="23916" s="1"/>
  <c r="EW85" i="23916"/>
  <c r="EW90" i="23916" s="1"/>
  <c r="EU87" i="23916"/>
  <c r="EU92" i="23916" s="1"/>
  <c r="EU85" i="23916"/>
  <c r="ES87" i="23916"/>
  <c r="ES92" i="23916" s="1"/>
  <c r="ES93" i="23916" s="1"/>
  <c r="ES86" i="23916"/>
  <c r="ES91" i="23916" s="1"/>
  <c r="ES85" i="23916"/>
  <c r="ES90" i="23916" s="1"/>
  <c r="EQ87" i="23916"/>
  <c r="EQ86" i="23916"/>
  <c r="EQ85" i="23916"/>
  <c r="EQ90" i="23916" s="1"/>
  <c r="DF87" i="23916"/>
  <c r="DF86" i="23916"/>
  <c r="DF85" i="23916"/>
  <c r="B87" i="23916"/>
  <c r="B92" i="23916" s="1"/>
  <c r="B86" i="23916"/>
  <c r="B91" i="23916" s="1"/>
  <c r="B85" i="23916"/>
  <c r="DG81" i="23916"/>
  <c r="DG80" i="23916"/>
  <c r="DG82" i="23916" s="1"/>
  <c r="DE80" i="23916"/>
  <c r="DE81" i="23916" s="1"/>
  <c r="DC81" i="23916"/>
  <c r="DC82" i="23916" s="1"/>
  <c r="DC80" i="23916"/>
  <c r="DA80" i="23916"/>
  <c r="DA81" i="23916" s="1"/>
  <c r="DA82" i="23916" s="1"/>
  <c r="CY81" i="23916"/>
  <c r="CY80" i="23916"/>
  <c r="CY82" i="23916" s="1"/>
  <c r="CW80" i="23916"/>
  <c r="CW81" i="23916" s="1"/>
  <c r="CU81" i="23916"/>
  <c r="CU82" i="23916" s="1"/>
  <c r="CU80" i="23916"/>
  <c r="DH81" i="23916"/>
  <c r="DH80" i="23916"/>
  <c r="DH79" i="23916"/>
  <c r="DH92" i="23916" s="1"/>
  <c r="DH78" i="23916"/>
  <c r="DH77" i="23916"/>
  <c r="DH90" i="23916" s="1"/>
  <c r="DF79" i="23916"/>
  <c r="DF78" i="23916"/>
  <c r="DF77" i="23916"/>
  <c r="DD81" i="23916"/>
  <c r="DD80" i="23916"/>
  <c r="DD79" i="23916"/>
  <c r="DD92" i="23916" s="1"/>
  <c r="DD93" i="23916" s="1"/>
  <c r="DD94" i="23916" s="1"/>
  <c r="DD95" i="23916" s="1"/>
  <c r="DD78" i="23916"/>
  <c r="DD91" i="23916" s="1"/>
  <c r="DD77" i="23916"/>
  <c r="DD90" i="23916" s="1"/>
  <c r="DB80" i="23916"/>
  <c r="DB81" i="23916" s="1"/>
  <c r="CZ80" i="23916"/>
  <c r="CZ81" i="23916" s="1"/>
  <c r="EM81" i="23916"/>
  <c r="EN81" i="23916" s="1"/>
  <c r="EI81" i="23916"/>
  <c r="EJ81" i="23916" s="1"/>
  <c r="EE81" i="23916"/>
  <c r="EF81" i="23916" s="1"/>
  <c r="EA81" i="23916"/>
  <c r="EB81" i="23916" s="1"/>
  <c r="DW81" i="23916"/>
  <c r="DX81" i="23916" s="1"/>
  <c r="DS81" i="23916"/>
  <c r="DT81" i="23916" s="1"/>
  <c r="DO81" i="23916"/>
  <c r="DP81" i="23916" s="1"/>
  <c r="DK81" i="23916"/>
  <c r="DL81" i="23916" s="1"/>
  <c r="EO80" i="23916"/>
  <c r="EP80" i="23916" s="1"/>
  <c r="EM80" i="23916"/>
  <c r="EN80" i="23916" s="1"/>
  <c r="EK80" i="23916"/>
  <c r="EL80" i="23916" s="1"/>
  <c r="EI80" i="23916"/>
  <c r="EJ80" i="23916" s="1"/>
  <c r="EG80" i="23916"/>
  <c r="EH80" i="23916" s="1"/>
  <c r="EE80" i="23916"/>
  <c r="EF80" i="23916" s="1"/>
  <c r="EC80" i="23916"/>
  <c r="ED80" i="23916" s="1"/>
  <c r="EA80" i="23916"/>
  <c r="EB80" i="23916" s="1"/>
  <c r="DY80" i="23916"/>
  <c r="DZ80" i="23916" s="1"/>
  <c r="DW80" i="23916"/>
  <c r="DX80" i="23916" s="1"/>
  <c r="DU80" i="23916"/>
  <c r="DV80" i="23916" s="1"/>
  <c r="DS80" i="23916"/>
  <c r="DT80" i="23916" s="1"/>
  <c r="DQ80" i="23916"/>
  <c r="DR80" i="23916" s="1"/>
  <c r="DO80" i="23916"/>
  <c r="DP80" i="23916" s="1"/>
  <c r="DM80" i="23916"/>
  <c r="DN80" i="23916" s="1"/>
  <c r="DK80" i="23916"/>
  <c r="DL80" i="23916" s="1"/>
  <c r="DI80" i="23916"/>
  <c r="DJ80" i="23916" s="1"/>
  <c r="EN79" i="23916"/>
  <c r="EN78" i="23916"/>
  <c r="EN77" i="23916"/>
  <c r="EL79" i="23916"/>
  <c r="EL78" i="23916"/>
  <c r="EL77" i="23916"/>
  <c r="EJ79" i="23916"/>
  <c r="EJ78" i="23916"/>
  <c r="EJ77" i="23916"/>
  <c r="EH79" i="23916"/>
  <c r="EH78" i="23916"/>
  <c r="EH77" i="23916"/>
  <c r="EF79" i="23916"/>
  <c r="EF78" i="23916"/>
  <c r="EF77" i="23916"/>
  <c r="ED79" i="23916"/>
  <c r="ED78" i="23916"/>
  <c r="ED77" i="23916"/>
  <c r="EB79" i="23916"/>
  <c r="EB78" i="23916"/>
  <c r="EB77" i="23916"/>
  <c r="DZ79" i="23916"/>
  <c r="DZ78" i="23916"/>
  <c r="DZ77" i="23916"/>
  <c r="DX79" i="23916"/>
  <c r="DX78" i="23916"/>
  <c r="DX77" i="23916"/>
  <c r="DV79" i="23916"/>
  <c r="DV78" i="23916"/>
  <c r="DV77" i="23916"/>
  <c r="DT79" i="23916"/>
  <c r="DT78" i="23916"/>
  <c r="DT77" i="23916"/>
  <c r="DR79" i="23916"/>
  <c r="DR78" i="23916"/>
  <c r="DR77" i="23916"/>
  <c r="DP79" i="23916"/>
  <c r="DP78" i="23916"/>
  <c r="DP77" i="23916"/>
  <c r="DN79" i="23916"/>
  <c r="DN78" i="23916"/>
  <c r="DN77" i="23916"/>
  <c r="DL79" i="23916"/>
  <c r="DL78" i="23916"/>
  <c r="DL77" i="23916"/>
  <c r="DJ79" i="23916"/>
  <c r="DJ78" i="23916"/>
  <c r="DJ77" i="23916"/>
  <c r="EW79" i="23916"/>
  <c r="EX79" i="23916" s="1"/>
  <c r="EU79" i="23916"/>
  <c r="EV79" i="23916" s="1"/>
  <c r="ES79" i="23916"/>
  <c r="ET79" i="23916" s="1"/>
  <c r="EQ79" i="23916"/>
  <c r="ER79" i="23916" s="1"/>
  <c r="EP79" i="23916"/>
  <c r="EX78" i="23916"/>
  <c r="EW78" i="23916"/>
  <c r="EV78" i="23916"/>
  <c r="EU78" i="23916"/>
  <c r="ET78" i="23916"/>
  <c r="ES78" i="23916"/>
  <c r="ER78" i="23916"/>
  <c r="EQ78" i="23916"/>
  <c r="EQ91" i="23916" s="1"/>
  <c r="EP78" i="23916"/>
  <c r="EW77" i="23916"/>
  <c r="EX77" i="23916" s="1"/>
  <c r="EU77" i="23916"/>
  <c r="EV77" i="23916" s="1"/>
  <c r="ES77" i="23916"/>
  <c r="ET77" i="23916" s="1"/>
  <c r="EQ77" i="23916"/>
  <c r="ER77" i="23916" s="1"/>
  <c r="EP77" i="23916"/>
  <c r="EU73" i="23916"/>
  <c r="ES73" i="23916"/>
  <c r="EU70" i="23916"/>
  <c r="EW70" i="23916" s="1"/>
  <c r="ES70" i="23916"/>
  <c r="GL67" i="23916"/>
  <c r="GL68" i="23916" s="1"/>
  <c r="GH67" i="23916"/>
  <c r="GH68" i="23916" s="1"/>
  <c r="GD67" i="23916"/>
  <c r="GD68" i="23916" s="1"/>
  <c r="GB67" i="23916"/>
  <c r="GB108" i="23916" s="1"/>
  <c r="GC108" i="23916" s="1"/>
  <c r="EO67" i="23916"/>
  <c r="EM67" i="23916"/>
  <c r="EM108" i="23916" s="1"/>
  <c r="EK67" i="23916"/>
  <c r="EL67" i="23916" s="1"/>
  <c r="EI67" i="23916"/>
  <c r="EI108" i="23916" s="1"/>
  <c r="EG67" i="23916"/>
  <c r="EE67" i="23916"/>
  <c r="EE108" i="23916" s="1"/>
  <c r="EC67" i="23916"/>
  <c r="ED67" i="23916" s="1"/>
  <c r="EA67" i="23916"/>
  <c r="EA108" i="23916" s="1"/>
  <c r="DY67" i="23916"/>
  <c r="DW67" i="23916"/>
  <c r="DW108" i="23916" s="1"/>
  <c r="DU67" i="23916"/>
  <c r="DV67" i="23916" s="1"/>
  <c r="DS67" i="23916"/>
  <c r="DS108" i="23916" s="1"/>
  <c r="DQ67" i="23916"/>
  <c r="DO67" i="23916"/>
  <c r="DO108" i="23916" s="1"/>
  <c r="DM67" i="23916"/>
  <c r="DN67" i="23916" s="1"/>
  <c r="DK67" i="23916"/>
  <c r="DK108" i="23916" s="1"/>
  <c r="DI67" i="23916"/>
  <c r="DG67" i="23916"/>
  <c r="DG108" i="23916" s="1"/>
  <c r="DH108" i="23916" s="1"/>
  <c r="DE67" i="23916"/>
  <c r="DF67" i="23916" s="1"/>
  <c r="DC67" i="23916"/>
  <c r="DC108" i="23916" s="1"/>
  <c r="DA67" i="23916"/>
  <c r="CY67" i="23916"/>
  <c r="CW67" i="23916"/>
  <c r="CX67" i="23916" s="1"/>
  <c r="CU67" i="23916"/>
  <c r="CU108" i="23916" s="1"/>
  <c r="CV108" i="23916" s="1"/>
  <c r="CS67" i="23916"/>
  <c r="CQ67" i="23916"/>
  <c r="CQ108" i="23916" s="1"/>
  <c r="CR108" i="23916" s="1"/>
  <c r="EN66" i="23916"/>
  <c r="EN65" i="23916"/>
  <c r="EN64" i="23916"/>
  <c r="EN63" i="23916"/>
  <c r="EN62" i="23916"/>
  <c r="EN61" i="23916"/>
  <c r="EL66" i="23916"/>
  <c r="EL64" i="23916"/>
  <c r="EL63" i="23916"/>
  <c r="EL62" i="23916"/>
  <c r="EL61" i="23916"/>
  <c r="EJ66" i="23916"/>
  <c r="EJ65" i="23916"/>
  <c r="EJ64" i="23916"/>
  <c r="EJ63" i="23916"/>
  <c r="EJ62" i="23916"/>
  <c r="EJ61" i="23916"/>
  <c r="EH66" i="23916"/>
  <c r="EH64" i="23916"/>
  <c r="EH63" i="23916"/>
  <c r="EH62" i="23916"/>
  <c r="EH61" i="23916"/>
  <c r="EF66" i="23916"/>
  <c r="EF65" i="23916"/>
  <c r="EF64" i="23916"/>
  <c r="EF63" i="23916"/>
  <c r="EF62" i="23916"/>
  <c r="EF61" i="23916"/>
  <c r="ED66" i="23916"/>
  <c r="ED64" i="23916"/>
  <c r="ED63" i="23916"/>
  <c r="ED62" i="23916"/>
  <c r="ED61" i="23916"/>
  <c r="EB66" i="23916"/>
  <c r="EB65" i="23916"/>
  <c r="EB64" i="23916"/>
  <c r="EB63" i="23916"/>
  <c r="EB62" i="23916"/>
  <c r="EB61" i="23916"/>
  <c r="DZ66" i="23916"/>
  <c r="DZ64" i="23916"/>
  <c r="DZ63" i="23916"/>
  <c r="DZ62" i="23916"/>
  <c r="DZ61" i="23916"/>
  <c r="DX66" i="23916"/>
  <c r="DX65" i="23916"/>
  <c r="DX64" i="23916"/>
  <c r="DX63" i="23916"/>
  <c r="DX62" i="23916"/>
  <c r="DX61" i="23916"/>
  <c r="DV66" i="23916"/>
  <c r="DV64" i="23916"/>
  <c r="DV63" i="23916"/>
  <c r="DV62" i="23916"/>
  <c r="DV61" i="23916"/>
  <c r="DT66" i="23916"/>
  <c r="DT65" i="23916"/>
  <c r="DT64" i="23916"/>
  <c r="DT63" i="23916"/>
  <c r="DT62" i="23916"/>
  <c r="DT61" i="23916"/>
  <c r="DR66" i="23916"/>
  <c r="DR64" i="23916"/>
  <c r="DR63" i="23916"/>
  <c r="DR62" i="23916"/>
  <c r="DR61" i="23916"/>
  <c r="DP66" i="23916"/>
  <c r="DP65" i="23916"/>
  <c r="DP64" i="23916"/>
  <c r="DP63" i="23916"/>
  <c r="DP62" i="23916"/>
  <c r="DP61" i="23916"/>
  <c r="DN66" i="23916"/>
  <c r="DN64" i="23916"/>
  <c r="DN63" i="23916"/>
  <c r="DN62" i="23916"/>
  <c r="DN61" i="23916"/>
  <c r="DL66" i="23916"/>
  <c r="DL65" i="23916"/>
  <c r="DL64" i="23916"/>
  <c r="DL63" i="23916"/>
  <c r="DL62" i="23916"/>
  <c r="DL61" i="23916"/>
  <c r="DJ66" i="23916"/>
  <c r="DJ64" i="23916"/>
  <c r="DJ63" i="23916"/>
  <c r="DJ62" i="23916"/>
  <c r="DJ61" i="23916"/>
  <c r="DH66" i="23916"/>
  <c r="DH65" i="23916"/>
  <c r="DH64" i="23916"/>
  <c r="DH63" i="23916"/>
  <c r="DH62" i="23916"/>
  <c r="DH61" i="23916"/>
  <c r="DF66" i="23916"/>
  <c r="DF64" i="23916"/>
  <c r="DF63" i="23916"/>
  <c r="DF62" i="23916"/>
  <c r="DF61" i="23916"/>
  <c r="DD66" i="23916"/>
  <c r="DD65" i="23916"/>
  <c r="DD64" i="23916"/>
  <c r="DD63" i="23916"/>
  <c r="DD62" i="23916"/>
  <c r="DD61" i="23916"/>
  <c r="DB66" i="23916"/>
  <c r="DB64" i="23916"/>
  <c r="DB63" i="23916"/>
  <c r="DB62" i="23916"/>
  <c r="DB61" i="23916"/>
  <c r="CZ66" i="23916"/>
  <c r="CZ65" i="23916"/>
  <c r="CZ64" i="23916"/>
  <c r="CZ63" i="23916"/>
  <c r="CZ62" i="23916"/>
  <c r="CZ61" i="23916"/>
  <c r="CX66" i="23916"/>
  <c r="CX64" i="23916"/>
  <c r="CX63" i="23916"/>
  <c r="CX62" i="23916"/>
  <c r="CX61" i="23916"/>
  <c r="CV66" i="23916"/>
  <c r="CV65" i="23916"/>
  <c r="CV64" i="23916"/>
  <c r="CV63" i="23916"/>
  <c r="CV62" i="23916"/>
  <c r="CV61" i="23916"/>
  <c r="CT66" i="23916"/>
  <c r="CT64" i="23916"/>
  <c r="CT63" i="23916"/>
  <c r="CT62" i="23916"/>
  <c r="CT61" i="23916"/>
  <c r="CR66" i="23916"/>
  <c r="CR65" i="23916"/>
  <c r="CR64" i="23916"/>
  <c r="CR63" i="23916"/>
  <c r="CR62" i="23916"/>
  <c r="CR61" i="23916"/>
  <c r="GB65" i="23916"/>
  <c r="EO65" i="23916"/>
  <c r="EP65" i="23916" s="1"/>
  <c r="EM65" i="23916"/>
  <c r="EK65" i="23916"/>
  <c r="EL65" i="23916" s="1"/>
  <c r="EI65" i="23916"/>
  <c r="EG65" i="23916"/>
  <c r="EH65" i="23916" s="1"/>
  <c r="EE65" i="23916"/>
  <c r="EC65" i="23916"/>
  <c r="ED65" i="23916" s="1"/>
  <c r="EA65" i="23916"/>
  <c r="DY65" i="23916"/>
  <c r="DZ65" i="23916" s="1"/>
  <c r="DW65" i="23916"/>
  <c r="DU65" i="23916"/>
  <c r="DV65" i="23916" s="1"/>
  <c r="DS65" i="23916"/>
  <c r="DQ65" i="23916"/>
  <c r="DR65" i="23916" s="1"/>
  <c r="DO65" i="23916"/>
  <c r="DM65" i="23916"/>
  <c r="DN65" i="23916" s="1"/>
  <c r="DK65" i="23916"/>
  <c r="DI65" i="23916"/>
  <c r="DJ65" i="23916" s="1"/>
  <c r="DG65" i="23916"/>
  <c r="DE65" i="23916"/>
  <c r="DF65" i="23916" s="1"/>
  <c r="DC65" i="23916"/>
  <c r="DA65" i="23916"/>
  <c r="DB65" i="23916" s="1"/>
  <c r="CY65" i="23916"/>
  <c r="CW65" i="23916"/>
  <c r="CX65" i="23916" s="1"/>
  <c r="CU65" i="23916"/>
  <c r="CS65" i="23916"/>
  <c r="CT65" i="23916" s="1"/>
  <c r="CQ65" i="23916"/>
  <c r="GR66" i="23916"/>
  <c r="GS66" i="23916" s="1"/>
  <c r="GP66" i="23916"/>
  <c r="GQ66" i="23916" s="1"/>
  <c r="GN66" i="23916"/>
  <c r="GO66" i="23916" s="1"/>
  <c r="GL66" i="23916"/>
  <c r="GM66" i="23916" s="1"/>
  <c r="GJ66" i="23916"/>
  <c r="GK66" i="23916" s="1"/>
  <c r="GH66" i="23916"/>
  <c r="GI66" i="23916" s="1"/>
  <c r="GF66" i="23916"/>
  <c r="GG66" i="23916" s="1"/>
  <c r="GD66" i="23916"/>
  <c r="GE66" i="23916" s="1"/>
  <c r="GC66" i="23916"/>
  <c r="GC65" i="23916"/>
  <c r="GN64" i="23916"/>
  <c r="GO64" i="23916" s="1"/>
  <c r="GL64" i="23916"/>
  <c r="GJ64" i="23916"/>
  <c r="GK64" i="23916" s="1"/>
  <c r="GH64" i="23916"/>
  <c r="GF64" i="23916"/>
  <c r="GG64" i="23916" s="1"/>
  <c r="GD64" i="23916"/>
  <c r="GC64" i="23916"/>
  <c r="GN63" i="23916"/>
  <c r="GO63" i="23916" s="1"/>
  <c r="GL63" i="23916"/>
  <c r="GM63" i="23916" s="1"/>
  <c r="GJ63" i="23916"/>
  <c r="GK63" i="23916" s="1"/>
  <c r="GH63" i="23916"/>
  <c r="GI63" i="23916" s="1"/>
  <c r="GF63" i="23916"/>
  <c r="GG63" i="23916" s="1"/>
  <c r="GD63" i="23916"/>
  <c r="GE63" i="23916" s="1"/>
  <c r="GC63" i="23916"/>
  <c r="GN62" i="23916"/>
  <c r="GL62" i="23916"/>
  <c r="GJ62" i="23916"/>
  <c r="GH62" i="23916"/>
  <c r="GF62" i="23916"/>
  <c r="GD62" i="23916"/>
  <c r="GC62" i="23916"/>
  <c r="GN61" i="23916"/>
  <c r="GN851" i="23916" s="1"/>
  <c r="GO851" i="23916" s="1"/>
  <c r="GL61" i="23916"/>
  <c r="GL851" i="23916" s="1"/>
  <c r="GJ61" i="23916"/>
  <c r="GJ851" i="23916" s="1"/>
  <c r="GH61" i="23916"/>
  <c r="GH851" i="23916" s="1"/>
  <c r="GF61" i="23916"/>
  <c r="GF851" i="23916" s="1"/>
  <c r="GD61" i="23916"/>
  <c r="GD851" i="23916" s="1"/>
  <c r="GC61" i="23916"/>
  <c r="EX66" i="23916"/>
  <c r="EW66" i="23916"/>
  <c r="EV66" i="23916"/>
  <c r="EU66" i="23916"/>
  <c r="ET66" i="23916"/>
  <c r="ES66" i="23916"/>
  <c r="ER66" i="23916"/>
  <c r="EQ66" i="23916"/>
  <c r="EP66" i="23916"/>
  <c r="EP64" i="23916"/>
  <c r="EP63" i="23916"/>
  <c r="EP62" i="23916"/>
  <c r="EP61" i="23916"/>
  <c r="GZ56" i="23916"/>
  <c r="CQ56" i="23916"/>
  <c r="CQ55" i="23916"/>
  <c r="CQ54" i="23916"/>
  <c r="EE50" i="23916"/>
  <c r="EF50" i="23916" s="1"/>
  <c r="EC50" i="23916"/>
  <c r="ED50" i="23916" s="1"/>
  <c r="EA50" i="23916"/>
  <c r="EB50" i="23916" s="1"/>
  <c r="DY50" i="23916"/>
  <c r="DZ50" i="23916" s="1"/>
  <c r="DW50" i="23916"/>
  <c r="DX50" i="23916" s="1"/>
  <c r="DU50" i="23916"/>
  <c r="DV50" i="23916" s="1"/>
  <c r="DS50" i="23916"/>
  <c r="DT50" i="23916" s="1"/>
  <c r="DQ50" i="23916"/>
  <c r="DR50" i="23916" s="1"/>
  <c r="DO50" i="23916"/>
  <c r="DP50" i="23916" s="1"/>
  <c r="DM50" i="23916"/>
  <c r="DN50" i="23916" s="1"/>
  <c r="DK50" i="23916"/>
  <c r="DL50" i="23916" s="1"/>
  <c r="DI50" i="23916"/>
  <c r="DJ50" i="23916" s="1"/>
  <c r="DG50" i="23916"/>
  <c r="DH50" i="23916" s="1"/>
  <c r="DE50" i="23916"/>
  <c r="DF50" i="23916" s="1"/>
  <c r="DC50" i="23916"/>
  <c r="DD50" i="23916" s="1"/>
  <c r="DA50" i="23916"/>
  <c r="DB50" i="23916" s="1"/>
  <c r="CY50" i="23916"/>
  <c r="CZ50" i="23916" s="1"/>
  <c r="CW50" i="23916"/>
  <c r="CX50" i="23916" s="1"/>
  <c r="CU50" i="23916"/>
  <c r="CV50" i="23916" s="1"/>
  <c r="CS50" i="23916"/>
  <c r="CT50" i="23916" s="1"/>
  <c r="CQ50" i="23916"/>
  <c r="CR50" i="23916" s="1"/>
  <c r="EO50" i="23916"/>
  <c r="EP50" i="23916" s="1"/>
  <c r="EM50" i="23916"/>
  <c r="EN50" i="23916" s="1"/>
  <c r="EK50" i="23916"/>
  <c r="EL50" i="23916" s="1"/>
  <c r="EI50" i="23916"/>
  <c r="EJ50" i="23916" s="1"/>
  <c r="EP49" i="23916"/>
  <c r="EO49" i="23916"/>
  <c r="EN49" i="23916"/>
  <c r="EM49" i="23916"/>
  <c r="EK49" i="23916"/>
  <c r="EI49" i="23916"/>
  <c r="EG49" i="23916"/>
  <c r="EC49" i="23916"/>
  <c r="ED49" i="23916" s="1"/>
  <c r="EA49" i="23916"/>
  <c r="EB49" i="23916" s="1"/>
  <c r="DY49" i="23916"/>
  <c r="DZ49" i="23916" s="1"/>
  <c r="DW49" i="23916"/>
  <c r="DX49" i="23916" s="1"/>
  <c r="DU49" i="23916"/>
  <c r="DV49" i="23916" s="1"/>
  <c r="DT49" i="23916"/>
  <c r="DR49" i="23916"/>
  <c r="DR48" i="23916"/>
  <c r="DR47" i="23916"/>
  <c r="DP49" i="23916"/>
  <c r="DP48" i="23916"/>
  <c r="DP47" i="23916"/>
  <c r="DN49" i="23916"/>
  <c r="DN48" i="23916"/>
  <c r="DN47" i="23916"/>
  <c r="DL49" i="23916"/>
  <c r="DL48" i="23916"/>
  <c r="DL47" i="23916"/>
  <c r="DJ49" i="23916"/>
  <c r="DJ48" i="23916"/>
  <c r="DJ47" i="23916"/>
  <c r="DH49" i="23916"/>
  <c r="DH48" i="23916"/>
  <c r="DH47" i="23916"/>
  <c r="DF49" i="23916"/>
  <c r="DF48" i="23916"/>
  <c r="DF47" i="23916"/>
  <c r="DD49" i="23916"/>
  <c r="DD48" i="23916"/>
  <c r="DD47" i="23916"/>
  <c r="DB49" i="23916"/>
  <c r="DB48" i="23916"/>
  <c r="DB47" i="23916"/>
  <c r="CZ49" i="23916"/>
  <c r="CZ48" i="23916"/>
  <c r="CZ47" i="23916"/>
  <c r="CX49" i="23916"/>
  <c r="CX48" i="23916"/>
  <c r="CX47" i="23916"/>
  <c r="CV49" i="23916"/>
  <c r="CV48" i="23916"/>
  <c r="CV47" i="23916"/>
  <c r="CT49" i="23916"/>
  <c r="CT48" i="23916"/>
  <c r="CT47" i="23916"/>
  <c r="CR49" i="23916"/>
  <c r="CR48" i="23916"/>
  <c r="CR47" i="23916"/>
  <c r="CR46" i="23916"/>
  <c r="EN48" i="23916"/>
  <c r="EN47" i="23916"/>
  <c r="EL48" i="23916"/>
  <c r="EL47" i="23916"/>
  <c r="EJ48" i="23916"/>
  <c r="EJ47" i="23916"/>
  <c r="EH48" i="23916"/>
  <c r="EH47" i="23916"/>
  <c r="EF48" i="23916"/>
  <c r="EF47" i="23916"/>
  <c r="ED48" i="23916"/>
  <c r="ED47" i="23916"/>
  <c r="EB48" i="23916"/>
  <c r="EB47" i="23916"/>
  <c r="DZ48" i="23916"/>
  <c r="DZ47" i="23916"/>
  <c r="DX48" i="23916"/>
  <c r="DX47" i="23916"/>
  <c r="DV48" i="23916"/>
  <c r="DV47" i="23916"/>
  <c r="DT48" i="23916"/>
  <c r="DT47" i="23916"/>
  <c r="GN49" i="23916"/>
  <c r="GO49" i="23916" s="1"/>
  <c r="GL49" i="23916"/>
  <c r="GH49" i="23916"/>
  <c r="GI49" i="23916" s="1"/>
  <c r="GF49" i="23916"/>
  <c r="GG49" i="23916" s="1"/>
  <c r="GD49" i="23916"/>
  <c r="GE49" i="23916" s="1"/>
  <c r="GO48" i="23916"/>
  <c r="GN48" i="23916"/>
  <c r="GM48" i="23916"/>
  <c r="GL48" i="23916"/>
  <c r="GK48" i="23916"/>
  <c r="GJ48" i="23916"/>
  <c r="GI48" i="23916"/>
  <c r="GH48" i="23916"/>
  <c r="GG48" i="23916"/>
  <c r="GF48" i="23916"/>
  <c r="GE48" i="23916"/>
  <c r="GD48" i="23916"/>
  <c r="GN47" i="23916"/>
  <c r="GO47" i="23916" s="1"/>
  <c r="GL47" i="23916"/>
  <c r="GM47" i="23916" s="1"/>
  <c r="GJ47" i="23916"/>
  <c r="GK47" i="23916" s="1"/>
  <c r="GH47" i="23916"/>
  <c r="GI47" i="23916" s="1"/>
  <c r="GF47" i="23916"/>
  <c r="GG47" i="23916" s="1"/>
  <c r="GD47" i="23916"/>
  <c r="GE47" i="23916" s="1"/>
  <c r="EP48" i="23916"/>
  <c r="EW47" i="23916"/>
  <c r="EX47" i="23916" s="1"/>
  <c r="EU47" i="23916"/>
  <c r="EV47" i="23916" s="1"/>
  <c r="ES47" i="23916"/>
  <c r="ET47" i="23916" s="1"/>
  <c r="EQ47" i="23916"/>
  <c r="ER47" i="23916" s="1"/>
  <c r="EP47" i="23916"/>
  <c r="GJ41" i="23916"/>
  <c r="DS43" i="23916"/>
  <c r="CQ43" i="23916"/>
  <c r="CR43" i="23916" s="1"/>
  <c r="DS42" i="23916"/>
  <c r="CQ42" i="23916"/>
  <c r="CR42" i="23916" s="1"/>
  <c r="DS41" i="23916"/>
  <c r="CQ41" i="23916"/>
  <c r="CR41" i="23916" s="1"/>
  <c r="EO37" i="23916"/>
  <c r="EP37" i="23916" s="1"/>
  <c r="EM37" i="23916"/>
  <c r="EN37" i="23916" s="1"/>
  <c r="EK37" i="23916"/>
  <c r="EL37" i="23916" s="1"/>
  <c r="EI37" i="23916"/>
  <c r="EJ37" i="23916" s="1"/>
  <c r="EG37" i="23916"/>
  <c r="EH37" i="23916" s="1"/>
  <c r="EE37" i="23916"/>
  <c r="EF37" i="23916" s="1"/>
  <c r="EC37" i="23916"/>
  <c r="ED37" i="23916" s="1"/>
  <c r="EA37" i="23916"/>
  <c r="EB37" i="23916" s="1"/>
  <c r="DY37" i="23916"/>
  <c r="DZ37" i="23916" s="1"/>
  <c r="DW37" i="23916"/>
  <c r="DX37" i="23916" s="1"/>
  <c r="DU37" i="23916"/>
  <c r="DV37" i="23916" s="1"/>
  <c r="DS37" i="23916"/>
  <c r="DT37" i="23916" s="1"/>
  <c r="DQ37" i="23916"/>
  <c r="DR37" i="23916" s="1"/>
  <c r="DO37" i="23916"/>
  <c r="DP37" i="23916" s="1"/>
  <c r="DM37" i="23916"/>
  <c r="DN37" i="23916" s="1"/>
  <c r="DK37" i="23916"/>
  <c r="DL37" i="23916" s="1"/>
  <c r="DI37" i="23916"/>
  <c r="DJ37" i="23916" s="1"/>
  <c r="DG37" i="23916"/>
  <c r="DH37" i="23916" s="1"/>
  <c r="DE37" i="23916"/>
  <c r="DF37" i="23916" s="1"/>
  <c r="DC37" i="23916"/>
  <c r="DD37" i="23916" s="1"/>
  <c r="DA37" i="23916"/>
  <c r="DB37" i="23916" s="1"/>
  <c r="CY37" i="23916"/>
  <c r="CZ37" i="23916" s="1"/>
  <c r="CW37" i="23916"/>
  <c r="CX37" i="23916" s="1"/>
  <c r="CU37" i="23916"/>
  <c r="CV37" i="23916" s="1"/>
  <c r="CS37" i="23916"/>
  <c r="CT37" i="23916" s="1"/>
  <c r="CQ37" i="23916"/>
  <c r="CR37" i="23916" s="1"/>
  <c r="EN36" i="23916"/>
  <c r="EN35" i="23916"/>
  <c r="EN33" i="23916"/>
  <c r="EL36" i="23916"/>
  <c r="EL35" i="23916"/>
  <c r="EL34" i="23916"/>
  <c r="EL33" i="23916"/>
  <c r="EJ36" i="23916"/>
  <c r="EJ35" i="23916"/>
  <c r="EJ33" i="23916"/>
  <c r="EH36" i="23916"/>
  <c r="EH35" i="23916"/>
  <c r="EH34" i="23916"/>
  <c r="EH33" i="23916"/>
  <c r="EF36" i="23916"/>
  <c r="EF35" i="23916"/>
  <c r="EF33" i="23916"/>
  <c r="ED36" i="23916"/>
  <c r="ED35" i="23916"/>
  <c r="ED34" i="23916"/>
  <c r="ED33" i="23916"/>
  <c r="EB36" i="23916"/>
  <c r="EB35" i="23916"/>
  <c r="EB34" i="23916"/>
  <c r="EB33" i="23916"/>
  <c r="DZ36" i="23916"/>
  <c r="DZ35" i="23916"/>
  <c r="DZ34" i="23916"/>
  <c r="DZ33" i="23916"/>
  <c r="DX36" i="23916"/>
  <c r="DX35" i="23916"/>
  <c r="DX33" i="23916"/>
  <c r="DV36" i="23916"/>
  <c r="DV35" i="23916"/>
  <c r="DV34" i="23916"/>
  <c r="DV33" i="23916"/>
  <c r="DT36" i="23916"/>
  <c r="DT35" i="23916"/>
  <c r="DT34" i="23916"/>
  <c r="DT33" i="23916"/>
  <c r="DR36" i="23916"/>
  <c r="DR35" i="23916"/>
  <c r="DR34" i="23916"/>
  <c r="DR33" i="23916"/>
  <c r="DP36" i="23916"/>
  <c r="DP35" i="23916"/>
  <c r="DP34" i="23916"/>
  <c r="DP33" i="23916"/>
  <c r="DN36" i="23916"/>
  <c r="DN35" i="23916"/>
  <c r="DN34" i="23916"/>
  <c r="DN33" i="23916"/>
  <c r="DL36" i="23916"/>
  <c r="DL35" i="23916"/>
  <c r="DL34" i="23916"/>
  <c r="DL33" i="23916"/>
  <c r="DJ36" i="23916"/>
  <c r="DJ35" i="23916"/>
  <c r="DJ34" i="23916"/>
  <c r="DJ33" i="23916"/>
  <c r="DH36" i="23916"/>
  <c r="DH35" i="23916"/>
  <c r="DH34" i="23916"/>
  <c r="DH33" i="23916"/>
  <c r="DF36" i="23916"/>
  <c r="DF35" i="23916"/>
  <c r="DF34" i="23916"/>
  <c r="DF33" i="23916"/>
  <c r="DD36" i="23916"/>
  <c r="DD35" i="23916"/>
  <c r="DD34" i="23916"/>
  <c r="DD33" i="23916"/>
  <c r="DB36" i="23916"/>
  <c r="DB35" i="23916"/>
  <c r="DB34" i="23916"/>
  <c r="DB33" i="23916"/>
  <c r="CZ36" i="23916"/>
  <c r="CZ35" i="23916"/>
  <c r="CZ34" i="23916"/>
  <c r="CZ33" i="23916"/>
  <c r="CX36" i="23916"/>
  <c r="CX35" i="23916"/>
  <c r="CX34" i="23916"/>
  <c r="CX33" i="23916"/>
  <c r="CV36" i="23916"/>
  <c r="CV35" i="23916"/>
  <c r="CV34" i="23916"/>
  <c r="CV33" i="23916"/>
  <c r="CT36" i="23916"/>
  <c r="CT35" i="23916"/>
  <c r="CT34" i="23916"/>
  <c r="CT33" i="23916"/>
  <c r="CR36" i="23916"/>
  <c r="CR35" i="23916"/>
  <c r="CR34" i="23916"/>
  <c r="CR33" i="23916"/>
  <c r="CR32" i="23916"/>
  <c r="EM34" i="23916"/>
  <c r="GN34" i="23916" s="1"/>
  <c r="EI34" i="23916"/>
  <c r="EJ34" i="23916" s="1"/>
  <c r="EE34" i="23916"/>
  <c r="EF34" i="23916" s="1"/>
  <c r="DW34" i="23916"/>
  <c r="DX34" i="23916" s="1"/>
  <c r="GL37" i="23916"/>
  <c r="GH37" i="23916"/>
  <c r="GD37" i="23916"/>
  <c r="GE37" i="23916" s="1"/>
  <c r="GO36" i="23916"/>
  <c r="GN36" i="23916"/>
  <c r="GM36" i="23916"/>
  <c r="GL36" i="23916"/>
  <c r="GK36" i="23916"/>
  <c r="GJ36" i="23916"/>
  <c r="GJ43" i="23916" s="1"/>
  <c r="GI36" i="23916"/>
  <c r="GH36" i="23916"/>
  <c r="GG36" i="23916"/>
  <c r="GF36" i="23916"/>
  <c r="GE36" i="23916"/>
  <c r="GD36" i="23916"/>
  <c r="GN35" i="23916"/>
  <c r="GO35" i="23916" s="1"/>
  <c r="GL35" i="23916"/>
  <c r="GJ35" i="23916"/>
  <c r="GK35" i="23916" s="1"/>
  <c r="GH35" i="23916"/>
  <c r="GF35" i="23916"/>
  <c r="GG35" i="23916" s="1"/>
  <c r="GD35" i="23916"/>
  <c r="GK34" i="23916"/>
  <c r="GJ34" i="23916"/>
  <c r="GI34" i="23916"/>
  <c r="GH34" i="23916"/>
  <c r="GG34" i="23916"/>
  <c r="GF34" i="23916"/>
  <c r="GE34" i="23916"/>
  <c r="GD34" i="23916"/>
  <c r="GN33" i="23916"/>
  <c r="GO33" i="23916" s="1"/>
  <c r="GL33" i="23916"/>
  <c r="GM33" i="23916" s="1"/>
  <c r="GJ33" i="23916"/>
  <c r="GK33" i="23916" s="1"/>
  <c r="GH33" i="23916"/>
  <c r="GI33" i="23916" s="1"/>
  <c r="GF33" i="23916"/>
  <c r="GG33" i="23916" s="1"/>
  <c r="GD33" i="23916"/>
  <c r="GE33" i="23916" s="1"/>
  <c r="GJ32" i="23916"/>
  <c r="EP36" i="23916"/>
  <c r="EP35" i="23916"/>
  <c r="EP34" i="23916"/>
  <c r="EW33" i="23916"/>
  <c r="EX33" i="23916" s="1"/>
  <c r="EU33" i="23916"/>
  <c r="EV33" i="23916" s="1"/>
  <c r="ES33" i="23916"/>
  <c r="ET33" i="23916" s="1"/>
  <c r="EQ33" i="23916"/>
  <c r="ER33" i="23916" s="1"/>
  <c r="EP33" i="23916"/>
  <c r="GX25" i="23916"/>
  <c r="GX26" i="23916" s="1"/>
  <c r="GV25" i="23916"/>
  <c r="GV26" i="23916" s="1"/>
  <c r="GT25" i="23916"/>
  <c r="GT26" i="23916" s="1"/>
  <c r="GR25" i="23916"/>
  <c r="GR26" i="23916" s="1"/>
  <c r="GP25" i="23916"/>
  <c r="GP26" i="23916" s="1"/>
  <c r="EW25" i="23916"/>
  <c r="EW26" i="23916" s="1"/>
  <c r="EU25" i="23916"/>
  <c r="EU26" i="23916" s="1"/>
  <c r="ES25" i="23916"/>
  <c r="ES26" i="23916" s="1"/>
  <c r="EQ25" i="23916"/>
  <c r="EQ26" i="23916" s="1"/>
  <c r="DJ21" i="23916"/>
  <c r="DJ20" i="23916"/>
  <c r="DJ19" i="23916"/>
  <c r="GI21" i="23916"/>
  <c r="GI20" i="23916"/>
  <c r="GI19" i="23916"/>
  <c r="DR21" i="23916"/>
  <c r="DR20" i="23916"/>
  <c r="DR19" i="23916"/>
  <c r="GI18" i="23916"/>
  <c r="EW16" i="23916"/>
  <c r="EU16" i="23916"/>
  <c r="ES16" i="23916"/>
  <c r="EQ16" i="23916"/>
  <c r="EO16" i="23916"/>
  <c r="EM16" i="23916"/>
  <c r="EK16" i="23916"/>
  <c r="EI16" i="23916"/>
  <c r="EG16" i="23916"/>
  <c r="EE16" i="23916"/>
  <c r="EC16" i="23916"/>
  <c r="EA16" i="23916"/>
  <c r="DY16" i="23916"/>
  <c r="DW16" i="23916"/>
  <c r="DU16" i="23916"/>
  <c r="DS16" i="23916"/>
  <c r="GI17" i="23916"/>
  <c r="EF16" i="23916"/>
  <c r="DR17" i="23916"/>
  <c r="DJ17" i="23916"/>
  <c r="GI15" i="23916"/>
  <c r="DR15" i="23916"/>
  <c r="DJ15" i="23916"/>
  <c r="GI13" i="23916"/>
  <c r="GI12" i="23916"/>
  <c r="GI11" i="23916"/>
  <c r="GI10" i="23916"/>
  <c r="DR13" i="23916"/>
  <c r="DR12" i="23916"/>
  <c r="DR11" i="23916"/>
  <c r="DR10" i="23916"/>
  <c r="DJ13" i="23916"/>
  <c r="DJ12" i="23916"/>
  <c r="DJ11" i="23916"/>
  <c r="DJ10" i="23916"/>
  <c r="GI8" i="23916"/>
  <c r="GI7" i="23916"/>
  <c r="DR8" i="23916"/>
  <c r="DR7" i="23916"/>
  <c r="DJ8" i="23916"/>
  <c r="DJ7" i="23916"/>
  <c r="GX16" i="23916"/>
  <c r="GV16" i="23916"/>
  <c r="GT16" i="23916"/>
  <c r="GR16" i="23916"/>
  <c r="GP16" i="23916"/>
  <c r="GY5" i="23916"/>
  <c r="GY4" i="23916"/>
  <c r="GW5" i="23916"/>
  <c r="GW4" i="23916"/>
  <c r="GU5" i="23916"/>
  <c r="GU4" i="23916"/>
  <c r="GS5" i="23916"/>
  <c r="GS4" i="23916"/>
  <c r="GQ5" i="23916"/>
  <c r="GQ4" i="23916"/>
  <c r="GO5" i="23916"/>
  <c r="GO4" i="23916"/>
  <c r="GM5" i="23916"/>
  <c r="GM4" i="23916"/>
  <c r="GK5" i="23916"/>
  <c r="GK4" i="23916"/>
  <c r="GI5" i="23916"/>
  <c r="GI4" i="23916"/>
  <c r="GG5" i="23916"/>
  <c r="GG4" i="23916"/>
  <c r="GE5" i="23916"/>
  <c r="GE4" i="23916"/>
  <c r="GC5" i="23916"/>
  <c r="GC4" i="23916"/>
  <c r="GA5" i="23916"/>
  <c r="GA4" i="23916"/>
  <c r="FY5" i="23916"/>
  <c r="FY4" i="23916"/>
  <c r="FW5" i="23916"/>
  <c r="FW4" i="23916"/>
  <c r="FU5" i="23916"/>
  <c r="FS5" i="23916"/>
  <c r="FQ5" i="23916"/>
  <c r="FO5" i="23916"/>
  <c r="FO4" i="23916"/>
  <c r="FM5" i="23916"/>
  <c r="FM4" i="23916"/>
  <c r="FK5" i="23916"/>
  <c r="FK4" i="23916"/>
  <c r="FI5" i="23916"/>
  <c r="FI4" i="23916"/>
  <c r="FG5" i="23916"/>
  <c r="FG4" i="23916"/>
  <c r="FE5" i="23916"/>
  <c r="FE4" i="23916"/>
  <c r="EX5" i="23916"/>
  <c r="EX4" i="23916"/>
  <c r="EV5" i="23916"/>
  <c r="EV4" i="23916"/>
  <c r="ET5" i="23916"/>
  <c r="ET4" i="23916"/>
  <c r="ER5" i="23916"/>
  <c r="ER4" i="23916"/>
  <c r="EP5" i="23916"/>
  <c r="EP4" i="23916"/>
  <c r="EN5" i="23916"/>
  <c r="EN4" i="23916"/>
  <c r="EL5" i="23916"/>
  <c r="EL4" i="23916"/>
  <c r="EJ5" i="23916"/>
  <c r="EJ4" i="23916"/>
  <c r="EH5" i="23916"/>
  <c r="EH4" i="23916"/>
  <c r="EF5" i="23916"/>
  <c r="EF4" i="23916"/>
  <c r="ED5" i="23916"/>
  <c r="ED4" i="23916"/>
  <c r="EB5" i="23916"/>
  <c r="EB4" i="23916"/>
  <c r="DZ5" i="23916"/>
  <c r="DZ4" i="23916"/>
  <c r="DX5" i="23916"/>
  <c r="DX4" i="23916"/>
  <c r="DV5" i="23916"/>
  <c r="DV4" i="23916"/>
  <c r="DT5" i="23916"/>
  <c r="DT4" i="23916"/>
  <c r="DR5" i="23916"/>
  <c r="DR4" i="23916"/>
  <c r="DP5" i="23916"/>
  <c r="DP4" i="23916"/>
  <c r="DN5" i="23916"/>
  <c r="DN4" i="23916"/>
  <c r="DL5" i="23916"/>
  <c r="DL4" i="23916"/>
  <c r="DJ5" i="23916"/>
  <c r="DJ4" i="23916"/>
  <c r="DH5" i="23916"/>
  <c r="DH4" i="23916"/>
  <c r="DF5" i="23916"/>
  <c r="DF4" i="23916"/>
  <c r="DD5" i="23916"/>
  <c r="DD4" i="23916"/>
  <c r="DB5" i="23916"/>
  <c r="DB4" i="23916"/>
  <c r="CZ5" i="23916"/>
  <c r="CZ4" i="23916"/>
  <c r="CX5" i="23916"/>
  <c r="CX4" i="23916"/>
  <c r="CV5" i="23916"/>
  <c r="CV4" i="23916"/>
  <c r="CT5" i="23916"/>
  <c r="CT4" i="23916"/>
  <c r="CR5" i="23916"/>
  <c r="CR4" i="23916"/>
  <c r="CP5" i="23916"/>
  <c r="CP4" i="23916"/>
  <c r="CN5" i="23916"/>
  <c r="CN4" i="23916"/>
  <c r="CL5" i="23916"/>
  <c r="CL4" i="23916"/>
  <c r="CJ5" i="23916"/>
  <c r="CJ4" i="23916"/>
  <c r="CH5" i="23916"/>
  <c r="CH4" i="23916"/>
  <c r="CF5" i="23916"/>
  <c r="CF4" i="23916"/>
  <c r="CD5" i="23916"/>
  <c r="CD4" i="23916"/>
  <c r="CB5" i="23916"/>
  <c r="CB4" i="23916"/>
  <c r="BZ5" i="23916"/>
  <c r="BZ4" i="23916"/>
  <c r="BX5" i="23916"/>
  <c r="BX4" i="23916"/>
  <c r="BV5" i="23916"/>
  <c r="BV4" i="23916"/>
  <c r="BT5" i="23916"/>
  <c r="BT4" i="23916"/>
  <c r="BR5" i="23916"/>
  <c r="BR4" i="23916"/>
  <c r="BP5" i="23916"/>
  <c r="BP4" i="23916"/>
  <c r="BN5" i="23916"/>
  <c r="BN4" i="23916"/>
  <c r="BL5" i="23916"/>
  <c r="BL4" i="23916"/>
  <c r="BJ5" i="23916"/>
  <c r="BJ4" i="23916"/>
  <c r="BH5" i="23916"/>
  <c r="BH4" i="23916"/>
  <c r="BF5" i="23916"/>
  <c r="BF4" i="23916"/>
  <c r="BD5" i="23916"/>
  <c r="BD4" i="23916"/>
  <c r="BB5" i="23916"/>
  <c r="BB4" i="23916"/>
  <c r="AZ5" i="23916"/>
  <c r="AZ4" i="23916"/>
  <c r="AX5" i="23916"/>
  <c r="AX4" i="23916"/>
  <c r="AV5" i="23916"/>
  <c r="AV4" i="23916"/>
  <c r="AT5" i="23916"/>
  <c r="AT4" i="23916"/>
  <c r="AR5" i="23916"/>
  <c r="AR4" i="23916"/>
  <c r="AP5" i="23916"/>
  <c r="AP4" i="23916"/>
  <c r="AN5" i="23916"/>
  <c r="AN4" i="23916"/>
  <c r="AL5" i="23916"/>
  <c r="AL4" i="23916"/>
  <c r="AJ5" i="23916"/>
  <c r="AJ4" i="23916"/>
  <c r="AH5" i="23916"/>
  <c r="AH4" i="23916"/>
  <c r="AF5" i="23916"/>
  <c r="AF4" i="23916"/>
  <c r="AD5" i="23916"/>
  <c r="AD4" i="23916"/>
  <c r="AB5" i="23916"/>
  <c r="AB4" i="23916"/>
  <c r="Z5" i="23916"/>
  <c r="Z4" i="23916"/>
  <c r="X5" i="23916"/>
  <c r="X4" i="23916"/>
  <c r="V5" i="23916"/>
  <c r="V4" i="23916"/>
  <c r="T5" i="23916"/>
  <c r="T4" i="23916"/>
  <c r="R5" i="23916"/>
  <c r="R4" i="23916"/>
  <c r="P5" i="23916"/>
  <c r="P4" i="23916"/>
  <c r="N5" i="23916"/>
  <c r="N4" i="23916"/>
  <c r="L5" i="23916"/>
  <c r="L4" i="23916"/>
  <c r="DF81" i="23916" l="1"/>
  <c r="CZ95" i="23916"/>
  <c r="CU94" i="23916"/>
  <c r="CU95" i="23916" s="1"/>
  <c r="CW95" i="23916"/>
  <c r="DG94" i="23916"/>
  <c r="DG95" i="23916" s="1"/>
  <c r="DY94" i="23916"/>
  <c r="EA96" i="23916"/>
  <c r="EA94" i="23916"/>
  <c r="EA95" i="23916" s="1"/>
  <c r="EM94" i="23916"/>
  <c r="EM95" i="23916" s="1"/>
  <c r="CZ108" i="23916"/>
  <c r="GL127" i="23916"/>
  <c r="O195" i="23916"/>
  <c r="P195" i="23916" s="1"/>
  <c r="O193" i="23916"/>
  <c r="O189" i="23916"/>
  <c r="P187" i="23916"/>
  <c r="O190" i="23916"/>
  <c r="G193" i="23916"/>
  <c r="G195" i="23916"/>
  <c r="G189" i="23916"/>
  <c r="G190" i="23916"/>
  <c r="DD108" i="23916"/>
  <c r="DL108" i="23916"/>
  <c r="DT108" i="23916"/>
  <c r="EB108" i="23916"/>
  <c r="EJ108" i="23916"/>
  <c r="DA96" i="23916"/>
  <c r="DA94" i="23916"/>
  <c r="DA95" i="23916" s="1"/>
  <c r="DC94" i="23916"/>
  <c r="DC95" i="23916" s="1"/>
  <c r="DF94" i="23916"/>
  <c r="DE95" i="23916"/>
  <c r="DF95" i="23916" s="1"/>
  <c r="DO94" i="23916"/>
  <c r="DO95" i="23916" s="1"/>
  <c r="DO96" i="23916"/>
  <c r="EG96" i="23916"/>
  <c r="EG94" i="23916"/>
  <c r="EI94" i="23916"/>
  <c r="EI95" i="23916" s="1"/>
  <c r="GM110" i="23916"/>
  <c r="GL138" i="23916"/>
  <c r="GM138" i="23916" s="1"/>
  <c r="C196" i="23916"/>
  <c r="C266" i="23916" s="1"/>
  <c r="C192" i="23916"/>
  <c r="DI94" i="23916"/>
  <c r="DK96" i="23916"/>
  <c r="DK94" i="23916"/>
  <c r="DK95" i="23916" s="1"/>
  <c r="DW94" i="23916"/>
  <c r="DW95" i="23916" s="1"/>
  <c r="EO94" i="23916"/>
  <c r="EO96" i="23916" s="1"/>
  <c r="GE108" i="23916"/>
  <c r="BY127" i="23916"/>
  <c r="GL826" i="23916"/>
  <c r="BW169" i="23916"/>
  <c r="BW170" i="23916"/>
  <c r="CE169" i="23916"/>
  <c r="CE170" i="23916"/>
  <c r="CF135" i="23916"/>
  <c r="CM169" i="23916"/>
  <c r="CM167" i="23916"/>
  <c r="CM170" i="23916"/>
  <c r="CN135" i="23916"/>
  <c r="DS169" i="23916"/>
  <c r="DS167" i="23916"/>
  <c r="DS170" i="23916"/>
  <c r="FB195" i="23916"/>
  <c r="FB193" i="23916"/>
  <c r="DP108" i="23916"/>
  <c r="DX108" i="23916"/>
  <c r="EF108" i="23916"/>
  <c r="EN108" i="23916"/>
  <c r="DB95" i="23916"/>
  <c r="CY94" i="23916"/>
  <c r="CY95" i="23916" s="1"/>
  <c r="CY96" i="23916"/>
  <c r="DQ96" i="23916"/>
  <c r="DQ94" i="23916"/>
  <c r="DS94" i="23916"/>
  <c r="DS95" i="23916" s="1"/>
  <c r="EE94" i="23916"/>
  <c r="EE95" i="23916" s="1"/>
  <c r="EE96" i="23916"/>
  <c r="EW114" i="23916"/>
  <c r="CF133" i="23916"/>
  <c r="CG127" i="23916"/>
  <c r="GM129" i="23916"/>
  <c r="GF37" i="23916"/>
  <c r="GG37" i="23916" s="1"/>
  <c r="GJ37" i="23916"/>
  <c r="GK37" i="23916" s="1"/>
  <c r="GN37" i="23916"/>
  <c r="GO37" i="23916" s="1"/>
  <c r="EQ37" i="23916"/>
  <c r="EU37" i="23916"/>
  <c r="EV37" i="23916" s="1"/>
  <c r="CQ38" i="23916"/>
  <c r="DS38" i="23916"/>
  <c r="GP47" i="23916"/>
  <c r="GJ49" i="23916"/>
  <c r="EH49" i="23916"/>
  <c r="EL49" i="23916"/>
  <c r="ES50" i="23916"/>
  <c r="ET50" i="23916" s="1"/>
  <c r="EW50" i="23916"/>
  <c r="EX50" i="23916" s="1"/>
  <c r="CQ51" i="23916"/>
  <c r="CQ52" i="23916"/>
  <c r="GM851" i="23916"/>
  <c r="GD65" i="23916"/>
  <c r="GE65" i="23916" s="1"/>
  <c r="GH65" i="23916"/>
  <c r="GL65" i="23916"/>
  <c r="GT66" i="23916"/>
  <c r="CQ68" i="23916"/>
  <c r="CR68" i="23916" s="1"/>
  <c r="CU68" i="23916"/>
  <c r="CV68" i="23916" s="1"/>
  <c r="CY68" i="23916"/>
  <c r="CZ68" i="23916" s="1"/>
  <c r="DC68" i="23916"/>
  <c r="DG68" i="23916"/>
  <c r="DK68" i="23916"/>
  <c r="DL68" i="23916" s="1"/>
  <c r="DO68" i="23916"/>
  <c r="DP68" i="23916" s="1"/>
  <c r="DS68" i="23916"/>
  <c r="DW68" i="23916"/>
  <c r="EA68" i="23916"/>
  <c r="EB68" i="23916" s="1"/>
  <c r="EE68" i="23916"/>
  <c r="EF68" i="23916" s="1"/>
  <c r="EI68" i="23916"/>
  <c r="EM68" i="23916"/>
  <c r="GF67" i="23916"/>
  <c r="GF108" i="23916" s="1"/>
  <c r="GG108" i="23916" s="1"/>
  <c r="GJ67" i="23916"/>
  <c r="GN67" i="23916"/>
  <c r="EW73" i="23916"/>
  <c r="EQ80" i="23916"/>
  <c r="EU80" i="23916"/>
  <c r="DI81" i="23916"/>
  <c r="DJ81" i="23916" s="1"/>
  <c r="DM81" i="23916"/>
  <c r="DN81" i="23916" s="1"/>
  <c r="DQ81" i="23916"/>
  <c r="DU81" i="23916"/>
  <c r="DU95" i="23916" s="1"/>
  <c r="DY81" i="23916"/>
  <c r="DZ81" i="23916" s="1"/>
  <c r="EC81" i="23916"/>
  <c r="ED81" i="23916" s="1"/>
  <c r="EG81" i="23916"/>
  <c r="EK81" i="23916"/>
  <c r="EK95" i="23916" s="1"/>
  <c r="EO81" i="23916"/>
  <c r="DK82" i="23916"/>
  <c r="DL82" i="23916" s="1"/>
  <c r="DO82" i="23916"/>
  <c r="DP82" i="23916" s="1"/>
  <c r="DS82" i="23916"/>
  <c r="DW82" i="23916"/>
  <c r="DX82" i="23916" s="1"/>
  <c r="EA82" i="23916"/>
  <c r="EB82" i="23916" s="1"/>
  <c r="EE82" i="23916"/>
  <c r="EI82" i="23916"/>
  <c r="EM82" i="23916"/>
  <c r="EN82" i="23916" s="1"/>
  <c r="DF80" i="23916"/>
  <c r="CW82" i="23916"/>
  <c r="DE82" i="23916"/>
  <c r="EQ102" i="23916"/>
  <c r="CQ103" i="23916"/>
  <c r="CR103" i="23916" s="1"/>
  <c r="CU103" i="23916"/>
  <c r="CV103" i="23916" s="1"/>
  <c r="CY103" i="23916"/>
  <c r="DC103" i="23916"/>
  <c r="DD103" i="23916" s="1"/>
  <c r="DG103" i="23916"/>
  <c r="DH103" i="23916" s="1"/>
  <c r="DK103" i="23916"/>
  <c r="DO103" i="23916"/>
  <c r="DS103" i="23916"/>
  <c r="DT103" i="23916" s="1"/>
  <c r="DW103" i="23916"/>
  <c r="DX103" i="23916" s="1"/>
  <c r="EA103" i="23916"/>
  <c r="EE103" i="23916"/>
  <c r="EI103" i="23916"/>
  <c r="EJ103" i="23916" s="1"/>
  <c r="EM103" i="23916"/>
  <c r="EN103" i="23916" s="1"/>
  <c r="GF102" i="23916"/>
  <c r="GJ102" i="23916"/>
  <c r="GN102" i="23916"/>
  <c r="CS106" i="23916"/>
  <c r="CT106" i="23916" s="1"/>
  <c r="CW106" i="23916"/>
  <c r="CX106" i="23916" s="1"/>
  <c r="DA106" i="23916"/>
  <c r="DE106" i="23916"/>
  <c r="DF106" i="23916" s="1"/>
  <c r="DI106" i="23916"/>
  <c r="DJ106" i="23916" s="1"/>
  <c r="DM106" i="23916"/>
  <c r="DQ106" i="23916"/>
  <c r="DU106" i="23916"/>
  <c r="DV106" i="23916" s="1"/>
  <c r="DY106" i="23916"/>
  <c r="DZ106" i="23916" s="1"/>
  <c r="EC106" i="23916"/>
  <c r="EG106" i="23916"/>
  <c r="EK106" i="23916"/>
  <c r="EL106" i="23916" s="1"/>
  <c r="EO106" i="23916"/>
  <c r="EP106" i="23916" s="1"/>
  <c r="GD106" i="23916"/>
  <c r="GH106" i="23916"/>
  <c r="GL106" i="23916"/>
  <c r="GX108" i="23916"/>
  <c r="CU112" i="23916"/>
  <c r="DK112" i="23916"/>
  <c r="DS112" i="23916"/>
  <c r="EA112" i="23916"/>
  <c r="GB112" i="23916"/>
  <c r="DH116" i="23916"/>
  <c r="DX116" i="23916"/>
  <c r="GD116" i="23916"/>
  <c r="GE116" i="23916" s="1"/>
  <c r="GH116" i="23916"/>
  <c r="GI116" i="23916" s="1"/>
  <c r="EL129" i="23916"/>
  <c r="AO133" i="23916"/>
  <c r="CO133" i="23916"/>
  <c r="DU133" i="23916"/>
  <c r="C147" i="23916"/>
  <c r="C151" i="23916"/>
  <c r="FI145" i="23916"/>
  <c r="FP151" i="23916"/>
  <c r="FQ145" i="23916"/>
  <c r="FY145" i="23916"/>
  <c r="GG145" i="23916"/>
  <c r="Z154" i="23916"/>
  <c r="AH154" i="23916"/>
  <c r="AP154" i="23916"/>
  <c r="AX154" i="23916"/>
  <c r="BF154" i="23916"/>
  <c r="BN154" i="23916"/>
  <c r="BV154" i="23916"/>
  <c r="CD154" i="23916"/>
  <c r="FJ154" i="23916"/>
  <c r="EW159" i="23916"/>
  <c r="EX159" i="23916" s="1"/>
  <c r="EV159" i="23916"/>
  <c r="FJ168" i="23916"/>
  <c r="FK168" i="23916" s="1"/>
  <c r="FJ175" i="23916"/>
  <c r="FK161" i="23916"/>
  <c r="FR168" i="23916"/>
  <c r="FS168" i="23916" s="1"/>
  <c r="FR175" i="23916"/>
  <c r="FS161" i="23916"/>
  <c r="AV165" i="23916"/>
  <c r="CB165" i="23916"/>
  <c r="CR165" i="23916"/>
  <c r="DH165" i="23916"/>
  <c r="DX165" i="23916"/>
  <c r="GG164" i="23916"/>
  <c r="EW168" i="23916"/>
  <c r="EV168" i="23916"/>
  <c r="EW169" i="23916"/>
  <c r="GC168" i="23916"/>
  <c r="P176" i="23916"/>
  <c r="BY176" i="23916"/>
  <c r="BZ175" i="23916"/>
  <c r="CG176" i="23916"/>
  <c r="CH175" i="23916"/>
  <c r="CO176" i="23916"/>
  <c r="CP175" i="23916"/>
  <c r="CW176" i="23916"/>
  <c r="CX175" i="23916"/>
  <c r="DE176" i="23916"/>
  <c r="DF175" i="23916"/>
  <c r="DM176" i="23916"/>
  <c r="DN175" i="23916"/>
  <c r="DU598" i="23916"/>
  <c r="DU863" i="23916" s="1"/>
  <c r="DU176" i="23916"/>
  <c r="DV175" i="23916"/>
  <c r="EC598" i="23916"/>
  <c r="EC176" i="23916"/>
  <c r="ED175" i="23916"/>
  <c r="FV180" i="23916"/>
  <c r="AF175" i="23916"/>
  <c r="AE176" i="23916"/>
  <c r="AN175" i="23916"/>
  <c r="AM176" i="23916"/>
  <c r="BL175" i="23916"/>
  <c r="BK176" i="23916"/>
  <c r="EI598" i="23916"/>
  <c r="EI176" i="23916"/>
  <c r="AU184" i="23916"/>
  <c r="CP177" i="23916"/>
  <c r="CX177" i="23916"/>
  <c r="DF177" i="23916"/>
  <c r="DN177" i="23916"/>
  <c r="DU599" i="23916"/>
  <c r="DV177" i="23916"/>
  <c r="GN179" i="23916"/>
  <c r="GO179" i="23916" s="1"/>
  <c r="EJ179" i="23916"/>
  <c r="ER179" i="23916"/>
  <c r="GC179" i="23916"/>
  <c r="GK179" i="23916"/>
  <c r="EU183" i="23916"/>
  <c r="EW182" i="23916"/>
  <c r="EU185" i="23916"/>
  <c r="GV184" i="23916"/>
  <c r="EW189" i="23916"/>
  <c r="BE627" i="23916"/>
  <c r="BN191" i="23916"/>
  <c r="BF191" i="23916"/>
  <c r="BK627" i="23916"/>
  <c r="BT191" i="23916"/>
  <c r="FT191" i="23916"/>
  <c r="BL191" i="23916"/>
  <c r="BW627" i="23916"/>
  <c r="CF191" i="23916"/>
  <c r="FX191" i="23916"/>
  <c r="BX191" i="23916"/>
  <c r="DU237" i="23916"/>
  <c r="DU245" i="23916" s="1"/>
  <c r="GL217" i="23916"/>
  <c r="GM203" i="23916"/>
  <c r="GL212" i="23916"/>
  <c r="GJ218" i="23916"/>
  <c r="GL241" i="23916"/>
  <c r="GM227" i="23916"/>
  <c r="FG252" i="23916"/>
  <c r="FI252" i="23916"/>
  <c r="FO252" i="23916"/>
  <c r="FQ252" i="23916"/>
  <c r="GL850" i="23916"/>
  <c r="GS16" i="23916"/>
  <c r="GW16" i="23916"/>
  <c r="GL34" i="23916"/>
  <c r="GO34" i="23916" s="1"/>
  <c r="GE35" i="23916"/>
  <c r="GI35" i="23916"/>
  <c r="GM35" i="23916"/>
  <c r="EN34" i="23916"/>
  <c r="GJ42" i="23916"/>
  <c r="GD50" i="23916"/>
  <c r="GE50" i="23916" s="1"/>
  <c r="GH50" i="23916"/>
  <c r="GL50" i="23916"/>
  <c r="EH50" i="23916"/>
  <c r="GE61" i="23916"/>
  <c r="GI61" i="23916"/>
  <c r="GM61" i="23916"/>
  <c r="GE62" i="23916"/>
  <c r="GI62" i="23916"/>
  <c r="GM62" i="23916"/>
  <c r="GE64" i="23916"/>
  <c r="GI64" i="23916"/>
  <c r="GM64" i="23916"/>
  <c r="CR67" i="23916"/>
  <c r="CV67" i="23916"/>
  <c r="CZ67" i="23916"/>
  <c r="DD67" i="23916"/>
  <c r="DH67" i="23916"/>
  <c r="DL67" i="23916"/>
  <c r="DP67" i="23916"/>
  <c r="DT67" i="23916"/>
  <c r="DX67" i="23916"/>
  <c r="EB67" i="23916"/>
  <c r="EF67" i="23916"/>
  <c r="EJ67" i="23916"/>
  <c r="EN67" i="23916"/>
  <c r="GC67" i="23916"/>
  <c r="GB68" i="23916"/>
  <c r="GC68" i="23916" s="1"/>
  <c r="EU86" i="23916"/>
  <c r="DF93" i="23916"/>
  <c r="CW96" i="23916"/>
  <c r="DE96" i="23916"/>
  <c r="DM96" i="23916"/>
  <c r="DU96" i="23916"/>
  <c r="EC96" i="23916"/>
  <c r="EK96" i="23916"/>
  <c r="GH101" i="23916"/>
  <c r="DR101" i="23916"/>
  <c r="DZ101" i="23916"/>
  <c r="GC102" i="23916"/>
  <c r="GJ103" i="23916"/>
  <c r="CS108" i="23916"/>
  <c r="CT108" i="23916" s="1"/>
  <c r="CW108" i="23916"/>
  <c r="CX108" i="23916" s="1"/>
  <c r="DA108" i="23916"/>
  <c r="DE108" i="23916"/>
  <c r="DI108" i="23916"/>
  <c r="DJ108" i="23916" s="1"/>
  <c r="DM108" i="23916"/>
  <c r="DN108" i="23916" s="1"/>
  <c r="DU108" i="23916"/>
  <c r="DY108" i="23916"/>
  <c r="DZ108" i="23916" s="1"/>
  <c r="EC108" i="23916"/>
  <c r="ED108" i="23916" s="1"/>
  <c r="EG108" i="23916"/>
  <c r="EH108" i="23916" s="1"/>
  <c r="EO108" i="23916"/>
  <c r="GU108" i="23916"/>
  <c r="GD110" i="23916"/>
  <c r="GG113" i="23916"/>
  <c r="GK113" i="23916"/>
  <c r="GO113" i="23916"/>
  <c r="CZ116" i="23916"/>
  <c r="DJ627" i="23916"/>
  <c r="DN116" i="23916"/>
  <c r="DR116" i="23916"/>
  <c r="DZ116" i="23916"/>
  <c r="GQ116" i="23916"/>
  <c r="GN129" i="23916"/>
  <c r="CF127" i="23916"/>
  <c r="CN127" i="23916"/>
  <c r="EF129" i="23916"/>
  <c r="ES128" i="23916"/>
  <c r="GS132" i="23916"/>
  <c r="I133" i="23916"/>
  <c r="CD133" i="23916"/>
  <c r="BU170" i="23916"/>
  <c r="BU169" i="23916"/>
  <c r="BU167" i="23916"/>
  <c r="CC170" i="23916"/>
  <c r="CC169" i="23916"/>
  <c r="CC167" i="23916"/>
  <c r="CD167" i="23916" s="1"/>
  <c r="CO135" i="23916"/>
  <c r="DU135" i="23916"/>
  <c r="BW137" i="23916"/>
  <c r="CE137" i="23916"/>
  <c r="BW138" i="23916"/>
  <c r="CE138" i="23916"/>
  <c r="FD137" i="23916"/>
  <c r="FE137" i="23916" s="1"/>
  <c r="GJ137" i="23916"/>
  <c r="I137" i="23916"/>
  <c r="BA826" i="23916"/>
  <c r="BA783" i="23916"/>
  <c r="BE826" i="23916"/>
  <c r="BE783" i="23916"/>
  <c r="BI826" i="23916"/>
  <c r="BI783" i="23916"/>
  <c r="BM826" i="23916"/>
  <c r="BM783" i="23916"/>
  <c r="BQ826" i="23916"/>
  <c r="BQ783" i="23916"/>
  <c r="BU826" i="23916"/>
  <c r="BU783" i="23916"/>
  <c r="BY826" i="23916"/>
  <c r="BY783" i="23916"/>
  <c r="CC826" i="23916"/>
  <c r="CC783" i="23916"/>
  <c r="CG826" i="23916"/>
  <c r="CG783" i="23916"/>
  <c r="CK826" i="23916"/>
  <c r="CK783" i="23916"/>
  <c r="CO826" i="23916"/>
  <c r="CO783" i="23916"/>
  <c r="CS826" i="23916"/>
  <c r="CS783" i="23916"/>
  <c r="CW826" i="23916"/>
  <c r="CW783" i="23916"/>
  <c r="DA826" i="23916"/>
  <c r="DA783" i="23916"/>
  <c r="DE826" i="23916"/>
  <c r="DE783" i="23916"/>
  <c r="DI826" i="23916"/>
  <c r="DI783" i="23916"/>
  <c r="DM826" i="23916"/>
  <c r="DM783" i="23916"/>
  <c r="DQ826" i="23916"/>
  <c r="DQ783" i="23916"/>
  <c r="DU826" i="23916"/>
  <c r="DU783" i="23916"/>
  <c r="DY826" i="23916"/>
  <c r="DY783" i="23916"/>
  <c r="EC826" i="23916"/>
  <c r="EC783" i="23916"/>
  <c r="EG826" i="23916"/>
  <c r="EG783" i="23916"/>
  <c r="EK826" i="23916"/>
  <c r="EK783" i="23916"/>
  <c r="EO826" i="23916"/>
  <c r="EO783" i="23916"/>
  <c r="FF140" i="23916"/>
  <c r="FJ140" i="23916"/>
  <c r="FN140" i="23916"/>
  <c r="FR140" i="23916"/>
  <c r="FV140" i="23916"/>
  <c r="FZ140" i="23916"/>
  <c r="GD140" i="23916"/>
  <c r="GH140" i="23916"/>
  <c r="EW144" i="23916"/>
  <c r="GP144" i="23916" s="1"/>
  <c r="FM144" i="23916"/>
  <c r="FL154" i="23916"/>
  <c r="FM154" i="23916" s="1"/>
  <c r="FU144" i="23916"/>
  <c r="FT154" i="23916"/>
  <c r="GC144" i="23916"/>
  <c r="GB154" i="23916"/>
  <c r="GK144" i="23916"/>
  <c r="GJ154" i="23916"/>
  <c r="FK145" i="23916"/>
  <c r="FS145" i="23916"/>
  <c r="GA145" i="23916"/>
  <c r="GI145" i="23916"/>
  <c r="FI146" i="23916"/>
  <c r="FQ146" i="23916"/>
  <c r="FP150" i="23916"/>
  <c r="FY146" i="23916"/>
  <c r="GG146" i="23916"/>
  <c r="GO146" i="23916"/>
  <c r="C150" i="23916"/>
  <c r="CH154" i="23916"/>
  <c r="CP154" i="23916"/>
  <c r="CX154" i="23916"/>
  <c r="DF154" i="23916"/>
  <c r="DN154" i="23916"/>
  <c r="DV154" i="23916"/>
  <c r="ED154" i="23916"/>
  <c r="EL154" i="23916"/>
  <c r="FN154" i="23916"/>
  <c r="FO154" i="23916" s="1"/>
  <c r="GD154" i="23916"/>
  <c r="GE154" i="23916" s="1"/>
  <c r="FM158" i="23916"/>
  <c r="FW158" i="23916"/>
  <c r="FU158" i="23916"/>
  <c r="FZ165" i="23916"/>
  <c r="GC165" i="23916" s="1"/>
  <c r="GA164" i="23916"/>
  <c r="GD165" i="23916"/>
  <c r="GE165" i="23916" s="1"/>
  <c r="GE164" i="23916"/>
  <c r="GH165" i="23916"/>
  <c r="GI165" i="23916" s="1"/>
  <c r="GI164" i="23916"/>
  <c r="GL165" i="23916"/>
  <c r="GM165" i="23916" s="1"/>
  <c r="GM164" i="23916"/>
  <c r="FT176" i="23916"/>
  <c r="FW175" i="23916"/>
  <c r="FF165" i="23916"/>
  <c r="FG164" i="23916"/>
  <c r="FJ165" i="23916"/>
  <c r="FN165" i="23916"/>
  <c r="FR165" i="23916"/>
  <c r="K184" i="23916"/>
  <c r="L184" i="23916" s="1"/>
  <c r="K182" i="23916"/>
  <c r="O184" i="23916"/>
  <c r="P184" i="23916" s="1"/>
  <c r="O182" i="23916"/>
  <c r="P182" i="23916" s="1"/>
  <c r="S184" i="23916"/>
  <c r="T184" i="23916" s="1"/>
  <c r="S182" i="23916"/>
  <c r="T182" i="23916" s="1"/>
  <c r="W184" i="23916"/>
  <c r="X184" i="23916" s="1"/>
  <c r="W182" i="23916"/>
  <c r="X182" i="23916" s="1"/>
  <c r="AA184" i="23916"/>
  <c r="AB184" i="23916" s="1"/>
  <c r="AA182" i="23916"/>
  <c r="AB182" i="23916" s="1"/>
  <c r="AE184" i="23916"/>
  <c r="AF184" i="23916" s="1"/>
  <c r="AE182" i="23916"/>
  <c r="AF182" i="23916" s="1"/>
  <c r="AI184" i="23916"/>
  <c r="AJ184" i="23916" s="1"/>
  <c r="AI182" i="23916"/>
  <c r="AJ182" i="23916" s="1"/>
  <c r="AM184" i="23916"/>
  <c r="AN184" i="23916" s="1"/>
  <c r="AM182" i="23916"/>
  <c r="AN182" i="23916" s="1"/>
  <c r="AQ184" i="23916"/>
  <c r="AR184" i="23916" s="1"/>
  <c r="AQ182" i="23916"/>
  <c r="AR182" i="23916" s="1"/>
  <c r="AV182" i="23916"/>
  <c r="AZ182" i="23916"/>
  <c r="BC184" i="23916"/>
  <c r="BD184" i="23916" s="1"/>
  <c r="BC182" i="23916"/>
  <c r="BD182" i="23916" s="1"/>
  <c r="BG184" i="23916"/>
  <c r="BG182" i="23916"/>
  <c r="BH182" i="23916" s="1"/>
  <c r="BK184" i="23916"/>
  <c r="BL184" i="23916" s="1"/>
  <c r="BK182" i="23916"/>
  <c r="BL182" i="23916" s="1"/>
  <c r="BO184" i="23916"/>
  <c r="BP184" i="23916" s="1"/>
  <c r="BO182" i="23916"/>
  <c r="BP182" i="23916" s="1"/>
  <c r="BS184" i="23916"/>
  <c r="BT184" i="23916" s="1"/>
  <c r="BS182" i="23916"/>
  <c r="BT182" i="23916" s="1"/>
  <c r="BX182" i="23916"/>
  <c r="CB182" i="23916"/>
  <c r="CF182" i="23916"/>
  <c r="CJ182" i="23916"/>
  <c r="CN182" i="23916"/>
  <c r="CR182" i="23916"/>
  <c r="CV182" i="23916"/>
  <c r="CZ182" i="23916"/>
  <c r="DD182" i="23916"/>
  <c r="DH182" i="23916"/>
  <c r="DL182" i="23916"/>
  <c r="DP182" i="23916"/>
  <c r="DT182" i="23916"/>
  <c r="DX182" i="23916"/>
  <c r="EB182" i="23916"/>
  <c r="EF182" i="23916"/>
  <c r="EI184" i="23916"/>
  <c r="EI182" i="23916"/>
  <c r="EM184" i="23916"/>
  <c r="EM182" i="23916"/>
  <c r="EN182" i="23916" s="1"/>
  <c r="T165" i="23916"/>
  <c r="AJ165" i="23916"/>
  <c r="AZ165" i="23916"/>
  <c r="BP165" i="23916"/>
  <c r="CF165" i="23916"/>
  <c r="CV165" i="23916"/>
  <c r="DL165" i="23916"/>
  <c r="EB165" i="23916"/>
  <c r="FV187" i="23916"/>
  <c r="GK164" i="23916"/>
  <c r="FD184" i="23916"/>
  <c r="FE184" i="23916" s="1"/>
  <c r="FD182" i="23916"/>
  <c r="FE165" i="23916"/>
  <c r="E187" i="23916"/>
  <c r="I195" i="23916"/>
  <c r="I190" i="23916"/>
  <c r="I189" i="23916"/>
  <c r="EU167" i="23916"/>
  <c r="FU168" i="23916"/>
  <c r="GG168" i="23916"/>
  <c r="AS176" i="23916"/>
  <c r="AT175" i="23916"/>
  <c r="BA176" i="23916"/>
  <c r="BB175" i="23916"/>
  <c r="FM175" i="23916"/>
  <c r="FF184" i="23916"/>
  <c r="FG184" i="23916" s="1"/>
  <c r="Y180" i="23916"/>
  <c r="AH176" i="23916"/>
  <c r="AG180" i="23916"/>
  <c r="AP176" i="23916"/>
  <c r="AO180" i="23916"/>
  <c r="AP180" i="23916" s="1"/>
  <c r="BM180" i="23916"/>
  <c r="EO180" i="23916"/>
  <c r="BW184" i="23916"/>
  <c r="BX184" i="23916" s="1"/>
  <c r="CA184" i="23916"/>
  <c r="CB184" i="23916" s="1"/>
  <c r="GM174" i="23916"/>
  <c r="GD182" i="23916"/>
  <c r="GN208" i="23916"/>
  <c r="EM208" i="23916"/>
  <c r="EM204" i="23916"/>
  <c r="EM202" i="23916" s="1"/>
  <c r="GN206" i="23916"/>
  <c r="EM230" i="23916"/>
  <c r="ER258" i="23916"/>
  <c r="EQ263" i="23916"/>
  <c r="EA235" i="23916"/>
  <c r="EU253" i="23916"/>
  <c r="ET253" i="23916"/>
  <c r="EB254" i="23916"/>
  <c r="ER254" i="23916"/>
  <c r="EM266" i="23916"/>
  <c r="GP33" i="23916"/>
  <c r="ES37" i="23916"/>
  <c r="ET37" i="23916" s="1"/>
  <c r="EW37" i="23916"/>
  <c r="EX37" i="23916" s="1"/>
  <c r="EF49" i="23916"/>
  <c r="EJ49" i="23916"/>
  <c r="EQ50" i="23916"/>
  <c r="EU50" i="23916"/>
  <c r="EV50" i="23916" s="1"/>
  <c r="GF65" i="23916"/>
  <c r="GG65" i="23916" s="1"/>
  <c r="GJ65" i="23916"/>
  <c r="GK65" i="23916" s="1"/>
  <c r="GN65" i="23916"/>
  <c r="GO65" i="23916" s="1"/>
  <c r="CS68" i="23916"/>
  <c r="CT68" i="23916" s="1"/>
  <c r="CW68" i="23916"/>
  <c r="CX68" i="23916" s="1"/>
  <c r="DA68" i="23916"/>
  <c r="DB68" i="23916" s="1"/>
  <c r="DE68" i="23916"/>
  <c r="DF68" i="23916" s="1"/>
  <c r="DI68" i="23916"/>
  <c r="DM68" i="23916"/>
  <c r="DQ68" i="23916"/>
  <c r="DR68" i="23916" s="1"/>
  <c r="DU68" i="23916"/>
  <c r="DV68" i="23916" s="1"/>
  <c r="DY68" i="23916"/>
  <c r="EC68" i="23916"/>
  <c r="EG68" i="23916"/>
  <c r="EH68" i="23916" s="1"/>
  <c r="EK68" i="23916"/>
  <c r="EL68" i="23916" s="1"/>
  <c r="EO68" i="23916"/>
  <c r="ES80" i="23916"/>
  <c r="EW80" i="23916"/>
  <c r="EQ81" i="23916"/>
  <c r="EU81" i="23916"/>
  <c r="DI82" i="23916"/>
  <c r="DJ82" i="23916" s="1"/>
  <c r="DM82" i="23916"/>
  <c r="DN82" i="23916" s="1"/>
  <c r="DQ82" i="23916"/>
  <c r="DU82" i="23916"/>
  <c r="DV82" i="23916" s="1"/>
  <c r="DY82" i="23916"/>
  <c r="DZ82" i="23916" s="1"/>
  <c r="EC82" i="23916"/>
  <c r="EG82" i="23916"/>
  <c r="EK82" i="23916"/>
  <c r="EL82" i="23916" s="1"/>
  <c r="EO82" i="23916"/>
  <c r="EP82" i="23916" s="1"/>
  <c r="EQ92" i="23916"/>
  <c r="EQ93" i="23916" s="1"/>
  <c r="CS103" i="23916"/>
  <c r="CT103" i="23916" s="1"/>
  <c r="CW103" i="23916"/>
  <c r="CX103" i="23916" s="1"/>
  <c r="DA103" i="23916"/>
  <c r="DB103" i="23916" s="1"/>
  <c r="DE103" i="23916"/>
  <c r="DI103" i="23916"/>
  <c r="DI112" i="23916" s="1"/>
  <c r="DM103" i="23916"/>
  <c r="DN103" i="23916" s="1"/>
  <c r="DQ103" i="23916"/>
  <c r="DR103" i="23916" s="1"/>
  <c r="DU103" i="23916"/>
  <c r="DY103" i="23916"/>
  <c r="DY112" i="23916" s="1"/>
  <c r="EC103" i="23916"/>
  <c r="ED103" i="23916" s="1"/>
  <c r="EG103" i="23916"/>
  <c r="EH103" i="23916" s="1"/>
  <c r="EK103" i="23916"/>
  <c r="EO103" i="23916"/>
  <c r="EO112" i="23916" s="1"/>
  <c r="GD102" i="23916"/>
  <c r="GE102" i="23916" s="1"/>
  <c r="GH102" i="23916"/>
  <c r="GI102" i="23916" s="1"/>
  <c r="GL102" i="23916"/>
  <c r="GM102" i="23916" s="1"/>
  <c r="CQ106" i="23916"/>
  <c r="CR106" i="23916" s="1"/>
  <c r="CU106" i="23916"/>
  <c r="CV106" i="23916" s="1"/>
  <c r="CY106" i="23916"/>
  <c r="CZ106" i="23916" s="1"/>
  <c r="DC106" i="23916"/>
  <c r="DG106" i="23916"/>
  <c r="DK106" i="23916"/>
  <c r="DL106" i="23916" s="1"/>
  <c r="DO106" i="23916"/>
  <c r="DP106" i="23916" s="1"/>
  <c r="DS106" i="23916"/>
  <c r="DW106" i="23916"/>
  <c r="EA106" i="23916"/>
  <c r="EB106" i="23916" s="1"/>
  <c r="EE106" i="23916"/>
  <c r="EF106" i="23916" s="1"/>
  <c r="EI106" i="23916"/>
  <c r="EM106" i="23916"/>
  <c r="GB106" i="23916"/>
  <c r="GC106" i="23916" s="1"/>
  <c r="EU106" i="23916"/>
  <c r="GF110" i="23916"/>
  <c r="GI110" i="23916" s="1"/>
  <c r="CQ112" i="23916"/>
  <c r="DG112" i="23916"/>
  <c r="DO112" i="23916"/>
  <c r="DW112" i="23916"/>
  <c r="EE112" i="23916"/>
  <c r="EM112" i="23916"/>
  <c r="DJ116" i="23916"/>
  <c r="ER128" i="23916"/>
  <c r="FD133" i="23916"/>
  <c r="R140" i="23916"/>
  <c r="AO151" i="23916"/>
  <c r="AO147" i="23916"/>
  <c r="AO150" i="23916"/>
  <c r="GJ148" i="23916"/>
  <c r="GJ147" i="23916"/>
  <c r="GJ155" i="23916" s="1"/>
  <c r="FM145" i="23916"/>
  <c r="FU145" i="23916"/>
  <c r="GC145" i="23916"/>
  <c r="DS152" i="23916"/>
  <c r="FF150" i="23916"/>
  <c r="V154" i="23916"/>
  <c r="AD154" i="23916"/>
  <c r="AL154" i="23916"/>
  <c r="AT154" i="23916"/>
  <c r="BB154" i="23916"/>
  <c r="BJ154" i="23916"/>
  <c r="BR154" i="23916"/>
  <c r="BZ154" i="23916"/>
  <c r="FR154" i="23916"/>
  <c r="GH154" i="23916"/>
  <c r="GP159" i="23916"/>
  <c r="FF168" i="23916"/>
  <c r="FG168" i="23916" s="1"/>
  <c r="FF175" i="23916"/>
  <c r="FG161" i="23916"/>
  <c r="FN168" i="23916"/>
  <c r="FO168" i="23916" s="1"/>
  <c r="FN175" i="23916"/>
  <c r="FQ175" i="23916" s="1"/>
  <c r="FO161" i="23916"/>
  <c r="L162" i="23916"/>
  <c r="T162" i="23916"/>
  <c r="AB162" i="23916"/>
  <c r="AJ162" i="23916"/>
  <c r="X165" i="23916"/>
  <c r="AN165" i="23916"/>
  <c r="BD165" i="23916"/>
  <c r="BT165" i="23916"/>
  <c r="CJ165" i="23916"/>
  <c r="CZ165" i="23916"/>
  <c r="DP165" i="23916"/>
  <c r="EF165" i="23916"/>
  <c r="E184" i="23916"/>
  <c r="E182" i="23916"/>
  <c r="FI168" i="23916"/>
  <c r="FW168" i="23916"/>
  <c r="GK168" i="23916"/>
  <c r="GK174" i="23916"/>
  <c r="GI174" i="23916"/>
  <c r="BU176" i="23916"/>
  <c r="BV175" i="23916"/>
  <c r="CC176" i="23916"/>
  <c r="CD175" i="23916"/>
  <c r="CK176" i="23916"/>
  <c r="CL175" i="23916"/>
  <c r="CS176" i="23916"/>
  <c r="CT175" i="23916"/>
  <c r="DA176" i="23916"/>
  <c r="DB175" i="23916"/>
  <c r="DI176" i="23916"/>
  <c r="DJ175" i="23916"/>
  <c r="DQ176" i="23916"/>
  <c r="DR175" i="23916"/>
  <c r="DY598" i="23916"/>
  <c r="DY863" i="23916" s="1"/>
  <c r="DY176" i="23916"/>
  <c r="DZ175" i="23916"/>
  <c r="EG598" i="23916"/>
  <c r="EG176" i="23916"/>
  <c r="AB175" i="23916"/>
  <c r="AA176" i="23916"/>
  <c r="AJ175" i="23916"/>
  <c r="AI176" i="23916"/>
  <c r="AR175" i="23916"/>
  <c r="AQ176" i="23916"/>
  <c r="BP175" i="23916"/>
  <c r="BO176" i="23916"/>
  <c r="EM598" i="23916"/>
  <c r="EM176" i="23916"/>
  <c r="CT177" i="23916"/>
  <c r="DB177" i="23916"/>
  <c r="DJ177" i="23916"/>
  <c r="DR177" i="23916"/>
  <c r="DZ177" i="23916"/>
  <c r="EE184" i="23916"/>
  <c r="EL175" i="23916"/>
  <c r="GJ182" i="23916"/>
  <c r="EV179" i="23916"/>
  <c r="EN179" i="23916"/>
  <c r="FY179" i="23916"/>
  <c r="GG179" i="23916"/>
  <c r="GR179" i="23916"/>
  <c r="GQ179" i="23916"/>
  <c r="FD180" i="23916"/>
  <c r="FE180" i="23916" s="1"/>
  <c r="GH182" i="23916"/>
  <c r="GU184" i="23916"/>
  <c r="DS246" i="23916"/>
  <c r="DS235" i="23916"/>
  <c r="EE208" i="23916"/>
  <c r="EE204" i="23916"/>
  <c r="EE202" i="23916" s="1"/>
  <c r="GL206" i="23916"/>
  <c r="EE230" i="23916"/>
  <c r="EF259" i="23916"/>
  <c r="EE260" i="23916"/>
  <c r="EF260" i="23916" s="1"/>
  <c r="DW269" i="23916"/>
  <c r="DW268" i="23916"/>
  <c r="DX268" i="23916" s="1"/>
  <c r="DW274" i="23916"/>
  <c r="DX274" i="23916" s="1"/>
  <c r="DX266" i="23916"/>
  <c r="DW272" i="23916"/>
  <c r="ES281" i="23916"/>
  <c r="ER281" i="23916"/>
  <c r="EQ284" i="23916"/>
  <c r="GU16" i="23916"/>
  <c r="GY16" i="23916"/>
  <c r="GF50" i="23916"/>
  <c r="GG50" i="23916" s="1"/>
  <c r="GJ50" i="23916"/>
  <c r="GK50" i="23916" s="1"/>
  <c r="GN50" i="23916"/>
  <c r="GO50" i="23916" s="1"/>
  <c r="GG61" i="23916"/>
  <c r="GK61" i="23916"/>
  <c r="GO61" i="23916"/>
  <c r="GG62" i="23916"/>
  <c r="GK62" i="23916"/>
  <c r="GO62" i="23916"/>
  <c r="CT67" i="23916"/>
  <c r="DB67" i="23916"/>
  <c r="DJ67" i="23916"/>
  <c r="DR67" i="23916"/>
  <c r="DZ67" i="23916"/>
  <c r="EH67" i="23916"/>
  <c r="EP67" i="23916"/>
  <c r="GE67" i="23916"/>
  <c r="GI67" i="23916"/>
  <c r="GM67" i="23916"/>
  <c r="GN101" i="23916"/>
  <c r="GH103" i="23916"/>
  <c r="GL103" i="23916"/>
  <c r="GM103" i="23916" s="1"/>
  <c r="ET106" i="23916"/>
  <c r="GW108" i="23916"/>
  <c r="GE113" i="23916"/>
  <c r="GI113" i="23916"/>
  <c r="GM113" i="23916"/>
  <c r="DB116" i="23916"/>
  <c r="DH627" i="23916"/>
  <c r="DP116" i="23916"/>
  <c r="DV116" i="23916"/>
  <c r="EP129" i="23916"/>
  <c r="EJ129" i="23916"/>
  <c r="CN133" i="23916"/>
  <c r="AO137" i="23916"/>
  <c r="CO137" i="23916"/>
  <c r="DU137" i="23916"/>
  <c r="GL137" i="23916"/>
  <c r="GM137" i="23916" s="1"/>
  <c r="AY826" i="23916"/>
  <c r="AY783" i="23916"/>
  <c r="BC826" i="23916"/>
  <c r="BC783" i="23916"/>
  <c r="BG826" i="23916"/>
  <c r="BG783" i="23916"/>
  <c r="BK826" i="23916"/>
  <c r="BK783" i="23916"/>
  <c r="BO826" i="23916"/>
  <c r="BO783" i="23916"/>
  <c r="BS826" i="23916"/>
  <c r="BS783" i="23916"/>
  <c r="BW826" i="23916"/>
  <c r="BW783" i="23916"/>
  <c r="CA826" i="23916"/>
  <c r="CA783" i="23916"/>
  <c r="CE826" i="23916"/>
  <c r="CI826" i="23916"/>
  <c r="CI783" i="23916"/>
  <c r="CM826" i="23916"/>
  <c r="CM783" i="23916"/>
  <c r="CQ826" i="23916"/>
  <c r="CQ783" i="23916"/>
  <c r="CU826" i="23916"/>
  <c r="CU783" i="23916"/>
  <c r="CY826" i="23916"/>
  <c r="CY783" i="23916"/>
  <c r="DC826" i="23916"/>
  <c r="DC783" i="23916"/>
  <c r="DG826" i="23916"/>
  <c r="DG783" i="23916"/>
  <c r="DK826" i="23916"/>
  <c r="DK783" i="23916"/>
  <c r="DO826" i="23916"/>
  <c r="DO783" i="23916"/>
  <c r="DS826" i="23916"/>
  <c r="DS783" i="23916"/>
  <c r="DW826" i="23916"/>
  <c r="DW783" i="23916"/>
  <c r="EA826" i="23916"/>
  <c r="EA783" i="23916"/>
  <c r="EE826" i="23916"/>
  <c r="EE783" i="23916"/>
  <c r="EI826" i="23916"/>
  <c r="EI783" i="23916"/>
  <c r="EM826" i="23916"/>
  <c r="EM783" i="23916"/>
  <c r="FD826" i="23916"/>
  <c r="FD783" i="23916"/>
  <c r="FH140" i="23916"/>
  <c r="FL140" i="23916"/>
  <c r="FP140" i="23916"/>
  <c r="FT140" i="23916"/>
  <c r="FX140" i="23916"/>
  <c r="GB140" i="23916"/>
  <c r="GF140" i="23916"/>
  <c r="GJ140" i="23916"/>
  <c r="GM140" i="23916" s="1"/>
  <c r="GN140" i="23916"/>
  <c r="EV144" i="23916"/>
  <c r="FF147" i="23916"/>
  <c r="FI144" i="23916"/>
  <c r="FH154" i="23916"/>
  <c r="FQ144" i="23916"/>
  <c r="FP154" i="23916"/>
  <c r="FQ154" i="23916" s="1"/>
  <c r="FP147" i="23916"/>
  <c r="FY144" i="23916"/>
  <c r="FX154" i="23916"/>
  <c r="GG144" i="23916"/>
  <c r="GF154" i="23916"/>
  <c r="GG154" i="23916" s="1"/>
  <c r="GO144" i="23916"/>
  <c r="GN154" i="23916"/>
  <c r="FF151" i="23916"/>
  <c r="FG145" i="23916"/>
  <c r="FO145" i="23916"/>
  <c r="FW145" i="23916"/>
  <c r="GE145" i="23916"/>
  <c r="GM145" i="23916"/>
  <c r="FM146" i="23916"/>
  <c r="FU146" i="23916"/>
  <c r="GK146" i="23916"/>
  <c r="GJ150" i="23916"/>
  <c r="GJ151" i="23916"/>
  <c r="P154" i="23916"/>
  <c r="CL154" i="23916"/>
  <c r="CT154" i="23916"/>
  <c r="DB154" i="23916"/>
  <c r="DJ154" i="23916"/>
  <c r="DR154" i="23916"/>
  <c r="DZ154" i="23916"/>
  <c r="EH154" i="23916"/>
  <c r="EP154" i="23916"/>
  <c r="FF154" i="23916"/>
  <c r="FG154" i="23916" s="1"/>
  <c r="FV154" i="23916"/>
  <c r="FW154" i="23916" s="1"/>
  <c r="GL154" i="23916"/>
  <c r="GM154" i="23916" s="1"/>
  <c r="FI158" i="23916"/>
  <c r="FQ158" i="23916"/>
  <c r="FH164" i="23916"/>
  <c r="FL164" i="23916"/>
  <c r="FO164" i="23916" s="1"/>
  <c r="FP164" i="23916"/>
  <c r="FT164" i="23916"/>
  <c r="Y187" i="23916"/>
  <c r="AG187" i="23916"/>
  <c r="AO187" i="23916"/>
  <c r="BM187" i="23916"/>
  <c r="EO187" i="23916"/>
  <c r="L165" i="23916"/>
  <c r="AB165" i="23916"/>
  <c r="AR165" i="23916"/>
  <c r="BH165" i="23916"/>
  <c r="BX165" i="23916"/>
  <c r="CN165" i="23916"/>
  <c r="DD165" i="23916"/>
  <c r="DT165" i="23916"/>
  <c r="EJ165" i="23916"/>
  <c r="FD187" i="23916"/>
  <c r="GC164" i="23916"/>
  <c r="FX165" i="23916"/>
  <c r="FY165" i="23916" s="1"/>
  <c r="GN165" i="23916"/>
  <c r="GO165" i="23916" s="1"/>
  <c r="C193" i="23916"/>
  <c r="C195" i="23916"/>
  <c r="C189" i="23916"/>
  <c r="EU171" i="23916"/>
  <c r="EU170" i="23916" s="1"/>
  <c r="FM168" i="23916"/>
  <c r="GO168" i="23916"/>
  <c r="S180" i="23916"/>
  <c r="T176" i="23916"/>
  <c r="AW176" i="23916"/>
  <c r="AX175" i="23916"/>
  <c r="BE176" i="23916"/>
  <c r="BF175" i="23916"/>
  <c r="FU175" i="23916"/>
  <c r="FJ184" i="23916"/>
  <c r="FN184" i="23916"/>
  <c r="N176" i="23916"/>
  <c r="M180" i="23916"/>
  <c r="N180" i="23916" s="1"/>
  <c r="W180" i="23916"/>
  <c r="X180" i="23916" s="1"/>
  <c r="X176" i="23916"/>
  <c r="AD176" i="23916"/>
  <c r="AC180" i="23916"/>
  <c r="AL176" i="23916"/>
  <c r="AK180" i="23916"/>
  <c r="AK187" i="23916" s="1"/>
  <c r="BJ176" i="23916"/>
  <c r="BI180" i="23916"/>
  <c r="BR176" i="23916"/>
  <c r="BQ180" i="23916"/>
  <c r="BQ187" i="23916" s="1"/>
  <c r="GL184" i="23916"/>
  <c r="EJ175" i="23916"/>
  <c r="EP175" i="23916"/>
  <c r="GP178" i="23916"/>
  <c r="GR178" i="23916" s="1"/>
  <c r="GT178" i="23916" s="1"/>
  <c r="GV178" i="23916" s="1"/>
  <c r="GX178" i="23916" s="1"/>
  <c r="EU178" i="23916"/>
  <c r="EW178" i="23916" s="1"/>
  <c r="GN184" i="23916"/>
  <c r="GO184" i="23916" s="1"/>
  <c r="GO177" i="23916"/>
  <c r="P180" i="23916"/>
  <c r="I182" i="23916"/>
  <c r="GL182" i="23916"/>
  <c r="GM182" i="23916" s="1"/>
  <c r="GN216" i="23916"/>
  <c r="GO205" i="23916"/>
  <c r="DW208" i="23916"/>
  <c r="DW204" i="23916"/>
  <c r="DW202" i="23916" s="1"/>
  <c r="GO203" i="23916"/>
  <c r="GN217" i="23916"/>
  <c r="EU221" i="23916"/>
  <c r="EW212" i="23916"/>
  <c r="EW221" i="23916" s="1"/>
  <c r="DW230" i="23916"/>
  <c r="GN240" i="23916"/>
  <c r="GO229" i="23916"/>
  <c r="GA283" i="23916"/>
  <c r="FZ284" i="23916"/>
  <c r="GC283" i="23916"/>
  <c r="GI283" i="23916"/>
  <c r="GH284" i="23916"/>
  <c r="GK283" i="23916"/>
  <c r="GC284" i="23916"/>
  <c r="CQ298" i="23916"/>
  <c r="CQ295" i="23916"/>
  <c r="CR295" i="23916" s="1"/>
  <c r="CR284" i="23916"/>
  <c r="CW301" i="23916"/>
  <c r="CW300" i="23916"/>
  <c r="CW307" i="23916"/>
  <c r="CW305" i="23916"/>
  <c r="DG295" i="23916"/>
  <c r="DH284" i="23916"/>
  <c r="DW295" i="23916"/>
  <c r="DX284" i="23916"/>
  <c r="EM295" i="23916"/>
  <c r="EN284" i="23916"/>
  <c r="GN295" i="23916"/>
  <c r="CK291" i="23916"/>
  <c r="CL291" i="23916" s="1"/>
  <c r="CL289" i="23916"/>
  <c r="FZ289" i="23916"/>
  <c r="EW300" i="23916"/>
  <c r="CQ338" i="23916"/>
  <c r="CR338" i="23916" s="1"/>
  <c r="CR331" i="23916"/>
  <c r="CQ334" i="23916"/>
  <c r="CQ340" i="23916"/>
  <c r="CR340" i="23916" s="1"/>
  <c r="CQ333" i="23916"/>
  <c r="CR333" i="23916" s="1"/>
  <c r="CV328" i="23916"/>
  <c r="CY338" i="23916"/>
  <c r="CZ338" i="23916" s="1"/>
  <c r="CZ331" i="23916"/>
  <c r="CY334" i="23916"/>
  <c r="CY340" i="23916"/>
  <c r="CZ340" i="23916" s="1"/>
  <c r="CY333" i="23916"/>
  <c r="CZ333" i="23916" s="1"/>
  <c r="DC338" i="23916"/>
  <c r="DC334" i="23916"/>
  <c r="DC340" i="23916"/>
  <c r="DC333" i="23916"/>
  <c r="DG338" i="23916"/>
  <c r="DH331" i="23916"/>
  <c r="DG334" i="23916"/>
  <c r="DG340" i="23916"/>
  <c r="DG333" i="23916"/>
  <c r="DT328" i="23916"/>
  <c r="EB328" i="23916"/>
  <c r="EJ328" i="23916"/>
  <c r="ER328" i="23916"/>
  <c r="DB324" i="23916"/>
  <c r="DJ324" i="23916"/>
  <c r="DR324" i="23916"/>
  <c r="DZ324" i="23916"/>
  <c r="EH324" i="23916"/>
  <c r="EP324" i="23916"/>
  <c r="ER320" i="23916"/>
  <c r="GX328" i="23916"/>
  <c r="GV329" i="23916"/>
  <c r="GW328" i="23916"/>
  <c r="ER357" i="23916"/>
  <c r="ES357" i="23916"/>
  <c r="ER353" i="23916"/>
  <c r="EQ359" i="23916"/>
  <c r="S373" i="23916"/>
  <c r="T367" i="23916"/>
  <c r="S375" i="23916"/>
  <c r="S370" i="23916"/>
  <c r="S369" i="23916"/>
  <c r="CU373" i="23916"/>
  <c r="CU369" i="23916"/>
  <c r="CU375" i="23916"/>
  <c r="CU370" i="23916"/>
  <c r="DK373" i="23916"/>
  <c r="DK375" i="23916"/>
  <c r="DL367" i="23916"/>
  <c r="DK370" i="23916"/>
  <c r="DK369" i="23916"/>
  <c r="CM147" i="23916"/>
  <c r="CM809" i="23916" s="1"/>
  <c r="DS147" i="23916"/>
  <c r="BU150" i="23916"/>
  <c r="CC150" i="23916"/>
  <c r="GL847" i="23916"/>
  <c r="GM847" i="23916" s="1"/>
  <c r="FZ162" i="23916"/>
  <c r="GA162" i="23916" s="1"/>
  <c r="GD162" i="23916"/>
  <c r="GE162" i="23916" s="1"/>
  <c r="GH162" i="23916"/>
  <c r="GL162" i="23916"/>
  <c r="GM162" i="23916" s="1"/>
  <c r="FH162" i="23916"/>
  <c r="FL162" i="23916"/>
  <c r="FP162" i="23916"/>
  <c r="FT162" i="23916"/>
  <c r="M165" i="23916"/>
  <c r="Q165" i="23916"/>
  <c r="Q182" i="23916" s="1"/>
  <c r="R182" i="23916" s="1"/>
  <c r="U165" i="23916"/>
  <c r="Y165" i="23916"/>
  <c r="AC165" i="23916"/>
  <c r="AG165" i="23916"/>
  <c r="AK165" i="23916"/>
  <c r="AO165" i="23916"/>
  <c r="AS165" i="23916"/>
  <c r="AW165" i="23916"/>
  <c r="BA165" i="23916"/>
  <c r="BE165" i="23916"/>
  <c r="BI165" i="23916"/>
  <c r="BM165" i="23916"/>
  <c r="BQ165" i="23916"/>
  <c r="BU165" i="23916"/>
  <c r="BY165" i="23916"/>
  <c r="CC165" i="23916"/>
  <c r="CG165" i="23916"/>
  <c r="CG184" i="23916" s="1"/>
  <c r="CK165" i="23916"/>
  <c r="CO165" i="23916"/>
  <c r="CS165" i="23916"/>
  <c r="CS184" i="23916" s="1"/>
  <c r="CW165" i="23916"/>
  <c r="DA165" i="23916"/>
  <c r="DE165" i="23916"/>
  <c r="DI165" i="23916"/>
  <c r="DM165" i="23916"/>
  <c r="DQ165" i="23916"/>
  <c r="DU165" i="23916"/>
  <c r="DY165" i="23916"/>
  <c r="EC165" i="23916"/>
  <c r="EG165" i="23916"/>
  <c r="EK165" i="23916"/>
  <c r="EO165" i="23916"/>
  <c r="EO182" i="23916" s="1"/>
  <c r="ES170" i="23916"/>
  <c r="FW174" i="23916"/>
  <c r="Q176" i="23916"/>
  <c r="AU176" i="23916"/>
  <c r="AY176" i="23916"/>
  <c r="BC176" i="23916"/>
  <c r="BG176" i="23916"/>
  <c r="BS176" i="23916"/>
  <c r="BW176" i="23916"/>
  <c r="CA176" i="23916"/>
  <c r="CE176" i="23916"/>
  <c r="CI176" i="23916"/>
  <c r="CM176" i="23916"/>
  <c r="CQ176" i="23916"/>
  <c r="CU176" i="23916"/>
  <c r="CY176" i="23916"/>
  <c r="DC176" i="23916"/>
  <c r="DG176" i="23916"/>
  <c r="DK176" i="23916"/>
  <c r="DO176" i="23916"/>
  <c r="DS176" i="23916"/>
  <c r="DW176" i="23916"/>
  <c r="EA176" i="23916"/>
  <c r="EE176" i="23916"/>
  <c r="FZ175" i="23916"/>
  <c r="GD175" i="23916"/>
  <c r="GE175" i="23916" s="1"/>
  <c r="GH175" i="23916"/>
  <c r="FH177" i="23916"/>
  <c r="GB177" i="23916"/>
  <c r="GF177" i="23916"/>
  <c r="T175" i="23916"/>
  <c r="Z175" i="23916"/>
  <c r="AD175" i="23916"/>
  <c r="AH175" i="23916"/>
  <c r="AL175" i="23916"/>
  <c r="AP175" i="23916"/>
  <c r="BD177" i="23916"/>
  <c r="BJ175" i="23916"/>
  <c r="BN175" i="23916"/>
  <c r="BR175" i="23916"/>
  <c r="GL175" i="23916"/>
  <c r="GM175" i="23916" s="1"/>
  <c r="GN174" i="23916"/>
  <c r="ET179" i="23916"/>
  <c r="U180" i="23916"/>
  <c r="V180" i="23916" s="1"/>
  <c r="C182" i="23916"/>
  <c r="FB182" i="23916"/>
  <c r="FD189" i="23916"/>
  <c r="FE189" i="23916" s="1"/>
  <c r="BA628" i="23916"/>
  <c r="BB627" i="23916"/>
  <c r="BT627" i="23916"/>
  <c r="BS628" i="23916"/>
  <c r="DX627" i="23916"/>
  <c r="GF191" i="23916"/>
  <c r="GJ191" i="23916"/>
  <c r="GK191" i="23916" s="1"/>
  <c r="GJ205" i="23916"/>
  <c r="GJ216" i="23916" s="1"/>
  <c r="GJ215" i="23916" s="1"/>
  <c r="DY228" i="23916"/>
  <c r="DY226" i="23916" s="1"/>
  <c r="DY244" i="23916"/>
  <c r="EG208" i="23916"/>
  <c r="GN212" i="23916"/>
  <c r="GO207" i="23916"/>
  <c r="GJ207" i="23916"/>
  <c r="GJ212" i="23916" s="1"/>
  <c r="GJ221" i="23916" s="1"/>
  <c r="EQ220" i="23916"/>
  <c r="EQ202" i="23916"/>
  <c r="EW211" i="23916"/>
  <c r="GJ229" i="23916"/>
  <c r="GJ240" i="23916" s="1"/>
  <c r="GJ243" i="23916" s="1"/>
  <c r="EA228" i="23916"/>
  <c r="EA226" i="23916" s="1"/>
  <c r="GM229" i="23916"/>
  <c r="EO231" i="23916"/>
  <c r="EO237" i="23916" s="1"/>
  <c r="EO245" i="23916" s="1"/>
  <c r="GL240" i="23916"/>
  <c r="GM240" i="23916" s="1"/>
  <c r="GE251" i="23916"/>
  <c r="GG251" i="23916"/>
  <c r="FX254" i="23916"/>
  <c r="FY252" i="23916"/>
  <c r="GA252" i="23916"/>
  <c r="GF254" i="23916"/>
  <c r="GG254" i="23916" s="1"/>
  <c r="GG252" i="23916"/>
  <c r="GI252" i="23916"/>
  <c r="GO252" i="23916"/>
  <c r="GE253" i="23916"/>
  <c r="GD254" i="23916"/>
  <c r="GG253" i="23916"/>
  <c r="GM253" i="23916"/>
  <c r="GL254" i="23916"/>
  <c r="GO253" i="23916"/>
  <c r="FL260" i="23916"/>
  <c r="FM258" i="23916"/>
  <c r="FO258" i="23916"/>
  <c r="FT260" i="23916"/>
  <c r="FU260" i="23916" s="1"/>
  <c r="FU258" i="23916"/>
  <c r="FW258" i="23916"/>
  <c r="FX260" i="23916"/>
  <c r="FY258" i="23916"/>
  <c r="GA258" i="23916"/>
  <c r="GF260" i="23916"/>
  <c r="GG258" i="23916"/>
  <c r="GI258" i="23916"/>
  <c r="GO258" i="23916"/>
  <c r="EB259" i="23916"/>
  <c r="GL259" i="23916"/>
  <c r="ES259" i="23916"/>
  <c r="ER259" i="23916"/>
  <c r="EA260" i="23916"/>
  <c r="EA266" i="23916" s="1"/>
  <c r="EO264" i="23916"/>
  <c r="EE266" i="23916"/>
  <c r="FE267" i="23916"/>
  <c r="FG267" i="23916"/>
  <c r="FM267" i="23916"/>
  <c r="FO267" i="23916"/>
  <c r="FU267" i="23916"/>
  <c r="EW280" i="23916"/>
  <c r="EU283" i="23916"/>
  <c r="ET283" i="23916"/>
  <c r="GK284" i="23916"/>
  <c r="CN284" i="23916"/>
  <c r="CM298" i="23916"/>
  <c r="CS301" i="23916"/>
  <c r="CS300" i="23916"/>
  <c r="CS307" i="23916"/>
  <c r="CS305" i="23916"/>
  <c r="DC295" i="23916"/>
  <c r="DD284" i="23916"/>
  <c r="DJ298" i="23916"/>
  <c r="DI301" i="23916"/>
  <c r="DI300" i="23916"/>
  <c r="DI307" i="23916"/>
  <c r="DI305" i="23916"/>
  <c r="DS295" i="23916"/>
  <c r="DT284" i="23916"/>
  <c r="DY301" i="23916"/>
  <c r="DY300" i="23916"/>
  <c r="DY307" i="23916"/>
  <c r="DY305" i="23916"/>
  <c r="DZ298" i="23916"/>
  <c r="EI295" i="23916"/>
  <c r="EJ284" i="23916"/>
  <c r="EP298" i="23916"/>
  <c r="EO301" i="23916"/>
  <c r="EO300" i="23916"/>
  <c r="EO307" i="23916"/>
  <c r="EO305" i="23916"/>
  <c r="GJ295" i="23916"/>
  <c r="CT291" i="23916"/>
  <c r="DE291" i="23916"/>
  <c r="DF291" i="23916" s="1"/>
  <c r="DF289" i="23916"/>
  <c r="GF289" i="23916"/>
  <c r="DM291" i="23916"/>
  <c r="DN291" i="23916" s="1"/>
  <c r="DN289" i="23916"/>
  <c r="GH289" i="23916"/>
  <c r="DU291" i="23916"/>
  <c r="DV291" i="23916" s="1"/>
  <c r="DV289" i="23916"/>
  <c r="GJ289" i="23916"/>
  <c r="EC291" i="23916"/>
  <c r="ED289" i="23916"/>
  <c r="GL289" i="23916"/>
  <c r="EK291" i="23916"/>
  <c r="EL289" i="23916"/>
  <c r="GN289" i="23916"/>
  <c r="GV296" i="23916"/>
  <c r="GW295" i="23916"/>
  <c r="GX295" i="23916"/>
  <c r="EQ323" i="23916"/>
  <c r="ER317" i="23916"/>
  <c r="GD324" i="23916"/>
  <c r="FJ367" i="23916"/>
  <c r="GC353" i="23916"/>
  <c r="EE863" i="23916"/>
  <c r="EF598" i="23916"/>
  <c r="FX176" i="23916"/>
  <c r="GB176" i="23916"/>
  <c r="GF176" i="23916"/>
  <c r="EK863" i="23916"/>
  <c r="EL598" i="23916"/>
  <c r="EB177" i="23916"/>
  <c r="EF177" i="23916"/>
  <c r="GJ177" i="23916"/>
  <c r="GM177" i="23916" s="1"/>
  <c r="FX182" i="23916"/>
  <c r="FY182" i="23916" s="1"/>
  <c r="GB182" i="23916"/>
  <c r="GF182" i="23916"/>
  <c r="GG182" i="23916" s="1"/>
  <c r="AY184" i="23916"/>
  <c r="AZ184" i="23916" s="1"/>
  <c r="CE184" i="23916"/>
  <c r="CF184" i="23916" s="1"/>
  <c r="CI184" i="23916"/>
  <c r="CJ184" i="23916" s="1"/>
  <c r="CM184" i="23916"/>
  <c r="CQ184" i="23916"/>
  <c r="CU184" i="23916"/>
  <c r="CV184" i="23916" s="1"/>
  <c r="CY184" i="23916"/>
  <c r="CZ184" i="23916" s="1"/>
  <c r="DC184" i="23916"/>
  <c r="DG184" i="23916"/>
  <c r="DK184" i="23916"/>
  <c r="DL184" i="23916" s="1"/>
  <c r="DO184" i="23916"/>
  <c r="DP184" i="23916" s="1"/>
  <c r="DS184" i="23916"/>
  <c r="DW184" i="23916"/>
  <c r="EA184" i="23916"/>
  <c r="EB184" i="23916" s="1"/>
  <c r="K187" i="23916"/>
  <c r="W187" i="23916"/>
  <c r="GL208" i="23916"/>
  <c r="GJ230" i="23916"/>
  <c r="GL216" i="23916"/>
  <c r="GM205" i="23916"/>
  <c r="ES251" i="23916"/>
  <c r="ES254" i="23916" s="1"/>
  <c r="EU201" i="23916"/>
  <c r="ES205" i="23916"/>
  <c r="ES207" i="23916"/>
  <c r="ES211" i="23916"/>
  <c r="DS232" i="23916"/>
  <c r="EI228" i="23916"/>
  <c r="EI226" i="23916" s="1"/>
  <c r="EU225" i="23916"/>
  <c r="ES229" i="23916"/>
  <c r="ES227" i="23916"/>
  <c r="DU850" i="23916"/>
  <c r="DU590" i="23916"/>
  <c r="DU263" i="23916"/>
  <c r="DU254" i="23916"/>
  <c r="DV251" i="23916"/>
  <c r="DU262" i="23916"/>
  <c r="EC850" i="23916"/>
  <c r="EC590" i="23916"/>
  <c r="EC263" i="23916"/>
  <c r="EC264" i="23916" s="1"/>
  <c r="EC254" i="23916"/>
  <c r="ED251" i="23916"/>
  <c r="EC262" i="23916"/>
  <c r="EK850" i="23916"/>
  <c r="EK590" i="23916"/>
  <c r="EK263" i="23916"/>
  <c r="EK254" i="23916"/>
  <c r="EL251" i="23916"/>
  <c r="EK262" i="23916"/>
  <c r="EQ850" i="23916"/>
  <c r="ER251" i="23916"/>
  <c r="EV252" i="23916"/>
  <c r="EW252" i="23916"/>
  <c r="EX252" i="23916" s="1"/>
  <c r="FK252" i="23916"/>
  <c r="FM252" i="23916"/>
  <c r="FS252" i="23916"/>
  <c r="FU252" i="23916"/>
  <c r="DT254" i="23916"/>
  <c r="EJ254" i="23916"/>
  <c r="FB272" i="23916"/>
  <c r="FB274" i="23916"/>
  <c r="ED260" i="23916"/>
  <c r="EN259" i="23916"/>
  <c r="EG264" i="23916"/>
  <c r="EV280" i="23916"/>
  <c r="GG284" i="23916"/>
  <c r="GE283" i="23916"/>
  <c r="GD284" i="23916"/>
  <c r="GG283" i="23916"/>
  <c r="GM283" i="23916"/>
  <c r="GL284" i="23916"/>
  <c r="GO284" i="23916" s="1"/>
  <c r="GO283" i="23916"/>
  <c r="CY295" i="23916"/>
  <c r="CZ295" i="23916" s="1"/>
  <c r="CZ284" i="23916"/>
  <c r="DE298" i="23916"/>
  <c r="DO295" i="23916"/>
  <c r="DP295" i="23916" s="1"/>
  <c r="DP284" i="23916"/>
  <c r="DU298" i="23916"/>
  <c r="EE295" i="23916"/>
  <c r="EF295" i="23916" s="1"/>
  <c r="EF284" i="23916"/>
  <c r="EK298" i="23916"/>
  <c r="GF295" i="23916"/>
  <c r="CT289" i="23916"/>
  <c r="EU315" i="23916"/>
  <c r="ET315" i="23916"/>
  <c r="CO340" i="23916"/>
  <c r="CP340" i="23916" s="1"/>
  <c r="CO333" i="23916"/>
  <c r="CP333" i="23916" s="1"/>
  <c r="CO338" i="23916"/>
  <c r="CP338" i="23916" s="1"/>
  <c r="CP331" i="23916"/>
  <c r="CO334" i="23916"/>
  <c r="CS331" i="23916"/>
  <c r="CW340" i="23916"/>
  <c r="CW333" i="23916"/>
  <c r="CW338" i="23916"/>
  <c r="CX338" i="23916" s="1"/>
  <c r="CX331" i="23916"/>
  <c r="CW334" i="23916"/>
  <c r="DA331" i="23916"/>
  <c r="DE340" i="23916"/>
  <c r="DF340" i="23916" s="1"/>
  <c r="DE333" i="23916"/>
  <c r="DF333" i="23916" s="1"/>
  <c r="DE338" i="23916"/>
  <c r="DF331" i="23916"/>
  <c r="DE334" i="23916"/>
  <c r="DI331" i="23916"/>
  <c r="DM340" i="23916"/>
  <c r="DM333" i="23916"/>
  <c r="DM338" i="23916"/>
  <c r="DN338" i="23916" s="1"/>
  <c r="DN331" i="23916"/>
  <c r="DM334" i="23916"/>
  <c r="DQ331" i="23916"/>
  <c r="DU340" i="23916"/>
  <c r="DV340" i="23916" s="1"/>
  <c r="DU333" i="23916"/>
  <c r="DV333" i="23916" s="1"/>
  <c r="DU338" i="23916"/>
  <c r="DV331" i="23916"/>
  <c r="DU334" i="23916"/>
  <c r="DY331" i="23916"/>
  <c r="EC340" i="23916"/>
  <c r="EC333" i="23916"/>
  <c r="EC338" i="23916"/>
  <c r="ED338" i="23916" s="1"/>
  <c r="ED331" i="23916"/>
  <c r="EC334" i="23916"/>
  <c r="EG331" i="23916"/>
  <c r="EK340" i="23916"/>
  <c r="EL340" i="23916" s="1"/>
  <c r="EL331" i="23916"/>
  <c r="EK333" i="23916"/>
  <c r="EK338" i="23916"/>
  <c r="EK334" i="23916"/>
  <c r="EO331" i="23916"/>
  <c r="CX324" i="23916"/>
  <c r="DF324" i="23916"/>
  <c r="DN324" i="23916"/>
  <c r="DV324" i="23916"/>
  <c r="ED324" i="23916"/>
  <c r="EL324" i="23916"/>
  <c r="EW351" i="23916"/>
  <c r="EX351" i="23916" s="1"/>
  <c r="EV351" i="23916"/>
  <c r="GE353" i="23916"/>
  <c r="FF367" i="23916"/>
  <c r="FG353" i="23916"/>
  <c r="C369" i="23916"/>
  <c r="C373" i="23916"/>
  <c r="C375" i="23916"/>
  <c r="C370" i="23916"/>
  <c r="K373" i="23916"/>
  <c r="L367" i="23916"/>
  <c r="K375" i="23916"/>
  <c r="L375" i="23916" s="1"/>
  <c r="K370" i="23916"/>
  <c r="K369" i="23916"/>
  <c r="L369" i="23916" s="1"/>
  <c r="AQ373" i="23916"/>
  <c r="AQ375" i="23916"/>
  <c r="AQ370" i="23916"/>
  <c r="AQ369" i="23916"/>
  <c r="BW373" i="23916"/>
  <c r="BW375" i="23916"/>
  <c r="BW369" i="23916"/>
  <c r="BW370" i="23916"/>
  <c r="DC373" i="23916"/>
  <c r="DD373" i="23916" s="1"/>
  <c r="DC369" i="23916"/>
  <c r="DD369" i="23916" s="1"/>
  <c r="DC375" i="23916"/>
  <c r="DD375" i="23916" s="1"/>
  <c r="DD367" i="23916"/>
  <c r="DC370" i="23916"/>
  <c r="GC358" i="23916"/>
  <c r="FZ360" i="23916"/>
  <c r="BU147" i="23916"/>
  <c r="CC147" i="23916"/>
  <c r="CG147" i="23916"/>
  <c r="CG148" i="23916"/>
  <c r="GO847" i="23916"/>
  <c r="GP163" i="23916"/>
  <c r="FI161" i="23916"/>
  <c r="FM161" i="23916"/>
  <c r="FQ161" i="23916"/>
  <c r="FU161" i="23916"/>
  <c r="FF162" i="23916"/>
  <c r="FG162" i="23916" s="1"/>
  <c r="FJ162" i="23916"/>
  <c r="FK162" i="23916" s="1"/>
  <c r="FN162" i="23916"/>
  <c r="FO162" i="23916" s="1"/>
  <c r="FR162" i="23916"/>
  <c r="FS162" i="23916" s="1"/>
  <c r="R174" i="23916"/>
  <c r="FH174" i="23916"/>
  <c r="P175" i="23916"/>
  <c r="DT175" i="23916"/>
  <c r="DX175" i="23916"/>
  <c r="EB175" i="23916"/>
  <c r="EF175" i="23916"/>
  <c r="FR177" i="23916"/>
  <c r="FZ177" i="23916"/>
  <c r="GD177" i="23916"/>
  <c r="GH177" i="23916"/>
  <c r="EK176" i="23916"/>
  <c r="EO863" i="23916"/>
  <c r="EP598" i="23916"/>
  <c r="L176" i="23916"/>
  <c r="R177" i="23916"/>
  <c r="BF177" i="23916"/>
  <c r="DT177" i="23916"/>
  <c r="DX177" i="23916"/>
  <c r="EP174" i="23916"/>
  <c r="EP179" i="23916"/>
  <c r="AZ627" i="23916"/>
  <c r="AY628" i="23916"/>
  <c r="BJ191" i="23916"/>
  <c r="CB627" i="23916"/>
  <c r="EF191" i="23916"/>
  <c r="FR191" i="23916"/>
  <c r="FS191" i="23916" s="1"/>
  <c r="FV191" i="23916"/>
  <c r="FW191" i="23916" s="1"/>
  <c r="GL191" i="23916"/>
  <c r="DU244" i="23916"/>
  <c r="DU232" i="23916"/>
  <c r="DU228" i="23916"/>
  <c r="DU226" i="23916" s="1"/>
  <c r="DY202" i="23916"/>
  <c r="EA237" i="23916"/>
  <c r="EA245" i="23916" s="1"/>
  <c r="EA246" i="23916" s="1"/>
  <c r="GL231" i="23916"/>
  <c r="EC244" i="23916"/>
  <c r="EC232" i="23916"/>
  <c r="EC228" i="23916"/>
  <c r="EC226" i="23916" s="1"/>
  <c r="EG202" i="23916"/>
  <c r="EK244" i="23916"/>
  <c r="EK232" i="23916"/>
  <c r="EK228" i="23916"/>
  <c r="EK226" i="23916" s="1"/>
  <c r="EU211" i="23916"/>
  <c r="EQ222" i="23916"/>
  <c r="GO227" i="23916"/>
  <c r="GN241" i="23916"/>
  <c r="DY231" i="23916"/>
  <c r="DY237" i="23916" s="1"/>
  <c r="DY245" i="23916" s="1"/>
  <c r="EQ228" i="23916"/>
  <c r="EI244" i="23916"/>
  <c r="FT266" i="23916"/>
  <c r="FT268" i="23916" s="1"/>
  <c r="GA251" i="23916"/>
  <c r="GC251" i="23916"/>
  <c r="GB254" i="23916"/>
  <c r="GC252" i="23916"/>
  <c r="GE252" i="23916"/>
  <c r="GK252" i="23916"/>
  <c r="GM252" i="23916"/>
  <c r="GA253" i="23916"/>
  <c r="FZ254" i="23916"/>
  <c r="GC253" i="23916"/>
  <c r="GI253" i="23916"/>
  <c r="GH254" i="23916"/>
  <c r="GI254" i="23916" s="1"/>
  <c r="GK253" i="23916"/>
  <c r="EN254" i="23916"/>
  <c r="FE254" i="23916"/>
  <c r="FH260" i="23916"/>
  <c r="FI258" i="23916"/>
  <c r="FK258" i="23916"/>
  <c r="FP260" i="23916"/>
  <c r="FP266" i="23916" s="1"/>
  <c r="FQ258" i="23916"/>
  <c r="FS258" i="23916"/>
  <c r="GB260" i="23916"/>
  <c r="GC258" i="23916"/>
  <c r="GE258" i="23916"/>
  <c r="GK258" i="23916"/>
  <c r="GM258" i="23916"/>
  <c r="DT259" i="23916"/>
  <c r="GJ259" i="23916"/>
  <c r="GK259" i="23916" s="1"/>
  <c r="EJ259" i="23916"/>
  <c r="GN259" i="23916"/>
  <c r="GO259" i="23916" s="1"/>
  <c r="EP260" i="23916"/>
  <c r="DS260" i="23916"/>
  <c r="DT260" i="23916" s="1"/>
  <c r="EI260" i="23916"/>
  <c r="EJ260" i="23916" s="1"/>
  <c r="DY264" i="23916"/>
  <c r="FI267" i="23916"/>
  <c r="FK267" i="23916"/>
  <c r="FQ267" i="23916"/>
  <c r="FS267" i="23916"/>
  <c r="EW268" i="23916"/>
  <c r="ER288" i="23916"/>
  <c r="CK298" i="23916"/>
  <c r="CV284" i="23916"/>
  <c r="DB298" i="23916"/>
  <c r="DA301" i="23916"/>
  <c r="DA300" i="23916"/>
  <c r="DB300" i="23916" s="1"/>
  <c r="DA307" i="23916"/>
  <c r="DB307" i="23916" s="1"/>
  <c r="DA305" i="23916"/>
  <c r="DK295" i="23916"/>
  <c r="DL295" i="23916" s="1"/>
  <c r="DL284" i="23916"/>
  <c r="DQ301" i="23916"/>
  <c r="DR298" i="23916"/>
  <c r="DQ300" i="23916"/>
  <c r="DR300" i="23916" s="1"/>
  <c r="DQ307" i="23916"/>
  <c r="DR307" i="23916" s="1"/>
  <c r="DQ305" i="23916"/>
  <c r="EA295" i="23916"/>
  <c r="EB295" i="23916" s="1"/>
  <c r="EB284" i="23916"/>
  <c r="EH298" i="23916"/>
  <c r="EG301" i="23916"/>
  <c r="EG300" i="23916"/>
  <c r="EH300" i="23916" s="1"/>
  <c r="EG307" i="23916"/>
  <c r="EH307" i="23916" s="1"/>
  <c r="EG305" i="23916"/>
  <c r="EH305" i="23916" s="1"/>
  <c r="FZ293" i="23916"/>
  <c r="GA293" i="23916" s="1"/>
  <c r="GA287" i="23916"/>
  <c r="CO291" i="23916"/>
  <c r="CP291" i="23916" s="1"/>
  <c r="CP289" i="23916"/>
  <c r="DB291" i="23916"/>
  <c r="DJ291" i="23916"/>
  <c r="DR291" i="23916"/>
  <c r="DZ291" i="23916"/>
  <c r="EH291" i="23916"/>
  <c r="EP291" i="23916"/>
  <c r="CM295" i="23916"/>
  <c r="CN295" i="23916" s="1"/>
  <c r="CU295" i="23916"/>
  <c r="CV295" i="23916" s="1"/>
  <c r="GE326" i="23916"/>
  <c r="GI326" i="23916"/>
  <c r="GM326" i="23916"/>
  <c r="CZ324" i="23916"/>
  <c r="DH324" i="23916"/>
  <c r="ER356" i="23916"/>
  <c r="DU204" i="23916"/>
  <c r="DU202" i="23916" s="1"/>
  <c r="GJ202" i="23916" s="1"/>
  <c r="GJ204" i="23916" s="1"/>
  <c r="DU208" i="23916"/>
  <c r="EC204" i="23916"/>
  <c r="EC202" i="23916" s="1"/>
  <c r="GL202" i="23916" s="1"/>
  <c r="EC208" i="23916"/>
  <c r="EK204" i="23916"/>
  <c r="EK202" i="23916" s="1"/>
  <c r="GN202" i="23916" s="1"/>
  <c r="EK208" i="23916"/>
  <c r="GJ206" i="23916"/>
  <c r="GJ220" i="23916" s="1"/>
  <c r="EG230" i="23916"/>
  <c r="EO230" i="23916"/>
  <c r="GN230" i="23916" s="1"/>
  <c r="DS850" i="23916"/>
  <c r="DS590" i="23916"/>
  <c r="EA850" i="23916"/>
  <c r="EA590" i="23916"/>
  <c r="EI850" i="23916"/>
  <c r="EI590" i="23916"/>
  <c r="DT251" i="23916"/>
  <c r="EB251" i="23916"/>
  <c r="EJ251" i="23916"/>
  <c r="FF254" i="23916"/>
  <c r="FI254" i="23916" s="1"/>
  <c r="FJ254" i="23916"/>
  <c r="FM254" i="23916" s="1"/>
  <c r="FN254" i="23916"/>
  <c r="FR254" i="23916"/>
  <c r="FV260" i="23916"/>
  <c r="FW260" i="23916" s="1"/>
  <c r="FZ260" i="23916"/>
  <c r="GA260" i="23916" s="1"/>
  <c r="GD260" i="23916"/>
  <c r="GE260" i="23916" s="1"/>
  <c r="GH260" i="23916"/>
  <c r="GI260" i="23916" s="1"/>
  <c r="GL260" i="23916"/>
  <c r="DS263" i="23916"/>
  <c r="EA263" i="23916"/>
  <c r="EI263" i="23916"/>
  <c r="FD266" i="23916"/>
  <c r="EF270" i="23916"/>
  <c r="GL270" i="23916"/>
  <c r="GM270" i="23916" s="1"/>
  <c r="EQ854" i="23916"/>
  <c r="ES282" i="23916"/>
  <c r="ES284" i="23916" s="1"/>
  <c r="EU289" i="23916"/>
  <c r="CX290" i="23916"/>
  <c r="DD290" i="23916"/>
  <c r="CK295" i="23916"/>
  <c r="CL295" i="23916" s="1"/>
  <c r="CO295" i="23916"/>
  <c r="CP295" i="23916" s="1"/>
  <c r="CS295" i="23916"/>
  <c r="CW295" i="23916"/>
  <c r="DA295" i="23916"/>
  <c r="DB295" i="23916" s="1"/>
  <c r="DE295" i="23916"/>
  <c r="DF295" i="23916" s="1"/>
  <c r="DI295" i="23916"/>
  <c r="DM295" i="23916"/>
  <c r="DQ295" i="23916"/>
  <c r="DR295" i="23916" s="1"/>
  <c r="DU295" i="23916"/>
  <c r="DV295" i="23916" s="1"/>
  <c r="DY295" i="23916"/>
  <c r="EC295" i="23916"/>
  <c r="EG295" i="23916"/>
  <c r="EH295" i="23916" s="1"/>
  <c r="EK295" i="23916"/>
  <c r="EL295" i="23916" s="1"/>
  <c r="EO295" i="23916"/>
  <c r="GB295" i="23916"/>
  <c r="EU295" i="23916"/>
  <c r="DP303" i="23916"/>
  <c r="GS302" i="23916"/>
  <c r="EU314" i="23916"/>
  <c r="ES316" i="23916"/>
  <c r="GM853" i="23916"/>
  <c r="GD317" i="23916"/>
  <c r="GH317" i="23916"/>
  <c r="GL317" i="23916"/>
  <c r="ES322" i="23916"/>
  <c r="DH322" i="23916"/>
  <c r="DJ322" i="23916"/>
  <c r="DN323" i="23916"/>
  <c r="CO328" i="23916"/>
  <c r="CP328" i="23916" s="1"/>
  <c r="CW328" i="23916"/>
  <c r="CX328" i="23916" s="1"/>
  <c r="DA328" i="23916"/>
  <c r="DB328" i="23916" s="1"/>
  <c r="DE328" i="23916"/>
  <c r="DF328" i="23916" s="1"/>
  <c r="DI328" i="23916"/>
  <c r="DQ328" i="23916"/>
  <c r="DR328" i="23916" s="1"/>
  <c r="DU328" i="23916"/>
  <c r="DV328" i="23916" s="1"/>
  <c r="DY328" i="23916"/>
  <c r="DZ328" i="23916" s="1"/>
  <c r="EC328" i="23916"/>
  <c r="EG328" i="23916"/>
  <c r="EK328" i="23916"/>
  <c r="EL328" i="23916" s="1"/>
  <c r="EO328" i="23916"/>
  <c r="EP328" i="23916" s="1"/>
  <c r="GD328" i="23916"/>
  <c r="DY627" i="23916"/>
  <c r="EH336" i="23916"/>
  <c r="GH344" i="23916"/>
  <c r="GI344" i="23916" s="1"/>
  <c r="ER349" i="23916"/>
  <c r="EU350" i="23916"/>
  <c r="ET351" i="23916"/>
  <c r="ES352" i="23916"/>
  <c r="FG349" i="23916"/>
  <c r="FK349" i="23916"/>
  <c r="FO349" i="23916"/>
  <c r="FS349" i="23916"/>
  <c r="FU350" i="23916"/>
  <c r="FY349" i="23916"/>
  <c r="GA351" i="23916"/>
  <c r="GF856" i="23916"/>
  <c r="GJ856" i="23916"/>
  <c r="GO855" i="23916"/>
  <c r="GN856" i="23916"/>
  <c r="GF353" i="23916"/>
  <c r="GJ353" i="23916"/>
  <c r="GN353" i="23916"/>
  <c r="FG352" i="23916"/>
  <c r="FK352" i="23916"/>
  <c r="FS352" i="23916"/>
  <c r="FW352" i="23916"/>
  <c r="GA352" i="23916"/>
  <c r="I367" i="23916"/>
  <c r="I364" i="23916"/>
  <c r="CT353" i="23916"/>
  <c r="DJ353" i="23916"/>
  <c r="DX353" i="23916"/>
  <c r="DW367" i="23916"/>
  <c r="EC364" i="23916"/>
  <c r="EN353" i="23916"/>
  <c r="EM367" i="23916"/>
  <c r="FM360" i="23916"/>
  <c r="FQ356" i="23916"/>
  <c r="FW356" i="23916"/>
  <c r="FV362" i="23916"/>
  <c r="FW362" i="23916" s="1"/>
  <c r="FW357" i="23916"/>
  <c r="FI356" i="23916"/>
  <c r="FH360" i="23916"/>
  <c r="FI360" i="23916" s="1"/>
  <c r="AI360" i="23916"/>
  <c r="AJ360" i="23916" s="1"/>
  <c r="AJ358" i="23916"/>
  <c r="AT358" i="23916"/>
  <c r="AS360" i="23916"/>
  <c r="AT360" i="23916" s="1"/>
  <c r="BB358" i="23916"/>
  <c r="BA360" i="23916"/>
  <c r="BB360" i="23916" s="1"/>
  <c r="CG360" i="23916"/>
  <c r="CH360" i="23916" s="1"/>
  <c r="CH358" i="23916"/>
  <c r="CO360" i="23916"/>
  <c r="CP360" i="23916" s="1"/>
  <c r="CP358" i="23916"/>
  <c r="CX358" i="23916"/>
  <c r="EQ358" i="23916"/>
  <c r="EO360" i="23916"/>
  <c r="EP360" i="23916" s="1"/>
  <c r="FG356" i="23916"/>
  <c r="FK356" i="23916"/>
  <c r="FP358" i="23916"/>
  <c r="FS358" i="23916" s="1"/>
  <c r="FX358" i="23916"/>
  <c r="FP359" i="23916"/>
  <c r="AV359" i="23916"/>
  <c r="BD359" i="23916"/>
  <c r="BL359" i="23916"/>
  <c r="BH358" i="23916"/>
  <c r="BX358" i="23916"/>
  <c r="FT362" i="23916"/>
  <c r="GJ362" i="23916"/>
  <c r="S364" i="23916"/>
  <c r="AI364" i="23916"/>
  <c r="AJ364" i="23916" s="1"/>
  <c r="BO364" i="23916"/>
  <c r="BP364" i="23916" s="1"/>
  <c r="CE364" i="23916"/>
  <c r="CN364" i="23916" s="1"/>
  <c r="CU364" i="23916"/>
  <c r="CV364" i="23916" s="1"/>
  <c r="DK364" i="23916"/>
  <c r="EA364" i="23916"/>
  <c r="FB367" i="23916"/>
  <c r="GI368" i="23916"/>
  <c r="EB400" i="23916"/>
  <c r="EJ400" i="23916"/>
  <c r="BO392" i="23916"/>
  <c r="BN397" i="23916"/>
  <c r="ES424" i="23916"/>
  <c r="EQ396" i="23916"/>
  <c r="ER424" i="23916"/>
  <c r="CU291" i="23916"/>
  <c r="CV291" i="23916" s="1"/>
  <c r="CY291" i="23916"/>
  <c r="CZ291" i="23916" s="1"/>
  <c r="DC291" i="23916"/>
  <c r="DG291" i="23916"/>
  <c r="DH291" i="23916" s="1"/>
  <c r="DK291" i="23916"/>
  <c r="DL291" i="23916" s="1"/>
  <c r="DO291" i="23916"/>
  <c r="DS291" i="23916"/>
  <c r="DW291" i="23916"/>
  <c r="DX291" i="23916" s="1"/>
  <c r="EA291" i="23916"/>
  <c r="EB291" i="23916" s="1"/>
  <c r="EE291" i="23916"/>
  <c r="EI291" i="23916"/>
  <c r="EM291" i="23916"/>
  <c r="EN291" i="23916" s="1"/>
  <c r="ES296" i="23916"/>
  <c r="GE299" i="23916"/>
  <c r="GI299" i="23916"/>
  <c r="GM299" i="23916"/>
  <c r="EF303" i="23916"/>
  <c r="GS303" i="23916"/>
  <c r="ER314" i="23916"/>
  <c r="GE313" i="23916"/>
  <c r="GI313" i="23916"/>
  <c r="GM313" i="23916"/>
  <c r="EQ321" i="23916"/>
  <c r="EQ324" i="23916" s="1"/>
  <c r="GB322" i="23916"/>
  <c r="GE322" i="23916" s="1"/>
  <c r="GF322" i="23916"/>
  <c r="GJ322" i="23916"/>
  <c r="GN322" i="23916"/>
  <c r="CN322" i="23916"/>
  <c r="CR322" i="23916"/>
  <c r="CV322" i="23916"/>
  <c r="CZ322" i="23916"/>
  <c r="DD322" i="23916"/>
  <c r="DN322" i="23916"/>
  <c r="DB323" i="23916"/>
  <c r="DH323" i="23916"/>
  <c r="CU324" i="23916"/>
  <c r="CV324" i="23916" s="1"/>
  <c r="DK324" i="23916"/>
  <c r="DL324" i="23916" s="1"/>
  <c r="DO324" i="23916"/>
  <c r="DP324" i="23916" s="1"/>
  <c r="DS324" i="23916"/>
  <c r="DT324" i="23916" s="1"/>
  <c r="DW324" i="23916"/>
  <c r="DX324" i="23916" s="1"/>
  <c r="EA324" i="23916"/>
  <c r="EE324" i="23916"/>
  <c r="EE331" i="23916" s="1"/>
  <c r="EI324" i="23916"/>
  <c r="EJ324" i="23916" s="1"/>
  <c r="EM324" i="23916"/>
  <c r="EN324" i="23916" s="1"/>
  <c r="ER326" i="23916"/>
  <c r="EU327" i="23916"/>
  <c r="CM331" i="23916"/>
  <c r="DS331" i="23916"/>
  <c r="EA331" i="23916"/>
  <c r="GE332" i="23916"/>
  <c r="GI332" i="23916"/>
  <c r="GM332" i="23916"/>
  <c r="DZ336" i="23916"/>
  <c r="EE627" i="23916"/>
  <c r="ES349" i="23916"/>
  <c r="FH855" i="23916"/>
  <c r="FH856" i="23916" s="1"/>
  <c r="FL855" i="23916"/>
  <c r="FL856" i="23916" s="1"/>
  <c r="FP855" i="23916"/>
  <c r="FP856" i="23916" s="1"/>
  <c r="FT855" i="23916"/>
  <c r="FT856" i="23916" s="1"/>
  <c r="FZ855" i="23916"/>
  <c r="GC349" i="23916"/>
  <c r="GG349" i="23916"/>
  <c r="GK349" i="23916"/>
  <c r="GO349" i="23916"/>
  <c r="GC350" i="23916"/>
  <c r="GG352" i="23916"/>
  <c r="GK352" i="23916"/>
  <c r="GO352" i="23916"/>
  <c r="FH353" i="23916"/>
  <c r="FL353" i="23916"/>
  <c r="FP353" i="23916"/>
  <c r="FS353" i="23916" s="1"/>
  <c r="FT353" i="23916"/>
  <c r="FX353" i="23916"/>
  <c r="O373" i="23916"/>
  <c r="O375" i="23916"/>
  <c r="O370" i="23916"/>
  <c r="O369" i="23916"/>
  <c r="W373" i="23916"/>
  <c r="X367" i="23916"/>
  <c r="W375" i="23916"/>
  <c r="W370" i="23916"/>
  <c r="W369" i="23916"/>
  <c r="X369" i="23916" s="1"/>
  <c r="AE373" i="23916"/>
  <c r="AF367" i="23916"/>
  <c r="AE375" i="23916"/>
  <c r="AE370" i="23916"/>
  <c r="AE369" i="23916"/>
  <c r="AF369" i="23916" s="1"/>
  <c r="AM373" i="23916"/>
  <c r="AM375" i="23916"/>
  <c r="AN375" i="23916" s="1"/>
  <c r="AM370" i="23916"/>
  <c r="AM369" i="23916"/>
  <c r="AN369" i="23916" s="1"/>
  <c r="AN367" i="23916"/>
  <c r="BK373" i="23916"/>
  <c r="BK375" i="23916"/>
  <c r="BK369" i="23916"/>
  <c r="BK370" i="23916"/>
  <c r="CI367" i="23916"/>
  <c r="CR367" i="23916" s="1"/>
  <c r="CQ373" i="23916"/>
  <c r="CQ369" i="23916"/>
  <c r="CQ375" i="23916"/>
  <c r="CQ370" i="23916"/>
  <c r="CY373" i="23916"/>
  <c r="CZ367" i="23916"/>
  <c r="CY369" i="23916"/>
  <c r="CZ369" i="23916" s="1"/>
  <c r="CY375" i="23916"/>
  <c r="CZ375" i="23916" s="1"/>
  <c r="CY370" i="23916"/>
  <c r="DG373" i="23916"/>
  <c r="DH373" i="23916" s="1"/>
  <c r="DG369" i="23916"/>
  <c r="DH369" i="23916" s="1"/>
  <c r="DG375" i="23916"/>
  <c r="DH375" i="23916" s="1"/>
  <c r="DH367" i="23916"/>
  <c r="DG370" i="23916"/>
  <c r="DO367" i="23916"/>
  <c r="DT353" i="23916"/>
  <c r="DY367" i="23916"/>
  <c r="DY364" i="23916"/>
  <c r="ED353" i="23916"/>
  <c r="EJ353" i="23916"/>
  <c r="EO367" i="23916"/>
  <c r="EO364" i="23916"/>
  <c r="GC364" i="23916"/>
  <c r="GL353" i="23916"/>
  <c r="FM356" i="23916"/>
  <c r="FS356" i="23916"/>
  <c r="FR362" i="23916"/>
  <c r="FS362" i="23916" s="1"/>
  <c r="FS357" i="23916"/>
  <c r="GD362" i="23916"/>
  <c r="GE362" i="23916" s="1"/>
  <c r="GH362" i="23916"/>
  <c r="GL362" i="23916"/>
  <c r="GM362" i="23916" s="1"/>
  <c r="GC357" i="23916"/>
  <c r="GG357" i="23916"/>
  <c r="GE358" i="23916"/>
  <c r="GH364" i="23916"/>
  <c r="GL364" i="23916"/>
  <c r="AU360" i="23916"/>
  <c r="AV360" i="23916" s="1"/>
  <c r="AV358" i="23916"/>
  <c r="BC360" i="23916"/>
  <c r="BD360" i="23916" s="1"/>
  <c r="BD358" i="23916"/>
  <c r="BS601" i="23916"/>
  <c r="BS360" i="23916"/>
  <c r="BT360" i="23916" s="1"/>
  <c r="CA360" i="23916"/>
  <c r="CB360" i="23916" s="1"/>
  <c r="CB358" i="23916"/>
  <c r="CI360" i="23916"/>
  <c r="CJ358" i="23916"/>
  <c r="CR360" i="23916"/>
  <c r="CZ360" i="23916"/>
  <c r="DD360" i="23916"/>
  <c r="DH360" i="23916"/>
  <c r="DL360" i="23916"/>
  <c r="DT360" i="23916"/>
  <c r="EB360" i="23916"/>
  <c r="EJ360" i="23916"/>
  <c r="AX359" i="23916"/>
  <c r="AW364" i="23916"/>
  <c r="BN359" i="23916"/>
  <c r="BF359" i="23916"/>
  <c r="BE364" i="23916"/>
  <c r="BF364" i="23916" s="1"/>
  <c r="FZ364" i="23916"/>
  <c r="FF364" i="23916"/>
  <c r="FJ364" i="23916"/>
  <c r="FH362" i="23916"/>
  <c r="FI362" i="23916" s="1"/>
  <c r="GN362" i="23916"/>
  <c r="GO362" i="23916" s="1"/>
  <c r="C364" i="23916"/>
  <c r="W364" i="23916"/>
  <c r="AM364" i="23916"/>
  <c r="BC364" i="23916"/>
  <c r="BS364" i="23916"/>
  <c r="CI364" i="23916"/>
  <c r="CY364" i="23916"/>
  <c r="DO364" i="23916"/>
  <c r="EW364" i="23916"/>
  <c r="EU365" i="23916"/>
  <c r="AA367" i="23916"/>
  <c r="BG367" i="23916"/>
  <c r="DS367" i="23916"/>
  <c r="FE387" i="23916"/>
  <c r="CQ392" i="23916"/>
  <c r="CL400" i="23916"/>
  <c r="CD400" i="23916"/>
  <c r="EO204" i="23916"/>
  <c r="EO202" i="23916" s="1"/>
  <c r="ES235" i="23916"/>
  <c r="DW850" i="23916"/>
  <c r="DW590" i="23916"/>
  <c r="EE850" i="23916"/>
  <c r="EE590" i="23916"/>
  <c r="EM850" i="23916"/>
  <c r="EM590" i="23916"/>
  <c r="FW251" i="23916"/>
  <c r="FW253" i="23916"/>
  <c r="DX251" i="23916"/>
  <c r="EF251" i="23916"/>
  <c r="EN251" i="23916"/>
  <c r="GJ260" i="23916"/>
  <c r="GK260" i="23916" s="1"/>
  <c r="DW263" i="23916"/>
  <c r="DW264" i="23916" s="1"/>
  <c r="EE263" i="23916"/>
  <c r="EE264" i="23916" s="1"/>
  <c r="EM263" i="23916"/>
  <c r="EM264" i="23916" s="1"/>
  <c r="GL262" i="23916"/>
  <c r="GL264" i="23916" s="1"/>
  <c r="ES854" i="23916"/>
  <c r="GD854" i="23916"/>
  <c r="GD856" i="23916" s="1"/>
  <c r="GH854" i="23916"/>
  <c r="GL854" i="23916"/>
  <c r="GM854" i="23916" s="1"/>
  <c r="GP280" i="23916"/>
  <c r="EQ287" i="23916"/>
  <c r="GD290" i="23916"/>
  <c r="GD291" i="23916" s="1"/>
  <c r="GE291" i="23916" s="1"/>
  <c r="CV290" i="23916"/>
  <c r="ER293" i="23916"/>
  <c r="GD293" i="23916"/>
  <c r="GE293" i="23916" s="1"/>
  <c r="GH293" i="23916"/>
  <c r="GI293" i="23916" s="1"/>
  <c r="GL293" i="23916"/>
  <c r="GM293" i="23916" s="1"/>
  <c r="GH295" i="23916"/>
  <c r="GI295" i="23916" s="1"/>
  <c r="GL295" i="23916"/>
  <c r="GM295" i="23916" s="1"/>
  <c r="EU293" i="23916"/>
  <c r="GB298" i="23916"/>
  <c r="GB317" i="23916"/>
  <c r="GB328" i="23916" s="1"/>
  <c r="GC328" i="23916" s="1"/>
  <c r="GF317" i="23916"/>
  <c r="GJ317" i="23916"/>
  <c r="GN317" i="23916"/>
  <c r="DL323" i="23916"/>
  <c r="CQ328" i="23916"/>
  <c r="CR328" i="23916" s="1"/>
  <c r="CY328" i="23916"/>
  <c r="DC328" i="23916"/>
  <c r="DD328" i="23916" s="1"/>
  <c r="DG328" i="23916"/>
  <c r="DH328" i="23916" s="1"/>
  <c r="DO328" i="23916"/>
  <c r="DW328" i="23916"/>
  <c r="EE328" i="23916"/>
  <c r="EF328" i="23916" s="1"/>
  <c r="EM328" i="23916"/>
  <c r="EN328" i="23916" s="1"/>
  <c r="GJ328" i="23916"/>
  <c r="GN328" i="23916"/>
  <c r="EU328" i="23916"/>
  <c r="EA627" i="23916"/>
  <c r="EB627" i="23916" s="1"/>
  <c r="EF336" i="23916"/>
  <c r="EJ336" i="23916"/>
  <c r="GL342" i="23916"/>
  <c r="GH856" i="23916"/>
  <c r="GL856" i="23916"/>
  <c r="GM856" i="23916" s="1"/>
  <c r="GM855" i="23916"/>
  <c r="E367" i="23916"/>
  <c r="E364" i="23916"/>
  <c r="DU364" i="23916"/>
  <c r="EF353" i="23916"/>
  <c r="EE367" i="23916"/>
  <c r="EK364" i="23916"/>
  <c r="FD375" i="23916"/>
  <c r="FE367" i="23916"/>
  <c r="FD370" i="23916"/>
  <c r="FD373" i="23916"/>
  <c r="FN353" i="23916"/>
  <c r="FN364" i="23916" s="1"/>
  <c r="GH353" i="23916"/>
  <c r="FO356" i="23916"/>
  <c r="FN362" i="23916"/>
  <c r="GD364" i="23916"/>
  <c r="GE364" i="23916" s="1"/>
  <c r="FF362" i="23916"/>
  <c r="FG362" i="23916" s="1"/>
  <c r="FJ362" i="23916"/>
  <c r="AP358" i="23916"/>
  <c r="AO360" i="23916"/>
  <c r="AP360" i="23916" s="1"/>
  <c r="AX358" i="23916"/>
  <c r="AW360" i="23916"/>
  <c r="BF358" i="23916"/>
  <c r="BE360" i="23916"/>
  <c r="BF360" i="23916" s="1"/>
  <c r="CC360" i="23916"/>
  <c r="CD360" i="23916" s="1"/>
  <c r="CD358" i="23916"/>
  <c r="CK360" i="23916"/>
  <c r="CL360" i="23916" s="1"/>
  <c r="CL358" i="23916"/>
  <c r="DM360" i="23916"/>
  <c r="DN360" i="23916" s="1"/>
  <c r="GH358" i="23916"/>
  <c r="GJ358" i="23916"/>
  <c r="DU360" i="23916"/>
  <c r="DV360" i="23916" s="1"/>
  <c r="EC360" i="23916"/>
  <c r="GL358" i="23916"/>
  <c r="GN358" i="23916"/>
  <c r="EK360" i="23916"/>
  <c r="EL360" i="23916" s="1"/>
  <c r="FT358" i="23916"/>
  <c r="GC360" i="23916"/>
  <c r="AZ359" i="23916"/>
  <c r="FR359" i="23916"/>
  <c r="BH359" i="23916"/>
  <c r="CT359" i="23916"/>
  <c r="CS364" i="23916"/>
  <c r="CT364" i="23916" s="1"/>
  <c r="DR359" i="23916"/>
  <c r="DJ359" i="23916"/>
  <c r="GF359" i="23916"/>
  <c r="DI364" i="23916"/>
  <c r="DJ364" i="23916" s="1"/>
  <c r="DV358" i="23916"/>
  <c r="DZ358" i="23916"/>
  <c r="ED358" i="23916"/>
  <c r="EH358" i="23916"/>
  <c r="EL358" i="23916"/>
  <c r="GA359" i="23916"/>
  <c r="GD360" i="23916"/>
  <c r="GE360" i="23916" s="1"/>
  <c r="FL362" i="23916"/>
  <c r="FM362" i="23916" s="1"/>
  <c r="GC362" i="23916"/>
  <c r="K364" i="23916"/>
  <c r="L364" i="23916" s="1"/>
  <c r="AQ364" i="23916"/>
  <c r="AR364" i="23916" s="1"/>
  <c r="BW364" i="23916"/>
  <c r="BX364" i="23916" s="1"/>
  <c r="DC364" i="23916"/>
  <c r="DD364" i="23916" s="1"/>
  <c r="DS364" i="23916"/>
  <c r="DT364" i="23916" s="1"/>
  <c r="EI364" i="23916"/>
  <c r="EA367" i="23916"/>
  <c r="GB367" i="23916"/>
  <c r="GB388" i="23916"/>
  <c r="GB387" i="23916"/>
  <c r="GE386" i="23916"/>
  <c r="GG386" i="23916"/>
  <c r="GI386" i="23916"/>
  <c r="GK386" i="23916"/>
  <c r="GM386" i="23916"/>
  <c r="GO386" i="23916"/>
  <c r="DS479" i="23916"/>
  <c r="EF400" i="23916"/>
  <c r="EN400" i="23916"/>
  <c r="GM394" i="23916"/>
  <c r="GO394" i="23916"/>
  <c r="EQ205" i="23916"/>
  <c r="EQ229" i="23916"/>
  <c r="EU237" i="23916"/>
  <c r="DY850" i="23916"/>
  <c r="DY590" i="23916"/>
  <c r="EG850" i="23916"/>
  <c r="EG590" i="23916"/>
  <c r="EO850" i="23916"/>
  <c r="EO590" i="23916"/>
  <c r="ER252" i="23916"/>
  <c r="GJ251" i="23916"/>
  <c r="GJ254" i="23916" s="1"/>
  <c r="GN251" i="23916"/>
  <c r="DY254" i="23916"/>
  <c r="EG254" i="23916"/>
  <c r="EO254" i="23916"/>
  <c r="DS262" i="23916"/>
  <c r="EA262" i="23916"/>
  <c r="EI262" i="23916"/>
  <c r="FY267" i="23916"/>
  <c r="GC267" i="23916"/>
  <c r="GG267" i="23916"/>
  <c r="GK267" i="23916"/>
  <c r="GO267" i="23916"/>
  <c r="ET280" i="23916"/>
  <c r="ER282" i="23916"/>
  <c r="FZ854" i="23916"/>
  <c r="GE280" i="23916"/>
  <c r="GI280" i="23916"/>
  <c r="GM280" i="23916"/>
  <c r="ET289" i="23916"/>
  <c r="DB289" i="23916"/>
  <c r="DJ289" i="23916"/>
  <c r="DR289" i="23916"/>
  <c r="DZ289" i="23916"/>
  <c r="EH289" i="23916"/>
  <c r="ET293" i="23916"/>
  <c r="DF303" i="23916"/>
  <c r="EQ853" i="23916"/>
  <c r="EU313" i="23916"/>
  <c r="ER316" i="23916"/>
  <c r="GC313" i="23916"/>
  <c r="GG313" i="23916"/>
  <c r="GK313" i="23916"/>
  <c r="GO313" i="23916"/>
  <c r="ER322" i="23916"/>
  <c r="GH322" i="23916"/>
  <c r="GL322" i="23916"/>
  <c r="CP322" i="23916"/>
  <c r="CT322" i="23916"/>
  <c r="CX322" i="23916"/>
  <c r="DB322" i="23916"/>
  <c r="DF322" i="23916"/>
  <c r="DR322" i="23916"/>
  <c r="DV322" i="23916"/>
  <c r="DZ322" i="23916"/>
  <c r="ED322" i="23916"/>
  <c r="EH322" i="23916"/>
  <c r="EL322" i="23916"/>
  <c r="ET328" i="23916"/>
  <c r="GC332" i="23916"/>
  <c r="GG332" i="23916"/>
  <c r="GK332" i="23916"/>
  <c r="GO332" i="23916"/>
  <c r="GJ336" i="23916"/>
  <c r="GK336" i="23916" s="1"/>
  <c r="EB336" i="23916"/>
  <c r="EQ855" i="23916"/>
  <c r="EQ856" i="23916" s="1"/>
  <c r="ER352" i="23916"/>
  <c r="GE349" i="23916"/>
  <c r="GI349" i="23916"/>
  <c r="GM349" i="23916"/>
  <c r="GE352" i="23916"/>
  <c r="G367" i="23916"/>
  <c r="G364" i="23916"/>
  <c r="M367" i="23916"/>
  <c r="M364" i="23916"/>
  <c r="N364" i="23916" s="1"/>
  <c r="Q367" i="23916"/>
  <c r="Q364" i="23916"/>
  <c r="R364" i="23916" s="1"/>
  <c r="U367" i="23916"/>
  <c r="U364" i="23916"/>
  <c r="V364" i="23916" s="1"/>
  <c r="Y367" i="23916"/>
  <c r="Y364" i="23916"/>
  <c r="Z364" i="23916" s="1"/>
  <c r="AC367" i="23916"/>
  <c r="AC364" i="23916"/>
  <c r="AD364" i="23916" s="1"/>
  <c r="AG367" i="23916"/>
  <c r="AG364" i="23916"/>
  <c r="AH364" i="23916" s="1"/>
  <c r="AK367" i="23916"/>
  <c r="AK364" i="23916"/>
  <c r="AL364" i="23916" s="1"/>
  <c r="AO367" i="23916"/>
  <c r="AO364" i="23916"/>
  <c r="AP364" i="23916" s="1"/>
  <c r="AS367" i="23916"/>
  <c r="AS364" i="23916"/>
  <c r="AT364" i="23916" s="1"/>
  <c r="AW367" i="23916"/>
  <c r="BA367" i="23916"/>
  <c r="BI367" i="23916"/>
  <c r="BI364" i="23916"/>
  <c r="BM367" i="23916"/>
  <c r="BM364" i="23916"/>
  <c r="BN364" i="23916" s="1"/>
  <c r="BQ364" i="23916"/>
  <c r="BR364" i="23916" s="1"/>
  <c r="BU367" i="23916"/>
  <c r="BU364" i="23916"/>
  <c r="BV364" i="23916" s="1"/>
  <c r="BY367" i="23916"/>
  <c r="BY364" i="23916"/>
  <c r="BZ364" i="23916" s="1"/>
  <c r="CC367" i="23916"/>
  <c r="CC364" i="23916"/>
  <c r="CD364" i="23916" s="1"/>
  <c r="CG367" i="23916"/>
  <c r="CG364" i="23916"/>
  <c r="CH364" i="23916" s="1"/>
  <c r="CK367" i="23916"/>
  <c r="CK364" i="23916"/>
  <c r="CL364" i="23916" s="1"/>
  <c r="CO367" i="23916"/>
  <c r="CO364" i="23916"/>
  <c r="CP364" i="23916" s="1"/>
  <c r="CS370" i="23916"/>
  <c r="CS373" i="23916"/>
  <c r="CS369" i="23916"/>
  <c r="CS375" i="23916"/>
  <c r="CT367" i="23916"/>
  <c r="CW367" i="23916"/>
  <c r="CW364" i="23916"/>
  <c r="DA367" i="23916"/>
  <c r="DA364" i="23916"/>
  <c r="DB364" i="23916" s="1"/>
  <c r="DE367" i="23916"/>
  <c r="DE364" i="23916"/>
  <c r="DF364" i="23916" s="1"/>
  <c r="DI369" i="23916"/>
  <c r="DI373" i="23916"/>
  <c r="DI375" i="23916"/>
  <c r="DI370" i="23916"/>
  <c r="DM367" i="23916"/>
  <c r="DM364" i="23916"/>
  <c r="DQ367" i="23916"/>
  <c r="DQ364" i="23916"/>
  <c r="DR364" i="23916" s="1"/>
  <c r="DV353" i="23916"/>
  <c r="EG367" i="23916"/>
  <c r="EG364" i="23916"/>
  <c r="EH364" i="23916" s="1"/>
  <c r="EL353" i="23916"/>
  <c r="GA356" i="23916"/>
  <c r="FZ362" i="23916"/>
  <c r="GA362" i="23916" s="1"/>
  <c r="GJ364" i="23916"/>
  <c r="GK364" i="23916" s="1"/>
  <c r="GN364" i="23916"/>
  <c r="GO364" i="23916" s="1"/>
  <c r="AR360" i="23916"/>
  <c r="AY360" i="23916"/>
  <c r="AZ360" i="23916" s="1"/>
  <c r="AZ358" i="23916"/>
  <c r="BH360" i="23916"/>
  <c r="BO601" i="23916"/>
  <c r="BO360" i="23916"/>
  <c r="BP360" i="23916" s="1"/>
  <c r="BX360" i="23916"/>
  <c r="CE360" i="23916"/>
  <c r="CF360" i="23916" s="1"/>
  <c r="CF358" i="23916"/>
  <c r="CM360" i="23916"/>
  <c r="CV360" i="23916" s="1"/>
  <c r="CN358" i="23916"/>
  <c r="DX360" i="23916"/>
  <c r="EF360" i="23916"/>
  <c r="EN360" i="23916"/>
  <c r="FN358" i="23916"/>
  <c r="FV358" i="23916"/>
  <c r="BJ359" i="23916"/>
  <c r="BB359" i="23916"/>
  <c r="BA364" i="23916"/>
  <c r="BB364" i="23916" s="1"/>
  <c r="FX364" i="23916"/>
  <c r="FH364" i="23916"/>
  <c r="FL364" i="23916"/>
  <c r="FV364" i="23916"/>
  <c r="GF362" i="23916"/>
  <c r="GG362" i="23916" s="1"/>
  <c r="O364" i="23916"/>
  <c r="P364" i="23916" s="1"/>
  <c r="AE364" i="23916"/>
  <c r="AF364" i="23916" s="1"/>
  <c r="AU364" i="23916"/>
  <c r="AV364" i="23916" s="1"/>
  <c r="BK364" i="23916"/>
  <c r="BL364" i="23916" s="1"/>
  <c r="CA364" i="23916"/>
  <c r="CB364" i="23916" s="1"/>
  <c r="CQ364" i="23916"/>
  <c r="CR364" i="23916" s="1"/>
  <c r="DG364" i="23916"/>
  <c r="DH364" i="23916" s="1"/>
  <c r="DW364" i="23916"/>
  <c r="DX364" i="23916" s="1"/>
  <c r="EM364" i="23916"/>
  <c r="EN364" i="23916" s="1"/>
  <c r="EV362" i="23916"/>
  <c r="EW362" i="23916"/>
  <c r="EU363" i="23916"/>
  <c r="EI367" i="23916"/>
  <c r="GG368" i="23916"/>
  <c r="CM479" i="23916"/>
  <c r="ET406" i="23916"/>
  <c r="EU406" i="23916"/>
  <c r="GV364" i="23916"/>
  <c r="FW368" i="23916"/>
  <c r="FV371" i="23916"/>
  <c r="FW371" i="23916" s="1"/>
  <c r="GT371" i="23916"/>
  <c r="EU369" i="23916"/>
  <c r="BD627" i="23916"/>
  <c r="BC628" i="23916"/>
  <c r="BH627" i="23916"/>
  <c r="BG628" i="23916"/>
  <c r="BL371" i="23916"/>
  <c r="BP371" i="23916"/>
  <c r="CL371" i="23916"/>
  <c r="FR371" i="23916"/>
  <c r="FS371" i="23916" s="1"/>
  <c r="DX384" i="23916"/>
  <c r="GJ383" i="23916"/>
  <c r="GK383" i="23916" s="1"/>
  <c r="GL382" i="23916"/>
  <c r="BM387" i="23916"/>
  <c r="CM388" i="23916"/>
  <c r="DS388" i="23916"/>
  <c r="FD388" i="23916"/>
  <c r="FE388" i="23916" s="1"/>
  <c r="GJ393" i="23916"/>
  <c r="GN393" i="23916"/>
  <c r="GL395" i="23916"/>
  <c r="GB397" i="23916"/>
  <c r="FD397" i="23916"/>
  <c r="FD401" i="23916" s="1"/>
  <c r="FE401" i="23916" s="1"/>
  <c r="FX400" i="23916"/>
  <c r="GB400" i="23916"/>
  <c r="GF400" i="23916"/>
  <c r="FY407" i="23916"/>
  <c r="GC407" i="23916"/>
  <c r="GG407" i="23916"/>
  <c r="GA408" i="23916"/>
  <c r="GE408" i="23916"/>
  <c r="GI408" i="23916"/>
  <c r="GK408" i="23916"/>
  <c r="GM408" i="23916"/>
  <c r="GO408" i="23916"/>
  <c r="EQ410" i="23916"/>
  <c r="BM411" i="23916"/>
  <c r="DU411" i="23916"/>
  <c r="DY411" i="23916"/>
  <c r="CM412" i="23916"/>
  <c r="DS412" i="23916"/>
  <c r="DU416" i="23916"/>
  <c r="DY416" i="23916"/>
  <c r="ES421" i="23916"/>
  <c r="FW422" i="23916"/>
  <c r="GA422" i="23916"/>
  <c r="GE422" i="23916"/>
  <c r="FX423" i="23916"/>
  <c r="GB430" i="23916"/>
  <c r="GJ430" i="23916"/>
  <c r="BN424" i="23916"/>
  <c r="EP424" i="23916"/>
  <c r="GB428" i="23916"/>
  <c r="GC428" i="23916" s="1"/>
  <c r="GF428" i="23916"/>
  <c r="GG428" i="23916" s="1"/>
  <c r="GJ428" i="23916"/>
  <c r="GK428" i="23916" s="1"/>
  <c r="GN428" i="23916"/>
  <c r="GO428" i="23916" s="1"/>
  <c r="DU431" i="23916"/>
  <c r="FW439" i="23916"/>
  <c r="FY439" i="23916"/>
  <c r="GE439" i="23916"/>
  <c r="GG439" i="23916"/>
  <c r="ES439" i="23916"/>
  <c r="ES382" i="23916" s="1"/>
  <c r="ER439" i="23916"/>
  <c r="GI443" i="23916"/>
  <c r="DU438" i="23916"/>
  <c r="DS466" i="23916"/>
  <c r="T496" i="23916"/>
  <c r="Y506" i="23916"/>
  <c r="Z500" i="23916"/>
  <c r="Y503" i="23916"/>
  <c r="Y502" i="23916"/>
  <c r="Y508" i="23916"/>
  <c r="AJ496" i="23916"/>
  <c r="AO506" i="23916"/>
  <c r="AO503" i="23916"/>
  <c r="AP500" i="23916"/>
  <c r="AO502" i="23916"/>
  <c r="AO508" i="23916"/>
  <c r="AZ496" i="23916"/>
  <c r="BE506" i="23916"/>
  <c r="BE502" i="23916"/>
  <c r="BF500" i="23916"/>
  <c r="BE508" i="23916"/>
  <c r="BE503" i="23916"/>
  <c r="BP496" i="23916"/>
  <c r="BU506" i="23916"/>
  <c r="BV500" i="23916"/>
  <c r="BU503" i="23916"/>
  <c r="BU502" i="23916"/>
  <c r="BU508" i="23916"/>
  <c r="DA506" i="23916"/>
  <c r="DA502" i="23916"/>
  <c r="DB500" i="23916"/>
  <c r="DA508" i="23916"/>
  <c r="DA503" i="23916"/>
  <c r="DH496" i="23916"/>
  <c r="DQ506" i="23916"/>
  <c r="DR500" i="23916"/>
  <c r="DQ503" i="23916"/>
  <c r="DQ502" i="23916"/>
  <c r="DQ508" i="23916"/>
  <c r="DX496" i="23916"/>
  <c r="EG506" i="23916"/>
  <c r="EG502" i="23916"/>
  <c r="EG503" i="23916"/>
  <c r="EH500" i="23916"/>
  <c r="EG508" i="23916"/>
  <c r="EN496" i="23916"/>
  <c r="I508" i="23916"/>
  <c r="I502" i="23916"/>
  <c r="I506" i="23916"/>
  <c r="I503" i="23916"/>
  <c r="FE482" i="23916"/>
  <c r="GI488" i="23916"/>
  <c r="AZ492" i="23916"/>
  <c r="BP492" i="23916"/>
  <c r="CF492" i="23916"/>
  <c r="CV492" i="23916"/>
  <c r="DL492" i="23916"/>
  <c r="EB492" i="23916"/>
  <c r="EW494" i="23916"/>
  <c r="EU495" i="23916"/>
  <c r="BR601" i="23916"/>
  <c r="BZ601" i="23916"/>
  <c r="BQ599" i="23916"/>
  <c r="BQ360" i="23916"/>
  <c r="BR360" i="23916" s="1"/>
  <c r="BD371" i="23916"/>
  <c r="BH371" i="23916"/>
  <c r="BM628" i="23916"/>
  <c r="BN627" i="23916"/>
  <c r="CO381" i="23916"/>
  <c r="EH382" i="23916"/>
  <c r="EL382" i="23916"/>
  <c r="EP382" i="23916"/>
  <c r="EF384" i="23916"/>
  <c r="EJ384" i="23916"/>
  <c r="EN384" i="23916"/>
  <c r="FE381" i="23916"/>
  <c r="GJ384" i="23916"/>
  <c r="GK384" i="23916" s="1"/>
  <c r="GN382" i="23916"/>
  <c r="GO382" i="23916" s="1"/>
  <c r="BP386" i="23916"/>
  <c r="BX386" i="23916"/>
  <c r="CV386" i="23916"/>
  <c r="DD386" i="23916"/>
  <c r="DL386" i="23916"/>
  <c r="DT386" i="23916"/>
  <c r="EB386" i="23916"/>
  <c r="EJ386" i="23916"/>
  <c r="DT393" i="23916"/>
  <c r="DX393" i="23916"/>
  <c r="EB393" i="23916"/>
  <c r="EF393" i="23916"/>
  <c r="EJ393" i="23916"/>
  <c r="EN393" i="23916"/>
  <c r="ER393" i="23916"/>
  <c r="GJ392" i="23916"/>
  <c r="DS397" i="23916"/>
  <c r="BM398" i="23916"/>
  <c r="CO398" i="23916"/>
  <c r="DU400" i="23916"/>
  <c r="DV400" i="23916" s="1"/>
  <c r="DY400" i="23916"/>
  <c r="DZ400" i="23916" s="1"/>
  <c r="EC400" i="23916"/>
  <c r="ED400" i="23916" s="1"/>
  <c r="EG400" i="23916"/>
  <c r="EH400" i="23916" s="1"/>
  <c r="EK400" i="23916"/>
  <c r="EO400" i="23916"/>
  <c r="CM401" i="23916"/>
  <c r="FE405" i="23916"/>
  <c r="FV410" i="23916"/>
  <c r="FW410" i="23916" s="1"/>
  <c r="GD410" i="23916"/>
  <c r="GE410" i="23916" s="1"/>
  <c r="GH410" i="23916"/>
  <c r="GI410" i="23916" s="1"/>
  <c r="GL410" i="23916"/>
  <c r="GM410" i="23916" s="1"/>
  <c r="GB412" i="23916"/>
  <c r="DU417" i="23916"/>
  <c r="DY417" i="23916"/>
  <c r="GA421" i="23916"/>
  <c r="GE421" i="23916"/>
  <c r="GI421" i="23916"/>
  <c r="GM421" i="23916"/>
  <c r="GC423" i="23916"/>
  <c r="GG423" i="23916"/>
  <c r="GK423" i="23916"/>
  <c r="GO423" i="23916"/>
  <c r="BM425" i="23916"/>
  <c r="CO425" i="23916"/>
  <c r="DU425" i="23916"/>
  <c r="FE420" i="23916"/>
  <c r="DU430" i="23916"/>
  <c r="CO431" i="23916"/>
  <c r="CO432" i="23916" s="1"/>
  <c r="FY440" i="23916"/>
  <c r="GA440" i="23916"/>
  <c r="GG440" i="23916"/>
  <c r="GI440" i="23916"/>
  <c r="GA441" i="23916"/>
  <c r="GC441" i="23916"/>
  <c r="GI441" i="23916"/>
  <c r="GO441" i="23916"/>
  <c r="BN445" i="23916"/>
  <c r="BM448" i="23916"/>
  <c r="BN448" i="23916" s="1"/>
  <c r="GA461" i="23916"/>
  <c r="GE461" i="23916"/>
  <c r="GI461" i="23916"/>
  <c r="GL825" i="23916"/>
  <c r="GM461" i="23916"/>
  <c r="GB476" i="23916"/>
  <c r="GB497" i="23916" s="1"/>
  <c r="CC476" i="23916"/>
  <c r="CC496" i="23916"/>
  <c r="CL475" i="23916"/>
  <c r="CD475" i="23916"/>
  <c r="FL476" i="23916"/>
  <c r="FT476" i="23916"/>
  <c r="U494" i="23916"/>
  <c r="U497" i="23916"/>
  <c r="AF496" i="23916"/>
  <c r="AK494" i="23916"/>
  <c r="AL476" i="23916"/>
  <c r="AK497" i="23916"/>
  <c r="AV496" i="23916"/>
  <c r="BA494" i="23916"/>
  <c r="BB476" i="23916"/>
  <c r="BL496" i="23916"/>
  <c r="BQ494" i="23916"/>
  <c r="BR476" i="23916"/>
  <c r="BQ497" i="23916"/>
  <c r="CB496" i="23916"/>
  <c r="CJ496" i="23916"/>
  <c r="CR496" i="23916"/>
  <c r="DD496" i="23916"/>
  <c r="DT496" i="23916"/>
  <c r="EJ496" i="23916"/>
  <c r="E508" i="23916"/>
  <c r="E502" i="23916"/>
  <c r="E506" i="23916"/>
  <c r="E503" i="23916"/>
  <c r="FL496" i="23916"/>
  <c r="FT496" i="23916"/>
  <c r="GF496" i="23916"/>
  <c r="BA497" i="23916"/>
  <c r="AV492" i="23916"/>
  <c r="BL492" i="23916"/>
  <c r="CB492" i="23916"/>
  <c r="CR492" i="23916"/>
  <c r="DH492" i="23916"/>
  <c r="DX492" i="23916"/>
  <c r="EN492" i="23916"/>
  <c r="GS627" i="23916"/>
  <c r="BN371" i="23916"/>
  <c r="ER382" i="23916"/>
  <c r="GL384" i="23916"/>
  <c r="GM384" i="23916" s="1"/>
  <c r="DS387" i="23916"/>
  <c r="BM388" i="23916"/>
  <c r="GL393" i="23916"/>
  <c r="GJ395" i="23916"/>
  <c r="GK395" i="23916" s="1"/>
  <c r="GN395" i="23916"/>
  <c r="GO395" i="23916" s="1"/>
  <c r="FV400" i="23916"/>
  <c r="FW400" i="23916" s="1"/>
  <c r="FZ400" i="23916"/>
  <c r="GA400" i="23916" s="1"/>
  <c r="GD400" i="23916"/>
  <c r="GE400" i="23916" s="1"/>
  <c r="GH400" i="23916"/>
  <c r="GI400" i="23916" s="1"/>
  <c r="BM412" i="23916"/>
  <c r="DU412" i="23916"/>
  <c r="DY412" i="23916"/>
  <c r="GJ411" i="23916"/>
  <c r="GJ412" i="23916" s="1"/>
  <c r="FD411" i="23916"/>
  <c r="FD412" i="23916" s="1"/>
  <c r="GB425" i="23916"/>
  <c r="GB434" i="23916" s="1"/>
  <c r="GJ425" i="23916"/>
  <c r="FD425" i="23916"/>
  <c r="CM434" i="23916"/>
  <c r="GB445" i="23916"/>
  <c r="GB444" i="23916"/>
  <c r="GA439" i="23916"/>
  <c r="GC439" i="23916"/>
  <c r="GB449" i="23916"/>
  <c r="GJ447" i="23916"/>
  <c r="GJ824" i="23916" s="1"/>
  <c r="GM439" i="23916"/>
  <c r="GK439" i="23916"/>
  <c r="CM466" i="23916"/>
  <c r="CO438" i="23916"/>
  <c r="GT443" i="23916"/>
  <c r="GS443" i="23916"/>
  <c r="ES457" i="23916"/>
  <c r="ER457" i="23916"/>
  <c r="GB481" i="23916"/>
  <c r="FX476" i="23916"/>
  <c r="Q506" i="23916"/>
  <c r="R506" i="23916" s="1"/>
  <c r="R500" i="23916"/>
  <c r="Q503" i="23916"/>
  <c r="Q502" i="23916"/>
  <c r="R502" i="23916" s="1"/>
  <c r="Q508" i="23916"/>
  <c r="R508" i="23916" s="1"/>
  <c r="AG506" i="23916"/>
  <c r="AH506" i="23916" s="1"/>
  <c r="AH500" i="23916"/>
  <c r="AG503" i="23916"/>
  <c r="AG502" i="23916"/>
  <c r="AH502" i="23916" s="1"/>
  <c r="AG508" i="23916"/>
  <c r="AH508" i="23916" s="1"/>
  <c r="AW506" i="23916"/>
  <c r="AX506" i="23916" s="1"/>
  <c r="AW502" i="23916"/>
  <c r="AX502" i="23916" s="1"/>
  <c r="AX500" i="23916"/>
  <c r="AW508" i="23916"/>
  <c r="AX508" i="23916" s="1"/>
  <c r="AW503" i="23916"/>
  <c r="BM506" i="23916"/>
  <c r="BN506" i="23916" s="1"/>
  <c r="BM502" i="23916"/>
  <c r="BN502" i="23916" s="1"/>
  <c r="BN500" i="23916"/>
  <c r="BM508" i="23916"/>
  <c r="BN508" i="23916" s="1"/>
  <c r="BM503" i="23916"/>
  <c r="CF496" i="23916"/>
  <c r="CS506" i="23916"/>
  <c r="CS502" i="23916"/>
  <c r="CS508" i="23916"/>
  <c r="CS503" i="23916"/>
  <c r="DI506" i="23916"/>
  <c r="DJ506" i="23916" s="1"/>
  <c r="DI503" i="23916"/>
  <c r="DJ500" i="23916"/>
  <c r="DI502" i="23916"/>
  <c r="DJ502" i="23916" s="1"/>
  <c r="DI508" i="23916"/>
  <c r="DJ508" i="23916" s="1"/>
  <c r="DY506" i="23916"/>
  <c r="DZ500" i="23916"/>
  <c r="DY502" i="23916"/>
  <c r="DZ502" i="23916" s="1"/>
  <c r="DY508" i="23916"/>
  <c r="DZ508" i="23916" s="1"/>
  <c r="DY503" i="23916"/>
  <c r="GB496" i="23916"/>
  <c r="GE488" i="23916"/>
  <c r="AN358" i="23916"/>
  <c r="AR358" i="23916"/>
  <c r="FD364" i="23916"/>
  <c r="GS371" i="23916"/>
  <c r="BP627" i="23916"/>
  <c r="BO628" i="23916"/>
  <c r="CD371" i="23916"/>
  <c r="CL627" i="23916"/>
  <c r="DF371" i="23916"/>
  <c r="EF382" i="23916"/>
  <c r="EJ382" i="23916"/>
  <c r="EN382" i="23916"/>
  <c r="EH384" i="23916"/>
  <c r="EL384" i="23916"/>
  <c r="EP384" i="23916"/>
  <c r="GJ382" i="23916"/>
  <c r="GK382" i="23916" s="1"/>
  <c r="GN384" i="23916"/>
  <c r="GO384" i="23916" s="1"/>
  <c r="CO405" i="23916"/>
  <c r="GA423" i="23916"/>
  <c r="GI423" i="23916"/>
  <c r="CO426" i="23916"/>
  <c r="CC428" i="23916"/>
  <c r="CD428" i="23916" s="1"/>
  <c r="GC440" i="23916"/>
  <c r="GB448" i="23916"/>
  <c r="GE440" i="23916"/>
  <c r="FW441" i="23916"/>
  <c r="FY441" i="23916"/>
  <c r="GE441" i="23916"/>
  <c r="GG441" i="23916"/>
  <c r="GM824" i="23916"/>
  <c r="GO824" i="23916"/>
  <c r="GM443" i="23916"/>
  <c r="GJ825" i="23916"/>
  <c r="GK461" i="23916"/>
  <c r="GN825" i="23916"/>
  <c r="GO825" i="23916" s="1"/>
  <c r="GO461" i="23916"/>
  <c r="BN458" i="23916"/>
  <c r="BO453" i="23916"/>
  <c r="GF476" i="23916"/>
  <c r="GN476" i="23916"/>
  <c r="FH476" i="23916"/>
  <c r="FP476" i="23916"/>
  <c r="M506" i="23916"/>
  <c r="N506" i="23916" s="1"/>
  <c r="M508" i="23916"/>
  <c r="N508" i="23916" s="1"/>
  <c r="M503" i="23916"/>
  <c r="M502" i="23916"/>
  <c r="N502" i="23916" s="1"/>
  <c r="N500" i="23916"/>
  <c r="AC494" i="23916"/>
  <c r="AD494" i="23916" s="1"/>
  <c r="AD476" i="23916"/>
  <c r="AC497" i="23916"/>
  <c r="AD497" i="23916" s="1"/>
  <c r="AS494" i="23916"/>
  <c r="AT494" i="23916" s="1"/>
  <c r="AT476" i="23916"/>
  <c r="AS497" i="23916"/>
  <c r="AT497" i="23916" s="1"/>
  <c r="BI494" i="23916"/>
  <c r="BJ494" i="23916" s="1"/>
  <c r="BJ476" i="23916"/>
  <c r="BI497" i="23916"/>
  <c r="BJ497" i="23916" s="1"/>
  <c r="BY494" i="23916"/>
  <c r="BZ494" i="23916" s="1"/>
  <c r="BZ476" i="23916"/>
  <c r="CG494" i="23916"/>
  <c r="CH476" i="23916"/>
  <c r="CN496" i="23916"/>
  <c r="CV496" i="23916"/>
  <c r="FE496" i="23916"/>
  <c r="FH496" i="23916"/>
  <c r="FP496" i="23916"/>
  <c r="FX496" i="23916"/>
  <c r="BC497" i="23916"/>
  <c r="FH497" i="23916"/>
  <c r="EU490" i="23916"/>
  <c r="EW490" i="23916" s="1"/>
  <c r="EW502" i="23916"/>
  <c r="GO504" i="23916"/>
  <c r="EU519" i="23916"/>
  <c r="EM535" i="23916"/>
  <c r="EM537" i="23916"/>
  <c r="GO439" i="23916"/>
  <c r="GJ444" i="23916"/>
  <c r="BM444" i="23916"/>
  <c r="CM445" i="23916"/>
  <c r="DS445" i="23916"/>
  <c r="FD444" i="23916"/>
  <c r="FD449" i="23916"/>
  <c r="FE449" i="23916" s="1"/>
  <c r="CO453" i="23916"/>
  <c r="FY455" i="23916"/>
  <c r="GC455" i="23916"/>
  <c r="GG455" i="23916"/>
  <c r="GK455" i="23916"/>
  <c r="GO455" i="23916"/>
  <c r="GB458" i="23916"/>
  <c r="GJ458" i="23916"/>
  <c r="CD456" i="23916"/>
  <c r="CL456" i="23916"/>
  <c r="CN457" i="23916"/>
  <c r="FD458" i="23916"/>
  <c r="DN461" i="23916"/>
  <c r="DR461" i="23916"/>
  <c r="DV461" i="23916"/>
  <c r="DZ461" i="23916"/>
  <c r="ED461" i="23916"/>
  <c r="EH461" i="23916"/>
  <c r="EL461" i="23916"/>
  <c r="EP461" i="23916"/>
  <c r="FK469" i="23916"/>
  <c r="FO469" i="23916"/>
  <c r="FS469" i="23916"/>
  <c r="FW469" i="23916"/>
  <c r="GA469" i="23916"/>
  <c r="GE469" i="23916"/>
  <c r="GI469" i="23916"/>
  <c r="GC470" i="23916"/>
  <c r="GG470" i="23916"/>
  <c r="GK470" i="23916"/>
  <c r="GO470" i="23916"/>
  <c r="GA471" i="23916"/>
  <c r="GE471" i="23916"/>
  <c r="GI471" i="23916"/>
  <c r="GM471" i="23916"/>
  <c r="GC472" i="23916"/>
  <c r="GG472" i="23916"/>
  <c r="GK472" i="23916"/>
  <c r="GO472" i="23916"/>
  <c r="GC474" i="23916"/>
  <c r="GG474" i="23916"/>
  <c r="GK474" i="23916"/>
  <c r="GO474" i="23916"/>
  <c r="FI470" i="23916"/>
  <c r="FM470" i="23916"/>
  <c r="FQ470" i="23916"/>
  <c r="FU470" i="23916"/>
  <c r="FK472" i="23916"/>
  <c r="FO472" i="23916"/>
  <c r="FS472" i="23916"/>
  <c r="CD471" i="23916"/>
  <c r="FI474" i="23916"/>
  <c r="FM474" i="23916"/>
  <c r="FQ474" i="23916"/>
  <c r="FU474" i="23916"/>
  <c r="K476" i="23916"/>
  <c r="O476" i="23916"/>
  <c r="S476" i="23916"/>
  <c r="W476" i="23916"/>
  <c r="AA476" i="23916"/>
  <c r="AE476" i="23916"/>
  <c r="AI476" i="23916"/>
  <c r="AM476" i="23916"/>
  <c r="AQ476" i="23916"/>
  <c r="AU476" i="23916"/>
  <c r="AY476" i="23916"/>
  <c r="BC476" i="23916"/>
  <c r="BG476" i="23916"/>
  <c r="BG497" i="23916" s="1"/>
  <c r="BK476" i="23916"/>
  <c r="BO476" i="23916"/>
  <c r="BS476" i="23916"/>
  <c r="BW476" i="23916"/>
  <c r="CA476" i="23916"/>
  <c r="CE476" i="23916"/>
  <c r="CE497" i="23916" s="1"/>
  <c r="CI476" i="23916"/>
  <c r="CN475" i="23916"/>
  <c r="CR475" i="23916"/>
  <c r="FE475" i="23916"/>
  <c r="FD476" i="23916"/>
  <c r="EU479" i="23916"/>
  <c r="GB480" i="23916"/>
  <c r="FI487" i="23916"/>
  <c r="FM487" i="23916"/>
  <c r="FQ487" i="23916"/>
  <c r="FU487" i="23916"/>
  <c r="DB488" i="23916"/>
  <c r="FK488" i="23916"/>
  <c r="FO488" i="23916"/>
  <c r="GM488" i="23916"/>
  <c r="R488" i="23916"/>
  <c r="Z488" i="23916"/>
  <c r="DU601" i="23916"/>
  <c r="EG601" i="23916"/>
  <c r="EH601" i="23916" s="1"/>
  <c r="EU491" i="23916"/>
  <c r="EW491" i="23916" s="1"/>
  <c r="GL489" i="23916"/>
  <c r="GL492" i="23916" s="1"/>
  <c r="FH492" i="23916"/>
  <c r="FI492" i="23916" s="1"/>
  <c r="FL492" i="23916"/>
  <c r="FM492" i="23916" s="1"/>
  <c r="GB492" i="23916"/>
  <c r="GF492" i="23916"/>
  <c r="I494" i="23916"/>
  <c r="ES495" i="23916"/>
  <c r="G500" i="23916"/>
  <c r="O500" i="23916"/>
  <c r="S500" i="23916"/>
  <c r="AA500" i="23916"/>
  <c r="AI500" i="23916"/>
  <c r="AQ500" i="23916"/>
  <c r="AY500" i="23916"/>
  <c r="BG500" i="23916"/>
  <c r="BO500" i="23916"/>
  <c r="BW500" i="23916"/>
  <c r="CE500" i="23916"/>
  <c r="CM500" i="23916"/>
  <c r="CU500" i="23916"/>
  <c r="DC500" i="23916"/>
  <c r="DK500" i="23916"/>
  <c r="DS500" i="23916"/>
  <c r="EA500" i="23916"/>
  <c r="EI500" i="23916"/>
  <c r="FB500" i="23916"/>
  <c r="FY501" i="23916"/>
  <c r="GC501" i="23916"/>
  <c r="GG501" i="23916"/>
  <c r="GK501" i="23916"/>
  <c r="GO501" i="23916"/>
  <c r="R501" i="23916"/>
  <c r="BF504" i="23916"/>
  <c r="BP504" i="23916"/>
  <c r="DB504" i="23916"/>
  <c r="EF504" i="23916"/>
  <c r="GN523" i="23916"/>
  <c r="GP521" i="23916"/>
  <c r="GR521" i="23916" s="1"/>
  <c r="GT521" i="23916" s="1"/>
  <c r="GV521" i="23916" s="1"/>
  <c r="GX521" i="23916" s="1"/>
  <c r="EC599" i="23916"/>
  <c r="ED599" i="23916" s="1"/>
  <c r="EK599" i="23916"/>
  <c r="EL599" i="23916" s="1"/>
  <c r="DS601" i="23916"/>
  <c r="DY601" i="23916"/>
  <c r="GJ598" i="23916"/>
  <c r="GL598" i="23916"/>
  <c r="EG537" i="23916"/>
  <c r="BW822" i="23916"/>
  <c r="BX544" i="23916"/>
  <c r="GD557" i="23916"/>
  <c r="GE557" i="23916" s="1"/>
  <c r="GE556" i="23916"/>
  <c r="GL574" i="23916"/>
  <c r="GL557" i="23916"/>
  <c r="GM556" i="23916"/>
  <c r="FN570" i="23916"/>
  <c r="FR570" i="23916"/>
  <c r="GJ600" i="23916"/>
  <c r="GK600" i="23916" s="1"/>
  <c r="GM566" i="23916"/>
  <c r="GL605" i="23916"/>
  <c r="I605" i="23916"/>
  <c r="I606" i="23916" s="1"/>
  <c r="R606" i="23916" s="1"/>
  <c r="R604" i="23916"/>
  <c r="AM604" i="23916"/>
  <c r="AP602" i="23916"/>
  <c r="AX602" i="23916"/>
  <c r="N604" i="23916"/>
  <c r="BM459" i="23916"/>
  <c r="BN459" i="23916" s="1"/>
  <c r="GJ846" i="23916"/>
  <c r="GJ590" i="23916"/>
  <c r="GJ592" i="23916"/>
  <c r="FX473" i="23916"/>
  <c r="FY473" i="23916" s="1"/>
  <c r="GB473" i="23916"/>
  <c r="GC473" i="23916" s="1"/>
  <c r="GF473" i="23916"/>
  <c r="GG473" i="23916" s="1"/>
  <c r="GJ473" i="23916"/>
  <c r="GK473" i="23916" s="1"/>
  <c r="GN473" i="23916"/>
  <c r="GO473" i="23916" s="1"/>
  <c r="FH473" i="23916"/>
  <c r="FI473" i="23916" s="1"/>
  <c r="FL473" i="23916"/>
  <c r="FM473" i="23916" s="1"/>
  <c r="FP473" i="23916"/>
  <c r="FQ473" i="23916" s="1"/>
  <c r="FT473" i="23916"/>
  <c r="CO476" i="23916"/>
  <c r="CS476" i="23916"/>
  <c r="CS497" i="23916" s="1"/>
  <c r="CW476" i="23916"/>
  <c r="CW497" i="23916" s="1"/>
  <c r="DA476" i="23916"/>
  <c r="DE476" i="23916"/>
  <c r="DI476" i="23916"/>
  <c r="DM476" i="23916"/>
  <c r="DQ476" i="23916"/>
  <c r="DU476" i="23916"/>
  <c r="DY476" i="23916"/>
  <c r="EC476" i="23916"/>
  <c r="EG476" i="23916"/>
  <c r="EK476" i="23916"/>
  <c r="EO476" i="23916"/>
  <c r="FF475" i="23916"/>
  <c r="FJ475" i="23916"/>
  <c r="FN475" i="23916"/>
  <c r="FQ475" i="23916" s="1"/>
  <c r="FR475" i="23916"/>
  <c r="FU475" i="23916" s="1"/>
  <c r="FV475" i="23916"/>
  <c r="FZ475" i="23916"/>
  <c r="GD475" i="23916"/>
  <c r="GH475" i="23916"/>
  <c r="GL475" i="23916"/>
  <c r="GO475" i="23916" s="1"/>
  <c r="CL471" i="23916"/>
  <c r="EO597" i="23916"/>
  <c r="CT488" i="23916"/>
  <c r="FP488" i="23916"/>
  <c r="FP492" i="23916" s="1"/>
  <c r="FT488" i="23916"/>
  <c r="FX488" i="23916"/>
  <c r="FX492" i="23916" s="1"/>
  <c r="EQ601" i="23916"/>
  <c r="CC492" i="23916"/>
  <c r="CD492" i="23916" s="1"/>
  <c r="CG492" i="23916"/>
  <c r="CH492" i="23916" s="1"/>
  <c r="CK492" i="23916"/>
  <c r="CK500" i="23916" s="1"/>
  <c r="EO492" i="23916"/>
  <c r="EP492" i="23916" s="1"/>
  <c r="M496" i="23916"/>
  <c r="N496" i="23916" s="1"/>
  <c r="Q496" i="23916"/>
  <c r="U496" i="23916"/>
  <c r="Y496" i="23916"/>
  <c r="Z496" i="23916" s="1"/>
  <c r="AC496" i="23916"/>
  <c r="AD496" i="23916" s="1"/>
  <c r="AG496" i="23916"/>
  <c r="AK496" i="23916"/>
  <c r="AO496" i="23916"/>
  <c r="AP496" i="23916" s="1"/>
  <c r="AS496" i="23916"/>
  <c r="AT496" i="23916" s="1"/>
  <c r="AW496" i="23916"/>
  <c r="BA496" i="23916"/>
  <c r="BE496" i="23916"/>
  <c r="BF496" i="23916" s="1"/>
  <c r="BI496" i="23916"/>
  <c r="BJ496" i="23916" s="1"/>
  <c r="BM496" i="23916"/>
  <c r="BQ496" i="23916"/>
  <c r="BU496" i="23916"/>
  <c r="BV496" i="23916" s="1"/>
  <c r="BY496" i="23916"/>
  <c r="BZ496" i="23916" s="1"/>
  <c r="CG496" i="23916"/>
  <c r="CK496" i="23916"/>
  <c r="CL496" i="23916" s="1"/>
  <c r="CO496" i="23916"/>
  <c r="CP496" i="23916" s="1"/>
  <c r="CS496" i="23916"/>
  <c r="CT496" i="23916" s="1"/>
  <c r="CW496" i="23916"/>
  <c r="DA496" i="23916"/>
  <c r="DE496" i="23916"/>
  <c r="DF496" i="23916" s="1"/>
  <c r="DI496" i="23916"/>
  <c r="DJ496" i="23916" s="1"/>
  <c r="DM496" i="23916"/>
  <c r="DQ496" i="23916"/>
  <c r="DU496" i="23916"/>
  <c r="DV496" i="23916" s="1"/>
  <c r="DY496" i="23916"/>
  <c r="DZ496" i="23916" s="1"/>
  <c r="EC496" i="23916"/>
  <c r="EG496" i="23916"/>
  <c r="EK496" i="23916"/>
  <c r="EL496" i="23916" s="1"/>
  <c r="EO496" i="23916"/>
  <c r="EP496" i="23916" s="1"/>
  <c r="BY497" i="23916"/>
  <c r="BZ497" i="23916" s="1"/>
  <c r="CC497" i="23916"/>
  <c r="CG497" i="23916"/>
  <c r="CH497" i="23916" s="1"/>
  <c r="DQ497" i="23916"/>
  <c r="FF496" i="23916"/>
  <c r="FG496" i="23916" s="1"/>
  <c r="FJ496" i="23916"/>
  <c r="FK496" i="23916" s="1"/>
  <c r="FN496" i="23916"/>
  <c r="FO496" i="23916" s="1"/>
  <c r="FR496" i="23916"/>
  <c r="FS496" i="23916" s="1"/>
  <c r="E496" i="23916"/>
  <c r="I496" i="23916"/>
  <c r="U500" i="23916"/>
  <c r="AC500" i="23916"/>
  <c r="AK500" i="23916"/>
  <c r="AS500" i="23916"/>
  <c r="BA500" i="23916"/>
  <c r="BI500" i="23916"/>
  <c r="BQ500" i="23916"/>
  <c r="BY500" i="23916"/>
  <c r="CG500" i="23916"/>
  <c r="CO500" i="23916"/>
  <c r="CW500" i="23916"/>
  <c r="DE500" i="23916"/>
  <c r="DM500" i="23916"/>
  <c r="DU500" i="23916"/>
  <c r="EC500" i="23916"/>
  <c r="EK500" i="23916"/>
  <c r="FD500" i="23916"/>
  <c r="BL504" i="23916"/>
  <c r="GF504" i="23916"/>
  <c r="GG504" i="23916" s="1"/>
  <c r="GJ504" i="23916"/>
  <c r="GK504" i="23916" s="1"/>
  <c r="EE599" i="23916"/>
  <c r="EF599" i="23916" s="1"/>
  <c r="EA601" i="23916"/>
  <c r="EI601" i="23916"/>
  <c r="EM601" i="23916"/>
  <c r="ES526" i="23916"/>
  <c r="GJ599" i="23916"/>
  <c r="GK599" i="23916" s="1"/>
  <c r="GN528" i="23916"/>
  <c r="EO541" i="23916"/>
  <c r="EO539" i="23916"/>
  <c r="FU543" i="23916"/>
  <c r="BO822" i="23916"/>
  <c r="BP544" i="23916"/>
  <c r="FF557" i="23916"/>
  <c r="FG557" i="23916" s="1"/>
  <c r="FG556" i="23916"/>
  <c r="FN557" i="23916"/>
  <c r="FD571" i="23916"/>
  <c r="FD568" i="23916"/>
  <c r="FE557" i="23916"/>
  <c r="GG557" i="23916"/>
  <c r="FB571" i="23916"/>
  <c r="FB568" i="23916"/>
  <c r="FX571" i="23916"/>
  <c r="FY571" i="23916" s="1"/>
  <c r="GF571" i="23916"/>
  <c r="GJ597" i="23916"/>
  <c r="GQ570" i="23916"/>
  <c r="GZ570" i="23916"/>
  <c r="EI602" i="23916"/>
  <c r="V602" i="23916"/>
  <c r="AD602" i="23916"/>
  <c r="AL602" i="23916"/>
  <c r="CZ602" i="23916"/>
  <c r="DH602" i="23916"/>
  <c r="DP602" i="23916"/>
  <c r="DU602" i="23916"/>
  <c r="DV602" i="23916" s="1"/>
  <c r="DY602" i="23916"/>
  <c r="DZ602" i="23916" s="1"/>
  <c r="R605" i="23916"/>
  <c r="GO605" i="23916"/>
  <c r="N605" i="23916"/>
  <c r="GK441" i="23916"/>
  <c r="GM441" i="23916"/>
  <c r="FD445" i="23916"/>
  <c r="ES454" i="23916"/>
  <c r="FW455" i="23916"/>
  <c r="GE455" i="23916"/>
  <c r="GI455" i="23916"/>
  <c r="GM455" i="23916"/>
  <c r="BN457" i="23916"/>
  <c r="BR457" i="23916"/>
  <c r="CH457" i="23916"/>
  <c r="CX457" i="23916"/>
  <c r="DN457" i="23916"/>
  <c r="ED457" i="23916"/>
  <c r="EP457" i="23916"/>
  <c r="DP461" i="23916"/>
  <c r="DT461" i="23916"/>
  <c r="DX461" i="23916"/>
  <c r="EB461" i="23916"/>
  <c r="EF461" i="23916"/>
  <c r="EJ461" i="23916"/>
  <c r="EN461" i="23916"/>
  <c r="FD462" i="23916"/>
  <c r="CC461" i="23916"/>
  <c r="EQ593" i="23916"/>
  <c r="EU474" i="23916"/>
  <c r="FY469" i="23916"/>
  <c r="GC469" i="23916"/>
  <c r="GG469" i="23916"/>
  <c r="GK469" i="23916"/>
  <c r="GO469" i="23916"/>
  <c r="GA470" i="23916"/>
  <c r="GE470" i="23916"/>
  <c r="GI470" i="23916"/>
  <c r="GM470" i="23916"/>
  <c r="GK471" i="23916"/>
  <c r="FW472" i="23916"/>
  <c r="GM472" i="23916"/>
  <c r="L475" i="23916"/>
  <c r="P475" i="23916"/>
  <c r="T475" i="23916"/>
  <c r="X475" i="23916"/>
  <c r="AB475" i="23916"/>
  <c r="AF475" i="23916"/>
  <c r="AJ475" i="23916"/>
  <c r="AN475" i="23916"/>
  <c r="AR475" i="23916"/>
  <c r="AV475" i="23916"/>
  <c r="AZ475" i="23916"/>
  <c r="BD475" i="23916"/>
  <c r="BH475" i="23916"/>
  <c r="BL475" i="23916"/>
  <c r="BP475" i="23916"/>
  <c r="BT475" i="23916"/>
  <c r="BX475" i="23916"/>
  <c r="CB475" i="23916"/>
  <c r="CF475" i="23916"/>
  <c r="CJ475" i="23916"/>
  <c r="M476" i="23916"/>
  <c r="Q476" i="23916"/>
  <c r="Y476" i="23916"/>
  <c r="AG476" i="23916"/>
  <c r="AO476" i="23916"/>
  <c r="AW476" i="23916"/>
  <c r="AW497" i="23916" s="1"/>
  <c r="BE476" i="23916"/>
  <c r="BM476" i="23916"/>
  <c r="BU476" i="23916"/>
  <c r="CK476" i="23916"/>
  <c r="CK497" i="23916" s="1"/>
  <c r="CL497" i="23916" s="1"/>
  <c r="CT475" i="23916"/>
  <c r="DB475" i="23916"/>
  <c r="DJ475" i="23916"/>
  <c r="DR475" i="23916"/>
  <c r="DZ475" i="23916"/>
  <c r="EH475" i="23916"/>
  <c r="EP475" i="23916"/>
  <c r="C476" i="23916"/>
  <c r="G476" i="23916"/>
  <c r="FB476" i="23916"/>
  <c r="FE480" i="23916"/>
  <c r="EP487" i="23916"/>
  <c r="GN487" i="23916"/>
  <c r="AV488" i="23916"/>
  <c r="AZ488" i="23916"/>
  <c r="BD488" i="23916"/>
  <c r="BH488" i="23916"/>
  <c r="BL488" i="23916"/>
  <c r="BP488" i="23916"/>
  <c r="CH488" i="23916"/>
  <c r="FI488" i="23916"/>
  <c r="FM488" i="23916"/>
  <c r="GC488" i="23916"/>
  <c r="GG488" i="23916"/>
  <c r="GK488" i="23916"/>
  <c r="GO488" i="23916"/>
  <c r="ER489" i="23916"/>
  <c r="E494" i="23916"/>
  <c r="FH494" i="23916"/>
  <c r="FL494" i="23916"/>
  <c r="FP494" i="23916"/>
  <c r="FT494" i="23916"/>
  <c r="FX494" i="23916"/>
  <c r="GB494" i="23916"/>
  <c r="GF494" i="23916"/>
  <c r="C500" i="23916"/>
  <c r="K500" i="23916"/>
  <c r="W500" i="23916"/>
  <c r="AE500" i="23916"/>
  <c r="AM500" i="23916"/>
  <c r="AU500" i="23916"/>
  <c r="BC500" i="23916"/>
  <c r="BK500" i="23916"/>
  <c r="BS500" i="23916"/>
  <c r="CA500" i="23916"/>
  <c r="CI500" i="23916"/>
  <c r="CQ500" i="23916"/>
  <c r="CY500" i="23916"/>
  <c r="DG500" i="23916"/>
  <c r="DO500" i="23916"/>
  <c r="DW500" i="23916"/>
  <c r="EE500" i="23916"/>
  <c r="EM500" i="23916"/>
  <c r="FW501" i="23916"/>
  <c r="FE501" i="23916"/>
  <c r="FI501" i="23916"/>
  <c r="FM501" i="23916"/>
  <c r="FQ501" i="23916"/>
  <c r="FU501" i="23916"/>
  <c r="BH504" i="23916"/>
  <c r="DD504" i="23916"/>
  <c r="ED504" i="23916"/>
  <c r="DU537" i="23916"/>
  <c r="DU541" i="23916" s="1"/>
  <c r="DU535" i="23916"/>
  <c r="EK537" i="23916"/>
  <c r="EK535" i="23916"/>
  <c r="EO599" i="23916"/>
  <c r="EP599" i="23916" s="1"/>
  <c r="EC601" i="23916"/>
  <c r="ED601" i="23916" s="1"/>
  <c r="EI531" i="23916"/>
  <c r="EI533" i="23916" s="1"/>
  <c r="GL530" i="23916"/>
  <c r="GL601" i="23916" s="1"/>
  <c r="DS537" i="23916"/>
  <c r="DS541" i="23916" s="1"/>
  <c r="ER607" i="23916"/>
  <c r="GG543" i="23916"/>
  <c r="DO822" i="23916"/>
  <c r="DP544" i="23916"/>
  <c r="FZ557" i="23916"/>
  <c r="GA557" i="23916" s="1"/>
  <c r="GA556" i="23916"/>
  <c r="GH557" i="23916"/>
  <c r="GI557" i="23916" s="1"/>
  <c r="GI556" i="23916"/>
  <c r="GJ568" i="23916"/>
  <c r="GK557" i="23916"/>
  <c r="FF568" i="23916"/>
  <c r="FG568" i="23916" s="1"/>
  <c r="GL600" i="23916"/>
  <c r="GM600" i="23916" s="1"/>
  <c r="GZ566" i="23916"/>
  <c r="GQ566" i="23916"/>
  <c r="GO566" i="23916"/>
  <c r="GJ605" i="23916"/>
  <c r="GM593" i="23916"/>
  <c r="V604" i="23916"/>
  <c r="U605" i="23916"/>
  <c r="AD604" i="23916"/>
  <c r="AC605" i="23916"/>
  <c r="AH604" i="23916"/>
  <c r="AG605" i="23916"/>
  <c r="AL604" i="23916"/>
  <c r="AK605" i="23916"/>
  <c r="AP604" i="23916"/>
  <c r="AO605" i="23916"/>
  <c r="DS602" i="23916"/>
  <c r="GO600" i="23916"/>
  <c r="FM601" i="23916"/>
  <c r="FO601" i="23916"/>
  <c r="FQ601" i="23916"/>
  <c r="FS601" i="23916"/>
  <c r="FU601" i="23916"/>
  <c r="Z605" i="23916"/>
  <c r="L604" i="23916"/>
  <c r="DU453" i="23916"/>
  <c r="FZ846" i="23916"/>
  <c r="GD846" i="23916"/>
  <c r="GL846" i="23916"/>
  <c r="GM846" i="23916" s="1"/>
  <c r="GJ591" i="23916"/>
  <c r="GK591" i="23916" s="1"/>
  <c r="GJ593" i="23916"/>
  <c r="GK593" i="23916" s="1"/>
  <c r="CC473" i="23916"/>
  <c r="CD473" i="23916" s="1"/>
  <c r="CM476" i="23916"/>
  <c r="CQ476" i="23916"/>
  <c r="CU476" i="23916"/>
  <c r="CY476" i="23916"/>
  <c r="DC476" i="23916"/>
  <c r="DG476" i="23916"/>
  <c r="DK476" i="23916"/>
  <c r="DO476" i="23916"/>
  <c r="DO497" i="23916" s="1"/>
  <c r="DS476" i="23916"/>
  <c r="DW476" i="23916"/>
  <c r="EA476" i="23916"/>
  <c r="EE476" i="23916"/>
  <c r="EI476" i="23916"/>
  <c r="EM476" i="23916"/>
  <c r="GJ475" i="23916"/>
  <c r="FY487" i="23916"/>
  <c r="GC487" i="23916"/>
  <c r="GG487" i="23916"/>
  <c r="GK487" i="23916"/>
  <c r="CR488" i="23916"/>
  <c r="DN488" i="23916"/>
  <c r="DR488" i="23916"/>
  <c r="DV488" i="23916"/>
  <c r="FR488" i="23916"/>
  <c r="FZ488" i="23916"/>
  <c r="AN489" i="23916"/>
  <c r="AR489" i="23916"/>
  <c r="AV489" i="23916"/>
  <c r="AZ489" i="23916"/>
  <c r="BD489" i="23916"/>
  <c r="BH489" i="23916"/>
  <c r="BL489" i="23916"/>
  <c r="BP489" i="23916"/>
  <c r="BT489" i="23916"/>
  <c r="BX489" i="23916"/>
  <c r="CB489" i="23916"/>
  <c r="CF489" i="23916"/>
  <c r="CJ489" i="23916"/>
  <c r="CN489" i="23916"/>
  <c r="CR489" i="23916"/>
  <c r="CV489" i="23916"/>
  <c r="CZ489" i="23916"/>
  <c r="DD489" i="23916"/>
  <c r="DH489" i="23916"/>
  <c r="DL489" i="23916"/>
  <c r="DP489" i="23916"/>
  <c r="DT489" i="23916"/>
  <c r="DX489" i="23916"/>
  <c r="EB489" i="23916"/>
  <c r="EF489" i="23916"/>
  <c r="EJ489" i="23916"/>
  <c r="EN489" i="23916"/>
  <c r="FN489" i="23916"/>
  <c r="FR489" i="23916"/>
  <c r="FU489" i="23916" s="1"/>
  <c r="FV489" i="23916"/>
  <c r="FY489" i="23916" s="1"/>
  <c r="FZ489" i="23916"/>
  <c r="GC489" i="23916" s="1"/>
  <c r="GD489" i="23916"/>
  <c r="GH489" i="23916"/>
  <c r="GJ489" i="23916"/>
  <c r="GK489" i="23916" s="1"/>
  <c r="ES489" i="23916"/>
  <c r="GN489" i="23916"/>
  <c r="GO489" i="23916" s="1"/>
  <c r="EO494" i="23916"/>
  <c r="EL504" i="23916"/>
  <c r="ES528" i="23916"/>
  <c r="EQ523" i="23916"/>
  <c r="GJ533" i="23916"/>
  <c r="GL528" i="23916"/>
  <c r="GL599" i="23916" s="1"/>
  <c r="GM599" i="23916" s="1"/>
  <c r="EA531" i="23916"/>
  <c r="EA533" i="23916" s="1"/>
  <c r="EA599" i="23916"/>
  <c r="EA602" i="23916" s="1"/>
  <c r="EB602" i="23916" s="1"/>
  <c r="EJ599" i="23916"/>
  <c r="GN599" i="23916"/>
  <c r="GO599" i="23916" s="1"/>
  <c r="EQ600" i="23916"/>
  <c r="ES529" i="23916"/>
  <c r="GJ530" i="23916"/>
  <c r="GJ601" i="23916" s="1"/>
  <c r="GK601" i="23916" s="1"/>
  <c r="DW531" i="23916"/>
  <c r="DW533" i="23916" s="1"/>
  <c r="DW601" i="23916"/>
  <c r="EE601" i="23916"/>
  <c r="EF601" i="23916" s="1"/>
  <c r="EK601" i="23916"/>
  <c r="EL601" i="23916" s="1"/>
  <c r="EO601" i="23916"/>
  <c r="EP601" i="23916" s="1"/>
  <c r="EU530" i="23916"/>
  <c r="GJ531" i="23916"/>
  <c r="GN531" i="23916"/>
  <c r="BK822" i="23916"/>
  <c r="BL544" i="23916"/>
  <c r="BS822" i="23916"/>
  <c r="BT544" i="23916"/>
  <c r="R544" i="23916"/>
  <c r="GA554" i="23916"/>
  <c r="GE554" i="23916"/>
  <c r="GI554" i="23916"/>
  <c r="GM554" i="23916"/>
  <c r="FJ557" i="23916"/>
  <c r="FR557" i="23916"/>
  <c r="GQ557" i="23916"/>
  <c r="GN568" i="23916"/>
  <c r="GZ557" i="23916"/>
  <c r="GO557" i="23916"/>
  <c r="GD568" i="23916"/>
  <c r="FF571" i="23916"/>
  <c r="FG571" i="23916" s="1"/>
  <c r="FJ571" i="23916"/>
  <c r="FN571" i="23916"/>
  <c r="FZ571" i="23916"/>
  <c r="GA571" i="23916" s="1"/>
  <c r="GD571" i="23916"/>
  <c r="GE571" i="23916" s="1"/>
  <c r="GH571" i="23916"/>
  <c r="GI571" i="23916" s="1"/>
  <c r="GL597" i="23916"/>
  <c r="GM591" i="23916"/>
  <c r="G605" i="23916"/>
  <c r="P604" i="23916"/>
  <c r="EC602" i="23916"/>
  <c r="ED602" i="23916" s="1"/>
  <c r="EG602" i="23916"/>
  <c r="EH602" i="23916" s="1"/>
  <c r="AH602" i="23916"/>
  <c r="CX602" i="23916"/>
  <c r="DB602" i="23916"/>
  <c r="DF602" i="23916"/>
  <c r="DJ602" i="23916"/>
  <c r="DN602" i="23916"/>
  <c r="DR602" i="23916"/>
  <c r="DW602" i="23916"/>
  <c r="DX602" i="23916" s="1"/>
  <c r="L605" i="23916"/>
  <c r="ES522" i="23916"/>
  <c r="EU522" i="23916" s="1"/>
  <c r="EW522" i="23916" s="1"/>
  <c r="GP520" i="23916"/>
  <c r="GR520" i="23916" s="1"/>
  <c r="GT520" i="23916" s="1"/>
  <c r="GV520" i="23916" s="1"/>
  <c r="GX520" i="23916" s="1"/>
  <c r="DY531" i="23916"/>
  <c r="DY533" i="23916" s="1"/>
  <c r="EC531" i="23916"/>
  <c r="EC533" i="23916" s="1"/>
  <c r="EQ531" i="23916"/>
  <c r="EU527" i="23916"/>
  <c r="EU538" i="23916"/>
  <c r="EW538" i="23916" s="1"/>
  <c r="N541" i="23916"/>
  <c r="R541" i="23916"/>
  <c r="X541" i="23916"/>
  <c r="FH541" i="23916"/>
  <c r="FT819" i="23916"/>
  <c r="FT623" i="23916"/>
  <c r="FY541" i="23916"/>
  <c r="GD819" i="23916"/>
  <c r="GD623" i="23916"/>
  <c r="GE623" i="23916" s="1"/>
  <c r="GD624" i="23916"/>
  <c r="GH819" i="23916"/>
  <c r="GH623" i="23916"/>
  <c r="GH624" i="23916"/>
  <c r="GC542" i="23916"/>
  <c r="BL543" i="23916"/>
  <c r="BP543" i="23916"/>
  <c r="BV543" i="23916"/>
  <c r="CR627" i="23916"/>
  <c r="CJ627" i="23916"/>
  <c r="DF543" i="23916"/>
  <c r="DT627" i="23916"/>
  <c r="DL627" i="23916"/>
  <c r="DP543" i="23916"/>
  <c r="EJ543" i="23916"/>
  <c r="EX627" i="23916"/>
  <c r="EP627" i="23916"/>
  <c r="ER543" i="23916"/>
  <c r="FV543" i="23916"/>
  <c r="FW543" i="23916" s="1"/>
  <c r="FZ543" i="23916"/>
  <c r="GH543" i="23916"/>
  <c r="GK371" i="23916" s="1"/>
  <c r="AF544" i="23916"/>
  <c r="AJ544" i="23916"/>
  <c r="AN544" i="23916"/>
  <c r="AR544" i="23916"/>
  <c r="AV544" i="23916"/>
  <c r="AZ544" i="23916"/>
  <c r="BD544" i="23916"/>
  <c r="BH544" i="23916"/>
  <c r="CB544" i="23916"/>
  <c r="CF544" i="23916"/>
  <c r="CJ544" i="23916"/>
  <c r="CN544" i="23916"/>
  <c r="CR544" i="23916"/>
  <c r="CV544" i="23916"/>
  <c r="CZ544" i="23916"/>
  <c r="DD544" i="23916"/>
  <c r="DH544" i="23916"/>
  <c r="DL544" i="23916"/>
  <c r="FD545" i="23916"/>
  <c r="FE545" i="23916" s="1"/>
  <c r="E545" i="23916"/>
  <c r="N545" i="23916" s="1"/>
  <c r="I545" i="23916"/>
  <c r="R545" i="23916" s="1"/>
  <c r="FX847" i="23916"/>
  <c r="GB847" i="23916"/>
  <c r="GF847" i="23916"/>
  <c r="GO551" i="23916"/>
  <c r="GN554" i="23916"/>
  <c r="GO555" i="23916"/>
  <c r="FG552" i="23916"/>
  <c r="FK552" i="23916"/>
  <c r="FO552" i="23916"/>
  <c r="FS552" i="23916"/>
  <c r="FU555" i="23916"/>
  <c r="GZ551" i="23916"/>
  <c r="GZ553" i="23916"/>
  <c r="GZ555" i="23916"/>
  <c r="FW560" i="23916"/>
  <c r="GA560" i="23916"/>
  <c r="GE560" i="23916"/>
  <c r="GI560" i="23916"/>
  <c r="FQ562" i="23916"/>
  <c r="FU562" i="23916"/>
  <c r="FY562" i="23916"/>
  <c r="GC562" i="23916"/>
  <c r="GG562" i="23916"/>
  <c r="FG560" i="23916"/>
  <c r="FI561" i="23916"/>
  <c r="GO561" i="23916"/>
  <c r="FD570" i="23916"/>
  <c r="FX570" i="23916"/>
  <c r="GB570" i="23916"/>
  <c r="GF570" i="23916"/>
  <c r="GJ570" i="23916"/>
  <c r="GL571" i="23916"/>
  <c r="FB570" i="23916"/>
  <c r="FB574" i="23916"/>
  <c r="FR627" i="23916"/>
  <c r="GZ580" i="23916"/>
  <c r="EK864" i="23916"/>
  <c r="EO864" i="23916"/>
  <c r="FM590" i="23916"/>
  <c r="FQ590" i="23916"/>
  <c r="FU590" i="23916"/>
  <c r="FY590" i="23916"/>
  <c r="GC590" i="23916"/>
  <c r="GG590" i="23916"/>
  <c r="GC592" i="23916"/>
  <c r="GG592" i="23916"/>
  <c r="GO592" i="23916"/>
  <c r="FQ592" i="23916"/>
  <c r="FU592" i="23916"/>
  <c r="FY592" i="23916"/>
  <c r="DU864" i="23916"/>
  <c r="DW864" i="23916"/>
  <c r="DY864" i="23916"/>
  <c r="EA864" i="23916"/>
  <c r="AS867" i="23916"/>
  <c r="FK597" i="23916"/>
  <c r="FO597" i="23916"/>
  <c r="FS597" i="23916"/>
  <c r="FW597" i="23916"/>
  <c r="GA597" i="23916"/>
  <c r="FS598" i="23916"/>
  <c r="FW598" i="23916"/>
  <c r="GE597" i="23916"/>
  <c r="GI597" i="23916"/>
  <c r="GE598" i="23916"/>
  <c r="GI598" i="23916"/>
  <c r="CD598" i="23916"/>
  <c r="FX600" i="23916"/>
  <c r="GB601" i="23916"/>
  <c r="GC601" i="23916" s="1"/>
  <c r="GF601" i="23916"/>
  <c r="GG601" i="23916" s="1"/>
  <c r="BJ598" i="23916"/>
  <c r="BN598" i="23916"/>
  <c r="BR598" i="23916"/>
  <c r="BW602" i="23916"/>
  <c r="BX602" i="23916" s="1"/>
  <c r="CA602" i="23916"/>
  <c r="CB602" i="23916" s="1"/>
  <c r="CE602" i="23916"/>
  <c r="CF602" i="23916" s="1"/>
  <c r="CI602" i="23916"/>
  <c r="CU602" i="23916"/>
  <c r="CV602" i="23916" s="1"/>
  <c r="DK602" i="23916"/>
  <c r="DL602" i="23916" s="1"/>
  <c r="AW604" i="23916"/>
  <c r="BI604" i="23916"/>
  <c r="BM604" i="23916"/>
  <c r="BQ604" i="23916"/>
  <c r="CS604" i="23916"/>
  <c r="DA604" i="23916"/>
  <c r="DI604" i="23916"/>
  <c r="DQ604" i="23916"/>
  <c r="GG605" i="23916"/>
  <c r="BH647" i="23916"/>
  <c r="BL647" i="23916"/>
  <c r="BP647" i="23916"/>
  <c r="BT647" i="23916"/>
  <c r="BG652" i="23916"/>
  <c r="BH618" i="23916"/>
  <c r="BX618" i="23916"/>
  <c r="BJ619" i="23916"/>
  <c r="EB625" i="23916"/>
  <c r="GP625" i="23916"/>
  <c r="ER625" i="23916"/>
  <c r="BK658" i="23916"/>
  <c r="BL624" i="23916"/>
  <c r="CB624" i="23916"/>
  <c r="M829" i="23916"/>
  <c r="N628" i="23916"/>
  <c r="S829" i="23916"/>
  <c r="T628" i="23916"/>
  <c r="AC829" i="23916"/>
  <c r="AD628" i="23916"/>
  <c r="AI829" i="23916"/>
  <c r="AJ628" i="23916"/>
  <c r="AU829" i="23916"/>
  <c r="AV628" i="23916"/>
  <c r="BV627" i="23916"/>
  <c r="BT639" i="23916"/>
  <c r="BS640" i="23916"/>
  <c r="FE639" i="23916"/>
  <c r="FB640" i="23916"/>
  <c r="FJ640" i="23916"/>
  <c r="K690" i="23916"/>
  <c r="K682" i="23916"/>
  <c r="L640" i="23916"/>
  <c r="U690" i="23916"/>
  <c r="V640" i="23916"/>
  <c r="AA690" i="23916"/>
  <c r="AB640" i="23916"/>
  <c r="AO690" i="23916"/>
  <c r="BA690" i="23916"/>
  <c r="BB640" i="23916"/>
  <c r="FT640" i="23916"/>
  <c r="FU639" i="23916"/>
  <c r="BQ690" i="23916"/>
  <c r="BR640" i="23916"/>
  <c r="FZ819" i="23916"/>
  <c r="FZ623" i="23916"/>
  <c r="ET627" i="23916"/>
  <c r="EL627" i="23916"/>
  <c r="GW542" i="23916"/>
  <c r="Y544" i="23916"/>
  <c r="BM544" i="23916"/>
  <c r="CO544" i="23916"/>
  <c r="DA544" i="23916"/>
  <c r="Y545" i="23916"/>
  <c r="FR544" i="23916"/>
  <c r="FV544" i="23916"/>
  <c r="FZ544" i="23916"/>
  <c r="GD544" i="23916"/>
  <c r="GH544" i="23916"/>
  <c r="C544" i="23916"/>
  <c r="L544" i="23916" s="1"/>
  <c r="G544" i="23916"/>
  <c r="FH554" i="23916"/>
  <c r="FI554" i="23916" s="1"/>
  <c r="FL554" i="23916"/>
  <c r="FM554" i="23916" s="1"/>
  <c r="FP554" i="23916"/>
  <c r="FQ554" i="23916" s="1"/>
  <c r="FT554" i="23916"/>
  <c r="FH556" i="23916"/>
  <c r="FH570" i="23916" s="1"/>
  <c r="FI570" i="23916" s="1"/>
  <c r="FL556" i="23916"/>
  <c r="FO556" i="23916" s="1"/>
  <c r="FP556" i="23916"/>
  <c r="FP570" i="23916" s="1"/>
  <c r="FQ570" i="23916" s="1"/>
  <c r="FT556" i="23916"/>
  <c r="GQ556" i="23916"/>
  <c r="FF566" i="23916"/>
  <c r="FG566" i="23916" s="1"/>
  <c r="FJ566" i="23916"/>
  <c r="FK566" i="23916" s="1"/>
  <c r="FN566" i="23916"/>
  <c r="FO566" i="23916" s="1"/>
  <c r="FR566" i="23916"/>
  <c r="FS566" i="23916" s="1"/>
  <c r="FV566" i="23916"/>
  <c r="FW566" i="23916" s="1"/>
  <c r="FZ566" i="23916"/>
  <c r="GA566" i="23916" s="1"/>
  <c r="GD566" i="23916"/>
  <c r="GE566" i="23916" s="1"/>
  <c r="GH566" i="23916"/>
  <c r="GI566" i="23916" s="1"/>
  <c r="FX568" i="23916"/>
  <c r="FY568" i="23916" s="1"/>
  <c r="GB568" i="23916"/>
  <c r="GF568" i="23916"/>
  <c r="GG568" i="23916" s="1"/>
  <c r="FD574" i="23916"/>
  <c r="FX574" i="23916"/>
  <c r="GB574" i="23916"/>
  <c r="GF574" i="23916"/>
  <c r="GJ574" i="23916"/>
  <c r="FX627" i="23916"/>
  <c r="GF627" i="23916"/>
  <c r="GJ627" i="23916"/>
  <c r="GF581" i="23916"/>
  <c r="DS864" i="23916"/>
  <c r="R594" i="23916"/>
  <c r="FL594" i="23916"/>
  <c r="FP594" i="23916"/>
  <c r="FT594" i="23916"/>
  <c r="FX594" i="23916"/>
  <c r="GB594" i="23916"/>
  <c r="GF594" i="23916"/>
  <c r="FL599" i="23916"/>
  <c r="FM599" i="23916" s="1"/>
  <c r="FP599" i="23916"/>
  <c r="FQ599" i="23916" s="1"/>
  <c r="FT599" i="23916"/>
  <c r="FU599" i="23916" s="1"/>
  <c r="FX599" i="23916"/>
  <c r="FX602" i="23916" s="1"/>
  <c r="AP598" i="23916"/>
  <c r="AT598" i="23916"/>
  <c r="AX598" i="23916"/>
  <c r="BB598" i="23916"/>
  <c r="BX598" i="23916"/>
  <c r="CF598" i="23916"/>
  <c r="CJ598" i="23916"/>
  <c r="CL598" i="23916"/>
  <c r="CN598" i="23916"/>
  <c r="CR598" i="23916"/>
  <c r="S602" i="23916"/>
  <c r="T602" i="23916" s="1"/>
  <c r="W602" i="23916"/>
  <c r="X602" i="23916" s="1"/>
  <c r="AA602" i="23916"/>
  <c r="AB602" i="23916" s="1"/>
  <c r="AE602" i="23916"/>
  <c r="AI602" i="23916"/>
  <c r="AQ602" i="23916"/>
  <c r="AR602" i="23916" s="1"/>
  <c r="AU602" i="23916"/>
  <c r="AV602" i="23916" s="1"/>
  <c r="AY602" i="23916"/>
  <c r="BC602" i="23916"/>
  <c r="BN599" i="23916"/>
  <c r="CE604" i="23916"/>
  <c r="CM604" i="23916"/>
  <c r="CU604" i="23916"/>
  <c r="DC604" i="23916"/>
  <c r="DK604" i="23916"/>
  <c r="V608" i="23916"/>
  <c r="BC652" i="23916"/>
  <c r="BD652" i="23916" s="1"/>
  <c r="BD618" i="23916"/>
  <c r="BS652" i="23916"/>
  <c r="BT618" i="23916"/>
  <c r="CJ618" i="23916"/>
  <c r="DX625" i="23916"/>
  <c r="EN625" i="23916"/>
  <c r="BG658" i="23916"/>
  <c r="BH624" i="23916"/>
  <c r="BX624" i="23916"/>
  <c r="GC623" i="23916"/>
  <c r="O829" i="23916"/>
  <c r="Y829" i="23916"/>
  <c r="Z628" i="23916"/>
  <c r="AE829" i="23916"/>
  <c r="AF628" i="23916"/>
  <c r="AQ829" i="23916"/>
  <c r="AR628" i="23916"/>
  <c r="DV627" i="23916"/>
  <c r="FF640" i="23916"/>
  <c r="FG639" i="23916"/>
  <c r="Q690" i="23916"/>
  <c r="R640" i="23916"/>
  <c r="W690" i="23916"/>
  <c r="X640" i="23916"/>
  <c r="AK690" i="23916"/>
  <c r="AL640" i="23916"/>
  <c r="FP640" i="23916"/>
  <c r="AW690" i="23916"/>
  <c r="AX640" i="23916"/>
  <c r="BC690" i="23916"/>
  <c r="BC642" i="23916"/>
  <c r="BD640" i="23916"/>
  <c r="BM690" i="23916"/>
  <c r="BM642" i="23916"/>
  <c r="BN640" i="23916"/>
  <c r="C690" i="23916"/>
  <c r="C682" i="23916"/>
  <c r="EE531" i="23916"/>
  <c r="EE533" i="23916" s="1"/>
  <c r="EU536" i="23916"/>
  <c r="P541" i="23916"/>
  <c r="T541" i="23916"/>
  <c r="Z541" i="23916"/>
  <c r="AH541" i="23916"/>
  <c r="FF541" i="23916"/>
  <c r="FJ541" i="23916"/>
  <c r="FR819" i="23916"/>
  <c r="FR623" i="23916"/>
  <c r="GA541" i="23916"/>
  <c r="GF819" i="23916"/>
  <c r="GF624" i="23916"/>
  <c r="GF623" i="23916"/>
  <c r="GG623" i="23916" s="1"/>
  <c r="ES542" i="23916"/>
  <c r="AW628" i="23916"/>
  <c r="BX543" i="23916"/>
  <c r="CF543" i="23916"/>
  <c r="CP543" i="23916"/>
  <c r="DB543" i="23916"/>
  <c r="EL543" i="23916"/>
  <c r="FP543" i="23916"/>
  <c r="FQ543" i="23916" s="1"/>
  <c r="FX543" i="23916"/>
  <c r="FY543" i="23916" s="1"/>
  <c r="GB543" i="23916"/>
  <c r="GC543" i="23916" s="1"/>
  <c r="GN543" i="23916"/>
  <c r="V544" i="23916"/>
  <c r="AD544" i="23916"/>
  <c r="AH544" i="23916"/>
  <c r="AL544" i="23916"/>
  <c r="AP544" i="23916"/>
  <c r="AT544" i="23916"/>
  <c r="AX544" i="23916"/>
  <c r="BB544" i="23916"/>
  <c r="BF544" i="23916"/>
  <c r="BJ544" i="23916"/>
  <c r="BR544" i="23916"/>
  <c r="BV544" i="23916"/>
  <c r="BZ544" i="23916"/>
  <c r="CD544" i="23916"/>
  <c r="CH544" i="23916"/>
  <c r="CL544" i="23916"/>
  <c r="CT544" i="23916"/>
  <c r="CX544" i="23916"/>
  <c r="DF544" i="23916"/>
  <c r="DJ544" i="23916"/>
  <c r="DN544" i="23916"/>
  <c r="DR544" i="23916"/>
  <c r="C545" i="23916"/>
  <c r="L545" i="23916" s="1"/>
  <c r="FZ847" i="23916"/>
  <c r="GD847" i="23916"/>
  <c r="GH847" i="23916"/>
  <c r="GO553" i="23916"/>
  <c r="GA555" i="23916"/>
  <c r="GE555" i="23916"/>
  <c r="GI555" i="23916"/>
  <c r="GM555" i="23916"/>
  <c r="FG555" i="23916"/>
  <c r="FK555" i="23916"/>
  <c r="FO555" i="23916"/>
  <c r="FS555" i="23916"/>
  <c r="FE556" i="23916"/>
  <c r="FY556" i="23916"/>
  <c r="GC556" i="23916"/>
  <c r="GG556" i="23916"/>
  <c r="GK556" i="23916"/>
  <c r="GO556" i="23916"/>
  <c r="GZ556" i="23916"/>
  <c r="GI562" i="23916"/>
  <c r="FK560" i="23916"/>
  <c r="GK561" i="23916"/>
  <c r="FF570" i="23916"/>
  <c r="FG570" i="23916" s="1"/>
  <c r="FJ570" i="23916"/>
  <c r="FV570" i="23916"/>
  <c r="FZ570" i="23916"/>
  <c r="GA570" i="23916" s="1"/>
  <c r="GD570" i="23916"/>
  <c r="GE570" i="23916" s="1"/>
  <c r="GH570" i="23916"/>
  <c r="GI570" i="23916" s="1"/>
  <c r="GL570" i="23916"/>
  <c r="GM570" i="23916" s="1"/>
  <c r="GJ571" i="23916"/>
  <c r="GK571" i="23916" s="1"/>
  <c r="GN571" i="23916"/>
  <c r="GL576" i="23916"/>
  <c r="GN574" i="23916"/>
  <c r="FP627" i="23916"/>
  <c r="FT627" i="23916"/>
  <c r="FY580" i="23916"/>
  <c r="GC580" i="23916"/>
  <c r="GG580" i="23916"/>
  <c r="GK580" i="23916"/>
  <c r="GO580" i="23916"/>
  <c r="EE864" i="23916"/>
  <c r="FK590" i="23916"/>
  <c r="FO590" i="23916"/>
  <c r="FS590" i="23916"/>
  <c r="FW590" i="23916"/>
  <c r="GA590" i="23916"/>
  <c r="GE590" i="23916"/>
  <c r="GI590" i="23916"/>
  <c r="GE592" i="23916"/>
  <c r="GI592" i="23916"/>
  <c r="GM592" i="23916"/>
  <c r="FS592" i="23916"/>
  <c r="FW592" i="23916"/>
  <c r="GA592" i="23916"/>
  <c r="CA867" i="23916"/>
  <c r="CE867" i="23916"/>
  <c r="FM597" i="23916"/>
  <c r="FQ597" i="23916"/>
  <c r="FU597" i="23916"/>
  <c r="FY597" i="23916"/>
  <c r="FU598" i="23916"/>
  <c r="FY598" i="23916"/>
  <c r="GC597" i="23916"/>
  <c r="GG597" i="23916"/>
  <c r="GG598" i="23916"/>
  <c r="CB598" i="23916"/>
  <c r="CD599" i="23916"/>
  <c r="T599" i="23916"/>
  <c r="V599" i="23916"/>
  <c r="AD599" i="23916"/>
  <c r="AH599" i="23916"/>
  <c r="AJ599" i="23916"/>
  <c r="AL599" i="23916"/>
  <c r="AX599" i="23916"/>
  <c r="AZ599" i="23916"/>
  <c r="BH598" i="23916"/>
  <c r="BL598" i="23916"/>
  <c r="BP598" i="23916"/>
  <c r="BU602" i="23916"/>
  <c r="BV602" i="23916" s="1"/>
  <c r="BY602" i="23916"/>
  <c r="BZ602" i="23916" s="1"/>
  <c r="CC602" i="23916"/>
  <c r="CC604" i="23916" s="1"/>
  <c r="CG602" i="23916"/>
  <c r="CH602" i="23916" s="1"/>
  <c r="CK602" i="23916"/>
  <c r="CL602" i="23916" s="1"/>
  <c r="AQ604" i="23916"/>
  <c r="AU604" i="23916"/>
  <c r="AY604" i="23916"/>
  <c r="BC604" i="23916"/>
  <c r="BG604" i="23916"/>
  <c r="BK604" i="23916"/>
  <c r="BO604" i="23916"/>
  <c r="BS604" i="23916"/>
  <c r="BW604" i="23916"/>
  <c r="CA604" i="23916"/>
  <c r="CG604" i="23916"/>
  <c r="CO604" i="23916"/>
  <c r="CW604" i="23916"/>
  <c r="DE604" i="23916"/>
  <c r="DM604" i="23916"/>
  <c r="EF605" i="23916"/>
  <c r="EJ605" i="23916"/>
  <c r="EN605" i="23916"/>
  <c r="ES607" i="23916"/>
  <c r="FY607" i="23916"/>
  <c r="BA647" i="23916"/>
  <c r="BB647" i="23916" s="1"/>
  <c r="BE647" i="23916"/>
  <c r="BF647" i="23916" s="1"/>
  <c r="BI647" i="23916"/>
  <c r="BJ647" i="23916" s="1"/>
  <c r="BM647" i="23916"/>
  <c r="BN647" i="23916" s="1"/>
  <c r="BQ647" i="23916"/>
  <c r="BR647" i="23916" s="1"/>
  <c r="AY652" i="23916"/>
  <c r="AZ652" i="23916" s="1"/>
  <c r="AZ618" i="23916"/>
  <c r="BO652" i="23916"/>
  <c r="BP652" i="23916" s="1"/>
  <c r="BP618" i="23916"/>
  <c r="CF618" i="23916"/>
  <c r="BB619" i="23916"/>
  <c r="BR619" i="23916"/>
  <c r="CH619" i="23916"/>
  <c r="DT625" i="23916"/>
  <c r="EJ625" i="23916"/>
  <c r="GN625" i="23916"/>
  <c r="BC658" i="23916"/>
  <c r="BD658" i="23916" s="1"/>
  <c r="BD624" i="23916"/>
  <c r="BS658" i="23916"/>
  <c r="BT658" i="23916" s="1"/>
  <c r="BT624" i="23916"/>
  <c r="CR624" i="23916"/>
  <c r="CJ624" i="23916"/>
  <c r="K829" i="23916"/>
  <c r="L628" i="23916"/>
  <c r="U829" i="23916"/>
  <c r="V628" i="23916"/>
  <c r="AA829" i="23916"/>
  <c r="AB628" i="23916"/>
  <c r="AK829" i="23916"/>
  <c r="AL628" i="23916"/>
  <c r="BI829" i="23916"/>
  <c r="BI692" i="23916"/>
  <c r="BJ628" i="23916"/>
  <c r="GQ635" i="23916"/>
  <c r="GR635" i="23916"/>
  <c r="AG640" i="23916"/>
  <c r="AH639" i="23916"/>
  <c r="M682" i="23916"/>
  <c r="M690" i="23916"/>
  <c r="S744" i="23916"/>
  <c r="S690" i="23916"/>
  <c r="T640" i="23916"/>
  <c r="AC690" i="23916"/>
  <c r="AD640" i="23916"/>
  <c r="AM690" i="23916"/>
  <c r="AN640" i="23916"/>
  <c r="AS690" i="23916"/>
  <c r="AT640" i="23916"/>
  <c r="FR640" i="23916"/>
  <c r="FS639" i="23916"/>
  <c r="BI690" i="23916"/>
  <c r="BJ640" i="23916"/>
  <c r="BO690" i="23916"/>
  <c r="BO642" i="23916"/>
  <c r="AB541" i="23916"/>
  <c r="FX819" i="23916"/>
  <c r="FX623" i="23916"/>
  <c r="GC541" i="23916"/>
  <c r="BT543" i="23916"/>
  <c r="CX543" i="23916"/>
  <c r="ER627" i="23916"/>
  <c r="EJ627" i="23916"/>
  <c r="ET543" i="23916"/>
  <c r="O544" i="23916"/>
  <c r="P544" i="23916" s="1"/>
  <c r="S544" i="23916"/>
  <c r="FD544" i="23916"/>
  <c r="FL544" i="23916"/>
  <c r="FP544" i="23916"/>
  <c r="FT544" i="23916"/>
  <c r="FX544" i="23916"/>
  <c r="GF544" i="23916"/>
  <c r="FM560" i="23916"/>
  <c r="FI560" i="23916"/>
  <c r="FV627" i="23916"/>
  <c r="FW627" i="23916" s="1"/>
  <c r="FZ627" i="23916"/>
  <c r="GA627" i="23916" s="1"/>
  <c r="GD627" i="23916"/>
  <c r="GH627" i="23916"/>
  <c r="GI627" i="23916" s="1"/>
  <c r="GL627" i="23916"/>
  <c r="GM627" i="23916" s="1"/>
  <c r="GH581" i="23916"/>
  <c r="GO862" i="23916"/>
  <c r="FJ594" i="23916"/>
  <c r="FK594" i="23916" s="1"/>
  <c r="FN594" i="23916"/>
  <c r="FO594" i="23916" s="1"/>
  <c r="FR594" i="23916"/>
  <c r="FV594" i="23916"/>
  <c r="FZ594" i="23916"/>
  <c r="GD594" i="23916"/>
  <c r="GH594" i="23916"/>
  <c r="FN598" i="23916"/>
  <c r="FO598" i="23916" s="1"/>
  <c r="FZ598" i="23916"/>
  <c r="GC598" i="23916" s="1"/>
  <c r="AS602" i="23916"/>
  <c r="AT602" i="23916" s="1"/>
  <c r="BA602" i="23916"/>
  <c r="BE602" i="23916"/>
  <c r="CI604" i="23916"/>
  <c r="CQ604" i="23916"/>
  <c r="CY604" i="23916"/>
  <c r="DG604" i="23916"/>
  <c r="DO604" i="23916"/>
  <c r="DV607" i="23916"/>
  <c r="DZ607" i="23916"/>
  <c r="ED607" i="23916"/>
  <c r="EH607" i="23916"/>
  <c r="EL607" i="23916"/>
  <c r="EP607" i="23916"/>
  <c r="BB613" i="23916"/>
  <c r="BF613" i="23916"/>
  <c r="BJ613" i="23916"/>
  <c r="BN613" i="23916"/>
  <c r="BR613" i="23916"/>
  <c r="BV613" i="23916"/>
  <c r="BZ613" i="23916"/>
  <c r="CD613" i="23916"/>
  <c r="CH613" i="23916"/>
  <c r="CL613" i="23916"/>
  <c r="CP613" i="23916"/>
  <c r="BK652" i="23916"/>
  <c r="BL652" i="23916" s="1"/>
  <c r="BL618" i="23916"/>
  <c r="CB618" i="23916"/>
  <c r="BJ653" i="23916"/>
  <c r="BN619" i="23916"/>
  <c r="CD619" i="23916"/>
  <c r="EF625" i="23916"/>
  <c r="EV625" i="23916"/>
  <c r="AY658" i="23916"/>
  <c r="AZ658" i="23916" s="1"/>
  <c r="AZ624" i="23916"/>
  <c r="BO658" i="23916"/>
  <c r="BP658" i="23916" s="1"/>
  <c r="BP624" i="23916"/>
  <c r="CN624" i="23916"/>
  <c r="CF624" i="23916"/>
  <c r="Q829" i="23916"/>
  <c r="R628" i="23916"/>
  <c r="W829" i="23916"/>
  <c r="X628" i="23916"/>
  <c r="AG829" i="23916"/>
  <c r="AH628" i="23916"/>
  <c r="AM829" i="23916"/>
  <c r="AN628" i="23916"/>
  <c r="AS829" i="23916"/>
  <c r="AS692" i="23916"/>
  <c r="AT628" i="23916"/>
  <c r="BQ829" i="23916"/>
  <c r="BQ692" i="23916"/>
  <c r="BR628" i="23916"/>
  <c r="CT627" i="23916"/>
  <c r="GC636" i="23916"/>
  <c r="ER644" i="23916"/>
  <c r="O690" i="23916"/>
  <c r="O682" i="23916"/>
  <c r="P640" i="23916"/>
  <c r="Y690" i="23916"/>
  <c r="Z640" i="23916"/>
  <c r="AE690" i="23916"/>
  <c r="AF640" i="23916"/>
  <c r="AU690" i="23916"/>
  <c r="AV640" i="23916"/>
  <c r="BE690" i="23916"/>
  <c r="BF640" i="23916"/>
  <c r="BK690" i="23916"/>
  <c r="BK642" i="23916"/>
  <c r="BL640" i="23916"/>
  <c r="G690" i="23916"/>
  <c r="G682" i="23916"/>
  <c r="BJ652" i="23916"/>
  <c r="BN652" i="23916"/>
  <c r="BR652" i="23916"/>
  <c r="AZ619" i="23916"/>
  <c r="BD619" i="23916"/>
  <c r="BH619" i="23916"/>
  <c r="BL619" i="23916"/>
  <c r="BP619" i="23916"/>
  <c r="BT619" i="23916"/>
  <c r="FU652" i="23916"/>
  <c r="FH755" i="23916"/>
  <c r="FL755" i="23916"/>
  <c r="FP755" i="23916"/>
  <c r="FT755" i="23916"/>
  <c r="FT689" i="23916"/>
  <c r="FT657" i="23916"/>
  <c r="N627" i="23916"/>
  <c r="R627" i="23916"/>
  <c r="V627" i="23916"/>
  <c r="Z627" i="23916"/>
  <c r="AD627" i="23916"/>
  <c r="AH627" i="23916"/>
  <c r="AL627" i="23916"/>
  <c r="AT627" i="23916"/>
  <c r="BJ627" i="23916"/>
  <c r="BR627" i="23916"/>
  <c r="FF628" i="23916"/>
  <c r="FJ628" i="23916"/>
  <c r="FN628" i="23916"/>
  <c r="FR628" i="23916"/>
  <c r="FN636" i="23916"/>
  <c r="FO636" i="23916" s="1"/>
  <c r="FV636" i="23916"/>
  <c r="FW636" i="23916" s="1"/>
  <c r="FZ636" i="23916"/>
  <c r="GA636" i="23916" s="1"/>
  <c r="GL636" i="23916"/>
  <c r="GM636" i="23916" s="1"/>
  <c r="CG644" i="23916"/>
  <c r="FJ784" i="23916"/>
  <c r="FJ644" i="23916"/>
  <c r="FK644" i="23916" s="1"/>
  <c r="FN784" i="23916"/>
  <c r="FN644" i="23916"/>
  <c r="FR784" i="23916"/>
  <c r="FR644" i="23916"/>
  <c r="FV637" i="23916"/>
  <c r="FV639" i="23916" s="1"/>
  <c r="FZ637" i="23916"/>
  <c r="FZ639" i="23916" s="1"/>
  <c r="GD637" i="23916"/>
  <c r="GH637" i="23916"/>
  <c r="GL637" i="23916"/>
  <c r="BX637" i="23916"/>
  <c r="CN637" i="23916"/>
  <c r="CV637" i="23916"/>
  <c r="DD637" i="23916"/>
  <c r="DL637" i="23916"/>
  <c r="DT637" i="23916"/>
  <c r="EB637" i="23916"/>
  <c r="EJ637" i="23916"/>
  <c r="EP636" i="23916"/>
  <c r="ER637" i="23916"/>
  <c r="GE638" i="23916"/>
  <c r="GI638" i="23916"/>
  <c r="GM638" i="23916"/>
  <c r="GQ638" i="23916"/>
  <c r="GS638" i="23916"/>
  <c r="N639" i="23916"/>
  <c r="R639" i="23916"/>
  <c r="V639" i="23916"/>
  <c r="Z639" i="23916"/>
  <c r="AD639" i="23916"/>
  <c r="AL639" i="23916"/>
  <c r="AP639" i="23916"/>
  <c r="AT639" i="23916"/>
  <c r="AX639" i="23916"/>
  <c r="BB639" i="23916"/>
  <c r="BF639" i="23916"/>
  <c r="BJ639" i="23916"/>
  <c r="BN639" i="23916"/>
  <c r="BR639" i="23916"/>
  <c r="CU644" i="23916"/>
  <c r="DK644" i="23916"/>
  <c r="DT644" i="23916" s="1"/>
  <c r="EA644" i="23916"/>
  <c r="EB644" i="23916" s="1"/>
  <c r="FL644" i="23916"/>
  <c r="FM644" i="23916" s="1"/>
  <c r="GB644" i="23916"/>
  <c r="FT681" i="23916"/>
  <c r="FU665" i="23916"/>
  <c r="FT682" i="23916"/>
  <c r="GA665" i="23916"/>
  <c r="S682" i="23916"/>
  <c r="T682" i="23916" s="1"/>
  <c r="W682" i="23916"/>
  <c r="X682" i="23916" s="1"/>
  <c r="AA682" i="23916"/>
  <c r="AE682" i="23916"/>
  <c r="AM682" i="23916"/>
  <c r="AN682" i="23916" s="1"/>
  <c r="AU682" i="23916"/>
  <c r="BC682" i="23916"/>
  <c r="BD682" i="23916" s="1"/>
  <c r="BK682" i="23916"/>
  <c r="BO678" i="23916"/>
  <c r="BS682" i="23916"/>
  <c r="BT682" i="23916" s="1"/>
  <c r="CZ671" i="23916"/>
  <c r="DH671" i="23916"/>
  <c r="DX671" i="23916"/>
  <c r="Y830" i="23916"/>
  <c r="AO830" i="23916"/>
  <c r="FU653" i="23916"/>
  <c r="FS618" i="23916"/>
  <c r="FU618" i="23916"/>
  <c r="FU626" i="23916"/>
  <c r="G755" i="23916"/>
  <c r="G681" i="23916"/>
  <c r="P681" i="23916" s="1"/>
  <c r="G689" i="23916"/>
  <c r="GG635" i="23916"/>
  <c r="GK635" i="23916"/>
  <c r="GO635" i="23916"/>
  <c r="FK636" i="23916"/>
  <c r="FS636" i="23916"/>
  <c r="GE636" i="23916"/>
  <c r="GI636" i="23916"/>
  <c r="GQ636" i="23916"/>
  <c r="DQ644" i="23916"/>
  <c r="DU644" i="23916"/>
  <c r="DY644" i="23916"/>
  <c r="DZ644" i="23916" s="1"/>
  <c r="EC644" i="23916"/>
  <c r="ED644" i="23916" s="1"/>
  <c r="EG644" i="23916"/>
  <c r="EH644" i="23916" s="1"/>
  <c r="EK644" i="23916"/>
  <c r="EL644" i="23916" s="1"/>
  <c r="EO644" i="23916"/>
  <c r="EP644" i="23916" s="1"/>
  <c r="FK637" i="23916"/>
  <c r="BT636" i="23916"/>
  <c r="CB636" i="23916"/>
  <c r="DH636" i="23916"/>
  <c r="DR637" i="23916"/>
  <c r="DZ637" i="23916"/>
  <c r="EH637" i="23916"/>
  <c r="EN636" i="23916"/>
  <c r="EP637" i="23916"/>
  <c r="FK638" i="23916"/>
  <c r="FO638" i="23916"/>
  <c r="FS638" i="23916"/>
  <c r="FW638" i="23916"/>
  <c r="GA638" i="23916"/>
  <c r="AI639" i="23916"/>
  <c r="BW639" i="23916"/>
  <c r="CA639" i="23916"/>
  <c r="CM639" i="23916"/>
  <c r="CQ639" i="23916"/>
  <c r="CU639" i="23916"/>
  <c r="CY639" i="23916"/>
  <c r="DC639" i="23916"/>
  <c r="DG639" i="23916"/>
  <c r="DK639" i="23916"/>
  <c r="DO639" i="23916"/>
  <c r="DS639" i="23916"/>
  <c r="DW639" i="23916"/>
  <c r="EE639" i="23916"/>
  <c r="EI639" i="23916"/>
  <c r="EM639" i="23916"/>
  <c r="AQ640" i="23916"/>
  <c r="AQ682" i="23916" s="1"/>
  <c r="AY640" i="23916"/>
  <c r="BG640" i="23916"/>
  <c r="FH639" i="23916"/>
  <c r="FK639" i="23916" s="1"/>
  <c r="FL639" i="23916"/>
  <c r="FX639" i="23916"/>
  <c r="CA644" i="23916"/>
  <c r="CB644" i="23916" s="1"/>
  <c r="CQ644" i="23916"/>
  <c r="CR644" i="23916" s="1"/>
  <c r="DG644" i="23916"/>
  <c r="DW644" i="23916"/>
  <c r="EM644" i="23916"/>
  <c r="ET644" i="23916"/>
  <c r="FB644" i="23916"/>
  <c r="FE644" i="23916" s="1"/>
  <c r="GC665" i="23916"/>
  <c r="FR682" i="23916"/>
  <c r="C681" i="23916"/>
  <c r="L681" i="23916" s="1"/>
  <c r="L671" i="23916"/>
  <c r="DR671" i="23916"/>
  <c r="DZ671" i="23916"/>
  <c r="FL676" i="23916"/>
  <c r="FM676" i="23916" s="1"/>
  <c r="AP676" i="23916"/>
  <c r="AH676" i="23916"/>
  <c r="GM676" i="23916"/>
  <c r="GK676" i="23916"/>
  <c r="BJ658" i="23916"/>
  <c r="BN658" i="23916"/>
  <c r="BR658" i="23916"/>
  <c r="FS619" i="23916"/>
  <c r="FU619" i="23916"/>
  <c r="FF755" i="23916"/>
  <c r="FG755" i="23916" s="1"/>
  <c r="FJ755" i="23916"/>
  <c r="FK755" i="23916" s="1"/>
  <c r="FJ689" i="23916"/>
  <c r="FN755" i="23916"/>
  <c r="FO755" i="23916" s="1"/>
  <c r="FR755" i="23916"/>
  <c r="FS755" i="23916" s="1"/>
  <c r="FR689" i="23916"/>
  <c r="FR657" i="23916"/>
  <c r="FS657" i="23916" s="1"/>
  <c r="FD842" i="23916"/>
  <c r="FD829" i="23916"/>
  <c r="FH842" i="23916"/>
  <c r="FH829" i="23916"/>
  <c r="FL842" i="23916"/>
  <c r="FL829" i="23916"/>
  <c r="E755" i="23916"/>
  <c r="N755" i="23916" s="1"/>
  <c r="E689" i="23916"/>
  <c r="E681" i="23916"/>
  <c r="N681" i="23916" s="1"/>
  <c r="CK644" i="23916"/>
  <c r="CO644" i="23916"/>
  <c r="CP644" i="23916" s="1"/>
  <c r="CS644" i="23916"/>
  <c r="CT644" i="23916" s="1"/>
  <c r="CW644" i="23916"/>
  <c r="CX644" i="23916" s="1"/>
  <c r="DA644" i="23916"/>
  <c r="DB644" i="23916" s="1"/>
  <c r="DE644" i="23916"/>
  <c r="DF644" i="23916" s="1"/>
  <c r="DI644" i="23916"/>
  <c r="DJ644" i="23916" s="1"/>
  <c r="DM644" i="23916"/>
  <c r="DN644" i="23916" s="1"/>
  <c r="FH784" i="23916"/>
  <c r="FL784" i="23916"/>
  <c r="FP784" i="23916"/>
  <c r="FT784" i="23916"/>
  <c r="GF637" i="23916"/>
  <c r="GF639" i="23916" s="1"/>
  <c r="AJ636" i="23916"/>
  <c r="BZ636" i="23916"/>
  <c r="CB637" i="23916"/>
  <c r="CJ637" i="23916"/>
  <c r="CR637" i="23916"/>
  <c r="CZ637" i="23916"/>
  <c r="DH637" i="23916"/>
  <c r="EL636" i="23916"/>
  <c r="FD744" i="23916"/>
  <c r="FD745" i="23916"/>
  <c r="FD690" i="23916"/>
  <c r="E640" i="23916"/>
  <c r="N640" i="23916" s="1"/>
  <c r="I690" i="23916"/>
  <c r="I664" i="23916" s="1"/>
  <c r="BW644" i="23916"/>
  <c r="CM644" i="23916"/>
  <c r="CN644" i="23916" s="1"/>
  <c r="DC644" i="23916"/>
  <c r="DD644" i="23916" s="1"/>
  <c r="EU644" i="23916"/>
  <c r="FT644" i="23916"/>
  <c r="FU644" i="23916" s="1"/>
  <c r="GJ644" i="23916"/>
  <c r="FT647" i="23916"/>
  <c r="FU647" i="23916" s="1"/>
  <c r="FW665" i="23916"/>
  <c r="GD665" i="23916"/>
  <c r="FX671" i="23916"/>
  <c r="BX671" i="23916"/>
  <c r="GC669" i="23916"/>
  <c r="GE669" i="23916"/>
  <c r="GF671" i="23916"/>
  <c r="DD671" i="23916"/>
  <c r="AR676" i="23916"/>
  <c r="FN676" i="23916"/>
  <c r="AJ676" i="23916"/>
  <c r="BH653" i="23916"/>
  <c r="BL653" i="23916"/>
  <c r="BP653" i="23916"/>
  <c r="BT653" i="23916"/>
  <c r="FY618" i="23916"/>
  <c r="BB624" i="23916"/>
  <c r="BF624" i="23916"/>
  <c r="BJ624" i="23916"/>
  <c r="BN624" i="23916"/>
  <c r="BR624" i="23916"/>
  <c r="BV624" i="23916"/>
  <c r="BZ624" i="23916"/>
  <c r="CD624" i="23916"/>
  <c r="CH624" i="23916"/>
  <c r="CL624" i="23916"/>
  <c r="CP624" i="23916"/>
  <c r="CT624" i="23916"/>
  <c r="CX624" i="23916"/>
  <c r="DB624" i="23916"/>
  <c r="DF624" i="23916"/>
  <c r="DJ624" i="23916"/>
  <c r="DN624" i="23916"/>
  <c r="GA625" i="23916"/>
  <c r="GC625" i="23916"/>
  <c r="FG626" i="23916"/>
  <c r="FK626" i="23916"/>
  <c r="FO626" i="23916"/>
  <c r="FS626" i="23916"/>
  <c r="FE628" i="23916"/>
  <c r="FI628" i="23916"/>
  <c r="FM628" i="23916"/>
  <c r="C755" i="23916"/>
  <c r="C689" i="23916"/>
  <c r="G628" i="23916"/>
  <c r="P628" i="23916" s="1"/>
  <c r="GZ636" i="23916"/>
  <c r="BU644" i="23916"/>
  <c r="BV644" i="23916" s="1"/>
  <c r="BY644" i="23916"/>
  <c r="BZ644" i="23916" s="1"/>
  <c r="CC644" i="23916"/>
  <c r="CD644" i="23916" s="1"/>
  <c r="FE637" i="23916"/>
  <c r="FI637" i="23916"/>
  <c r="FM637" i="23916"/>
  <c r="FQ637" i="23916"/>
  <c r="FU637" i="23916"/>
  <c r="FY637" i="23916"/>
  <c r="GC637" i="23916"/>
  <c r="GK637" i="23916"/>
  <c r="GO637" i="23916"/>
  <c r="AH636" i="23916"/>
  <c r="AP636" i="23916"/>
  <c r="BX636" i="23916"/>
  <c r="BZ637" i="23916"/>
  <c r="CH637" i="23916"/>
  <c r="CP637" i="23916"/>
  <c r="CX637" i="23916"/>
  <c r="DF637" i="23916"/>
  <c r="DN637" i="23916"/>
  <c r="DV637" i="23916"/>
  <c r="ED637" i="23916"/>
  <c r="EJ636" i="23916"/>
  <c r="EL637" i="23916"/>
  <c r="ET637" i="23916"/>
  <c r="BU639" i="23916"/>
  <c r="BY639" i="23916"/>
  <c r="CC639" i="23916"/>
  <c r="CG639" i="23916"/>
  <c r="CK639" i="23916"/>
  <c r="CO639" i="23916"/>
  <c r="CS639" i="23916"/>
  <c r="CW639" i="23916"/>
  <c r="DA639" i="23916"/>
  <c r="DE639" i="23916"/>
  <c r="DI639" i="23916"/>
  <c r="DM639" i="23916"/>
  <c r="DQ639" i="23916"/>
  <c r="DU639" i="23916"/>
  <c r="DY639" i="23916"/>
  <c r="EC639" i="23916"/>
  <c r="EG639" i="23916"/>
  <c r="EK639" i="23916"/>
  <c r="EO639" i="23916"/>
  <c r="ES639" i="23916"/>
  <c r="FE640" i="23916"/>
  <c r="CY644" i="23916"/>
  <c r="CZ644" i="23916" s="1"/>
  <c r="DO644" i="23916"/>
  <c r="DP644" i="23916" s="1"/>
  <c r="EE644" i="23916"/>
  <c r="EF644" i="23916" s="1"/>
  <c r="FP644" i="23916"/>
  <c r="FQ644" i="23916" s="1"/>
  <c r="FY665" i="23916"/>
  <c r="FJ682" i="23916"/>
  <c r="GD788" i="23916"/>
  <c r="GE684" i="23916"/>
  <c r="GF684" i="23916"/>
  <c r="EP671" i="23916"/>
  <c r="AT676" i="23916"/>
  <c r="AL676" i="23916"/>
  <c r="FW676" i="23916"/>
  <c r="FY676" i="23916"/>
  <c r="GZ676" i="23916"/>
  <c r="GQ676" i="23916"/>
  <c r="GO676" i="23916"/>
  <c r="ES663" i="23916"/>
  <c r="FI663" i="23916"/>
  <c r="FS663" i="23916"/>
  <c r="FW663" i="23916"/>
  <c r="GA663" i="23916"/>
  <c r="GE663" i="23916"/>
  <c r="GI663" i="23916"/>
  <c r="GM663" i="23916"/>
  <c r="FG665" i="23916"/>
  <c r="GJ669" i="23916"/>
  <c r="GK669" i="23916" s="1"/>
  <c r="GN669" i="23916"/>
  <c r="BT669" i="23916"/>
  <c r="CN669" i="23916"/>
  <c r="CV669" i="23916"/>
  <c r="DD669" i="23916"/>
  <c r="DL669" i="23916"/>
  <c r="DT669" i="23916"/>
  <c r="EB669" i="23916"/>
  <c r="EJ669" i="23916"/>
  <c r="ER669" i="23916"/>
  <c r="L668" i="23916"/>
  <c r="CG671" i="23916"/>
  <c r="CH671" i="23916" s="1"/>
  <c r="CO671" i="23916"/>
  <c r="CS671" i="23916"/>
  <c r="CW671" i="23916"/>
  <c r="CX671" i="23916" s="1"/>
  <c r="DK671" i="23916"/>
  <c r="EA671" i="23916"/>
  <c r="EJ671" i="23916" s="1"/>
  <c r="EQ671" i="23916"/>
  <c r="FJ671" i="23916"/>
  <c r="FK671" i="23916" s="1"/>
  <c r="EC674" i="23916"/>
  <c r="FH674" i="23916"/>
  <c r="FI674" i="23916" s="1"/>
  <c r="FL674" i="23916"/>
  <c r="FO674" i="23916" s="1"/>
  <c r="FT674" i="23916"/>
  <c r="GJ674" i="23916"/>
  <c r="GN674" i="23916"/>
  <c r="AF674" i="23916"/>
  <c r="BP674" i="23916"/>
  <c r="AN674" i="23916"/>
  <c r="AP674" i="23916"/>
  <c r="AR674" i="23916"/>
  <c r="AT674" i="23916"/>
  <c r="BL674" i="23916"/>
  <c r="BN674" i="23916"/>
  <c r="DT676" i="23916"/>
  <c r="ET676" i="23916"/>
  <c r="S681" i="23916"/>
  <c r="T681" i="23916" s="1"/>
  <c r="AI681" i="23916"/>
  <c r="AY681" i="23916"/>
  <c r="BO681" i="23916"/>
  <c r="AY682" i="23916"/>
  <c r="BO682" i="23916"/>
  <c r="FN681" i="23916"/>
  <c r="I682" i="23916"/>
  <c r="GI685" i="23916"/>
  <c r="DH687" i="23916"/>
  <c r="DX687" i="23916"/>
  <c r="M900" i="23916"/>
  <c r="N689" i="23916"/>
  <c r="U900" i="23916"/>
  <c r="V689" i="23916"/>
  <c r="AC900" i="23916"/>
  <c r="AD689" i="23916"/>
  <c r="AK900" i="23916"/>
  <c r="AL689" i="23916"/>
  <c r="AS900" i="23916"/>
  <c r="AT689" i="23916"/>
  <c r="BA900" i="23916"/>
  <c r="BA789" i="23916"/>
  <c r="BA694" i="23916"/>
  <c r="BA630" i="23916" s="1"/>
  <c r="BA631" i="23916" s="1"/>
  <c r="FR631" i="23916" s="1"/>
  <c r="BB689" i="23916"/>
  <c r="BI900" i="23916"/>
  <c r="BI789" i="23916"/>
  <c r="BI694" i="23916"/>
  <c r="BI630" i="23916" s="1"/>
  <c r="BI631" i="23916" s="1"/>
  <c r="FT631" i="23916" s="1"/>
  <c r="BJ689" i="23916"/>
  <c r="BQ900" i="23916"/>
  <c r="BQ789" i="23916"/>
  <c r="BQ694" i="23916"/>
  <c r="BQ630" i="23916" s="1"/>
  <c r="BQ631" i="23916" s="1"/>
  <c r="BR689" i="23916"/>
  <c r="EW699" i="23916"/>
  <c r="EV699" i="23916"/>
  <c r="EU701" i="23916"/>
  <c r="ET701" i="23916"/>
  <c r="EW702" i="23916"/>
  <c r="EV702" i="23916"/>
  <c r="FW703" i="23916"/>
  <c r="V706" i="23916"/>
  <c r="U707" i="23916"/>
  <c r="AL706" i="23916"/>
  <c r="AK707" i="23916"/>
  <c r="BB706" i="23916"/>
  <c r="BA707" i="23916"/>
  <c r="BR706" i="23916"/>
  <c r="BQ707" i="23916"/>
  <c r="CH706" i="23916"/>
  <c r="CG707" i="23916"/>
  <c r="CX706" i="23916"/>
  <c r="CW707" i="23916"/>
  <c r="DN706" i="23916"/>
  <c r="DM707" i="23916"/>
  <c r="ED706" i="23916"/>
  <c r="EC707" i="23916"/>
  <c r="FQ717" i="23916"/>
  <c r="FY717" i="23916"/>
  <c r="GG717" i="23916"/>
  <c r="GO717" i="23916"/>
  <c r="FM717" i="23916"/>
  <c r="FK663" i="23916"/>
  <c r="FO663" i="23916"/>
  <c r="FH665" i="23916"/>
  <c r="FL665" i="23916"/>
  <c r="FP665" i="23916"/>
  <c r="FS665" i="23916" s="1"/>
  <c r="GF669" i="23916"/>
  <c r="GG669" i="23916" s="1"/>
  <c r="EU668" i="23916"/>
  <c r="FF668" i="23916"/>
  <c r="FZ668" i="23916"/>
  <c r="GA668" i="23916" s="1"/>
  <c r="CD669" i="23916"/>
  <c r="DJ669" i="23916"/>
  <c r="DR669" i="23916"/>
  <c r="DZ669" i="23916"/>
  <c r="EH669" i="23916"/>
  <c r="EP669" i="23916"/>
  <c r="BU671" i="23916"/>
  <c r="FO671" i="23916"/>
  <c r="FS671" i="23916"/>
  <c r="AL674" i="23916"/>
  <c r="V674" i="23916"/>
  <c r="Z674" i="23916"/>
  <c r="FF676" i="23916"/>
  <c r="BC678" i="23916"/>
  <c r="BD678" i="23916" s="1"/>
  <c r="BK678" i="23916"/>
  <c r="BL678" i="23916" s="1"/>
  <c r="AE681" i="23916"/>
  <c r="AU681" i="23916"/>
  <c r="BK681" i="23916"/>
  <c r="FJ681" i="23916"/>
  <c r="FF682" i="23916"/>
  <c r="FG682" i="23916" s="1"/>
  <c r="DM789" i="23916"/>
  <c r="DV687" i="23916"/>
  <c r="DN687" i="23916"/>
  <c r="FV788" i="23916"/>
  <c r="FW684" i="23916"/>
  <c r="FY684" i="23916"/>
  <c r="FX793" i="23916"/>
  <c r="FX686" i="23916"/>
  <c r="AC830" i="23916"/>
  <c r="AD692" i="23916"/>
  <c r="FK703" i="23916"/>
  <c r="R706" i="23916"/>
  <c r="Q707" i="23916"/>
  <c r="R707" i="23916" s="1"/>
  <c r="AH706" i="23916"/>
  <c r="AG707" i="23916"/>
  <c r="AX706" i="23916"/>
  <c r="AW707" i="23916"/>
  <c r="BN706" i="23916"/>
  <c r="BM707" i="23916"/>
  <c r="CD706" i="23916"/>
  <c r="CC707" i="23916"/>
  <c r="CT706" i="23916"/>
  <c r="CS707" i="23916"/>
  <c r="DJ706" i="23916"/>
  <c r="DI707" i="23916"/>
  <c r="DZ706" i="23916"/>
  <c r="DY707" i="23916"/>
  <c r="EP706" i="23916"/>
  <c r="EO707" i="23916"/>
  <c r="CH719" i="23916"/>
  <c r="CP719" i="23916"/>
  <c r="DF717" i="23916"/>
  <c r="ER720" i="23916"/>
  <c r="ES720" i="23916"/>
  <c r="FY663" i="23916"/>
  <c r="GC663" i="23916"/>
  <c r="GG663" i="23916"/>
  <c r="GK663" i="23916"/>
  <c r="GO663" i="23916"/>
  <c r="Q682" i="23916"/>
  <c r="R682" i="23916" s="1"/>
  <c r="Q681" i="23916"/>
  <c r="R681" i="23916" s="1"/>
  <c r="U682" i="23916"/>
  <c r="V682" i="23916" s="1"/>
  <c r="U681" i="23916"/>
  <c r="V681" i="23916" s="1"/>
  <c r="Y682" i="23916"/>
  <c r="Z682" i="23916" s="1"/>
  <c r="Y681" i="23916"/>
  <c r="Z681" i="23916" s="1"/>
  <c r="AC682" i="23916"/>
  <c r="AD682" i="23916" s="1"/>
  <c r="AC681" i="23916"/>
  <c r="AD681" i="23916" s="1"/>
  <c r="AG682" i="23916"/>
  <c r="AH682" i="23916" s="1"/>
  <c r="AG681" i="23916"/>
  <c r="AH681" i="23916" s="1"/>
  <c r="AK682" i="23916"/>
  <c r="AL682" i="23916" s="1"/>
  <c r="AK681" i="23916"/>
  <c r="AL681" i="23916" s="1"/>
  <c r="AO682" i="23916"/>
  <c r="AP682" i="23916" s="1"/>
  <c r="AO681" i="23916"/>
  <c r="AP681" i="23916" s="1"/>
  <c r="AS682" i="23916"/>
  <c r="AT682" i="23916" s="1"/>
  <c r="AS681" i="23916"/>
  <c r="AT681" i="23916" s="1"/>
  <c r="AW682" i="23916"/>
  <c r="AX682" i="23916" s="1"/>
  <c r="AW681" i="23916"/>
  <c r="AX681" i="23916" s="1"/>
  <c r="BA682" i="23916"/>
  <c r="BB682" i="23916" s="1"/>
  <c r="BA681" i="23916"/>
  <c r="BB681" i="23916" s="1"/>
  <c r="BE682" i="23916"/>
  <c r="BF682" i="23916" s="1"/>
  <c r="BE681" i="23916"/>
  <c r="BF681" i="23916" s="1"/>
  <c r="BI682" i="23916"/>
  <c r="BJ682" i="23916" s="1"/>
  <c r="BI681" i="23916"/>
  <c r="BJ681" i="23916" s="1"/>
  <c r="BM682" i="23916"/>
  <c r="BN682" i="23916" s="1"/>
  <c r="BM681" i="23916"/>
  <c r="BN681" i="23916" s="1"/>
  <c r="BQ682" i="23916"/>
  <c r="BR682" i="23916" s="1"/>
  <c r="BQ681" i="23916"/>
  <c r="BR681" i="23916" s="1"/>
  <c r="BX669" i="23916"/>
  <c r="GI668" i="23916"/>
  <c r="CE671" i="23916"/>
  <c r="CM671" i="23916"/>
  <c r="DM671" i="23916"/>
  <c r="DN671" i="23916" s="1"/>
  <c r="DU671" i="23916"/>
  <c r="DV671" i="23916" s="1"/>
  <c r="EK671" i="23916"/>
  <c r="FJ674" i="23916"/>
  <c r="FK674" i="23916" s="1"/>
  <c r="GH674" i="23916"/>
  <c r="GI674" i="23916" s="1"/>
  <c r="FQ674" i="23916"/>
  <c r="FY674" i="23916"/>
  <c r="GG674" i="23916"/>
  <c r="ER674" i="23916"/>
  <c r="AA681" i="23916"/>
  <c r="AB681" i="23916" s="1"/>
  <c r="AQ681" i="23916"/>
  <c r="AR681" i="23916" s="1"/>
  <c r="BG681" i="23916"/>
  <c r="BH681" i="23916" s="1"/>
  <c r="DC788" i="23916"/>
  <c r="DE684" i="23916"/>
  <c r="DD684" i="23916"/>
  <c r="FZ788" i="23916"/>
  <c r="GA684" i="23916"/>
  <c r="DP687" i="23916"/>
  <c r="Q900" i="23916"/>
  <c r="R689" i="23916"/>
  <c r="Y900" i="23916"/>
  <c r="Z689" i="23916"/>
  <c r="AG900" i="23916"/>
  <c r="AH689" i="23916"/>
  <c r="AO900" i="23916"/>
  <c r="AP689" i="23916"/>
  <c r="AW900" i="23916"/>
  <c r="AX689" i="23916"/>
  <c r="BE900" i="23916"/>
  <c r="BE789" i="23916"/>
  <c r="BF689" i="23916"/>
  <c r="BM900" i="23916"/>
  <c r="BM789" i="23916"/>
  <c r="BN689" i="23916"/>
  <c r="FN689" i="23916"/>
  <c r="Q692" i="23916"/>
  <c r="Z692" i="23916" s="1"/>
  <c r="AG692" i="23916"/>
  <c r="AW692" i="23916"/>
  <c r="BM692" i="23916"/>
  <c r="ES703" i="23916"/>
  <c r="ER703" i="23916"/>
  <c r="FO703" i="23916"/>
  <c r="N706" i="23916"/>
  <c r="M707" i="23916"/>
  <c r="N707" i="23916" s="1"/>
  <c r="AD706" i="23916"/>
  <c r="AC707" i="23916"/>
  <c r="AD707" i="23916" s="1"/>
  <c r="AT706" i="23916"/>
  <c r="AS707" i="23916"/>
  <c r="AT707" i="23916" s="1"/>
  <c r="BJ706" i="23916"/>
  <c r="BI707" i="23916"/>
  <c r="BJ707" i="23916" s="1"/>
  <c r="BZ706" i="23916"/>
  <c r="BY707" i="23916"/>
  <c r="BZ707" i="23916" s="1"/>
  <c r="CP706" i="23916"/>
  <c r="CO707" i="23916"/>
  <c r="CP707" i="23916" s="1"/>
  <c r="DF706" i="23916"/>
  <c r="DE707" i="23916"/>
  <c r="DF707" i="23916" s="1"/>
  <c r="DV706" i="23916"/>
  <c r="DU707" i="23916"/>
  <c r="DV707" i="23916" s="1"/>
  <c r="EL706" i="23916"/>
  <c r="EK707" i="23916"/>
  <c r="EL707" i="23916" s="1"/>
  <c r="CF668" i="23916"/>
  <c r="DF669" i="23916"/>
  <c r="BM678" i="23916"/>
  <c r="W681" i="23916"/>
  <c r="X681" i="23916" s="1"/>
  <c r="AM681" i="23916"/>
  <c r="AN681" i="23916" s="1"/>
  <c r="BC681" i="23916"/>
  <c r="BD681" i="23916" s="1"/>
  <c r="BS681" i="23916"/>
  <c r="BT681" i="23916" s="1"/>
  <c r="FR681" i="23916"/>
  <c r="FM684" i="23916"/>
  <c r="FU684" i="23916"/>
  <c r="FY685" i="23916"/>
  <c r="GG685" i="23916"/>
  <c r="GO685" i="23916"/>
  <c r="DI789" i="23916"/>
  <c r="DR687" i="23916"/>
  <c r="DJ687" i="23916"/>
  <c r="GF687" i="23916"/>
  <c r="U830" i="23916"/>
  <c r="V692" i="23916"/>
  <c r="AK830" i="23916"/>
  <c r="AL692" i="23916"/>
  <c r="BE694" i="23916"/>
  <c r="BE630" i="23916" s="1"/>
  <c r="BE631" i="23916" s="1"/>
  <c r="FS703" i="23916"/>
  <c r="Z706" i="23916"/>
  <c r="Y707" i="23916"/>
  <c r="Z707" i="23916" s="1"/>
  <c r="AP706" i="23916"/>
  <c r="AO707" i="23916"/>
  <c r="AP707" i="23916" s="1"/>
  <c r="BF706" i="23916"/>
  <c r="BE707" i="23916"/>
  <c r="BF707" i="23916" s="1"/>
  <c r="BV706" i="23916"/>
  <c r="BU707" i="23916"/>
  <c r="BV707" i="23916" s="1"/>
  <c r="CL706" i="23916"/>
  <c r="CK707" i="23916"/>
  <c r="CL707" i="23916" s="1"/>
  <c r="DB706" i="23916"/>
  <c r="DA707" i="23916"/>
  <c r="DB707" i="23916" s="1"/>
  <c r="DR706" i="23916"/>
  <c r="DQ707" i="23916"/>
  <c r="DR707" i="23916" s="1"/>
  <c r="EH706" i="23916"/>
  <c r="EG707" i="23916"/>
  <c r="EH707" i="23916" s="1"/>
  <c r="FD707" i="23916"/>
  <c r="FE707" i="23916" s="1"/>
  <c r="FE706" i="23916"/>
  <c r="CW721" i="23916"/>
  <c r="CY718" i="23916"/>
  <c r="CW719" i="23916"/>
  <c r="CX719" i="23916" s="1"/>
  <c r="CX718" i="23916"/>
  <c r="GC684" i="23916"/>
  <c r="GB686" i="23916"/>
  <c r="GD687" i="23916"/>
  <c r="GH687" i="23916"/>
  <c r="GL687" i="23916"/>
  <c r="L689" i="23916"/>
  <c r="P689" i="23916"/>
  <c r="T689" i="23916"/>
  <c r="X689" i="23916"/>
  <c r="AB689" i="23916"/>
  <c r="AF689" i="23916"/>
  <c r="AJ689" i="23916"/>
  <c r="AN689" i="23916"/>
  <c r="AR689" i="23916"/>
  <c r="AV689" i="23916"/>
  <c r="AZ689" i="23916"/>
  <c r="BD689" i="23916"/>
  <c r="BH689" i="23916"/>
  <c r="BL689" i="23916"/>
  <c r="BP689" i="23916"/>
  <c r="BT689" i="23916"/>
  <c r="FI704" i="23916"/>
  <c r="FM704" i="23916"/>
  <c r="S709" i="23916"/>
  <c r="AA709" i="23916"/>
  <c r="AI709" i="23916"/>
  <c r="AQ709" i="23916"/>
  <c r="AY709" i="23916"/>
  <c r="BG709" i="23916"/>
  <c r="CC709" i="23916"/>
  <c r="ES714" i="23916"/>
  <c r="EU716" i="23916"/>
  <c r="FO714" i="23916"/>
  <c r="FS714" i="23916"/>
  <c r="FW714" i="23916"/>
  <c r="GA714" i="23916"/>
  <c r="GE714" i="23916"/>
  <c r="GI714" i="23916"/>
  <c r="GM714" i="23916"/>
  <c r="BU763" i="23916"/>
  <c r="BV715" i="23916"/>
  <c r="BU719" i="23916"/>
  <c r="CC763" i="23916"/>
  <c r="CD715" i="23916"/>
  <c r="CC721" i="23916"/>
  <c r="CK763" i="23916"/>
  <c r="CL763" i="23916" s="1"/>
  <c r="CL715" i="23916"/>
  <c r="CK721" i="23916"/>
  <c r="CS763" i="23916"/>
  <c r="FF761" i="23916"/>
  <c r="FG761" i="23916" s="1"/>
  <c r="FF762" i="23916"/>
  <c r="FG762" i="23916" s="1"/>
  <c r="FF760" i="23916"/>
  <c r="FG760" i="23916" s="1"/>
  <c r="FF763" i="23916"/>
  <c r="FG763" i="23916" s="1"/>
  <c r="FF752" i="23916"/>
  <c r="FF749" i="23916"/>
  <c r="FF751" i="23916"/>
  <c r="FF750" i="23916"/>
  <c r="FJ761" i="23916"/>
  <c r="FJ762" i="23916"/>
  <c r="FJ763" i="23916"/>
  <c r="FJ760" i="23916"/>
  <c r="FJ752" i="23916"/>
  <c r="FJ749" i="23916"/>
  <c r="FJ750" i="23916"/>
  <c r="FJ751" i="23916"/>
  <c r="FN761" i="23916"/>
  <c r="FN762" i="23916"/>
  <c r="FN760" i="23916"/>
  <c r="FN763" i="23916"/>
  <c r="FN752" i="23916"/>
  <c r="FN749" i="23916"/>
  <c r="FN751" i="23916"/>
  <c r="FN750" i="23916"/>
  <c r="CV715" i="23916"/>
  <c r="FK715" i="23916"/>
  <c r="Z717" i="23916"/>
  <c r="AH717" i="23916"/>
  <c r="AP717" i="23916"/>
  <c r="AX717" i="23916"/>
  <c r="BF717" i="23916"/>
  <c r="BT716" i="23916"/>
  <c r="BL716" i="23916"/>
  <c r="BQ763" i="23916"/>
  <c r="BR763" i="23916" s="1"/>
  <c r="BR715" i="23916"/>
  <c r="BW717" i="23916"/>
  <c r="CG717" i="23916"/>
  <c r="FF717" i="23916"/>
  <c r="FG717" i="23916" s="1"/>
  <c r="FJ719" i="23916"/>
  <c r="FN719" i="23916"/>
  <c r="FO718" i="23916"/>
  <c r="FT719" i="23916"/>
  <c r="P721" i="23916"/>
  <c r="T721" i="23916"/>
  <c r="V721" i="23916"/>
  <c r="X721" i="23916"/>
  <c r="Z721" i="23916"/>
  <c r="AB721" i="23916"/>
  <c r="AD721" i="23916"/>
  <c r="AF721" i="23916"/>
  <c r="AH721" i="23916"/>
  <c r="AJ721" i="23916"/>
  <c r="AL721" i="23916"/>
  <c r="AN721" i="23916"/>
  <c r="AP721" i="23916"/>
  <c r="AR721" i="23916"/>
  <c r="AT721" i="23916"/>
  <c r="AV721" i="23916"/>
  <c r="AX721" i="23916"/>
  <c r="AZ721" i="23916"/>
  <c r="BB721" i="23916"/>
  <c r="BD721" i="23916"/>
  <c r="BF721" i="23916"/>
  <c r="BI722" i="23916"/>
  <c r="BJ722" i="23916" s="1"/>
  <c r="CN720" i="23916"/>
  <c r="CR720" i="23916"/>
  <c r="CV720" i="23916"/>
  <c r="CZ720" i="23916"/>
  <c r="DD720" i="23916"/>
  <c r="DH720" i="23916"/>
  <c r="DL720" i="23916"/>
  <c r="DP720" i="23916"/>
  <c r="DT720" i="23916"/>
  <c r="DX720" i="23916"/>
  <c r="EB720" i="23916"/>
  <c r="EF720" i="23916"/>
  <c r="EJ720" i="23916"/>
  <c r="EN720" i="23916"/>
  <c r="FH721" i="23916"/>
  <c r="FL721" i="23916"/>
  <c r="T736" i="23916"/>
  <c r="FJ754" i="23916"/>
  <c r="FK733" i="23916"/>
  <c r="FL735" i="23916"/>
  <c r="FL742" i="23916" s="1"/>
  <c r="FR754" i="23916"/>
  <c r="GJ734" i="23916"/>
  <c r="DW754" i="23916"/>
  <c r="DX733" i="23916"/>
  <c r="DW735" i="23916"/>
  <c r="EC754" i="23916"/>
  <c r="EC753" i="23916"/>
  <c r="EC735" i="23916"/>
  <c r="ED733" i="23916"/>
  <c r="EM754" i="23916"/>
  <c r="EN733" i="23916"/>
  <c r="EM735" i="23916"/>
  <c r="S742" i="23916"/>
  <c r="FF724" i="23916"/>
  <c r="FG724" i="23916" s="1"/>
  <c r="FG736" i="23916"/>
  <c r="FJ724" i="23916"/>
  <c r="FK736" i="23916"/>
  <c r="FN736" i="23916"/>
  <c r="FR736" i="23916"/>
  <c r="FV736" i="23916"/>
  <c r="FV721" i="23916"/>
  <c r="FZ736" i="23916"/>
  <c r="GD736" i="23916"/>
  <c r="GH736" i="23916"/>
  <c r="GL736" i="23916"/>
  <c r="FF706" i="23916"/>
  <c r="FJ706" i="23916"/>
  <c r="FN706" i="23916"/>
  <c r="FR706" i="23916"/>
  <c r="FV706" i="23916"/>
  <c r="FZ706" i="23916"/>
  <c r="GD706" i="23916"/>
  <c r="GH706" i="23916"/>
  <c r="GL706" i="23916"/>
  <c r="FR761" i="23916"/>
  <c r="FR762" i="23916"/>
  <c r="FR763" i="23916"/>
  <c r="FR760" i="23916"/>
  <c r="FR752" i="23916"/>
  <c r="FR749" i="23916"/>
  <c r="FR750" i="23916"/>
  <c r="FR751" i="23916"/>
  <c r="FV763" i="23916"/>
  <c r="FZ763" i="23916"/>
  <c r="BW763" i="23916"/>
  <c r="BW721" i="23916"/>
  <c r="BX715" i="23916"/>
  <c r="CE763" i="23916"/>
  <c r="CF763" i="23916" s="1"/>
  <c r="CE721" i="23916"/>
  <c r="CF715" i="23916"/>
  <c r="CM763" i="23916"/>
  <c r="CN763" i="23916" s="1"/>
  <c r="CM721" i="23916"/>
  <c r="CN715" i="23916"/>
  <c r="CU763" i="23916"/>
  <c r="CV763" i="23916" s="1"/>
  <c r="CU717" i="23916"/>
  <c r="FI714" i="23916"/>
  <c r="BM763" i="23916"/>
  <c r="BN763" i="23916" s="1"/>
  <c r="BM762" i="23916"/>
  <c r="BN762" i="23916" s="1"/>
  <c r="BM761" i="23916"/>
  <c r="BN761" i="23916" s="1"/>
  <c r="BM760" i="23916"/>
  <c r="BN760" i="23916" s="1"/>
  <c r="BN715" i="23916"/>
  <c r="BM719" i="23916"/>
  <c r="BN719" i="23916" s="1"/>
  <c r="BZ716" i="23916"/>
  <c r="BR716" i="23916"/>
  <c r="BY717" i="23916"/>
  <c r="DB717" i="23916"/>
  <c r="CS721" i="23916"/>
  <c r="GB718" i="23916"/>
  <c r="FP719" i="23916"/>
  <c r="FQ719" i="23916" s="1"/>
  <c r="FZ719" i="23916"/>
  <c r="GA718" i="23916"/>
  <c r="N722" i="23916"/>
  <c r="P722" i="23916"/>
  <c r="V722" i="23916"/>
  <c r="X722" i="23916"/>
  <c r="Z722" i="23916"/>
  <c r="AB722" i="23916"/>
  <c r="AD722" i="23916"/>
  <c r="AF722" i="23916"/>
  <c r="AH722" i="23916"/>
  <c r="AJ722" i="23916"/>
  <c r="AL722" i="23916"/>
  <c r="AN722" i="23916"/>
  <c r="AP722" i="23916"/>
  <c r="AR722" i="23916"/>
  <c r="AT722" i="23916"/>
  <c r="AV722" i="23916"/>
  <c r="AX722" i="23916"/>
  <c r="AZ722" i="23916"/>
  <c r="BB722" i="23916"/>
  <c r="BD722" i="23916"/>
  <c r="BF722" i="23916"/>
  <c r="BM721" i="23916"/>
  <c r="BU721" i="23916"/>
  <c r="CC719" i="23916"/>
  <c r="CD719" i="23916" s="1"/>
  <c r="CK719" i="23916"/>
  <c r="CL719" i="23916" s="1"/>
  <c r="CS719" i="23916"/>
  <c r="CT719" i="23916" s="1"/>
  <c r="FQ727" i="23916"/>
  <c r="FF754" i="23916"/>
  <c r="FF735" i="23916"/>
  <c r="FG735" i="23916" s="1"/>
  <c r="FG733" i="23916"/>
  <c r="FH735" i="23916"/>
  <c r="FI735" i="23916" s="1"/>
  <c r="GL734" i="23916"/>
  <c r="GM734" i="23916" s="1"/>
  <c r="GK731" i="23916"/>
  <c r="DS754" i="23916"/>
  <c r="EI754" i="23916"/>
  <c r="EJ733" i="23916"/>
  <c r="AI742" i="23916"/>
  <c r="DB684" i="23916"/>
  <c r="GM793" i="23916"/>
  <c r="GJ687" i="23916"/>
  <c r="GN687" i="23916"/>
  <c r="I692" i="23916"/>
  <c r="ET702" i="23916"/>
  <c r="FG704" i="23916"/>
  <c r="FK704" i="23916"/>
  <c r="FO704" i="23916"/>
  <c r="FS704" i="23916"/>
  <c r="FW704" i="23916"/>
  <c r="GA704" i="23916"/>
  <c r="GE704" i="23916"/>
  <c r="GI704" i="23916"/>
  <c r="GM704" i="23916"/>
  <c r="R703" i="23916"/>
  <c r="AH703" i="23916"/>
  <c r="AX703" i="23916"/>
  <c r="BN703" i="23916"/>
  <c r="K706" i="23916"/>
  <c r="O706" i="23916"/>
  <c r="S706" i="23916"/>
  <c r="W706" i="23916"/>
  <c r="AA706" i="23916"/>
  <c r="AE706" i="23916"/>
  <c r="AI706" i="23916"/>
  <c r="AM706" i="23916"/>
  <c r="AQ706" i="23916"/>
  <c r="AU706" i="23916"/>
  <c r="AY706" i="23916"/>
  <c r="BC706" i="23916"/>
  <c r="BG706" i="23916"/>
  <c r="BK706" i="23916"/>
  <c r="BO706" i="23916"/>
  <c r="BS706" i="23916"/>
  <c r="BW706" i="23916"/>
  <c r="CA706" i="23916"/>
  <c r="CE706" i="23916"/>
  <c r="CI706" i="23916"/>
  <c r="CM706" i="23916"/>
  <c r="CQ706" i="23916"/>
  <c r="CU706" i="23916"/>
  <c r="CY706" i="23916"/>
  <c r="DC706" i="23916"/>
  <c r="DG706" i="23916"/>
  <c r="DK706" i="23916"/>
  <c r="DO706" i="23916"/>
  <c r="DS706" i="23916"/>
  <c r="DW706" i="23916"/>
  <c r="EA706" i="23916"/>
  <c r="EE706" i="23916"/>
  <c r="EI706" i="23916"/>
  <c r="EM706" i="23916"/>
  <c r="ET715" i="23916"/>
  <c r="FQ714" i="23916"/>
  <c r="FU714" i="23916"/>
  <c r="FY714" i="23916"/>
  <c r="GC714" i="23916"/>
  <c r="GG714" i="23916"/>
  <c r="GK714" i="23916"/>
  <c r="GO714" i="23916"/>
  <c r="FS715" i="23916"/>
  <c r="FW715" i="23916"/>
  <c r="GA715" i="23916"/>
  <c r="GE715" i="23916"/>
  <c r="GI715" i="23916"/>
  <c r="GM715" i="23916"/>
  <c r="BO763" i="23916"/>
  <c r="BP763" i="23916" s="1"/>
  <c r="BO721" i="23916"/>
  <c r="BP715" i="23916"/>
  <c r="BO717" i="23916"/>
  <c r="BP717" i="23916" s="1"/>
  <c r="BY763" i="23916"/>
  <c r="BZ763" i="23916" s="1"/>
  <c r="BZ715" i="23916"/>
  <c r="CG763" i="23916"/>
  <c r="CH763" i="23916" s="1"/>
  <c r="CG721" i="23916"/>
  <c r="CH715" i="23916"/>
  <c r="CO763" i="23916"/>
  <c r="CP763" i="23916" s="1"/>
  <c r="CO721" i="23916"/>
  <c r="CP715" i="23916"/>
  <c r="CW763" i="23916"/>
  <c r="CX763" i="23916" s="1"/>
  <c r="FH763" i="23916"/>
  <c r="FI763" i="23916" s="1"/>
  <c r="FH762" i="23916"/>
  <c r="FI762" i="23916" s="1"/>
  <c r="FH760" i="23916"/>
  <c r="FI760" i="23916" s="1"/>
  <c r="FH761" i="23916"/>
  <c r="FI761" i="23916" s="1"/>
  <c r="FH750" i="23916"/>
  <c r="FI750" i="23916" s="1"/>
  <c r="FH751" i="23916"/>
  <c r="FI751" i="23916" s="1"/>
  <c r="FH752" i="23916"/>
  <c r="FI752" i="23916" s="1"/>
  <c r="FH749" i="23916"/>
  <c r="FI749" i="23916" s="1"/>
  <c r="FI715" i="23916"/>
  <c r="FL763" i="23916"/>
  <c r="FM763" i="23916" s="1"/>
  <c r="FL762" i="23916"/>
  <c r="FM762" i="23916" s="1"/>
  <c r="FL760" i="23916"/>
  <c r="FM760" i="23916" s="1"/>
  <c r="FL761" i="23916"/>
  <c r="FM761" i="23916" s="1"/>
  <c r="FL750" i="23916"/>
  <c r="FM750" i="23916" s="1"/>
  <c r="FL751" i="23916"/>
  <c r="FM751" i="23916" s="1"/>
  <c r="FL752" i="23916"/>
  <c r="FM752" i="23916" s="1"/>
  <c r="FL749" i="23916"/>
  <c r="FM749" i="23916" s="1"/>
  <c r="FM714" i="23916"/>
  <c r="V717" i="23916"/>
  <c r="AD717" i="23916"/>
  <c r="AL717" i="23916"/>
  <c r="AT717" i="23916"/>
  <c r="BB717" i="23916"/>
  <c r="BJ717" i="23916"/>
  <c r="BV716" i="23916"/>
  <c r="BN716" i="23916"/>
  <c r="BQ717" i="23916"/>
  <c r="BR717" i="23916" s="1"/>
  <c r="CD717" i="23916"/>
  <c r="CM717" i="23916"/>
  <c r="FH719" i="23916"/>
  <c r="FI719" i="23916" s="1"/>
  <c r="FL719" i="23916"/>
  <c r="FM719" i="23916" s="1"/>
  <c r="FV719" i="23916"/>
  <c r="FW719" i="23916" s="1"/>
  <c r="FW718" i="23916"/>
  <c r="L719" i="23916"/>
  <c r="T719" i="23916"/>
  <c r="BO719" i="23916"/>
  <c r="BP719" i="23916" s="1"/>
  <c r="K722" i="23916"/>
  <c r="L722" i="23916" s="1"/>
  <c r="L721" i="23916"/>
  <c r="CD720" i="23916"/>
  <c r="FX720" i="23916"/>
  <c r="FY720" i="23916" s="1"/>
  <c r="CL720" i="23916"/>
  <c r="FZ720" i="23916"/>
  <c r="GA720" i="23916" s="1"/>
  <c r="CP720" i="23916"/>
  <c r="CT720" i="23916"/>
  <c r="GB720" i="23916"/>
  <c r="GC720" i="23916" s="1"/>
  <c r="CX720" i="23916"/>
  <c r="DB720" i="23916"/>
  <c r="GD720" i="23916"/>
  <c r="DF720" i="23916"/>
  <c r="DJ720" i="23916"/>
  <c r="GF720" i="23916"/>
  <c r="GG720" i="23916" s="1"/>
  <c r="DN720" i="23916"/>
  <c r="DR720" i="23916"/>
  <c r="GH720" i="23916"/>
  <c r="GI720" i="23916" s="1"/>
  <c r="DV720" i="23916"/>
  <c r="DZ720" i="23916"/>
  <c r="GJ720" i="23916"/>
  <c r="GK720" i="23916" s="1"/>
  <c r="ED720" i="23916"/>
  <c r="EH720" i="23916"/>
  <c r="GL720" i="23916"/>
  <c r="EL720" i="23916"/>
  <c r="EP720" i="23916"/>
  <c r="GN720" i="23916"/>
  <c r="GO720" i="23916" s="1"/>
  <c r="FF721" i="23916"/>
  <c r="FL754" i="23916"/>
  <c r="FM754" i="23916" s="1"/>
  <c r="FM733" i="23916"/>
  <c r="FN735" i="23916"/>
  <c r="FO735" i="23916" s="1"/>
  <c r="DO754" i="23916"/>
  <c r="DU754" i="23916"/>
  <c r="DU753" i="23916"/>
  <c r="DU735" i="23916"/>
  <c r="EE754" i="23916"/>
  <c r="EF754" i="23916" s="1"/>
  <c r="EF733" i="23916"/>
  <c r="EE735" i="23916"/>
  <c r="EF735" i="23916" s="1"/>
  <c r="EK754" i="23916"/>
  <c r="EL754" i="23916" s="1"/>
  <c r="EK753" i="23916"/>
  <c r="EL753" i="23916" s="1"/>
  <c r="EK735" i="23916"/>
  <c r="EL735" i="23916" s="1"/>
  <c r="EL733" i="23916"/>
  <c r="AY742" i="23916"/>
  <c r="AY900" i="23916"/>
  <c r="AY789" i="23916"/>
  <c r="BC900" i="23916"/>
  <c r="BC789" i="23916"/>
  <c r="BG900" i="23916"/>
  <c r="BG789" i="23916"/>
  <c r="BK900" i="23916"/>
  <c r="BK789" i="23916"/>
  <c r="BO900" i="23916"/>
  <c r="BO789" i="23916"/>
  <c r="BS900" i="23916"/>
  <c r="BS789" i="23916"/>
  <c r="FH689" i="23916"/>
  <c r="FL689" i="23916"/>
  <c r="FM689" i="23916" s="1"/>
  <c r="FP689" i="23916"/>
  <c r="FQ689" i="23916" s="1"/>
  <c r="K692" i="23916"/>
  <c r="O692" i="23916"/>
  <c r="S692" i="23916"/>
  <c r="W692" i="23916"/>
  <c r="AA692" i="23916"/>
  <c r="AE692" i="23916"/>
  <c r="AI692" i="23916"/>
  <c r="AM692" i="23916"/>
  <c r="AQ692" i="23916"/>
  <c r="AU692" i="23916"/>
  <c r="AY692" i="23916"/>
  <c r="BC692" i="23916"/>
  <c r="BG692" i="23916"/>
  <c r="BO692" i="23916"/>
  <c r="BS692" i="23916"/>
  <c r="FH724" i="23916"/>
  <c r="FI724" i="23916" s="1"/>
  <c r="FI736" i="23916"/>
  <c r="FL724" i="23916"/>
  <c r="FM724" i="23916" s="1"/>
  <c r="FM736" i="23916"/>
  <c r="FP736" i="23916"/>
  <c r="FT736" i="23916"/>
  <c r="FT721" i="23916"/>
  <c r="FX736" i="23916"/>
  <c r="FX721" i="23916"/>
  <c r="GB736" i="23916"/>
  <c r="GB721" i="23916"/>
  <c r="GF736" i="23916"/>
  <c r="GJ736" i="23916"/>
  <c r="GN736" i="23916"/>
  <c r="FE705" i="23916"/>
  <c r="FH706" i="23916"/>
  <c r="FL706" i="23916"/>
  <c r="FP706" i="23916"/>
  <c r="FT706" i="23916"/>
  <c r="FX706" i="23916"/>
  <c r="GB706" i="23916"/>
  <c r="GF706" i="23916"/>
  <c r="GJ706" i="23916"/>
  <c r="GN706" i="23916"/>
  <c r="ER714" i="23916"/>
  <c r="EU715" i="23916"/>
  <c r="FP763" i="23916"/>
  <c r="FQ763" i="23916" s="1"/>
  <c r="FP762" i="23916"/>
  <c r="FQ762" i="23916" s="1"/>
  <c r="FP760" i="23916"/>
  <c r="FQ760" i="23916" s="1"/>
  <c r="FP761" i="23916"/>
  <c r="FQ761" i="23916" s="1"/>
  <c r="FT763" i="23916"/>
  <c r="FU763" i="23916" s="1"/>
  <c r="FT762" i="23916"/>
  <c r="FU762" i="23916" s="1"/>
  <c r="FT760" i="23916"/>
  <c r="FU760" i="23916" s="1"/>
  <c r="FT761" i="23916"/>
  <c r="FU761" i="23916" s="1"/>
  <c r="FX763" i="23916"/>
  <c r="FY763" i="23916" s="1"/>
  <c r="GB763" i="23916"/>
  <c r="GC763" i="23916" s="1"/>
  <c r="BS763" i="23916"/>
  <c r="BS721" i="23916"/>
  <c r="BS719" i="23916"/>
  <c r="BT715" i="23916"/>
  <c r="BS717" i="23916"/>
  <c r="CA763" i="23916"/>
  <c r="CB763" i="23916" s="1"/>
  <c r="CA721" i="23916"/>
  <c r="CA719" i="23916"/>
  <c r="CB719" i="23916" s="1"/>
  <c r="CB715" i="23916"/>
  <c r="CA717" i="23916"/>
  <c r="CB717" i="23916" s="1"/>
  <c r="CI763" i="23916"/>
  <c r="CJ763" i="23916" s="1"/>
  <c r="CI721" i="23916"/>
  <c r="CJ715" i="23916"/>
  <c r="CI717" i="23916"/>
  <c r="CJ717" i="23916" s="1"/>
  <c r="CQ763" i="23916"/>
  <c r="CQ721" i="23916"/>
  <c r="CQ717" i="23916"/>
  <c r="CX715" i="23916"/>
  <c r="DF715" i="23916"/>
  <c r="FK714" i="23916"/>
  <c r="FM715" i="23916"/>
  <c r="P717" i="23916"/>
  <c r="X717" i="23916"/>
  <c r="AF717" i="23916"/>
  <c r="AN717" i="23916"/>
  <c r="AV717" i="23916"/>
  <c r="BD717" i="23916"/>
  <c r="BK763" i="23916"/>
  <c r="BL763" i="23916" s="1"/>
  <c r="BK762" i="23916"/>
  <c r="BL762" i="23916" s="1"/>
  <c r="BK761" i="23916"/>
  <c r="BL761" i="23916" s="1"/>
  <c r="BK760" i="23916"/>
  <c r="BL760" i="23916" s="1"/>
  <c r="BK721" i="23916"/>
  <c r="BK719" i="23916"/>
  <c r="BL719" i="23916" s="1"/>
  <c r="BL715" i="23916"/>
  <c r="BK717" i="23916"/>
  <c r="BL717" i="23916" s="1"/>
  <c r="BV717" i="23916"/>
  <c r="CE717" i="23916"/>
  <c r="CF717" i="23916" s="1"/>
  <c r="CO717" i="23916"/>
  <c r="CP717" i="23916" s="1"/>
  <c r="CU721" i="23916"/>
  <c r="CV718" i="23916"/>
  <c r="FR719" i="23916"/>
  <c r="FS719" i="23916" s="1"/>
  <c r="FS718" i="23916"/>
  <c r="FX719" i="23916"/>
  <c r="FY719" i="23916" s="1"/>
  <c r="FM720" i="23916"/>
  <c r="BR721" i="23916"/>
  <c r="BY721" i="23916"/>
  <c r="CE719" i="23916"/>
  <c r="CF719" i="23916" s="1"/>
  <c r="CI719" i="23916"/>
  <c r="CJ719" i="23916" s="1"/>
  <c r="CM719" i="23916"/>
  <c r="CN719" i="23916" s="1"/>
  <c r="CQ719" i="23916"/>
  <c r="CR719" i="23916" s="1"/>
  <c r="CU719" i="23916"/>
  <c r="X736" i="23916"/>
  <c r="FH754" i="23916"/>
  <c r="FI754" i="23916" s="1"/>
  <c r="FI733" i="23916"/>
  <c r="FJ735" i="23916"/>
  <c r="FK735" i="23916" s="1"/>
  <c r="FN754" i="23916"/>
  <c r="FO754" i="23916" s="1"/>
  <c r="FO733" i="23916"/>
  <c r="GM731" i="23916"/>
  <c r="EA754" i="23916"/>
  <c r="EB754" i="23916" s="1"/>
  <c r="EB733" i="23916"/>
  <c r="GM732" i="23916"/>
  <c r="BG722" i="23916"/>
  <c r="BH722" i="23916" s="1"/>
  <c r="FD722" i="23916"/>
  <c r="FE722" i="23916" s="1"/>
  <c r="FJ720" i="23916"/>
  <c r="FK720" i="23916" s="1"/>
  <c r="FN720" i="23916"/>
  <c r="FO720" i="23916" s="1"/>
  <c r="FP720" i="23916"/>
  <c r="FQ720" i="23916" s="1"/>
  <c r="FR720" i="23916"/>
  <c r="FR721" i="23916" s="1"/>
  <c r="N724" i="23916"/>
  <c r="R724" i="23916"/>
  <c r="V724" i="23916"/>
  <c r="Z724" i="23916"/>
  <c r="AD724" i="23916"/>
  <c r="AH724" i="23916"/>
  <c r="AP724" i="23916"/>
  <c r="BF720" i="23916"/>
  <c r="ES730" i="23916"/>
  <c r="FI729" i="23916"/>
  <c r="FM729" i="23916"/>
  <c r="FS729" i="23916"/>
  <c r="FW729" i="23916"/>
  <c r="GA729" i="23916"/>
  <c r="GE729" i="23916"/>
  <c r="GI729" i="23916"/>
  <c r="GM729" i="23916"/>
  <c r="BL730" i="23916"/>
  <c r="E766" i="23916"/>
  <c r="E734" i="23916"/>
  <c r="L731" i="23916"/>
  <c r="P731" i="23916"/>
  <c r="T731" i="23916"/>
  <c r="X731" i="23916"/>
  <c r="AB731" i="23916"/>
  <c r="AF731" i="23916"/>
  <c r="AJ731" i="23916"/>
  <c r="AN731" i="23916"/>
  <c r="AR731" i="23916"/>
  <c r="AV731" i="23916"/>
  <c r="AZ731" i="23916"/>
  <c r="BD731" i="23916"/>
  <c r="BH731" i="23916"/>
  <c r="DQ734" i="23916"/>
  <c r="DU734" i="23916"/>
  <c r="DY734" i="23916"/>
  <c r="DZ734" i="23916" s="1"/>
  <c r="EC734" i="23916"/>
  <c r="ED734" i="23916" s="1"/>
  <c r="EG734" i="23916"/>
  <c r="EH734" i="23916" s="1"/>
  <c r="EK734" i="23916"/>
  <c r="EL734" i="23916" s="1"/>
  <c r="EO734" i="23916"/>
  <c r="EP734" i="23916" s="1"/>
  <c r="DP732" i="23916"/>
  <c r="DT732" i="23916"/>
  <c r="DX732" i="23916"/>
  <c r="EB732" i="23916"/>
  <c r="EF732" i="23916"/>
  <c r="EJ732" i="23916"/>
  <c r="EN732" i="23916"/>
  <c r="FH731" i="23916"/>
  <c r="FL731" i="23916"/>
  <c r="FP731" i="23916"/>
  <c r="GH733" i="23916"/>
  <c r="GL733" i="23916"/>
  <c r="O754" i="23916"/>
  <c r="O752" i="23916"/>
  <c r="O751" i="23916"/>
  <c r="O750" i="23916"/>
  <c r="O749" i="23916"/>
  <c r="O756" i="23916"/>
  <c r="T733" i="23916"/>
  <c r="Y756" i="23916"/>
  <c r="Y754" i="23916"/>
  <c r="Y753" i="23916"/>
  <c r="Y752" i="23916"/>
  <c r="Y751" i="23916"/>
  <c r="Y750" i="23916"/>
  <c r="Y735" i="23916"/>
  <c r="Y749" i="23916"/>
  <c r="Z733" i="23916"/>
  <c r="AE754" i="23916"/>
  <c r="AE752" i="23916"/>
  <c r="AE751" i="23916"/>
  <c r="AE750" i="23916"/>
  <c r="AE749" i="23916"/>
  <c r="AE756" i="23916"/>
  <c r="AJ733" i="23916"/>
  <c r="AO756" i="23916"/>
  <c r="AO754" i="23916"/>
  <c r="AO753" i="23916"/>
  <c r="AO752" i="23916"/>
  <c r="AO751" i="23916"/>
  <c r="AO750" i="23916"/>
  <c r="AO735" i="23916"/>
  <c r="AO744" i="23916" s="1"/>
  <c r="AO749" i="23916"/>
  <c r="AP733" i="23916"/>
  <c r="AU754" i="23916"/>
  <c r="AU752" i="23916"/>
  <c r="AU751" i="23916"/>
  <c r="AU750" i="23916"/>
  <c r="AU749" i="23916"/>
  <c r="AU756" i="23916"/>
  <c r="AZ733" i="23916"/>
  <c r="BE756" i="23916"/>
  <c r="BE754" i="23916"/>
  <c r="BE753" i="23916"/>
  <c r="BE752" i="23916"/>
  <c r="BE751" i="23916"/>
  <c r="BE750" i="23916"/>
  <c r="BE749" i="23916"/>
  <c r="BE735" i="23916"/>
  <c r="BF733" i="23916"/>
  <c r="BK733" i="23916"/>
  <c r="BK711" i="23916" s="1"/>
  <c r="DQ733" i="23916"/>
  <c r="DS735" i="23916" s="1"/>
  <c r="EG733" i="23916"/>
  <c r="O734" i="23916"/>
  <c r="Y734" i="23916"/>
  <c r="Y745" i="23916" s="1"/>
  <c r="AE734" i="23916"/>
  <c r="AO734" i="23916"/>
  <c r="AU734" i="23916"/>
  <c r="BE734" i="23916"/>
  <c r="BE745" i="23916" s="1"/>
  <c r="O735" i="23916"/>
  <c r="AE735" i="23916"/>
  <c r="AU735" i="23916"/>
  <c r="AE736" i="23916"/>
  <c r="AF736" i="23916" s="1"/>
  <c r="AP736" i="23916"/>
  <c r="BD720" i="23916"/>
  <c r="FH727" i="23916"/>
  <c r="FI727" i="23916" s="1"/>
  <c r="FL727" i="23916"/>
  <c r="FM727" i="23916" s="1"/>
  <c r="FI728" i="23916"/>
  <c r="FM728" i="23916"/>
  <c r="FF765" i="23916"/>
  <c r="FG765" i="23916" s="1"/>
  <c r="FF764" i="23916"/>
  <c r="FG764" i="23916" s="1"/>
  <c r="FJ765" i="23916"/>
  <c r="FJ764" i="23916"/>
  <c r="FN765" i="23916"/>
  <c r="FN764" i="23916"/>
  <c r="FR727" i="23916"/>
  <c r="FS727" i="23916" s="1"/>
  <c r="GH727" i="23916"/>
  <c r="GL727" i="23916"/>
  <c r="GO727" i="23916" s="1"/>
  <c r="FQ728" i="23916"/>
  <c r="FU728" i="23916"/>
  <c r="FY728" i="23916"/>
  <c r="GC728" i="23916"/>
  <c r="GG728" i="23916"/>
  <c r="GK728" i="23916"/>
  <c r="GO728" i="23916"/>
  <c r="FP765" i="23916"/>
  <c r="FQ765" i="23916" s="1"/>
  <c r="FP764" i="23916"/>
  <c r="FQ764" i="23916" s="1"/>
  <c r="FT765" i="23916"/>
  <c r="FT764" i="23916"/>
  <c r="FX765" i="23916"/>
  <c r="FX764" i="23916"/>
  <c r="GB765" i="23916"/>
  <c r="GB764" i="23916"/>
  <c r="GF765" i="23916"/>
  <c r="GF764" i="23916"/>
  <c r="GJ765" i="23916"/>
  <c r="GJ764" i="23916"/>
  <c r="GN765" i="23916"/>
  <c r="GN764" i="23916"/>
  <c r="GN731" i="23916"/>
  <c r="GO731" i="23916" s="1"/>
  <c r="GN733" i="23916"/>
  <c r="FS730" i="23916"/>
  <c r="GM730" i="23916"/>
  <c r="BN727" i="23916"/>
  <c r="G766" i="23916"/>
  <c r="G734" i="23916"/>
  <c r="G745" i="23916" s="1"/>
  <c r="N766" i="23916"/>
  <c r="FH766" i="23916"/>
  <c r="V766" i="23916"/>
  <c r="FJ766" i="23916"/>
  <c r="FK766" i="23916" s="1"/>
  <c r="Z766" i="23916"/>
  <c r="AD766" i="23916"/>
  <c r="FL766" i="23916"/>
  <c r="AH766" i="23916"/>
  <c r="AL766" i="23916"/>
  <c r="FN766" i="23916"/>
  <c r="AP766" i="23916"/>
  <c r="AT766" i="23916"/>
  <c r="FP766" i="23916"/>
  <c r="FQ766" i="23916" s="1"/>
  <c r="AX766" i="23916"/>
  <c r="BB766" i="23916"/>
  <c r="FR766" i="23916"/>
  <c r="FS766" i="23916" s="1"/>
  <c r="BF766" i="23916"/>
  <c r="BJ766" i="23916"/>
  <c r="BM731" i="23916"/>
  <c r="GO732" i="23916"/>
  <c r="K756" i="23916"/>
  <c r="K752" i="23916"/>
  <c r="K751" i="23916"/>
  <c r="K750" i="23916"/>
  <c r="K749" i="23916"/>
  <c r="K754" i="23916"/>
  <c r="U754" i="23916"/>
  <c r="U753" i="23916"/>
  <c r="U752" i="23916"/>
  <c r="U751" i="23916"/>
  <c r="U750" i="23916"/>
  <c r="U756" i="23916"/>
  <c r="U749" i="23916"/>
  <c r="U735" i="23916"/>
  <c r="U744" i="23916" s="1"/>
  <c r="V733" i="23916"/>
  <c r="AA756" i="23916"/>
  <c r="AA752" i="23916"/>
  <c r="AA751" i="23916"/>
  <c r="AA750" i="23916"/>
  <c r="AA749" i="23916"/>
  <c r="AA754" i="23916"/>
  <c r="AK754" i="23916"/>
  <c r="AK753" i="23916"/>
  <c r="AK752" i="23916"/>
  <c r="AK751" i="23916"/>
  <c r="AK750" i="23916"/>
  <c r="AK756" i="23916"/>
  <c r="AK749" i="23916"/>
  <c r="AK735" i="23916"/>
  <c r="AK744" i="23916" s="1"/>
  <c r="AL733" i="23916"/>
  <c r="AQ756" i="23916"/>
  <c r="AQ752" i="23916"/>
  <c r="AQ751" i="23916"/>
  <c r="AQ750" i="23916"/>
  <c r="AQ749" i="23916"/>
  <c r="AQ754" i="23916"/>
  <c r="BA754" i="23916"/>
  <c r="BA753" i="23916"/>
  <c r="BA752" i="23916"/>
  <c r="BA751" i="23916"/>
  <c r="BA750" i="23916"/>
  <c r="BA756" i="23916"/>
  <c r="BA749" i="23916"/>
  <c r="BA735" i="23916"/>
  <c r="BA744" i="23916" s="1"/>
  <c r="BB744" i="23916" s="1"/>
  <c r="BB733" i="23916"/>
  <c r="BG756" i="23916"/>
  <c r="BG752" i="23916"/>
  <c r="BG751" i="23916"/>
  <c r="BG750" i="23916"/>
  <c r="BG749" i="23916"/>
  <c r="BG754" i="23916"/>
  <c r="K734" i="23916"/>
  <c r="U734" i="23916"/>
  <c r="AA734" i="23916"/>
  <c r="AK734" i="23916"/>
  <c r="AK745" i="23916" s="1"/>
  <c r="AQ734" i="23916"/>
  <c r="BA734" i="23916"/>
  <c r="BG734" i="23916"/>
  <c r="AJ736" i="23916"/>
  <c r="AR736" i="23916"/>
  <c r="AZ736" i="23916"/>
  <c r="BH736" i="23916"/>
  <c r="BB720" i="23916"/>
  <c r="Z727" i="23916"/>
  <c r="AP727" i="23916"/>
  <c r="AX727" i="23916"/>
  <c r="I766" i="23916"/>
  <c r="FF766" i="23916" s="1"/>
  <c r="FG766" i="23916" s="1"/>
  <c r="I734" i="23916"/>
  <c r="I745" i="23916" s="1"/>
  <c r="R731" i="23916"/>
  <c r="FF731" i="23916"/>
  <c r="FJ731" i="23916"/>
  <c r="FN731" i="23916"/>
  <c r="FR731" i="23916"/>
  <c r="FP733" i="23916"/>
  <c r="FT733" i="23916"/>
  <c r="FT750" i="23916" s="1"/>
  <c r="FU750" i="23916" s="1"/>
  <c r="GJ733" i="23916"/>
  <c r="Q756" i="23916"/>
  <c r="Q752" i="23916"/>
  <c r="Q751" i="23916"/>
  <c r="Q750" i="23916"/>
  <c r="Q754" i="23916"/>
  <c r="Q753" i="23916"/>
  <c r="Q735" i="23916"/>
  <c r="Q749" i="23916"/>
  <c r="R733" i="23916"/>
  <c r="W752" i="23916"/>
  <c r="X752" i="23916" s="1"/>
  <c r="W751" i="23916"/>
  <c r="X751" i="23916" s="1"/>
  <c r="W750" i="23916"/>
  <c r="X750" i="23916" s="1"/>
  <c r="W749" i="23916"/>
  <c r="X749" i="23916" s="1"/>
  <c r="W756" i="23916"/>
  <c r="X756" i="23916" s="1"/>
  <c r="W754" i="23916"/>
  <c r="X754" i="23916" s="1"/>
  <c r="AG756" i="23916"/>
  <c r="AG752" i="23916"/>
  <c r="AH752" i="23916" s="1"/>
  <c r="AG751" i="23916"/>
  <c r="AH751" i="23916" s="1"/>
  <c r="AG750" i="23916"/>
  <c r="AH750" i="23916" s="1"/>
  <c r="AG754" i="23916"/>
  <c r="AH754" i="23916" s="1"/>
  <c r="AG753" i="23916"/>
  <c r="AH753" i="23916" s="1"/>
  <c r="AG735" i="23916"/>
  <c r="AG749" i="23916"/>
  <c r="AH749" i="23916" s="1"/>
  <c r="AH733" i="23916"/>
  <c r="AM752" i="23916"/>
  <c r="AN752" i="23916" s="1"/>
  <c r="AM751" i="23916"/>
  <c r="AN751" i="23916" s="1"/>
  <c r="AM750" i="23916"/>
  <c r="AN750" i="23916" s="1"/>
  <c r="AM749" i="23916"/>
  <c r="AN749" i="23916" s="1"/>
  <c r="AM756" i="23916"/>
  <c r="AN756" i="23916" s="1"/>
  <c r="AM754" i="23916"/>
  <c r="AN754" i="23916" s="1"/>
  <c r="AW756" i="23916"/>
  <c r="AW752" i="23916"/>
  <c r="AX752" i="23916" s="1"/>
  <c r="AW751" i="23916"/>
  <c r="AX751" i="23916" s="1"/>
  <c r="AW750" i="23916"/>
  <c r="AX750" i="23916" s="1"/>
  <c r="AW754" i="23916"/>
  <c r="AX754" i="23916" s="1"/>
  <c r="AW753" i="23916"/>
  <c r="AX753" i="23916" s="1"/>
  <c r="AW735" i="23916"/>
  <c r="AW749" i="23916"/>
  <c r="AX749" i="23916" s="1"/>
  <c r="AX733" i="23916"/>
  <c r="BC752" i="23916"/>
  <c r="BD752" i="23916" s="1"/>
  <c r="BC751" i="23916"/>
  <c r="BD751" i="23916" s="1"/>
  <c r="BC750" i="23916"/>
  <c r="BD750" i="23916" s="1"/>
  <c r="BC749" i="23916"/>
  <c r="BD749" i="23916" s="1"/>
  <c r="BC756" i="23916"/>
  <c r="BD756" i="23916" s="1"/>
  <c r="BC754" i="23916"/>
  <c r="BD754" i="23916" s="1"/>
  <c r="BM733" i="23916"/>
  <c r="BM749" i="23916" s="1"/>
  <c r="BN749" i="23916" s="1"/>
  <c r="DY733" i="23916"/>
  <c r="EO733" i="23916"/>
  <c r="Q734" i="23916"/>
  <c r="R734" i="23916" s="1"/>
  <c r="W734" i="23916"/>
  <c r="X734" i="23916" s="1"/>
  <c r="AG734" i="23916"/>
  <c r="AH734" i="23916" s="1"/>
  <c r="AM734" i="23916"/>
  <c r="AN734" i="23916" s="1"/>
  <c r="AW734" i="23916"/>
  <c r="AX734" i="23916" s="1"/>
  <c r="BC734" i="23916"/>
  <c r="BD734" i="23916" s="1"/>
  <c r="EE734" i="23916"/>
  <c r="EF734" i="23916" s="1"/>
  <c r="W735" i="23916"/>
  <c r="W744" i="23916" s="1"/>
  <c r="AM735" i="23916"/>
  <c r="BC735" i="23916"/>
  <c r="AL736" i="23916"/>
  <c r="FE742" i="23916"/>
  <c r="N736" i="23916"/>
  <c r="V736" i="23916"/>
  <c r="Z736" i="23916"/>
  <c r="AD736" i="23916"/>
  <c r="AH736" i="23916"/>
  <c r="AJ724" i="23916"/>
  <c r="AZ720" i="23916"/>
  <c r="FH765" i="23916"/>
  <c r="FI765" i="23916" s="1"/>
  <c r="FH764" i="23916"/>
  <c r="FI764" i="23916" s="1"/>
  <c r="FL765" i="23916"/>
  <c r="FM765" i="23916" s="1"/>
  <c r="FL764" i="23916"/>
  <c r="FM764" i="23916" s="1"/>
  <c r="GJ727" i="23916"/>
  <c r="GK727" i="23916" s="1"/>
  <c r="FR765" i="23916"/>
  <c r="FS765" i="23916" s="1"/>
  <c r="FR764" i="23916"/>
  <c r="FS764" i="23916" s="1"/>
  <c r="FV765" i="23916"/>
  <c r="FW765" i="23916" s="1"/>
  <c r="FV764" i="23916"/>
  <c r="FW764" i="23916" s="1"/>
  <c r="FZ765" i="23916"/>
  <c r="GA765" i="23916" s="1"/>
  <c r="FZ764" i="23916"/>
  <c r="GA764" i="23916" s="1"/>
  <c r="GD765" i="23916"/>
  <c r="GE765" i="23916" s="1"/>
  <c r="GD764" i="23916"/>
  <c r="GE764" i="23916" s="1"/>
  <c r="GH765" i="23916"/>
  <c r="GI765" i="23916" s="1"/>
  <c r="GH764" i="23916"/>
  <c r="GI764" i="23916" s="1"/>
  <c r="GL765" i="23916"/>
  <c r="GM765" i="23916" s="1"/>
  <c r="GL764" i="23916"/>
  <c r="GM764" i="23916" s="1"/>
  <c r="BO730" i="23916"/>
  <c r="BO760" i="23916" s="1"/>
  <c r="BP760" i="23916" s="1"/>
  <c r="C766" i="23916"/>
  <c r="C734" i="23916"/>
  <c r="C745" i="23916" s="1"/>
  <c r="L766" i="23916"/>
  <c r="P766" i="23916"/>
  <c r="T766" i="23916"/>
  <c r="X766" i="23916"/>
  <c r="AB766" i="23916"/>
  <c r="AF766" i="23916"/>
  <c r="AJ766" i="23916"/>
  <c r="AN766" i="23916"/>
  <c r="AR766" i="23916"/>
  <c r="AV766" i="23916"/>
  <c r="AZ766" i="23916"/>
  <c r="BD766" i="23916"/>
  <c r="BH766" i="23916"/>
  <c r="BK731" i="23916"/>
  <c r="DX731" i="23916"/>
  <c r="EB731" i="23916"/>
  <c r="EF731" i="23916"/>
  <c r="EJ731" i="23916"/>
  <c r="EN731" i="23916"/>
  <c r="EQ732" i="23916"/>
  <c r="M754" i="23916"/>
  <c r="M753" i="23916"/>
  <c r="M752" i="23916"/>
  <c r="M751" i="23916"/>
  <c r="M750" i="23916"/>
  <c r="M756" i="23916"/>
  <c r="M749" i="23916"/>
  <c r="N749" i="23916" s="1"/>
  <c r="M735" i="23916"/>
  <c r="N733" i="23916"/>
  <c r="S756" i="23916"/>
  <c r="T756" i="23916" s="1"/>
  <c r="S752" i="23916"/>
  <c r="T752" i="23916" s="1"/>
  <c r="S751" i="23916"/>
  <c r="T751" i="23916" s="1"/>
  <c r="S750" i="23916"/>
  <c r="T750" i="23916" s="1"/>
  <c r="S749" i="23916"/>
  <c r="T749" i="23916" s="1"/>
  <c r="S754" i="23916"/>
  <c r="T754" i="23916" s="1"/>
  <c r="X733" i="23916"/>
  <c r="AC754" i="23916"/>
  <c r="AD754" i="23916" s="1"/>
  <c r="AC753" i="23916"/>
  <c r="AD753" i="23916" s="1"/>
  <c r="AC752" i="23916"/>
  <c r="AD752" i="23916" s="1"/>
  <c r="AC751" i="23916"/>
  <c r="AD751" i="23916" s="1"/>
  <c r="AC750" i="23916"/>
  <c r="AD750" i="23916" s="1"/>
  <c r="AC756" i="23916"/>
  <c r="AD756" i="23916" s="1"/>
  <c r="AC749" i="23916"/>
  <c r="AD749" i="23916" s="1"/>
  <c r="AC735" i="23916"/>
  <c r="AD733" i="23916"/>
  <c r="AI756" i="23916"/>
  <c r="AJ756" i="23916" s="1"/>
  <c r="AI752" i="23916"/>
  <c r="AJ752" i="23916" s="1"/>
  <c r="AI751" i="23916"/>
  <c r="AJ751" i="23916" s="1"/>
  <c r="AI750" i="23916"/>
  <c r="AJ750" i="23916" s="1"/>
  <c r="AI749" i="23916"/>
  <c r="AJ749" i="23916" s="1"/>
  <c r="AI754" i="23916"/>
  <c r="AJ754" i="23916" s="1"/>
  <c r="AN733" i="23916"/>
  <c r="AS754" i="23916"/>
  <c r="AT754" i="23916" s="1"/>
  <c r="AS753" i="23916"/>
  <c r="AT753" i="23916" s="1"/>
  <c r="AS752" i="23916"/>
  <c r="AT752" i="23916" s="1"/>
  <c r="AS751" i="23916"/>
  <c r="AT751" i="23916" s="1"/>
  <c r="AS750" i="23916"/>
  <c r="AT750" i="23916" s="1"/>
  <c r="AS756" i="23916"/>
  <c r="AT756" i="23916" s="1"/>
  <c r="AS749" i="23916"/>
  <c r="AT749" i="23916" s="1"/>
  <c r="AS735" i="23916"/>
  <c r="AS744" i="23916" s="1"/>
  <c r="AT733" i="23916"/>
  <c r="AY756" i="23916"/>
  <c r="AZ756" i="23916" s="1"/>
  <c r="AY752" i="23916"/>
  <c r="AZ752" i="23916" s="1"/>
  <c r="AY751" i="23916"/>
  <c r="AZ751" i="23916" s="1"/>
  <c r="AY750" i="23916"/>
  <c r="AZ750" i="23916" s="1"/>
  <c r="AY749" i="23916"/>
  <c r="AZ749" i="23916" s="1"/>
  <c r="AY754" i="23916"/>
  <c r="AZ754" i="23916" s="1"/>
  <c r="BD733" i="23916"/>
  <c r="BI754" i="23916"/>
  <c r="BJ754" i="23916" s="1"/>
  <c r="BI753" i="23916"/>
  <c r="BJ753" i="23916" s="1"/>
  <c r="BI752" i="23916"/>
  <c r="BJ752" i="23916" s="1"/>
  <c r="BI751" i="23916"/>
  <c r="BJ751" i="23916" s="1"/>
  <c r="BI750" i="23916"/>
  <c r="BJ750" i="23916" s="1"/>
  <c r="BI749" i="23916"/>
  <c r="BJ749" i="23916" s="1"/>
  <c r="BI756" i="23916"/>
  <c r="BJ756" i="23916" s="1"/>
  <c r="BI735" i="23916"/>
  <c r="BI842" i="23916" s="1"/>
  <c r="BJ733" i="23916"/>
  <c r="M734" i="23916"/>
  <c r="N734" i="23916" s="1"/>
  <c r="S734" i="23916"/>
  <c r="T734" i="23916" s="1"/>
  <c r="AC734" i="23916"/>
  <c r="AD734" i="23916" s="1"/>
  <c r="AI734" i="23916"/>
  <c r="AJ734" i="23916" s="1"/>
  <c r="AS734" i="23916"/>
  <c r="AT734" i="23916" s="1"/>
  <c r="AY734" i="23916"/>
  <c r="AZ734" i="23916" s="1"/>
  <c r="BI734" i="23916"/>
  <c r="BJ734" i="23916" s="1"/>
  <c r="DS734" i="23916"/>
  <c r="EI734" i="23916"/>
  <c r="K735" i="23916"/>
  <c r="K744" i="23916" s="1"/>
  <c r="AA735" i="23916"/>
  <c r="AA744" i="23916" s="1"/>
  <c r="AB744" i="23916" s="1"/>
  <c r="AQ735" i="23916"/>
  <c r="BG735" i="23916"/>
  <c r="AN736" i="23916"/>
  <c r="AV736" i="23916"/>
  <c r="BD736" i="23916"/>
  <c r="FD756" i="23916"/>
  <c r="FD754" i="23916"/>
  <c r="FD750" i="23916"/>
  <c r="FD751" i="23916"/>
  <c r="C754" i="23916"/>
  <c r="C750" i="23916"/>
  <c r="C756" i="23916"/>
  <c r="C752" i="23916"/>
  <c r="C751" i="23916"/>
  <c r="C749" i="23916"/>
  <c r="C753" i="23916"/>
  <c r="E754" i="23916"/>
  <c r="E750" i="23916"/>
  <c r="E756" i="23916"/>
  <c r="E752" i="23916"/>
  <c r="E751" i="23916"/>
  <c r="E749" i="23916"/>
  <c r="E753" i="23916"/>
  <c r="G754" i="23916"/>
  <c r="G750" i="23916"/>
  <c r="G756" i="23916"/>
  <c r="G752" i="23916"/>
  <c r="G751" i="23916"/>
  <c r="G749" i="23916"/>
  <c r="G753" i="23916"/>
  <c r="I754" i="23916"/>
  <c r="I750" i="23916"/>
  <c r="I756" i="23916"/>
  <c r="FF756" i="23916" s="1"/>
  <c r="FG756" i="23916" s="1"/>
  <c r="I752" i="23916"/>
  <c r="I751" i="23916"/>
  <c r="I749" i="23916"/>
  <c r="I753" i="23916"/>
  <c r="FD752" i="23916"/>
  <c r="FB754" i="23916"/>
  <c r="FB750" i="23916"/>
  <c r="FB756" i="23916"/>
  <c r="FB752" i="23916"/>
  <c r="FB751" i="23916"/>
  <c r="FB749" i="23916"/>
  <c r="FB753" i="23916"/>
  <c r="FD753" i="23916"/>
  <c r="C735" i="23916"/>
  <c r="C742" i="23916" s="1"/>
  <c r="E735" i="23916"/>
  <c r="E742" i="23916" s="1"/>
  <c r="G735" i="23916"/>
  <c r="G742" i="23916" s="1"/>
  <c r="I735" i="23916"/>
  <c r="I742" i="23916" s="1"/>
  <c r="FD749" i="23916"/>
  <c r="FE749" i="23916" s="1"/>
  <c r="L755" i="23916"/>
  <c r="AB755" i="23916"/>
  <c r="AR755" i="23916"/>
  <c r="BH755" i="23916"/>
  <c r="X755" i="23916"/>
  <c r="AN755" i="23916"/>
  <c r="BD755" i="23916"/>
  <c r="BT755" i="23916"/>
  <c r="P755" i="23916"/>
  <c r="AF755" i="23916"/>
  <c r="AV755" i="23916"/>
  <c r="BL755" i="23916"/>
  <c r="DQ823" i="23916"/>
  <c r="DY823" i="23916"/>
  <c r="EH772" i="23916"/>
  <c r="DZ772" i="23916"/>
  <c r="EF775" i="23916"/>
  <c r="DM823" i="23916"/>
  <c r="DN772" i="23916"/>
  <c r="DU823" i="23916"/>
  <c r="DV772" i="23916"/>
  <c r="EC823" i="23916"/>
  <c r="EL772" i="23916"/>
  <c r="ED772" i="23916"/>
  <c r="DX775" i="23916"/>
  <c r="DR769" i="23916"/>
  <c r="DZ769" i="23916"/>
  <c r="BU772" i="23916"/>
  <c r="BU823" i="23916" s="1"/>
  <c r="CC772" i="23916"/>
  <c r="CC823" i="23916" s="1"/>
  <c r="CK772" i="23916"/>
  <c r="CK823" i="23916" s="1"/>
  <c r="CS772" i="23916"/>
  <c r="CS823" i="23916" s="1"/>
  <c r="DA772" i="23916"/>
  <c r="DA823" i="23916" s="1"/>
  <c r="DI772" i="23916"/>
  <c r="DI823" i="23916" s="1"/>
  <c r="CA775" i="23916"/>
  <c r="CI775" i="23916"/>
  <c r="CQ775" i="23916"/>
  <c r="CY775" i="23916"/>
  <c r="DG775" i="23916"/>
  <c r="DP775" i="23916" s="1"/>
  <c r="DM775" i="23916"/>
  <c r="DN775" i="23916" s="1"/>
  <c r="DQ775" i="23916"/>
  <c r="DR775" i="23916" s="1"/>
  <c r="DU775" i="23916"/>
  <c r="DV775" i="23916" s="1"/>
  <c r="DY775" i="23916"/>
  <c r="EC775" i="23916"/>
  <c r="DP769" i="23916"/>
  <c r="DX769" i="23916"/>
  <c r="BW772" i="23916"/>
  <c r="BW823" i="23916" s="1"/>
  <c r="CE772" i="23916"/>
  <c r="CE823" i="23916" s="1"/>
  <c r="CM772" i="23916"/>
  <c r="CM823" i="23916" s="1"/>
  <c r="CU772" i="23916"/>
  <c r="CU823" i="23916" s="1"/>
  <c r="DC772" i="23916"/>
  <c r="DC823" i="23916" s="1"/>
  <c r="DK772" i="23916"/>
  <c r="DO772" i="23916"/>
  <c r="DS772" i="23916"/>
  <c r="DW772" i="23916"/>
  <c r="EA772" i="23916"/>
  <c r="EF769" i="23916"/>
  <c r="EH769" i="23916"/>
  <c r="EJ769" i="23916"/>
  <c r="EL769" i="23916"/>
  <c r="BY772" i="23916"/>
  <c r="BY823" i="23916" s="1"/>
  <c r="CG772" i="23916"/>
  <c r="CG823" i="23916" s="1"/>
  <c r="CO772" i="23916"/>
  <c r="CO823" i="23916" s="1"/>
  <c r="CW772" i="23916"/>
  <c r="CW823" i="23916" s="1"/>
  <c r="DE772" i="23916"/>
  <c r="DE823" i="23916" s="1"/>
  <c r="DK775" i="23916"/>
  <c r="DL775" i="23916" s="1"/>
  <c r="DS775" i="23916"/>
  <c r="DT775" i="23916" s="1"/>
  <c r="EA775" i="23916"/>
  <c r="EJ775" i="23916" s="1"/>
  <c r="ER772" i="23916"/>
  <c r="EV772" i="23916"/>
  <c r="CO856" i="23916"/>
  <c r="DE856" i="23916"/>
  <c r="DS856" i="23916"/>
  <c r="EA856" i="23916"/>
  <c r="EI856" i="23916"/>
  <c r="FB856" i="23916"/>
  <c r="AQ864" i="23916"/>
  <c r="AS864" i="23916"/>
  <c r="CW856" i="23916"/>
  <c r="DM856" i="23916"/>
  <c r="DW856" i="23916"/>
  <c r="EE856" i="23916"/>
  <c r="EM856" i="23916"/>
  <c r="AY864" i="23916"/>
  <c r="BG864" i="23916"/>
  <c r="BO864" i="23916"/>
  <c r="BW864" i="23916"/>
  <c r="CE864" i="23916"/>
  <c r="CS856" i="23916"/>
  <c r="DI856" i="23916"/>
  <c r="GB856" i="23916"/>
  <c r="BA864" i="23916"/>
  <c r="BI864" i="23916"/>
  <c r="BQ864" i="23916"/>
  <c r="BY864" i="23916"/>
  <c r="CG864" i="23916"/>
  <c r="GB864" i="23916"/>
  <c r="FU4" i="23916"/>
  <c r="FS4" i="23916"/>
  <c r="FQ4" i="23916"/>
  <c r="FR722" i="23916" l="1"/>
  <c r="AT744" i="23916"/>
  <c r="FW639" i="23916"/>
  <c r="CT497" i="23916"/>
  <c r="ER324" i="23916"/>
  <c r="EQ331" i="23916"/>
  <c r="GQ144" i="23916"/>
  <c r="GR144" i="23916"/>
  <c r="CC606" i="23916"/>
  <c r="CC608" i="23916"/>
  <c r="EE537" i="23916"/>
  <c r="EE535" i="23916"/>
  <c r="EA537" i="23916"/>
  <c r="EA541" i="23916" s="1"/>
  <c r="EA535" i="23916"/>
  <c r="GM601" i="23916"/>
  <c r="CK506" i="23916"/>
  <c r="CK503" i="23916"/>
  <c r="CK502" i="23916"/>
  <c r="CK508" i="23916"/>
  <c r="CT500" i="23916"/>
  <c r="FX500" i="23916"/>
  <c r="GK254" i="23916"/>
  <c r="GJ266" i="23916"/>
  <c r="FN802" i="23916"/>
  <c r="FO364" i="23916"/>
  <c r="EE338" i="23916"/>
  <c r="EE334" i="23916"/>
  <c r="EE340" i="23916"/>
  <c r="EE333" i="23916"/>
  <c r="GN244" i="23916"/>
  <c r="GN204" i="23916"/>
  <c r="GO202" i="23916"/>
  <c r="ET254" i="23916"/>
  <c r="BQ193" i="23916"/>
  <c r="BQ195" i="23916"/>
  <c r="BQ190" i="23916"/>
  <c r="BQ189" i="23916"/>
  <c r="AK193" i="23916"/>
  <c r="AK195" i="23916"/>
  <c r="AK190" i="23916"/>
  <c r="AK189" i="23916"/>
  <c r="FT694" i="23916"/>
  <c r="FT5" i="23916" s="1"/>
  <c r="FT630" i="23916"/>
  <c r="FR694" i="23916"/>
  <c r="FR5" i="23916" s="1"/>
  <c r="FR630" i="23916"/>
  <c r="EC537" i="23916"/>
  <c r="EC541" i="23916" s="1"/>
  <c r="EC535" i="23916"/>
  <c r="DW537" i="23916"/>
  <c r="DW541" i="23916" s="1"/>
  <c r="DW535" i="23916"/>
  <c r="EI537" i="23916"/>
  <c r="EI535" i="23916"/>
  <c r="FE412" i="23916"/>
  <c r="FD415" i="23916"/>
  <c r="FE415" i="23916" s="1"/>
  <c r="ET382" i="23916"/>
  <c r="FP272" i="23916"/>
  <c r="FP269" i="23916"/>
  <c r="FP268" i="23916"/>
  <c r="EA274" i="23916"/>
  <c r="EA268" i="23916"/>
  <c r="EA272" i="23916"/>
  <c r="EA269" i="23916"/>
  <c r="GA639" i="23916"/>
  <c r="GC639" i="23916"/>
  <c r="DY537" i="23916"/>
  <c r="DY541" i="23916" s="1"/>
  <c r="DY535" i="23916"/>
  <c r="FP500" i="23916"/>
  <c r="ES290" i="23916"/>
  <c r="ET284" i="23916"/>
  <c r="GM202" i="23916"/>
  <c r="GL204" i="23916"/>
  <c r="EO118" i="23916"/>
  <c r="EO115" i="23916"/>
  <c r="EO120" i="23916"/>
  <c r="EO114" i="23916"/>
  <c r="DY118" i="23916"/>
  <c r="DY115" i="23916"/>
  <c r="DY120" i="23916"/>
  <c r="DY114" i="23916"/>
  <c r="DI118" i="23916"/>
  <c r="DI114" i="23916"/>
  <c r="DI115" i="23916"/>
  <c r="DI120" i="23916"/>
  <c r="EA823" i="23916"/>
  <c r="EB772" i="23916"/>
  <c r="EJ772" i="23916"/>
  <c r="DK823" i="23916"/>
  <c r="DL772" i="23916"/>
  <c r="EL775" i="23916"/>
  <c r="ED775" i="23916"/>
  <c r="DR772" i="23916"/>
  <c r="FE751" i="23916"/>
  <c r="BH735" i="23916"/>
  <c r="BG742" i="23916"/>
  <c r="BH742" i="23916" s="1"/>
  <c r="EJ734" i="23916"/>
  <c r="GN734" i="23916"/>
  <c r="GO734" i="23916" s="1"/>
  <c r="AC742" i="23916"/>
  <c r="AD735" i="23916"/>
  <c r="N750" i="23916"/>
  <c r="N754" i="23916"/>
  <c r="EO754" i="23916"/>
  <c r="EO753" i="23916"/>
  <c r="EO735" i="23916"/>
  <c r="EP733" i="23916"/>
  <c r="EO711" i="23916"/>
  <c r="AW742" i="23916"/>
  <c r="AX735" i="23916"/>
  <c r="AG742" i="23916"/>
  <c r="AH735" i="23916"/>
  <c r="Q742" i="23916"/>
  <c r="R742" i="23916" s="1"/>
  <c r="R735" i="23916"/>
  <c r="R751" i="23916"/>
  <c r="FP754" i="23916"/>
  <c r="FQ754" i="23916" s="1"/>
  <c r="FQ733" i="23916"/>
  <c r="FR735" i="23916"/>
  <c r="FF734" i="23916"/>
  <c r="FG734" i="23916" s="1"/>
  <c r="FG731" i="23916"/>
  <c r="FH734" i="23916"/>
  <c r="BH734" i="23916"/>
  <c r="AB734" i="23916"/>
  <c r="BH754" i="23916"/>
  <c r="BH752" i="23916"/>
  <c r="BB749" i="23916"/>
  <c r="BB752" i="23916"/>
  <c r="AR754" i="23916"/>
  <c r="AR752" i="23916"/>
  <c r="AL749" i="23916"/>
  <c r="AL752" i="23916"/>
  <c r="AB754" i="23916"/>
  <c r="AB752" i="23916"/>
  <c r="V749" i="23916"/>
  <c r="V752" i="23916"/>
  <c r="L754" i="23916"/>
  <c r="L752" i="23916"/>
  <c r="FO766" i="23916"/>
  <c r="R766" i="23916"/>
  <c r="GN754" i="23916"/>
  <c r="GO733" i="23916"/>
  <c r="GN738" i="23916"/>
  <c r="GK764" i="23916"/>
  <c r="GC764" i="23916"/>
  <c r="FU764" i="23916"/>
  <c r="FK764" i="23916"/>
  <c r="AV735" i="23916"/>
  <c r="AU742" i="23916"/>
  <c r="AV734" i="23916"/>
  <c r="P734" i="23916"/>
  <c r="BF751" i="23916"/>
  <c r="BF756" i="23916"/>
  <c r="FR756" i="23916"/>
  <c r="AV750" i="23916"/>
  <c r="AV754" i="23916"/>
  <c r="AP750" i="23916"/>
  <c r="AP754" i="23916"/>
  <c r="AF749" i="23916"/>
  <c r="Y742" i="23916"/>
  <c r="Z735" i="23916"/>
  <c r="Z753" i="23916"/>
  <c r="P756" i="23916"/>
  <c r="P752" i="23916"/>
  <c r="GH754" i="23916"/>
  <c r="GJ735" i="23916"/>
  <c r="FR734" i="23916"/>
  <c r="FQ731" i="23916"/>
  <c r="EU730" i="23916"/>
  <c r="ET730" i="23916"/>
  <c r="CV719" i="23916"/>
  <c r="CV721" i="23916"/>
  <c r="CU722" i="23916"/>
  <c r="BK749" i="23916"/>
  <c r="BL749" i="23916" s="1"/>
  <c r="FT749" i="23916"/>
  <c r="FU749" i="23916" s="1"/>
  <c r="FP752" i="23916"/>
  <c r="FQ752" i="23916" s="1"/>
  <c r="GB707" i="23916"/>
  <c r="GC706" i="23916"/>
  <c r="FL707" i="23916"/>
  <c r="FM706" i="23916"/>
  <c r="GO736" i="23916"/>
  <c r="GN724" i="23916"/>
  <c r="GG736" i="23916"/>
  <c r="FY736" i="23916"/>
  <c r="FP724" i="23916"/>
  <c r="FQ736" i="23916"/>
  <c r="BG830" i="23916"/>
  <c r="BH692" i="23916"/>
  <c r="AQ830" i="23916"/>
  <c r="AR692" i="23916"/>
  <c r="AA830" i="23916"/>
  <c r="AB692" i="23916"/>
  <c r="FG721" i="23916"/>
  <c r="FF722" i="23916"/>
  <c r="FG722" i="23916" s="1"/>
  <c r="GM720" i="23916"/>
  <c r="GE720" i="23916"/>
  <c r="EF706" i="23916"/>
  <c r="EE707" i="23916"/>
  <c r="DP706" i="23916"/>
  <c r="DO707" i="23916"/>
  <c r="CZ706" i="23916"/>
  <c r="CY707" i="23916"/>
  <c r="CJ706" i="23916"/>
  <c r="CI707" i="23916"/>
  <c r="BT706" i="23916"/>
  <c r="BS707" i="23916"/>
  <c r="BD706" i="23916"/>
  <c r="BC707" i="23916"/>
  <c r="AN706" i="23916"/>
  <c r="AM707" i="23916"/>
  <c r="X706" i="23916"/>
  <c r="W707" i="23916"/>
  <c r="GJ789" i="23916"/>
  <c r="GK687" i="23916"/>
  <c r="GJ686" i="23916"/>
  <c r="AJ735" i="23916"/>
  <c r="FG754" i="23916"/>
  <c r="FO727" i="23916"/>
  <c r="BZ717" i="23916"/>
  <c r="BM752" i="23916"/>
  <c r="BN752" i="23916" s="1"/>
  <c r="CN721" i="23916"/>
  <c r="CM722" i="23916"/>
  <c r="BX721" i="23916"/>
  <c r="BW722" i="23916"/>
  <c r="BX763" i="23916"/>
  <c r="FS752" i="23916"/>
  <c r="FS761" i="23916"/>
  <c r="FZ707" i="23916"/>
  <c r="GA706" i="23916"/>
  <c r="FJ707" i="23916"/>
  <c r="FK706" i="23916"/>
  <c r="FZ721" i="23916"/>
  <c r="ED753" i="23916"/>
  <c r="FS733" i="23916"/>
  <c r="CH717" i="23916"/>
  <c r="FO750" i="23916"/>
  <c r="FO763" i="23916"/>
  <c r="FK751" i="23916"/>
  <c r="FK760" i="23916"/>
  <c r="FG750" i="23916"/>
  <c r="CL721" i="23916"/>
  <c r="CK722" i="23916"/>
  <c r="BV719" i="23916"/>
  <c r="GL789" i="23916"/>
  <c r="GM789" i="23916" s="1"/>
  <c r="GM687" i="23916"/>
  <c r="GL686" i="23916"/>
  <c r="CX721" i="23916"/>
  <c r="CW722" i="23916"/>
  <c r="BM830" i="23916"/>
  <c r="FN692" i="23916"/>
  <c r="FO689" i="23916"/>
  <c r="CN671" i="23916"/>
  <c r="GB671" i="23916"/>
  <c r="DZ707" i="23916"/>
  <c r="CT707" i="23916"/>
  <c r="BN707" i="23916"/>
  <c r="AH707" i="23916"/>
  <c r="BL681" i="23916"/>
  <c r="FG676" i="23916"/>
  <c r="FI676" i="23916"/>
  <c r="FG668" i="23916"/>
  <c r="FI668" i="23916"/>
  <c r="FF671" i="23916"/>
  <c r="FL681" i="23916"/>
  <c r="FM681" i="23916" s="1"/>
  <c r="FM665" i="23916"/>
  <c r="BR722" i="23916"/>
  <c r="BP681" i="23916"/>
  <c r="GK674" i="23916"/>
  <c r="EC669" i="23916"/>
  <c r="EL674" i="23916"/>
  <c r="EE674" i="23916"/>
  <c r="GL674" i="23916" s="1"/>
  <c r="ED674" i="23916"/>
  <c r="DL671" i="23916"/>
  <c r="GH671" i="23916"/>
  <c r="GI671" i="23916" s="1"/>
  <c r="EP639" i="23916"/>
  <c r="DZ639" i="23916"/>
  <c r="DJ639" i="23916"/>
  <c r="CT639" i="23916"/>
  <c r="CD639" i="23916"/>
  <c r="GC668" i="23916"/>
  <c r="GE665" i="23916"/>
  <c r="E900" i="23916"/>
  <c r="E692" i="23916"/>
  <c r="N692" i="23916" s="1"/>
  <c r="FJ742" i="23916"/>
  <c r="EN644" i="23916"/>
  <c r="BG745" i="23916"/>
  <c r="BG744" i="23916"/>
  <c r="BG690" i="23916"/>
  <c r="BH640" i="23916"/>
  <c r="BG642" i="23916"/>
  <c r="BG678" i="23916" s="1"/>
  <c r="EJ639" i="23916"/>
  <c r="DP639" i="23916"/>
  <c r="CZ639" i="23916"/>
  <c r="CJ639" i="23916"/>
  <c r="CB639" i="23916"/>
  <c r="FM671" i="23916"/>
  <c r="BG682" i="23916"/>
  <c r="BH682" i="23916" s="1"/>
  <c r="AB682" i="23916"/>
  <c r="CV644" i="23916"/>
  <c r="GH644" i="23916"/>
  <c r="GK644" i="23916" s="1"/>
  <c r="GI637" i="23916"/>
  <c r="FS644" i="23916"/>
  <c r="FN842" i="23916"/>
  <c r="FN829" i="23916"/>
  <c r="FO628" i="23916"/>
  <c r="G744" i="23916"/>
  <c r="BF690" i="23916"/>
  <c r="BE664" i="23916"/>
  <c r="AV690" i="23916"/>
  <c r="AU664" i="23916"/>
  <c r="AF690" i="23916"/>
  <c r="AE664" i="23916"/>
  <c r="Z690" i="23916"/>
  <c r="Y664" i="23916"/>
  <c r="P682" i="23916"/>
  <c r="CQ608" i="23916"/>
  <c r="CR604" i="23916"/>
  <c r="CQ606" i="23916"/>
  <c r="GD866" i="23916"/>
  <c r="GD867" i="23916" s="1"/>
  <c r="GD604" i="23916"/>
  <c r="GE594" i="23916"/>
  <c r="GI581" i="23916"/>
  <c r="FP822" i="23916"/>
  <c r="FQ544" i="23916"/>
  <c r="S822" i="23916"/>
  <c r="T544" i="23916"/>
  <c r="FX624" i="23916"/>
  <c r="FY623" i="23916"/>
  <c r="BI744" i="23916"/>
  <c r="BJ744" i="23916" s="1"/>
  <c r="M745" i="23916"/>
  <c r="FY636" i="23916"/>
  <c r="ET607" i="23916"/>
  <c r="CW606" i="23916"/>
  <c r="CW608" i="23916"/>
  <c r="CX604" i="23916"/>
  <c r="BX604" i="23916"/>
  <c r="FT604" i="23916"/>
  <c r="BH604" i="23916"/>
  <c r="BG605" i="23916"/>
  <c r="AQ605" i="23916"/>
  <c r="FK570" i="23916"/>
  <c r="AW829" i="23916"/>
  <c r="FJ819" i="23916"/>
  <c r="FK541" i="23916"/>
  <c r="FJ545" i="23916"/>
  <c r="FJ544" i="23916"/>
  <c r="FM541" i="23916"/>
  <c r="C744" i="23916"/>
  <c r="L744" i="23916" s="1"/>
  <c r="BN690" i="23916"/>
  <c r="BM664" i="23916"/>
  <c r="BN664" i="23916" s="1"/>
  <c r="Q744" i="23916"/>
  <c r="GH639" i="23916"/>
  <c r="CM608" i="23916"/>
  <c r="CN604" i="23916"/>
  <c r="CM606" i="23916"/>
  <c r="BH602" i="23916"/>
  <c r="AZ602" i="23916"/>
  <c r="AF602" i="23916"/>
  <c r="FX866" i="23916"/>
  <c r="FX867" i="23916" s="1"/>
  <c r="FX604" i="23916"/>
  <c r="FY594" i="23916"/>
  <c r="GG627" i="23916"/>
  <c r="GF582" i="23916"/>
  <c r="GF584" i="23916"/>
  <c r="GF577" i="23916"/>
  <c r="FT557" i="23916"/>
  <c r="FU556" i="23916"/>
  <c r="FT574" i="23916"/>
  <c r="FW554" i="23916"/>
  <c r="FU554" i="23916"/>
  <c r="FZ822" i="23916"/>
  <c r="GA544" i="23916"/>
  <c r="DA822" i="23916"/>
  <c r="DB544" i="23916"/>
  <c r="BR690" i="23916"/>
  <c r="BQ664" i="23916"/>
  <c r="FT690" i="23916"/>
  <c r="FU640" i="23916"/>
  <c r="FT642" i="23916"/>
  <c r="FT678" i="23916" s="1"/>
  <c r="FU678" i="23916" s="1"/>
  <c r="FH690" i="23916"/>
  <c r="L690" i="23916"/>
  <c r="DI606" i="23916"/>
  <c r="DI608" i="23916"/>
  <c r="DJ604" i="23916"/>
  <c r="BM605" i="23916"/>
  <c r="AX604" i="23916"/>
  <c r="AW605" i="23916"/>
  <c r="CJ602" i="23916"/>
  <c r="FB582" i="23916"/>
  <c r="FB584" i="23916"/>
  <c r="GG570" i="23916"/>
  <c r="GQ554" i="23916"/>
  <c r="GZ554" i="23916"/>
  <c r="GO554" i="23916"/>
  <c r="GA543" i="23916"/>
  <c r="GI624" i="23916"/>
  <c r="EK602" i="23916"/>
  <c r="EL602" i="23916" s="1"/>
  <c r="P605" i="23916"/>
  <c r="G606" i="23916"/>
  <c r="GG566" i="23916"/>
  <c r="FS556" i="23916"/>
  <c r="GB544" i="23916"/>
  <c r="GL531" i="23916"/>
  <c r="GL533" i="23916" s="1"/>
  <c r="ER600" i="23916"/>
  <c r="GD492" i="23916"/>
  <c r="GE492" i="23916" s="1"/>
  <c r="GE489" i="23916"/>
  <c r="FN492" i="23916"/>
  <c r="FO492" i="23916" s="1"/>
  <c r="FO489" i="23916"/>
  <c r="GA488" i="23916"/>
  <c r="EI497" i="23916"/>
  <c r="EI494" i="23916"/>
  <c r="EJ476" i="23916"/>
  <c r="DS497" i="23916"/>
  <c r="DS494" i="23916"/>
  <c r="DT476" i="23916"/>
  <c r="DC497" i="23916"/>
  <c r="DC494" i="23916"/>
  <c r="DD476" i="23916"/>
  <c r="CM497" i="23916"/>
  <c r="CN497" i="23916" s="1"/>
  <c r="CM494" i="23916"/>
  <c r="CN476" i="23916"/>
  <c r="DU458" i="23916"/>
  <c r="DU462" i="23916"/>
  <c r="DU463" i="23916"/>
  <c r="GF602" i="23916"/>
  <c r="AO606" i="23916"/>
  <c r="AP605" i="23916"/>
  <c r="AG606" i="23916"/>
  <c r="AH605" i="23916"/>
  <c r="V605" i="23916"/>
  <c r="U606" i="23916"/>
  <c r="GK605" i="23916"/>
  <c r="GK566" i="23916"/>
  <c r="FS554" i="23916"/>
  <c r="GH574" i="23916"/>
  <c r="GP538" i="23916"/>
  <c r="DU819" i="23916"/>
  <c r="DU624" i="23916"/>
  <c r="DU623" i="23916"/>
  <c r="DV623" i="23916" s="1"/>
  <c r="DU544" i="23916"/>
  <c r="DV541" i="23916"/>
  <c r="DU15" i="23916"/>
  <c r="DV15" i="23916" s="1"/>
  <c r="DW506" i="23916"/>
  <c r="DW508" i="23916"/>
  <c r="DX500" i="23916"/>
  <c r="DW503" i="23916"/>
  <c r="DW502" i="23916"/>
  <c r="CQ506" i="23916"/>
  <c r="CQ508" i="23916"/>
  <c r="CQ502" i="23916"/>
  <c r="CR500" i="23916"/>
  <c r="CQ503" i="23916"/>
  <c r="BK506" i="23916"/>
  <c r="BK508" i="23916"/>
  <c r="BK502" i="23916"/>
  <c r="BL500" i="23916"/>
  <c r="BK503" i="23916"/>
  <c r="AE506" i="23916"/>
  <c r="AE508" i="23916"/>
  <c r="AE502" i="23916"/>
  <c r="AF500" i="23916"/>
  <c r="AE503" i="23916"/>
  <c r="GN496" i="23916"/>
  <c r="GO487" i="23916"/>
  <c r="GN494" i="23916"/>
  <c r="FB494" i="23916"/>
  <c r="FB497" i="23916"/>
  <c r="BM494" i="23916"/>
  <c r="BN476" i="23916"/>
  <c r="BM497" i="23916"/>
  <c r="AG494" i="23916"/>
  <c r="AH476" i="23916"/>
  <c r="AG497" i="23916"/>
  <c r="EV474" i="23916"/>
  <c r="GP474" i="23916"/>
  <c r="EW474" i="23916"/>
  <c r="FE445" i="23916"/>
  <c r="FD448" i="23916"/>
  <c r="FE448" i="23916" s="1"/>
  <c r="DD602" i="23916"/>
  <c r="CN602" i="23916"/>
  <c r="EJ602" i="23916"/>
  <c r="FU566" i="23916"/>
  <c r="GH568" i="23916"/>
  <c r="GI568" i="23916" s="1"/>
  <c r="DU506" i="23916"/>
  <c r="DU502" i="23916"/>
  <c r="DU508" i="23916"/>
  <c r="DV500" i="23916"/>
  <c r="DU503" i="23916"/>
  <c r="CO506" i="23916"/>
  <c r="CO508" i="23916"/>
  <c r="CO502" i="23916"/>
  <c r="CP500" i="23916"/>
  <c r="CO503" i="23916"/>
  <c r="BI506" i="23916"/>
  <c r="BI508" i="23916"/>
  <c r="BI502" i="23916"/>
  <c r="BJ500" i="23916"/>
  <c r="BI503" i="23916"/>
  <c r="AC506" i="23916"/>
  <c r="AD500" i="23916"/>
  <c r="AC508" i="23916"/>
  <c r="AC503" i="23916"/>
  <c r="AC502" i="23916"/>
  <c r="ED496" i="23916"/>
  <c r="DN496" i="23916"/>
  <c r="CX496" i="23916"/>
  <c r="CH496" i="23916"/>
  <c r="BN496" i="23916"/>
  <c r="AX496" i="23916"/>
  <c r="AH496" i="23916"/>
  <c r="R496" i="23916"/>
  <c r="FT497" i="23916"/>
  <c r="FU488" i="23916"/>
  <c r="FW488" i="23916"/>
  <c r="FZ476" i="23916"/>
  <c r="GA475" i="23916"/>
  <c r="FJ500" i="23916"/>
  <c r="FJ476" i="23916"/>
  <c r="FK475" i="23916"/>
  <c r="EG494" i="23916"/>
  <c r="EH476" i="23916"/>
  <c r="EG497" i="23916"/>
  <c r="DQ494" i="23916"/>
  <c r="DR476" i="23916"/>
  <c r="DA494" i="23916"/>
  <c r="DB476" i="23916"/>
  <c r="DA497" i="23916"/>
  <c r="DB497" i="23916" s="1"/>
  <c r="GJ858" i="23916"/>
  <c r="GJ594" i="23916"/>
  <c r="GK590" i="23916"/>
  <c r="AE604" i="23916"/>
  <c r="FM566" i="23916"/>
  <c r="GL568" i="23916"/>
  <c r="GM568" i="23916" s="1"/>
  <c r="GM557" i="23916"/>
  <c r="GD574" i="23916"/>
  <c r="DS506" i="23916"/>
  <c r="DT500" i="23916"/>
  <c r="DS503" i="23916"/>
  <c r="DS508" i="23916"/>
  <c r="DS502" i="23916"/>
  <c r="CM506" i="23916"/>
  <c r="CM502" i="23916"/>
  <c r="CN500" i="23916"/>
  <c r="CM508" i="23916"/>
  <c r="CM503" i="23916"/>
  <c r="BG506" i="23916"/>
  <c r="BG502" i="23916"/>
  <c r="BH500" i="23916"/>
  <c r="BG503" i="23916"/>
  <c r="BG508" i="23916"/>
  <c r="AA506" i="23916"/>
  <c r="AA502" i="23916"/>
  <c r="AA508" i="23916"/>
  <c r="AB500" i="23916"/>
  <c r="AA503" i="23916"/>
  <c r="GG492" i="23916"/>
  <c r="FD497" i="23916"/>
  <c r="FE497" i="23916" s="1"/>
  <c r="FD494" i="23916"/>
  <c r="FE494" i="23916" s="1"/>
  <c r="FE476" i="23916"/>
  <c r="CI494" i="23916"/>
  <c r="CJ476" i="23916"/>
  <c r="BS497" i="23916"/>
  <c r="BS494" i="23916"/>
  <c r="BT476" i="23916"/>
  <c r="BC494" i="23916"/>
  <c r="BD476" i="23916"/>
  <c r="AM497" i="23916"/>
  <c r="AM494" i="23916"/>
  <c r="AN476" i="23916"/>
  <c r="W497" i="23916"/>
  <c r="W494" i="23916"/>
  <c r="X476" i="23916"/>
  <c r="GI473" i="23916"/>
  <c r="CS509" i="23916"/>
  <c r="CS505" i="23916"/>
  <c r="CT503" i="23916"/>
  <c r="CT506" i="23916"/>
  <c r="AW505" i="23916"/>
  <c r="AX503" i="23916"/>
  <c r="AW509" i="23916"/>
  <c r="R503" i="23916"/>
  <c r="Q505" i="23916"/>
  <c r="Q509" i="23916"/>
  <c r="DU381" i="23916"/>
  <c r="DS401" i="23916"/>
  <c r="GP491" i="23916"/>
  <c r="BB494" i="23916"/>
  <c r="AL494" i="23916"/>
  <c r="FM475" i="23916"/>
  <c r="FO473" i="23916"/>
  <c r="GM473" i="23916"/>
  <c r="CQ420" i="23916"/>
  <c r="EL400" i="23916"/>
  <c r="FZ496" i="23916"/>
  <c r="GA496" i="23916" s="1"/>
  <c r="DB508" i="23916"/>
  <c r="BV508" i="23916"/>
  <c r="BV506" i="23916"/>
  <c r="AP508" i="23916"/>
  <c r="AP506" i="23916"/>
  <c r="Z503" i="23916"/>
  <c r="Y505" i="23916"/>
  <c r="Y509" i="23916"/>
  <c r="Z509" i="23916" s="1"/>
  <c r="CL473" i="23916"/>
  <c r="DU450" i="23916"/>
  <c r="DU449" i="23916"/>
  <c r="DU445" i="23916"/>
  <c r="DU448" i="23916"/>
  <c r="DU444" i="23916"/>
  <c r="DU434" i="23916"/>
  <c r="GG400" i="23916"/>
  <c r="GB398" i="23916"/>
  <c r="GM382" i="23916"/>
  <c r="GT627" i="23916"/>
  <c r="GU627" i="23916" s="1"/>
  <c r="GV371" i="23916"/>
  <c r="GU371" i="23916"/>
  <c r="EI373" i="23916"/>
  <c r="EI375" i="23916"/>
  <c r="EJ367" i="23916"/>
  <c r="EI370" i="23916"/>
  <c r="EI369" i="23916"/>
  <c r="FH802" i="23916"/>
  <c r="FI364" i="23916"/>
  <c r="BX601" i="23916"/>
  <c r="BO599" i="23916"/>
  <c r="FV601" i="23916"/>
  <c r="BP601" i="23916"/>
  <c r="DN367" i="23916"/>
  <c r="DM369" i="23916"/>
  <c r="DM373" i="23916"/>
  <c r="DM375" i="23916"/>
  <c r="DM370" i="23916"/>
  <c r="CS620" i="23916"/>
  <c r="CS372" i="23916"/>
  <c r="CS376" i="23916"/>
  <c r="CK369" i="23916"/>
  <c r="CL369" i="23916" s="1"/>
  <c r="CL367" i="23916"/>
  <c r="CK373" i="23916"/>
  <c r="CK375" i="23916"/>
  <c r="CK370" i="23916"/>
  <c r="CT370" i="23916" s="1"/>
  <c r="CC369" i="23916"/>
  <c r="CD369" i="23916" s="1"/>
  <c r="CD367" i="23916"/>
  <c r="CC370" i="23916"/>
  <c r="CC373" i="23916"/>
  <c r="CC375" i="23916"/>
  <c r="CD375" i="23916" s="1"/>
  <c r="BU369" i="23916"/>
  <c r="BV367" i="23916"/>
  <c r="BU370" i="23916"/>
  <c r="BU373" i="23916"/>
  <c r="BU375" i="23916"/>
  <c r="BM369" i="23916"/>
  <c r="BM370" i="23916"/>
  <c r="BM373" i="23916"/>
  <c r="BM375" i="23916"/>
  <c r="BA369" i="23916"/>
  <c r="BB367" i="23916"/>
  <c r="BA370" i="23916"/>
  <c r="BA373" i="23916"/>
  <c r="BA375" i="23916"/>
  <c r="EG266" i="23916"/>
  <c r="EH254" i="23916"/>
  <c r="GB401" i="23916"/>
  <c r="GE371" i="23916"/>
  <c r="FU358" i="23916"/>
  <c r="FT360" i="23916"/>
  <c r="ED360" i="23916"/>
  <c r="GI353" i="23916"/>
  <c r="EE373" i="23916"/>
  <c r="EE375" i="23916"/>
  <c r="EE370" i="23916"/>
  <c r="EE369" i="23916"/>
  <c r="EF367" i="23916"/>
  <c r="GN342" i="23916"/>
  <c r="GL344" i="23916"/>
  <c r="GM344" i="23916" s="1"/>
  <c r="EU329" i="23916"/>
  <c r="EW328" i="23916"/>
  <c r="EV328" i="23916"/>
  <c r="DP328" i="23916"/>
  <c r="GG317" i="23916"/>
  <c r="EE858" i="23916"/>
  <c r="EF590" i="23916"/>
  <c r="EE594" i="23916"/>
  <c r="ES236" i="23916"/>
  <c r="ES244" i="23916"/>
  <c r="ES246" i="23916" s="1"/>
  <c r="ES226" i="23916"/>
  <c r="CL428" i="23916"/>
  <c r="BG373" i="23916"/>
  <c r="BG375" i="23916"/>
  <c r="BG369" i="23916"/>
  <c r="BG370" i="23916"/>
  <c r="EX364" i="23916"/>
  <c r="EW365" i="23916"/>
  <c r="BT364" i="23916"/>
  <c r="BL360" i="23916"/>
  <c r="EO369" i="23916"/>
  <c r="EO373" i="23916"/>
  <c r="EP367" i="23916"/>
  <c r="EO375" i="23916"/>
  <c r="EO370" i="23916"/>
  <c r="DY369" i="23916"/>
  <c r="DY373" i="23916"/>
  <c r="DZ367" i="23916"/>
  <c r="DY375" i="23916"/>
  <c r="DY370" i="23916"/>
  <c r="CY620" i="23916"/>
  <c r="CY372" i="23916"/>
  <c r="CY376" i="23916"/>
  <c r="CZ370" i="23916"/>
  <c r="CZ373" i="23916"/>
  <c r="BS367" i="23916"/>
  <c r="AM802" i="23916"/>
  <c r="AN373" i="23916"/>
  <c r="X375" i="23916"/>
  <c r="O812" i="23916"/>
  <c r="O372" i="23916"/>
  <c r="O376" i="23916"/>
  <c r="FY353" i="23916"/>
  <c r="FI353" i="23916"/>
  <c r="FH367" i="23916"/>
  <c r="EI331" i="23916"/>
  <c r="CU331" i="23916"/>
  <c r="EB324" i="23916"/>
  <c r="GF324" i="23916"/>
  <c r="GG324" i="23916" s="1"/>
  <c r="GG322" i="23916"/>
  <c r="EF291" i="23916"/>
  <c r="DP291" i="23916"/>
  <c r="ER396" i="23916"/>
  <c r="DL364" i="23916"/>
  <c r="ED364" i="23916"/>
  <c r="GO856" i="23916"/>
  <c r="GE328" i="23916"/>
  <c r="ED328" i="23916"/>
  <c r="DJ328" i="23916"/>
  <c r="EU322" i="23916"/>
  <c r="ET322" i="23916"/>
  <c r="EP295" i="23916"/>
  <c r="DZ295" i="23916"/>
  <c r="DJ295" i="23916"/>
  <c r="CT295" i="23916"/>
  <c r="EI264" i="23916"/>
  <c r="FR266" i="23916"/>
  <c r="FS254" i="23916"/>
  <c r="GK293" i="23916"/>
  <c r="EA298" i="23916"/>
  <c r="DK298" i="23916"/>
  <c r="CU298" i="23916"/>
  <c r="GJ262" i="23916"/>
  <c r="GC254" i="23916"/>
  <c r="GB266" i="23916"/>
  <c r="FU254" i="23916"/>
  <c r="GN243" i="23916"/>
  <c r="GO241" i="23916"/>
  <c r="GN242" i="23916"/>
  <c r="GJ208" i="23916"/>
  <c r="GL237" i="23916"/>
  <c r="AY829" i="23916"/>
  <c r="AZ628" i="23916"/>
  <c r="GH184" i="23916"/>
  <c r="GI177" i="23916"/>
  <c r="CD147" i="23916"/>
  <c r="CE143" i="23916"/>
  <c r="L373" i="23916"/>
  <c r="FF373" i="23916"/>
  <c r="FG373" i="23916" s="1"/>
  <c r="FF369" i="23916"/>
  <c r="FG369" i="23916" s="1"/>
  <c r="FF375" i="23916"/>
  <c r="FG375" i="23916" s="1"/>
  <c r="FG367" i="23916"/>
  <c r="FF370" i="23916"/>
  <c r="GP351" i="23916"/>
  <c r="EL333" i="23916"/>
  <c r="EC619" i="23916"/>
  <c r="EC341" i="23916"/>
  <c r="EC337" i="23916"/>
  <c r="ED334" i="23916"/>
  <c r="EC12" i="23916"/>
  <c r="ED340" i="23916"/>
  <c r="DV338" i="23916"/>
  <c r="DM619" i="23916"/>
  <c r="DM341" i="23916"/>
  <c r="DM337" i="23916"/>
  <c r="DN334" i="23916"/>
  <c r="DN340" i="23916"/>
  <c r="DF338" i="23916"/>
  <c r="CW619" i="23916"/>
  <c r="CW341" i="23916"/>
  <c r="CW337" i="23916"/>
  <c r="CX334" i="23916"/>
  <c r="CX340" i="23916"/>
  <c r="EW315" i="23916"/>
  <c r="EV315" i="23916"/>
  <c r="GC293" i="23916"/>
  <c r="EE298" i="23916"/>
  <c r="DO298" i="23916"/>
  <c r="CY298" i="23916"/>
  <c r="GN260" i="23916"/>
  <c r="GO260" i="23916" s="1"/>
  <c r="EI266" i="23916"/>
  <c r="EK264" i="23916"/>
  <c r="DU264" i="23916"/>
  <c r="ES202" i="23916"/>
  <c r="ES204" i="23916" s="1"/>
  <c r="ES206" i="23916" s="1"/>
  <c r="ES220" i="23916"/>
  <c r="ES222" i="23916" s="1"/>
  <c r="GM208" i="23916"/>
  <c r="W195" i="23916"/>
  <c r="X195" i="23916" s="1"/>
  <c r="W193" i="23916"/>
  <c r="W189" i="23916"/>
  <c r="X189" i="23916" s="1"/>
  <c r="X187" i="23916"/>
  <c r="W190" i="23916"/>
  <c r="DT184" i="23916"/>
  <c r="DD184" i="23916"/>
  <c r="CN184" i="23916"/>
  <c r="GF180" i="23916"/>
  <c r="EF364" i="23916"/>
  <c r="FK353" i="23916"/>
  <c r="ER323" i="23916"/>
  <c r="GM289" i="23916"/>
  <c r="GL291" i="23916"/>
  <c r="EP300" i="23916"/>
  <c r="DZ307" i="23916"/>
  <c r="DJ300" i="23916"/>
  <c r="EV283" i="23916"/>
  <c r="EW283" i="23916"/>
  <c r="GP283" i="23916"/>
  <c r="FY260" i="23916"/>
  <c r="GL266" i="23916"/>
  <c r="GM254" i="23916"/>
  <c r="FY254" i="23916"/>
  <c r="FX266" i="23916"/>
  <c r="EW220" i="23916"/>
  <c r="GG191" i="23916"/>
  <c r="GI191" i="23916"/>
  <c r="GB184" i="23916"/>
  <c r="GC177" i="23916"/>
  <c r="GA175" i="23916"/>
  <c r="FZ176" i="23916"/>
  <c r="DS180" i="23916"/>
  <c r="DT176" i="23916"/>
  <c r="DC180" i="23916"/>
  <c r="DD176" i="23916"/>
  <c r="CM180" i="23916"/>
  <c r="CN176" i="23916"/>
  <c r="BW180" i="23916"/>
  <c r="BX176" i="23916"/>
  <c r="AY180" i="23916"/>
  <c r="AZ176" i="23916"/>
  <c r="EK182" i="23916"/>
  <c r="EL165" i="23916"/>
  <c r="EK184" i="23916"/>
  <c r="DU182" i="23916"/>
  <c r="DV165" i="23916"/>
  <c r="DU184" i="23916"/>
  <c r="DE182" i="23916"/>
  <c r="DF165" i="23916"/>
  <c r="DE184" i="23916"/>
  <c r="CO182" i="23916"/>
  <c r="CP165" i="23916"/>
  <c r="CO184" i="23916"/>
  <c r="CP184" i="23916" s="1"/>
  <c r="BY182" i="23916"/>
  <c r="BZ165" i="23916"/>
  <c r="BY184" i="23916"/>
  <c r="CH184" i="23916" s="1"/>
  <c r="BI182" i="23916"/>
  <c r="BJ165" i="23916"/>
  <c r="BI184" i="23916"/>
  <c r="AS182" i="23916"/>
  <c r="AT165" i="23916"/>
  <c r="AS184" i="23916"/>
  <c r="AC182" i="23916"/>
  <c r="AD165" i="23916"/>
  <c r="AC184" i="23916"/>
  <c r="M182" i="23916"/>
  <c r="N182" i="23916" s="1"/>
  <c r="N165" i="23916"/>
  <c r="M184" i="23916"/>
  <c r="N184" i="23916" s="1"/>
  <c r="FI162" i="23916"/>
  <c r="DL369" i="23916"/>
  <c r="DL373" i="23916"/>
  <c r="AY367" i="23916"/>
  <c r="T375" i="23916"/>
  <c r="DH340" i="23916"/>
  <c r="EX300" i="23916"/>
  <c r="CX291" i="23916"/>
  <c r="GO295" i="23916"/>
  <c r="EN295" i="23916"/>
  <c r="DX295" i="23916"/>
  <c r="DH295" i="23916"/>
  <c r="GI284" i="23916"/>
  <c r="EU207" i="23916"/>
  <c r="GO216" i="23916"/>
  <c r="GN215" i="23916"/>
  <c r="BE180" i="23916"/>
  <c r="BF176" i="23916"/>
  <c r="S187" i="23916"/>
  <c r="T180" i="23916"/>
  <c r="U187" i="23916"/>
  <c r="FP187" i="23916"/>
  <c r="FQ164" i="23916"/>
  <c r="FP165" i="23916"/>
  <c r="FI154" i="23916"/>
  <c r="GB826" i="23916"/>
  <c r="GB783" i="23916"/>
  <c r="GC140" i="23916"/>
  <c r="FL826" i="23916"/>
  <c r="FL783" i="23916"/>
  <c r="FM140" i="23916"/>
  <c r="GL827" i="23916"/>
  <c r="ER284" i="23916"/>
  <c r="EQ290" i="23916"/>
  <c r="DW801" i="23916"/>
  <c r="DX272" i="23916"/>
  <c r="DW615" i="23916"/>
  <c r="DW275" i="23916"/>
  <c r="DX275" i="23916" s="1"/>
  <c r="DX269" i="23916"/>
  <c r="DW271" i="23916"/>
  <c r="DW9" i="23916"/>
  <c r="GN231" i="23916"/>
  <c r="GS179" i="23916"/>
  <c r="GT179" i="23916"/>
  <c r="DY180" i="23916"/>
  <c r="DZ176" i="23916"/>
  <c r="FS154" i="23916"/>
  <c r="CM155" i="23916"/>
  <c r="GH112" i="23916"/>
  <c r="DW120" i="23916"/>
  <c r="DW114" i="23916"/>
  <c r="DW118" i="23916"/>
  <c r="DX112" i="23916"/>
  <c r="DW115" i="23916"/>
  <c r="EJ106" i="23916"/>
  <c r="ER106" i="23916"/>
  <c r="DT106" i="23916"/>
  <c r="DD106" i="23916"/>
  <c r="EL103" i="23916"/>
  <c r="DV103" i="23916"/>
  <c r="DF103" i="23916"/>
  <c r="ED82" i="23916"/>
  <c r="EX80" i="23916"/>
  <c r="EP68" i="23916"/>
  <c r="DZ68" i="23916"/>
  <c r="DJ68" i="23916"/>
  <c r="GO270" i="23916"/>
  <c r="FV266" i="23916"/>
  <c r="GN220" i="23916"/>
  <c r="GO206" i="23916"/>
  <c r="BN180" i="23916"/>
  <c r="AH180" i="23916"/>
  <c r="AS180" i="23916"/>
  <c r="AT176" i="23916"/>
  <c r="EN184" i="23916"/>
  <c r="EV184" i="23916"/>
  <c r="FJ182" i="23916"/>
  <c r="GH826" i="23916"/>
  <c r="GH783" i="23916"/>
  <c r="GI140" i="23916"/>
  <c r="FR826" i="23916"/>
  <c r="FR783" i="23916"/>
  <c r="FS140" i="23916"/>
  <c r="CO170" i="23916"/>
  <c r="CO169" i="23916"/>
  <c r="ES827" i="23916"/>
  <c r="EU128" i="23916"/>
  <c r="ET128" i="23916"/>
  <c r="GN827" i="23916"/>
  <c r="EK112" i="23916"/>
  <c r="DE112" i="23916"/>
  <c r="EP108" i="23916"/>
  <c r="EQ108" i="23916"/>
  <c r="DV108" i="23916"/>
  <c r="DB108" i="23916"/>
  <c r="GK103" i="23916"/>
  <c r="GI101" i="23916"/>
  <c r="GH108" i="23916"/>
  <c r="GI108" i="23916" s="1"/>
  <c r="GK101" i="23916"/>
  <c r="EU91" i="23916"/>
  <c r="EU93" i="23916" s="1"/>
  <c r="EW86" i="23916"/>
  <c r="EW91" i="23916" s="1"/>
  <c r="EW93" i="23916" s="1"/>
  <c r="GJ219" i="23916"/>
  <c r="GL219" i="23916"/>
  <c r="GL218" i="23916"/>
  <c r="GM217" i="23916"/>
  <c r="EW183" i="23916"/>
  <c r="EX182" i="23916"/>
  <c r="FZ182" i="23916"/>
  <c r="GA182" i="23916" s="1"/>
  <c r="AV184" i="23916"/>
  <c r="DM180" i="23916"/>
  <c r="DN176" i="23916"/>
  <c r="CW180" i="23916"/>
  <c r="CX176" i="23916"/>
  <c r="CG180" i="23916"/>
  <c r="CH176" i="23916"/>
  <c r="FK175" i="23916"/>
  <c r="FJ176" i="23916"/>
  <c r="FK154" i="23916"/>
  <c r="DW127" i="23916"/>
  <c r="AQ127" i="23916"/>
  <c r="AO155" i="23916"/>
  <c r="AO135" i="23916"/>
  <c r="EA120" i="23916"/>
  <c r="EA114" i="23916"/>
  <c r="EB112" i="23916"/>
  <c r="EA118" i="23916"/>
  <c r="EA115" i="23916"/>
  <c r="CU801" i="23916"/>
  <c r="CU120" i="23916"/>
  <c r="CV120" i="23916" s="1"/>
  <c r="CU114" i="23916"/>
  <c r="CV114" i="23916" s="1"/>
  <c r="CV112" i="23916"/>
  <c r="CV801" i="23916" s="1"/>
  <c r="CU118" i="23916"/>
  <c r="CU115" i="23916"/>
  <c r="GE106" i="23916"/>
  <c r="ED106" i="23916"/>
  <c r="DN106" i="23916"/>
  <c r="GG102" i="23916"/>
  <c r="EB103" i="23916"/>
  <c r="DL103" i="23916"/>
  <c r="EF82" i="23916"/>
  <c r="EH81" i="23916"/>
  <c r="DR81" i="23916"/>
  <c r="ER80" i="23916"/>
  <c r="EQ82" i="23916"/>
  <c r="ER82" i="23916" s="1"/>
  <c r="GN106" i="23916"/>
  <c r="GO106" i="23916" s="1"/>
  <c r="GN68" i="23916"/>
  <c r="GO68" i="23916" s="1"/>
  <c r="GO67" i="23916"/>
  <c r="EJ68" i="23916"/>
  <c r="DT68" i="23916"/>
  <c r="DD68" i="23916"/>
  <c r="GV66" i="23916"/>
  <c r="GU66" i="23916"/>
  <c r="GK49" i="23916"/>
  <c r="DU32" i="23916"/>
  <c r="DS39" i="23916"/>
  <c r="GO175" i="23916"/>
  <c r="DQ95" i="23916"/>
  <c r="FB808" i="23916"/>
  <c r="FB800" i="23916"/>
  <c r="CN170" i="23916"/>
  <c r="BW171" i="23916"/>
  <c r="BY138" i="23916"/>
  <c r="BY137" i="23916"/>
  <c r="BY135" i="23916"/>
  <c r="BY133" i="23916"/>
  <c r="EI96" i="23916"/>
  <c r="DC96" i="23916"/>
  <c r="P189" i="23916"/>
  <c r="GG162" i="23916"/>
  <c r="GG116" i="23916"/>
  <c r="DG96" i="23916"/>
  <c r="CU96" i="23916"/>
  <c r="CS112" i="23916"/>
  <c r="EB775" i="23916"/>
  <c r="DW823" i="23916"/>
  <c r="DX772" i="23916"/>
  <c r="EF772" i="23916"/>
  <c r="EH775" i="23916"/>
  <c r="DZ775" i="23916"/>
  <c r="FE750" i="23916"/>
  <c r="AR735" i="23916"/>
  <c r="AQ742" i="23916"/>
  <c r="AR742" i="23916" s="1"/>
  <c r="M742" i="23916"/>
  <c r="N742" i="23916" s="1"/>
  <c r="N735" i="23916"/>
  <c r="N751" i="23916"/>
  <c r="ES732" i="23916"/>
  <c r="ER732" i="23916"/>
  <c r="EQ705" i="23916"/>
  <c r="ER705" i="23916" s="1"/>
  <c r="BK766" i="23916"/>
  <c r="BL766" i="23916" s="1"/>
  <c r="BK734" i="23916"/>
  <c r="BL731" i="23916"/>
  <c r="BO736" i="23916"/>
  <c r="BP736" i="23916" s="1"/>
  <c r="BO733" i="23916"/>
  <c r="BO731" i="23916"/>
  <c r="BO727" i="23916"/>
  <c r="BP727" i="23916" s="1"/>
  <c r="BQ730" i="23916"/>
  <c r="BP730" i="23916"/>
  <c r="BD735" i="23916"/>
  <c r="BC742" i="23916"/>
  <c r="BD742" i="23916" s="1"/>
  <c r="DY754" i="23916"/>
  <c r="DY753" i="23916"/>
  <c r="DY735" i="23916"/>
  <c r="DZ733" i="23916"/>
  <c r="DY711" i="23916"/>
  <c r="R753" i="23916"/>
  <c r="R752" i="23916"/>
  <c r="FS731" i="23916"/>
  <c r="FT734" i="23916"/>
  <c r="FU734" i="23916" s="1"/>
  <c r="BB734" i="23916"/>
  <c r="V734" i="23916"/>
  <c r="BH749" i="23916"/>
  <c r="BH756" i="23916"/>
  <c r="BB756" i="23916"/>
  <c r="BB753" i="23916"/>
  <c r="AR749" i="23916"/>
  <c r="AR756" i="23916"/>
  <c r="AL756" i="23916"/>
  <c r="AL753" i="23916"/>
  <c r="AB749" i="23916"/>
  <c r="AB756" i="23916"/>
  <c r="V756" i="23916"/>
  <c r="V753" i="23916"/>
  <c r="L749" i="23916"/>
  <c r="L756" i="23916"/>
  <c r="FI766" i="23916"/>
  <c r="GK765" i="23916"/>
  <c r="GC765" i="23916"/>
  <c r="FU765" i="23916"/>
  <c r="FK765" i="23916"/>
  <c r="AF735" i="23916"/>
  <c r="AE742" i="23916"/>
  <c r="AP734" i="23916"/>
  <c r="EG754" i="23916"/>
  <c r="EG753" i="23916"/>
  <c r="EH753" i="23916" s="1"/>
  <c r="EG735" i="23916"/>
  <c r="EH735" i="23916" s="1"/>
  <c r="EH733" i="23916"/>
  <c r="EG711" i="23916"/>
  <c r="BE742" i="23916"/>
  <c r="BF742" i="23916" s="1"/>
  <c r="BF735" i="23916"/>
  <c r="BF752" i="23916"/>
  <c r="AV751" i="23916"/>
  <c r="AP751" i="23916"/>
  <c r="AP756" i="23916"/>
  <c r="FN756" i="23916"/>
  <c r="AF750" i="23916"/>
  <c r="AF754" i="23916"/>
  <c r="Z750" i="23916"/>
  <c r="Z754" i="23916"/>
  <c r="P749" i="23916"/>
  <c r="FN734" i="23916"/>
  <c r="FM731" i="23916"/>
  <c r="FS720" i="23916"/>
  <c r="EA735" i="23916"/>
  <c r="EB735" i="23916" s="1"/>
  <c r="FP735" i="23916"/>
  <c r="BZ721" i="23916"/>
  <c r="BY722" i="23916"/>
  <c r="BZ722" i="23916" s="1"/>
  <c r="BK750" i="23916"/>
  <c r="BL750" i="23916" s="1"/>
  <c r="BT719" i="23916"/>
  <c r="FT751" i="23916"/>
  <c r="FU751" i="23916" s="1"/>
  <c r="FP751" i="23916"/>
  <c r="FQ751" i="23916" s="1"/>
  <c r="GN707" i="23916"/>
  <c r="GN753" i="23916" s="1"/>
  <c r="GO753" i="23916" s="1"/>
  <c r="GO706" i="23916"/>
  <c r="FX707" i="23916"/>
  <c r="FY707" i="23916" s="1"/>
  <c r="FY706" i="23916"/>
  <c r="FH707" i="23916"/>
  <c r="FI706" i="23916"/>
  <c r="GC721" i="23916"/>
  <c r="GB722" i="23916"/>
  <c r="FU721" i="23916"/>
  <c r="FT722" i="23916"/>
  <c r="FU722" i="23916" s="1"/>
  <c r="BS830" i="23916"/>
  <c r="BC830" i="23916"/>
  <c r="BD692" i="23916"/>
  <c r="AM830" i="23916"/>
  <c r="AN692" i="23916"/>
  <c r="W830" i="23916"/>
  <c r="X692" i="23916"/>
  <c r="AZ735" i="23916"/>
  <c r="CP721" i="23916"/>
  <c r="CO722" i="23916"/>
  <c r="BO761" i="23916"/>
  <c r="BP761" i="23916" s="1"/>
  <c r="EB706" i="23916"/>
  <c r="EA707" i="23916"/>
  <c r="DL706" i="23916"/>
  <c r="DK707" i="23916"/>
  <c r="CV706" i="23916"/>
  <c r="CU707" i="23916"/>
  <c r="CF706" i="23916"/>
  <c r="CE707" i="23916"/>
  <c r="BP706" i="23916"/>
  <c r="BO707" i="23916"/>
  <c r="AZ706" i="23916"/>
  <c r="AY707" i="23916"/>
  <c r="AJ706" i="23916"/>
  <c r="AI707" i="23916"/>
  <c r="T706" i="23916"/>
  <c r="S707" i="23916"/>
  <c r="EJ754" i="23916"/>
  <c r="FK727" i="23916"/>
  <c r="GB719" i="23916"/>
  <c r="GC719" i="23916" s="1"/>
  <c r="GC718" i="23916"/>
  <c r="FW763" i="23916"/>
  <c r="FS751" i="23916"/>
  <c r="FS760" i="23916"/>
  <c r="GL707" i="23916"/>
  <c r="GM706" i="23916"/>
  <c r="FV707" i="23916"/>
  <c r="FW706" i="23916"/>
  <c r="FF707" i="23916"/>
  <c r="FG706" i="23916"/>
  <c r="GH724" i="23916"/>
  <c r="GI736" i="23916"/>
  <c r="GA736" i="23916"/>
  <c r="FR724" i="23916"/>
  <c r="FS724" i="23916" s="1"/>
  <c r="FS736" i="23916"/>
  <c r="FK724" i="23916"/>
  <c r="T735" i="23916"/>
  <c r="ED735" i="23916"/>
  <c r="ED754" i="23916"/>
  <c r="FL722" i="23916"/>
  <c r="FO719" i="23916"/>
  <c r="BX717" i="23916"/>
  <c r="FO751" i="23916"/>
  <c r="FO760" i="23916"/>
  <c r="FK750" i="23916"/>
  <c r="FK763" i="23916"/>
  <c r="FG751" i="23916"/>
  <c r="BV763" i="23916"/>
  <c r="EW716" i="23916"/>
  <c r="EV716" i="23916"/>
  <c r="GH789" i="23916"/>
  <c r="GI687" i="23916"/>
  <c r="GH686" i="23916"/>
  <c r="AW830" i="23916"/>
  <c r="AX692" i="23916"/>
  <c r="FP692" i="23916"/>
  <c r="DE788" i="23916"/>
  <c r="DF684" i="23916"/>
  <c r="DG684" i="23916"/>
  <c r="DE665" i="23916"/>
  <c r="CF671" i="23916"/>
  <c r="FZ671" i="23916"/>
  <c r="GA671" i="23916" s="1"/>
  <c r="CX717" i="23916"/>
  <c r="AV681" i="23916"/>
  <c r="EW668" i="23916"/>
  <c r="EV668" i="23916"/>
  <c r="FH681" i="23916"/>
  <c r="FK681" i="23916" s="1"/>
  <c r="FI665" i="23916"/>
  <c r="DN707" i="23916"/>
  <c r="CH707" i="23916"/>
  <c r="BB707" i="23916"/>
  <c r="V707" i="23916"/>
  <c r="GP702" i="23916"/>
  <c r="EX702" i="23916"/>
  <c r="FO681" i="23916"/>
  <c r="AZ682" i="23916"/>
  <c r="AZ681" i="23916"/>
  <c r="FU674" i="23916"/>
  <c r="FT669" i="23916"/>
  <c r="DF671" i="23916"/>
  <c r="EL639" i="23916"/>
  <c r="DV639" i="23916"/>
  <c r="DF639" i="23916"/>
  <c r="CP639" i="23916"/>
  <c r="BZ639" i="23916"/>
  <c r="FO676" i="23916"/>
  <c r="FQ676" i="23916"/>
  <c r="DT671" i="23916"/>
  <c r="FF681" i="23916"/>
  <c r="FG681" i="23916" s="1"/>
  <c r="BX644" i="23916"/>
  <c r="CF644" i="23916"/>
  <c r="E745" i="23916"/>
  <c r="E744" i="23916"/>
  <c r="E690" i="23916"/>
  <c r="E682" i="23916"/>
  <c r="CL644" i="23916"/>
  <c r="FN742" i="23916"/>
  <c r="FO742" i="23916" s="1"/>
  <c r="DX644" i="23916"/>
  <c r="FY639" i="23916"/>
  <c r="AY745" i="23916"/>
  <c r="AY744" i="23916"/>
  <c r="AY690" i="23916"/>
  <c r="AZ640" i="23916"/>
  <c r="AY642" i="23916"/>
  <c r="AY678" i="23916" s="1"/>
  <c r="AZ678" i="23916" s="1"/>
  <c r="EF639" i="23916"/>
  <c r="DL639" i="23916"/>
  <c r="CV639" i="23916"/>
  <c r="CF639" i="23916"/>
  <c r="BX639" i="23916"/>
  <c r="DR644" i="23916"/>
  <c r="G900" i="23916"/>
  <c r="G692" i="23916"/>
  <c r="FU682" i="23916"/>
  <c r="GD644" i="23916"/>
  <c r="GE644" i="23916" s="1"/>
  <c r="GE637" i="23916"/>
  <c r="CH644" i="23916"/>
  <c r="FJ842" i="23916"/>
  <c r="FJ829" i="23916"/>
  <c r="FK628" i="23916"/>
  <c r="FU755" i="23916"/>
  <c r="FM755" i="23916"/>
  <c r="BE744" i="23916"/>
  <c r="AU744" i="23916"/>
  <c r="AE744" i="23916"/>
  <c r="AF744" i="23916" s="1"/>
  <c r="Y744" i="23916"/>
  <c r="Z744" i="23916" s="1"/>
  <c r="P690" i="23916"/>
  <c r="EJ644" i="23916"/>
  <c r="DO608" i="23916"/>
  <c r="DP604" i="23916"/>
  <c r="DO606" i="23916"/>
  <c r="CI608" i="23916"/>
  <c r="CJ604" i="23916"/>
  <c r="CI606" i="23916"/>
  <c r="FZ863" i="23916"/>
  <c r="FZ864" i="23916" s="1"/>
  <c r="GA598" i="23916"/>
  <c r="FZ866" i="23916"/>
  <c r="GA594" i="23916"/>
  <c r="GF822" i="23916"/>
  <c r="GG544" i="23916"/>
  <c r="FL822" i="23916"/>
  <c r="FM544" i="23916"/>
  <c r="BP640" i="23916"/>
  <c r="BI745" i="23916"/>
  <c r="AT690" i="23916"/>
  <c r="AS664" i="23916"/>
  <c r="AN690" i="23916"/>
  <c r="AM664" i="23916"/>
  <c r="AN664" i="23916" s="1"/>
  <c r="AD690" i="23916"/>
  <c r="AC664" i="23916"/>
  <c r="FJ690" i="23916"/>
  <c r="T690" i="23916"/>
  <c r="S664" i="23916"/>
  <c r="T664" i="23916" s="1"/>
  <c r="N690" i="23916"/>
  <c r="CO606" i="23916"/>
  <c r="CO608" i="23916"/>
  <c r="CP604" i="23916"/>
  <c r="BT604" i="23916"/>
  <c r="BS605" i="23916"/>
  <c r="BD604" i="23916"/>
  <c r="BC605" i="23916"/>
  <c r="FQ598" i="23916"/>
  <c r="FT628" i="23916"/>
  <c r="FU627" i="23916"/>
  <c r="GQ571" i="23916"/>
  <c r="GZ571" i="23916"/>
  <c r="GO571" i="23916"/>
  <c r="ET542" i="23916"/>
  <c r="EU542" i="23916"/>
  <c r="FF819" i="23916"/>
  <c r="FG541" i="23916"/>
  <c r="FF545" i="23916"/>
  <c r="FG545" i="23916" s="1"/>
  <c r="FF544" i="23916"/>
  <c r="BD690" i="23916"/>
  <c r="BC664" i="23916"/>
  <c r="BD664" i="23916" s="1"/>
  <c r="AX690" i="23916"/>
  <c r="AW664" i="23916"/>
  <c r="FP744" i="23916"/>
  <c r="W745" i="23916"/>
  <c r="Q745" i="23916"/>
  <c r="R745" i="23916" s="1"/>
  <c r="DK608" i="23916"/>
  <c r="DL604" i="23916"/>
  <c r="DK606" i="23916"/>
  <c r="CE608" i="23916"/>
  <c r="CF604" i="23916"/>
  <c r="CE606" i="23916"/>
  <c r="FT866" i="23916"/>
  <c r="FT867" i="23916" s="1"/>
  <c r="FU594" i="23916"/>
  <c r="GB627" i="23916"/>
  <c r="GC627" i="23916" s="1"/>
  <c r="GB582" i="23916"/>
  <c r="GB584" i="23916"/>
  <c r="GB577" i="23916"/>
  <c r="FP557" i="23916"/>
  <c r="FQ556" i="23916"/>
  <c r="FP574" i="23916"/>
  <c r="FV822" i="23916"/>
  <c r="FW544" i="23916"/>
  <c r="CO822" i="23916"/>
  <c r="CP544" i="23916"/>
  <c r="CJ644" i="23916"/>
  <c r="BA745" i="23916"/>
  <c r="AO745" i="23916"/>
  <c r="AA745" i="23916"/>
  <c r="U745" i="23916"/>
  <c r="V745" i="23916" s="1"/>
  <c r="GO636" i="23916"/>
  <c r="GS625" i="23916"/>
  <c r="GQ625" i="23916"/>
  <c r="BH652" i="23916"/>
  <c r="DA606" i="23916"/>
  <c r="DA608" i="23916"/>
  <c r="DB604" i="23916"/>
  <c r="BY604" i="23916"/>
  <c r="BI605" i="23916"/>
  <c r="AS604" i="23916"/>
  <c r="GA600" i="23916"/>
  <c r="FY600" i="23916"/>
  <c r="GC570" i="23916"/>
  <c r="FE570" i="23916"/>
  <c r="FW556" i="23916"/>
  <c r="AB544" i="23916"/>
  <c r="GI623" i="23916"/>
  <c r="FH819" i="23916"/>
  <c r="FH544" i="23916"/>
  <c r="FI541" i="23916"/>
  <c r="FH545" i="23916"/>
  <c r="FI545" i="23916" s="1"/>
  <c r="CT602" i="23916"/>
  <c r="GB602" i="23916"/>
  <c r="FY566" i="23916"/>
  <c r="FR568" i="23916"/>
  <c r="FS557" i="23916"/>
  <c r="FJ574" i="23916"/>
  <c r="EU528" i="23916"/>
  <c r="ET489" i="23916"/>
  <c r="EU489" i="23916"/>
  <c r="FZ492" i="23916"/>
  <c r="GA492" i="23916" s="1"/>
  <c r="GA489" i="23916"/>
  <c r="FS488" i="23916"/>
  <c r="EE497" i="23916"/>
  <c r="EE494" i="23916"/>
  <c r="EF476" i="23916"/>
  <c r="DO494" i="23916"/>
  <c r="DP476" i="23916"/>
  <c r="CY497" i="23916"/>
  <c r="CY494" i="23916"/>
  <c r="CZ476" i="23916"/>
  <c r="FS599" i="23916"/>
  <c r="FZ602" i="23916"/>
  <c r="GA602" i="23916" s="1"/>
  <c r="GF576" i="23916"/>
  <c r="FJ568" i="23916"/>
  <c r="FK554" i="23916"/>
  <c r="DS819" i="23916"/>
  <c r="DS624" i="23916"/>
  <c r="DS623" i="23916"/>
  <c r="DT623" i="23916" s="1"/>
  <c r="DS544" i="23916"/>
  <c r="DT541" i="23916"/>
  <c r="DS15" i="23916"/>
  <c r="DT15" i="23916" s="1"/>
  <c r="EK541" i="23916"/>
  <c r="EK539" i="23916"/>
  <c r="DO506" i="23916"/>
  <c r="DO508" i="23916"/>
  <c r="DO502" i="23916"/>
  <c r="DP500" i="23916"/>
  <c r="DO503" i="23916"/>
  <c r="CI506" i="23916"/>
  <c r="CI508" i="23916"/>
  <c r="CI502" i="23916"/>
  <c r="CJ500" i="23916"/>
  <c r="CI503" i="23916"/>
  <c r="BC506" i="23916"/>
  <c r="BC508" i="23916"/>
  <c r="BC502" i="23916"/>
  <c r="BD500" i="23916"/>
  <c r="BC503" i="23916"/>
  <c r="W506" i="23916"/>
  <c r="W508" i="23916"/>
  <c r="W502" i="23916"/>
  <c r="X500" i="23916"/>
  <c r="W503" i="23916"/>
  <c r="G494" i="23916"/>
  <c r="G497" i="23916"/>
  <c r="BE494" i="23916"/>
  <c r="BF476" i="23916"/>
  <c r="Y494" i="23916"/>
  <c r="Z476" i="23916"/>
  <c r="Y497" i="23916"/>
  <c r="ER593" i="23916"/>
  <c r="EE602" i="23916"/>
  <c r="EF602" i="23916" s="1"/>
  <c r="GG571" i="23916"/>
  <c r="FZ568" i="23916"/>
  <c r="GA568" i="23916" s="1"/>
  <c r="FN568" i="23916"/>
  <c r="FF574" i="23916"/>
  <c r="EU526" i="23916"/>
  <c r="ES531" i="23916"/>
  <c r="EN599" i="23916"/>
  <c r="FD508" i="23916"/>
  <c r="FE500" i="23916"/>
  <c r="FD506" i="23916"/>
  <c r="FE506" i="23916" s="1"/>
  <c r="FD503" i="23916"/>
  <c r="DM506" i="23916"/>
  <c r="DM508" i="23916"/>
  <c r="DM503" i="23916"/>
  <c r="DM502" i="23916"/>
  <c r="DN500" i="23916"/>
  <c r="CG506" i="23916"/>
  <c r="CH500" i="23916"/>
  <c r="CG508" i="23916"/>
  <c r="CG503" i="23916"/>
  <c r="CG502" i="23916"/>
  <c r="BA506" i="23916"/>
  <c r="BA508" i="23916"/>
  <c r="BA502" i="23916"/>
  <c r="BB500" i="23916"/>
  <c r="BA503" i="23916"/>
  <c r="U506" i="23916"/>
  <c r="V506" i="23916" s="1"/>
  <c r="V500" i="23916"/>
  <c r="U508" i="23916"/>
  <c r="V508" i="23916" s="1"/>
  <c r="U503" i="23916"/>
  <c r="U502" i="23916"/>
  <c r="V502" i="23916" s="1"/>
  <c r="FP497" i="23916"/>
  <c r="FQ488" i="23916"/>
  <c r="GL500" i="23916"/>
  <c r="GL476" i="23916"/>
  <c r="GM475" i="23916"/>
  <c r="FV476" i="23916"/>
  <c r="FW475" i="23916"/>
  <c r="FV496" i="23916"/>
  <c r="FW496" i="23916" s="1"/>
  <c r="FF500" i="23916"/>
  <c r="FF476" i="23916"/>
  <c r="FI476" i="23916" s="1"/>
  <c r="FG475" i="23916"/>
  <c r="EC494" i="23916"/>
  <c r="ED476" i="23916"/>
  <c r="EC497" i="23916"/>
  <c r="DM494" i="23916"/>
  <c r="DN476" i="23916"/>
  <c r="CW494" i="23916"/>
  <c r="CX476" i="23916"/>
  <c r="FU473" i="23916"/>
  <c r="FW473" i="23916"/>
  <c r="FN602" i="23916"/>
  <c r="AA604" i="23916"/>
  <c r="FI566" i="23916"/>
  <c r="GC557" i="23916"/>
  <c r="GL577" i="23916"/>
  <c r="GL582" i="23916"/>
  <c r="GL584" i="23916"/>
  <c r="GM574" i="23916"/>
  <c r="EG541" i="23916"/>
  <c r="EG539" i="23916"/>
  <c r="GN533" i="23916"/>
  <c r="FB506" i="23916"/>
  <c r="FB508" i="23916"/>
  <c r="DK506" i="23916"/>
  <c r="DK502" i="23916"/>
  <c r="DL500" i="23916"/>
  <c r="DK508" i="23916"/>
  <c r="DK503" i="23916"/>
  <c r="CE506" i="23916"/>
  <c r="CF500" i="23916"/>
  <c r="CE508" i="23916"/>
  <c r="CE502" i="23916"/>
  <c r="CE503" i="23916"/>
  <c r="AY506" i="23916"/>
  <c r="AY502" i="23916"/>
  <c r="AZ500" i="23916"/>
  <c r="AY503" i="23916"/>
  <c r="AY508" i="23916"/>
  <c r="S506" i="23916"/>
  <c r="S502" i="23916"/>
  <c r="S508" i="23916"/>
  <c r="T500" i="23916"/>
  <c r="S503" i="23916"/>
  <c r="GC492" i="23916"/>
  <c r="CE494" i="23916"/>
  <c r="CF476" i="23916"/>
  <c r="BO497" i="23916"/>
  <c r="BP497" i="23916" s="1"/>
  <c r="BO494" i="23916"/>
  <c r="BP476" i="23916"/>
  <c r="AY494" i="23916"/>
  <c r="AZ476" i="23916"/>
  <c r="AI497" i="23916"/>
  <c r="AI494" i="23916"/>
  <c r="AJ476" i="23916"/>
  <c r="S497" i="23916"/>
  <c r="S494" i="23916"/>
  <c r="T476" i="23916"/>
  <c r="CO462" i="23916"/>
  <c r="CO458" i="23916"/>
  <c r="CO459" i="23916"/>
  <c r="CO463" i="23916"/>
  <c r="CO464" i="23916" s="1"/>
  <c r="CM448" i="23916"/>
  <c r="CP492" i="23916"/>
  <c r="FQ496" i="23916"/>
  <c r="N503" i="23916"/>
  <c r="M509" i="23916"/>
  <c r="M505" i="23916"/>
  <c r="FH500" i="23916"/>
  <c r="GO476" i="23916"/>
  <c r="GF500" i="23916"/>
  <c r="GA473" i="23916"/>
  <c r="BO462" i="23916"/>
  <c r="BO459" i="23916"/>
  <c r="BP459" i="23916" s="1"/>
  <c r="FV453" i="23916"/>
  <c r="BP453" i="23916"/>
  <c r="BO458" i="23916"/>
  <c r="BO463" i="23916"/>
  <c r="BO464" i="23916" s="1"/>
  <c r="GI504" i="23916"/>
  <c r="FD502" i="23916"/>
  <c r="FE502" i="23916" s="1"/>
  <c r="EO500" i="23916"/>
  <c r="CT508" i="23916"/>
  <c r="EU457" i="23916"/>
  <c r="ET457" i="23916"/>
  <c r="GU443" i="23916"/>
  <c r="GV443" i="23916"/>
  <c r="FE425" i="23916"/>
  <c r="FD426" i="23916"/>
  <c r="FD434" i="23916"/>
  <c r="FE434" i="23916" s="1"/>
  <c r="FE411" i="23916"/>
  <c r="BN412" i="23916"/>
  <c r="BM415" i="23916"/>
  <c r="BN415" i="23916" s="1"/>
  <c r="GG489" i="23916"/>
  <c r="BB497" i="23916"/>
  <c r="FU496" i="23916"/>
  <c r="E509" i="23916"/>
  <c r="E505" i="23916"/>
  <c r="BR494" i="23916"/>
  <c r="FM476" i="23916"/>
  <c r="CD496" i="23916"/>
  <c r="GC475" i="23916"/>
  <c r="GE473" i="23916"/>
  <c r="BN425" i="23916"/>
  <c r="BO420" i="23916"/>
  <c r="CO479" i="23916"/>
  <c r="GJ397" i="23916"/>
  <c r="CO388" i="23916"/>
  <c r="CO387" i="23916"/>
  <c r="EW495" i="23916"/>
  <c r="EX494" i="23916"/>
  <c r="FK492" i="23916"/>
  <c r="BE497" i="23916"/>
  <c r="BF497" i="23916" s="1"/>
  <c r="EG622" i="23916"/>
  <c r="EG509" i="23916"/>
  <c r="EG505" i="23916"/>
  <c r="EH503" i="23916"/>
  <c r="EG14" i="23916"/>
  <c r="DR508" i="23916"/>
  <c r="DR506" i="23916"/>
  <c r="BV502" i="23916"/>
  <c r="BF502" i="23916"/>
  <c r="AP502" i="23916"/>
  <c r="EU439" i="23916"/>
  <c r="EU382" i="23916" s="1"/>
  <c r="ET439" i="23916"/>
  <c r="BO405" i="23916"/>
  <c r="BM434" i="23916"/>
  <c r="BN434" i="23916" s="1"/>
  <c r="BN411" i="23916"/>
  <c r="GC400" i="23916"/>
  <c r="GM395" i="23916"/>
  <c r="DS481" i="23916"/>
  <c r="DS480" i="23916"/>
  <c r="BC829" i="23916"/>
  <c r="BD628" i="23916"/>
  <c r="GV365" i="23916"/>
  <c r="GW364" i="23916"/>
  <c r="GX364" i="23916"/>
  <c r="EW406" i="23916"/>
  <c r="EV406" i="23916"/>
  <c r="FY371" i="23916"/>
  <c r="FX802" i="23916"/>
  <c r="FY364" i="23916"/>
  <c r="FW358" i="23916"/>
  <c r="FV360" i="23916"/>
  <c r="DI620" i="23916"/>
  <c r="DI372" i="23916"/>
  <c r="DI376" i="23916"/>
  <c r="DA370" i="23916"/>
  <c r="DJ370" i="23916" s="1"/>
  <c r="DA373" i="23916"/>
  <c r="DB373" i="23916" s="1"/>
  <c r="DA369" i="23916"/>
  <c r="DB369" i="23916" s="1"/>
  <c r="DA375" i="23916"/>
  <c r="DB375" i="23916" s="1"/>
  <c r="DB367" i="23916"/>
  <c r="CT375" i="23916"/>
  <c r="BJ364" i="23916"/>
  <c r="AW369" i="23916"/>
  <c r="AW373" i="23916"/>
  <c r="AX367" i="23916"/>
  <c r="AW375" i="23916"/>
  <c r="AX375" i="23916" s="1"/>
  <c r="AW370" i="23916"/>
  <c r="AO369" i="23916"/>
  <c r="AO373" i="23916"/>
  <c r="AP367" i="23916"/>
  <c r="AO375" i="23916"/>
  <c r="AO370" i="23916"/>
  <c r="AG369" i="23916"/>
  <c r="AH369" i="23916" s="1"/>
  <c r="AG373" i="23916"/>
  <c r="AH367" i="23916"/>
  <c r="AG375" i="23916"/>
  <c r="AG370" i="23916"/>
  <c r="Y369" i="23916"/>
  <c r="Z369" i="23916" s="1"/>
  <c r="Y373" i="23916"/>
  <c r="Z367" i="23916"/>
  <c r="Y375" i="23916"/>
  <c r="Z375" i="23916" s="1"/>
  <c r="Y370" i="23916"/>
  <c r="Q369" i="23916"/>
  <c r="Q373" i="23916"/>
  <c r="R367" i="23916"/>
  <c r="Q375" i="23916"/>
  <c r="Q370" i="23916"/>
  <c r="G369" i="23916"/>
  <c r="G373" i="23916"/>
  <c r="G375" i="23916"/>
  <c r="G370" i="23916"/>
  <c r="DY266" i="23916"/>
  <c r="DZ254" i="23916"/>
  <c r="EO858" i="23916"/>
  <c r="EP590" i="23916"/>
  <c r="EO594" i="23916"/>
  <c r="DY858" i="23916"/>
  <c r="DY594" i="23916"/>
  <c r="GM383" i="23916"/>
  <c r="GB375" i="23916"/>
  <c r="GB370" i="23916"/>
  <c r="GB373" i="23916"/>
  <c r="GB369" i="23916"/>
  <c r="FR364" i="23916"/>
  <c r="FU359" i="23916"/>
  <c r="FS359" i="23916"/>
  <c r="FO353" i="23916"/>
  <c r="E375" i="23916"/>
  <c r="E370" i="23916"/>
  <c r="E369" i="23916"/>
  <c r="E373" i="23916"/>
  <c r="GC317" i="23916"/>
  <c r="ER287" i="23916"/>
  <c r="GO410" i="23916"/>
  <c r="GC371" i="23916"/>
  <c r="AA373" i="23916"/>
  <c r="AB367" i="23916"/>
  <c r="AA375" i="23916"/>
  <c r="AB375" i="23916" s="1"/>
  <c r="AA370" i="23916"/>
  <c r="AA369" i="23916"/>
  <c r="AB369" i="23916" s="1"/>
  <c r="DP364" i="23916"/>
  <c r="BD364" i="23916"/>
  <c r="FJ802" i="23916"/>
  <c r="FK364" i="23916"/>
  <c r="GM364" i="23916"/>
  <c r="GM353" i="23916"/>
  <c r="CQ620" i="23916"/>
  <c r="CQ372" i="23916"/>
  <c r="CQ376" i="23916"/>
  <c r="BK812" i="23916"/>
  <c r="BK620" i="23916"/>
  <c r="BK372" i="23916"/>
  <c r="BK376" i="23916"/>
  <c r="BK802" i="23916"/>
  <c r="AE802" i="23916"/>
  <c r="AF373" i="23916"/>
  <c r="P375" i="23916"/>
  <c r="FU353" i="23916"/>
  <c r="FT367" i="23916"/>
  <c r="FZ856" i="23916"/>
  <c r="EA338" i="23916"/>
  <c r="EA334" i="23916"/>
  <c r="EA340" i="23916"/>
  <c r="EA333" i="23916"/>
  <c r="EB331" i="23916"/>
  <c r="CM338" i="23916"/>
  <c r="CN338" i="23916" s="1"/>
  <c r="CN331" i="23916"/>
  <c r="CM334" i="23916"/>
  <c r="CM340" i="23916"/>
  <c r="CN340" i="23916" s="1"/>
  <c r="CM333" i="23916"/>
  <c r="CN333" i="23916" s="1"/>
  <c r="GB324" i="23916"/>
  <c r="GC324" i="23916" s="1"/>
  <c r="GC322" i="23916"/>
  <c r="EU424" i="23916"/>
  <c r="ES396" i="23916"/>
  <c r="ET396" i="23916" s="1"/>
  <c r="ET424" i="23916"/>
  <c r="GJ387" i="23916"/>
  <c r="FB375" i="23916"/>
  <c r="FE375" i="23916" s="1"/>
  <c r="FB373" i="23916"/>
  <c r="T364" i="23916"/>
  <c r="FP364" i="23916"/>
  <c r="FQ359" i="23916"/>
  <c r="EC367" i="23916"/>
  <c r="GO353" i="23916"/>
  <c r="EW350" i="23916"/>
  <c r="EV350" i="23916"/>
  <c r="EH627" i="23916"/>
  <c r="DZ627" i="23916"/>
  <c r="GM317" i="23916"/>
  <c r="EU316" i="23916"/>
  <c r="EU593" i="23916" s="1"/>
  <c r="EV593" i="23916" s="1"/>
  <c r="ES317" i="23916"/>
  <c r="ET316" i="23916"/>
  <c r="EW289" i="23916"/>
  <c r="EV289" i="23916"/>
  <c r="EA264" i="23916"/>
  <c r="FN266" i="23916"/>
  <c r="FO254" i="23916"/>
  <c r="EA858" i="23916"/>
  <c r="EA594" i="23916"/>
  <c r="GL590" i="23916"/>
  <c r="EO232" i="23916"/>
  <c r="EO228" i="23916"/>
  <c r="EO226" i="23916" s="1"/>
  <c r="EO244" i="23916"/>
  <c r="ET295" i="23916"/>
  <c r="FZ266" i="23916"/>
  <c r="GA254" i="23916"/>
  <c r="EI246" i="23916"/>
  <c r="EI235" i="23916"/>
  <c r="DU246" i="23916"/>
  <c r="DU235" i="23916"/>
  <c r="GD184" i="23916"/>
  <c r="GE184" i="23916" s="1"/>
  <c r="GE177" i="23916"/>
  <c r="FH176" i="23916"/>
  <c r="FK174" i="23916"/>
  <c r="FI174" i="23916"/>
  <c r="GR163" i="23916"/>
  <c r="GQ163" i="23916"/>
  <c r="BW143" i="23916"/>
  <c r="FY362" i="23916"/>
  <c r="BW812" i="23916"/>
  <c r="BW620" i="23916"/>
  <c r="BW372" i="23916"/>
  <c r="BW376" i="23916"/>
  <c r="BW802" i="23916"/>
  <c r="K812" i="23916"/>
  <c r="K372" i="23916"/>
  <c r="L370" i="23916"/>
  <c r="K376" i="23916"/>
  <c r="C812" i="23916"/>
  <c r="C376" i="23916"/>
  <c r="C372" i="23916"/>
  <c r="C816" i="23916" s="1"/>
  <c r="FW353" i="23916"/>
  <c r="EO340" i="23916"/>
  <c r="EP331" i="23916"/>
  <c r="EO333" i="23916"/>
  <c r="EO338" i="23916"/>
  <c r="EO334" i="23916"/>
  <c r="DY340" i="23916"/>
  <c r="DZ331" i="23916"/>
  <c r="DY333" i="23916"/>
  <c r="DY338" i="23916"/>
  <c r="DY334" i="23916"/>
  <c r="DI340" i="23916"/>
  <c r="DI333" i="23916"/>
  <c r="DI338" i="23916"/>
  <c r="DJ331" i="23916"/>
  <c r="DI334" i="23916"/>
  <c r="CS340" i="23916"/>
  <c r="CT340" i="23916" s="1"/>
  <c r="CS333" i="23916"/>
  <c r="CT333" i="23916" s="1"/>
  <c r="CS338" i="23916"/>
  <c r="CT338" i="23916" s="1"/>
  <c r="CT331" i="23916"/>
  <c r="CS334" i="23916"/>
  <c r="EK301" i="23916"/>
  <c r="EK300" i="23916"/>
  <c r="EK307" i="23916"/>
  <c r="EK305" i="23916"/>
  <c r="DU301" i="23916"/>
  <c r="DU300" i="23916"/>
  <c r="DU307" i="23916"/>
  <c r="DU305" i="23916"/>
  <c r="DF298" i="23916"/>
  <c r="DE301" i="23916"/>
  <c r="DE300" i="23916"/>
  <c r="DF300" i="23916" s="1"/>
  <c r="DE307" i="23916"/>
  <c r="DF307" i="23916" s="1"/>
  <c r="DE305" i="23916"/>
  <c r="CO298" i="23916"/>
  <c r="EK858" i="23916"/>
  <c r="EL590" i="23916"/>
  <c r="EK594" i="23916"/>
  <c r="EC266" i="23916"/>
  <c r="ED254" i="23916"/>
  <c r="DU858" i="23916"/>
  <c r="DU594" i="23916"/>
  <c r="K195" i="23916"/>
  <c r="L195" i="23916" s="1"/>
  <c r="K193" i="23916"/>
  <c r="L193" i="23916" s="1"/>
  <c r="K189" i="23916"/>
  <c r="L189" i="23916" s="1"/>
  <c r="L187" i="23916"/>
  <c r="K190" i="23916"/>
  <c r="GC182" i="23916"/>
  <c r="GC176" i="23916"/>
  <c r="GB180" i="23916"/>
  <c r="CX360" i="23916"/>
  <c r="GA353" i="23916"/>
  <c r="FJ373" i="23916"/>
  <c r="FJ369" i="23916"/>
  <c r="FJ375" i="23916"/>
  <c r="FK367" i="23916"/>
  <c r="FJ370" i="23916"/>
  <c r="GE324" i="23916"/>
  <c r="GY295" i="23916"/>
  <c r="GX296" i="23916"/>
  <c r="GZ295" i="23916"/>
  <c r="GN291" i="23916"/>
  <c r="GO289" i="23916"/>
  <c r="GF291" i="23916"/>
  <c r="GG289" i="23916"/>
  <c r="GK295" i="23916"/>
  <c r="EO618" i="23916"/>
  <c r="EO308" i="23916"/>
  <c r="EO304" i="23916"/>
  <c r="EP301" i="23916"/>
  <c r="EO11" i="23916"/>
  <c r="EJ295" i="23916"/>
  <c r="ER295" i="23916"/>
  <c r="DZ300" i="23916"/>
  <c r="DT295" i="23916"/>
  <c r="DI618" i="23916"/>
  <c r="DI308" i="23916"/>
  <c r="DI304" i="23916"/>
  <c r="DJ301" i="23916"/>
  <c r="DD295" i="23916"/>
  <c r="EE269" i="23916"/>
  <c r="EE274" i="23916"/>
  <c r="EF274" i="23916" s="1"/>
  <c r="EF266" i="23916"/>
  <c r="EE272" i="23916"/>
  <c r="EE268" i="23916"/>
  <c r="EF268" i="23916" s="1"/>
  <c r="GG260" i="23916"/>
  <c r="GP252" i="23916"/>
  <c r="EQ204" i="23916"/>
  <c r="EQ206" i="23916" s="1"/>
  <c r="GN221" i="23916"/>
  <c r="GO212" i="23916"/>
  <c r="DY232" i="23916"/>
  <c r="BA829" i="23916"/>
  <c r="BA692" i="23916"/>
  <c r="BB628" i="23916"/>
  <c r="FI177" i="23916"/>
  <c r="FK177" i="23916"/>
  <c r="EE180" i="23916"/>
  <c r="EF176" i="23916"/>
  <c r="DO180" i="23916"/>
  <c r="DP176" i="23916"/>
  <c r="CY180" i="23916"/>
  <c r="CZ176" i="23916"/>
  <c r="CI180" i="23916"/>
  <c r="CJ176" i="23916"/>
  <c r="BS180" i="23916"/>
  <c r="BT176" i="23916"/>
  <c r="AU180" i="23916"/>
  <c r="AV176" i="23916"/>
  <c r="EG182" i="23916"/>
  <c r="EP182" i="23916" s="1"/>
  <c r="EH165" i="23916"/>
  <c r="EG184" i="23916"/>
  <c r="DQ182" i="23916"/>
  <c r="DR165" i="23916"/>
  <c r="DA182" i="23916"/>
  <c r="DB165" i="23916"/>
  <c r="CK182" i="23916"/>
  <c r="CL165" i="23916"/>
  <c r="BU182" i="23916"/>
  <c r="BV165" i="23916"/>
  <c r="BU184" i="23916"/>
  <c r="BE182" i="23916"/>
  <c r="BF165" i="23916"/>
  <c r="BE184" i="23916"/>
  <c r="AO182" i="23916"/>
  <c r="AP165" i="23916"/>
  <c r="AO184" i="23916"/>
  <c r="Z165" i="23916"/>
  <c r="Y184" i="23916"/>
  <c r="FU162" i="23916"/>
  <c r="FW162" i="23916"/>
  <c r="DK620" i="23916"/>
  <c r="DK372" i="23916"/>
  <c r="DK376" i="23916"/>
  <c r="DL370" i="23916"/>
  <c r="CU620" i="23916"/>
  <c r="CU372" i="23916"/>
  <c r="CU376" i="23916"/>
  <c r="AI367" i="23916"/>
  <c r="GZ328" i="23916"/>
  <c r="GY328" i="23916"/>
  <c r="GX329" i="23916"/>
  <c r="DO331" i="23916"/>
  <c r="DG619" i="23916"/>
  <c r="DG337" i="23916"/>
  <c r="DH334" i="23916"/>
  <c r="DG341" i="23916"/>
  <c r="CQ619" i="23916"/>
  <c r="CQ337" i="23916"/>
  <c r="CR337" i="23916" s="1"/>
  <c r="CR334" i="23916"/>
  <c r="CQ341" i="23916"/>
  <c r="CR341" i="23916" s="1"/>
  <c r="FZ291" i="23916"/>
  <c r="GC289" i="23916"/>
  <c r="GA289" i="23916"/>
  <c r="GG293" i="23916"/>
  <c r="EM298" i="23916"/>
  <c r="DW298" i="23916"/>
  <c r="DG298" i="23916"/>
  <c r="CQ300" i="23916"/>
  <c r="CR300" i="23916" s="1"/>
  <c r="CQ307" i="23916"/>
  <c r="CR307" i="23916" s="1"/>
  <c r="CQ305" i="23916"/>
  <c r="CR298" i="23916"/>
  <c r="CQ301" i="23916"/>
  <c r="GO240" i="23916"/>
  <c r="AD180" i="23916"/>
  <c r="EO193" i="23916"/>
  <c r="EO195" i="23916"/>
  <c r="EO190" i="23916"/>
  <c r="EO189" i="23916"/>
  <c r="BM193" i="23916"/>
  <c r="BM189" i="23916"/>
  <c r="BM195" i="23916"/>
  <c r="BM190" i="23916"/>
  <c r="AG193" i="23916"/>
  <c r="AH187" i="23916"/>
  <c r="AG195" i="23916"/>
  <c r="AG190" i="23916"/>
  <c r="AG189" i="23916"/>
  <c r="FL187" i="23916"/>
  <c r="FL165" i="23916"/>
  <c r="FM164" i="23916"/>
  <c r="FR143" i="23916"/>
  <c r="GN826" i="23916"/>
  <c r="GO826" i="23916" s="1"/>
  <c r="GN783" i="23916"/>
  <c r="GO140" i="23916"/>
  <c r="FX826" i="23916"/>
  <c r="FX783" i="23916"/>
  <c r="FY140" i="23916"/>
  <c r="FH826" i="23916"/>
  <c r="FH783" i="23916"/>
  <c r="FI140" i="23916"/>
  <c r="GN108" i="23916"/>
  <c r="GO108" i="23916" s="1"/>
  <c r="GO101" i="23916"/>
  <c r="GI182" i="23916"/>
  <c r="GK182" i="23916"/>
  <c r="EM180" i="23916"/>
  <c r="EN176" i="23916"/>
  <c r="AQ180" i="23916"/>
  <c r="AR176" i="23916"/>
  <c r="AA180" i="23916"/>
  <c r="AB176" i="23916"/>
  <c r="EG180" i="23916"/>
  <c r="EH176" i="23916"/>
  <c r="DI180" i="23916"/>
  <c r="DJ176" i="23916"/>
  <c r="CS180" i="23916"/>
  <c r="CT176" i="23916"/>
  <c r="CC180" i="23916"/>
  <c r="CD176" i="23916"/>
  <c r="FG175" i="23916"/>
  <c r="FF176" i="23916"/>
  <c r="FD809" i="23916"/>
  <c r="FD155" i="23916"/>
  <c r="FE155" i="23916" s="1"/>
  <c r="FE133" i="23916"/>
  <c r="FF127" i="23916"/>
  <c r="C127" i="23916"/>
  <c r="FD135" i="23916"/>
  <c r="DO120" i="23916"/>
  <c r="DO118" i="23916"/>
  <c r="DO114" i="23916"/>
  <c r="DP112" i="23916"/>
  <c r="DO115" i="23916"/>
  <c r="EU107" i="23916"/>
  <c r="EW106" i="23916"/>
  <c r="EV106" i="23916"/>
  <c r="ET80" i="23916"/>
  <c r="ER50" i="23916"/>
  <c r="GP50" i="23916"/>
  <c r="EA236" i="23916"/>
  <c r="EA238" i="23916"/>
  <c r="GE182" i="23916"/>
  <c r="BN176" i="23916"/>
  <c r="EW167" i="23916"/>
  <c r="E195" i="23916"/>
  <c r="E193" i="23916"/>
  <c r="E190" i="23916"/>
  <c r="E189" i="23916"/>
  <c r="EJ182" i="23916"/>
  <c r="ER182" i="23916"/>
  <c r="FS164" i="23916"/>
  <c r="FO165" i="23916"/>
  <c r="FN182" i="23916"/>
  <c r="BU155" i="23916"/>
  <c r="GD826" i="23916"/>
  <c r="GD783" i="23916"/>
  <c r="GE140" i="23916"/>
  <c r="FN826" i="23916"/>
  <c r="FN783" i="23916"/>
  <c r="FO140" i="23916"/>
  <c r="CN137" i="23916"/>
  <c r="CF137" i="23916"/>
  <c r="BU171" i="23916"/>
  <c r="GN828" i="23916"/>
  <c r="GJ827" i="23916"/>
  <c r="EC112" i="23916"/>
  <c r="CW112" i="23916"/>
  <c r="GM50" i="23916"/>
  <c r="GL242" i="23916"/>
  <c r="GM242" i="23916" s="1"/>
  <c r="GM241" i="23916"/>
  <c r="GL243" i="23916"/>
  <c r="GM243" i="23916" s="1"/>
  <c r="GM207" i="23916"/>
  <c r="GJ231" i="23916"/>
  <c r="GJ237" i="23916" s="1"/>
  <c r="GJ245" i="23916" s="1"/>
  <c r="FY191" i="23916"/>
  <c r="GA191" i="23916"/>
  <c r="FU191" i="23916"/>
  <c r="EI180" i="23916"/>
  <c r="EJ176" i="23916"/>
  <c r="AM180" i="23916"/>
  <c r="AN176" i="23916"/>
  <c r="Y182" i="23916"/>
  <c r="Z182" i="23916" s="1"/>
  <c r="DU180" i="23916"/>
  <c r="DV176" i="23916"/>
  <c r="EX168" i="23916"/>
  <c r="FS175" i="23916"/>
  <c r="FR176" i="23916"/>
  <c r="CQ127" i="23916"/>
  <c r="DS120" i="23916"/>
  <c r="DT112" i="23916"/>
  <c r="DS118" i="23916"/>
  <c r="DS114" i="23916"/>
  <c r="DS115" i="23916"/>
  <c r="GZ108" i="23916"/>
  <c r="GX109" i="23916"/>
  <c r="GY109" i="23916" s="1"/>
  <c r="GY108" i="23916"/>
  <c r="GJ108" i="23916"/>
  <c r="GJ106" i="23916"/>
  <c r="GK106" i="23916" s="1"/>
  <c r="GJ68" i="23916"/>
  <c r="GK67" i="23916"/>
  <c r="GJ112" i="23916"/>
  <c r="GM65" i="23916"/>
  <c r="GR47" i="23916"/>
  <c r="GQ47" i="23916"/>
  <c r="CQ58" i="23916"/>
  <c r="CR58" i="23916" s="1"/>
  <c r="CS32" i="23916"/>
  <c r="CR38" i="23916"/>
  <c r="CQ39" i="23916"/>
  <c r="GG175" i="23916"/>
  <c r="CF170" i="23916"/>
  <c r="EL108" i="23916"/>
  <c r="DW96" i="23916"/>
  <c r="C274" i="23916"/>
  <c r="C269" i="23916"/>
  <c r="C272" i="23916"/>
  <c r="C268" i="23916"/>
  <c r="GD103" i="23916"/>
  <c r="EG95" i="23916"/>
  <c r="GJ38" i="23916"/>
  <c r="P193" i="23916"/>
  <c r="GC162" i="23916"/>
  <c r="EM96" i="23916"/>
  <c r="DQ112" i="23916"/>
  <c r="FE754" i="23916"/>
  <c r="AB735" i="23916"/>
  <c r="AA742" i="23916"/>
  <c r="AB742" i="23916" s="1"/>
  <c r="BI742" i="23916"/>
  <c r="BJ735" i="23916"/>
  <c r="N752" i="23916"/>
  <c r="AN735" i="23916"/>
  <c r="AM742" i="23916"/>
  <c r="AN742" i="23916" s="1"/>
  <c r="BM756" i="23916"/>
  <c r="BM754" i="23916"/>
  <c r="BN754" i="23916" s="1"/>
  <c r="BM753" i="23916"/>
  <c r="BN753" i="23916" s="1"/>
  <c r="BM735" i="23916"/>
  <c r="BN733" i="23916"/>
  <c r="AX756" i="23916"/>
  <c r="FP756" i="23916"/>
  <c r="FQ756" i="23916" s="1"/>
  <c r="AH756" i="23916"/>
  <c r="FL756" i="23916"/>
  <c r="R754" i="23916"/>
  <c r="R756" i="23916"/>
  <c r="FH756" i="23916"/>
  <c r="FI756" i="23916" s="1"/>
  <c r="FO731" i="23916"/>
  <c r="FP734" i="23916"/>
  <c r="FQ734" i="23916" s="1"/>
  <c r="AR734" i="23916"/>
  <c r="L734" i="23916"/>
  <c r="BH750" i="23916"/>
  <c r="BB750" i="23916"/>
  <c r="BB754" i="23916"/>
  <c r="AR750" i="23916"/>
  <c r="AL750" i="23916"/>
  <c r="AL754" i="23916"/>
  <c r="AB750" i="23916"/>
  <c r="V750" i="23916"/>
  <c r="V754" i="23916"/>
  <c r="L750" i="23916"/>
  <c r="GO764" i="23916"/>
  <c r="GG764" i="23916"/>
  <c r="FY764" i="23916"/>
  <c r="FO764" i="23916"/>
  <c r="P735" i="23916"/>
  <c r="O742" i="23916"/>
  <c r="P742" i="23916" s="1"/>
  <c r="AF734" i="23916"/>
  <c r="DQ754" i="23916"/>
  <c r="DQ753" i="23916"/>
  <c r="DQ735" i="23916"/>
  <c r="DQ711" i="23916"/>
  <c r="BF749" i="23916"/>
  <c r="BF753" i="23916"/>
  <c r="AV756" i="23916"/>
  <c r="AV752" i="23916"/>
  <c r="AP749" i="23916"/>
  <c r="AP752" i="23916"/>
  <c r="AF751" i="23916"/>
  <c r="Z751" i="23916"/>
  <c r="Z756" i="23916"/>
  <c r="FJ756" i="23916"/>
  <c r="FK756" i="23916" s="1"/>
  <c r="P750" i="23916"/>
  <c r="P754" i="23916"/>
  <c r="FJ734" i="23916"/>
  <c r="FK734" i="23916" s="1"/>
  <c r="FI731" i="23916"/>
  <c r="BK751" i="23916"/>
  <c r="BL751" i="23916" s="1"/>
  <c r="CZ717" i="23916"/>
  <c r="CR717" i="23916"/>
  <c r="CJ721" i="23916"/>
  <c r="CI722" i="23916"/>
  <c r="CB721" i="23916"/>
  <c r="CA722" i="23916"/>
  <c r="CB722" i="23916" s="1"/>
  <c r="BT721" i="23916"/>
  <c r="BS722" i="23916"/>
  <c r="BT763" i="23916"/>
  <c r="FP750" i="23916"/>
  <c r="FQ750" i="23916" s="1"/>
  <c r="GJ707" i="23916"/>
  <c r="GK706" i="23916"/>
  <c r="FT707" i="23916"/>
  <c r="FU706" i="23916"/>
  <c r="GJ724" i="23916"/>
  <c r="GK724" i="23916" s="1"/>
  <c r="GK736" i="23916"/>
  <c r="GC736" i="23916"/>
  <c r="FT724" i="23916"/>
  <c r="FU724" i="23916" s="1"/>
  <c r="FU736" i="23916"/>
  <c r="BO830" i="23916"/>
  <c r="BP692" i="23916"/>
  <c r="AY830" i="23916"/>
  <c r="AZ692" i="23916"/>
  <c r="AI830" i="23916"/>
  <c r="AJ692" i="23916"/>
  <c r="S830" i="23916"/>
  <c r="T692" i="23916"/>
  <c r="EN734" i="23916"/>
  <c r="BO762" i="23916"/>
  <c r="BP762" i="23916" s="1"/>
  <c r="EN706" i="23916"/>
  <c r="EM707" i="23916"/>
  <c r="DX706" i="23916"/>
  <c r="DW707" i="23916"/>
  <c r="DH706" i="23916"/>
  <c r="DG707" i="23916"/>
  <c r="DH707" i="23916" s="1"/>
  <c r="CR706" i="23916"/>
  <c r="CQ707" i="23916"/>
  <c r="CR707" i="23916" s="1"/>
  <c r="CB706" i="23916"/>
  <c r="CA707" i="23916"/>
  <c r="CB707" i="23916" s="1"/>
  <c r="BL706" i="23916"/>
  <c r="BK707" i="23916"/>
  <c r="BL707" i="23916" s="1"/>
  <c r="AV706" i="23916"/>
  <c r="AU707" i="23916"/>
  <c r="AF706" i="23916"/>
  <c r="AE707" i="23916"/>
  <c r="P706" i="23916"/>
  <c r="O707" i="23916"/>
  <c r="EB734" i="23916"/>
  <c r="FU731" i="23916"/>
  <c r="FU727" i="23916"/>
  <c r="FU720" i="23916"/>
  <c r="BV721" i="23916"/>
  <c r="BU722" i="23916"/>
  <c r="CT721" i="23916"/>
  <c r="CS722" i="23916"/>
  <c r="CT722" i="23916" s="1"/>
  <c r="BM750" i="23916"/>
  <c r="BN750" i="23916" s="1"/>
  <c r="DD717" i="23916"/>
  <c r="CV717" i="23916"/>
  <c r="CF721" i="23916"/>
  <c r="CE722" i="23916"/>
  <c r="CF722" i="23916" s="1"/>
  <c r="GA763" i="23916"/>
  <c r="FS750" i="23916"/>
  <c r="FS763" i="23916"/>
  <c r="GH707" i="23916"/>
  <c r="GI706" i="23916"/>
  <c r="FR707" i="23916"/>
  <c r="FS706" i="23916"/>
  <c r="FW721" i="23916"/>
  <c r="FV722" i="23916"/>
  <c r="FW722" i="23916" s="1"/>
  <c r="FN721" i="23916"/>
  <c r="EN735" i="23916"/>
  <c r="FS754" i="23916"/>
  <c r="FK754" i="23916"/>
  <c r="FI721" i="23916"/>
  <c r="FH722" i="23916"/>
  <c r="FI722" i="23916" s="1"/>
  <c r="FK719" i="23916"/>
  <c r="FO749" i="23916"/>
  <c r="FO762" i="23916"/>
  <c r="FK749" i="23916"/>
  <c r="FK762" i="23916"/>
  <c r="FG749" i="23916"/>
  <c r="CD721" i="23916"/>
  <c r="CC722" i="23916"/>
  <c r="CD722" i="23916" s="1"/>
  <c r="ES717" i="23916"/>
  <c r="ET717" i="23916" s="1"/>
  <c r="EU714" i="23916"/>
  <c r="ET714" i="23916"/>
  <c r="GD789" i="23916"/>
  <c r="GE687" i="23916"/>
  <c r="GD686" i="23916"/>
  <c r="GF789" i="23916"/>
  <c r="GG687" i="23916"/>
  <c r="GF686" i="23916"/>
  <c r="AG830" i="23916"/>
  <c r="AH692" i="23916"/>
  <c r="EP707" i="23916"/>
  <c r="DJ707" i="23916"/>
  <c r="CD707" i="23916"/>
  <c r="AX707" i="23916"/>
  <c r="AF681" i="23916"/>
  <c r="GP668" i="23916"/>
  <c r="FI717" i="23916"/>
  <c r="BM711" i="23916"/>
  <c r="EX699" i="23916"/>
  <c r="GP699" i="23916"/>
  <c r="AJ681" i="23916"/>
  <c r="FM674" i="23916"/>
  <c r="ER671" i="23916"/>
  <c r="CT671" i="23916"/>
  <c r="DB671" i="23916"/>
  <c r="FO665" i="23916"/>
  <c r="EU663" i="23916"/>
  <c r="ET663" i="23916"/>
  <c r="ES674" i="23916"/>
  <c r="GF788" i="23916"/>
  <c r="GG684" i="23916"/>
  <c r="GH684" i="23916"/>
  <c r="EH639" i="23916"/>
  <c r="DR639" i="23916"/>
  <c r="DB639" i="23916"/>
  <c r="CL639" i="23916"/>
  <c r="BV639" i="23916"/>
  <c r="C900" i="23916"/>
  <c r="C692" i="23916"/>
  <c r="L692" i="23916" s="1"/>
  <c r="FF689" i="23916"/>
  <c r="FG689" i="23916" s="1"/>
  <c r="GJ671" i="23916"/>
  <c r="GK671" i="23916" s="1"/>
  <c r="GD671" i="23916"/>
  <c r="GE671" i="23916" s="1"/>
  <c r="EV644" i="23916"/>
  <c r="EW644" i="23916"/>
  <c r="EU637" i="23916"/>
  <c r="FR900" i="23916"/>
  <c r="FR692" i="23916"/>
  <c r="FS689" i="23916"/>
  <c r="FF742" i="23916"/>
  <c r="FG742" i="23916" s="1"/>
  <c r="DH644" i="23916"/>
  <c r="FL640" i="23916"/>
  <c r="FM639" i="23916"/>
  <c r="AQ745" i="23916"/>
  <c r="AQ744" i="23916"/>
  <c r="AQ690" i="23916"/>
  <c r="DX639" i="23916"/>
  <c r="DH639" i="23916"/>
  <c r="CR639" i="23916"/>
  <c r="FN639" i="23916"/>
  <c r="AR639" i="23916"/>
  <c r="AJ639" i="23916"/>
  <c r="AI640" i="23916"/>
  <c r="AR640" i="23916" s="1"/>
  <c r="BP678" i="23916"/>
  <c r="FZ644" i="23916"/>
  <c r="GA644" i="23916" s="1"/>
  <c r="GA637" i="23916"/>
  <c r="FO644" i="23916"/>
  <c r="FF829" i="23916"/>
  <c r="FF842" i="23916"/>
  <c r="FG628" i="23916"/>
  <c r="FU657" i="23916"/>
  <c r="FH742" i="23916"/>
  <c r="AU745" i="23916"/>
  <c r="AE745" i="23916"/>
  <c r="AF745" i="23916" s="1"/>
  <c r="O744" i="23916"/>
  <c r="P744" i="23916" s="1"/>
  <c r="FQ636" i="23916"/>
  <c r="BQ830" i="23916"/>
  <c r="BR692" i="23916"/>
  <c r="AS830" i="23916"/>
  <c r="AT692" i="23916"/>
  <c r="DG608" i="23916"/>
  <c r="DH604" i="23916"/>
  <c r="DG606" i="23916"/>
  <c r="BN602" i="23916"/>
  <c r="BF602" i="23916"/>
  <c r="FV866" i="23916"/>
  <c r="FV867" i="23916" s="1"/>
  <c r="FW594" i="23916"/>
  <c r="FX822" i="23916"/>
  <c r="FY544" i="23916"/>
  <c r="FD822" i="23916"/>
  <c r="FE544" i="23916"/>
  <c r="BP690" i="23916"/>
  <c r="BO664" i="23916"/>
  <c r="BI642" i="23916"/>
  <c r="BI678" i="23916" s="1"/>
  <c r="AM744" i="23916"/>
  <c r="AN744" i="23916" s="1"/>
  <c r="AC744" i="23916"/>
  <c r="AD744" i="23916" s="1"/>
  <c r="T744" i="23916"/>
  <c r="N682" i="23916"/>
  <c r="AG745" i="23916"/>
  <c r="AH745" i="23916" s="1"/>
  <c r="AG744" i="23916"/>
  <c r="AH744" i="23916" s="1"/>
  <c r="AG690" i="23916"/>
  <c r="AH640" i="23916"/>
  <c r="DM606" i="23916"/>
  <c r="DN604" i="23916"/>
  <c r="DM608" i="23916"/>
  <c r="CG606" i="23916"/>
  <c r="CG608" i="23916"/>
  <c r="CH604" i="23916"/>
  <c r="BP604" i="23916"/>
  <c r="BO605" i="23916"/>
  <c r="AZ604" i="23916"/>
  <c r="AY605" i="23916"/>
  <c r="FP628" i="23916"/>
  <c r="FQ627" i="23916"/>
  <c r="GO543" i="23916"/>
  <c r="GQ543" i="23916"/>
  <c r="GZ543" i="23916"/>
  <c r="FR624" i="23916"/>
  <c r="FS623" i="23916"/>
  <c r="EW536" i="23916"/>
  <c r="EW607" i="23916" s="1"/>
  <c r="EU607" i="23916"/>
  <c r="FF690" i="23916"/>
  <c r="BC744" i="23916"/>
  <c r="BD744" i="23916" s="1"/>
  <c r="AW744" i="23916"/>
  <c r="AX744" i="23916" s="1"/>
  <c r="FF745" i="23916"/>
  <c r="FG745" i="23916" s="1"/>
  <c r="FF744" i="23916"/>
  <c r="FG744" i="23916" s="1"/>
  <c r="FG640" i="23916"/>
  <c r="BT652" i="23916"/>
  <c r="DC608" i="23916"/>
  <c r="DD604" i="23916"/>
  <c r="DC606" i="23916"/>
  <c r="GF866" i="23916"/>
  <c r="GF867" i="23916" s="1"/>
  <c r="GF604" i="23916"/>
  <c r="GG594" i="23916"/>
  <c r="FP866" i="23916"/>
  <c r="FP867" i="23916" s="1"/>
  <c r="FQ594" i="23916"/>
  <c r="GN627" i="23916"/>
  <c r="FY627" i="23916"/>
  <c r="FX582" i="23916"/>
  <c r="FX584" i="23916"/>
  <c r="FX577" i="23916"/>
  <c r="FL557" i="23916"/>
  <c r="FM556" i="23916"/>
  <c r="FL574" i="23916"/>
  <c r="GH822" i="23916"/>
  <c r="GI544" i="23916"/>
  <c r="FR822" i="23916"/>
  <c r="FS544" i="23916"/>
  <c r="BM822" i="23916"/>
  <c r="BN544" i="23916"/>
  <c r="BA642" i="23916"/>
  <c r="BA678" i="23916" s="1"/>
  <c r="BB678" i="23916" s="1"/>
  <c r="AP640" i="23916"/>
  <c r="K745" i="23916"/>
  <c r="L745" i="23916" s="1"/>
  <c r="FJ745" i="23916"/>
  <c r="FJ744" i="23916"/>
  <c r="BS690" i="23916"/>
  <c r="BS642" i="23916"/>
  <c r="BS678" i="23916" s="1"/>
  <c r="BT678" i="23916" s="1"/>
  <c r="BT640" i="23916"/>
  <c r="CS606" i="23916"/>
  <c r="CS608" i="23916"/>
  <c r="BU604" i="23916"/>
  <c r="CD604" i="23916" s="1"/>
  <c r="BE604" i="23916"/>
  <c r="BN604" i="23916" s="1"/>
  <c r="GA599" i="23916"/>
  <c r="FS627" i="23916"/>
  <c r="GM571" i="23916"/>
  <c r="FY570" i="23916"/>
  <c r="X544" i="23916"/>
  <c r="CP602" i="23916"/>
  <c r="FT602" i="23916"/>
  <c r="FU602" i="23916" s="1"/>
  <c r="GL602" i="23916"/>
  <c r="GM602" i="23916" s="1"/>
  <c r="GM597" i="23916"/>
  <c r="FQ566" i="23916"/>
  <c r="GZ568" i="23916"/>
  <c r="GQ568" i="23916"/>
  <c r="GO568" i="23916"/>
  <c r="FR574" i="23916"/>
  <c r="ES600" i="23916"/>
  <c r="ET600" i="23916" s="1"/>
  <c r="EU529" i="23916"/>
  <c r="GJ537" i="23916"/>
  <c r="GJ541" i="23916" s="1"/>
  <c r="GJ535" i="23916"/>
  <c r="FV492" i="23916"/>
  <c r="FY492" i="23916" s="1"/>
  <c r="FW489" i="23916"/>
  <c r="GJ476" i="23916"/>
  <c r="GK475" i="23916"/>
  <c r="EA497" i="23916"/>
  <c r="EB497" i="23916" s="1"/>
  <c r="EA494" i="23916"/>
  <c r="EB494" i="23916" s="1"/>
  <c r="EB476" i="23916"/>
  <c r="DK497" i="23916"/>
  <c r="DL497" i="23916" s="1"/>
  <c r="DK494" i="23916"/>
  <c r="DL494" i="23916" s="1"/>
  <c r="DL476" i="23916"/>
  <c r="CU497" i="23916"/>
  <c r="CV497" i="23916" s="1"/>
  <c r="CU494" i="23916"/>
  <c r="CV494" i="23916" s="1"/>
  <c r="CV476" i="23916"/>
  <c r="AN602" i="23916"/>
  <c r="AK606" i="23916"/>
  <c r="AL605" i="23916"/>
  <c r="AC606" i="23916"/>
  <c r="AD605" i="23916"/>
  <c r="GB576" i="23916"/>
  <c r="GK568" i="23916"/>
  <c r="EM506" i="23916"/>
  <c r="EM508" i="23916"/>
  <c r="EM502" i="23916"/>
  <c r="EN500" i="23916"/>
  <c r="EM503" i="23916"/>
  <c r="DG506" i="23916"/>
  <c r="DG508" i="23916"/>
  <c r="DG502" i="23916"/>
  <c r="DH500" i="23916"/>
  <c r="DG503" i="23916"/>
  <c r="CA506" i="23916"/>
  <c r="CA508" i="23916"/>
  <c r="CA502" i="23916"/>
  <c r="CB500" i="23916"/>
  <c r="CA503" i="23916"/>
  <c r="AU506" i="23916"/>
  <c r="AU508" i="23916"/>
  <c r="AU502" i="23916"/>
  <c r="AV500" i="23916"/>
  <c r="AU503" i="23916"/>
  <c r="K506" i="23916"/>
  <c r="K502" i="23916"/>
  <c r="L500" i="23916"/>
  <c r="K508" i="23916"/>
  <c r="K503" i="23916"/>
  <c r="C494" i="23916"/>
  <c r="C497" i="23916"/>
  <c r="CK494" i="23916"/>
  <c r="CL476" i="23916"/>
  <c r="AW494" i="23916"/>
  <c r="AX476" i="23916"/>
  <c r="Q494" i="23916"/>
  <c r="R494" i="23916" s="1"/>
  <c r="R476" i="23916"/>
  <c r="CC825" i="23916"/>
  <c r="CL461" i="23916"/>
  <c r="CD461" i="23916"/>
  <c r="GI601" i="23916"/>
  <c r="GE601" i="23916"/>
  <c r="FP602" i="23916"/>
  <c r="GO570" i="23916"/>
  <c r="GJ602" i="23916"/>
  <c r="GK602" i="23916" s="1"/>
  <c r="GK597" i="23916"/>
  <c r="GC571" i="23916"/>
  <c r="FE568" i="23916"/>
  <c r="FN574" i="23916"/>
  <c r="EO819" i="23916"/>
  <c r="EO624" i="23916"/>
  <c r="EO623" i="23916"/>
  <c r="EO544" i="23916"/>
  <c r="EP541" i="23916"/>
  <c r="EO15" i="23916"/>
  <c r="EN601" i="23916"/>
  <c r="EK506" i="23916"/>
  <c r="EL500" i="23916"/>
  <c r="EK508" i="23916"/>
  <c r="EK503" i="23916"/>
  <c r="EK502" i="23916"/>
  <c r="DE506" i="23916"/>
  <c r="DF500" i="23916"/>
  <c r="DE508" i="23916"/>
  <c r="DE502" i="23916"/>
  <c r="DE503" i="23916"/>
  <c r="BY506" i="23916"/>
  <c r="BY502" i="23916"/>
  <c r="BZ500" i="23916"/>
  <c r="BY508" i="23916"/>
  <c r="BY503" i="23916"/>
  <c r="AS506" i="23916"/>
  <c r="AT500" i="23916"/>
  <c r="AS508" i="23916"/>
  <c r="AS503" i="23916"/>
  <c r="AS502" i="23916"/>
  <c r="ER601" i="23916"/>
  <c r="GH476" i="23916"/>
  <c r="GI475" i="23916"/>
  <c r="FR476" i="23916"/>
  <c r="FS475" i="23916"/>
  <c r="EP476" i="23916"/>
  <c r="EO497" i="23916"/>
  <c r="DY494" i="23916"/>
  <c r="DZ494" i="23916" s="1"/>
  <c r="DZ476" i="23916"/>
  <c r="DY497" i="23916"/>
  <c r="DZ497" i="23916" s="1"/>
  <c r="DI494" i="23916"/>
  <c r="DJ494" i="23916" s="1"/>
  <c r="DJ476" i="23916"/>
  <c r="DI497" i="23916"/>
  <c r="DJ497" i="23916" s="1"/>
  <c r="CS494" i="23916"/>
  <c r="CT494" i="23916" s="1"/>
  <c r="CT476" i="23916"/>
  <c r="GJ862" i="23916"/>
  <c r="GK592" i="23916"/>
  <c r="AN604" i="23916"/>
  <c r="AM605" i="23916"/>
  <c r="W604" i="23916"/>
  <c r="GM605" i="23916"/>
  <c r="FS570" i="23916"/>
  <c r="FO554" i="23916"/>
  <c r="GL863" i="23916"/>
  <c r="GM598" i="23916"/>
  <c r="EI506" i="23916"/>
  <c r="EI502" i="23916"/>
  <c r="EJ500" i="23916"/>
  <c r="EI508" i="23916"/>
  <c r="EI503" i="23916"/>
  <c r="DC506" i="23916"/>
  <c r="DC502" i="23916"/>
  <c r="DD500" i="23916"/>
  <c r="DC503" i="23916"/>
  <c r="DC508" i="23916"/>
  <c r="BW506" i="23916"/>
  <c r="BW502" i="23916"/>
  <c r="BW508" i="23916"/>
  <c r="BX500" i="23916"/>
  <c r="BW503" i="23916"/>
  <c r="AQ506" i="23916"/>
  <c r="AQ502" i="23916"/>
  <c r="AR500" i="23916"/>
  <c r="AQ508" i="23916"/>
  <c r="AQ503" i="23916"/>
  <c r="O506" i="23916"/>
  <c r="O508" i="23916"/>
  <c r="O502" i="23916"/>
  <c r="P500" i="23916"/>
  <c r="O503" i="23916"/>
  <c r="GN492" i="23916"/>
  <c r="EW479" i="23916"/>
  <c r="CA497" i="23916"/>
  <c r="CB497" i="23916" s="1"/>
  <c r="CA494" i="23916"/>
  <c r="CB494" i="23916" s="1"/>
  <c r="CB476" i="23916"/>
  <c r="BK497" i="23916"/>
  <c r="BL497" i="23916" s="1"/>
  <c r="BK494" i="23916"/>
  <c r="BL494" i="23916" s="1"/>
  <c r="BL476" i="23916"/>
  <c r="AU494" i="23916"/>
  <c r="AV494" i="23916" s="1"/>
  <c r="AV476" i="23916"/>
  <c r="AE497" i="23916"/>
  <c r="AF497" i="23916" s="1"/>
  <c r="AE494" i="23916"/>
  <c r="AF494" i="23916" s="1"/>
  <c r="AF476" i="23916"/>
  <c r="O497" i="23916"/>
  <c r="P497" i="23916" s="1"/>
  <c r="O494" i="23916"/>
  <c r="P494" i="23916" s="1"/>
  <c r="P476" i="23916"/>
  <c r="FD459" i="23916"/>
  <c r="FE458" i="23916"/>
  <c r="GJ459" i="23916"/>
  <c r="BN444" i="23916"/>
  <c r="BM466" i="23916"/>
  <c r="BN466" i="23916" s="1"/>
  <c r="BO438" i="23916"/>
  <c r="EM541" i="23916"/>
  <c r="EM539" i="23916"/>
  <c r="ES523" i="23916"/>
  <c r="ES533" i="23916" s="1"/>
  <c r="Q497" i="23916"/>
  <c r="R497" i="23916" s="1"/>
  <c r="FI496" i="23916"/>
  <c r="FS473" i="23916"/>
  <c r="FD802" i="23916"/>
  <c r="FE364" i="23916"/>
  <c r="GM504" i="23916"/>
  <c r="GH496" i="23916"/>
  <c r="GI496" i="23916" s="1"/>
  <c r="DY622" i="23916"/>
  <c r="DY509" i="23916"/>
  <c r="DY505" i="23916"/>
  <c r="DZ503" i="23916"/>
  <c r="DY14" i="23916"/>
  <c r="DZ506" i="23916"/>
  <c r="DI509" i="23916"/>
  <c r="DI505" i="23916"/>
  <c r="DJ503" i="23916"/>
  <c r="CO445" i="23916"/>
  <c r="CO449" i="23916"/>
  <c r="CO444" i="23916"/>
  <c r="GJ426" i="23916"/>
  <c r="GJ434" i="23916"/>
  <c r="GM393" i="23916"/>
  <c r="GL400" i="23916"/>
  <c r="FQ489" i="23916"/>
  <c r="GF497" i="23916"/>
  <c r="AU497" i="23916"/>
  <c r="AV497" i="23916" s="1"/>
  <c r="FM496" i="23916"/>
  <c r="AL497" i="23916"/>
  <c r="FU476" i="23916"/>
  <c r="FL500" i="23916"/>
  <c r="CC494" i="23916"/>
  <c r="CD476" i="23916"/>
  <c r="GC476" i="23916"/>
  <c r="BM479" i="23916"/>
  <c r="BN479" i="23916" s="1"/>
  <c r="BM478" i="23916"/>
  <c r="BN478" i="23916" s="1"/>
  <c r="BN398" i="23916"/>
  <c r="AY497" i="23916"/>
  <c r="I509" i="23916"/>
  <c r="I505" i="23916"/>
  <c r="EH502" i="23916"/>
  <c r="DR502" i="23916"/>
  <c r="DB502" i="23916"/>
  <c r="BU505" i="23916"/>
  <c r="BV503" i="23916"/>
  <c r="BU509" i="23916"/>
  <c r="BE505" i="23916"/>
  <c r="BF505" i="23916" s="1"/>
  <c r="BF503" i="23916"/>
  <c r="BE509" i="23916"/>
  <c r="BF509" i="23916" s="1"/>
  <c r="BF506" i="23916"/>
  <c r="Z508" i="23916"/>
  <c r="Z506" i="23916"/>
  <c r="DU432" i="23916"/>
  <c r="FY423" i="23916"/>
  <c r="CM415" i="23916"/>
  <c r="ES410" i="23916"/>
  <c r="ER410" i="23916"/>
  <c r="EQ386" i="23916"/>
  <c r="FY400" i="23916"/>
  <c r="GO393" i="23916"/>
  <c r="GN400" i="23916"/>
  <c r="GO400" i="23916" s="1"/>
  <c r="CM480" i="23916"/>
  <c r="CM481" i="23916"/>
  <c r="EX362" i="23916"/>
  <c r="EW363" i="23916"/>
  <c r="FV802" i="23916"/>
  <c r="FO358" i="23916"/>
  <c r="FN360" i="23916"/>
  <c r="FO360" i="23916" s="1"/>
  <c r="DQ369" i="23916"/>
  <c r="DR369" i="23916" s="1"/>
  <c r="DQ373" i="23916"/>
  <c r="DR373" i="23916" s="1"/>
  <c r="DR367" i="23916"/>
  <c r="DQ375" i="23916"/>
  <c r="DR375" i="23916" s="1"/>
  <c r="DQ370" i="23916"/>
  <c r="DJ375" i="23916"/>
  <c r="CX364" i="23916"/>
  <c r="CT369" i="23916"/>
  <c r="CP367" i="23916"/>
  <c r="CO370" i="23916"/>
  <c r="CO373" i="23916"/>
  <c r="CO369" i="23916"/>
  <c r="CP369" i="23916" s="1"/>
  <c r="CO375" i="23916"/>
  <c r="CG369" i="23916"/>
  <c r="CH369" i="23916" s="1"/>
  <c r="CG373" i="23916"/>
  <c r="CH367" i="23916"/>
  <c r="CG375" i="23916"/>
  <c r="CG370" i="23916"/>
  <c r="BY369" i="23916"/>
  <c r="BY370" i="23916"/>
  <c r="BY373" i="23916"/>
  <c r="BY375" i="23916"/>
  <c r="BQ367" i="23916"/>
  <c r="BI369" i="23916"/>
  <c r="BJ369" i="23916" s="1"/>
  <c r="BJ367" i="23916"/>
  <c r="BI370" i="23916"/>
  <c r="BI373" i="23916"/>
  <c r="BI375" i="23916"/>
  <c r="BJ375" i="23916" s="1"/>
  <c r="GL324" i="23916"/>
  <c r="GL331" i="23916" s="1"/>
  <c r="GM322" i="23916"/>
  <c r="GN850" i="23916"/>
  <c r="GO850" i="23916" s="1"/>
  <c r="GO251" i="23916"/>
  <c r="GN262" i="23916"/>
  <c r="GM428" i="23916"/>
  <c r="DS478" i="23916"/>
  <c r="EA373" i="23916"/>
  <c r="EA375" i="23916"/>
  <c r="EB367" i="23916"/>
  <c r="EA370" i="23916"/>
  <c r="EA369" i="23916"/>
  <c r="GN360" i="23916"/>
  <c r="GO358" i="23916"/>
  <c r="GJ360" i="23916"/>
  <c r="GK358" i="23916"/>
  <c r="FO362" i="23916"/>
  <c r="FE373" i="23916"/>
  <c r="ET364" i="23916"/>
  <c r="EL364" i="23916"/>
  <c r="DV364" i="23916"/>
  <c r="GO317" i="23916"/>
  <c r="GB305" i="23916"/>
  <c r="GB307" i="23916"/>
  <c r="GB300" i="23916"/>
  <c r="GB301" i="23916"/>
  <c r="EM858" i="23916"/>
  <c r="EN590" i="23916"/>
  <c r="EM594" i="23916"/>
  <c r="DW858" i="23916"/>
  <c r="DW594" i="23916"/>
  <c r="GK410" i="23916"/>
  <c r="DS373" i="23916"/>
  <c r="DS375" i="23916"/>
  <c r="DT375" i="23916" s="1"/>
  <c r="DT367" i="23916"/>
  <c r="DS370" i="23916"/>
  <c r="DS369" i="23916"/>
  <c r="DT369" i="23916" s="1"/>
  <c r="EV364" i="23916"/>
  <c r="CZ364" i="23916"/>
  <c r="AN364" i="23916"/>
  <c r="FF802" i="23916"/>
  <c r="FG364" i="23916"/>
  <c r="DO373" i="23916"/>
  <c r="DP373" i="23916" s="1"/>
  <c r="DO375" i="23916"/>
  <c r="DP375" i="23916" s="1"/>
  <c r="DO370" i="23916"/>
  <c r="DO369" i="23916"/>
  <c r="DP369" i="23916" s="1"/>
  <c r="DP367" i="23916"/>
  <c r="CI373" i="23916"/>
  <c r="CI375" i="23916"/>
  <c r="CI370" i="23916"/>
  <c r="CI369" i="23916"/>
  <c r="BC367" i="23916"/>
  <c r="AM812" i="23916"/>
  <c r="AM372" i="23916"/>
  <c r="AN370" i="23916"/>
  <c r="AM376" i="23916"/>
  <c r="AE812" i="23916"/>
  <c r="AE372" i="23916"/>
  <c r="AF370" i="23916"/>
  <c r="AE376" i="23916"/>
  <c r="W802" i="23916"/>
  <c r="X373" i="23916"/>
  <c r="P367" i="23916"/>
  <c r="FQ353" i="23916"/>
  <c r="ES855" i="23916"/>
  <c r="EU349" i="23916"/>
  <c r="ET349" i="23916"/>
  <c r="DS338" i="23916"/>
  <c r="DS334" i="23916"/>
  <c r="DS340" i="23916"/>
  <c r="DS333" i="23916"/>
  <c r="EU320" i="23916"/>
  <c r="GN324" i="23916"/>
  <c r="GO324" i="23916" s="1"/>
  <c r="GO322" i="23916"/>
  <c r="ES321" i="23916"/>
  <c r="ER321" i="23916"/>
  <c r="GI428" i="23916"/>
  <c r="GQ371" i="23916"/>
  <c r="ES356" i="23916"/>
  <c r="CF364" i="23916"/>
  <c r="GK362" i="23916"/>
  <c r="FY358" i="23916"/>
  <c r="FX360" i="23916"/>
  <c r="FY360" i="23916" s="1"/>
  <c r="EM373" i="23916"/>
  <c r="EM375" i="23916"/>
  <c r="EN375" i="23916" s="1"/>
  <c r="EM370" i="23916"/>
  <c r="EM369" i="23916"/>
  <c r="EN369" i="23916" s="1"/>
  <c r="EN367" i="23916"/>
  <c r="DW373" i="23916"/>
  <c r="DW375" i="23916"/>
  <c r="DX375" i="23916" s="1"/>
  <c r="DW370" i="23916"/>
  <c r="DW369" i="23916"/>
  <c r="DX367" i="23916"/>
  <c r="GJ367" i="23916"/>
  <c r="GK353" i="23916"/>
  <c r="GL328" i="23916"/>
  <c r="GM328" i="23916" s="1"/>
  <c r="GI317" i="23916"/>
  <c r="EW314" i="23916"/>
  <c r="EX314" i="23916" s="1"/>
  <c r="EV314" i="23916"/>
  <c r="EU296" i="23916"/>
  <c r="EW295" i="23916"/>
  <c r="EV295" i="23916"/>
  <c r="GO854" i="23916"/>
  <c r="DS264" i="23916"/>
  <c r="FJ266" i="23916"/>
  <c r="FK254" i="23916"/>
  <c r="EG232" i="23916"/>
  <c r="EG228" i="23916"/>
  <c r="EG226" i="23916" s="1"/>
  <c r="EG244" i="23916"/>
  <c r="BZ360" i="23916"/>
  <c r="EG618" i="23916"/>
  <c r="EG308" i="23916"/>
  <c r="EG304" i="23916"/>
  <c r="EH304" i="23916" s="1"/>
  <c r="EH301" i="23916"/>
  <c r="EG11" i="23916"/>
  <c r="DA618" i="23916"/>
  <c r="DA308" i="23916"/>
  <c r="DA304" i="23916"/>
  <c r="DB304" i="23916" s="1"/>
  <c r="DB301" i="23916"/>
  <c r="CK301" i="23916"/>
  <c r="CK300" i="23916"/>
  <c r="CL300" i="23916" s="1"/>
  <c r="CK307" i="23916"/>
  <c r="CL307" i="23916" s="1"/>
  <c r="CK305" i="23916"/>
  <c r="CL298" i="23916"/>
  <c r="FI260" i="23916"/>
  <c r="FK260" i="23916"/>
  <c r="EQ230" i="23916"/>
  <c r="GO191" i="23916"/>
  <c r="GM191" i="23916"/>
  <c r="FZ184" i="23916"/>
  <c r="GA177" i="23916"/>
  <c r="AZ364" i="23916"/>
  <c r="GA358" i="23916"/>
  <c r="FQ362" i="23916"/>
  <c r="AQ802" i="23916"/>
  <c r="GD367" i="23916"/>
  <c r="GK344" i="23916"/>
  <c r="DN328" i="23916"/>
  <c r="EK619" i="23916"/>
  <c r="EK341" i="23916"/>
  <c r="EL341" i="23916" s="1"/>
  <c r="EL334" i="23916"/>
  <c r="EK337" i="23916"/>
  <c r="EL337" i="23916" s="1"/>
  <c r="EK12" i="23916"/>
  <c r="EL12" i="23916" s="1"/>
  <c r="DU619" i="23916"/>
  <c r="DU341" i="23916"/>
  <c r="DV341" i="23916" s="1"/>
  <c r="DU337" i="23916"/>
  <c r="DV337" i="23916" s="1"/>
  <c r="DV334" i="23916"/>
  <c r="DU12" i="23916"/>
  <c r="DV12" i="23916" s="1"/>
  <c r="DE619" i="23916"/>
  <c r="DE341" i="23916"/>
  <c r="DF341" i="23916" s="1"/>
  <c r="DE337" i="23916"/>
  <c r="DF337" i="23916" s="1"/>
  <c r="DF334" i="23916"/>
  <c r="CO619" i="23916"/>
  <c r="CO341" i="23916"/>
  <c r="CP341" i="23916" s="1"/>
  <c r="CO337" i="23916"/>
  <c r="CP337" i="23916" s="1"/>
  <c r="CP334" i="23916"/>
  <c r="GD298" i="23916"/>
  <c r="GE284" i="23916"/>
  <c r="DS266" i="23916"/>
  <c r="ES258" i="23916"/>
  <c r="EW201" i="23916"/>
  <c r="EU205" i="23916"/>
  <c r="EU251" i="23916"/>
  <c r="EU203" i="23916"/>
  <c r="GL215" i="23916"/>
  <c r="GM215" i="23916" s="1"/>
  <c r="GM216" i="23916"/>
  <c r="FY176" i="23916"/>
  <c r="FX180" i="23916"/>
  <c r="BN360" i="23916"/>
  <c r="ED291" i="23916"/>
  <c r="GI289" i="23916"/>
  <c r="GH291" i="23916"/>
  <c r="GI291" i="23916" s="1"/>
  <c r="EP305" i="23916"/>
  <c r="DY618" i="23916"/>
  <c r="DZ301" i="23916"/>
  <c r="DY308" i="23916"/>
  <c r="DY304" i="23916"/>
  <c r="DY11" i="23916"/>
  <c r="DZ11" i="23916" s="1"/>
  <c r="DI802" i="23916"/>
  <c r="DJ305" i="23916"/>
  <c r="CT298" i="23916"/>
  <c r="CS618" i="23916"/>
  <c r="CT301" i="23916"/>
  <c r="CS308" i="23916"/>
  <c r="CS304" i="23916"/>
  <c r="EX280" i="23916"/>
  <c r="ET259" i="23916"/>
  <c r="EU259" i="23916"/>
  <c r="GN263" i="23916"/>
  <c r="GN264" i="23916" s="1"/>
  <c r="FM260" i="23916"/>
  <c r="FO260" i="23916"/>
  <c r="GN254" i="23916"/>
  <c r="GL226" i="23916"/>
  <c r="BS829" i="23916"/>
  <c r="GI175" i="23916"/>
  <c r="GH176" i="23916"/>
  <c r="GK175" i="23916"/>
  <c r="EA180" i="23916"/>
  <c r="EB176" i="23916"/>
  <c r="DK180" i="23916"/>
  <c r="DL176" i="23916"/>
  <c r="CU180" i="23916"/>
  <c r="CV176" i="23916"/>
  <c r="CE180" i="23916"/>
  <c r="CF176" i="23916"/>
  <c r="BG180" i="23916"/>
  <c r="BH176" i="23916"/>
  <c r="R176" i="23916"/>
  <c r="Q180" i="23916"/>
  <c r="EC182" i="23916"/>
  <c r="ED182" i="23916" s="1"/>
  <c r="ED165" i="23916"/>
  <c r="EC184" i="23916"/>
  <c r="ED184" i="23916" s="1"/>
  <c r="DM182" i="23916"/>
  <c r="DN182" i="23916" s="1"/>
  <c r="DN165" i="23916"/>
  <c r="CW182" i="23916"/>
  <c r="CX182" i="23916" s="1"/>
  <c r="CX165" i="23916"/>
  <c r="CG182" i="23916"/>
  <c r="CH182" i="23916" s="1"/>
  <c r="CH165" i="23916"/>
  <c r="BQ182" i="23916"/>
  <c r="BR182" i="23916" s="1"/>
  <c r="BR165" i="23916"/>
  <c r="BQ184" i="23916"/>
  <c r="BR184" i="23916" s="1"/>
  <c r="BA182" i="23916"/>
  <c r="BB182" i="23916" s="1"/>
  <c r="BB165" i="23916"/>
  <c r="BA184" i="23916"/>
  <c r="BB184" i="23916" s="1"/>
  <c r="AK182" i="23916"/>
  <c r="AL182" i="23916" s="1"/>
  <c r="AL165" i="23916"/>
  <c r="AK184" i="23916"/>
  <c r="AL184" i="23916" s="1"/>
  <c r="U182" i="23916"/>
  <c r="V182" i="23916" s="1"/>
  <c r="V165" i="23916"/>
  <c r="U184" i="23916"/>
  <c r="V184" i="23916" s="1"/>
  <c r="FQ162" i="23916"/>
  <c r="GI162" i="23916"/>
  <c r="GK162" i="23916"/>
  <c r="DU143" i="23916"/>
  <c r="CE367" i="23916"/>
  <c r="T369" i="23916"/>
  <c r="S802" i="23916"/>
  <c r="T373" i="23916"/>
  <c r="EU357" i="23916"/>
  <c r="ET357" i="23916"/>
  <c r="EM331" i="23916"/>
  <c r="DL328" i="23916"/>
  <c r="DC619" i="23916"/>
  <c r="DC337" i="23916"/>
  <c r="DC341" i="23916"/>
  <c r="EC298" i="23916"/>
  <c r="DM298" i="23916"/>
  <c r="CW618" i="23916"/>
  <c r="CW308" i="23916"/>
  <c r="CW304" i="23916"/>
  <c r="DW244" i="23916"/>
  <c r="DW232" i="23916"/>
  <c r="DW228" i="23916"/>
  <c r="DW226" i="23916" s="1"/>
  <c r="GJ226" i="23916" s="1"/>
  <c r="GJ228" i="23916" s="1"/>
  <c r="GN219" i="23916"/>
  <c r="GO219" i="23916" s="1"/>
  <c r="GO217" i="23916"/>
  <c r="GN218" i="23916"/>
  <c r="DM184" i="23916"/>
  <c r="DN184" i="23916" s="1"/>
  <c r="AW180" i="23916"/>
  <c r="AX176" i="23916"/>
  <c r="BI187" i="23916"/>
  <c r="AC187" i="23916"/>
  <c r="AL187" i="23916" s="1"/>
  <c r="M187" i="23916"/>
  <c r="FH165" i="23916"/>
  <c r="FI165" i="23916" s="1"/>
  <c r="FI164" i="23916"/>
  <c r="CC155" i="23916"/>
  <c r="FH143" i="23916"/>
  <c r="FF148" i="23916"/>
  <c r="FG148" i="23916" s="1"/>
  <c r="FG147" i="23916"/>
  <c r="GJ826" i="23916"/>
  <c r="GJ783" i="23916"/>
  <c r="GK140" i="23916"/>
  <c r="FT826" i="23916"/>
  <c r="FT783" i="23916"/>
  <c r="FU140" i="23916"/>
  <c r="GL828" i="23916"/>
  <c r="EE244" i="23916"/>
  <c r="EE232" i="23916"/>
  <c r="EE228" i="23916"/>
  <c r="EE226" i="23916" s="1"/>
  <c r="GL230" i="23916"/>
  <c r="DS236" i="23916"/>
  <c r="DS238" i="23916"/>
  <c r="EM863" i="23916"/>
  <c r="EM864" i="23916" s="1"/>
  <c r="EN598" i="23916"/>
  <c r="EG863" i="23916"/>
  <c r="EG864" i="23916" s="1"/>
  <c r="EH598" i="23916"/>
  <c r="FO175" i="23916"/>
  <c r="FN176" i="23916"/>
  <c r="GR159" i="23916"/>
  <c r="GQ159" i="23916"/>
  <c r="GL143" i="23916"/>
  <c r="AO148" i="23916"/>
  <c r="AQ143" i="23916"/>
  <c r="DS155" i="23916"/>
  <c r="EM120" i="23916"/>
  <c r="EM114" i="23916"/>
  <c r="EM118" i="23916"/>
  <c r="EN112" i="23916"/>
  <c r="EM115" i="23916"/>
  <c r="DG120" i="23916"/>
  <c r="DG118" i="23916"/>
  <c r="DG114" i="23916"/>
  <c r="DG115" i="23916"/>
  <c r="EV81" i="23916"/>
  <c r="EU94" i="23916"/>
  <c r="GQ33" i="23916"/>
  <c r="GR33" i="23916"/>
  <c r="EM269" i="23916"/>
  <c r="EM274" i="23916"/>
  <c r="EN274" i="23916" s="1"/>
  <c r="EN266" i="23916"/>
  <c r="EM272" i="23916"/>
  <c r="EM268" i="23916"/>
  <c r="GL176" i="23916"/>
  <c r="EP176" i="23916"/>
  <c r="Z180" i="23916"/>
  <c r="BA180" i="23916"/>
  <c r="BB176" i="23916"/>
  <c r="FV193" i="23916"/>
  <c r="FV195" i="23916"/>
  <c r="FV189" i="23916"/>
  <c r="FV190" i="23916"/>
  <c r="EJ184" i="23916"/>
  <c r="ER184" i="23916"/>
  <c r="BH184" i="23916"/>
  <c r="FS165" i="23916"/>
  <c r="FR182" i="23916"/>
  <c r="FU176" i="23916"/>
  <c r="FT180" i="23916"/>
  <c r="GA165" i="23916"/>
  <c r="GK154" i="23916"/>
  <c r="FU154" i="23916"/>
  <c r="EX144" i="23916"/>
  <c r="FZ826" i="23916"/>
  <c r="GA140" i="23916"/>
  <c r="FJ826" i="23916"/>
  <c r="FJ783" i="23916"/>
  <c r="FK140" i="23916"/>
  <c r="CC171" i="23916"/>
  <c r="CD171" i="23916" s="1"/>
  <c r="CD169" i="23916"/>
  <c r="I135" i="23916"/>
  <c r="K127" i="23916"/>
  <c r="GJ828" i="23916"/>
  <c r="DU112" i="23916"/>
  <c r="GI50" i="23916"/>
  <c r="FQ254" i="23916"/>
  <c r="GM212" i="23916"/>
  <c r="GL221" i="23916"/>
  <c r="BE628" i="23916"/>
  <c r="BF627" i="23916"/>
  <c r="GV185" i="23916"/>
  <c r="GW184" i="23916"/>
  <c r="GX184" i="23916"/>
  <c r="EV182" i="23916"/>
  <c r="EI863" i="23916"/>
  <c r="EI864" i="23916" s="1"/>
  <c r="GN598" i="23916"/>
  <c r="EJ598" i="23916"/>
  <c r="EC180" i="23916"/>
  <c r="ED176" i="23916"/>
  <c r="DE180" i="23916"/>
  <c r="DF176" i="23916"/>
  <c r="CO180" i="23916"/>
  <c r="CP176" i="23916"/>
  <c r="BY180" i="23916"/>
  <c r="BZ176" i="23916"/>
  <c r="FQ168" i="23916"/>
  <c r="CC809" i="23916"/>
  <c r="GB120" i="23916"/>
  <c r="GC120" i="23916" s="1"/>
  <c r="GB118" i="23916"/>
  <c r="GB115" i="23916"/>
  <c r="GB114" i="23916"/>
  <c r="GC114" i="23916" s="1"/>
  <c r="GC112" i="23916"/>
  <c r="DK120" i="23916"/>
  <c r="DK118" i="23916"/>
  <c r="DK114" i="23916"/>
  <c r="DK115" i="23916"/>
  <c r="GM106" i="23916"/>
  <c r="GO102" i="23916"/>
  <c r="ES102" i="23916"/>
  <c r="ER102" i="23916"/>
  <c r="EP81" i="23916"/>
  <c r="EW81" i="23916"/>
  <c r="EW82" i="23916" s="1"/>
  <c r="EX82" i="23916" s="1"/>
  <c r="GF106" i="23916"/>
  <c r="GG106" i="23916" s="1"/>
  <c r="GF68" i="23916"/>
  <c r="GG67" i="23916"/>
  <c r="GI65" i="23916"/>
  <c r="CQ71" i="23916"/>
  <c r="CR71" i="23916" s="1"/>
  <c r="CR52" i="23916"/>
  <c r="GC175" i="23916"/>
  <c r="CG138" i="23916"/>
  <c r="CG137" i="23916"/>
  <c r="CH137" i="23916" s="1"/>
  <c r="CP127" i="23916"/>
  <c r="CH127" i="23916"/>
  <c r="CG135" i="23916"/>
  <c r="CG133" i="23916"/>
  <c r="EX114" i="23916"/>
  <c r="GF103" i="23916"/>
  <c r="GG103" i="23916" s="1"/>
  <c r="GI37" i="23916"/>
  <c r="GK165" i="23916"/>
  <c r="CM171" i="23916"/>
  <c r="CN169" i="23916"/>
  <c r="GL783" i="23916"/>
  <c r="DI95" i="23916"/>
  <c r="DQ184" i="23916"/>
  <c r="DR108" i="23916"/>
  <c r="G196" i="23916"/>
  <c r="G266" i="23916" s="1"/>
  <c r="G192" i="23916"/>
  <c r="O813" i="23916"/>
  <c r="O196" i="23916"/>
  <c r="P190" i="23916"/>
  <c r="O192" i="23916"/>
  <c r="GJ809" i="23916"/>
  <c r="DY95" i="23916"/>
  <c r="GM37" i="23916"/>
  <c r="DS823" i="23916"/>
  <c r="DT772" i="23916"/>
  <c r="DO823" i="23916"/>
  <c r="DP772" i="23916"/>
  <c r="FE753" i="23916"/>
  <c r="FE752" i="23916"/>
  <c r="FE756" i="23916"/>
  <c r="L735" i="23916"/>
  <c r="K742" i="23916"/>
  <c r="L742" i="23916" s="1"/>
  <c r="AS742" i="23916"/>
  <c r="AT742" i="23916" s="1"/>
  <c r="AT735" i="23916"/>
  <c r="N756" i="23916"/>
  <c r="N753" i="23916"/>
  <c r="X735" i="23916"/>
  <c r="W742" i="23916"/>
  <c r="X742" i="23916" s="1"/>
  <c r="R749" i="23916"/>
  <c r="R750" i="23916"/>
  <c r="GJ754" i="23916"/>
  <c r="GK754" i="23916" s="1"/>
  <c r="GJ738" i="23916"/>
  <c r="GJ753" i="23916"/>
  <c r="GK733" i="23916"/>
  <c r="GL735" i="23916"/>
  <c r="GM735" i="23916" s="1"/>
  <c r="FT754" i="23916"/>
  <c r="FU754" i="23916" s="1"/>
  <c r="FT753" i="23916"/>
  <c r="FU733" i="23916"/>
  <c r="FK731" i="23916"/>
  <c r="FL734" i="23916"/>
  <c r="FM734" i="23916" s="1"/>
  <c r="AL734" i="23916"/>
  <c r="BH751" i="23916"/>
  <c r="BA742" i="23916"/>
  <c r="BB735" i="23916"/>
  <c r="BB751" i="23916"/>
  <c r="AR751" i="23916"/>
  <c r="AK742" i="23916"/>
  <c r="AL742" i="23916" s="1"/>
  <c r="AL735" i="23916"/>
  <c r="AL751" i="23916"/>
  <c r="AB751" i="23916"/>
  <c r="U742" i="23916"/>
  <c r="V742" i="23916" s="1"/>
  <c r="V735" i="23916"/>
  <c r="V751" i="23916"/>
  <c r="L751" i="23916"/>
  <c r="BM766" i="23916"/>
  <c r="BM734" i="23916"/>
  <c r="BN731" i="23916"/>
  <c r="FM766" i="23916"/>
  <c r="GO765" i="23916"/>
  <c r="GG765" i="23916"/>
  <c r="FY765" i="23916"/>
  <c r="GM727" i="23916"/>
  <c r="FO765" i="23916"/>
  <c r="BF734" i="23916"/>
  <c r="Z734" i="23916"/>
  <c r="BK754" i="23916"/>
  <c r="BL754" i="23916" s="1"/>
  <c r="BK753" i="23916"/>
  <c r="BK756" i="23916"/>
  <c r="BL756" i="23916" s="1"/>
  <c r="BL733" i="23916"/>
  <c r="BK735" i="23916"/>
  <c r="BF750" i="23916"/>
  <c r="BF754" i="23916"/>
  <c r="AV749" i="23916"/>
  <c r="AO742" i="23916"/>
  <c r="AP742" i="23916" s="1"/>
  <c r="AP735" i="23916"/>
  <c r="AP753" i="23916"/>
  <c r="AF756" i="23916"/>
  <c r="AF752" i="23916"/>
  <c r="Z749" i="23916"/>
  <c r="Z752" i="23916"/>
  <c r="P751" i="23916"/>
  <c r="GL754" i="23916"/>
  <c r="GM754" i="23916" s="1"/>
  <c r="GL753" i="23916"/>
  <c r="GL738" i="23916"/>
  <c r="GM733" i="23916"/>
  <c r="BL721" i="23916"/>
  <c r="BK722" i="23916"/>
  <c r="BL722" i="23916" s="1"/>
  <c r="BK752" i="23916"/>
  <c r="BL752" i="23916" s="1"/>
  <c r="CR721" i="23916"/>
  <c r="CQ722" i="23916"/>
  <c r="CR722" i="23916" s="1"/>
  <c r="CR763" i="23916"/>
  <c r="BT717" i="23916"/>
  <c r="FT752" i="23916"/>
  <c r="FU752" i="23916" s="1"/>
  <c r="FP749" i="23916"/>
  <c r="FQ749" i="23916" s="1"/>
  <c r="EW715" i="23916"/>
  <c r="EV715" i="23916"/>
  <c r="GF707" i="23916"/>
  <c r="GG706" i="23916"/>
  <c r="FP707" i="23916"/>
  <c r="FQ706" i="23916"/>
  <c r="FY721" i="23916"/>
  <c r="FX722" i="23916"/>
  <c r="FY722" i="23916" s="1"/>
  <c r="FP721" i="23916"/>
  <c r="AU830" i="23916"/>
  <c r="AV692" i="23916"/>
  <c r="AE830" i="23916"/>
  <c r="AF692" i="23916"/>
  <c r="P692" i="23916"/>
  <c r="FI689" i="23916"/>
  <c r="FJ721" i="23916"/>
  <c r="CN717" i="23916"/>
  <c r="CH721" i="23916"/>
  <c r="CG722" i="23916"/>
  <c r="CH722" i="23916" s="1"/>
  <c r="BP721" i="23916"/>
  <c r="BO722" i="23916"/>
  <c r="BP722" i="23916" s="1"/>
  <c r="EJ706" i="23916"/>
  <c r="EI707" i="23916"/>
  <c r="DT706" i="23916"/>
  <c r="DS707" i="23916"/>
  <c r="DD706" i="23916"/>
  <c r="DC707" i="23916"/>
  <c r="DD707" i="23916" s="1"/>
  <c r="CN706" i="23916"/>
  <c r="CM707" i="23916"/>
  <c r="CN707" i="23916" s="1"/>
  <c r="BX706" i="23916"/>
  <c r="BW707" i="23916"/>
  <c r="BX707" i="23916" s="1"/>
  <c r="BH706" i="23916"/>
  <c r="BG707" i="23916"/>
  <c r="AR706" i="23916"/>
  <c r="AQ707" i="23916"/>
  <c r="AB706" i="23916"/>
  <c r="AA707" i="23916"/>
  <c r="L706" i="23916"/>
  <c r="K707" i="23916"/>
  <c r="GN789" i="23916"/>
  <c r="GO789" i="23916" s="1"/>
  <c r="GO687" i="23916"/>
  <c r="GN686" i="23916"/>
  <c r="AJ742" i="23916"/>
  <c r="EI735" i="23916"/>
  <c r="BN721" i="23916"/>
  <c r="BM722" i="23916"/>
  <c r="BN722" i="23916" s="1"/>
  <c r="T722" i="23916"/>
  <c r="GA719" i="23916"/>
  <c r="BM751" i="23916"/>
  <c r="BN751" i="23916" s="1"/>
  <c r="FS762" i="23916"/>
  <c r="GD707" i="23916"/>
  <c r="GE707" i="23916" s="1"/>
  <c r="GE706" i="23916"/>
  <c r="FN707" i="23916"/>
  <c r="FO706" i="23916"/>
  <c r="GL724" i="23916"/>
  <c r="GM724" i="23916" s="1"/>
  <c r="GM736" i="23916"/>
  <c r="GE736" i="23916"/>
  <c r="FW736" i="23916"/>
  <c r="FN724" i="23916"/>
  <c r="FO724" i="23916" s="1"/>
  <c r="FO736" i="23916"/>
  <c r="EN754" i="23916"/>
  <c r="DX754" i="23916"/>
  <c r="FT735" i="23916"/>
  <c r="FT744" i="23916" s="1"/>
  <c r="FU744" i="23916" s="1"/>
  <c r="FM735" i="23916"/>
  <c r="FU719" i="23916"/>
  <c r="FO752" i="23916"/>
  <c r="FO761" i="23916"/>
  <c r="FK752" i="23916"/>
  <c r="FK761" i="23916"/>
  <c r="FG752" i="23916"/>
  <c r="CT763" i="23916"/>
  <c r="CD763" i="23916"/>
  <c r="CY763" i="23916"/>
  <c r="CZ763" i="23916" s="1"/>
  <c r="CY721" i="23916"/>
  <c r="CZ718" i="23916"/>
  <c r="CY719" i="23916"/>
  <c r="CZ719" i="23916" s="1"/>
  <c r="DA718" i="23916"/>
  <c r="BN678" i="23916"/>
  <c r="ET703" i="23916"/>
  <c r="EU703" i="23916"/>
  <c r="R692" i="23916"/>
  <c r="ET720" i="23916"/>
  <c r="EU720" i="23916"/>
  <c r="BV671" i="23916"/>
  <c r="CD671" i="23916"/>
  <c r="FV671" i="23916"/>
  <c r="FW671" i="23916" s="1"/>
  <c r="FP681" i="23916"/>
  <c r="FQ681" i="23916" s="1"/>
  <c r="FP682" i="23916"/>
  <c r="FQ665" i="23916"/>
  <c r="BX719" i="23916"/>
  <c r="ED707" i="23916"/>
  <c r="CX707" i="23916"/>
  <c r="BR707" i="23916"/>
  <c r="AL707" i="23916"/>
  <c r="EV701" i="23916"/>
  <c r="EW701" i="23916"/>
  <c r="EB671" i="23916"/>
  <c r="CP671" i="23916"/>
  <c r="FK665" i="23916"/>
  <c r="GF665" i="23916"/>
  <c r="ET639" i="23916"/>
  <c r="ED639" i="23916"/>
  <c r="DN639" i="23916"/>
  <c r="CX639" i="23916"/>
  <c r="CH639" i="23916"/>
  <c r="FW674" i="23916"/>
  <c r="GI669" i="23916"/>
  <c r="CV671" i="23916"/>
  <c r="FY671" i="23916"/>
  <c r="I744" i="23916"/>
  <c r="GF644" i="23916"/>
  <c r="GG644" i="23916" s="1"/>
  <c r="GG637" i="23916"/>
  <c r="FK689" i="23916"/>
  <c r="FS682" i="23916"/>
  <c r="FH640" i="23916"/>
  <c r="FH682" i="23916" s="1"/>
  <c r="FI639" i="23916"/>
  <c r="EN639" i="23916"/>
  <c r="DT639" i="23916"/>
  <c r="DD639" i="23916"/>
  <c r="CN639" i="23916"/>
  <c r="DV644" i="23916"/>
  <c r="AP692" i="23916"/>
  <c r="GN671" i="23916"/>
  <c r="BL682" i="23916"/>
  <c r="AV682" i="23916"/>
  <c r="AF682" i="23916"/>
  <c r="FU681" i="23916"/>
  <c r="DL644" i="23916"/>
  <c r="GL644" i="23916"/>
  <c r="GM637" i="23916"/>
  <c r="FV644" i="23916"/>
  <c r="FW637" i="23916"/>
  <c r="FR829" i="23916"/>
  <c r="FR842" i="23916"/>
  <c r="FR743" i="23916"/>
  <c r="FS628" i="23916"/>
  <c r="FT900" i="23916"/>
  <c r="FU689" i="23916"/>
  <c r="FQ755" i="23916"/>
  <c r="FI755" i="23916"/>
  <c r="BL690" i="23916"/>
  <c r="BK664" i="23916"/>
  <c r="BL664" i="23916" s="1"/>
  <c r="BE642" i="23916"/>
  <c r="BE678" i="23916" s="1"/>
  <c r="BF678" i="23916" s="1"/>
  <c r="O745" i="23916"/>
  <c r="P745" i="23916" s="1"/>
  <c r="EB639" i="23916"/>
  <c r="CY608" i="23916"/>
  <c r="CZ608" i="23916" s="1"/>
  <c r="CZ604" i="23916"/>
  <c r="CY606" i="23916"/>
  <c r="BJ602" i="23916"/>
  <c r="BB602" i="23916"/>
  <c r="GH866" i="23916"/>
  <c r="GH867" i="23916" s="1"/>
  <c r="GH604" i="23916"/>
  <c r="GI594" i="23916"/>
  <c r="FR866" i="23916"/>
  <c r="FR867" i="23916" s="1"/>
  <c r="FS594" i="23916"/>
  <c r="FT822" i="23916"/>
  <c r="FU544" i="23916"/>
  <c r="BJ690" i="23916"/>
  <c r="BI664" i="23916"/>
  <c r="FR745" i="23916"/>
  <c r="FR744" i="23916"/>
  <c r="FS744" i="23916" s="1"/>
  <c r="FR690" i="23916"/>
  <c r="FS640" i="23916"/>
  <c r="FR642" i="23916"/>
  <c r="FR678" i="23916" s="1"/>
  <c r="FS678" i="23916" s="1"/>
  <c r="AS745" i="23916"/>
  <c r="AT745" i="23916" s="1"/>
  <c r="AM745" i="23916"/>
  <c r="AN745" i="23916" s="1"/>
  <c r="AC745" i="23916"/>
  <c r="AD745" i="23916" s="1"/>
  <c r="S745" i="23916"/>
  <c r="T745" i="23916" s="1"/>
  <c r="M744" i="23916"/>
  <c r="N744" i="23916" s="1"/>
  <c r="GD639" i="23916"/>
  <c r="ER639" i="23916"/>
  <c r="GS635" i="23916"/>
  <c r="GT635" i="23916"/>
  <c r="BI830" i="23916"/>
  <c r="BJ692" i="23916"/>
  <c r="GZ625" i="23916"/>
  <c r="DE606" i="23916"/>
  <c r="DE608" i="23916"/>
  <c r="DF608" i="23916" s="1"/>
  <c r="DF604" i="23916"/>
  <c r="CB604" i="23916"/>
  <c r="BL604" i="23916"/>
  <c r="BK605" i="23916"/>
  <c r="AV604" i="23916"/>
  <c r="AU605" i="23916"/>
  <c r="CD602" i="23916"/>
  <c r="GN582" i="23916"/>
  <c r="GN584" i="23916"/>
  <c r="GN577" i="23916"/>
  <c r="GZ574" i="23916"/>
  <c r="GQ574" i="23916"/>
  <c r="GO574" i="23916"/>
  <c r="FO544" i="23916"/>
  <c r="GG624" i="23916"/>
  <c r="BC745" i="23916"/>
  <c r="BD745" i="23916" s="1"/>
  <c r="AW745" i="23916"/>
  <c r="AX745" i="23916" s="1"/>
  <c r="AL690" i="23916"/>
  <c r="AK664" i="23916"/>
  <c r="AL664" i="23916" s="1"/>
  <c r="X690" i="23916"/>
  <c r="W664" i="23916"/>
  <c r="X664" i="23916" s="1"/>
  <c r="R690" i="23916"/>
  <c r="BH658" i="23916"/>
  <c r="CU608" i="23916"/>
  <c r="CV608" i="23916" s="1"/>
  <c r="CV604" i="23916"/>
  <c r="CU606" i="23916"/>
  <c r="BL602" i="23916"/>
  <c r="BD602" i="23916"/>
  <c r="AJ602" i="23916"/>
  <c r="GB866" i="23916"/>
  <c r="GB867" i="23916" s="1"/>
  <c r="GB604" i="23916"/>
  <c r="GC594" i="23916"/>
  <c r="FM594" i="23916"/>
  <c r="GK627" i="23916"/>
  <c r="GJ582" i="23916"/>
  <c r="GJ584" i="23916"/>
  <c r="GK574" i="23916"/>
  <c r="GJ577" i="23916"/>
  <c r="FD582" i="23916"/>
  <c r="FD584" i="23916"/>
  <c r="FE584" i="23916" s="1"/>
  <c r="FE574" i="23916"/>
  <c r="FD577" i="23916"/>
  <c r="FD576" i="23916"/>
  <c r="FE576" i="23916" s="1"/>
  <c r="FH557" i="23916"/>
  <c r="FI556" i="23916"/>
  <c r="FH574" i="23916"/>
  <c r="GD822" i="23916"/>
  <c r="GE544" i="23916"/>
  <c r="Y804" i="23916"/>
  <c r="Z545" i="23916"/>
  <c r="Y822" i="23916"/>
  <c r="Z544" i="23916"/>
  <c r="FZ624" i="23916"/>
  <c r="GA623" i="23916"/>
  <c r="BQ642" i="23916"/>
  <c r="BQ678" i="23916" s="1"/>
  <c r="BR678" i="23916" s="1"/>
  <c r="BB690" i="23916"/>
  <c r="BA664" i="23916"/>
  <c r="BB664" i="23916" s="1"/>
  <c r="AP690" i="23916"/>
  <c r="AO664" i="23916"/>
  <c r="FL690" i="23916"/>
  <c r="AB690" i="23916"/>
  <c r="AA664" i="23916"/>
  <c r="AB664" i="23916" s="1"/>
  <c r="V690" i="23916"/>
  <c r="U664" i="23916"/>
  <c r="V664" i="23916" s="1"/>
  <c r="L682" i="23916"/>
  <c r="GL639" i="23916"/>
  <c r="FB744" i="23916"/>
  <c r="FE744" i="23916" s="1"/>
  <c r="FB745" i="23916"/>
  <c r="FE745" i="23916" s="1"/>
  <c r="FB690" i="23916"/>
  <c r="FE690" i="23916" s="1"/>
  <c r="BL658" i="23916"/>
  <c r="DQ606" i="23916"/>
  <c r="DR604" i="23916"/>
  <c r="DQ608" i="23916"/>
  <c r="DR608" i="23916" s="1"/>
  <c r="CK604" i="23916"/>
  <c r="CT604" i="23916" s="1"/>
  <c r="BR604" i="23916"/>
  <c r="BQ605" i="23916"/>
  <c r="BA604" i="23916"/>
  <c r="GJ576" i="23916"/>
  <c r="GK570" i="23916"/>
  <c r="FL570" i="23916"/>
  <c r="FM570" i="23916" s="1"/>
  <c r="GK543" i="23916"/>
  <c r="GI543" i="23916"/>
  <c r="GE624" i="23916"/>
  <c r="FW623" i="23916"/>
  <c r="FU623" i="23916"/>
  <c r="FT624" i="23916"/>
  <c r="EW527" i="23916"/>
  <c r="FL602" i="23916"/>
  <c r="FM602" i="23916" s="1"/>
  <c r="FR571" i="23916"/>
  <c r="GE568" i="23916"/>
  <c r="FK556" i="23916"/>
  <c r="EW530" i="23916"/>
  <c r="GP530" i="23916" s="1"/>
  <c r="GR530" i="23916" s="1"/>
  <c r="EQ533" i="23916"/>
  <c r="EP494" i="23916"/>
  <c r="GH492" i="23916"/>
  <c r="GI492" i="23916" s="1"/>
  <c r="GI489" i="23916"/>
  <c r="FR492" i="23916"/>
  <c r="FS492" i="23916" s="1"/>
  <c r="FS489" i="23916"/>
  <c r="EM497" i="23916"/>
  <c r="EN497" i="23916" s="1"/>
  <c r="EM494" i="23916"/>
  <c r="EN476" i="23916"/>
  <c r="DW497" i="23916"/>
  <c r="DX497" i="23916" s="1"/>
  <c r="DW494" i="23916"/>
  <c r="DX494" i="23916" s="1"/>
  <c r="DX476" i="23916"/>
  <c r="DG497" i="23916"/>
  <c r="DH497" i="23916" s="1"/>
  <c r="DG494" i="23916"/>
  <c r="DH494" i="23916" s="1"/>
  <c r="DH476" i="23916"/>
  <c r="CQ497" i="23916"/>
  <c r="CQ494" i="23916"/>
  <c r="CR494" i="23916" s="1"/>
  <c r="CR476" i="23916"/>
  <c r="DT602" i="23916"/>
  <c r="GN576" i="23916"/>
  <c r="FX576" i="23916"/>
  <c r="FT570" i="23916"/>
  <c r="FU570" i="23916" s="1"/>
  <c r="FV574" i="23916"/>
  <c r="FY574" i="23916" s="1"/>
  <c r="FZ574" i="23916"/>
  <c r="GP607" i="23916"/>
  <c r="EE506" i="23916"/>
  <c r="EE508" i="23916"/>
  <c r="EF508" i="23916" s="1"/>
  <c r="EE502" i="23916"/>
  <c r="EF502" i="23916" s="1"/>
  <c r="EF500" i="23916"/>
  <c r="EE503" i="23916"/>
  <c r="CY506" i="23916"/>
  <c r="CZ506" i="23916" s="1"/>
  <c r="CY508" i="23916"/>
  <c r="CZ508" i="23916" s="1"/>
  <c r="CY502" i="23916"/>
  <c r="CZ502" i="23916" s="1"/>
  <c r="CZ500" i="23916"/>
  <c r="CY503" i="23916"/>
  <c r="BS506" i="23916"/>
  <c r="BT506" i="23916" s="1"/>
  <c r="BS508" i="23916"/>
  <c r="BT508" i="23916" s="1"/>
  <c r="BS502" i="23916"/>
  <c r="BT502" i="23916" s="1"/>
  <c r="BT500" i="23916"/>
  <c r="BS503" i="23916"/>
  <c r="AM506" i="23916"/>
  <c r="AN506" i="23916" s="1"/>
  <c r="AM508" i="23916"/>
  <c r="AN508" i="23916" s="1"/>
  <c r="AM502" i="23916"/>
  <c r="AN502" i="23916" s="1"/>
  <c r="AN500" i="23916"/>
  <c r="AM503" i="23916"/>
  <c r="C508" i="23916"/>
  <c r="C503" i="23916"/>
  <c r="C506" i="23916"/>
  <c r="C502" i="23916"/>
  <c r="BU494" i="23916"/>
  <c r="BV494" i="23916" s="1"/>
  <c r="BV476" i="23916"/>
  <c r="BU497" i="23916"/>
  <c r="BV497" i="23916" s="1"/>
  <c r="AO494" i="23916"/>
  <c r="AP494" i="23916" s="1"/>
  <c r="AP476" i="23916"/>
  <c r="AO497" i="23916"/>
  <c r="AP497" i="23916" s="1"/>
  <c r="M494" i="23916"/>
  <c r="N494" i="23916" s="1"/>
  <c r="N476" i="23916"/>
  <c r="M497" i="23916"/>
  <c r="N497" i="23916" s="1"/>
  <c r="ET454" i="23916"/>
  <c r="EU454" i="23916"/>
  <c r="CR602" i="23916"/>
  <c r="EM602" i="23916"/>
  <c r="EN602" i="23916" s="1"/>
  <c r="GC566" i="23916"/>
  <c r="FE571" i="23916"/>
  <c r="GE543" i="23916"/>
  <c r="FS543" i="23916"/>
  <c r="GP536" i="23916"/>
  <c r="GR536" i="23916" s="1"/>
  <c r="EJ601" i="23916"/>
  <c r="GN601" i="23916"/>
  <c r="GO601" i="23916" s="1"/>
  <c r="GP522" i="23916"/>
  <c r="GR522" i="23916" s="1"/>
  <c r="GT522" i="23916" s="1"/>
  <c r="GV522" i="23916" s="1"/>
  <c r="GX522" i="23916" s="1"/>
  <c r="EC506" i="23916"/>
  <c r="EC502" i="23916"/>
  <c r="ED502" i="23916" s="1"/>
  <c r="ED500" i="23916"/>
  <c r="EC508" i="23916"/>
  <c r="ED508" i="23916" s="1"/>
  <c r="EC503" i="23916"/>
  <c r="CW506" i="23916"/>
  <c r="CX506" i="23916" s="1"/>
  <c r="CW508" i="23916"/>
  <c r="CX508" i="23916" s="1"/>
  <c r="CW503" i="23916"/>
  <c r="CX500" i="23916"/>
  <c r="CW502" i="23916"/>
  <c r="CX502" i="23916" s="1"/>
  <c r="BQ506" i="23916"/>
  <c r="BR506" i="23916" s="1"/>
  <c r="BQ508" i="23916"/>
  <c r="BR508" i="23916" s="1"/>
  <c r="BQ503" i="23916"/>
  <c r="BR500" i="23916"/>
  <c r="BQ502" i="23916"/>
  <c r="BR502" i="23916" s="1"/>
  <c r="AK506" i="23916"/>
  <c r="AL506" i="23916" s="1"/>
  <c r="AL500" i="23916"/>
  <c r="AK508" i="23916"/>
  <c r="AL508" i="23916" s="1"/>
  <c r="AK503" i="23916"/>
  <c r="AK502" i="23916"/>
  <c r="AL502" i="23916" s="1"/>
  <c r="DM497" i="23916"/>
  <c r="CD497" i="23916"/>
  <c r="EH496" i="23916"/>
  <c r="DR496" i="23916"/>
  <c r="DB496" i="23916"/>
  <c r="BR496" i="23916"/>
  <c r="BB496" i="23916"/>
  <c r="AL496" i="23916"/>
  <c r="V496" i="23916"/>
  <c r="CL492" i="23916"/>
  <c r="FX497" i="23916"/>
  <c r="FY488" i="23916"/>
  <c r="EO602" i="23916"/>
  <c r="EP602" i="23916" s="1"/>
  <c r="GN597" i="23916"/>
  <c r="EP597" i="23916"/>
  <c r="GD500" i="23916"/>
  <c r="GD476" i="23916"/>
  <c r="GE475" i="23916"/>
  <c r="FN500" i="23916"/>
  <c r="FN476" i="23916"/>
  <c r="FO475" i="23916"/>
  <c r="EK494" i="23916"/>
  <c r="EL476" i="23916"/>
  <c r="EK497" i="23916"/>
  <c r="EL497" i="23916" s="1"/>
  <c r="DU494" i="23916"/>
  <c r="DV494" i="23916" s="1"/>
  <c r="DV476" i="23916"/>
  <c r="DU497" i="23916"/>
  <c r="DV497" i="23916" s="1"/>
  <c r="DE494" i="23916"/>
  <c r="DF494" i="23916" s="1"/>
  <c r="DF476" i="23916"/>
  <c r="DE497" i="23916"/>
  <c r="DF497" i="23916" s="1"/>
  <c r="CO494" i="23916"/>
  <c r="CP494" i="23916" s="1"/>
  <c r="CP476" i="23916"/>
  <c r="CO497" i="23916"/>
  <c r="CP497" i="23916" s="1"/>
  <c r="GO846" i="23916"/>
  <c r="FO599" i="23916"/>
  <c r="AI604" i="23916"/>
  <c r="S604" i="23916"/>
  <c r="FO570" i="23916"/>
  <c r="GJ863" i="23916"/>
  <c r="GK598" i="23916"/>
  <c r="EA506" i="23916"/>
  <c r="EA508" i="23916"/>
  <c r="EB508" i="23916" s="1"/>
  <c r="EA502" i="23916"/>
  <c r="EB502" i="23916" s="1"/>
  <c r="EB500" i="23916"/>
  <c r="EA503" i="23916"/>
  <c r="CU506" i="23916"/>
  <c r="CV506" i="23916" s="1"/>
  <c r="CU502" i="23916"/>
  <c r="CV502" i="23916" s="1"/>
  <c r="CU503" i="23916"/>
  <c r="CU508" i="23916"/>
  <c r="CV508" i="23916" s="1"/>
  <c r="CV500" i="23916"/>
  <c r="BO506" i="23916"/>
  <c r="BP506" i="23916" s="1"/>
  <c r="BO502" i="23916"/>
  <c r="BP502" i="23916" s="1"/>
  <c r="BO503" i="23916"/>
  <c r="BO508" i="23916"/>
  <c r="BP508" i="23916" s="1"/>
  <c r="BP500" i="23916"/>
  <c r="AI506" i="23916"/>
  <c r="AJ506" i="23916" s="1"/>
  <c r="AI502" i="23916"/>
  <c r="AJ502" i="23916" s="1"/>
  <c r="AI508" i="23916"/>
  <c r="AJ508" i="23916" s="1"/>
  <c r="AJ500" i="23916"/>
  <c r="AI503" i="23916"/>
  <c r="G508" i="23916"/>
  <c r="G506" i="23916"/>
  <c r="G503" i="23916"/>
  <c r="G502" i="23916"/>
  <c r="GJ492" i="23916"/>
  <c r="GK492" i="23916" s="1"/>
  <c r="FT492" i="23916"/>
  <c r="GM489" i="23916"/>
  <c r="GB482" i="23916"/>
  <c r="BW497" i="23916"/>
  <c r="BX497" i="23916" s="1"/>
  <c r="BW494" i="23916"/>
  <c r="BX494" i="23916" s="1"/>
  <c r="BX476" i="23916"/>
  <c r="BG494" i="23916"/>
  <c r="BH494" i="23916" s="1"/>
  <c r="BH476" i="23916"/>
  <c r="AQ497" i="23916"/>
  <c r="AR497" i="23916" s="1"/>
  <c r="AQ494" i="23916"/>
  <c r="AR494" i="23916" s="1"/>
  <c r="AR476" i="23916"/>
  <c r="AA497" i="23916"/>
  <c r="AB497" i="23916" s="1"/>
  <c r="AA494" i="23916"/>
  <c r="AB494" i="23916" s="1"/>
  <c r="AB476" i="23916"/>
  <c r="K497" i="23916"/>
  <c r="L497" i="23916" s="1"/>
  <c r="K494" i="23916"/>
  <c r="L494" i="23916" s="1"/>
  <c r="L476" i="23916"/>
  <c r="ES593" i="23916"/>
  <c r="ET593" i="23916" s="1"/>
  <c r="GB459" i="23916"/>
  <c r="FD466" i="23916"/>
  <c r="FE466" i="23916" s="1"/>
  <c r="FE444" i="23916"/>
  <c r="GJ466" i="23916"/>
  <c r="EW519" i="23916"/>
  <c r="EU523" i="23916"/>
  <c r="GP490" i="23916"/>
  <c r="GR490" i="23916" s="1"/>
  <c r="GT490" i="23916" s="1"/>
  <c r="GV490" i="23916" s="1"/>
  <c r="GX490" i="23916" s="1"/>
  <c r="GZ490" i="23916" s="1"/>
  <c r="GD496" i="23916"/>
  <c r="GE496" i="23916" s="1"/>
  <c r="CH494" i="23916"/>
  <c r="FI475" i="23916"/>
  <c r="FK473" i="23916"/>
  <c r="GG475" i="23916"/>
  <c r="CO416" i="23916"/>
  <c r="CO412" i="23916"/>
  <c r="CO411" i="23916"/>
  <c r="BO829" i="23916"/>
  <c r="BP628" i="23916"/>
  <c r="CI497" i="23916"/>
  <c r="CJ497" i="23916" s="1"/>
  <c r="GC496" i="23916"/>
  <c r="CT502" i="23916"/>
  <c r="BM505" i="23916"/>
  <c r="BN505" i="23916" s="1"/>
  <c r="BN503" i="23916"/>
  <c r="BM509" i="23916"/>
  <c r="BN509" i="23916" s="1"/>
  <c r="AH503" i="23916"/>
  <c r="AG505" i="23916"/>
  <c r="AH505" i="23916" s="1"/>
  <c r="AG509" i="23916"/>
  <c r="AH509" i="23916" s="1"/>
  <c r="FY475" i="23916"/>
  <c r="GB466" i="23916"/>
  <c r="GB426" i="23916"/>
  <c r="BM481" i="23916"/>
  <c r="BN481" i="23916" s="1"/>
  <c r="BM480" i="23916"/>
  <c r="BN388" i="23916"/>
  <c r="FL497" i="23916"/>
  <c r="GL496" i="23916"/>
  <c r="GM496" i="23916" s="1"/>
  <c r="BR497" i="23916"/>
  <c r="V476" i="23916"/>
  <c r="CC500" i="23916"/>
  <c r="GB500" i="23916"/>
  <c r="GM825" i="23916"/>
  <c r="GJ445" i="23916"/>
  <c r="DW420" i="23916"/>
  <c r="EP400" i="23916"/>
  <c r="DU392" i="23916"/>
  <c r="BM842" i="23916"/>
  <c r="BM829" i="23916"/>
  <c r="BN628" i="23916"/>
  <c r="BZ599" i="23916"/>
  <c r="BR599" i="23916"/>
  <c r="CT492" i="23916"/>
  <c r="GN497" i="23916"/>
  <c r="GJ496" i="23916"/>
  <c r="GK496" i="23916" s="1"/>
  <c r="EH508" i="23916"/>
  <c r="EH506" i="23916"/>
  <c r="DQ509" i="23916"/>
  <c r="DR509" i="23916" s="1"/>
  <c r="DQ505" i="23916"/>
  <c r="DR505" i="23916" s="1"/>
  <c r="DR503" i="23916"/>
  <c r="DA509" i="23916"/>
  <c r="DB509" i="23916" s="1"/>
  <c r="DA505" i="23916"/>
  <c r="DB505" i="23916" s="1"/>
  <c r="DB503" i="23916"/>
  <c r="DB506" i="23916"/>
  <c r="BF508" i="23916"/>
  <c r="AO505" i="23916"/>
  <c r="AP505" i="23916" s="1"/>
  <c r="AO509" i="23916"/>
  <c r="AP503" i="23916"/>
  <c r="Z502" i="23916"/>
  <c r="FX428" i="23916"/>
  <c r="EU421" i="23916"/>
  <c r="ES393" i="23916"/>
  <c r="ET421" i="23916"/>
  <c r="EA405" i="23916"/>
  <c r="FD398" i="23916"/>
  <c r="FE398" i="23916" s="1"/>
  <c r="FE397" i="23916"/>
  <c r="GK393" i="23916"/>
  <c r="GJ400" i="23916"/>
  <c r="GK400" i="23916" s="1"/>
  <c r="BM401" i="23916"/>
  <c r="BN401" i="23916" s="1"/>
  <c r="BN387" i="23916"/>
  <c r="BO381" i="23916"/>
  <c r="BG842" i="23916"/>
  <c r="BG829" i="23916"/>
  <c r="BH628" i="23916"/>
  <c r="EV369" i="23916"/>
  <c r="EW369" i="23916"/>
  <c r="EX369" i="23916" s="1"/>
  <c r="GP406" i="23916"/>
  <c r="CM478" i="23916"/>
  <c r="FL802" i="23916"/>
  <c r="FM364" i="23916"/>
  <c r="CN360" i="23916"/>
  <c r="EG369" i="23916"/>
  <c r="EH369" i="23916" s="1"/>
  <c r="EG373" i="23916"/>
  <c r="EH367" i="23916"/>
  <c r="EG375" i="23916"/>
  <c r="EH375" i="23916" s="1"/>
  <c r="EG370" i="23916"/>
  <c r="DN364" i="23916"/>
  <c r="DJ367" i="23916"/>
  <c r="DF367" i="23916"/>
  <c r="DE370" i="23916"/>
  <c r="DE373" i="23916"/>
  <c r="DE369" i="23916"/>
  <c r="DF369" i="23916" s="1"/>
  <c r="DE375" i="23916"/>
  <c r="CX367" i="23916"/>
  <c r="CW370" i="23916"/>
  <c r="CW373" i="23916"/>
  <c r="CX373" i="23916" s="1"/>
  <c r="CW369" i="23916"/>
  <c r="CX369" i="23916" s="1"/>
  <c r="CW375" i="23916"/>
  <c r="CX375" i="23916" s="1"/>
  <c r="CT373" i="23916"/>
  <c r="BE367" i="23916"/>
  <c r="AT367" i="23916"/>
  <c r="AS369" i="23916"/>
  <c r="AS373" i="23916"/>
  <c r="AS375" i="23916"/>
  <c r="AT375" i="23916" s="1"/>
  <c r="AS370" i="23916"/>
  <c r="AK369" i="23916"/>
  <c r="AL369" i="23916" s="1"/>
  <c r="AK373" i="23916"/>
  <c r="AL367" i="23916"/>
  <c r="AK375" i="23916"/>
  <c r="AK370" i="23916"/>
  <c r="AC369" i="23916"/>
  <c r="AC373" i="23916"/>
  <c r="AD367" i="23916"/>
  <c r="AC375" i="23916"/>
  <c r="AD375" i="23916" s="1"/>
  <c r="AC370" i="23916"/>
  <c r="U369" i="23916"/>
  <c r="V369" i="23916" s="1"/>
  <c r="U373" i="23916"/>
  <c r="V367" i="23916"/>
  <c r="U375" i="23916"/>
  <c r="U370" i="23916"/>
  <c r="M369" i="23916"/>
  <c r="N369" i="23916" s="1"/>
  <c r="M373" i="23916"/>
  <c r="N373" i="23916" s="1"/>
  <c r="N367" i="23916"/>
  <c r="M375" i="23916"/>
  <c r="N375" i="23916" s="1"/>
  <c r="M370" i="23916"/>
  <c r="GH324" i="23916"/>
  <c r="GI324" i="23916" s="1"/>
  <c r="GI322" i="23916"/>
  <c r="EU853" i="23916"/>
  <c r="EW313" i="23916"/>
  <c r="GP313" i="23916"/>
  <c r="EV313" i="23916"/>
  <c r="EO266" i="23916"/>
  <c r="EP254" i="23916"/>
  <c r="GJ850" i="23916"/>
  <c r="GM850" i="23916" s="1"/>
  <c r="GK251" i="23916"/>
  <c r="EG858" i="23916"/>
  <c r="EH590" i="23916"/>
  <c r="EG594" i="23916"/>
  <c r="EW237" i="23916"/>
  <c r="EU245" i="23916"/>
  <c r="EU231" i="23916" s="1"/>
  <c r="EU235" i="23916"/>
  <c r="GE428" i="23916"/>
  <c r="GB415" i="23916"/>
  <c r="EJ364" i="23916"/>
  <c r="ER364" i="23916"/>
  <c r="GF364" i="23916"/>
  <c r="GG364" i="23916" s="1"/>
  <c r="GF360" i="23916"/>
  <c r="GG360" i="23916" s="1"/>
  <c r="GI359" i="23916"/>
  <c r="GG359" i="23916"/>
  <c r="GM358" i="23916"/>
  <c r="GL360" i="23916"/>
  <c r="GM360" i="23916" s="1"/>
  <c r="GH360" i="23916"/>
  <c r="GI358" i="23916"/>
  <c r="AX360" i="23916"/>
  <c r="FK362" i="23916"/>
  <c r="FD372" i="23916"/>
  <c r="FE370" i="23916"/>
  <c r="FD376" i="23916"/>
  <c r="FE376" i="23916" s="1"/>
  <c r="EK367" i="23916"/>
  <c r="DU367" i="23916"/>
  <c r="GF328" i="23916"/>
  <c r="GG328" i="23916" s="1"/>
  <c r="DX328" i="23916"/>
  <c r="CZ328" i="23916"/>
  <c r="GK317" i="23916"/>
  <c r="EU294" i="23916"/>
  <c r="EU287" i="23916" s="1"/>
  <c r="EV287" i="23916" s="1"/>
  <c r="EW293" i="23916"/>
  <c r="EV293" i="23916"/>
  <c r="GE290" i="23916"/>
  <c r="GD295" i="23916"/>
  <c r="GE295" i="23916" s="1"/>
  <c r="GG290" i="23916"/>
  <c r="GQ280" i="23916"/>
  <c r="GR280" i="23916"/>
  <c r="GG410" i="23916"/>
  <c r="CQ398" i="23916"/>
  <c r="CQ397" i="23916"/>
  <c r="CM367" i="23916"/>
  <c r="CJ364" i="23916"/>
  <c r="X364" i="23916"/>
  <c r="FT364" i="23916"/>
  <c r="FZ802" i="23916"/>
  <c r="GA364" i="23916"/>
  <c r="AX364" i="23916"/>
  <c r="CJ360" i="23916"/>
  <c r="CB601" i="23916"/>
  <c r="BT601" i="23916"/>
  <c r="BS599" i="23916"/>
  <c r="GI362" i="23916"/>
  <c r="EP364" i="23916"/>
  <c r="DZ364" i="23916"/>
  <c r="DG620" i="23916"/>
  <c r="DG372" i="23916"/>
  <c r="DH370" i="23916"/>
  <c r="DG376" i="23916"/>
  <c r="DH376" i="23916" s="1"/>
  <c r="CR369" i="23916"/>
  <c r="CA367" i="23916"/>
  <c r="AU367" i="23916"/>
  <c r="AF375" i="23916"/>
  <c r="W812" i="23916"/>
  <c r="W372" i="23916"/>
  <c r="X370" i="23916"/>
  <c r="W376" i="23916"/>
  <c r="X376" i="23916" s="1"/>
  <c r="P369" i="23916"/>
  <c r="P373" i="23916"/>
  <c r="FL367" i="23916"/>
  <c r="FM353" i="23916"/>
  <c r="EN627" i="23916"/>
  <c r="EF627" i="23916"/>
  <c r="DK331" i="23916"/>
  <c r="DT331" i="23916" s="1"/>
  <c r="EF324" i="23916"/>
  <c r="GJ324" i="23916"/>
  <c r="GK324" i="23916" s="1"/>
  <c r="GK322" i="23916"/>
  <c r="ES853" i="23916"/>
  <c r="EJ291" i="23916"/>
  <c r="DT291" i="23916"/>
  <c r="DD291" i="23916"/>
  <c r="BO398" i="23916"/>
  <c r="FV392" i="23916"/>
  <c r="BP392" i="23916"/>
  <c r="BO397" i="23916"/>
  <c r="GA371" i="23916"/>
  <c r="EB364" i="23916"/>
  <c r="FU362" i="23916"/>
  <c r="FQ358" i="23916"/>
  <c r="FP360" i="23916"/>
  <c r="FQ360" i="23916" s="1"/>
  <c r="EQ360" i="23916"/>
  <c r="ER358" i="23916"/>
  <c r="ES358" i="23916"/>
  <c r="I375" i="23916"/>
  <c r="I370" i="23916"/>
  <c r="I369" i="23916"/>
  <c r="I373" i="23916"/>
  <c r="GF367" i="23916"/>
  <c r="GG353" i="23916"/>
  <c r="EU352" i="23916"/>
  <c r="ET352" i="23916"/>
  <c r="ES353" i="23916"/>
  <c r="GH328" i="23916"/>
  <c r="GI328" i="23916" s="1"/>
  <c r="EH328" i="23916"/>
  <c r="GD331" i="23916"/>
  <c r="GE317" i="23916"/>
  <c r="ED295" i="23916"/>
  <c r="DN295" i="23916"/>
  <c r="CX295" i="23916"/>
  <c r="EU282" i="23916"/>
  <c r="ES288" i="23916"/>
  <c r="ET282" i="23916"/>
  <c r="FD272" i="23916"/>
  <c r="FE272" i="23916" s="1"/>
  <c r="FD269" i="23916"/>
  <c r="FE266" i="23916"/>
  <c r="GM260" i="23916"/>
  <c r="FF266" i="23916"/>
  <c r="FG254" i="23916"/>
  <c r="EI858" i="23916"/>
  <c r="GN590" i="23916"/>
  <c r="EJ590" i="23916"/>
  <c r="EI594" i="23916"/>
  <c r="DS858" i="23916"/>
  <c r="DS594" i="23916"/>
  <c r="BJ360" i="23916"/>
  <c r="DQ802" i="23916"/>
  <c r="DR305" i="23916"/>
  <c r="DQ618" i="23916"/>
  <c r="DQ308" i="23916"/>
  <c r="DR308" i="23916" s="1"/>
  <c r="DQ304" i="23916"/>
  <c r="DR304" i="23916" s="1"/>
  <c r="DR301" i="23916"/>
  <c r="DB305" i="23916"/>
  <c r="GJ263" i="23916"/>
  <c r="GJ264" i="23916" s="1"/>
  <c r="GC260" i="23916"/>
  <c r="FQ260" i="23916"/>
  <c r="FS260" i="23916"/>
  <c r="FT272" i="23916"/>
  <c r="FT269" i="23916"/>
  <c r="FU266" i="23916"/>
  <c r="EU220" i="23916"/>
  <c r="EU222" i="23916" s="1"/>
  <c r="EU202" i="23916"/>
  <c r="EU204" i="23916" s="1"/>
  <c r="EU206" i="23916" s="1"/>
  <c r="EK246" i="23916"/>
  <c r="EK235" i="23916"/>
  <c r="EC246" i="23916"/>
  <c r="EC235" i="23916"/>
  <c r="EK180" i="23916"/>
  <c r="EL176" i="23916"/>
  <c r="FU177" i="23916"/>
  <c r="FR184" i="23916"/>
  <c r="FS177" i="23916"/>
  <c r="CI143" i="23916"/>
  <c r="CT360" i="23916"/>
  <c r="FR360" i="23916"/>
  <c r="DC620" i="23916"/>
  <c r="DC372" i="23916"/>
  <c r="DC376" i="23916"/>
  <c r="DD376" i="23916" s="1"/>
  <c r="DD370" i="23916"/>
  <c r="AQ812" i="23916"/>
  <c r="AQ372" i="23916"/>
  <c r="AQ376" i="23916"/>
  <c r="AB364" i="23916"/>
  <c r="EL338" i="23916"/>
  <c r="EG340" i="23916"/>
  <c r="EH340" i="23916" s="1"/>
  <c r="EH331" i="23916"/>
  <c r="EG333" i="23916"/>
  <c r="EH333" i="23916" s="1"/>
  <c r="EG338" i="23916"/>
  <c r="EH338" i="23916" s="1"/>
  <c r="EG334" i="23916"/>
  <c r="ED333" i="23916"/>
  <c r="DQ340" i="23916"/>
  <c r="DR340" i="23916" s="1"/>
  <c r="DQ333" i="23916"/>
  <c r="DR333" i="23916" s="1"/>
  <c r="DQ338" i="23916"/>
  <c r="DR338" i="23916" s="1"/>
  <c r="DR331" i="23916"/>
  <c r="DQ334" i="23916"/>
  <c r="DN333" i="23916"/>
  <c r="DA340" i="23916"/>
  <c r="DB340" i="23916" s="1"/>
  <c r="DA333" i="23916"/>
  <c r="DB333" i="23916" s="1"/>
  <c r="DA338" i="23916"/>
  <c r="DB338" i="23916" s="1"/>
  <c r="DB331" i="23916"/>
  <c r="DA334" i="23916"/>
  <c r="CX333" i="23916"/>
  <c r="GO293" i="23916"/>
  <c r="GL298" i="23916"/>
  <c r="GM284" i="23916"/>
  <c r="FH266" i="23916"/>
  <c r="EK266" i="23916"/>
  <c r="EL254" i="23916"/>
  <c r="EC858" i="23916"/>
  <c r="ED590" i="23916"/>
  <c r="EC594" i="23916"/>
  <c r="DU266" i="23916"/>
  <c r="DV254" i="23916"/>
  <c r="EW225" i="23916"/>
  <c r="EU229" i="23916"/>
  <c r="EU227" i="23916"/>
  <c r="ES850" i="23916"/>
  <c r="ET251" i="23916"/>
  <c r="GJ244" i="23916"/>
  <c r="GJ232" i="23916"/>
  <c r="DX184" i="23916"/>
  <c r="DH184" i="23916"/>
  <c r="CR184" i="23916"/>
  <c r="GJ184" i="23916"/>
  <c r="GK184" i="23916" s="1"/>
  <c r="GK177" i="23916"/>
  <c r="FK360" i="23916"/>
  <c r="FZ367" i="23916"/>
  <c r="DD324" i="23916"/>
  <c r="EL291" i="23916"/>
  <c r="GJ291" i="23916"/>
  <c r="GK289" i="23916"/>
  <c r="EP307" i="23916"/>
  <c r="EI298" i="23916"/>
  <c r="DZ305" i="23916"/>
  <c r="DS298" i="23916"/>
  <c r="DJ307" i="23916"/>
  <c r="DC298" i="23916"/>
  <c r="CS802" i="23916"/>
  <c r="CT305" i="23916"/>
  <c r="CM300" i="23916"/>
  <c r="CN300" i="23916" s="1"/>
  <c r="CM307" i="23916"/>
  <c r="CN307" i="23916" s="1"/>
  <c r="CM305" i="23916"/>
  <c r="CN298" i="23916"/>
  <c r="CM301" i="23916"/>
  <c r="FD268" i="23916"/>
  <c r="FE268" i="23916" s="1"/>
  <c r="EB260" i="23916"/>
  <c r="GM259" i="23916"/>
  <c r="GD266" i="23916"/>
  <c r="GE254" i="23916"/>
  <c r="FL266" i="23916"/>
  <c r="GJ222" i="23916"/>
  <c r="GJ213" i="23916" s="1"/>
  <c r="GJ211" i="23916" s="1"/>
  <c r="DY246" i="23916"/>
  <c r="DY235" i="23916"/>
  <c r="GN176" i="23916"/>
  <c r="GO174" i="23916"/>
  <c r="GN182" i="23916"/>
  <c r="GO182" i="23916" s="1"/>
  <c r="GF184" i="23916"/>
  <c r="GG184" i="23916" s="1"/>
  <c r="GG177" i="23916"/>
  <c r="DW180" i="23916"/>
  <c r="DX176" i="23916"/>
  <c r="DG180" i="23916"/>
  <c r="DH176" i="23916"/>
  <c r="CQ180" i="23916"/>
  <c r="CR176" i="23916"/>
  <c r="CA180" i="23916"/>
  <c r="CB176" i="23916"/>
  <c r="BC180" i="23916"/>
  <c r="BD176" i="23916"/>
  <c r="EP165" i="23916"/>
  <c r="EO184" i="23916"/>
  <c r="DY182" i="23916"/>
  <c r="DZ182" i="23916" s="1"/>
  <c r="DZ165" i="23916"/>
  <c r="DY184" i="23916"/>
  <c r="DZ184" i="23916" s="1"/>
  <c r="DI182" i="23916"/>
  <c r="DJ182" i="23916" s="1"/>
  <c r="DJ165" i="23916"/>
  <c r="CS182" i="23916"/>
  <c r="CT182" i="23916" s="1"/>
  <c r="CT165" i="23916"/>
  <c r="CC182" i="23916"/>
  <c r="CD182" i="23916" s="1"/>
  <c r="CD165" i="23916"/>
  <c r="CC184" i="23916"/>
  <c r="CD184" i="23916" s="1"/>
  <c r="BM182" i="23916"/>
  <c r="BN182" i="23916" s="1"/>
  <c r="BN165" i="23916"/>
  <c r="BM184" i="23916"/>
  <c r="BN184" i="23916" s="1"/>
  <c r="AW182" i="23916"/>
  <c r="AX182" i="23916" s="1"/>
  <c r="AX165" i="23916"/>
  <c r="AW184" i="23916"/>
  <c r="AX184" i="23916" s="1"/>
  <c r="AG182" i="23916"/>
  <c r="AH182" i="23916" s="1"/>
  <c r="AH165" i="23916"/>
  <c r="AG184" i="23916"/>
  <c r="AH184" i="23916" s="1"/>
  <c r="R165" i="23916"/>
  <c r="Q184" i="23916"/>
  <c r="R184" i="23916" s="1"/>
  <c r="FM162" i="23916"/>
  <c r="CO143" i="23916"/>
  <c r="DL375" i="23916"/>
  <c r="BO367" i="23916"/>
  <c r="S812" i="23916"/>
  <c r="S372" i="23916"/>
  <c r="T370" i="23916"/>
  <c r="S376" i="23916"/>
  <c r="T376" i="23916" s="1"/>
  <c r="ER359" i="23916"/>
  <c r="DW331" i="23916"/>
  <c r="EF331" i="23916" s="1"/>
  <c r="DH333" i="23916"/>
  <c r="DH338" i="23916"/>
  <c r="CY619" i="23916"/>
  <c r="CY337" i="23916"/>
  <c r="CZ337" i="23916" s="1"/>
  <c r="CZ334" i="23916"/>
  <c r="CY341" i="23916"/>
  <c r="CZ341" i="23916" s="1"/>
  <c r="FZ295" i="23916"/>
  <c r="GA295" i="23916" s="1"/>
  <c r="FZ298" i="23916"/>
  <c r="GA284" i="23916"/>
  <c r="EW222" i="23916"/>
  <c r="EW207" i="23916"/>
  <c r="CW184" i="23916"/>
  <c r="CX184" i="23916" s="1"/>
  <c r="BR180" i="23916"/>
  <c r="AL180" i="23916"/>
  <c r="FX184" i="23916"/>
  <c r="FY184" i="23916" s="1"/>
  <c r="EW171" i="23916"/>
  <c r="FD195" i="23916"/>
  <c r="FE195" i="23916" s="1"/>
  <c r="FD193" i="23916"/>
  <c r="FD190" i="23916"/>
  <c r="FE187" i="23916"/>
  <c r="AP187" i="23916"/>
  <c r="AO190" i="23916"/>
  <c r="AO189" i="23916"/>
  <c r="AO195" i="23916"/>
  <c r="AP195" i="23916" s="1"/>
  <c r="Y193" i="23916"/>
  <c r="Y190" i="23916"/>
  <c r="Y189" i="23916"/>
  <c r="Y195" i="23916"/>
  <c r="FW164" i="23916"/>
  <c r="FT187" i="23916"/>
  <c r="FT165" i="23916"/>
  <c r="FU164" i="23916"/>
  <c r="GO154" i="23916"/>
  <c r="FY154" i="23916"/>
  <c r="GF826" i="23916"/>
  <c r="GF783" i="23916"/>
  <c r="GG140" i="23916"/>
  <c r="FP826" i="23916"/>
  <c r="FP783" i="23916"/>
  <c r="FQ140" i="23916"/>
  <c r="CP137" i="23916"/>
  <c r="ET281" i="23916"/>
  <c r="EU281" i="23916"/>
  <c r="GM206" i="23916"/>
  <c r="GL220" i="23916"/>
  <c r="GM220" i="23916" s="1"/>
  <c r="DI184" i="23916"/>
  <c r="EF184" i="23916"/>
  <c r="BO180" i="23916"/>
  <c r="BP176" i="23916"/>
  <c r="AI180" i="23916"/>
  <c r="AJ176" i="23916"/>
  <c r="GD176" i="23916"/>
  <c r="GG176" i="23916" s="1"/>
  <c r="DQ180" i="23916"/>
  <c r="DR176" i="23916"/>
  <c r="DA180" i="23916"/>
  <c r="DB176" i="23916"/>
  <c r="CK180" i="23916"/>
  <c r="CL176" i="23916"/>
  <c r="BU180" i="23916"/>
  <c r="BV176" i="23916"/>
  <c r="GI154" i="23916"/>
  <c r="DS809" i="23916"/>
  <c r="GL112" i="23916"/>
  <c r="EE120" i="23916"/>
  <c r="EF120" i="23916" s="1"/>
  <c r="EE114" i="23916"/>
  <c r="EF114" i="23916" s="1"/>
  <c r="EE118" i="23916"/>
  <c r="EF112" i="23916"/>
  <c r="EE115" i="23916"/>
  <c r="CQ801" i="23916"/>
  <c r="CQ120" i="23916"/>
  <c r="CR120" i="23916" s="1"/>
  <c r="CQ114" i="23916"/>
  <c r="CR114" i="23916" s="1"/>
  <c r="CQ118" i="23916"/>
  <c r="CR112" i="23916"/>
  <c r="CR801" i="23916" s="1"/>
  <c r="CQ115" i="23916"/>
  <c r="EN106" i="23916"/>
  <c r="DX106" i="23916"/>
  <c r="DH106" i="23916"/>
  <c r="EP103" i="23916"/>
  <c r="DZ103" i="23916"/>
  <c r="DJ103" i="23916"/>
  <c r="EH82" i="23916"/>
  <c r="DR82" i="23916"/>
  <c r="ER81" i="23916"/>
  <c r="EQ94" i="23916"/>
  <c r="EQ96" i="23916" s="1"/>
  <c r="ED68" i="23916"/>
  <c r="DN68" i="23916"/>
  <c r="EN260" i="23916"/>
  <c r="EV253" i="23916"/>
  <c r="EU254" i="23916"/>
  <c r="EW253" i="23916"/>
  <c r="EM244" i="23916"/>
  <c r="EM232" i="23916"/>
  <c r="EM228" i="23916"/>
  <c r="EM226" i="23916" s="1"/>
  <c r="GN226" i="23916" s="1"/>
  <c r="GO208" i="23916"/>
  <c r="EP180" i="23916"/>
  <c r="Z176" i="23916"/>
  <c r="I192" i="23916"/>
  <c r="I196" i="23916"/>
  <c r="I266" i="23916" s="1"/>
  <c r="FE182" i="23916"/>
  <c r="L182" i="23916"/>
  <c r="FK164" i="23916"/>
  <c r="FG165" i="23916"/>
  <c r="FF182" i="23916"/>
  <c r="FG182" i="23916" s="1"/>
  <c r="FV826" i="23916"/>
  <c r="FV783" i="23916"/>
  <c r="FW140" i="23916"/>
  <c r="FF826" i="23916"/>
  <c r="FF783" i="23916"/>
  <c r="FG140" i="23916"/>
  <c r="CN138" i="23916"/>
  <c r="CF138" i="23916"/>
  <c r="DU170" i="23916"/>
  <c r="DU169" i="23916"/>
  <c r="CD170" i="23916"/>
  <c r="GO129" i="23916"/>
  <c r="DM112" i="23916"/>
  <c r="DF108" i="23916"/>
  <c r="GN103" i="23916"/>
  <c r="GO103" i="23916" s="1"/>
  <c r="GM34" i="23916"/>
  <c r="GM251" i="23916"/>
  <c r="CF627" i="23916"/>
  <c r="BX627" i="23916"/>
  <c r="BL627" i="23916"/>
  <c r="BK628" i="23916"/>
  <c r="BT628" i="23916" s="1"/>
  <c r="CK184" i="23916"/>
  <c r="CL184" i="23916" s="1"/>
  <c r="BK180" i="23916"/>
  <c r="BL176" i="23916"/>
  <c r="AE180" i="23916"/>
  <c r="AF176" i="23916"/>
  <c r="FW176" i="23916"/>
  <c r="EC863" i="23916"/>
  <c r="EC864" i="23916" s="1"/>
  <c r="ED598" i="23916"/>
  <c r="C148" i="23916"/>
  <c r="E143" i="23916"/>
  <c r="BU809" i="23916"/>
  <c r="EI112" i="23916"/>
  <c r="DC112" i="23916"/>
  <c r="GI106" i="23916"/>
  <c r="EH106" i="23916"/>
  <c r="DR106" i="23916"/>
  <c r="DB106" i="23916"/>
  <c r="GK102" i="23916"/>
  <c r="EF103" i="23916"/>
  <c r="DP103" i="23916"/>
  <c r="CZ103" i="23916"/>
  <c r="EJ82" i="23916"/>
  <c r="DT82" i="23916"/>
  <c r="EL81" i="23916"/>
  <c r="ES81" i="23916"/>
  <c r="DV81" i="23916"/>
  <c r="EV80" i="23916"/>
  <c r="EU82" i="23916"/>
  <c r="EV82" i="23916" s="1"/>
  <c r="EN68" i="23916"/>
  <c r="DX68" i="23916"/>
  <c r="DH68" i="23916"/>
  <c r="CR51" i="23916"/>
  <c r="CS46" i="23916"/>
  <c r="GP37" i="23916"/>
  <c r="ER37" i="23916"/>
  <c r="FI175" i="23916"/>
  <c r="DS96" i="23916"/>
  <c r="CY112" i="23916"/>
  <c r="GJ180" i="23916"/>
  <c r="GG165" i="23916"/>
  <c r="DS171" i="23916"/>
  <c r="CE171" i="23916"/>
  <c r="CF171" i="23916" s="1"/>
  <c r="CF169" i="23916"/>
  <c r="GM826" i="23916"/>
  <c r="EO95" i="23916"/>
  <c r="DM95" i="23916"/>
  <c r="DI96" i="23916"/>
  <c r="GE68" i="23916"/>
  <c r="GM49" i="23916"/>
  <c r="DA184" i="23916"/>
  <c r="DB184" i="23916" s="1"/>
  <c r="GK116" i="23916"/>
  <c r="GO162" i="23916"/>
  <c r="GL133" i="23916"/>
  <c r="GM127" i="23916"/>
  <c r="EC95" i="23916"/>
  <c r="DY96" i="23916"/>
  <c r="EG112" i="23916"/>
  <c r="DA112" i="23916"/>
  <c r="DJ112" i="23916" s="1"/>
  <c r="AM5" i="23920"/>
  <c r="GN228" i="23916" l="1"/>
  <c r="GO226" i="23916"/>
  <c r="FI682" i="23916"/>
  <c r="FK682" i="23916"/>
  <c r="GT530" i="23916"/>
  <c r="EV382" i="23916"/>
  <c r="GL338" i="23916"/>
  <c r="GL334" i="23916"/>
  <c r="GL340" i="23916"/>
  <c r="GL333" i="23916"/>
  <c r="GM674" i="23916"/>
  <c r="GO674" i="23916"/>
  <c r="GJ187" i="23916"/>
  <c r="EI120" i="23916"/>
  <c r="EJ120" i="23916" s="1"/>
  <c r="EI114" i="23916"/>
  <c r="EJ112" i="23916"/>
  <c r="EI118" i="23916"/>
  <c r="EI115" i="23916"/>
  <c r="DU171" i="23916"/>
  <c r="EX253" i="23916"/>
  <c r="GP253" i="23916"/>
  <c r="CQ613" i="23916"/>
  <c r="CQ121" i="23916"/>
  <c r="CR121" i="23916" s="1"/>
  <c r="CR115" i="23916"/>
  <c r="CQ117" i="23916"/>
  <c r="EG118" i="23916"/>
  <c r="EG115" i="23916"/>
  <c r="EG120" i="23916"/>
  <c r="EH120" i="23916" s="1"/>
  <c r="EH112" i="23916"/>
  <c r="EG114" i="23916"/>
  <c r="EH114" i="23916" s="1"/>
  <c r="GM133" i="23916"/>
  <c r="GN127" i="23916"/>
  <c r="CY801" i="23916"/>
  <c r="CY120" i="23916"/>
  <c r="CZ120" i="23916" s="1"/>
  <c r="CY118" i="23916"/>
  <c r="CY114" i="23916"/>
  <c r="CZ114" i="23916" s="1"/>
  <c r="CZ112" i="23916"/>
  <c r="CZ801" i="23916" s="1"/>
  <c r="CY115" i="23916"/>
  <c r="EV254" i="23916"/>
  <c r="BV180" i="23916"/>
  <c r="BU187" i="23916"/>
  <c r="DB180" i="23916"/>
  <c r="DA187" i="23916"/>
  <c r="FU165" i="23916"/>
  <c r="FT184" i="23916"/>
  <c r="FT182" i="23916"/>
  <c r="FW165" i="23916"/>
  <c r="CZ619" i="23916"/>
  <c r="CS54" i="23916"/>
  <c r="CT46" i="23916"/>
  <c r="CS52" i="23916"/>
  <c r="CS51" i="23916"/>
  <c r="CS55" i="23916"/>
  <c r="CS56" i="23916" s="1"/>
  <c r="E151" i="23916"/>
  <c r="E150" i="23916"/>
  <c r="E147" i="23916"/>
  <c r="BL180" i="23916"/>
  <c r="BK187" i="23916"/>
  <c r="DM118" i="23916"/>
  <c r="DM114" i="23916"/>
  <c r="DN112" i="23916"/>
  <c r="DM115" i="23916"/>
  <c r="DM120" i="23916"/>
  <c r="CQ860" i="23916"/>
  <c r="CQ796" i="23916"/>
  <c r="CR118" i="23916"/>
  <c r="AI187" i="23916"/>
  <c r="AJ180" i="23916"/>
  <c r="DJ184" i="23916"/>
  <c r="FT195" i="23916"/>
  <c r="FT193" i="23916"/>
  <c r="FT190" i="23916"/>
  <c r="FT189" i="23916"/>
  <c r="Y813" i="23916"/>
  <c r="Y192" i="23916"/>
  <c r="Y196" i="23916"/>
  <c r="AP189" i="23916"/>
  <c r="AO191" i="23916"/>
  <c r="S816" i="23916"/>
  <c r="T372" i="23916"/>
  <c r="BD180" i="23916"/>
  <c r="BC187" i="23916"/>
  <c r="CR180" i="23916"/>
  <c r="CQ187" i="23916"/>
  <c r="DX180" i="23916"/>
  <c r="DW187" i="23916"/>
  <c r="DT298" i="23916"/>
  <c r="DS300" i="23916"/>
  <c r="DS307" i="23916"/>
  <c r="DS305" i="23916"/>
  <c r="DS301" i="23916"/>
  <c r="FZ373" i="23916"/>
  <c r="FZ369" i="23916"/>
  <c r="FZ375" i="23916"/>
  <c r="FZ370" i="23916"/>
  <c r="GJ246" i="23916"/>
  <c r="GJ235" i="23916"/>
  <c r="DA619" i="23916"/>
  <c r="DA341" i="23916"/>
  <c r="DA337" i="23916"/>
  <c r="DB334" i="23916"/>
  <c r="EG619" i="23916"/>
  <c r="EG341" i="23916"/>
  <c r="EH334" i="23916"/>
  <c r="EG337" i="23916"/>
  <c r="EG12" i="23916"/>
  <c r="CI151" i="23916"/>
  <c r="CI152" i="23916" s="1"/>
  <c r="CI150" i="23916"/>
  <c r="CI147" i="23916"/>
  <c r="CI148" i="23916"/>
  <c r="EK236" i="23916"/>
  <c r="EK238" i="23916"/>
  <c r="EI866" i="23916"/>
  <c r="EI867" i="23916" s="1"/>
  <c r="EI604" i="23916"/>
  <c r="EJ594" i="23916"/>
  <c r="EU288" i="23916"/>
  <c r="ET288" i="23916"/>
  <c r="EV352" i="23916"/>
  <c r="EU353" i="23916"/>
  <c r="EW352" i="23916"/>
  <c r="GP352" i="23916"/>
  <c r="BP397" i="23916"/>
  <c r="BQ392" i="23916"/>
  <c r="W816" i="23916"/>
  <c r="X372" i="23916"/>
  <c r="CQ479" i="23916"/>
  <c r="DV367" i="23916"/>
  <c r="DU369" i="23916"/>
  <c r="DV369" i="23916" s="1"/>
  <c r="DU373" i="23916"/>
  <c r="DU375" i="23916"/>
  <c r="DV375" i="23916" s="1"/>
  <c r="DU370" i="23916"/>
  <c r="FD816" i="23916"/>
  <c r="FE372" i="23916"/>
  <c r="GI360" i="23916"/>
  <c r="EU244" i="23916"/>
  <c r="EU246" i="23916" s="1"/>
  <c r="EU236" i="23916"/>
  <c r="EU226" i="23916"/>
  <c r="EU228" i="23916" s="1"/>
  <c r="EU230" i="23916" s="1"/>
  <c r="EU232" i="23916" s="1"/>
  <c r="EX313" i="23916"/>
  <c r="EW320" i="23916"/>
  <c r="EX320" i="23916" s="1"/>
  <c r="M812" i="23916"/>
  <c r="M372" i="23916"/>
  <c r="N370" i="23916"/>
  <c r="M376" i="23916"/>
  <c r="U802" i="23916"/>
  <c r="V373" i="23916"/>
  <c r="AL375" i="23916"/>
  <c r="AS812" i="23916"/>
  <c r="AT370" i="23916"/>
  <c r="AS372" i="23916"/>
  <c r="AS376" i="23916"/>
  <c r="DF375" i="23916"/>
  <c r="GR406" i="23916"/>
  <c r="GQ406" i="23916"/>
  <c r="DU397" i="23916"/>
  <c r="DU398" i="23916"/>
  <c r="CC506" i="23916"/>
  <c r="CD506" i="23916" s="1"/>
  <c r="CC502" i="23916"/>
  <c r="CD502" i="23916" s="1"/>
  <c r="CD500" i="23916"/>
  <c r="CC503" i="23916"/>
  <c r="CC508" i="23916"/>
  <c r="CD508" i="23916" s="1"/>
  <c r="AI509" i="23916"/>
  <c r="AJ503" i="23916"/>
  <c r="AI505" i="23916"/>
  <c r="CU505" i="23916"/>
  <c r="CU509" i="23916"/>
  <c r="CV503" i="23916"/>
  <c r="AJ604" i="23916"/>
  <c r="AI605" i="23916"/>
  <c r="FN604" i="23916"/>
  <c r="FO476" i="23916"/>
  <c r="FN494" i="23916"/>
  <c r="FN497" i="23916"/>
  <c r="FO497" i="23916" s="1"/>
  <c r="GD508" i="23916"/>
  <c r="GD503" i="23916"/>
  <c r="GD506" i="23916"/>
  <c r="GE500" i="23916"/>
  <c r="GD502" i="23916"/>
  <c r="CW509" i="23916"/>
  <c r="CW505" i="23916"/>
  <c r="CX503" i="23916"/>
  <c r="AM509" i="23916"/>
  <c r="AN503" i="23916"/>
  <c r="AM505" i="23916"/>
  <c r="EQ534" i="23916"/>
  <c r="EQ537" i="23916" s="1"/>
  <c r="DQ791" i="23916"/>
  <c r="DQ787" i="23916"/>
  <c r="DR606" i="23916"/>
  <c r="DQ545" i="23916"/>
  <c r="FD805" i="23916"/>
  <c r="FD799" i="23916"/>
  <c r="FE582" i="23916"/>
  <c r="GB608" i="23916"/>
  <c r="GB606" i="23916"/>
  <c r="FW570" i="23916"/>
  <c r="GZ577" i="23916"/>
  <c r="GN579" i="23916"/>
  <c r="GQ577" i="23916"/>
  <c r="GO577" i="23916"/>
  <c r="GN585" i="23916"/>
  <c r="AV605" i="23916"/>
  <c r="AU606" i="23916"/>
  <c r="DE791" i="23916"/>
  <c r="DE787" i="23916"/>
  <c r="DE545" i="23916"/>
  <c r="DF606" i="23916"/>
  <c r="BJ664" i="23916"/>
  <c r="FW644" i="23916"/>
  <c r="FY644" i="23916"/>
  <c r="EX701" i="23916"/>
  <c r="GP701" i="23916"/>
  <c r="EW703" i="23916"/>
  <c r="EV703" i="23916"/>
  <c r="DA763" i="23916"/>
  <c r="DB763" i="23916" s="1"/>
  <c r="DA721" i="23916"/>
  <c r="GD718" i="23916"/>
  <c r="DA719" i="23916"/>
  <c r="DB719" i="23916" s="1"/>
  <c r="DC718" i="23916"/>
  <c r="DB718" i="23916"/>
  <c r="FQ721" i="23916"/>
  <c r="FP722" i="23916"/>
  <c r="FQ707" i="23916"/>
  <c r="EX715" i="23916"/>
  <c r="GP715" i="23916"/>
  <c r="GM753" i="23916"/>
  <c r="BN766" i="23916"/>
  <c r="FT766" i="23916"/>
  <c r="FU766" i="23916" s="1"/>
  <c r="BB742" i="23916"/>
  <c r="GL739" i="23916"/>
  <c r="P196" i="23916"/>
  <c r="GM783" i="23916"/>
  <c r="BZ180" i="23916"/>
  <c r="BY187" i="23916"/>
  <c r="DF180" i="23916"/>
  <c r="DE187" i="23916"/>
  <c r="GN863" i="23916"/>
  <c r="GO598" i="23916"/>
  <c r="GM221" i="23916"/>
  <c r="GL222" i="23916"/>
  <c r="DU118" i="23916"/>
  <c r="DV112" i="23916"/>
  <c r="DU115" i="23916"/>
  <c r="DU120" i="23916"/>
  <c r="DV120" i="23916" s="1"/>
  <c r="DU114" i="23916"/>
  <c r="DV114" i="23916" s="1"/>
  <c r="FW187" i="23916"/>
  <c r="FV800" i="23916"/>
  <c r="FW193" i="23916"/>
  <c r="GT33" i="23916"/>
  <c r="GS33" i="23916"/>
  <c r="DG613" i="23916"/>
  <c r="DG121" i="23916"/>
  <c r="DG117" i="23916"/>
  <c r="DH115" i="23916"/>
  <c r="DH120" i="23916"/>
  <c r="EM860" i="23916"/>
  <c r="EM796" i="23916"/>
  <c r="EN118" i="23916"/>
  <c r="BI193" i="23916"/>
  <c r="BI189" i="23916"/>
  <c r="BI195" i="23916"/>
  <c r="BI190" i="23916"/>
  <c r="DM301" i="23916"/>
  <c r="DM300" i="23916"/>
  <c r="DN300" i="23916" s="1"/>
  <c r="DM307" i="23916"/>
  <c r="DN307" i="23916" s="1"/>
  <c r="DM305" i="23916"/>
  <c r="DN298" i="23916"/>
  <c r="BH180" i="23916"/>
  <c r="BG187" i="23916"/>
  <c r="CU187" i="23916"/>
  <c r="CV180" i="23916"/>
  <c r="EA187" i="23916"/>
  <c r="EB180" i="23916"/>
  <c r="GO254" i="23916"/>
  <c r="GN266" i="23916"/>
  <c r="EW259" i="23916"/>
  <c r="EX259" i="23916" s="1"/>
  <c r="EV259" i="23916"/>
  <c r="DZ304" i="23916"/>
  <c r="DS269" i="23916"/>
  <c r="DS268" i="23916"/>
  <c r="DT268" i="23916" s="1"/>
  <c r="DS274" i="23916"/>
  <c r="DT274" i="23916" s="1"/>
  <c r="DT266" i="23916"/>
  <c r="DS272" i="23916"/>
  <c r="DV619" i="23916"/>
  <c r="GD373" i="23916"/>
  <c r="GE373" i="23916" s="1"/>
  <c r="GD369" i="23916"/>
  <c r="GE369" i="23916" s="1"/>
  <c r="GD375" i="23916"/>
  <c r="GE375" i="23916" s="1"/>
  <c r="GD370" i="23916"/>
  <c r="GE367" i="23916"/>
  <c r="EQ232" i="23916"/>
  <c r="CK802" i="23916"/>
  <c r="CL305" i="23916"/>
  <c r="EH11" i="23916"/>
  <c r="EH618" i="23916"/>
  <c r="DX369" i="23916"/>
  <c r="EN373" i="23916"/>
  <c r="CI812" i="23916"/>
  <c r="CI620" i="23916"/>
  <c r="CI372" i="23916"/>
  <c r="CI376" i="23916"/>
  <c r="DS812" i="23916"/>
  <c r="DS620" i="23916"/>
  <c r="DS372" i="23916"/>
  <c r="DS376" i="23916"/>
  <c r="DT376" i="23916" s="1"/>
  <c r="DT370" i="23916"/>
  <c r="DS13" i="23916"/>
  <c r="DT13" i="23916" s="1"/>
  <c r="GK360" i="23916"/>
  <c r="EA620" i="23916"/>
  <c r="EA372" i="23916"/>
  <c r="EA376" i="23916"/>
  <c r="EB376" i="23916" s="1"/>
  <c r="EB370" i="23916"/>
  <c r="EA13" i="23916"/>
  <c r="EB13" i="23916" s="1"/>
  <c r="BY812" i="23916"/>
  <c r="BY620" i="23916"/>
  <c r="BY372" i="23916"/>
  <c r="BY376" i="23916"/>
  <c r="CH375" i="23916"/>
  <c r="CP375" i="23916"/>
  <c r="DQ812" i="23916"/>
  <c r="DQ620" i="23916"/>
  <c r="DQ372" i="23916"/>
  <c r="DQ376" i="23916"/>
  <c r="DR376" i="23916" s="1"/>
  <c r="DR370" i="23916"/>
  <c r="BV505" i="23916"/>
  <c r="V497" i="23916"/>
  <c r="CO448" i="23916"/>
  <c r="DJ509" i="23916"/>
  <c r="DZ622" i="23916"/>
  <c r="EM819" i="23916"/>
  <c r="EM624" i="23916"/>
  <c r="EM623" i="23916"/>
  <c r="EM544" i="23916"/>
  <c r="EM15" i="23916"/>
  <c r="GO492" i="23916"/>
  <c r="GN500" i="23916"/>
  <c r="P508" i="23916"/>
  <c r="DD508" i="23916"/>
  <c r="DD506" i="23916"/>
  <c r="ER502" i="23916"/>
  <c r="EJ502" i="23916"/>
  <c r="X604" i="23916"/>
  <c r="W605" i="23916"/>
  <c r="GJ864" i="23916"/>
  <c r="GM862" i="23916"/>
  <c r="FS476" i="23916"/>
  <c r="FR494" i="23916"/>
  <c r="GH500" i="23916"/>
  <c r="AT502" i="23916"/>
  <c r="AT506" i="23916"/>
  <c r="BZ502" i="23916"/>
  <c r="DF508" i="23916"/>
  <c r="EK622" i="23916"/>
  <c r="EK509" i="23916"/>
  <c r="EK505" i="23916"/>
  <c r="EL503" i="23916"/>
  <c r="EK14" i="23916"/>
  <c r="FN577" i="23916"/>
  <c r="FN582" i="23916"/>
  <c r="FN584" i="23916"/>
  <c r="FO584" i="23916" s="1"/>
  <c r="FO574" i="23916"/>
  <c r="FN576" i="23916"/>
  <c r="CA505" i="23916"/>
  <c r="CA509" i="23916"/>
  <c r="CB503" i="23916"/>
  <c r="CB506" i="23916"/>
  <c r="DH508" i="23916"/>
  <c r="EN502" i="23916"/>
  <c r="EV502" i="23916"/>
  <c r="AK545" i="23916"/>
  <c r="AL606" i="23916"/>
  <c r="GK476" i="23916"/>
  <c r="GJ497" i="23916"/>
  <c r="GJ494" i="23916"/>
  <c r="FR577" i="23916"/>
  <c r="FR582" i="23916"/>
  <c r="FR584" i="23916"/>
  <c r="FS574" i="23916"/>
  <c r="FR576" i="23916"/>
  <c r="FK640" i="23916"/>
  <c r="FL582" i="23916"/>
  <c r="FL584" i="23916"/>
  <c r="FM574" i="23916"/>
  <c r="FL577" i="23916"/>
  <c r="FL576" i="23916"/>
  <c r="GO627" i="23916"/>
  <c r="GQ627" i="23916"/>
  <c r="GF608" i="23916"/>
  <c r="GG604" i="23916"/>
  <c r="GF606" i="23916"/>
  <c r="FG690" i="23916"/>
  <c r="FF664" i="23916"/>
  <c r="FG664" i="23916" s="1"/>
  <c r="FR658" i="23916"/>
  <c r="FS658" i="23916" s="1"/>
  <c r="FS624" i="23916"/>
  <c r="FI742" i="23916"/>
  <c r="EV637" i="23916"/>
  <c r="EU639" i="23916"/>
  <c r="GI707" i="23916"/>
  <c r="BV722" i="23916"/>
  <c r="AF707" i="23916"/>
  <c r="AE753" i="23916"/>
  <c r="DX707" i="23916"/>
  <c r="DW753" i="23916"/>
  <c r="GK707" i="23916"/>
  <c r="BT722" i="23916"/>
  <c r="CJ722" i="23916"/>
  <c r="BM742" i="23916"/>
  <c r="BN742" i="23916" s="1"/>
  <c r="BN735" i="23916"/>
  <c r="BM744" i="23916"/>
  <c r="BN744" i="23916" s="1"/>
  <c r="BJ742" i="23916"/>
  <c r="DQ118" i="23916"/>
  <c r="DQ114" i="23916"/>
  <c r="DR114" i="23916" s="1"/>
  <c r="DR112" i="23916"/>
  <c r="DQ115" i="23916"/>
  <c r="DQ120" i="23916"/>
  <c r="DR120" i="23916" s="1"/>
  <c r="GL32" i="23916"/>
  <c r="GJ39" i="23916"/>
  <c r="GJ120" i="23916"/>
  <c r="GJ118" i="23916"/>
  <c r="GJ115" i="23916"/>
  <c r="GK112" i="23916"/>
  <c r="GJ114" i="23916"/>
  <c r="GK108" i="23916"/>
  <c r="GM108" i="23916"/>
  <c r="DS613" i="23916"/>
  <c r="DS121" i="23916"/>
  <c r="DS7" i="23916"/>
  <c r="DS117" i="23916"/>
  <c r="DT115" i="23916"/>
  <c r="DT120" i="23916"/>
  <c r="AN180" i="23916"/>
  <c r="AM187" i="23916"/>
  <c r="BU838" i="23916"/>
  <c r="BU839" i="23916" s="1"/>
  <c r="GR50" i="23916"/>
  <c r="GQ50" i="23916"/>
  <c r="CT180" i="23916"/>
  <c r="CS187" i="23916"/>
  <c r="EH180" i="23916"/>
  <c r="EG187" i="23916"/>
  <c r="AQ187" i="23916"/>
  <c r="AR180" i="23916"/>
  <c r="FL195" i="23916"/>
  <c r="FL190" i="23916"/>
  <c r="FL193" i="23916"/>
  <c r="FL189" i="23916"/>
  <c r="CQ618" i="23916"/>
  <c r="CR301" i="23916"/>
  <c r="CQ308" i="23916"/>
  <c r="CR308" i="23916" s="1"/>
  <c r="CQ304" i="23916"/>
  <c r="CR304" i="23916" s="1"/>
  <c r="DH619" i="23916"/>
  <c r="BF184" i="23916"/>
  <c r="EH184" i="23916"/>
  <c r="AV180" i="23916"/>
  <c r="AU187" i="23916"/>
  <c r="CJ180" i="23916"/>
  <c r="CI187" i="23916"/>
  <c r="DP180" i="23916"/>
  <c r="DO187" i="23916"/>
  <c r="EE615" i="23916"/>
  <c r="EF269" i="23916"/>
  <c r="EE275" i="23916"/>
  <c r="EF275" i="23916" s="1"/>
  <c r="EE271" i="23916"/>
  <c r="EE9" i="23916"/>
  <c r="EF9" i="23916" s="1"/>
  <c r="EP11" i="23916"/>
  <c r="EP618" i="23916"/>
  <c r="K813" i="23916"/>
  <c r="K196" i="23916"/>
  <c r="L196" i="23916" s="1"/>
  <c r="L190" i="23916"/>
  <c r="K192" i="23916"/>
  <c r="EC272" i="23916"/>
  <c r="ED266" i="23916"/>
  <c r="EC274" i="23916"/>
  <c r="EC269" i="23916"/>
  <c r="EC268" i="23916"/>
  <c r="CO301" i="23916"/>
  <c r="CO300" i="23916"/>
  <c r="CO307" i="23916"/>
  <c r="CO305" i="23916"/>
  <c r="CP298" i="23916"/>
  <c r="CX298" i="23916"/>
  <c r="DE618" i="23916"/>
  <c r="DE308" i="23916"/>
  <c r="DF308" i="23916" s="1"/>
  <c r="DE304" i="23916"/>
  <c r="DF304" i="23916" s="1"/>
  <c r="DF301" i="23916"/>
  <c r="DV300" i="23916"/>
  <c r="CS619" i="23916"/>
  <c r="CS341" i="23916"/>
  <c r="CT341" i="23916" s="1"/>
  <c r="CS337" i="23916"/>
  <c r="CT337" i="23916" s="1"/>
  <c r="CT334" i="23916"/>
  <c r="DJ333" i="23916"/>
  <c r="DZ333" i="23916"/>
  <c r="EP338" i="23916"/>
  <c r="L376" i="23916"/>
  <c r="GL858" i="23916"/>
  <c r="GM858" i="23916" s="1"/>
  <c r="GL594" i="23916"/>
  <c r="GM590" i="23916"/>
  <c r="FO266" i="23916"/>
  <c r="FN269" i="23916"/>
  <c r="FN272" i="23916"/>
  <c r="FN268" i="23916"/>
  <c r="EX289" i="23916"/>
  <c r="GP289" i="23916"/>
  <c r="ED367" i="23916"/>
  <c r="EC369" i="23916"/>
  <c r="ED369" i="23916" s="1"/>
  <c r="EC373" i="23916"/>
  <c r="EC375" i="23916"/>
  <c r="ED375" i="23916" s="1"/>
  <c r="EC370" i="23916"/>
  <c r="EA619" i="23916"/>
  <c r="EA337" i="23916"/>
  <c r="EB334" i="23916"/>
  <c r="EA341" i="23916"/>
  <c r="EA12" i="23916"/>
  <c r="BK816" i="23916"/>
  <c r="CR370" i="23916"/>
  <c r="CQ812" i="23916"/>
  <c r="AA802" i="23916"/>
  <c r="AB373" i="23916"/>
  <c r="GC367" i="23916"/>
  <c r="G812" i="23916"/>
  <c r="G376" i="23916"/>
  <c r="G372" i="23916"/>
  <c r="G816" i="23916" s="1"/>
  <c r="Q812" i="23916"/>
  <c r="Q372" i="23916"/>
  <c r="R370" i="23916"/>
  <c r="Q376" i="23916"/>
  <c r="R369" i="23916"/>
  <c r="Y802" i="23916"/>
  <c r="Z373" i="23916"/>
  <c r="AP375" i="23916"/>
  <c r="AW812" i="23916"/>
  <c r="AW372" i="23916"/>
  <c r="AW376" i="23916"/>
  <c r="AX370" i="23916"/>
  <c r="AX369" i="23916"/>
  <c r="DJ369" i="23916"/>
  <c r="GZ364" i="23916"/>
  <c r="GX365" i="23916"/>
  <c r="GY364" i="23916"/>
  <c r="BO411" i="23916"/>
  <c r="BP405" i="23916"/>
  <c r="FV405" i="23916"/>
  <c r="BO416" i="23916"/>
  <c r="BP416" i="23916" s="1"/>
  <c r="BO412" i="23916"/>
  <c r="CO401" i="23916"/>
  <c r="CQ381" i="23916"/>
  <c r="GX443" i="23916"/>
  <c r="GW443" i="23916"/>
  <c r="N509" i="23916"/>
  <c r="AZ494" i="23916"/>
  <c r="AZ508" i="23916"/>
  <c r="AZ506" i="23916"/>
  <c r="ED494" i="23916"/>
  <c r="FQ497" i="23916"/>
  <c r="BB502" i="23916"/>
  <c r="CG509" i="23916"/>
  <c r="CG505" i="23916"/>
  <c r="CH503" i="23916"/>
  <c r="DN506" i="23916"/>
  <c r="FE508" i="23916"/>
  <c r="Z494" i="23916"/>
  <c r="W509" i="23916"/>
  <c r="X503" i="23916"/>
  <c r="W505" i="23916"/>
  <c r="X506" i="23916"/>
  <c r="BD508" i="23916"/>
  <c r="CJ502" i="23916"/>
  <c r="DS822" i="23916"/>
  <c r="DT544" i="23916"/>
  <c r="CZ497" i="23916"/>
  <c r="EF494" i="23916"/>
  <c r="EW528" i="23916"/>
  <c r="GC602" i="23916"/>
  <c r="GE602" i="23916"/>
  <c r="FH822" i="23916"/>
  <c r="FI544" i="23916"/>
  <c r="BZ604" i="23916"/>
  <c r="BB745" i="23916"/>
  <c r="FP568" i="23916"/>
  <c r="FQ568" i="23916" s="1"/>
  <c r="FQ557" i="23916"/>
  <c r="FP571" i="23916"/>
  <c r="FQ571" i="23916" s="1"/>
  <c r="CE791" i="23916"/>
  <c r="CE787" i="23916"/>
  <c r="CE545" i="23916"/>
  <c r="CP608" i="23916"/>
  <c r="BJ745" i="23916"/>
  <c r="FZ867" i="23916"/>
  <c r="DP608" i="23916"/>
  <c r="AZ744" i="23916"/>
  <c r="GQ702" i="23916"/>
  <c r="GR702" i="23916"/>
  <c r="GP716" i="23916"/>
  <c r="EX716" i="23916"/>
  <c r="FW707" i="23916"/>
  <c r="AJ707" i="23916"/>
  <c r="AI753" i="23916"/>
  <c r="BP707" i="23916"/>
  <c r="CV707" i="23916"/>
  <c r="EB707" i="23916"/>
  <c r="EA753" i="23916"/>
  <c r="FO756" i="23916"/>
  <c r="EH754" i="23916"/>
  <c r="DZ735" i="23916"/>
  <c r="BQ736" i="23916"/>
  <c r="BR736" i="23916" s="1"/>
  <c r="BS730" i="23916"/>
  <c r="BQ727" i="23916"/>
  <c r="BR727" i="23916" s="1"/>
  <c r="BR730" i="23916"/>
  <c r="BQ733" i="23916"/>
  <c r="BQ731" i="23916"/>
  <c r="BQ760" i="23916"/>
  <c r="BR760" i="23916" s="1"/>
  <c r="BQ762" i="23916"/>
  <c r="BR762" i="23916" s="1"/>
  <c r="BQ761" i="23916"/>
  <c r="BR761" i="23916" s="1"/>
  <c r="CS801" i="23916"/>
  <c r="CS118" i="23916"/>
  <c r="CS115" i="23916"/>
  <c r="CS120" i="23916"/>
  <c r="CT120" i="23916" s="1"/>
  <c r="CT112" i="23916"/>
  <c r="CT801" i="23916" s="1"/>
  <c r="CS114" i="23916"/>
  <c r="CT114" i="23916" s="1"/>
  <c r="CU613" i="23916"/>
  <c r="CU121" i="23916"/>
  <c r="CV121" i="23916" s="1"/>
  <c r="CU117" i="23916"/>
  <c r="CV115" i="23916"/>
  <c r="EA860" i="23916"/>
  <c r="EA796" i="23916"/>
  <c r="EB118" i="23916"/>
  <c r="DW133" i="23916"/>
  <c r="DW138" i="23916"/>
  <c r="DW137" i="23916"/>
  <c r="DW135" i="23916"/>
  <c r="CH180" i="23916"/>
  <c r="CG187" i="23916"/>
  <c r="DN180" i="23916"/>
  <c r="DM187" i="23916"/>
  <c r="ER108" i="23916"/>
  <c r="EQ109" i="23916"/>
  <c r="ES108" i="23916"/>
  <c r="GO827" i="23916"/>
  <c r="CO171" i="23916"/>
  <c r="DX114" i="23916"/>
  <c r="GV179" i="23916"/>
  <c r="GU179" i="23916"/>
  <c r="DX271" i="23916"/>
  <c r="S195" i="23916"/>
  <c r="T195" i="23916" s="1"/>
  <c r="S193" i="23916"/>
  <c r="S189" i="23916"/>
  <c r="T189" i="23916" s="1"/>
  <c r="T187" i="23916"/>
  <c r="S190" i="23916"/>
  <c r="GM184" i="23916"/>
  <c r="AD182" i="23916"/>
  <c r="BJ184" i="23916"/>
  <c r="CP182" i="23916"/>
  <c r="DV184" i="23916"/>
  <c r="FZ180" i="23916"/>
  <c r="GA176" i="23916"/>
  <c r="FX272" i="23916"/>
  <c r="FX269" i="23916"/>
  <c r="FY266" i="23916"/>
  <c r="FX268" i="23916"/>
  <c r="W813" i="23916"/>
  <c r="W196" i="23916"/>
  <c r="X196" i="23916" s="1"/>
  <c r="X190" i="23916"/>
  <c r="W192" i="23916"/>
  <c r="DN341" i="23916"/>
  <c r="ED12" i="23916"/>
  <c r="ED619" i="23916"/>
  <c r="CU300" i="23916"/>
  <c r="CV300" i="23916" s="1"/>
  <c r="CU307" i="23916"/>
  <c r="CV307" i="23916" s="1"/>
  <c r="CU305" i="23916"/>
  <c r="CV298" i="23916"/>
  <c r="CU301" i="23916"/>
  <c r="EV322" i="23916"/>
  <c r="EW322" i="23916"/>
  <c r="EI338" i="23916"/>
  <c r="EJ338" i="23916" s="1"/>
  <c r="EI334" i="23916"/>
  <c r="EI340" i="23916"/>
  <c r="EJ340" i="23916" s="1"/>
  <c r="EJ331" i="23916"/>
  <c r="EI333" i="23916"/>
  <c r="EJ333" i="23916" s="1"/>
  <c r="CZ376" i="23916"/>
  <c r="DY812" i="23916"/>
  <c r="DY620" i="23916"/>
  <c r="DY372" i="23916"/>
  <c r="DY376" i="23916"/>
  <c r="DZ376" i="23916" s="1"/>
  <c r="DZ370" i="23916"/>
  <c r="DY13" i="23916"/>
  <c r="DZ13" i="23916" s="1"/>
  <c r="DZ369" i="23916"/>
  <c r="EO802" i="23916"/>
  <c r="EP373" i="23916"/>
  <c r="ES228" i="23916"/>
  <c r="ES230" i="23916" s="1"/>
  <c r="ES232" i="23916" s="1"/>
  <c r="EE620" i="23916"/>
  <c r="EE372" i="23916"/>
  <c r="EF370" i="23916"/>
  <c r="EE376" i="23916"/>
  <c r="EE13" i="23916"/>
  <c r="GH367" i="23916"/>
  <c r="BA812" i="23916"/>
  <c r="BA620" i="23916"/>
  <c r="BB370" i="23916"/>
  <c r="BA372" i="23916"/>
  <c r="BA376" i="23916"/>
  <c r="BB376" i="23916" s="1"/>
  <c r="BM802" i="23916"/>
  <c r="BV375" i="23916"/>
  <c r="BV369" i="23916"/>
  <c r="CL373" i="23916"/>
  <c r="CS816" i="23916"/>
  <c r="DJ373" i="23916"/>
  <c r="DN369" i="23916"/>
  <c r="BP599" i="23916"/>
  <c r="FV599" i="23916"/>
  <c r="BX599" i="23916"/>
  <c r="ER369" i="23916"/>
  <c r="EJ369" i="23916"/>
  <c r="EJ373" i="23916"/>
  <c r="DU388" i="23916"/>
  <c r="DU387" i="23916"/>
  <c r="R509" i="23916"/>
  <c r="X494" i="23916"/>
  <c r="AN497" i="23916"/>
  <c r="BT494" i="23916"/>
  <c r="AA509" i="23916"/>
  <c r="AB503" i="23916"/>
  <c r="AA505" i="23916"/>
  <c r="AB506" i="23916"/>
  <c r="BH502" i="23916"/>
  <c r="DT508" i="23916"/>
  <c r="GD577" i="23916"/>
  <c r="GD582" i="23916"/>
  <c r="GD584" i="23916"/>
  <c r="GE584" i="23916" s="1"/>
  <c r="GE574" i="23916"/>
  <c r="GD576" i="23916"/>
  <c r="GE576" i="23916" s="1"/>
  <c r="AF604" i="23916"/>
  <c r="AE605" i="23916"/>
  <c r="DR494" i="23916"/>
  <c r="GA476" i="23916"/>
  <c r="FZ494" i="23916"/>
  <c r="BJ502" i="23916"/>
  <c r="DU622" i="23916"/>
  <c r="DU509" i="23916"/>
  <c r="DU505" i="23916"/>
  <c r="DV503" i="23916"/>
  <c r="DU14" i="23916"/>
  <c r="DV506" i="23916"/>
  <c r="EX474" i="23916"/>
  <c r="BN497" i="23916"/>
  <c r="AF508" i="23916"/>
  <c r="BL502" i="23916"/>
  <c r="DX502" i="23916"/>
  <c r="DX506" i="23916"/>
  <c r="GG602" i="23916"/>
  <c r="GI602" i="23916"/>
  <c r="DU459" i="23916"/>
  <c r="DW453" i="23916"/>
  <c r="DT494" i="23916"/>
  <c r="EJ497" i="23916"/>
  <c r="FT664" i="23916"/>
  <c r="FU690" i="23916"/>
  <c r="CN608" i="23916"/>
  <c r="FK545" i="23916"/>
  <c r="AR604" i="23916"/>
  <c r="CX608" i="23916"/>
  <c r="FY624" i="23916"/>
  <c r="CQ787" i="23916"/>
  <c r="CQ791" i="23916"/>
  <c r="CQ792" i="23916" s="1"/>
  <c r="CQ545" i="23916"/>
  <c r="CR606" i="23916"/>
  <c r="AV664" i="23916"/>
  <c r="BH690" i="23916"/>
  <c r="BG664" i="23916"/>
  <c r="FK742" i="23916"/>
  <c r="GC671" i="23916"/>
  <c r="CL722" i="23916"/>
  <c r="GA721" i="23916"/>
  <c r="FZ722" i="23916"/>
  <c r="GA722" i="23916" s="1"/>
  <c r="GA707" i="23916"/>
  <c r="BX722" i="23916"/>
  <c r="X707" i="23916"/>
  <c r="W753" i="23916"/>
  <c r="BD707" i="23916"/>
  <c r="BC753" i="23916"/>
  <c r="CJ707" i="23916"/>
  <c r="DP707" i="23916"/>
  <c r="DO753" i="23916"/>
  <c r="AZ742" i="23916"/>
  <c r="GC707" i="23916"/>
  <c r="CV722" i="23916"/>
  <c r="EV730" i="23916"/>
  <c r="EW730" i="23916"/>
  <c r="Z742" i="23916"/>
  <c r="FI734" i="23916"/>
  <c r="EP735" i="23916"/>
  <c r="AD742" i="23916"/>
  <c r="DZ114" i="23916"/>
  <c r="DY860" i="23916"/>
  <c r="DY796" i="23916"/>
  <c r="DZ118" i="23916"/>
  <c r="EO613" i="23916"/>
  <c r="EO117" i="23916"/>
  <c r="EO7" i="23916"/>
  <c r="EO121" i="23916"/>
  <c r="EP115" i="23916"/>
  <c r="ET290" i="23916"/>
  <c r="ES291" i="23916"/>
  <c r="FQ492" i="23916"/>
  <c r="EA801" i="23916"/>
  <c r="EB272" i="23916"/>
  <c r="FP271" i="23916"/>
  <c r="FQ269" i="23916"/>
  <c r="EI539" i="23916"/>
  <c r="EI541" i="23916"/>
  <c r="EC819" i="23916"/>
  <c r="EC624" i="23916"/>
  <c r="EC623" i="23916"/>
  <c r="ED623" i="23916" s="1"/>
  <c r="EC544" i="23916"/>
  <c r="ED541" i="23916"/>
  <c r="EC15" i="23916"/>
  <c r="ED15" i="23916" s="1"/>
  <c r="Z745" i="23916"/>
  <c r="AK813" i="23916"/>
  <c r="AK196" i="23916"/>
  <c r="AK192" i="23916"/>
  <c r="BR189" i="23916"/>
  <c r="BQ800" i="23916"/>
  <c r="BR193" i="23916"/>
  <c r="GN235" i="23916"/>
  <c r="GJ272" i="23916"/>
  <c r="GJ269" i="23916"/>
  <c r="GJ274" i="23916"/>
  <c r="GJ268" i="23916"/>
  <c r="FX508" i="23916"/>
  <c r="FX506" i="23916"/>
  <c r="FX503" i="23916"/>
  <c r="FX502" i="23916"/>
  <c r="CL502" i="23916"/>
  <c r="CC791" i="23916"/>
  <c r="CC792" i="23916" s="1"/>
  <c r="CC787" i="23916"/>
  <c r="CC545" i="23916"/>
  <c r="GS144" i="23916"/>
  <c r="GT144" i="23916"/>
  <c r="EQ338" i="23916"/>
  <c r="ER338" i="23916" s="1"/>
  <c r="EQ340" i="23916"/>
  <c r="ER340" i="23916" s="1"/>
  <c r="ER331" i="23916"/>
  <c r="ES94" i="23916"/>
  <c r="ES96" i="23916" s="1"/>
  <c r="ET81" i="23916"/>
  <c r="EM246" i="23916"/>
  <c r="EM235" i="23916"/>
  <c r="CL180" i="23916"/>
  <c r="CK187" i="23916"/>
  <c r="DR180" i="23916"/>
  <c r="DQ187" i="23916"/>
  <c r="AO813" i="23916"/>
  <c r="AP190" i="23916"/>
  <c r="AO192" i="23916"/>
  <c r="AO196" i="23916"/>
  <c r="FD813" i="23916"/>
  <c r="FD192" i="23916"/>
  <c r="FE190" i="23916"/>
  <c r="FD196" i="23916"/>
  <c r="FZ301" i="23916"/>
  <c r="FZ305" i="23916"/>
  <c r="GA305" i="23916" s="1"/>
  <c r="GA298" i="23916"/>
  <c r="FZ307" i="23916"/>
  <c r="GA307" i="23916" s="1"/>
  <c r="FZ300" i="23916"/>
  <c r="GA300" i="23916" s="1"/>
  <c r="EP184" i="23916"/>
  <c r="EX184" i="23916"/>
  <c r="GO176" i="23916"/>
  <c r="GN180" i="23916"/>
  <c r="FL272" i="23916"/>
  <c r="FL269" i="23916"/>
  <c r="FM266" i="23916"/>
  <c r="FL268" i="23916"/>
  <c r="CM802" i="23916"/>
  <c r="CN305" i="23916"/>
  <c r="GK291" i="23916"/>
  <c r="GJ298" i="23916"/>
  <c r="DU272" i="23916"/>
  <c r="DV266" i="23916"/>
  <c r="DU274" i="23916"/>
  <c r="DV274" i="23916" s="1"/>
  <c r="DU269" i="23916"/>
  <c r="DU268" i="23916"/>
  <c r="DV268" i="23916" s="1"/>
  <c r="GL301" i="23916"/>
  <c r="GL305" i="23916"/>
  <c r="GM298" i="23916"/>
  <c r="GL307" i="23916"/>
  <c r="GL300" i="23916"/>
  <c r="AQ816" i="23916"/>
  <c r="FS360" i="23916"/>
  <c r="FR367" i="23916"/>
  <c r="EL180" i="23916"/>
  <c r="EK187" i="23916"/>
  <c r="DA802" i="23916"/>
  <c r="DR618" i="23916"/>
  <c r="FG266" i="23916"/>
  <c r="FF269" i="23916"/>
  <c r="FF272" i="23916"/>
  <c r="FG272" i="23916" s="1"/>
  <c r="FF268" i="23916"/>
  <c r="FG268" i="23916" s="1"/>
  <c r="FD275" i="23916"/>
  <c r="FE275" i="23916" s="1"/>
  <c r="FE269" i="23916"/>
  <c r="FD271" i="23916"/>
  <c r="FE271" i="23916" s="1"/>
  <c r="EV282" i="23916"/>
  <c r="EW282" i="23916"/>
  <c r="EX282" i="23916" s="1"/>
  <c r="GC295" i="23916"/>
  <c r="I812" i="23916"/>
  <c r="I372" i="23916"/>
  <c r="I816" i="23916" s="1"/>
  <c r="I376" i="23916"/>
  <c r="CA373" i="23916"/>
  <c r="CA375" i="23916"/>
  <c r="CA369" i="23916"/>
  <c r="CB367" i="23916"/>
  <c r="CA370" i="23916"/>
  <c r="CJ370" i="23916" s="1"/>
  <c r="DH372" i="23916"/>
  <c r="CM373" i="23916"/>
  <c r="CM375" i="23916"/>
  <c r="CM370" i="23916"/>
  <c r="CN367" i="23916"/>
  <c r="CM369" i="23916"/>
  <c r="CV367" i="23916"/>
  <c r="EW294" i="23916"/>
  <c r="EW287" i="23916" s="1"/>
  <c r="EX287" i="23916" s="1"/>
  <c r="EX293" i="23916"/>
  <c r="EL367" i="23916"/>
  <c r="EK369" i="23916"/>
  <c r="EK373" i="23916"/>
  <c r="EK375" i="23916"/>
  <c r="EL375" i="23916" s="1"/>
  <c r="EK370" i="23916"/>
  <c r="EO272" i="23916"/>
  <c r="EO268" i="23916"/>
  <c r="EO274" i="23916"/>
  <c r="EO269" i="23916"/>
  <c r="EP266" i="23916"/>
  <c r="U812" i="23916"/>
  <c r="U372" i="23916"/>
  <c r="V370" i="23916"/>
  <c r="U376" i="23916"/>
  <c r="V376" i="23916" s="1"/>
  <c r="AC802" i="23916"/>
  <c r="AD373" i="23916"/>
  <c r="BE369" i="23916"/>
  <c r="BF369" i="23916" s="1"/>
  <c r="BF367" i="23916"/>
  <c r="BE370" i="23916"/>
  <c r="BE373" i="23916"/>
  <c r="BE375" i="23916"/>
  <c r="BF375" i="23916" s="1"/>
  <c r="EA415" i="23916"/>
  <c r="EB415" i="23916" s="1"/>
  <c r="GL405" i="23916"/>
  <c r="EA411" i="23916"/>
  <c r="EA417" i="23916"/>
  <c r="EB405" i="23916"/>
  <c r="EA416" i="23916"/>
  <c r="EB416" i="23916" s="1"/>
  <c r="EA412" i="23916"/>
  <c r="EB412" i="23916" s="1"/>
  <c r="ET393" i="23916"/>
  <c r="FY428" i="23916"/>
  <c r="GA428" i="23916"/>
  <c r="CO434" i="23916"/>
  <c r="CQ405" i="23916"/>
  <c r="EW523" i="23916"/>
  <c r="GP519" i="23916"/>
  <c r="G505" i="23916"/>
  <c r="G509" i="23916"/>
  <c r="FN508" i="23916"/>
  <c r="FN503" i="23916"/>
  <c r="FN506" i="23916"/>
  <c r="FN502" i="23916"/>
  <c r="FO500" i="23916"/>
  <c r="AL503" i="23916"/>
  <c r="AK509" i="23916"/>
  <c r="AK505" i="23916"/>
  <c r="BS509" i="23916"/>
  <c r="BT503" i="23916"/>
  <c r="BS505" i="23916"/>
  <c r="FZ577" i="23916"/>
  <c r="FZ582" i="23916"/>
  <c r="FZ584" i="23916"/>
  <c r="GA584" i="23916" s="1"/>
  <c r="GA574" i="23916"/>
  <c r="FZ576" i="23916"/>
  <c r="GA576" i="23916" s="1"/>
  <c r="GZ576" i="23916"/>
  <c r="GQ576" i="23916"/>
  <c r="GO576" i="23916"/>
  <c r="CR497" i="23916"/>
  <c r="EN494" i="23916"/>
  <c r="EV494" i="23916"/>
  <c r="CK606" i="23916"/>
  <c r="CK608" i="23916"/>
  <c r="CL608" i="23916" s="1"/>
  <c r="CL604" i="23916"/>
  <c r="GM639" i="23916"/>
  <c r="GO639" i="23916"/>
  <c r="FH582" i="23916"/>
  <c r="FH584" i="23916"/>
  <c r="FI574" i="23916"/>
  <c r="FH577" i="23916"/>
  <c r="FH576" i="23916"/>
  <c r="FD581" i="23916"/>
  <c r="FE577" i="23916"/>
  <c r="FD585" i="23916"/>
  <c r="FE585" i="23916" s="1"/>
  <c r="GJ585" i="23916"/>
  <c r="GJ579" i="23916"/>
  <c r="CU791" i="23916"/>
  <c r="CU787" i="23916"/>
  <c r="CU545" i="23916"/>
  <c r="CV606" i="23916"/>
  <c r="GZ584" i="23916"/>
  <c r="GO584" i="23916"/>
  <c r="GQ584" i="23916"/>
  <c r="GE639" i="23916"/>
  <c r="FS690" i="23916"/>
  <c r="FR664" i="23916"/>
  <c r="GG665" i="23916"/>
  <c r="EV720" i="23916"/>
  <c r="EW720" i="23916"/>
  <c r="AB707" i="23916"/>
  <c r="AA753" i="23916"/>
  <c r="BH707" i="23916"/>
  <c r="BG753" i="23916"/>
  <c r="DT707" i="23916"/>
  <c r="DS753" i="23916"/>
  <c r="BL735" i="23916"/>
  <c r="BK742" i="23916"/>
  <c r="BL742" i="23916" s="1"/>
  <c r="BK744" i="23916"/>
  <c r="BL744" i="23916" s="1"/>
  <c r="CG809" i="23916"/>
  <c r="CI127" i="23916"/>
  <c r="CH133" i="23916"/>
  <c r="CG155" i="23916"/>
  <c r="GG68" i="23916"/>
  <c r="GI68" i="23916"/>
  <c r="DK860" i="23916"/>
  <c r="DK796" i="23916"/>
  <c r="FV614" i="23916"/>
  <c r="FV196" i="23916"/>
  <c r="FV192" i="23916"/>
  <c r="FW190" i="23916"/>
  <c r="GL180" i="23916"/>
  <c r="GM176" i="23916"/>
  <c r="DH112" i="23916"/>
  <c r="EN114" i="23916"/>
  <c r="EV114" i="23916"/>
  <c r="AQ151" i="23916"/>
  <c r="AQ147" i="23916"/>
  <c r="AQ150" i="23916"/>
  <c r="FH147" i="23916"/>
  <c r="FI143" i="23916"/>
  <c r="FH151" i="23916"/>
  <c r="FH150" i="23916"/>
  <c r="DW246" i="23916"/>
  <c r="DW235" i="23916"/>
  <c r="ED298" i="23916"/>
  <c r="EC301" i="23916"/>
  <c r="EC300" i="23916"/>
  <c r="ED300" i="23916" s="1"/>
  <c r="EC307" i="23916"/>
  <c r="ED307" i="23916" s="1"/>
  <c r="EC305" i="23916"/>
  <c r="ED305" i="23916" s="1"/>
  <c r="EV357" i="23916"/>
  <c r="EW357" i="23916"/>
  <c r="CE373" i="23916"/>
  <c r="CE375" i="23916"/>
  <c r="CF375" i="23916" s="1"/>
  <c r="CE369" i="23916"/>
  <c r="CF369" i="23916" s="1"/>
  <c r="CF367" i="23916"/>
  <c r="CE370" i="23916"/>
  <c r="R180" i="23916"/>
  <c r="Q187" i="23916"/>
  <c r="DZ308" i="23916"/>
  <c r="FY180" i="23916"/>
  <c r="FX187" i="23916"/>
  <c r="EW251" i="23916"/>
  <c r="EW254" i="23916" s="1"/>
  <c r="EW205" i="23916"/>
  <c r="GP205" i="23916" s="1"/>
  <c r="EW203" i="23916"/>
  <c r="GP203" i="23916" s="1"/>
  <c r="EL619" i="23916"/>
  <c r="GA184" i="23916"/>
  <c r="DW620" i="23916"/>
  <c r="DW372" i="23916"/>
  <c r="DX370" i="23916"/>
  <c r="DW376" i="23916"/>
  <c r="DW13" i="23916"/>
  <c r="DX13" i="23916" s="1"/>
  <c r="ET356" i="23916"/>
  <c r="DS619" i="23916"/>
  <c r="DS337" i="23916"/>
  <c r="DS341" i="23916"/>
  <c r="DS12" i="23916"/>
  <c r="DT12" i="23916" s="1"/>
  <c r="FP367" i="23916"/>
  <c r="AF376" i="23916"/>
  <c r="AN376" i="23916"/>
  <c r="BC373" i="23916"/>
  <c r="BC375" i="23916"/>
  <c r="BC369" i="23916"/>
  <c r="BD367" i="23916"/>
  <c r="BC370" i="23916"/>
  <c r="BL367" i="23916"/>
  <c r="CJ375" i="23916"/>
  <c r="GI364" i="23916"/>
  <c r="DW866" i="23916"/>
  <c r="DW867" i="23916" s="1"/>
  <c r="DX594" i="23916"/>
  <c r="DW604" i="23916"/>
  <c r="GC298" i="23916"/>
  <c r="GK328" i="23916"/>
  <c r="BI802" i="23916"/>
  <c r="BJ373" i="23916"/>
  <c r="BQ369" i="23916"/>
  <c r="BR369" i="23916" s="1"/>
  <c r="BR367" i="23916"/>
  <c r="BQ370" i="23916"/>
  <c r="BZ370" i="23916" s="1"/>
  <c r="BQ373" i="23916"/>
  <c r="BQ375" i="23916"/>
  <c r="BR375" i="23916" s="1"/>
  <c r="BZ367" i="23916"/>
  <c r="ET410" i="23916"/>
  <c r="ES386" i="23916"/>
  <c r="ET386" i="23916" s="1"/>
  <c r="EU410" i="23916"/>
  <c r="CD494" i="23916"/>
  <c r="BP438" i="23916"/>
  <c r="FV438" i="23916"/>
  <c r="BO449" i="23916"/>
  <c r="BP449" i="23916" s="1"/>
  <c r="BO444" i="23916"/>
  <c r="BO445" i="23916"/>
  <c r="O509" i="23916"/>
  <c r="P509" i="23916" s="1"/>
  <c r="P503" i="23916"/>
  <c r="O505" i="23916"/>
  <c r="P505" i="23916" s="1"/>
  <c r="P506" i="23916"/>
  <c r="AR502" i="23916"/>
  <c r="BX508" i="23916"/>
  <c r="DC505" i="23916"/>
  <c r="DD505" i="23916" s="1"/>
  <c r="DD503" i="23916"/>
  <c r="DC509" i="23916"/>
  <c r="DD509" i="23916" s="1"/>
  <c r="EI622" i="23916"/>
  <c r="EI505" i="23916"/>
  <c r="EI509" i="23916"/>
  <c r="EJ503" i="23916"/>
  <c r="EI14" i="23916"/>
  <c r="EJ506" i="23916"/>
  <c r="AN605" i="23916"/>
  <c r="AM606" i="23916"/>
  <c r="EP497" i="23916"/>
  <c r="EQ497" i="23916"/>
  <c r="FR500" i="23916"/>
  <c r="AS509" i="23916"/>
  <c r="AT509" i="23916" s="1"/>
  <c r="AS505" i="23916"/>
  <c r="AT505" i="23916" s="1"/>
  <c r="AT503" i="23916"/>
  <c r="BY509" i="23916"/>
  <c r="BY505" i="23916"/>
  <c r="BZ503" i="23916"/>
  <c r="BZ506" i="23916"/>
  <c r="EL508" i="23916"/>
  <c r="CL494" i="23916"/>
  <c r="L502" i="23916"/>
  <c r="AV502" i="23916"/>
  <c r="DG505" i="23916"/>
  <c r="DH503" i="23916"/>
  <c r="DG509" i="23916"/>
  <c r="DH506" i="23916"/>
  <c r="EN508" i="23916"/>
  <c r="GJ500" i="23916"/>
  <c r="GJ819" i="23916"/>
  <c r="GJ624" i="23916"/>
  <c r="GJ623" i="23916"/>
  <c r="GK623" i="23916" s="1"/>
  <c r="GJ544" i="23916"/>
  <c r="GK541" i="23916"/>
  <c r="GJ15" i="23916"/>
  <c r="GK15" i="23916" s="1"/>
  <c r="CT608" i="23916"/>
  <c r="BT690" i="23916"/>
  <c r="BS664" i="23916"/>
  <c r="BT664" i="23916" s="1"/>
  <c r="DD608" i="23916"/>
  <c r="EV607" i="23916"/>
  <c r="FP842" i="23916"/>
  <c r="FP829" i="23916"/>
  <c r="FQ628" i="23916"/>
  <c r="FV604" i="23916"/>
  <c r="DM791" i="23916"/>
  <c r="DM787" i="23916"/>
  <c r="DN606" i="23916"/>
  <c r="DM545" i="23916"/>
  <c r="DG787" i="23916"/>
  <c r="DG791" i="23916"/>
  <c r="DG792" i="23916" s="1"/>
  <c r="DG545" i="23916"/>
  <c r="DH606" i="23916"/>
  <c r="FN640" i="23916"/>
  <c r="FO639" i="23916"/>
  <c r="FQ639" i="23916"/>
  <c r="FP690" i="23916"/>
  <c r="AQ664" i="23916"/>
  <c r="FL744" i="23916"/>
  <c r="FM744" i="23916" s="1"/>
  <c r="FL745" i="23916"/>
  <c r="FM745" i="23916" s="1"/>
  <c r="FM640" i="23916"/>
  <c r="FR830" i="23916"/>
  <c r="FS692" i="23916"/>
  <c r="EX644" i="23916"/>
  <c r="EW637" i="23916"/>
  <c r="GP637" i="23916" s="1"/>
  <c r="ES673" i="23916"/>
  <c r="ET674" i="23916"/>
  <c r="EU674" i="23916"/>
  <c r="ES669" i="23916"/>
  <c r="C271" i="23916"/>
  <c r="C275" i="23916"/>
  <c r="C813" i="23916"/>
  <c r="CQ73" i="23916"/>
  <c r="CR73" i="23916" s="1"/>
  <c r="CQ72" i="23916"/>
  <c r="CQ70" i="23916"/>
  <c r="CR70" i="23916" s="1"/>
  <c r="CR39" i="23916"/>
  <c r="DT114" i="23916"/>
  <c r="CP133" i="23916"/>
  <c r="FR180" i="23916"/>
  <c r="FS176" i="23916"/>
  <c r="DV180" i="23916"/>
  <c r="DU187" i="23916"/>
  <c r="GO828" i="23916"/>
  <c r="EW107" i="23916"/>
  <c r="EX106" i="23916"/>
  <c r="DP114" i="23916"/>
  <c r="FD167" i="23916"/>
  <c r="FE167" i="23916" s="1"/>
  <c r="FD170" i="23916"/>
  <c r="FE170" i="23916" s="1"/>
  <c r="FD169" i="23916"/>
  <c r="FE135" i="23916"/>
  <c r="FR147" i="23916"/>
  <c r="FS143" i="23916"/>
  <c r="FR151" i="23916"/>
  <c r="FR150" i="23916"/>
  <c r="AH189" i="23916"/>
  <c r="AG800" i="23916"/>
  <c r="AH193" i="23916"/>
  <c r="EO614" i="23916"/>
  <c r="EO192" i="23916"/>
  <c r="EO196" i="23916"/>
  <c r="EO8" i="23916"/>
  <c r="DH298" i="23916"/>
  <c r="DG300" i="23916"/>
  <c r="DG307" i="23916"/>
  <c r="DG305" i="23916"/>
  <c r="DG301" i="23916"/>
  <c r="DH341" i="23916"/>
  <c r="DO338" i="23916"/>
  <c r="DP338" i="23916" s="1"/>
  <c r="DP331" i="23916"/>
  <c r="DO334" i="23916"/>
  <c r="DO340" i="23916"/>
  <c r="DP340" i="23916" s="1"/>
  <c r="DO333" i="23916"/>
  <c r="DP333" i="23916" s="1"/>
  <c r="AI373" i="23916"/>
  <c r="AJ367" i="23916"/>
  <c r="AI375" i="23916"/>
  <c r="AI370" i="23916"/>
  <c r="AI369" i="23916"/>
  <c r="AR367" i="23916"/>
  <c r="DL376" i="23916"/>
  <c r="AP184" i="23916"/>
  <c r="BV182" i="23916"/>
  <c r="DB182" i="23916"/>
  <c r="FH184" i="23916"/>
  <c r="EQ257" i="23916"/>
  <c r="EQ208" i="23916"/>
  <c r="EE801" i="23916"/>
  <c r="EF272" i="23916"/>
  <c r="DJ304" i="23916"/>
  <c r="GO291" i="23916"/>
  <c r="GN298" i="23916"/>
  <c r="GC180" i="23916"/>
  <c r="GB187" i="23916"/>
  <c r="DU866" i="23916"/>
  <c r="DU867" i="23916" s="1"/>
  <c r="DV594" i="23916"/>
  <c r="DU604" i="23916"/>
  <c r="EK866" i="23916"/>
  <c r="EK867" i="23916" s="1"/>
  <c r="EK604" i="23916"/>
  <c r="EL594" i="23916"/>
  <c r="DE802" i="23916"/>
  <c r="DF305" i="23916"/>
  <c r="DU618" i="23916"/>
  <c r="DU308" i="23916"/>
  <c r="DU304" i="23916"/>
  <c r="DV301" i="23916"/>
  <c r="DU11" i="23916"/>
  <c r="DV11" i="23916" s="1"/>
  <c r="EL300" i="23916"/>
  <c r="ET300" i="23916"/>
  <c r="DI619" i="23916"/>
  <c r="DI341" i="23916"/>
  <c r="DJ341" i="23916" s="1"/>
  <c r="DI337" i="23916"/>
  <c r="DJ337" i="23916" s="1"/>
  <c r="DJ334" i="23916"/>
  <c r="DJ340" i="23916"/>
  <c r="EQ333" i="23916"/>
  <c r="EQ332" i="23916" s="1"/>
  <c r="EP333" i="23916"/>
  <c r="BW816" i="23916"/>
  <c r="GT163" i="23916"/>
  <c r="GS163" i="23916"/>
  <c r="FI176" i="23916"/>
  <c r="FH180" i="23916"/>
  <c r="DU236" i="23916"/>
  <c r="DU238" i="23916"/>
  <c r="EO246" i="23916"/>
  <c r="EO235" i="23916"/>
  <c r="EA866" i="23916"/>
  <c r="EA867" i="23916" s="1"/>
  <c r="EB594" i="23916"/>
  <c r="EA604" i="23916"/>
  <c r="EX350" i="23916"/>
  <c r="GP350" i="23916"/>
  <c r="EW424" i="23916"/>
  <c r="EU396" i="23916"/>
  <c r="EV396" i="23916" s="1"/>
  <c r="EV424" i="23916"/>
  <c r="EB338" i="23916"/>
  <c r="BK654" i="23916"/>
  <c r="BK621" i="23916"/>
  <c r="CR376" i="23916"/>
  <c r="AA812" i="23916"/>
  <c r="AA372" i="23916"/>
  <c r="AB370" i="23916"/>
  <c r="AA376" i="23916"/>
  <c r="AB376" i="23916" s="1"/>
  <c r="GB331" i="23916"/>
  <c r="FR802" i="23916"/>
  <c r="FS364" i="23916"/>
  <c r="GB620" i="23916"/>
  <c r="GB372" i="23916"/>
  <c r="GB376" i="23916"/>
  <c r="GC370" i="23916"/>
  <c r="DY866" i="23916"/>
  <c r="DY867" i="23916" s="1"/>
  <c r="DZ594" i="23916"/>
  <c r="DY604" i="23916"/>
  <c r="R375" i="23916"/>
  <c r="Y812" i="23916"/>
  <c r="Y372" i="23916"/>
  <c r="Z370" i="23916"/>
  <c r="Y376" i="23916"/>
  <c r="Z376" i="23916" s="1"/>
  <c r="AG802" i="23916"/>
  <c r="AH373" i="23916"/>
  <c r="DI812" i="23916"/>
  <c r="EW439" i="23916"/>
  <c r="EV439" i="23916"/>
  <c r="EH505" i="23916"/>
  <c r="BO430" i="23916"/>
  <c r="BO425" i="23916"/>
  <c r="BO426" i="23916"/>
  <c r="BP426" i="23916" s="1"/>
  <c r="FV420" i="23916"/>
  <c r="BO431" i="23916"/>
  <c r="BO432" i="23916" s="1"/>
  <c r="BP420" i="23916"/>
  <c r="FD431" i="23916"/>
  <c r="FE426" i="23916"/>
  <c r="EO506" i="23916"/>
  <c r="EO503" i="23916"/>
  <c r="EP500" i="23916"/>
  <c r="EO502" i="23916"/>
  <c r="EO508" i="23916"/>
  <c r="EP508" i="23916" s="1"/>
  <c r="BP458" i="23916"/>
  <c r="BQ453" i="23916"/>
  <c r="FH508" i="23916"/>
  <c r="FH506" i="23916"/>
  <c r="FI500" i="23916"/>
  <c r="FH503" i="23916"/>
  <c r="FH502" i="23916"/>
  <c r="AJ494" i="23916"/>
  <c r="CF494" i="23916"/>
  <c r="T508" i="23916"/>
  <c r="AZ503" i="23916"/>
  <c r="AY509" i="23916"/>
  <c r="AY505" i="23916"/>
  <c r="CE505" i="23916"/>
  <c r="CE509" i="23916"/>
  <c r="CF503" i="23916"/>
  <c r="CF506" i="23916"/>
  <c r="DL502" i="23916"/>
  <c r="GN535" i="23916"/>
  <c r="GN537" i="23916"/>
  <c r="GM584" i="23916"/>
  <c r="DN494" i="23916"/>
  <c r="GM476" i="23916"/>
  <c r="GL497" i="23916"/>
  <c r="GM497" i="23916" s="1"/>
  <c r="GL494" i="23916"/>
  <c r="GM494" i="23916" s="1"/>
  <c r="BB508" i="23916"/>
  <c r="CH508" i="23916"/>
  <c r="DN502" i="23916"/>
  <c r="FD509" i="23916"/>
  <c r="FE509" i="23916" s="1"/>
  <c r="FD505" i="23916"/>
  <c r="FE505" i="23916" s="1"/>
  <c r="FE503" i="23916"/>
  <c r="EU531" i="23916"/>
  <c r="EU533" i="23916" s="1"/>
  <c r="EW526" i="23916"/>
  <c r="BC509" i="23916"/>
  <c r="BD503" i="23916"/>
  <c r="BC505" i="23916"/>
  <c r="BD506" i="23916"/>
  <c r="CJ508" i="23916"/>
  <c r="DP502" i="23916"/>
  <c r="EK819" i="23916"/>
  <c r="EK624" i="23916"/>
  <c r="EK623" i="23916"/>
  <c r="EL623" i="23916" s="1"/>
  <c r="EK544" i="23916"/>
  <c r="EL541" i="23916"/>
  <c r="EK15" i="23916"/>
  <c r="EL15" i="23916" s="1"/>
  <c r="EF497" i="23916"/>
  <c r="FS568" i="23916"/>
  <c r="AT604" i="23916"/>
  <c r="AS605" i="23916"/>
  <c r="GC568" i="23916"/>
  <c r="GB799" i="23916"/>
  <c r="GC582" i="23916"/>
  <c r="DL608" i="23916"/>
  <c r="FP745" i="23916"/>
  <c r="FT842" i="23916"/>
  <c r="FT829" i="23916"/>
  <c r="FT743" i="23916"/>
  <c r="FU628" i="23916"/>
  <c r="BT605" i="23916"/>
  <c r="BS606" i="23916"/>
  <c r="CO791" i="23916"/>
  <c r="CO792" i="23916" s="1"/>
  <c r="CO787" i="23916"/>
  <c r="CO545" i="23916"/>
  <c r="CP606" i="23916"/>
  <c r="FK690" i="23916"/>
  <c r="FJ664" i="23916"/>
  <c r="AV744" i="23916"/>
  <c r="AZ745" i="23916"/>
  <c r="DF665" i="23916"/>
  <c r="FP830" i="23916"/>
  <c r="FQ692" i="23916"/>
  <c r="DZ753" i="23916"/>
  <c r="DU43" i="23916"/>
  <c r="DU42" i="23916"/>
  <c r="DU41" i="23916"/>
  <c r="DU38" i="23916"/>
  <c r="DU39" i="23916" s="1"/>
  <c r="GW66" i="23916"/>
  <c r="GX66" i="23916"/>
  <c r="GN112" i="23916"/>
  <c r="CU860" i="23916"/>
  <c r="CU796" i="23916"/>
  <c r="CV118" i="23916"/>
  <c r="AO170" i="23916"/>
  <c r="AO169" i="23916"/>
  <c r="AO167" i="23916"/>
  <c r="FJ180" i="23916"/>
  <c r="FK176" i="23916"/>
  <c r="FM176" i="23916"/>
  <c r="FW180" i="23916"/>
  <c r="GM219" i="23916"/>
  <c r="EU96" i="23916"/>
  <c r="FV274" i="23916"/>
  <c r="FW266" i="23916"/>
  <c r="FV269" i="23916"/>
  <c r="FV272" i="23916"/>
  <c r="FW272" i="23916" s="1"/>
  <c r="FV268" i="23916"/>
  <c r="FW268" i="23916" s="1"/>
  <c r="DW613" i="23916"/>
  <c r="DW121" i="23916"/>
  <c r="DX115" i="23916"/>
  <c r="DW7" i="23916"/>
  <c r="DW117" i="23916"/>
  <c r="DW820" i="23916" s="1"/>
  <c r="DX120" i="23916"/>
  <c r="GI103" i="23916"/>
  <c r="FP195" i="23916"/>
  <c r="FP190" i="23916"/>
  <c r="FP193" i="23916"/>
  <c r="FP189" i="23916"/>
  <c r="GO215" i="23916"/>
  <c r="AT184" i="23916"/>
  <c r="BZ182" i="23916"/>
  <c r="DF184" i="23916"/>
  <c r="ET182" i="23916"/>
  <c r="EL182" i="23916"/>
  <c r="BW187" i="23916"/>
  <c r="BX180" i="23916"/>
  <c r="DC187" i="23916"/>
  <c r="DD180" i="23916"/>
  <c r="GR283" i="23916"/>
  <c r="GQ283" i="23916"/>
  <c r="CT307" i="23916"/>
  <c r="GM291" i="23916"/>
  <c r="CY300" i="23916"/>
  <c r="CZ300" i="23916" s="1"/>
  <c r="CY307" i="23916"/>
  <c r="CZ307" i="23916" s="1"/>
  <c r="CY305" i="23916"/>
  <c r="CZ298" i="23916"/>
  <c r="CY301" i="23916"/>
  <c r="CX337" i="23916"/>
  <c r="DN619" i="23916"/>
  <c r="GO242" i="23916"/>
  <c r="GB272" i="23916"/>
  <c r="GB269" i="23916"/>
  <c r="GC266" i="23916"/>
  <c r="GB268" i="23916"/>
  <c r="DK300" i="23916"/>
  <c r="DL300" i="23916" s="1"/>
  <c r="DK307" i="23916"/>
  <c r="DK305" i="23916"/>
  <c r="DL298" i="23916"/>
  <c r="DK301" i="23916"/>
  <c r="FS266" i="23916"/>
  <c r="FR269" i="23916"/>
  <c r="FR272" i="23916"/>
  <c r="FS272" i="23916" s="1"/>
  <c r="FR268" i="23916"/>
  <c r="FH375" i="23916"/>
  <c r="FI375" i="23916" s="1"/>
  <c r="FI367" i="23916"/>
  <c r="FH370" i="23916"/>
  <c r="FH373" i="23916"/>
  <c r="FI373" i="23916" s="1"/>
  <c r="FH369" i="23916"/>
  <c r="FI369" i="23916" s="1"/>
  <c r="P376" i="23916"/>
  <c r="BS373" i="23916"/>
  <c r="BS375" i="23916"/>
  <c r="BT375" i="23916" s="1"/>
  <c r="BS369" i="23916"/>
  <c r="BT369" i="23916" s="1"/>
  <c r="BT367" i="23916"/>
  <c r="BS370" i="23916"/>
  <c r="CZ372" i="23916"/>
  <c r="DZ375" i="23916"/>
  <c r="EO812" i="23916"/>
  <c r="EO620" i="23916"/>
  <c r="EO621" i="23916" s="1"/>
  <c r="EO372" i="23916"/>
  <c r="EO376" i="23916"/>
  <c r="EP370" i="23916"/>
  <c r="EO13" i="23916"/>
  <c r="EP369" i="23916"/>
  <c r="GN344" i="23916"/>
  <c r="GO344" i="23916" s="1"/>
  <c r="GP342" i="23916"/>
  <c r="EF375" i="23916"/>
  <c r="EG272" i="23916"/>
  <c r="EG268" i="23916"/>
  <c r="EG274" i="23916"/>
  <c r="EG269" i="23916"/>
  <c r="EH266" i="23916"/>
  <c r="BM812" i="23916"/>
  <c r="BM620" i="23916"/>
  <c r="BN370" i="23916"/>
  <c r="BM372" i="23916"/>
  <c r="BM376" i="23916"/>
  <c r="BU802" i="23916"/>
  <c r="BV373" i="23916"/>
  <c r="DM812" i="23916"/>
  <c r="DM620" i="23916"/>
  <c r="DN370" i="23916"/>
  <c r="DM372" i="23916"/>
  <c r="DM376" i="23916"/>
  <c r="EI620" i="23916"/>
  <c r="EI372" i="23916"/>
  <c r="EI376" i="23916"/>
  <c r="EJ376" i="23916" s="1"/>
  <c r="EJ370" i="23916"/>
  <c r="EI13" i="23916"/>
  <c r="EJ13" i="23916" s="1"/>
  <c r="CQ431" i="23916"/>
  <c r="CQ432" i="23916" s="1"/>
  <c r="CQ430" i="23916"/>
  <c r="CQ425" i="23916"/>
  <c r="CQ426" i="23916"/>
  <c r="GG496" i="23916"/>
  <c r="R505" i="23916"/>
  <c r="AX505" i="23916"/>
  <c r="FY496" i="23916"/>
  <c r="X497" i="23916"/>
  <c r="BT497" i="23916"/>
  <c r="BH508" i="23916"/>
  <c r="BH506" i="23916"/>
  <c r="CN502" i="23916"/>
  <c r="DS622" i="23916"/>
  <c r="DS505" i="23916"/>
  <c r="DT503" i="23916"/>
  <c r="DS509" i="23916"/>
  <c r="DS14" i="23916"/>
  <c r="EH497" i="23916"/>
  <c r="FK476" i="23916"/>
  <c r="FJ494" i="23916"/>
  <c r="FJ497" i="23916"/>
  <c r="FK497" i="23916" s="1"/>
  <c r="FZ500" i="23916"/>
  <c r="AD502" i="23916"/>
  <c r="AD506" i="23916"/>
  <c r="BJ508" i="23916"/>
  <c r="CP502" i="23916"/>
  <c r="GR474" i="23916"/>
  <c r="GQ474" i="23916"/>
  <c r="AH497" i="23916"/>
  <c r="GO494" i="23916"/>
  <c r="AE509" i="23916"/>
  <c r="AF509" i="23916" s="1"/>
  <c r="AF503" i="23916"/>
  <c r="AE505" i="23916"/>
  <c r="AF505" i="23916" s="1"/>
  <c r="AF506" i="23916"/>
  <c r="BL508" i="23916"/>
  <c r="CR502" i="23916"/>
  <c r="DW622" i="23916"/>
  <c r="DW505" i="23916"/>
  <c r="DX503" i="23916"/>
  <c r="DW509" i="23916"/>
  <c r="DW14" i="23916"/>
  <c r="GH577" i="23916"/>
  <c r="GH582" i="23916"/>
  <c r="GH584" i="23916"/>
  <c r="GI584" i="23916" s="1"/>
  <c r="GI574" i="23916"/>
  <c r="GH576" i="23916"/>
  <c r="GI576" i="23916" s="1"/>
  <c r="AG545" i="23916"/>
  <c r="AH606" i="23916"/>
  <c r="DD494" i="23916"/>
  <c r="DT497" i="23916"/>
  <c r="GL537" i="23916"/>
  <c r="GL541" i="23916" s="1"/>
  <c r="GL535" i="23916"/>
  <c r="AW606" i="23916"/>
  <c r="AX605" i="23916"/>
  <c r="FI690" i="23916"/>
  <c r="FH664" i="23916"/>
  <c r="FI664" i="23916" s="1"/>
  <c r="FT745" i="23916"/>
  <c r="FU745" i="23916" s="1"/>
  <c r="FT568" i="23916"/>
  <c r="FU557" i="23916"/>
  <c r="FW557" i="23916"/>
  <c r="FT571" i="23916"/>
  <c r="GF799" i="23916"/>
  <c r="GG582" i="23916"/>
  <c r="FY604" i="23916"/>
  <c r="GI639" i="23916"/>
  <c r="GK639" i="23916"/>
  <c r="FP604" i="23916"/>
  <c r="FQ604" i="23916" s="1"/>
  <c r="CW791" i="23916"/>
  <c r="CW787" i="23916"/>
  <c r="CW545" i="23916"/>
  <c r="CX606" i="23916"/>
  <c r="N745" i="23916"/>
  <c r="GE627" i="23916"/>
  <c r="GC644" i="23916"/>
  <c r="BH744" i="23916"/>
  <c r="BP682" i="23916"/>
  <c r="GO754" i="23916"/>
  <c r="FP753" i="23916"/>
  <c r="AX742" i="23916"/>
  <c r="EP753" i="23916"/>
  <c r="DZ112" i="23916"/>
  <c r="EP114" i="23916"/>
  <c r="EO860" i="23916"/>
  <c r="EO796" i="23916"/>
  <c r="EP118" i="23916"/>
  <c r="AX497" i="23916"/>
  <c r="EB266" i="23916"/>
  <c r="FQ268" i="23916"/>
  <c r="FQ272" i="23916"/>
  <c r="AL744" i="23916"/>
  <c r="BQ813" i="23916"/>
  <c r="BQ614" i="23916"/>
  <c r="BQ196" i="23916"/>
  <c r="BR190" i="23916"/>
  <c r="BQ192" i="23916"/>
  <c r="EF333" i="23916"/>
  <c r="CL500" i="23916"/>
  <c r="DP497" i="23916"/>
  <c r="EE541" i="23916"/>
  <c r="EN541" i="23916" s="1"/>
  <c r="EF537" i="23916"/>
  <c r="GG639" i="23916"/>
  <c r="V744" i="23916"/>
  <c r="GP259" i="23916"/>
  <c r="FM742" i="23916"/>
  <c r="I268" i="23916"/>
  <c r="I272" i="23916"/>
  <c r="I269" i="23916"/>
  <c r="I274" i="23916"/>
  <c r="BK842" i="23916"/>
  <c r="BK829" i="23916"/>
  <c r="BL628" i="23916"/>
  <c r="BK692" i="23916"/>
  <c r="BO187" i="23916"/>
  <c r="BP180" i="23916"/>
  <c r="Y800" i="23916"/>
  <c r="FD808" i="23916"/>
  <c r="FD800" i="23916"/>
  <c r="FE193" i="23916"/>
  <c r="DW338" i="23916"/>
  <c r="DX338" i="23916" s="1"/>
  <c r="DX331" i="23916"/>
  <c r="DW334" i="23916"/>
  <c r="DW340" i="23916"/>
  <c r="DX340" i="23916" s="1"/>
  <c r="DW333" i="23916"/>
  <c r="DX333" i="23916" s="1"/>
  <c r="BO373" i="23916"/>
  <c r="BO375" i="23916"/>
  <c r="BO369" i="23916"/>
  <c r="BP367" i="23916"/>
  <c r="BO370" i="23916"/>
  <c r="BX367" i="23916"/>
  <c r="CO147" i="23916"/>
  <c r="CO151" i="23916"/>
  <c r="CO152" i="23916" s="1"/>
  <c r="CP143" i="23916"/>
  <c r="CO150" i="23916"/>
  <c r="CO148" i="23916"/>
  <c r="CB180" i="23916"/>
  <c r="CA187" i="23916"/>
  <c r="DH180" i="23916"/>
  <c r="DG187" i="23916"/>
  <c r="DY236" i="23916"/>
  <c r="DY238" i="23916"/>
  <c r="DC300" i="23916"/>
  <c r="DD300" i="23916" s="1"/>
  <c r="DC307" i="23916"/>
  <c r="DD307" i="23916" s="1"/>
  <c r="DC305" i="23916"/>
  <c r="DD298" i="23916"/>
  <c r="DC301" i="23916"/>
  <c r="EI300" i="23916"/>
  <c r="EI307" i="23916"/>
  <c r="EI305" i="23916"/>
  <c r="EJ298" i="23916"/>
  <c r="EI301" i="23916"/>
  <c r="EW229" i="23916"/>
  <c r="GP229" i="23916" s="1"/>
  <c r="EW227" i="23916"/>
  <c r="GP227" i="23916" s="1"/>
  <c r="GP225" i="23916"/>
  <c r="EC866" i="23916"/>
  <c r="EC867" i="23916" s="1"/>
  <c r="EC604" i="23916"/>
  <c r="ED594" i="23916"/>
  <c r="EK272" i="23916"/>
  <c r="EL266" i="23916"/>
  <c r="EK268" i="23916"/>
  <c r="EK274" i="23916"/>
  <c r="EL274" i="23916" s="1"/>
  <c r="EK269" i="23916"/>
  <c r="DQ619" i="23916"/>
  <c r="DQ621" i="23916" s="1"/>
  <c r="DQ341" i="23916"/>
  <c r="DR341" i="23916" s="1"/>
  <c r="DQ337" i="23916"/>
  <c r="DR337" i="23916" s="1"/>
  <c r="DR334" i="23916"/>
  <c r="DD372" i="23916"/>
  <c r="EC236" i="23916"/>
  <c r="EC238" i="23916"/>
  <c r="EU257" i="23916"/>
  <c r="FT615" i="23916"/>
  <c r="FU269" i="23916"/>
  <c r="FT271" i="23916"/>
  <c r="DS866" i="23916"/>
  <c r="DS867" i="23916" s="1"/>
  <c r="DT594" i="23916"/>
  <c r="DS604" i="23916"/>
  <c r="GN858" i="23916"/>
  <c r="GO858" i="23916" s="1"/>
  <c r="GN594" i="23916"/>
  <c r="GO590" i="23916"/>
  <c r="ET353" i="23916"/>
  <c r="ES359" i="23916"/>
  <c r="GF375" i="23916"/>
  <c r="GG375" i="23916" s="1"/>
  <c r="GF370" i="23916"/>
  <c r="GG367" i="23916"/>
  <c r="GF373" i="23916"/>
  <c r="GG373" i="23916" s="1"/>
  <c r="GF369" i="23916"/>
  <c r="GG369" i="23916" s="1"/>
  <c r="ER360" i="23916"/>
  <c r="EQ367" i="23916"/>
  <c r="FV397" i="23916"/>
  <c r="FW392" i="23916"/>
  <c r="DH620" i="23916"/>
  <c r="FT802" i="23916"/>
  <c r="FU364" i="23916"/>
  <c r="GT280" i="23916"/>
  <c r="GS280" i="23916"/>
  <c r="EW245" i="23916"/>
  <c r="EW231" i="23916" s="1"/>
  <c r="GP231" i="23916" s="1"/>
  <c r="EW235" i="23916"/>
  <c r="V375" i="23916"/>
  <c r="AC812" i="23916"/>
  <c r="AC372" i="23916"/>
  <c r="AD370" i="23916"/>
  <c r="AC376" i="23916"/>
  <c r="AD376" i="23916" s="1"/>
  <c r="AD369" i="23916"/>
  <c r="AK802" i="23916"/>
  <c r="AL373" i="23916"/>
  <c r="AS802" i="23916"/>
  <c r="AT373" i="23916"/>
  <c r="CW812" i="23916"/>
  <c r="CW620" i="23916"/>
  <c r="CW372" i="23916"/>
  <c r="CX370" i="23916"/>
  <c r="CW376" i="23916"/>
  <c r="DF373" i="23916"/>
  <c r="EG802" i="23916"/>
  <c r="EH373" i="23916"/>
  <c r="BO387" i="23916"/>
  <c r="BP381" i="23916"/>
  <c r="FV381" i="23916"/>
  <c r="BO388" i="23916"/>
  <c r="EV421" i="23916"/>
  <c r="EW421" i="23916"/>
  <c r="EU393" i="23916"/>
  <c r="GP421" i="23916"/>
  <c r="AP509" i="23916"/>
  <c r="BN480" i="23916"/>
  <c r="BM482" i="23916"/>
  <c r="BN482" i="23916" s="1"/>
  <c r="FU492" i="23916"/>
  <c r="FT500" i="23916"/>
  <c r="ET494" i="23916"/>
  <c r="EL494" i="23916"/>
  <c r="GN602" i="23916"/>
  <c r="GO602" i="23916" s="1"/>
  <c r="GO597" i="23916"/>
  <c r="EW454" i="23916"/>
  <c r="EV454" i="23916"/>
  <c r="C505" i="23916"/>
  <c r="C509" i="23916"/>
  <c r="CY505" i="23916"/>
  <c r="CZ503" i="23916"/>
  <c r="CY509" i="23916"/>
  <c r="FV577" i="23916"/>
  <c r="FV576" i="23916"/>
  <c r="FY576" i="23916" s="1"/>
  <c r="FV582" i="23916"/>
  <c r="FV584" i="23916"/>
  <c r="FW574" i="23916"/>
  <c r="GP527" i="23916"/>
  <c r="GR527" i="23916" s="1"/>
  <c r="BB604" i="23916"/>
  <c r="BA605" i="23916"/>
  <c r="GA624" i="23916"/>
  <c r="GC624" i="23916"/>
  <c r="GQ582" i="23916"/>
  <c r="GO582" i="23916"/>
  <c r="GZ582" i="23916"/>
  <c r="BL605" i="23916"/>
  <c r="BK606" i="23916"/>
  <c r="GV635" i="23916"/>
  <c r="GU635" i="23916"/>
  <c r="GN735" i="23916"/>
  <c r="GO735" i="23916" s="1"/>
  <c r="EJ735" i="23916"/>
  <c r="FK721" i="23916"/>
  <c r="FJ722" i="23916"/>
  <c r="FK722" i="23916" s="1"/>
  <c r="GG707" i="23916"/>
  <c r="O821" i="23916"/>
  <c r="O817" i="23916"/>
  <c r="P192" i="23916"/>
  <c r="DR184" i="23916"/>
  <c r="CG170" i="23916"/>
  <c r="CP170" i="23916" s="1"/>
  <c r="CG169" i="23916"/>
  <c r="CG167" i="23916"/>
  <c r="CH135" i="23916"/>
  <c r="CH138" i="23916"/>
  <c r="CP138" i="23916"/>
  <c r="ET102" i="23916"/>
  <c r="EU102" i="23916"/>
  <c r="DK613" i="23916"/>
  <c r="DK121" i="23916"/>
  <c r="DK117" i="23916"/>
  <c r="GB613" i="23916"/>
  <c r="GC115" i="23916"/>
  <c r="GB117" i="23916"/>
  <c r="GC117" i="23916" s="1"/>
  <c r="GB121" i="23916"/>
  <c r="GC121" i="23916" s="1"/>
  <c r="CP180" i="23916"/>
  <c r="CO187" i="23916"/>
  <c r="ED180" i="23916"/>
  <c r="EC187" i="23916"/>
  <c r="K133" i="23916"/>
  <c r="L127" i="23916"/>
  <c r="K138" i="23916"/>
  <c r="K137" i="23916"/>
  <c r="FW189" i="23916"/>
  <c r="BB180" i="23916"/>
  <c r="BA187" i="23916"/>
  <c r="BJ187" i="23916" s="1"/>
  <c r="EN268" i="23916"/>
  <c r="EV268" i="23916"/>
  <c r="EM615" i="23916"/>
  <c r="EN269" i="23916"/>
  <c r="EM275" i="23916"/>
  <c r="EN275" i="23916" s="1"/>
  <c r="EM271" i="23916"/>
  <c r="EM9" i="23916"/>
  <c r="DH114" i="23916"/>
  <c r="EM613" i="23916"/>
  <c r="EM121" i="23916"/>
  <c r="EN115" i="23916"/>
  <c r="EM7" i="23916"/>
  <c r="EM117" i="23916"/>
  <c r="EN120" i="23916"/>
  <c r="GT159" i="23916"/>
  <c r="GS159" i="23916"/>
  <c r="EE246" i="23916"/>
  <c r="EE235" i="23916"/>
  <c r="CC838" i="23916"/>
  <c r="CC839" i="23916" s="1"/>
  <c r="CD155" i="23916"/>
  <c r="M193" i="23916"/>
  <c r="N193" i="23916" s="1"/>
  <c r="M190" i="23916"/>
  <c r="M195" i="23916"/>
  <c r="N195" i="23916" s="1"/>
  <c r="M189" i="23916"/>
  <c r="N189" i="23916" s="1"/>
  <c r="N187" i="23916"/>
  <c r="AX180" i="23916"/>
  <c r="AW187" i="23916"/>
  <c r="DU147" i="23916"/>
  <c r="DU151" i="23916"/>
  <c r="DU150" i="23916"/>
  <c r="DU148" i="23916"/>
  <c r="CE187" i="23916"/>
  <c r="CF180" i="23916"/>
  <c r="DK187" i="23916"/>
  <c r="DL180" i="23916"/>
  <c r="GH180" i="23916"/>
  <c r="GI176" i="23916"/>
  <c r="GK176" i="23916"/>
  <c r="EU850" i="23916"/>
  <c r="EV251" i="23916"/>
  <c r="GP207" i="23916"/>
  <c r="GD301" i="23916"/>
  <c r="GD305" i="23916"/>
  <c r="GE305" i="23916" s="1"/>
  <c r="GE298" i="23916"/>
  <c r="GD307" i="23916"/>
  <c r="GE307" i="23916" s="1"/>
  <c r="GD300" i="23916"/>
  <c r="GE300" i="23916" s="1"/>
  <c r="DB308" i="23916"/>
  <c r="EG246" i="23916"/>
  <c r="EG235" i="23916"/>
  <c r="FK266" i="23916"/>
  <c r="FJ269" i="23916"/>
  <c r="FJ272" i="23916"/>
  <c r="FJ268" i="23916"/>
  <c r="EW296" i="23916"/>
  <c r="EX295" i="23916"/>
  <c r="GJ375" i="23916"/>
  <c r="GJ370" i="23916"/>
  <c r="GK367" i="23916"/>
  <c r="GJ373" i="23916"/>
  <c r="GJ369" i="23916"/>
  <c r="EM620" i="23916"/>
  <c r="EM372" i="23916"/>
  <c r="EN370" i="23916"/>
  <c r="EM376" i="23916"/>
  <c r="EN376" i="23916" s="1"/>
  <c r="EM13" i="23916"/>
  <c r="EN13" i="23916" s="1"/>
  <c r="EV320" i="23916"/>
  <c r="GP320" i="23916"/>
  <c r="EU855" i="23916"/>
  <c r="EW349" i="23916"/>
  <c r="EW356" i="23916" s="1"/>
  <c r="EX356" i="23916" s="1"/>
  <c r="EV349" i="23916"/>
  <c r="CJ367" i="23916"/>
  <c r="CI802" i="23916"/>
  <c r="CJ373" i="23916"/>
  <c r="DO620" i="23916"/>
  <c r="DO372" i="23916"/>
  <c r="DP370" i="23916"/>
  <c r="DO376" i="23916"/>
  <c r="DP376" i="23916" s="1"/>
  <c r="GB618" i="23916"/>
  <c r="GB308" i="23916"/>
  <c r="GC301" i="23916"/>
  <c r="GB304" i="23916"/>
  <c r="GC305" i="23916"/>
  <c r="GO360" i="23916"/>
  <c r="EB375" i="23916"/>
  <c r="BI812" i="23916"/>
  <c r="BI620" i="23916"/>
  <c r="BJ370" i="23916"/>
  <c r="BI372" i="23916"/>
  <c r="BI376" i="23916"/>
  <c r="BJ376" i="23916" s="1"/>
  <c r="BZ375" i="23916"/>
  <c r="BZ369" i="23916"/>
  <c r="CG802" i="23916"/>
  <c r="CH373" i="23916"/>
  <c r="CP373" i="23916"/>
  <c r="CM482" i="23916"/>
  <c r="ER386" i="23916"/>
  <c r="BV509" i="23916"/>
  <c r="AZ497" i="23916"/>
  <c r="FL508" i="23916"/>
  <c r="FM500" i="23916"/>
  <c r="FL506" i="23916"/>
  <c r="FL503" i="23916"/>
  <c r="FL502" i="23916"/>
  <c r="GM400" i="23916"/>
  <c r="CO466" i="23916"/>
  <c r="CQ438" i="23916"/>
  <c r="DZ505" i="23916"/>
  <c r="ES534" i="23916"/>
  <c r="ES537" i="23916"/>
  <c r="AQ509" i="23916"/>
  <c r="AR509" i="23916" s="1"/>
  <c r="AR503" i="23916"/>
  <c r="AQ505" i="23916"/>
  <c r="AR505" i="23916" s="1"/>
  <c r="AR506" i="23916"/>
  <c r="BX502" i="23916"/>
  <c r="EJ508" i="23916"/>
  <c r="AT508" i="23916"/>
  <c r="BZ508" i="23916"/>
  <c r="DE509" i="23916"/>
  <c r="DF509" i="23916" s="1"/>
  <c r="DE505" i="23916"/>
  <c r="DF505" i="23916" s="1"/>
  <c r="DF503" i="23916"/>
  <c r="DF506" i="23916"/>
  <c r="FQ602" i="23916"/>
  <c r="FS602" i="23916"/>
  <c r="K509" i="23916"/>
  <c r="L503" i="23916"/>
  <c r="K505" i="23916"/>
  <c r="L505" i="23916" s="1"/>
  <c r="L506" i="23916"/>
  <c r="AV508" i="23916"/>
  <c r="CB502" i="23916"/>
  <c r="EM622" i="23916"/>
  <c r="EM505" i="23916"/>
  <c r="EN503" i="23916"/>
  <c r="EM509" i="23916"/>
  <c r="EM14" i="23916"/>
  <c r="EN506" i="23916"/>
  <c r="AC545" i="23916"/>
  <c r="AD606" i="23916"/>
  <c r="EU600" i="23916"/>
  <c r="EV600" i="23916" s="1"/>
  <c r="EW529" i="23916"/>
  <c r="BF604" i="23916"/>
  <c r="BE605" i="23916"/>
  <c r="CS791" i="23916"/>
  <c r="CS787" i="23916"/>
  <c r="CS545" i="23916"/>
  <c r="CT606" i="23916"/>
  <c r="FL568" i="23916"/>
  <c r="FM568" i="23916" s="1"/>
  <c r="FM557" i="23916"/>
  <c r="FL571" i="23916"/>
  <c r="FX805" i="23916"/>
  <c r="FX799" i="23916"/>
  <c r="FY582" i="23916"/>
  <c r="EX607" i="23916"/>
  <c r="FR604" i="23916"/>
  <c r="FS604" i="23916" s="1"/>
  <c r="BP605" i="23916"/>
  <c r="BO606" i="23916"/>
  <c r="CG791" i="23916"/>
  <c r="CG787" i="23916"/>
  <c r="CG545" i="23916"/>
  <c r="BJ678" i="23916"/>
  <c r="AI745" i="23916"/>
  <c r="AJ745" i="23916" s="1"/>
  <c r="AI744" i="23916"/>
  <c r="AJ744" i="23916" s="1"/>
  <c r="AI690" i="23916"/>
  <c r="AJ640" i="23916"/>
  <c r="AI682" i="23916"/>
  <c r="AR744" i="23916"/>
  <c r="GH788" i="23916"/>
  <c r="GJ684" i="23916"/>
  <c r="GI684" i="23916"/>
  <c r="GH665" i="23916"/>
  <c r="GR699" i="23916"/>
  <c r="GQ699" i="23916"/>
  <c r="EU717" i="23916"/>
  <c r="EV717" i="23916" s="1"/>
  <c r="EV714" i="23916"/>
  <c r="EW714" i="23916"/>
  <c r="FO721" i="23916"/>
  <c r="FN722" i="23916"/>
  <c r="FO722" i="23916" s="1"/>
  <c r="FS707" i="23916"/>
  <c r="FR753" i="23916"/>
  <c r="FS753" i="23916" s="1"/>
  <c r="P707" i="23916"/>
  <c r="O753" i="23916"/>
  <c r="P753" i="23916" s="1"/>
  <c r="AV707" i="23916"/>
  <c r="AU753" i="23916"/>
  <c r="EN707" i="23916"/>
  <c r="EM753" i="23916"/>
  <c r="FU707" i="23916"/>
  <c r="GE103" i="23916"/>
  <c r="GD112" i="23916"/>
  <c r="GS47" i="23916"/>
  <c r="GT47" i="23916"/>
  <c r="GK68" i="23916"/>
  <c r="GM68" i="23916"/>
  <c r="DS860" i="23916"/>
  <c r="DS796" i="23916"/>
  <c r="DT118" i="23916"/>
  <c r="CR127" i="23916"/>
  <c r="CQ133" i="23916"/>
  <c r="CQ138" i="23916"/>
  <c r="CQ137" i="23916"/>
  <c r="CQ135" i="23916"/>
  <c r="EW170" i="23916"/>
  <c r="EI187" i="23916"/>
  <c r="EJ180" i="23916"/>
  <c r="CW801" i="23916"/>
  <c r="CW118" i="23916"/>
  <c r="CW114" i="23916"/>
  <c r="CX114" i="23916" s="1"/>
  <c r="CX112" i="23916"/>
  <c r="CX801" i="23916" s="1"/>
  <c r="CW115" i="23916"/>
  <c r="CW120" i="23916"/>
  <c r="CX120" i="23916" s="1"/>
  <c r="ES82" i="23916"/>
  <c r="ET82" i="23916" s="1"/>
  <c r="DO860" i="23916"/>
  <c r="DO796" i="23916"/>
  <c r="DP118" i="23916"/>
  <c r="C137" i="23916"/>
  <c r="C133" i="23916"/>
  <c r="C138" i="23916"/>
  <c r="CD180" i="23916"/>
  <c r="CC187" i="23916"/>
  <c r="DJ180" i="23916"/>
  <c r="DI187" i="23916"/>
  <c r="AB180" i="23916"/>
  <c r="AA187" i="23916"/>
  <c r="EN180" i="23916"/>
  <c r="EM187" i="23916"/>
  <c r="AG813" i="23916"/>
  <c r="AH190" i="23916"/>
  <c r="AG196" i="23916"/>
  <c r="AH196" i="23916" s="1"/>
  <c r="AG192" i="23916"/>
  <c r="BM813" i="23916"/>
  <c r="BM614" i="23916"/>
  <c r="BM196" i="23916"/>
  <c r="BM192" i="23916"/>
  <c r="BM800" i="23916"/>
  <c r="BJ180" i="23916"/>
  <c r="CQ802" i="23916"/>
  <c r="CR305" i="23916"/>
  <c r="DX298" i="23916"/>
  <c r="DW300" i="23916"/>
  <c r="DW307" i="23916"/>
  <c r="DW305" i="23916"/>
  <c r="DW301" i="23916"/>
  <c r="DL372" i="23916"/>
  <c r="BF182" i="23916"/>
  <c r="EH182" i="23916"/>
  <c r="BT180" i="23916"/>
  <c r="BS187" i="23916"/>
  <c r="CZ180" i="23916"/>
  <c r="CY187" i="23916"/>
  <c r="EF180" i="23916"/>
  <c r="EE187" i="23916"/>
  <c r="GQ252" i="23916"/>
  <c r="GR252" i="23916"/>
  <c r="CT300" i="23916"/>
  <c r="DJ308" i="23916"/>
  <c r="EP304" i="23916"/>
  <c r="FJ376" i="23916"/>
  <c r="FJ372" i="23916"/>
  <c r="FK370" i="23916"/>
  <c r="FK373" i="23916"/>
  <c r="DV305" i="23916"/>
  <c r="DV298" i="23916"/>
  <c r="EK618" i="23916"/>
  <c r="EK308" i="23916"/>
  <c r="EK304" i="23916"/>
  <c r="EL301" i="23916"/>
  <c r="EK11" i="23916"/>
  <c r="DY619" i="23916"/>
  <c r="DY341" i="23916"/>
  <c r="DZ341" i="23916" s="1"/>
  <c r="DZ334" i="23916"/>
  <c r="DY337" i="23916"/>
  <c r="DZ337" i="23916" s="1"/>
  <c r="DY12" i="23916"/>
  <c r="DZ12" i="23916" s="1"/>
  <c r="DZ340" i="23916"/>
  <c r="K816" i="23916"/>
  <c r="L372" i="23916"/>
  <c r="BW621" i="23916"/>
  <c r="BW151" i="23916"/>
  <c r="BW152" i="23916" s="1"/>
  <c r="BW147" i="23916"/>
  <c r="BW150" i="23916"/>
  <c r="BW148" i="23916"/>
  <c r="FH182" i="23916"/>
  <c r="FI182" i="23916" s="1"/>
  <c r="GA266" i="23916"/>
  <c r="FZ269" i="23916"/>
  <c r="FZ272" i="23916"/>
  <c r="GA272" i="23916" s="1"/>
  <c r="FZ268" i="23916"/>
  <c r="GA268" i="23916" s="1"/>
  <c r="ET317" i="23916"/>
  <c r="ES323" i="23916"/>
  <c r="GN367" i="23916"/>
  <c r="FP802" i="23916"/>
  <c r="FQ364" i="23916"/>
  <c r="GJ401" i="23916"/>
  <c r="GJ388" i="23916"/>
  <c r="CM619" i="23916"/>
  <c r="CM337" i="23916"/>
  <c r="CN337" i="23916" s="1"/>
  <c r="CN334" i="23916"/>
  <c r="CM341" i="23916"/>
  <c r="CN341" i="23916" s="1"/>
  <c r="EB333" i="23916"/>
  <c r="CQ816" i="23916"/>
  <c r="CR372" i="23916"/>
  <c r="GL367" i="23916"/>
  <c r="E812" i="23916"/>
  <c r="E372" i="23916"/>
  <c r="E816" i="23916" s="1"/>
  <c r="E376" i="23916"/>
  <c r="FN367" i="23916"/>
  <c r="GC369" i="23916"/>
  <c r="GC375" i="23916"/>
  <c r="AG812" i="23916"/>
  <c r="AG372" i="23916"/>
  <c r="AH370" i="23916"/>
  <c r="AG376" i="23916"/>
  <c r="AH376" i="23916" s="1"/>
  <c r="AO802" i="23916"/>
  <c r="AP373" i="23916"/>
  <c r="FW360" i="23916"/>
  <c r="FV367" i="23916"/>
  <c r="EU356" i="23916"/>
  <c r="EV356" i="23916" s="1"/>
  <c r="EX406" i="23916"/>
  <c r="EW382" i="23916"/>
  <c r="EX382" i="23916" s="1"/>
  <c r="DS482" i="23916"/>
  <c r="EH509" i="23916"/>
  <c r="CO481" i="23916"/>
  <c r="CO480" i="23916"/>
  <c r="CO478" i="23916"/>
  <c r="FQ476" i="23916"/>
  <c r="T494" i="23916"/>
  <c r="AJ497" i="23916"/>
  <c r="BP494" i="23916"/>
  <c r="T502" i="23916"/>
  <c r="CF502" i="23916"/>
  <c r="DK505" i="23916"/>
  <c r="DL505" i="23916" s="1"/>
  <c r="DK509" i="23916"/>
  <c r="DL509" i="23916" s="1"/>
  <c r="DL503" i="23916"/>
  <c r="DL506" i="23916"/>
  <c r="GM582" i="23916"/>
  <c r="FL604" i="23916"/>
  <c r="FM604" i="23916" s="1"/>
  <c r="AB604" i="23916"/>
  <c r="AA605" i="23916"/>
  <c r="ED497" i="23916"/>
  <c r="FG476" i="23916"/>
  <c r="FF497" i="23916"/>
  <c r="FF494" i="23916"/>
  <c r="FW476" i="23916"/>
  <c r="FV494" i="23916"/>
  <c r="FV497" i="23916"/>
  <c r="FW497" i="23916" s="1"/>
  <c r="GL508" i="23916"/>
  <c r="GL503" i="23916"/>
  <c r="GL506" i="23916"/>
  <c r="GM500" i="23916"/>
  <c r="GL502" i="23916"/>
  <c r="V503" i="23916"/>
  <c r="U509" i="23916"/>
  <c r="V509" i="23916" s="1"/>
  <c r="U505" i="23916"/>
  <c r="V505" i="23916" s="1"/>
  <c r="BA509" i="23916"/>
  <c r="BB509" i="23916" s="1"/>
  <c r="BA505" i="23916"/>
  <c r="BB505" i="23916" s="1"/>
  <c r="BB503" i="23916"/>
  <c r="BB506" i="23916"/>
  <c r="DM509" i="23916"/>
  <c r="DN509" i="23916" s="1"/>
  <c r="DM505" i="23916"/>
  <c r="DN505" i="23916" s="1"/>
  <c r="DN503" i="23916"/>
  <c r="FF577" i="23916"/>
  <c r="FF582" i="23916"/>
  <c r="FF584" i="23916"/>
  <c r="FG584" i="23916" s="1"/>
  <c r="FG574" i="23916"/>
  <c r="FF576" i="23916"/>
  <c r="FG576" i="23916" s="1"/>
  <c r="Z497" i="23916"/>
  <c r="BF494" i="23916"/>
  <c r="X502" i="23916"/>
  <c r="CI505" i="23916"/>
  <c r="CJ505" i="23916" s="1"/>
  <c r="CJ503" i="23916"/>
  <c r="CI509" i="23916"/>
  <c r="CJ509" i="23916" s="1"/>
  <c r="CJ506" i="23916"/>
  <c r="DP508" i="23916"/>
  <c r="DP494" i="23916"/>
  <c r="EW489" i="23916"/>
  <c r="EV489" i="23916"/>
  <c r="BI606" i="23916"/>
  <c r="BJ605" i="23916"/>
  <c r="DB608" i="23916"/>
  <c r="AB745" i="23916"/>
  <c r="FP582" i="23916"/>
  <c r="FP584" i="23916"/>
  <c r="FQ584" i="23916" s="1"/>
  <c r="FQ574" i="23916"/>
  <c r="FP577" i="23916"/>
  <c r="FP576" i="23916"/>
  <c r="FQ576" i="23916" s="1"/>
  <c r="GB581" i="23916"/>
  <c r="GC577" i="23916"/>
  <c r="GB585" i="23916"/>
  <c r="AD664" i="23916"/>
  <c r="AT664" i="23916"/>
  <c r="DO787" i="23916"/>
  <c r="DO791" i="23916"/>
  <c r="DP606" i="23916"/>
  <c r="DO545" i="23916"/>
  <c r="BF744" i="23916"/>
  <c r="GG671" i="23916"/>
  <c r="FU669" i="23916"/>
  <c r="FW669" i="23916"/>
  <c r="EX668" i="23916"/>
  <c r="DG788" i="23916"/>
  <c r="DH684" i="23916"/>
  <c r="DI684" i="23916"/>
  <c r="DG665" i="23916"/>
  <c r="FM721" i="23916"/>
  <c r="FG707" i="23916"/>
  <c r="FF753" i="23916"/>
  <c r="FG753" i="23916" s="1"/>
  <c r="GM707" i="23916"/>
  <c r="T707" i="23916"/>
  <c r="S753" i="23916"/>
  <c r="AZ707" i="23916"/>
  <c r="AY753" i="23916"/>
  <c r="CF707" i="23916"/>
  <c r="DL707" i="23916"/>
  <c r="FQ735" i="23916"/>
  <c r="FP742" i="23916"/>
  <c r="FQ742" i="23916" s="1"/>
  <c r="FO734" i="23916"/>
  <c r="DZ754" i="23916"/>
  <c r="BO766" i="23916"/>
  <c r="BP766" i="23916" s="1"/>
  <c r="BO734" i="23916"/>
  <c r="BP731" i="23916"/>
  <c r="BL734" i="23916"/>
  <c r="BK745" i="23916"/>
  <c r="BL745" i="23916" s="1"/>
  <c r="EU732" i="23916"/>
  <c r="ET732" i="23916"/>
  <c r="ES705" i="23916"/>
  <c r="ET705" i="23916" s="1"/>
  <c r="CA127" i="23916"/>
  <c r="DS73" i="23916"/>
  <c r="DS72" i="23916"/>
  <c r="DS71" i="23916"/>
  <c r="EB114" i="23916"/>
  <c r="CX180" i="23916"/>
  <c r="CW187" i="23916"/>
  <c r="EX189" i="23916"/>
  <c r="DE118" i="23916"/>
  <c r="DE114" i="23916"/>
  <c r="DF114" i="23916" s="1"/>
  <c r="DF112" i="23916"/>
  <c r="DE115" i="23916"/>
  <c r="DE120" i="23916"/>
  <c r="DF120" i="23916" s="1"/>
  <c r="CP135" i="23916"/>
  <c r="FK182" i="23916"/>
  <c r="GH120" i="23916"/>
  <c r="GH118" i="23916"/>
  <c r="GH115" i="23916"/>
  <c r="GH114" i="23916"/>
  <c r="GN237" i="23916"/>
  <c r="GO231" i="23916"/>
  <c r="ER290" i="23916"/>
  <c r="EQ291" i="23916"/>
  <c r="GM827" i="23916"/>
  <c r="U193" i="23916"/>
  <c r="U195" i="23916"/>
  <c r="V195" i="23916" s="1"/>
  <c r="V187" i="23916"/>
  <c r="U190" i="23916"/>
  <c r="U189" i="23916"/>
  <c r="V189" i="23916" s="1"/>
  <c r="BF180" i="23916"/>
  <c r="BE187" i="23916"/>
  <c r="GH298" i="23916"/>
  <c r="AY373" i="23916"/>
  <c r="BH373" i="23916" s="1"/>
  <c r="AY375" i="23916"/>
  <c r="AZ375" i="23916" s="1"/>
  <c r="AZ367" i="23916"/>
  <c r="AY370" i="23916"/>
  <c r="AY369" i="23916"/>
  <c r="AZ369" i="23916" s="1"/>
  <c r="AD184" i="23916"/>
  <c r="BJ182" i="23916"/>
  <c r="DV182" i="23916"/>
  <c r="EW202" i="23916"/>
  <c r="EW204" i="23916" s="1"/>
  <c r="EW206" i="23916" s="1"/>
  <c r="GP206" i="23916" s="1"/>
  <c r="EU284" i="23916"/>
  <c r="DO300" i="23916"/>
  <c r="DP300" i="23916" s="1"/>
  <c r="DO307" i="23916"/>
  <c r="DP307" i="23916" s="1"/>
  <c r="DO305" i="23916"/>
  <c r="DP298" i="23916"/>
  <c r="DO301" i="23916"/>
  <c r="EX315" i="23916"/>
  <c r="GP315" i="23916"/>
  <c r="CX341" i="23916"/>
  <c r="ED337" i="23916"/>
  <c r="GQ351" i="23916"/>
  <c r="GR351" i="23916"/>
  <c r="GA360" i="23916"/>
  <c r="GL245" i="23916"/>
  <c r="GM237" i="23916"/>
  <c r="EA300" i="23916"/>
  <c r="EB300" i="23916" s="1"/>
  <c r="EA307" i="23916"/>
  <c r="EB307" i="23916" s="1"/>
  <c r="EA305" i="23916"/>
  <c r="EB305" i="23916" s="1"/>
  <c r="EB298" i="23916"/>
  <c r="EA301" i="23916"/>
  <c r="EA812" i="23916" s="1"/>
  <c r="P370" i="23916"/>
  <c r="CZ620" i="23916"/>
  <c r="EP375" i="23916"/>
  <c r="BG812" i="23916"/>
  <c r="BG620" i="23916"/>
  <c r="BG372" i="23916"/>
  <c r="BG376" i="23916"/>
  <c r="BH370" i="23916"/>
  <c r="BG802" i="23916"/>
  <c r="GF331" i="23916"/>
  <c r="EW329" i="23916"/>
  <c r="EX328" i="23916"/>
  <c r="EF373" i="23916"/>
  <c r="FU360" i="23916"/>
  <c r="BB375" i="23916"/>
  <c r="BB369" i="23916"/>
  <c r="BN367" i="23916"/>
  <c r="BU812" i="23916"/>
  <c r="BU620" i="23916"/>
  <c r="BV370" i="23916"/>
  <c r="BU372" i="23916"/>
  <c r="BU376" i="23916"/>
  <c r="BV376" i="23916" s="1"/>
  <c r="CC802" i="23916"/>
  <c r="CD373" i="23916"/>
  <c r="CK812" i="23916"/>
  <c r="CK620" i="23916"/>
  <c r="CT620" i="23916" s="1"/>
  <c r="CK372" i="23916"/>
  <c r="CL370" i="23916"/>
  <c r="CK376" i="23916"/>
  <c r="DN375" i="23916"/>
  <c r="GV627" i="23916"/>
  <c r="GW627" i="23916" s="1"/>
  <c r="GW371" i="23916"/>
  <c r="GX371" i="23916"/>
  <c r="GB479" i="23916"/>
  <c r="GB478" i="23916"/>
  <c r="V494" i="23916"/>
  <c r="BD494" i="23916"/>
  <c r="AB508" i="23916"/>
  <c r="BH503" i="23916"/>
  <c r="BG509" i="23916"/>
  <c r="BH509" i="23916" s="1"/>
  <c r="BG505" i="23916"/>
  <c r="BH505" i="23916" s="1"/>
  <c r="CM505" i="23916"/>
  <c r="CN505" i="23916" s="1"/>
  <c r="CM509" i="23916"/>
  <c r="CN509" i="23916" s="1"/>
  <c r="CN503" i="23916"/>
  <c r="CN506" i="23916"/>
  <c r="GJ866" i="23916"/>
  <c r="GJ867" i="23916" s="1"/>
  <c r="GJ604" i="23916"/>
  <c r="GK594" i="23916"/>
  <c r="DB494" i="23916"/>
  <c r="FJ508" i="23916"/>
  <c r="FK508" i="23916" s="1"/>
  <c r="FJ506" i="23916"/>
  <c r="FK506" i="23916" s="1"/>
  <c r="FJ503" i="23916"/>
  <c r="FJ502" i="23916"/>
  <c r="FK502" i="23916" s="1"/>
  <c r="FK500" i="23916"/>
  <c r="AD503" i="23916"/>
  <c r="AC509" i="23916"/>
  <c r="AD509" i="23916" s="1"/>
  <c r="AC505" i="23916"/>
  <c r="AD505" i="23916" s="1"/>
  <c r="BI509" i="23916"/>
  <c r="BJ509" i="23916" s="1"/>
  <c r="BI505" i="23916"/>
  <c r="BJ505" i="23916" s="1"/>
  <c r="BJ503" i="23916"/>
  <c r="BJ506" i="23916"/>
  <c r="CP508" i="23916"/>
  <c r="DV508" i="23916"/>
  <c r="BN494" i="23916"/>
  <c r="BK509" i="23916"/>
  <c r="BL509" i="23916" s="1"/>
  <c r="BL503" i="23916"/>
  <c r="BK505" i="23916"/>
  <c r="BL505" i="23916" s="1"/>
  <c r="BL506" i="23916"/>
  <c r="CR508" i="23916"/>
  <c r="DV624" i="23916"/>
  <c r="V606" i="23916"/>
  <c r="U545" i="23916"/>
  <c r="DU464" i="23916"/>
  <c r="CN494" i="23916"/>
  <c r="DD497" i="23916"/>
  <c r="FZ497" i="23916"/>
  <c r="GB822" i="23916"/>
  <c r="GC544" i="23916"/>
  <c r="DJ608" i="23916"/>
  <c r="GF625" i="23916"/>
  <c r="GG577" i="23916"/>
  <c r="GF585" i="23916"/>
  <c r="CM791" i="23916"/>
  <c r="CM787" i="23916"/>
  <c r="CM545" i="23916"/>
  <c r="CN606" i="23916"/>
  <c r="R744" i="23916"/>
  <c r="GM576" i="23916"/>
  <c r="BH605" i="23916"/>
  <c r="FT605" i="23916"/>
  <c r="BG606" i="23916"/>
  <c r="GD608" i="23916"/>
  <c r="GE608" i="23916" s="1"/>
  <c r="GE604" i="23916"/>
  <c r="GD606" i="23916"/>
  <c r="CR608" i="23916"/>
  <c r="AF664" i="23916"/>
  <c r="BF664" i="23916"/>
  <c r="GI644" i="23916"/>
  <c r="BH678" i="23916"/>
  <c r="BH745" i="23916"/>
  <c r="ED669" i="23916"/>
  <c r="EC671" i="23916"/>
  <c r="EL669" i="23916"/>
  <c r="FG671" i="23916"/>
  <c r="FI671" i="23916"/>
  <c r="CX722" i="23916"/>
  <c r="FK707" i="23916"/>
  <c r="FJ753" i="23916"/>
  <c r="CN722" i="23916"/>
  <c r="AN707" i="23916"/>
  <c r="AM753" i="23916"/>
  <c r="AN753" i="23916" s="1"/>
  <c r="BT707" i="23916"/>
  <c r="CZ707" i="23916"/>
  <c r="EF707" i="23916"/>
  <c r="EE753" i="23916"/>
  <c r="EF753" i="23916" s="1"/>
  <c r="FQ724" i="23916"/>
  <c r="FM707" i="23916"/>
  <c r="FL753" i="23916"/>
  <c r="GH753" i="23916"/>
  <c r="FS756" i="23916"/>
  <c r="EP754" i="23916"/>
  <c r="DI860" i="23916"/>
  <c r="DI796" i="23916"/>
  <c r="DJ118" i="23916"/>
  <c r="DZ120" i="23916"/>
  <c r="EP112" i="23916"/>
  <c r="CX497" i="23916"/>
  <c r="EB268" i="23916"/>
  <c r="FQ266" i="23916"/>
  <c r="CF497" i="23916"/>
  <c r="DW819" i="23916"/>
  <c r="DW624" i="23916"/>
  <c r="DW623" i="23916"/>
  <c r="DX623" i="23916" s="1"/>
  <c r="DW544" i="23916"/>
  <c r="DX541" i="23916"/>
  <c r="DW15" i="23916"/>
  <c r="DX15" i="23916" s="1"/>
  <c r="BR187" i="23916"/>
  <c r="GN232" i="23916"/>
  <c r="EF340" i="23916"/>
  <c r="CK509" i="23916"/>
  <c r="CK505" i="23916"/>
  <c r="CL503" i="23916"/>
  <c r="GP201" i="23916"/>
  <c r="FS722" i="23916"/>
  <c r="X744" i="23916"/>
  <c r="DC120" i="23916"/>
  <c r="DD120" i="23916" s="1"/>
  <c r="DC118" i="23916"/>
  <c r="DL118" i="23916" s="1"/>
  <c r="DC114" i="23916"/>
  <c r="DD114" i="23916" s="1"/>
  <c r="DD112" i="23916"/>
  <c r="DD801" i="23916" s="1"/>
  <c r="DC115" i="23916"/>
  <c r="EE613" i="23916"/>
  <c r="EE121" i="23916"/>
  <c r="EF121" i="23916" s="1"/>
  <c r="EF115" i="23916"/>
  <c r="EE7" i="23916"/>
  <c r="EE117" i="23916"/>
  <c r="EF117" i="23916" s="1"/>
  <c r="DA801" i="23916"/>
  <c r="DA118" i="23916"/>
  <c r="DA114" i="23916"/>
  <c r="DB114" i="23916" s="1"/>
  <c r="DB112" i="23916"/>
  <c r="DB801" i="23916" s="1"/>
  <c r="DA115" i="23916"/>
  <c r="DA120" i="23916"/>
  <c r="DB120" i="23916" s="1"/>
  <c r="AF180" i="23916"/>
  <c r="AE187" i="23916"/>
  <c r="GM112" i="23916"/>
  <c r="GL120" i="23916"/>
  <c r="GM120" i="23916" s="1"/>
  <c r="GL118" i="23916"/>
  <c r="GL115" i="23916"/>
  <c r="GL114" i="23916"/>
  <c r="GM114" i="23916" s="1"/>
  <c r="GD180" i="23916"/>
  <c r="GE176" i="23916"/>
  <c r="GQ37" i="23916"/>
  <c r="GR37" i="23916"/>
  <c r="EE860" i="23916"/>
  <c r="EE796" i="23916"/>
  <c r="EF118" i="23916"/>
  <c r="EW281" i="23916"/>
  <c r="GP281" i="23916" s="1"/>
  <c r="EV281" i="23916"/>
  <c r="EU854" i="23916"/>
  <c r="GE266" i="23916"/>
  <c r="GD269" i="23916"/>
  <c r="GD272" i="23916"/>
  <c r="GE272" i="23916" s="1"/>
  <c r="GD268" i="23916"/>
  <c r="GE268" i="23916" s="1"/>
  <c r="CM618" i="23916"/>
  <c r="CN301" i="23916"/>
  <c r="CM308" i="23916"/>
  <c r="CN308" i="23916" s="1"/>
  <c r="CM304" i="23916"/>
  <c r="CN304" i="23916" s="1"/>
  <c r="FH272" i="23916"/>
  <c r="FI272" i="23916" s="1"/>
  <c r="FH269" i="23916"/>
  <c r="FI266" i="23916"/>
  <c r="FH268" i="23916"/>
  <c r="FI268" i="23916" s="1"/>
  <c r="DD620" i="23916"/>
  <c r="FU272" i="23916"/>
  <c r="GD802" i="23916"/>
  <c r="GD340" i="23916"/>
  <c r="GD338" i="23916"/>
  <c r="GD334" i="23916"/>
  <c r="GE331" i="23916"/>
  <c r="GD333" i="23916"/>
  <c r="EU358" i="23916"/>
  <c r="ES360" i="23916"/>
  <c r="ET360" i="23916" s="1"/>
  <c r="ET358" i="23916"/>
  <c r="ES601" i="23916"/>
  <c r="BO478" i="23916"/>
  <c r="BP478" i="23916" s="1"/>
  <c r="BO479" i="23916"/>
  <c r="BP479" i="23916" s="1"/>
  <c r="BP398" i="23916"/>
  <c r="DK338" i="23916"/>
  <c r="DL338" i="23916" s="1"/>
  <c r="DL331" i="23916"/>
  <c r="DK334" i="23916"/>
  <c r="DT334" i="23916" s="1"/>
  <c r="DK340" i="23916"/>
  <c r="DL340" i="23916" s="1"/>
  <c r="DK333" i="23916"/>
  <c r="DL333" i="23916" s="1"/>
  <c r="FL375" i="23916"/>
  <c r="FM375" i="23916" s="1"/>
  <c r="FM367" i="23916"/>
  <c r="FL370" i="23916"/>
  <c r="FL373" i="23916"/>
  <c r="FM373" i="23916" s="1"/>
  <c r="FL369" i="23916"/>
  <c r="FM369" i="23916" s="1"/>
  <c r="AU373" i="23916"/>
  <c r="AU375" i="23916"/>
  <c r="AV375" i="23916" s="1"/>
  <c r="AU370" i="23916"/>
  <c r="AU369" i="23916"/>
  <c r="AV369" i="23916" s="1"/>
  <c r="AV367" i="23916"/>
  <c r="BT599" i="23916"/>
  <c r="CB599" i="23916"/>
  <c r="CS392" i="23916"/>
  <c r="GJ331" i="23916"/>
  <c r="EG866" i="23916"/>
  <c r="EG867" i="23916" s="1"/>
  <c r="EG604" i="23916"/>
  <c r="EH594" i="23916"/>
  <c r="GR313" i="23916"/>
  <c r="GQ313" i="23916"/>
  <c r="AK812" i="23916"/>
  <c r="AK372" i="23916"/>
  <c r="AL370" i="23916"/>
  <c r="AK376" i="23916"/>
  <c r="AL376" i="23916" s="1"/>
  <c r="AT369" i="23916"/>
  <c r="DE812" i="23916"/>
  <c r="DE620" i="23916"/>
  <c r="DF370" i="23916"/>
  <c r="DE372" i="23916"/>
  <c r="DE376" i="23916"/>
  <c r="DF376" i="23916" s="1"/>
  <c r="EG812" i="23916"/>
  <c r="EG620" i="23916"/>
  <c r="EG372" i="23916"/>
  <c r="EG376" i="23916"/>
  <c r="EH376" i="23916" s="1"/>
  <c r="EH370" i="23916"/>
  <c r="EG13" i="23916"/>
  <c r="EH13" i="23916" s="1"/>
  <c r="DW430" i="23916"/>
  <c r="DW425" i="23916"/>
  <c r="DW431" i="23916"/>
  <c r="DW426" i="23916"/>
  <c r="GB508" i="23916"/>
  <c r="GC500" i="23916"/>
  <c r="GB506" i="23916"/>
  <c r="GB503" i="23916"/>
  <c r="GB502" i="23916"/>
  <c r="CO415" i="23916"/>
  <c r="BP503" i="23916"/>
  <c r="BO509" i="23916"/>
  <c r="BP509" i="23916" s="1"/>
  <c r="BO505" i="23916"/>
  <c r="BP505" i="23916" s="1"/>
  <c r="EA622" i="23916"/>
  <c r="EA505" i="23916"/>
  <c r="EB505" i="23916" s="1"/>
  <c r="EA509" i="23916"/>
  <c r="EB509" i="23916" s="1"/>
  <c r="EB503" i="23916"/>
  <c r="EA14" i="23916"/>
  <c r="EB506" i="23916"/>
  <c r="T604" i="23916"/>
  <c r="S605" i="23916"/>
  <c r="GE476" i="23916"/>
  <c r="GD494" i="23916"/>
  <c r="GD497" i="23916"/>
  <c r="GE497" i="23916" s="1"/>
  <c r="DN497" i="23916"/>
  <c r="BQ509" i="23916"/>
  <c r="BR509" i="23916" s="1"/>
  <c r="BQ505" i="23916"/>
  <c r="BR505" i="23916" s="1"/>
  <c r="BR503" i="23916"/>
  <c r="EC622" i="23916"/>
  <c r="EC509" i="23916"/>
  <c r="ED509" i="23916" s="1"/>
  <c r="EC505" i="23916"/>
  <c r="ED505" i="23916" s="1"/>
  <c r="ED503" i="23916"/>
  <c r="EC14" i="23916"/>
  <c r="ED506" i="23916"/>
  <c r="GR607" i="23916"/>
  <c r="GT536" i="23916"/>
  <c r="EE622" i="23916"/>
  <c r="EE505" i="23916"/>
  <c r="EF505" i="23916" s="1"/>
  <c r="EF503" i="23916"/>
  <c r="EE509" i="23916"/>
  <c r="EF509" i="23916" s="1"/>
  <c r="EE14" i="23916"/>
  <c r="EF506" i="23916"/>
  <c r="FS571" i="23916"/>
  <c r="FT658" i="23916"/>
  <c r="FU658" i="23916" s="1"/>
  <c r="FU624" i="23916"/>
  <c r="FW624" i="23916"/>
  <c r="BQ606" i="23916"/>
  <c r="BR605" i="23916"/>
  <c r="FM690" i="23916"/>
  <c r="FL664" i="23916"/>
  <c r="FM664" i="23916" s="1"/>
  <c r="FH568" i="23916"/>
  <c r="FI568" i="23916" s="1"/>
  <c r="FI557" i="23916"/>
  <c r="FH571" i="23916"/>
  <c r="GK584" i="23916"/>
  <c r="FS745" i="23916"/>
  <c r="GI604" i="23916"/>
  <c r="GH608" i="23916"/>
  <c r="GI608" i="23916" s="1"/>
  <c r="GH606" i="23916"/>
  <c r="CY787" i="23916"/>
  <c r="CY791" i="23916"/>
  <c r="CY792" i="23916" s="1"/>
  <c r="CY545" i="23916"/>
  <c r="CZ606" i="23916"/>
  <c r="GM644" i="23916"/>
  <c r="GO644" i="23916"/>
  <c r="FH744" i="23916"/>
  <c r="FI744" i="23916" s="1"/>
  <c r="FH745" i="23916"/>
  <c r="FI745" i="23916" s="1"/>
  <c r="FI640" i="23916"/>
  <c r="FS681" i="23916"/>
  <c r="CZ721" i="23916"/>
  <c r="CY722" i="23916"/>
  <c r="CZ722" i="23916" s="1"/>
  <c r="FU735" i="23916"/>
  <c r="FT742" i="23916"/>
  <c r="FO707" i="23916"/>
  <c r="FN753" i="23916"/>
  <c r="FO753" i="23916" s="1"/>
  <c r="FS749" i="23916"/>
  <c r="L707" i="23916"/>
  <c r="K753" i="23916"/>
  <c r="L753" i="23916" s="1"/>
  <c r="AR707" i="23916"/>
  <c r="AQ753" i="23916"/>
  <c r="AR753" i="23916" s="1"/>
  <c r="EJ707" i="23916"/>
  <c r="EI753" i="23916"/>
  <c r="EJ753" i="23916" s="1"/>
  <c r="GN739" i="23916"/>
  <c r="BN734" i="23916"/>
  <c r="BM745" i="23916"/>
  <c r="BN745" i="23916" s="1"/>
  <c r="FU753" i="23916"/>
  <c r="GK753" i="23916"/>
  <c r="G274" i="23916"/>
  <c r="G269" i="23916"/>
  <c r="G272" i="23916"/>
  <c r="G268" i="23916"/>
  <c r="CN171" i="23916"/>
  <c r="GF112" i="23916"/>
  <c r="EW94" i="23916"/>
  <c r="EW96" i="23916" s="1"/>
  <c r="EX81" i="23916"/>
  <c r="DL112" i="23916"/>
  <c r="GB860" i="23916"/>
  <c r="GB796" i="23916"/>
  <c r="GC118" i="23916"/>
  <c r="GZ184" i="23916"/>
  <c r="GY184" i="23916"/>
  <c r="GX185" i="23916"/>
  <c r="BE829" i="23916"/>
  <c r="BF628" i="23916"/>
  <c r="BE692" i="23916"/>
  <c r="I170" i="23916"/>
  <c r="I169" i="23916"/>
  <c r="I171" i="23916" s="1"/>
  <c r="FW195" i="23916"/>
  <c r="EM801" i="23916"/>
  <c r="EN272" i="23916"/>
  <c r="DG860" i="23916"/>
  <c r="DG796" i="23916"/>
  <c r="DH118" i="23916"/>
  <c r="GL147" i="23916"/>
  <c r="GM143" i="23916"/>
  <c r="GL148" i="23916"/>
  <c r="GM148" i="23916" s="1"/>
  <c r="GL151" i="23916"/>
  <c r="GM151" i="23916" s="1"/>
  <c r="GL150" i="23916"/>
  <c r="GM150" i="23916" s="1"/>
  <c r="FN180" i="23916"/>
  <c r="FO176" i="23916"/>
  <c r="FQ176" i="23916"/>
  <c r="GM230" i="23916"/>
  <c r="GL232" i="23916"/>
  <c r="GM232" i="23916" s="1"/>
  <c r="GL244" i="23916"/>
  <c r="GM828" i="23916"/>
  <c r="AC193" i="23916"/>
  <c r="AD187" i="23916"/>
  <c r="AC190" i="23916"/>
  <c r="AL190" i="23916" s="1"/>
  <c r="AC195" i="23916"/>
  <c r="AD195" i="23916" s="1"/>
  <c r="AC189" i="23916"/>
  <c r="AD189" i="23916" s="1"/>
  <c r="CW802" i="23916"/>
  <c r="EM338" i="23916"/>
  <c r="EN338" i="23916" s="1"/>
  <c r="EM334" i="23916"/>
  <c r="EM340" i="23916"/>
  <c r="EN340" i="23916" s="1"/>
  <c r="EN331" i="23916"/>
  <c r="EM333" i="23916"/>
  <c r="EN333" i="23916" s="1"/>
  <c r="GM226" i="23916"/>
  <c r="GL228" i="23916"/>
  <c r="CS621" i="23916"/>
  <c r="DY621" i="23916"/>
  <c r="DZ618" i="23916"/>
  <c r="EU208" i="23916"/>
  <c r="ES263" i="23916"/>
  <c r="ET258" i="23916"/>
  <c r="GG295" i="23916"/>
  <c r="CP619" i="23916"/>
  <c r="DF619" i="23916"/>
  <c r="CK618" i="23916"/>
  <c r="CT618" i="23916" s="1"/>
  <c r="CL301" i="23916"/>
  <c r="CK308" i="23916"/>
  <c r="CL308" i="23916" s="1"/>
  <c r="CK304" i="23916"/>
  <c r="CL304" i="23916" s="1"/>
  <c r="DB618" i="23916"/>
  <c r="EH308" i="23916"/>
  <c r="GH331" i="23916"/>
  <c r="DW802" i="23916"/>
  <c r="DX373" i="23916"/>
  <c r="EU321" i="23916"/>
  <c r="ET321" i="23916"/>
  <c r="DT333" i="23916"/>
  <c r="DT338" i="23916"/>
  <c r="ES856" i="23916"/>
  <c r="AE816" i="23916"/>
  <c r="AF372" i="23916"/>
  <c r="AM816" i="23916"/>
  <c r="AN372" i="23916"/>
  <c r="CJ369" i="23916"/>
  <c r="CR375" i="23916"/>
  <c r="DS802" i="23916"/>
  <c r="DT373" i="23916"/>
  <c r="EM866" i="23916"/>
  <c r="EM867" i="23916" s="1"/>
  <c r="EM604" i="23916"/>
  <c r="EN594" i="23916"/>
  <c r="GC300" i="23916"/>
  <c r="GN331" i="23916"/>
  <c r="EB369" i="23916"/>
  <c r="EA802" i="23916"/>
  <c r="EB373" i="23916"/>
  <c r="GM324" i="23916"/>
  <c r="BY802" i="23916"/>
  <c r="BZ373" i="23916"/>
  <c r="CG812" i="23916"/>
  <c r="CG620" i="23916"/>
  <c r="CG372" i="23916"/>
  <c r="CG376" i="23916"/>
  <c r="CH376" i="23916" s="1"/>
  <c r="CH370" i="23916"/>
  <c r="CO812" i="23916"/>
  <c r="CO620" i="23916"/>
  <c r="CO372" i="23916"/>
  <c r="CP370" i="23916"/>
  <c r="CO376" i="23916"/>
  <c r="CP376" i="23916" s="1"/>
  <c r="FW364" i="23916"/>
  <c r="DJ505" i="23916"/>
  <c r="DZ509" i="23916"/>
  <c r="FD463" i="23916"/>
  <c r="FE459" i="23916"/>
  <c r="P502" i="23916"/>
  <c r="AR508" i="23916"/>
  <c r="BW505" i="23916"/>
  <c r="BX505" i="23916" s="1"/>
  <c r="BX503" i="23916"/>
  <c r="BW509" i="23916"/>
  <c r="BX506" i="23916"/>
  <c r="DD502" i="23916"/>
  <c r="GM863" i="23916"/>
  <c r="GL864" i="23916"/>
  <c r="GM864" i="23916" s="1"/>
  <c r="GI476" i="23916"/>
  <c r="GH497" i="23916"/>
  <c r="GI497" i="23916" s="1"/>
  <c r="GH494" i="23916"/>
  <c r="GI494" i="23916" s="1"/>
  <c r="DR497" i="23916"/>
  <c r="DF502" i="23916"/>
  <c r="ET502" i="23916"/>
  <c r="EL502" i="23916"/>
  <c r="EL506" i="23916"/>
  <c r="EO822" i="23916"/>
  <c r="AX494" i="23916"/>
  <c r="L508" i="23916"/>
  <c r="AU509" i="23916"/>
  <c r="AV509" i="23916" s="1"/>
  <c r="AV503" i="23916"/>
  <c r="AU505" i="23916"/>
  <c r="AV505" i="23916" s="1"/>
  <c r="AV506" i="23916"/>
  <c r="CB508" i="23916"/>
  <c r="DH502" i="23916"/>
  <c r="FW492" i="23916"/>
  <c r="BV604" i="23916"/>
  <c r="FX581" i="23916"/>
  <c r="FY577" i="23916"/>
  <c r="FX585" i="23916"/>
  <c r="DC791" i="23916"/>
  <c r="DC792" i="23916" s="1"/>
  <c r="DC787" i="23916"/>
  <c r="DC545" i="23916"/>
  <c r="DD606" i="23916"/>
  <c r="AZ605" i="23916"/>
  <c r="AY606" i="23916"/>
  <c r="FR605" i="23916"/>
  <c r="DN608" i="23916"/>
  <c r="AH690" i="23916"/>
  <c r="AG664" i="23916"/>
  <c r="AH664" i="23916" s="1"/>
  <c r="BP664" i="23916"/>
  <c r="DH608" i="23916"/>
  <c r="AV745" i="23916"/>
  <c r="AR745" i="23916"/>
  <c r="EV663" i="23916"/>
  <c r="EW663" i="23916"/>
  <c r="GR668" i="23916"/>
  <c r="GQ668" i="23916"/>
  <c r="FM756" i="23916"/>
  <c r="BN756" i="23916"/>
  <c r="FT756" i="23916"/>
  <c r="FU756" i="23916" s="1"/>
  <c r="CS43" i="23916"/>
  <c r="CT43" i="23916" s="1"/>
  <c r="CS42" i="23916"/>
  <c r="CT42" i="23916" s="1"/>
  <c r="CS41" i="23916"/>
  <c r="CT41" i="23916" s="1"/>
  <c r="CS38" i="23916"/>
  <c r="CT32" i="23916"/>
  <c r="EC118" i="23916"/>
  <c r="ED112" i="23916"/>
  <c r="EC115" i="23916"/>
  <c r="EC120" i="23916"/>
  <c r="ED120" i="23916" s="1"/>
  <c r="EC114" i="23916"/>
  <c r="ED114" i="23916" s="1"/>
  <c r="E192" i="23916"/>
  <c r="E196" i="23916"/>
  <c r="E266" i="23916" s="1"/>
  <c r="DO613" i="23916"/>
  <c r="DO121" i="23916"/>
  <c r="DP121" i="23916" s="1"/>
  <c r="DO117" i="23916"/>
  <c r="DP115" i="23916"/>
  <c r="DP120" i="23916"/>
  <c r="FF133" i="23916"/>
  <c r="FG127" i="23916"/>
  <c r="FF137" i="23916"/>
  <c r="FG137" i="23916" s="1"/>
  <c r="FF138" i="23916"/>
  <c r="FG138" i="23916" s="1"/>
  <c r="FF180" i="23916"/>
  <c r="FG176" i="23916"/>
  <c r="GO783" i="23916"/>
  <c r="FM165" i="23916"/>
  <c r="FL182" i="23916"/>
  <c r="FM182" i="23916" s="1"/>
  <c r="FL184" i="23916"/>
  <c r="AH195" i="23916"/>
  <c r="EO800" i="23916"/>
  <c r="EM300" i="23916"/>
  <c r="EM307" i="23916"/>
  <c r="EM305" i="23916"/>
  <c r="EN298" i="23916"/>
  <c r="EM301" i="23916"/>
  <c r="EM812" i="23916" s="1"/>
  <c r="GA291" i="23916"/>
  <c r="GC291" i="23916"/>
  <c r="CR619" i="23916"/>
  <c r="DH337" i="23916"/>
  <c r="DL620" i="23916"/>
  <c r="Z184" i="23916"/>
  <c r="AP182" i="23916"/>
  <c r="BV184" i="23916"/>
  <c r="CL182" i="23916"/>
  <c r="DR182" i="23916"/>
  <c r="BA830" i="23916"/>
  <c r="BB692" i="23916"/>
  <c r="GN222" i="23916"/>
  <c r="GO221" i="23916"/>
  <c r="DJ618" i="23916"/>
  <c r="DI621" i="23916"/>
  <c r="EP308" i="23916"/>
  <c r="GG291" i="23916"/>
  <c r="GF298" i="23916"/>
  <c r="DV307" i="23916"/>
  <c r="EL305" i="23916"/>
  <c r="EL298" i="23916"/>
  <c r="DJ338" i="23916"/>
  <c r="DZ338" i="23916"/>
  <c r="EO619" i="23916"/>
  <c r="EO341" i="23916"/>
  <c r="EP341" i="23916" s="1"/>
  <c r="EP334" i="23916"/>
  <c r="EO337" i="23916"/>
  <c r="EP337" i="23916" s="1"/>
  <c r="EO12" i="23916"/>
  <c r="EP12" i="23916" s="1"/>
  <c r="EP340" i="23916"/>
  <c r="EI236" i="23916"/>
  <c r="EI238" i="23916"/>
  <c r="EU317" i="23916"/>
  <c r="EV316" i="23916"/>
  <c r="EW316" i="23916"/>
  <c r="EW853" i="23916" s="1"/>
  <c r="EB340" i="23916"/>
  <c r="FT375" i="23916"/>
  <c r="FU367" i="23916"/>
  <c r="FT370" i="23916"/>
  <c r="FT373" i="23916"/>
  <c r="FT369" i="23916"/>
  <c r="CR373" i="23916"/>
  <c r="CR620" i="23916"/>
  <c r="GP287" i="23916"/>
  <c r="GO328" i="23916"/>
  <c r="GC373" i="23916"/>
  <c r="EO866" i="23916"/>
  <c r="EO867" i="23916" s="1"/>
  <c r="EO604" i="23916"/>
  <c r="EP594" i="23916"/>
  <c r="DY272" i="23916"/>
  <c r="DY274" i="23916"/>
  <c r="DZ274" i="23916" s="1"/>
  <c r="DY269" i="23916"/>
  <c r="DY268" i="23916"/>
  <c r="DZ268" i="23916" s="1"/>
  <c r="DZ266" i="23916"/>
  <c r="R373" i="23916"/>
  <c r="AH375" i="23916"/>
  <c r="AO812" i="23916"/>
  <c r="AO372" i="23916"/>
  <c r="AO376" i="23916"/>
  <c r="AP376" i="23916" s="1"/>
  <c r="AP370" i="23916"/>
  <c r="AP369" i="23916"/>
  <c r="AW802" i="23916"/>
  <c r="AX373" i="23916"/>
  <c r="DA812" i="23916"/>
  <c r="DA620" i="23916"/>
  <c r="DA621" i="23916" s="1"/>
  <c r="DB370" i="23916"/>
  <c r="DA372" i="23916"/>
  <c r="DA376" i="23916"/>
  <c r="DB376" i="23916" s="1"/>
  <c r="DI816" i="23916"/>
  <c r="EH622" i="23916"/>
  <c r="GJ398" i="23916"/>
  <c r="EW457" i="23916"/>
  <c r="EX457" i="23916" s="1"/>
  <c r="EV457" i="23916"/>
  <c r="FV458" i="23916"/>
  <c r="FW453" i="23916"/>
  <c r="FV462" i="23916"/>
  <c r="FV463" i="23916"/>
  <c r="GF508" i="23916"/>
  <c r="GG508" i="23916" s="1"/>
  <c r="GF506" i="23916"/>
  <c r="GG506" i="23916" s="1"/>
  <c r="GG500" i="23916"/>
  <c r="GF503" i="23916"/>
  <c r="GF502" i="23916"/>
  <c r="GG502" i="23916" s="1"/>
  <c r="N505" i="23916"/>
  <c r="BD497" i="23916"/>
  <c r="CQ453" i="23916"/>
  <c r="T497" i="23916"/>
  <c r="S509" i="23916"/>
  <c r="T509" i="23916" s="1"/>
  <c r="T503" i="23916"/>
  <c r="S505" i="23916"/>
  <c r="T505" i="23916" s="1"/>
  <c r="T506" i="23916"/>
  <c r="AZ502" i="23916"/>
  <c r="CF508" i="23916"/>
  <c r="DL508" i="23916"/>
  <c r="EG819" i="23916"/>
  <c r="EG624" i="23916"/>
  <c r="EG544" i="23916"/>
  <c r="EP544" i="23916" s="1"/>
  <c r="EH541" i="23916"/>
  <c r="EG623" i="23916"/>
  <c r="EH623" i="23916" s="1"/>
  <c r="EG15" i="23916"/>
  <c r="GM577" i="23916"/>
  <c r="GL585" i="23916"/>
  <c r="GM585" i="23916" s="1"/>
  <c r="GL579" i="23916"/>
  <c r="FO602" i="23916"/>
  <c r="CX494" i="23916"/>
  <c r="FF508" i="23916"/>
  <c r="FG508" i="23916" s="1"/>
  <c r="FF503" i="23916"/>
  <c r="FF506" i="23916"/>
  <c r="FG506" i="23916" s="1"/>
  <c r="FF502" i="23916"/>
  <c r="FG502" i="23916" s="1"/>
  <c r="FG500" i="23916"/>
  <c r="FV500" i="23916"/>
  <c r="CH502" i="23916"/>
  <c r="CH506" i="23916"/>
  <c r="DN508" i="23916"/>
  <c r="FO557" i="23916"/>
  <c r="X508" i="23916"/>
  <c r="BD502" i="23916"/>
  <c r="DO505" i="23916"/>
  <c r="DP505" i="23916" s="1"/>
  <c r="DP503" i="23916"/>
  <c r="DO509" i="23916"/>
  <c r="DP509" i="23916" s="1"/>
  <c r="DP506" i="23916"/>
  <c r="DT624" i="23916"/>
  <c r="GG576" i="23916"/>
  <c r="CZ494" i="23916"/>
  <c r="FR497" i="23916"/>
  <c r="FS497" i="23916" s="1"/>
  <c r="FJ577" i="23916"/>
  <c r="FJ582" i="23916"/>
  <c r="FJ584" i="23916"/>
  <c r="FK584" i="23916" s="1"/>
  <c r="FK574" i="23916"/>
  <c r="FJ576" i="23916"/>
  <c r="FK576" i="23916" s="1"/>
  <c r="BJ604" i="23916"/>
  <c r="DA791" i="23916"/>
  <c r="DA792" i="23916" s="1"/>
  <c r="DA787" i="23916"/>
  <c r="DA545" i="23916"/>
  <c r="DB606" i="23916"/>
  <c r="AP745" i="23916"/>
  <c r="GC574" i="23916"/>
  <c r="DK791" i="23916"/>
  <c r="DK787" i="23916"/>
  <c r="DK545" i="23916"/>
  <c r="DL606" i="23916"/>
  <c r="X745" i="23916"/>
  <c r="AX664" i="23916"/>
  <c r="FF822" i="23916"/>
  <c r="FG544" i="23916"/>
  <c r="EW542" i="23916"/>
  <c r="EX542" i="23916" s="1"/>
  <c r="EV542" i="23916"/>
  <c r="BD605" i="23916"/>
  <c r="BC606" i="23916"/>
  <c r="FZ604" i="23916"/>
  <c r="CI787" i="23916"/>
  <c r="CI791" i="23916"/>
  <c r="CI792" i="23916" s="1"/>
  <c r="CI545" i="23916"/>
  <c r="AZ690" i="23916"/>
  <c r="AY664" i="23916"/>
  <c r="AZ664" i="23916" s="1"/>
  <c r="FI681" i="23916"/>
  <c r="CP722" i="23916"/>
  <c r="FI707" i="23916"/>
  <c r="FH753" i="23916"/>
  <c r="FI753" i="23916" s="1"/>
  <c r="GO707" i="23916"/>
  <c r="AF742" i="23916"/>
  <c r="BO756" i="23916"/>
  <c r="BP756" i="23916" s="1"/>
  <c r="BO754" i="23916"/>
  <c r="BP754" i="23916" s="1"/>
  <c r="BO753" i="23916"/>
  <c r="BP753" i="23916" s="1"/>
  <c r="BO735" i="23916"/>
  <c r="BP733" i="23916"/>
  <c r="BO752" i="23916"/>
  <c r="BP752" i="23916" s="1"/>
  <c r="BO751" i="23916"/>
  <c r="BP751" i="23916" s="1"/>
  <c r="BO711" i="23916"/>
  <c r="BO750" i="23916"/>
  <c r="BP750" i="23916" s="1"/>
  <c r="BO749" i="23916"/>
  <c r="BP749" i="23916" s="1"/>
  <c r="BY170" i="23916"/>
  <c r="BY169" i="23916"/>
  <c r="EA613" i="23916"/>
  <c r="EA121" i="23916"/>
  <c r="EB121" i="23916" s="1"/>
  <c r="EA7" i="23916"/>
  <c r="EA117" i="23916"/>
  <c r="EB117" i="23916" s="1"/>
  <c r="EB115" i="23916"/>
  <c r="EB120" i="23916"/>
  <c r="AQ133" i="23916"/>
  <c r="AQ138" i="23916"/>
  <c r="AQ137" i="23916"/>
  <c r="EK118" i="23916"/>
  <c r="EL112" i="23916"/>
  <c r="EK115" i="23916"/>
  <c r="EK120" i="23916"/>
  <c r="EK114" i="23916"/>
  <c r="EU827" i="23916"/>
  <c r="EW128" i="23916"/>
  <c r="EV128" i="23916"/>
  <c r="GP128" i="23916"/>
  <c r="FK165" i="23916"/>
  <c r="AT180" i="23916"/>
  <c r="AS187" i="23916"/>
  <c r="GO220" i="23916"/>
  <c r="DW860" i="23916"/>
  <c r="DW796" i="23916"/>
  <c r="DX118" i="23916"/>
  <c r="DZ180" i="23916"/>
  <c r="DY187" i="23916"/>
  <c r="DX615" i="23916"/>
  <c r="FQ165" i="23916"/>
  <c r="FP182" i="23916"/>
  <c r="FQ182" i="23916" s="1"/>
  <c r="FP184" i="23916"/>
  <c r="FQ184" i="23916" s="1"/>
  <c r="EU258" i="23916"/>
  <c r="AT182" i="23916"/>
  <c r="BZ184" i="23916"/>
  <c r="DF182" i="23916"/>
  <c r="ET184" i="23916"/>
  <c r="EL184" i="23916"/>
  <c r="AY187" i="23916"/>
  <c r="AZ180" i="23916"/>
  <c r="CN180" i="23916"/>
  <c r="CM187" i="23916"/>
  <c r="DT180" i="23916"/>
  <c r="DS187" i="23916"/>
  <c r="GC184" i="23916"/>
  <c r="GL274" i="23916"/>
  <c r="GM274" i="23916" s="1"/>
  <c r="GM266" i="23916"/>
  <c r="GL269" i="23916"/>
  <c r="GL272" i="23916"/>
  <c r="GL268" i="23916"/>
  <c r="GM268" i="23916" s="1"/>
  <c r="EW284" i="23916"/>
  <c r="EX283" i="23916"/>
  <c r="GG180" i="23916"/>
  <c r="GF187" i="23916"/>
  <c r="W800" i="23916"/>
  <c r="X193" i="23916"/>
  <c r="ES257" i="23916"/>
  <c r="ES208" i="23916"/>
  <c r="EJ266" i="23916"/>
  <c r="EI269" i="23916"/>
  <c r="EI274" i="23916"/>
  <c r="EJ274" i="23916" s="1"/>
  <c r="EI272" i="23916"/>
  <c r="EI268" i="23916"/>
  <c r="EF298" i="23916"/>
  <c r="EE300" i="23916"/>
  <c r="EF300" i="23916" s="1"/>
  <c r="EE307" i="23916"/>
  <c r="EF307" i="23916" s="1"/>
  <c r="EE305" i="23916"/>
  <c r="EF305" i="23916" s="1"/>
  <c r="EE301" i="23916"/>
  <c r="EE812" i="23916" s="1"/>
  <c r="CX619" i="23916"/>
  <c r="DN337" i="23916"/>
  <c r="ED341" i="23916"/>
  <c r="FF376" i="23916"/>
  <c r="FG376" i="23916" s="1"/>
  <c r="FF372" i="23916"/>
  <c r="FG370" i="23916"/>
  <c r="CN143" i="23916"/>
  <c r="CF143" i="23916"/>
  <c r="CE151" i="23916"/>
  <c r="CE152" i="23916" s="1"/>
  <c r="CE147" i="23916"/>
  <c r="CE146" i="23916"/>
  <c r="FZ143" i="23916"/>
  <c r="GI184" i="23916"/>
  <c r="GM231" i="23916"/>
  <c r="GO243" i="23916"/>
  <c r="CU338" i="23916"/>
  <c r="CV331" i="23916"/>
  <c r="CU334" i="23916"/>
  <c r="CU340" i="23916"/>
  <c r="CU333" i="23916"/>
  <c r="DD331" i="23916"/>
  <c r="FX367" i="23916"/>
  <c r="GA367" i="23916" s="1"/>
  <c r="O816" i="23916"/>
  <c r="P372" i="23916"/>
  <c r="DY802" i="23916"/>
  <c r="DZ373" i="23916"/>
  <c r="BH367" i="23916"/>
  <c r="EE866" i="23916"/>
  <c r="EE867" i="23916" s="1"/>
  <c r="EE604" i="23916"/>
  <c r="EF594" i="23916"/>
  <c r="EF369" i="23916"/>
  <c r="BA802" i="23916"/>
  <c r="BB373" i="23916"/>
  <c r="BN375" i="23916"/>
  <c r="BN369" i="23916"/>
  <c r="CC812" i="23916"/>
  <c r="CC620" i="23916"/>
  <c r="CD370" i="23916"/>
  <c r="CC372" i="23916"/>
  <c r="CC376" i="23916"/>
  <c r="CD376" i="23916" s="1"/>
  <c r="CL375" i="23916"/>
  <c r="CT376" i="23916"/>
  <c r="CS812" i="23916"/>
  <c r="DN373" i="23916"/>
  <c r="FW601" i="23916"/>
  <c r="FY601" i="23916"/>
  <c r="EJ375" i="23916"/>
  <c r="DU466" i="23916"/>
  <c r="DW438" i="23916"/>
  <c r="Z505" i="23916"/>
  <c r="FY476" i="23916"/>
  <c r="AX509" i="23916"/>
  <c r="GG476" i="23916"/>
  <c r="AN494" i="23916"/>
  <c r="CJ494" i="23916"/>
  <c r="AB502" i="23916"/>
  <c r="CN508" i="23916"/>
  <c r="DT502" i="23916"/>
  <c r="DS799" i="23916"/>
  <c r="DS797" i="23916"/>
  <c r="DT506" i="23916"/>
  <c r="EH494" i="23916"/>
  <c r="AD508" i="23916"/>
  <c r="CO509" i="23916"/>
  <c r="CP509" i="23916" s="1"/>
  <c r="CO505" i="23916"/>
  <c r="CP505" i="23916" s="1"/>
  <c r="CP503" i="23916"/>
  <c r="CP506" i="23916"/>
  <c r="DV502" i="23916"/>
  <c r="AH494" i="23916"/>
  <c r="GO496" i="23916"/>
  <c r="AF502" i="23916"/>
  <c r="CQ505" i="23916"/>
  <c r="CR505" i="23916" s="1"/>
  <c r="CR503" i="23916"/>
  <c r="CQ509" i="23916"/>
  <c r="CR509" i="23916" s="1"/>
  <c r="CR506" i="23916"/>
  <c r="DX508" i="23916"/>
  <c r="DU822" i="23916"/>
  <c r="DV544" i="23916"/>
  <c r="AO545" i="23916"/>
  <c r="AP606" i="23916"/>
  <c r="EJ494" i="23916"/>
  <c r="ER494" i="23916"/>
  <c r="FK557" i="23916"/>
  <c r="P606" i="23916"/>
  <c r="G545" i="23916"/>
  <c r="P545" i="23916" s="1"/>
  <c r="FB799" i="23916"/>
  <c r="FB805" i="23916"/>
  <c r="BM606" i="23916"/>
  <c r="BN605" i="23916"/>
  <c r="DI791" i="23916"/>
  <c r="DI787" i="23916"/>
  <c r="DI545" i="23916"/>
  <c r="DJ606" i="23916"/>
  <c r="BR664" i="23916"/>
  <c r="FT582" i="23916"/>
  <c r="FT584" i="23916"/>
  <c r="FU584" i="23916" s="1"/>
  <c r="FU574" i="23916"/>
  <c r="FT577" i="23916"/>
  <c r="FT576" i="23916"/>
  <c r="FU576" i="23916" s="1"/>
  <c r="GG574" i="23916"/>
  <c r="FJ822" i="23916"/>
  <c r="FK544" i="23916"/>
  <c r="AR605" i="23916"/>
  <c r="FP605" i="23916"/>
  <c r="AQ606" i="23916"/>
  <c r="EF674" i="23916"/>
  <c r="EE669" i="23916"/>
  <c r="EN674" i="23916"/>
  <c r="FL682" i="23916"/>
  <c r="FM682" i="23916" s="1"/>
  <c r="FN830" i="23916"/>
  <c r="FO692" i="23916"/>
  <c r="T742" i="23916"/>
  <c r="GO724" i="23916"/>
  <c r="FS734" i="23916"/>
  <c r="AV742" i="23916"/>
  <c r="FS735" i="23916"/>
  <c r="FR742" i="23916"/>
  <c r="FS742" i="23916" s="1"/>
  <c r="AH742" i="23916"/>
  <c r="DI613" i="23916"/>
  <c r="DI117" i="23916"/>
  <c r="DJ115" i="23916"/>
  <c r="DI121" i="23916"/>
  <c r="DY613" i="23916"/>
  <c r="DY117" i="23916"/>
  <c r="DY7" i="23916"/>
  <c r="DY121" i="23916"/>
  <c r="DZ115" i="23916"/>
  <c r="EP120" i="23916"/>
  <c r="FP508" i="23916"/>
  <c r="FQ508" i="23916" s="1"/>
  <c r="FP506" i="23916"/>
  <c r="FQ506" i="23916" s="1"/>
  <c r="FQ500" i="23916"/>
  <c r="FP503" i="23916"/>
  <c r="FP502" i="23916"/>
  <c r="FQ502" i="23916" s="1"/>
  <c r="DY819" i="23916"/>
  <c r="DY624" i="23916"/>
  <c r="DY623" i="23916"/>
  <c r="DZ623" i="23916" s="1"/>
  <c r="DZ541" i="23916"/>
  <c r="DY544" i="23916"/>
  <c r="DY15" i="23916"/>
  <c r="DZ15" i="23916" s="1"/>
  <c r="EA615" i="23916"/>
  <c r="EA275" i="23916"/>
  <c r="EA271" i="23916"/>
  <c r="EB269" i="23916"/>
  <c r="EA9" i="23916"/>
  <c r="EB274" i="23916"/>
  <c r="AL189" i="23916"/>
  <c r="AK800" i="23916"/>
  <c r="AL193" i="23916"/>
  <c r="BR195" i="23916"/>
  <c r="GO230" i="23916"/>
  <c r="EE619" i="23916"/>
  <c r="EE337" i="23916"/>
  <c r="EE341" i="23916"/>
  <c r="EF334" i="23916"/>
  <c r="EE12" i="23916"/>
  <c r="GM492" i="23916"/>
  <c r="CL508" i="23916"/>
  <c r="CL506" i="23916"/>
  <c r="EA819" i="23916"/>
  <c r="EA624" i="23916"/>
  <c r="EA623" i="23916"/>
  <c r="EB623" i="23916" s="1"/>
  <c r="EA544" i="23916"/>
  <c r="EB541" i="23916"/>
  <c r="EA15" i="23916"/>
  <c r="EB15" i="23916" s="1"/>
  <c r="AP744" i="23916"/>
  <c r="CT184" i="23916"/>
  <c r="GP314" i="23916"/>
  <c r="BH497" i="23916"/>
  <c r="AL745" i="23916"/>
  <c r="FS721" i="23916"/>
  <c r="BF745" i="23916"/>
  <c r="DB621" i="23916" l="1"/>
  <c r="EX254" i="23916"/>
  <c r="EQ539" i="23916"/>
  <c r="EQ541" i="23916"/>
  <c r="GQ281" i="23916"/>
  <c r="GR281" i="23916"/>
  <c r="GP854" i="23916"/>
  <c r="GQ854" i="23916" s="1"/>
  <c r="GQ206" i="23916"/>
  <c r="GP220" i="23916"/>
  <c r="GQ220" i="23916" s="1"/>
  <c r="GP241" i="23916"/>
  <c r="GQ227" i="23916"/>
  <c r="DU71" i="23916"/>
  <c r="DU73" i="23916"/>
  <c r="DU72" i="23916"/>
  <c r="EU537" i="23916"/>
  <c r="EU534" i="23916"/>
  <c r="ER332" i="23916"/>
  <c r="EQ334" i="23916"/>
  <c r="GP644" i="23916"/>
  <c r="GQ637" i="23916"/>
  <c r="GP639" i="23916"/>
  <c r="GQ231" i="23916"/>
  <c r="GP237" i="23916"/>
  <c r="GQ229" i="23916"/>
  <c r="GP240" i="23916"/>
  <c r="GQ203" i="23916"/>
  <c r="GP217" i="23916"/>
  <c r="DR621" i="23916"/>
  <c r="GP216" i="23916"/>
  <c r="GQ205" i="23916"/>
  <c r="FP606" i="23916"/>
  <c r="FT805" i="23916"/>
  <c r="FT799" i="23916"/>
  <c r="FU582" i="23916"/>
  <c r="CU619" i="23916"/>
  <c r="CU337" i="23916"/>
  <c r="CV334" i="23916"/>
  <c r="CU341" i="23916"/>
  <c r="DD334" i="23916"/>
  <c r="EB624" i="23916"/>
  <c r="DZ7" i="23916"/>
  <c r="FT581" i="23916"/>
  <c r="FU577" i="23916"/>
  <c r="FT585" i="23916"/>
  <c r="DI792" i="23916"/>
  <c r="FF816" i="23916"/>
  <c r="FG372" i="23916"/>
  <c r="EI801" i="23916"/>
  <c r="EJ272" i="23916"/>
  <c r="AS193" i="23916"/>
  <c r="AS189" i="23916"/>
  <c r="AT189" i="23916" s="1"/>
  <c r="AS195" i="23916"/>
  <c r="AT195" i="23916" s="1"/>
  <c r="AS190" i="23916"/>
  <c r="AT187" i="23916"/>
  <c r="EL114" i="23916"/>
  <c r="ET114" i="23916"/>
  <c r="EK860" i="23916"/>
  <c r="EK796" i="23916"/>
  <c r="EL118" i="23916"/>
  <c r="AQ155" i="23916"/>
  <c r="AQ135" i="23916"/>
  <c r="AS127" i="23916"/>
  <c r="EB7" i="23916"/>
  <c r="EA822" i="23916"/>
  <c r="EB544" i="23916"/>
  <c r="FP509" i="23916"/>
  <c r="FP505" i="23916"/>
  <c r="FQ503" i="23916"/>
  <c r="DI820" i="23916"/>
  <c r="AQ545" i="23916"/>
  <c r="CV333" i="23916"/>
  <c r="DD333" i="23916"/>
  <c r="CV338" i="23916"/>
  <c r="DD338" i="23916"/>
  <c r="FZ151" i="23916"/>
  <c r="GF195" i="23916"/>
  <c r="GF190" i="23916"/>
  <c r="GF193" i="23916"/>
  <c r="GF189" i="23916"/>
  <c r="AY195" i="23916"/>
  <c r="AY193" i="23916"/>
  <c r="AY189" i="23916"/>
  <c r="AZ187" i="23916"/>
  <c r="AY190" i="23916"/>
  <c r="DY193" i="23916"/>
  <c r="DZ187" i="23916"/>
  <c r="DY195" i="23916"/>
  <c r="DY190" i="23916"/>
  <c r="DY189" i="23916"/>
  <c r="EW827" i="23916"/>
  <c r="EX128" i="23916"/>
  <c r="EL120" i="23916"/>
  <c r="BY171" i="23916"/>
  <c r="BP735" i="23916"/>
  <c r="BO742" i="23916"/>
  <c r="BP742" i="23916" s="1"/>
  <c r="BO744" i="23916"/>
  <c r="BP744" i="23916" s="1"/>
  <c r="BO842" i="23916"/>
  <c r="GA604" i="23916"/>
  <c r="FZ608" i="23916"/>
  <c r="FZ606" i="23916"/>
  <c r="DK792" i="23916"/>
  <c r="DA804" i="23916"/>
  <c r="DB545" i="23916"/>
  <c r="FJ581" i="23916"/>
  <c r="FK577" i="23916"/>
  <c r="FJ585" i="23916"/>
  <c r="EH15" i="23916"/>
  <c r="CQ462" i="23916"/>
  <c r="CQ459" i="23916"/>
  <c r="CQ458" i="23916"/>
  <c r="CQ463" i="23916"/>
  <c r="CQ464" i="23916" s="1"/>
  <c r="GF622" i="23916"/>
  <c r="GF509" i="23916"/>
  <c r="GF505" i="23916"/>
  <c r="GG503" i="23916"/>
  <c r="GP457" i="23916"/>
  <c r="DY615" i="23916"/>
  <c r="DY271" i="23916"/>
  <c r="DY275" i="23916"/>
  <c r="DZ275" i="23916" s="1"/>
  <c r="DZ269" i="23916"/>
  <c r="DY9" i="23916"/>
  <c r="FT620" i="23916"/>
  <c r="FT372" i="23916"/>
  <c r="FT376" i="23916"/>
  <c r="GP316" i="23916"/>
  <c r="DJ621" i="23916"/>
  <c r="GO222" i="23916"/>
  <c r="GN213" i="23916"/>
  <c r="FM184" i="23916"/>
  <c r="FO184" i="23916"/>
  <c r="DO820" i="23916"/>
  <c r="DP117" i="23916"/>
  <c r="E268" i="23916"/>
  <c r="E272" i="23916"/>
  <c r="E269" i="23916"/>
  <c r="E274" i="23916"/>
  <c r="EC860" i="23916"/>
  <c r="EC796" i="23916"/>
  <c r="ED118" i="23916"/>
  <c r="EX663" i="23916"/>
  <c r="GP663" i="23916"/>
  <c r="AY787" i="23916"/>
  <c r="AY545" i="23916"/>
  <c r="AZ606" i="23916"/>
  <c r="BX509" i="23916"/>
  <c r="CP372" i="23916"/>
  <c r="EW321" i="23916"/>
  <c r="EV321" i="23916"/>
  <c r="EM619" i="23916"/>
  <c r="EM337" i="23916"/>
  <c r="EN337" i="23916" s="1"/>
  <c r="EM341" i="23916"/>
  <c r="EN341" i="23916" s="1"/>
  <c r="EN334" i="23916"/>
  <c r="EM12" i="23916"/>
  <c r="EN12" i="23916" s="1"/>
  <c r="AC800" i="23916"/>
  <c r="AD193" i="23916"/>
  <c r="GM147" i="23916"/>
  <c r="GN143" i="23916"/>
  <c r="FS182" i="23916"/>
  <c r="BE830" i="23916"/>
  <c r="BF692" i="23916"/>
  <c r="BN692" i="23916"/>
  <c r="BQ791" i="23916"/>
  <c r="BQ792" i="23916" s="1"/>
  <c r="BQ787" i="23916"/>
  <c r="BQ545" i="23916"/>
  <c r="BR606" i="23916"/>
  <c r="EB622" i="23916"/>
  <c r="DY420" i="23916"/>
  <c r="DW434" i="23916"/>
  <c r="DF620" i="23916"/>
  <c r="GS313" i="23916"/>
  <c r="GT313" i="23916"/>
  <c r="AU812" i="23916"/>
  <c r="AU372" i="23916"/>
  <c r="AV370" i="23916"/>
  <c r="AU376" i="23916"/>
  <c r="AV376" i="23916" s="1"/>
  <c r="ET601" i="23916"/>
  <c r="FH271" i="23916"/>
  <c r="FI269" i="23916"/>
  <c r="GD615" i="23916"/>
  <c r="GD271" i="23916"/>
  <c r="GE269" i="23916"/>
  <c r="GL613" i="23916"/>
  <c r="GL117" i="23916"/>
  <c r="GL7" i="23916"/>
  <c r="GL121" i="23916"/>
  <c r="GM115" i="23916"/>
  <c r="DA860" i="23916"/>
  <c r="DA796" i="23916"/>
  <c r="DB118" i="23916"/>
  <c r="EF7" i="23916"/>
  <c r="DC613" i="23916"/>
  <c r="DC121" i="23916"/>
  <c r="DD121" i="23916" s="1"/>
  <c r="DC117" i="23916"/>
  <c r="DD115" i="23916"/>
  <c r="GR201" i="23916"/>
  <c r="GP208" i="23916"/>
  <c r="GQ208" i="23916" s="1"/>
  <c r="GQ201" i="23916"/>
  <c r="DJ120" i="23916"/>
  <c r="FM753" i="23916"/>
  <c r="BG787" i="23916"/>
  <c r="BG545" i="23916"/>
  <c r="BH606" i="23916"/>
  <c r="CM792" i="23916"/>
  <c r="GA497" i="23916"/>
  <c r="GC497" i="23916"/>
  <c r="GJ608" i="23916"/>
  <c r="GK608" i="23916" s="1"/>
  <c r="GK604" i="23916"/>
  <c r="GJ606" i="23916"/>
  <c r="GX627" i="23916"/>
  <c r="GZ371" i="23916"/>
  <c r="GY371" i="23916"/>
  <c r="CK816" i="23916"/>
  <c r="CL372" i="23916"/>
  <c r="BV620" i="23916"/>
  <c r="BU621" i="23916"/>
  <c r="EE802" i="23916"/>
  <c r="BG816" i="23916"/>
  <c r="BH372" i="23916"/>
  <c r="AY812" i="23916"/>
  <c r="AY620" i="23916"/>
  <c r="AY372" i="23916"/>
  <c r="AY376" i="23916"/>
  <c r="AZ376" i="23916" s="1"/>
  <c r="AZ370" i="23916"/>
  <c r="GH301" i="23916"/>
  <c r="GH305" i="23916"/>
  <c r="GI298" i="23916"/>
  <c r="GH307" i="23916"/>
  <c r="GH300" i="23916"/>
  <c r="U813" i="23916"/>
  <c r="U196" i="23916"/>
  <c r="V190" i="23916"/>
  <c r="U192" i="23916"/>
  <c r="GH860" i="23916"/>
  <c r="GH796" i="23916"/>
  <c r="CW193" i="23916"/>
  <c r="CW195" i="23916"/>
  <c r="CX187" i="23916"/>
  <c r="CW189" i="23916"/>
  <c r="CW190" i="23916"/>
  <c r="EW732" i="23916"/>
  <c r="EV732" i="23916"/>
  <c r="EU705" i="23916"/>
  <c r="EV705" i="23916" s="1"/>
  <c r="BP734" i="23916"/>
  <c r="BO745" i="23916"/>
  <c r="BP745" i="23916" s="1"/>
  <c r="AZ753" i="23916"/>
  <c r="DH665" i="23916"/>
  <c r="DO792" i="23916"/>
  <c r="GL622" i="23916"/>
  <c r="GL505" i="23916"/>
  <c r="GL509" i="23916"/>
  <c r="GL14" i="23916"/>
  <c r="DJ376" i="23916"/>
  <c r="CN619" i="23916"/>
  <c r="FZ615" i="23916"/>
  <c r="FZ271" i="23916"/>
  <c r="GA269" i="23916"/>
  <c r="BW167" i="23916"/>
  <c r="EE195" i="23916"/>
  <c r="EE193" i="23916"/>
  <c r="EF187" i="23916"/>
  <c r="EE189" i="23916"/>
  <c r="EE190" i="23916"/>
  <c r="BS195" i="23916"/>
  <c r="BS193" i="23916"/>
  <c r="BS189" i="23916"/>
  <c r="BT187" i="23916"/>
  <c r="BS190" i="23916"/>
  <c r="DW618" i="23916"/>
  <c r="DX301" i="23916"/>
  <c r="DW308" i="23916"/>
  <c r="DW304" i="23916"/>
  <c r="DW11" i="23916"/>
  <c r="DX11" i="23916" s="1"/>
  <c r="GJ788" i="23916"/>
  <c r="GK684" i="23916"/>
  <c r="GL684" i="23916"/>
  <c r="GJ665" i="23916"/>
  <c r="CG792" i="23916"/>
  <c r="FK745" i="23916"/>
  <c r="CS792" i="23916"/>
  <c r="L509" i="23916"/>
  <c r="FM506" i="23916"/>
  <c r="DP372" i="23916"/>
  <c r="EU856" i="23916"/>
  <c r="GJ620" i="23916"/>
  <c r="GJ372" i="23916"/>
  <c r="GJ376" i="23916"/>
  <c r="GJ13" i="23916"/>
  <c r="GK13" i="23916" s="1"/>
  <c r="FK268" i="23916"/>
  <c r="GD618" i="23916"/>
  <c r="GD308" i="23916"/>
  <c r="GE308" i="23916" s="1"/>
  <c r="GE301" i="23916"/>
  <c r="GD304" i="23916"/>
  <c r="GE304" i="23916" s="1"/>
  <c r="DK195" i="23916"/>
  <c r="DK193" i="23916"/>
  <c r="DL187" i="23916"/>
  <c r="DK189" i="23916"/>
  <c r="DK190" i="23916"/>
  <c r="EN117" i="23916"/>
  <c r="EN613" i="23916"/>
  <c r="L137" i="23916"/>
  <c r="EC193" i="23916"/>
  <c r="EC195" i="23916"/>
  <c r="EC190" i="23916"/>
  <c r="EC189" i="23916"/>
  <c r="ED187" i="23916"/>
  <c r="BK791" i="23916"/>
  <c r="BK787" i="23916"/>
  <c r="BK545" i="23916"/>
  <c r="BL606" i="23916"/>
  <c r="FW584" i="23916"/>
  <c r="CZ509" i="23916"/>
  <c r="C821" i="23916"/>
  <c r="C817" i="23916"/>
  <c r="FT508" i="23916"/>
  <c r="FU500" i="23916"/>
  <c r="FT506" i="23916"/>
  <c r="FT503" i="23916"/>
  <c r="FT502" i="23916"/>
  <c r="CX620" i="23916"/>
  <c r="EW236" i="23916"/>
  <c r="EW244" i="23916"/>
  <c r="EW246" i="23916" s="1"/>
  <c r="EW226" i="23916"/>
  <c r="GU280" i="23916"/>
  <c r="GV280" i="23916"/>
  <c r="EQ373" i="23916"/>
  <c r="EQ375" i="23916"/>
  <c r="ER375" i="23916" s="1"/>
  <c r="ER367" i="23916"/>
  <c r="EQ368" i="23916"/>
  <c r="EQ370" i="23916"/>
  <c r="EU262" i="23916"/>
  <c r="EV257" i="23916"/>
  <c r="EU260" i="23916"/>
  <c r="ET268" i="23916"/>
  <c r="EL268" i="23916"/>
  <c r="DC618" i="23916"/>
  <c r="DC308" i="23916"/>
  <c r="DC304" i="23916"/>
  <c r="DD301" i="23916"/>
  <c r="DC812" i="23916"/>
  <c r="BP375" i="23916"/>
  <c r="BX375" i="23916"/>
  <c r="DW619" i="23916"/>
  <c r="EF619" i="23916" s="1"/>
  <c r="DW337" i="23916"/>
  <c r="DW341" i="23916"/>
  <c r="DX334" i="23916"/>
  <c r="DW12" i="23916"/>
  <c r="DX12" i="23916" s="1"/>
  <c r="BK830" i="23916"/>
  <c r="BL692" i="23916"/>
  <c r="FT692" i="23916"/>
  <c r="BT692" i="23916"/>
  <c r="EF338" i="23916"/>
  <c r="FQ753" i="23916"/>
  <c r="CW804" i="23916"/>
  <c r="CX545" i="23916"/>
  <c r="GL819" i="23916"/>
  <c r="GM819" i="23916" s="1"/>
  <c r="GL623" i="23916"/>
  <c r="GM623" i="23916" s="1"/>
  <c r="GL624" i="23916"/>
  <c r="GL544" i="23916"/>
  <c r="GM541" i="23916"/>
  <c r="GL15" i="23916"/>
  <c r="GM15" i="23916" s="1"/>
  <c r="AG804" i="23916"/>
  <c r="AH545" i="23916"/>
  <c r="GH799" i="23916"/>
  <c r="GI582" i="23916"/>
  <c r="DX509" i="23916"/>
  <c r="DT622" i="23916"/>
  <c r="DN376" i="23916"/>
  <c r="BM816" i="23916"/>
  <c r="EG801" i="23916"/>
  <c r="EH272" i="23916"/>
  <c r="BS812" i="23916"/>
  <c r="BS620" i="23916"/>
  <c r="BS372" i="23916"/>
  <c r="BS376" i="23916"/>
  <c r="BT376" i="23916" s="1"/>
  <c r="BT370" i="23916"/>
  <c r="BS802" i="23916"/>
  <c r="BT373" i="23916"/>
  <c r="FH372" i="23916"/>
  <c r="FI370" i="23916"/>
  <c r="FH376" i="23916"/>
  <c r="FI376" i="23916" s="1"/>
  <c r="FS268" i="23916"/>
  <c r="FU268" i="23916"/>
  <c r="DL307" i="23916"/>
  <c r="GS283" i="23916"/>
  <c r="GT283" i="23916"/>
  <c r="BW195" i="23916"/>
  <c r="BW193" i="23916"/>
  <c r="BW189" i="23916"/>
  <c r="BX187" i="23916"/>
  <c r="BW190" i="23916"/>
  <c r="FP800" i="23916"/>
  <c r="CV860" i="23916"/>
  <c r="CV796" i="23916"/>
  <c r="GZ66" i="23916"/>
  <c r="GY66" i="23916"/>
  <c r="FK664" i="23916"/>
  <c r="AZ505" i="23916"/>
  <c r="EO622" i="23916"/>
  <c r="EO509" i="23916"/>
  <c r="EP509" i="23916" s="1"/>
  <c r="EO505" i="23916"/>
  <c r="EP505" i="23916" s="1"/>
  <c r="EP503" i="23916"/>
  <c r="EO14" i="23916"/>
  <c r="BQ420" i="23916"/>
  <c r="BP425" i="23916"/>
  <c r="EX439" i="23916"/>
  <c r="GP439" i="23916"/>
  <c r="GB802" i="23916"/>
  <c r="GC331" i="23916"/>
  <c r="GB340" i="23916"/>
  <c r="GC340" i="23916" s="1"/>
  <c r="GB338" i="23916"/>
  <c r="GC338" i="23916" s="1"/>
  <c r="GB334" i="23916"/>
  <c r="GB333" i="23916"/>
  <c r="GC333" i="23916" s="1"/>
  <c r="EW396" i="23916"/>
  <c r="EX424" i="23916"/>
  <c r="GP424" i="23916"/>
  <c r="DU608" i="23916"/>
  <c r="DV608" i="23916" s="1"/>
  <c r="DU606" i="23916"/>
  <c r="EQ262" i="23916"/>
  <c r="EQ264" i="23916" s="1"/>
  <c r="ER257" i="23916"/>
  <c r="EQ260" i="23916"/>
  <c r="AJ375" i="23916"/>
  <c r="AR375" i="23916"/>
  <c r="DH300" i="23916"/>
  <c r="FD171" i="23916"/>
  <c r="FE171" i="23916" s="1"/>
  <c r="FE169" i="23916"/>
  <c r="DU193" i="23916"/>
  <c r="DV187" i="23916"/>
  <c r="DU190" i="23916"/>
  <c r="DU195" i="23916"/>
  <c r="DU189" i="23916"/>
  <c r="CQ74" i="23916"/>
  <c r="CR74" i="23916" s="1"/>
  <c r="CR72" i="23916"/>
  <c r="FP664" i="23916"/>
  <c r="DM804" i="23916"/>
  <c r="DN545" i="23916"/>
  <c r="FY584" i="23916"/>
  <c r="GJ822" i="23916"/>
  <c r="GK544" i="23916"/>
  <c r="GJ508" i="23916"/>
  <c r="GK500" i="23916"/>
  <c r="GJ506" i="23916"/>
  <c r="GJ503" i="23916"/>
  <c r="GJ502" i="23916"/>
  <c r="ES497" i="23916"/>
  <c r="EQ498" i="23916"/>
  <c r="ER497" i="23916"/>
  <c r="BQ802" i="23916"/>
  <c r="BR373" i="23916"/>
  <c r="GP356" i="23916"/>
  <c r="EW208" i="23916"/>
  <c r="FX195" i="23916"/>
  <c r="FY195" i="23916" s="1"/>
  <c r="FX193" i="23916"/>
  <c r="FX190" i="23916"/>
  <c r="FY187" i="23916"/>
  <c r="FX189" i="23916"/>
  <c r="FY189" i="23916" s="1"/>
  <c r="Q193" i="23916"/>
  <c r="R187" i="23916"/>
  <c r="Q195" i="23916"/>
  <c r="Q190" i="23916"/>
  <c r="Q189" i="23916"/>
  <c r="Z187" i="23916"/>
  <c r="FH148" i="23916"/>
  <c r="FI148" i="23916" s="1"/>
  <c r="FI147" i="23916"/>
  <c r="FJ143" i="23916"/>
  <c r="AB753" i="23916"/>
  <c r="FS664" i="23916"/>
  <c r="CU804" i="23916"/>
  <c r="CV545" i="23916"/>
  <c r="FD817" i="23916"/>
  <c r="FE581" i="23916"/>
  <c r="FI584" i="23916"/>
  <c r="GK576" i="23916"/>
  <c r="BT505" i="23916"/>
  <c r="AL509" i="23916"/>
  <c r="FO502" i="23916"/>
  <c r="CQ411" i="23916"/>
  <c r="CQ416" i="23916"/>
  <c r="CQ412" i="23916"/>
  <c r="GM405" i="23916"/>
  <c r="GL411" i="23916"/>
  <c r="GL412" i="23916" s="1"/>
  <c r="GM412" i="23916" s="1"/>
  <c r="GL416" i="23916"/>
  <c r="GM416" i="23916" s="1"/>
  <c r="GL415" i="23916"/>
  <c r="GM415" i="23916" s="1"/>
  <c r="GL417" i="23916"/>
  <c r="GM417" i="23916" s="1"/>
  <c r="BE812" i="23916"/>
  <c r="BE620" i="23916"/>
  <c r="BF370" i="23916"/>
  <c r="BE372" i="23916"/>
  <c r="BE376" i="23916"/>
  <c r="BF376" i="23916" s="1"/>
  <c r="EP268" i="23916"/>
  <c r="EX268" i="23916"/>
  <c r="EK812" i="23916"/>
  <c r="EK620" i="23916"/>
  <c r="EL370" i="23916"/>
  <c r="EK372" i="23916"/>
  <c r="EK376" i="23916"/>
  <c r="EK13" i="23916"/>
  <c r="EL13" i="23916" s="1"/>
  <c r="CN369" i="23916"/>
  <c r="CV369" i="23916"/>
  <c r="CN373" i="23916"/>
  <c r="CV373" i="23916"/>
  <c r="GP282" i="23916"/>
  <c r="FF271" i="23916"/>
  <c r="FG271" i="23916" s="1"/>
  <c r="FG269" i="23916"/>
  <c r="GM305" i="23916"/>
  <c r="GJ305" i="23916"/>
  <c r="GK305" i="23916" s="1"/>
  <c r="GK298" i="23916"/>
  <c r="GJ307" i="23916"/>
  <c r="GK307" i="23916" s="1"/>
  <c r="GJ301" i="23916"/>
  <c r="GJ300" i="23916"/>
  <c r="GK300" i="23916" s="1"/>
  <c r="FM268" i="23916"/>
  <c r="FM272" i="23916"/>
  <c r="FD843" i="23916"/>
  <c r="FE192" i="23916"/>
  <c r="CK193" i="23916"/>
  <c r="CK189" i="23916"/>
  <c r="CL187" i="23916"/>
  <c r="CK195" i="23916"/>
  <c r="CK190" i="23916"/>
  <c r="FX622" i="23916"/>
  <c r="FX509" i="23916"/>
  <c r="FX505" i="23916"/>
  <c r="GJ801" i="23916"/>
  <c r="AK821" i="23916"/>
  <c r="AK817" i="23916"/>
  <c r="EI819" i="23916"/>
  <c r="EI624" i="23916"/>
  <c r="EI623" i="23916"/>
  <c r="EI544" i="23916"/>
  <c r="EJ541" i="23916"/>
  <c r="EI15" i="23916"/>
  <c r="EJ15" i="23916" s="1"/>
  <c r="ET291" i="23916"/>
  <c r="ES298" i="23916"/>
  <c r="EX730" i="23916"/>
  <c r="GP730" i="23916"/>
  <c r="BD753" i="23916"/>
  <c r="BH664" i="23916"/>
  <c r="FU604" i="23916"/>
  <c r="GG584" i="23916"/>
  <c r="EW593" i="23916"/>
  <c r="DV622" i="23916"/>
  <c r="GD581" i="23916"/>
  <c r="GE577" i="23916"/>
  <c r="GD585" i="23916"/>
  <c r="GE585" i="23916" s="1"/>
  <c r="BA654" i="23916"/>
  <c r="BB654" i="23916" s="1"/>
  <c r="BB620" i="23916"/>
  <c r="BA621" i="23916"/>
  <c r="EF376" i="23916"/>
  <c r="CU802" i="23916"/>
  <c r="CV305" i="23916"/>
  <c r="ES109" i="23916"/>
  <c r="EU108" i="23916"/>
  <c r="ET108" i="23916"/>
  <c r="DM193" i="23916"/>
  <c r="DM195" i="23916"/>
  <c r="DM190" i="23916"/>
  <c r="DM189" i="23916"/>
  <c r="DN187" i="23916"/>
  <c r="DW169" i="23916"/>
  <c r="DW170" i="23916"/>
  <c r="BQ766" i="23916"/>
  <c r="BR766" i="23916" s="1"/>
  <c r="BR731" i="23916"/>
  <c r="BQ734" i="23916"/>
  <c r="BS736" i="23916"/>
  <c r="BT736" i="23916" s="1"/>
  <c r="BS731" i="23916"/>
  <c r="BS733" i="23916"/>
  <c r="BU730" i="23916"/>
  <c r="BT730" i="23916"/>
  <c r="BS727" i="23916"/>
  <c r="BT727" i="23916" s="1"/>
  <c r="BS760" i="23916"/>
  <c r="BT760" i="23916" s="1"/>
  <c r="BS762" i="23916"/>
  <c r="BT762" i="23916" s="1"/>
  <c r="BS761" i="23916"/>
  <c r="BT761" i="23916" s="1"/>
  <c r="GT702" i="23916"/>
  <c r="GS702" i="23916"/>
  <c r="CE804" i="23916"/>
  <c r="CH509" i="23916"/>
  <c r="EB341" i="23916"/>
  <c r="EC812" i="23916"/>
  <c r="EC620" i="23916"/>
  <c r="ED370" i="23916"/>
  <c r="EC372" i="23916"/>
  <c r="EC376" i="23916"/>
  <c r="EC13" i="23916"/>
  <c r="FO268" i="23916"/>
  <c r="CT619" i="23916"/>
  <c r="CO618" i="23916"/>
  <c r="CP301" i="23916"/>
  <c r="CO308" i="23916"/>
  <c r="CO304" i="23916"/>
  <c r="CX301" i="23916"/>
  <c r="EF615" i="23916"/>
  <c r="CI195" i="23916"/>
  <c r="CI193" i="23916"/>
  <c r="CI190" i="23916"/>
  <c r="CI189" i="23916"/>
  <c r="CJ187" i="23916"/>
  <c r="CR618" i="23916"/>
  <c r="CQ621" i="23916"/>
  <c r="FL800" i="23916"/>
  <c r="CS193" i="23916"/>
  <c r="CS189" i="23916"/>
  <c r="CT189" i="23916" s="1"/>
  <c r="CS195" i="23916"/>
  <c r="CT195" i="23916" s="1"/>
  <c r="CT187" i="23916"/>
  <c r="CS190" i="23916"/>
  <c r="DT121" i="23916"/>
  <c r="GK114" i="23916"/>
  <c r="GK120" i="23916"/>
  <c r="GL43" i="23916"/>
  <c r="GM43" i="23916" s="1"/>
  <c r="GL38" i="23916"/>
  <c r="GL39" i="23916" s="1"/>
  <c r="GM32" i="23916"/>
  <c r="GL42" i="23916"/>
  <c r="GM42" i="23916" s="1"/>
  <c r="GL41" i="23916"/>
  <c r="GM41" i="23916" s="1"/>
  <c r="GG608" i="23916"/>
  <c r="FL581" i="23916"/>
  <c r="FM577" i="23916"/>
  <c r="FL585" i="23916"/>
  <c r="FM585" i="23916" s="1"/>
  <c r="FR799" i="23916"/>
  <c r="FR805" i="23916"/>
  <c r="FS582" i="23916"/>
  <c r="EL622" i="23916"/>
  <c r="GG497" i="23916"/>
  <c r="CI621" i="23916"/>
  <c r="EM802" i="23916"/>
  <c r="CT304" i="23916"/>
  <c r="CU195" i="23916"/>
  <c r="CU193" i="23916"/>
  <c r="CV187" i="23916"/>
  <c r="CU190" i="23916"/>
  <c r="CU189" i="23916"/>
  <c r="DM618" i="23916"/>
  <c r="DN301" i="23916"/>
  <c r="DM308" i="23916"/>
  <c r="DN308" i="23916" s="1"/>
  <c r="DM304" i="23916"/>
  <c r="DN304" i="23916" s="1"/>
  <c r="DG820" i="23916"/>
  <c r="DU613" i="23916"/>
  <c r="DU117" i="23916"/>
  <c r="DU7" i="23916"/>
  <c r="DV115" i="23916"/>
  <c r="DU121" i="23916"/>
  <c r="FQ722" i="23916"/>
  <c r="GR701" i="23916"/>
  <c r="GQ701" i="23916"/>
  <c r="DE792" i="23916"/>
  <c r="GK582" i="23916"/>
  <c r="CX509" i="23916"/>
  <c r="GD622" i="23916"/>
  <c r="GD505" i="23916"/>
  <c r="GE503" i="23916"/>
  <c r="GD509" i="23916"/>
  <c r="CC509" i="23916"/>
  <c r="CD509" i="23916" s="1"/>
  <c r="CC505" i="23916"/>
  <c r="CD505" i="23916" s="1"/>
  <c r="CD503" i="23916"/>
  <c r="DU478" i="23916"/>
  <c r="DU479" i="23916"/>
  <c r="AS816" i="23916"/>
  <c r="AT372" i="23916"/>
  <c r="M816" i="23916"/>
  <c r="N372" i="23916"/>
  <c r="EW353" i="23916"/>
  <c r="EX352" i="23916"/>
  <c r="EH341" i="23916"/>
  <c r="DB341" i="23916"/>
  <c r="DT300" i="23916"/>
  <c r="CQ195" i="23916"/>
  <c r="CQ193" i="23916"/>
  <c r="CQ190" i="23916"/>
  <c r="CQ189" i="23916"/>
  <c r="CR189" i="23916" s="1"/>
  <c r="CR187" i="23916"/>
  <c r="FT800" i="23916"/>
  <c r="AI195" i="23916"/>
  <c r="AI193" i="23916"/>
  <c r="AI189" i="23916"/>
  <c r="AJ187" i="23916"/>
  <c r="AI190" i="23916"/>
  <c r="DN120" i="23916"/>
  <c r="DM860" i="23916"/>
  <c r="DM796" i="23916"/>
  <c r="DN118" i="23916"/>
  <c r="E148" i="23916"/>
  <c r="G143" i="23916"/>
  <c r="CT51" i="23916"/>
  <c r="CU46" i="23916"/>
  <c r="FU182" i="23916"/>
  <c r="FW182" i="23916"/>
  <c r="GL809" i="23916"/>
  <c r="GM809" i="23916" s="1"/>
  <c r="EG613" i="23916"/>
  <c r="EG117" i="23916"/>
  <c r="EH117" i="23916" s="1"/>
  <c r="EG7" i="23916"/>
  <c r="EG121" i="23916"/>
  <c r="EH121" i="23916" s="1"/>
  <c r="EH115" i="23916"/>
  <c r="EI613" i="23916"/>
  <c r="EI121" i="23916"/>
  <c r="EJ121" i="23916" s="1"/>
  <c r="EI7" i="23916"/>
  <c r="EI117" i="23916"/>
  <c r="EJ117" i="23916" s="1"/>
  <c r="EJ115" i="23916"/>
  <c r="GP382" i="23916"/>
  <c r="GQ382" i="23916" s="1"/>
  <c r="DY822" i="23916"/>
  <c r="DZ544" i="23916"/>
  <c r="EN669" i="23916"/>
  <c r="EF669" i="23916"/>
  <c r="EE671" i="23916"/>
  <c r="DI804" i="23916"/>
  <c r="DJ545" i="23916"/>
  <c r="BM791" i="23916"/>
  <c r="BM787" i="23916"/>
  <c r="BM545" i="23916"/>
  <c r="CC816" i="23916"/>
  <c r="CD372" i="23916"/>
  <c r="CV340" i="23916"/>
  <c r="DD340" i="23916"/>
  <c r="CE154" i="23916"/>
  <c r="CE148" i="23916"/>
  <c r="FZ146" i="23916"/>
  <c r="FZ147" i="23916" s="1"/>
  <c r="CE150" i="23916"/>
  <c r="CN146" i="23916"/>
  <c r="CF146" i="23916"/>
  <c r="EE618" i="23916"/>
  <c r="EF301" i="23916"/>
  <c r="EE308" i="23916"/>
  <c r="EF308" i="23916" s="1"/>
  <c r="EE304" i="23916"/>
  <c r="EF304" i="23916" s="1"/>
  <c r="EE11" i="23916"/>
  <c r="EF11" i="23916" s="1"/>
  <c r="EI615" i="23916"/>
  <c r="EI275" i="23916"/>
  <c r="EJ275" i="23916" s="1"/>
  <c r="EJ269" i="23916"/>
  <c r="EI271" i="23916"/>
  <c r="EI9" i="23916"/>
  <c r="ES260" i="23916"/>
  <c r="ET257" i="23916"/>
  <c r="ES262" i="23916"/>
  <c r="GL801" i="23916"/>
  <c r="GM801" i="23916" s="1"/>
  <c r="GM272" i="23916"/>
  <c r="CM195" i="23916"/>
  <c r="CM193" i="23916"/>
  <c r="CN187" i="23916"/>
  <c r="CM190" i="23916"/>
  <c r="CM189" i="23916"/>
  <c r="EK613" i="23916"/>
  <c r="EK117" i="23916"/>
  <c r="EK7" i="23916"/>
  <c r="EL115" i="23916"/>
  <c r="EK121" i="23916"/>
  <c r="EB613" i="23916"/>
  <c r="CI804" i="23916"/>
  <c r="BC787" i="23916"/>
  <c r="BC545" i="23916"/>
  <c r="BD606" i="23916"/>
  <c r="FV508" i="23916"/>
  <c r="FW508" i="23916" s="1"/>
  <c r="FV503" i="23916"/>
  <c r="FV506" i="23916"/>
  <c r="FW506" i="23916" s="1"/>
  <c r="FV502" i="23916"/>
  <c r="FW502" i="23916" s="1"/>
  <c r="FW500" i="23916"/>
  <c r="FF505" i="23916"/>
  <c r="FG505" i="23916" s="1"/>
  <c r="FG503" i="23916"/>
  <c r="FF509" i="23916"/>
  <c r="FG509" i="23916" s="1"/>
  <c r="GL625" i="23916"/>
  <c r="GL581" i="23916"/>
  <c r="GL16" i="23916"/>
  <c r="EH624" i="23916"/>
  <c r="GJ479" i="23916"/>
  <c r="GJ478" i="23916"/>
  <c r="DA816" i="23916"/>
  <c r="DB372" i="23916"/>
  <c r="EP604" i="23916"/>
  <c r="EO606" i="23916"/>
  <c r="EO608" i="23916"/>
  <c r="GQ287" i="23916"/>
  <c r="GP293" i="23916"/>
  <c r="EW317" i="23916"/>
  <c r="EX316" i="23916"/>
  <c r="GF305" i="23916"/>
  <c r="GG305" i="23916" s="1"/>
  <c r="GG298" i="23916"/>
  <c r="GF307" i="23916"/>
  <c r="GG307" i="23916" s="1"/>
  <c r="GF301" i="23916"/>
  <c r="GF300" i="23916"/>
  <c r="GG300" i="23916" s="1"/>
  <c r="EN305" i="23916"/>
  <c r="FG180" i="23916"/>
  <c r="FF187" i="23916"/>
  <c r="FF809" i="23916"/>
  <c r="FF155" i="23916"/>
  <c r="FG155" i="23916" s="1"/>
  <c r="FF135" i="23916"/>
  <c r="FG133" i="23916"/>
  <c r="FH127" i="23916"/>
  <c r="CP620" i="23916"/>
  <c r="CG816" i="23916"/>
  <c r="CH372" i="23916"/>
  <c r="EM608" i="23916"/>
  <c r="EN604" i="23916"/>
  <c r="EM606" i="23916"/>
  <c r="GF120" i="23916"/>
  <c r="GF118" i="23916"/>
  <c r="GF115" i="23916"/>
  <c r="GG112" i="23916"/>
  <c r="GF114" i="23916"/>
  <c r="G271" i="23916"/>
  <c r="G275" i="23916"/>
  <c r="G813" i="23916"/>
  <c r="GH787" i="23916"/>
  <c r="GI606" i="23916"/>
  <c r="GH545" i="23916"/>
  <c r="GH791" i="23916"/>
  <c r="GH792" i="23916" s="1"/>
  <c r="EF14" i="23916"/>
  <c r="EF622" i="23916"/>
  <c r="GE494" i="23916"/>
  <c r="GG494" i="23916"/>
  <c r="GB509" i="23916"/>
  <c r="GB505" i="23916"/>
  <c r="AK816" i="23916"/>
  <c r="AL372" i="23916"/>
  <c r="GK331" i="23916"/>
  <c r="GJ340" i="23916"/>
  <c r="GM340" i="23916" s="1"/>
  <c r="GJ338" i="23916"/>
  <c r="GJ334" i="23916"/>
  <c r="GJ333" i="23916"/>
  <c r="FL372" i="23916"/>
  <c r="FM370" i="23916"/>
  <c r="FL376" i="23916"/>
  <c r="FM376" i="23916" s="1"/>
  <c r="CN618" i="23916"/>
  <c r="GL860" i="23916"/>
  <c r="GL796" i="23916"/>
  <c r="GM118" i="23916"/>
  <c r="GM860" i="23916" s="1"/>
  <c r="DA613" i="23916"/>
  <c r="DJ613" i="23916" s="1"/>
  <c r="DA117" i="23916"/>
  <c r="DJ117" i="23916" s="1"/>
  <c r="DB115" i="23916"/>
  <c r="DA121" i="23916"/>
  <c r="GO232" i="23916"/>
  <c r="DX624" i="23916"/>
  <c r="ED671" i="23916"/>
  <c r="GL671" i="23916"/>
  <c r="EL671" i="23916"/>
  <c r="GD787" i="23916"/>
  <c r="GE606" i="23916"/>
  <c r="GD545" i="23916"/>
  <c r="GD791" i="23916"/>
  <c r="GD792" i="23916" s="1"/>
  <c r="FU605" i="23916"/>
  <c r="FT606" i="23916"/>
  <c r="GG585" i="23916"/>
  <c r="U804" i="23916"/>
  <c r="V545" i="23916"/>
  <c r="CL620" i="23916"/>
  <c r="BG654" i="23916"/>
  <c r="BH620" i="23916"/>
  <c r="BG621" i="23916"/>
  <c r="DO618" i="23916"/>
  <c r="DO308" i="23916"/>
  <c r="DO304" i="23916"/>
  <c r="DP304" i="23916" s="1"/>
  <c r="DP301" i="23916"/>
  <c r="BE193" i="23916"/>
  <c r="BE189" i="23916"/>
  <c r="BF187" i="23916"/>
  <c r="BE195" i="23916"/>
  <c r="BE190" i="23916"/>
  <c r="BN187" i="23916"/>
  <c r="ER291" i="23916"/>
  <c r="EQ298" i="23916"/>
  <c r="GN245" i="23916"/>
  <c r="GN246" i="23916" s="1"/>
  <c r="GO237" i="23916"/>
  <c r="GI120" i="23916"/>
  <c r="DE860" i="23916"/>
  <c r="DE796" i="23916"/>
  <c r="DF118" i="23916"/>
  <c r="DI788" i="23916"/>
  <c r="DJ684" i="23916"/>
  <c r="DI665" i="23916"/>
  <c r="DK684" i="23916"/>
  <c r="FP805" i="23916"/>
  <c r="FP799" i="23916"/>
  <c r="FQ582" i="23916"/>
  <c r="BI791" i="23916"/>
  <c r="BI787" i="23916"/>
  <c r="BI545" i="23916"/>
  <c r="FK568" i="23916"/>
  <c r="FF799" i="23916"/>
  <c r="FF805" i="23916"/>
  <c r="FG582" i="23916"/>
  <c r="GM502" i="23916"/>
  <c r="GM508" i="23916"/>
  <c r="FG494" i="23916"/>
  <c r="FI494" i="23916"/>
  <c r="AB605" i="23916"/>
  <c r="FL605" i="23916"/>
  <c r="AA606" i="23916"/>
  <c r="CO482" i="23916"/>
  <c r="AG816" i="23916"/>
  <c r="AH372" i="23916"/>
  <c r="FN373" i="23916"/>
  <c r="FO373" i="23916" s="1"/>
  <c r="FN369" i="23916"/>
  <c r="FO369" i="23916" s="1"/>
  <c r="FN375" i="23916"/>
  <c r="FO375" i="23916" s="1"/>
  <c r="FO367" i="23916"/>
  <c r="FN370" i="23916"/>
  <c r="GL373" i="23916"/>
  <c r="GL369" i="23916"/>
  <c r="GM369" i="23916" s="1"/>
  <c r="GL375" i="23916"/>
  <c r="GM375" i="23916" s="1"/>
  <c r="GL370" i="23916"/>
  <c r="GM367" i="23916"/>
  <c r="GJ480" i="23916"/>
  <c r="GJ481" i="23916"/>
  <c r="FJ816" i="23916"/>
  <c r="FK372" i="23916"/>
  <c r="DX305" i="23916"/>
  <c r="BM821" i="23916"/>
  <c r="BM817" i="23916"/>
  <c r="AG821" i="23916"/>
  <c r="AG817" i="23916"/>
  <c r="AH192" i="23916"/>
  <c r="EM195" i="23916"/>
  <c r="EN195" i="23916" s="1"/>
  <c r="EM193" i="23916"/>
  <c r="EN187" i="23916"/>
  <c r="EM189" i="23916"/>
  <c r="EM190" i="23916"/>
  <c r="DI193" i="23916"/>
  <c r="DI195" i="23916"/>
  <c r="DI190" i="23916"/>
  <c r="DI189" i="23916"/>
  <c r="DJ187" i="23916"/>
  <c r="CW860" i="23916"/>
  <c r="CW796" i="23916"/>
  <c r="CX118" i="23916"/>
  <c r="EI195" i="23916"/>
  <c r="EI193" i="23916"/>
  <c r="EI189" i="23916"/>
  <c r="EJ187" i="23916"/>
  <c r="EI190" i="23916"/>
  <c r="GV47" i="23916"/>
  <c r="GU47" i="23916"/>
  <c r="AV753" i="23916"/>
  <c r="GP714" i="23916"/>
  <c r="EW717" i="23916"/>
  <c r="EX717" i="23916" s="1"/>
  <c r="EX714" i="23916"/>
  <c r="GS699" i="23916"/>
  <c r="GT699" i="23916"/>
  <c r="FN690" i="23916"/>
  <c r="FQ690" i="23916" s="1"/>
  <c r="AJ690" i="23916"/>
  <c r="AI664" i="23916"/>
  <c r="AJ664" i="23916" s="1"/>
  <c r="BO787" i="23916"/>
  <c r="BO791" i="23916"/>
  <c r="BO792" i="23916" s="1"/>
  <c r="BO545" i="23916"/>
  <c r="BP606" i="23916"/>
  <c r="FM571" i="23916"/>
  <c r="FO571" i="23916"/>
  <c r="BE606" i="23916"/>
  <c r="BN606" i="23916" s="1"/>
  <c r="BF605" i="23916"/>
  <c r="EN505" i="23916"/>
  <c r="CQ449" i="23916"/>
  <c r="CQ444" i="23916"/>
  <c r="CQ445" i="23916"/>
  <c r="BI654" i="23916"/>
  <c r="BJ654" i="23916" s="1"/>
  <c r="BJ620" i="23916"/>
  <c r="BI621" i="23916"/>
  <c r="DP620" i="23916"/>
  <c r="GP326" i="23916"/>
  <c r="GQ320" i="23916"/>
  <c r="FK272" i="23916"/>
  <c r="EG236" i="23916"/>
  <c r="EG238" i="23916"/>
  <c r="GP212" i="23916"/>
  <c r="GQ207" i="23916"/>
  <c r="AW193" i="23916"/>
  <c r="AW195" i="23916"/>
  <c r="AX195" i="23916" s="1"/>
  <c r="AW189" i="23916"/>
  <c r="AX189" i="23916" s="1"/>
  <c r="AX187" i="23916"/>
  <c r="AW190" i="23916"/>
  <c r="GV159" i="23916"/>
  <c r="GU159" i="23916"/>
  <c r="EN7" i="23916"/>
  <c r="BA193" i="23916"/>
  <c r="BA195" i="23916"/>
  <c r="BB195" i="23916" s="1"/>
  <c r="BA189" i="23916"/>
  <c r="BB189" i="23916" s="1"/>
  <c r="BB187" i="23916"/>
  <c r="BA190" i="23916"/>
  <c r="L138" i="23916"/>
  <c r="DL120" i="23916"/>
  <c r="DL613" i="23916"/>
  <c r="CG171" i="23916"/>
  <c r="CH171" i="23916" s="1"/>
  <c r="CH169" i="23916"/>
  <c r="GT527" i="23916"/>
  <c r="FV799" i="23916"/>
  <c r="FV805" i="23916"/>
  <c r="FW582" i="23916"/>
  <c r="GR421" i="23916"/>
  <c r="GQ421" i="23916"/>
  <c r="BP387" i="23916"/>
  <c r="BQ381" i="23916"/>
  <c r="BO401" i="23916"/>
  <c r="BP401" i="23916" s="1"/>
  <c r="CX376" i="23916"/>
  <c r="AC816" i="23916"/>
  <c r="AD372" i="23916"/>
  <c r="GF620" i="23916"/>
  <c r="GF372" i="23916"/>
  <c r="GF376" i="23916"/>
  <c r="GG370" i="23916"/>
  <c r="ES367" i="23916"/>
  <c r="DS608" i="23916"/>
  <c r="DT608" i="23916" s="1"/>
  <c r="DS606" i="23916"/>
  <c r="DR619" i="23916"/>
  <c r="ED604" i="23916"/>
  <c r="EC606" i="23916"/>
  <c r="EC608" i="23916"/>
  <c r="ED608" i="23916" s="1"/>
  <c r="EJ305" i="23916"/>
  <c r="CA195" i="23916"/>
  <c r="CB195" i="23916" s="1"/>
  <c r="CA193" i="23916"/>
  <c r="CA189" i="23916"/>
  <c r="CB189" i="23916" s="1"/>
  <c r="CB187" i="23916"/>
  <c r="CA190" i="23916"/>
  <c r="BO812" i="23916"/>
  <c r="BO620" i="23916"/>
  <c r="BO372" i="23916"/>
  <c r="BO376" i="23916"/>
  <c r="BP370" i="23916"/>
  <c r="BX370" i="23916"/>
  <c r="BO802" i="23916"/>
  <c r="BP373" i="23916"/>
  <c r="BX373" i="23916"/>
  <c r="I275" i="23916"/>
  <c r="I271" i="23916"/>
  <c r="I813" i="23916"/>
  <c r="GQ259" i="23916"/>
  <c r="GR259" i="23916"/>
  <c r="EE819" i="23916"/>
  <c r="EE624" i="23916"/>
  <c r="EN624" i="23916" s="1"/>
  <c r="EE623" i="23916"/>
  <c r="EF623" i="23916" s="1"/>
  <c r="EE544" i="23916"/>
  <c r="EF541" i="23916"/>
  <c r="EE15" i="23916"/>
  <c r="EF15" i="23916" s="1"/>
  <c r="BQ648" i="23916"/>
  <c r="BQ616" i="23916"/>
  <c r="DJ114" i="23916"/>
  <c r="FU568" i="23916"/>
  <c r="FW568" i="23916"/>
  <c r="GH625" i="23916"/>
  <c r="GI577" i="23916"/>
  <c r="GH585" i="23916"/>
  <c r="GI585" i="23916" s="1"/>
  <c r="FK494" i="23916"/>
  <c r="FM494" i="23916"/>
  <c r="DT509" i="23916"/>
  <c r="CS420" i="23916"/>
  <c r="EJ372" i="23916"/>
  <c r="DM816" i="23916"/>
  <c r="DN372" i="23916"/>
  <c r="EG615" i="23916"/>
  <c r="EG271" i="23916"/>
  <c r="EG275" i="23916"/>
  <c r="EH275" i="23916" s="1"/>
  <c r="EH269" i="23916"/>
  <c r="EG9" i="23916"/>
  <c r="BH375" i="23916"/>
  <c r="EP376" i="23916"/>
  <c r="DK618" i="23916"/>
  <c r="DL301" i="23916"/>
  <c r="DK308" i="23916"/>
  <c r="DL308" i="23916" s="1"/>
  <c r="DK304" i="23916"/>
  <c r="DK812" i="23916"/>
  <c r="GB615" i="23916"/>
  <c r="GC615" i="23916" s="1"/>
  <c r="GB271" i="23916"/>
  <c r="GC271" i="23916" s="1"/>
  <c r="GC269" i="23916"/>
  <c r="CY802" i="23916"/>
  <c r="CZ305" i="23916"/>
  <c r="DX121" i="23916"/>
  <c r="FV615" i="23916"/>
  <c r="FW615" i="23916" s="1"/>
  <c r="FV271" i="23916"/>
  <c r="FW271" i="23916" s="1"/>
  <c r="FW269" i="23916"/>
  <c r="FV275" i="23916"/>
  <c r="AS606" i="23916"/>
  <c r="AT605" i="23916"/>
  <c r="BD509" i="23916"/>
  <c r="GN539" i="23916"/>
  <c r="GN541" i="23916"/>
  <c r="AZ509" i="23916"/>
  <c r="FI506" i="23916"/>
  <c r="EP506" i="23916"/>
  <c r="GQ350" i="23916"/>
  <c r="GR350" i="23916"/>
  <c r="GV163" i="23916"/>
  <c r="GU163" i="23916"/>
  <c r="DV308" i="23916"/>
  <c r="FK369" i="23916"/>
  <c r="DO619" i="23916"/>
  <c r="DO337" i="23916"/>
  <c r="DP337" i="23916" s="1"/>
  <c r="DP334" i="23916"/>
  <c r="DO341" i="23916"/>
  <c r="DP341" i="23916" s="1"/>
  <c r="DG618" i="23916"/>
  <c r="DH301" i="23916"/>
  <c r="DG308" i="23916"/>
  <c r="DG304" i="23916"/>
  <c r="DG812" i="23916"/>
  <c r="DG804" i="23916"/>
  <c r="DH545" i="23916"/>
  <c r="FW604" i="23916"/>
  <c r="FK744" i="23916"/>
  <c r="DH505" i="23916"/>
  <c r="EP623" i="23916"/>
  <c r="EJ509" i="23916"/>
  <c r="FV444" i="23916"/>
  <c r="FV445" i="23916" s="1"/>
  <c r="FW438" i="23916"/>
  <c r="FV449" i="23916"/>
  <c r="FW449" i="23916" s="1"/>
  <c r="EW410" i="23916"/>
  <c r="EV410" i="23916"/>
  <c r="EU386" i="23916"/>
  <c r="BQ812" i="23916"/>
  <c r="BQ620" i="23916"/>
  <c r="BR370" i="23916"/>
  <c r="BQ372" i="23916"/>
  <c r="BQ376" i="23916"/>
  <c r="BR376" i="23916" s="1"/>
  <c r="DW608" i="23916"/>
  <c r="DX608" i="23916" s="1"/>
  <c r="DW606" i="23916"/>
  <c r="BD369" i="23916"/>
  <c r="BL369" i="23916"/>
  <c r="DW816" i="23916"/>
  <c r="DX372" i="23916"/>
  <c r="CW621" i="23916"/>
  <c r="GM180" i="23916"/>
  <c r="GL187" i="23916"/>
  <c r="FV616" i="23916"/>
  <c r="GK577" i="23916"/>
  <c r="FI576" i="23916"/>
  <c r="FH805" i="23916"/>
  <c r="FH799" i="23916"/>
  <c r="FI582" i="23916"/>
  <c r="FO506" i="23916"/>
  <c r="GO497" i="23916"/>
  <c r="EO801" i="23916"/>
  <c r="EP272" i="23916"/>
  <c r="CB369" i="23916"/>
  <c r="FR373" i="23916"/>
  <c r="FR369" i="23916"/>
  <c r="FU369" i="23916" s="1"/>
  <c r="FR375" i="23916"/>
  <c r="FS367" i="23916"/>
  <c r="FR370" i="23916"/>
  <c r="FU370" i="23916" s="1"/>
  <c r="GM300" i="23916"/>
  <c r="GL618" i="23916"/>
  <c r="GL308" i="23916"/>
  <c r="GM301" i="23916"/>
  <c r="GL304" i="23916"/>
  <c r="GL11" i="23916"/>
  <c r="GO180" i="23916"/>
  <c r="GN187" i="23916"/>
  <c r="FZ618" i="23916"/>
  <c r="FZ308" i="23916"/>
  <c r="GA308" i="23916" s="1"/>
  <c r="GA301" i="23916"/>
  <c r="FZ304" i="23916"/>
  <c r="GA304" i="23916" s="1"/>
  <c r="FY500" i="23916"/>
  <c r="EP117" i="23916"/>
  <c r="CQ804" i="23916"/>
  <c r="CR545" i="23916"/>
  <c r="AB505" i="23916"/>
  <c r="DU401" i="23916"/>
  <c r="DW381" i="23916"/>
  <c r="EI619" i="23916"/>
  <c r="EI337" i="23916"/>
  <c r="EJ337" i="23916" s="1"/>
  <c r="EI341" i="23916"/>
  <c r="EJ341" i="23916" s="1"/>
  <c r="EJ334" i="23916"/>
  <c r="EI12" i="23916"/>
  <c r="EJ12" i="23916" s="1"/>
  <c r="GA180" i="23916"/>
  <c r="FZ187" i="23916"/>
  <c r="CP169" i="23916"/>
  <c r="CU820" i="23916"/>
  <c r="CV117" i="23916"/>
  <c r="CS813" i="23916"/>
  <c r="CS613" i="23916"/>
  <c r="CS117" i="23916"/>
  <c r="CS121" i="23916"/>
  <c r="CT121" i="23916" s="1"/>
  <c r="CT115" i="23916"/>
  <c r="BQ754" i="23916"/>
  <c r="BR754" i="23916" s="1"/>
  <c r="BQ753" i="23916"/>
  <c r="BR753" i="23916" s="1"/>
  <c r="BQ756" i="23916"/>
  <c r="BR756" i="23916" s="1"/>
  <c r="BQ735" i="23916"/>
  <c r="BR733" i="23916"/>
  <c r="BQ711" i="23916"/>
  <c r="BQ749" i="23916"/>
  <c r="BR749" i="23916" s="1"/>
  <c r="BQ752" i="23916"/>
  <c r="BR752" i="23916" s="1"/>
  <c r="BQ751" i="23916"/>
  <c r="BR751" i="23916" s="1"/>
  <c r="BQ750" i="23916"/>
  <c r="BR750" i="23916" s="1"/>
  <c r="GC722" i="23916"/>
  <c r="X509" i="23916"/>
  <c r="GY443" i="23916"/>
  <c r="GZ443" i="23916"/>
  <c r="BO415" i="23916"/>
  <c r="BP415" i="23916" s="1"/>
  <c r="BP412" i="23916"/>
  <c r="BP411" i="23916"/>
  <c r="BO434" i="23916"/>
  <c r="BP434" i="23916" s="1"/>
  <c r="BQ405" i="23916"/>
  <c r="DJ620" i="23916"/>
  <c r="R376" i="23916"/>
  <c r="GQ289" i="23916"/>
  <c r="GR289" i="23916"/>
  <c r="FO272" i="23916"/>
  <c r="EL307" i="23916"/>
  <c r="CO802" i="23916"/>
  <c r="CP305" i="23916"/>
  <c r="CX305" i="23916"/>
  <c r="ED268" i="23916"/>
  <c r="EC801" i="23916"/>
  <c r="ED272" i="23916"/>
  <c r="EE820" i="23916"/>
  <c r="EF271" i="23916"/>
  <c r="GP202" i="23916"/>
  <c r="AQ195" i="23916"/>
  <c r="AR195" i="23916" s="1"/>
  <c r="AQ193" i="23916"/>
  <c r="AR187" i="23916"/>
  <c r="AQ189" i="23916"/>
  <c r="AR189" i="23916" s="1"/>
  <c r="AQ190" i="23916"/>
  <c r="DT613" i="23916"/>
  <c r="DQ860" i="23916"/>
  <c r="DQ796" i="23916"/>
  <c r="DR118" i="23916"/>
  <c r="AF753" i="23916"/>
  <c r="FS576" i="23916"/>
  <c r="FR581" i="23916"/>
  <c r="FS577" i="23916"/>
  <c r="FR585" i="23916"/>
  <c r="CB509" i="23916"/>
  <c r="GH508" i="23916"/>
  <c r="GI508" i="23916" s="1"/>
  <c r="GH506" i="23916"/>
  <c r="GI506" i="23916" s="1"/>
  <c r="GH503" i="23916"/>
  <c r="GI500" i="23916"/>
  <c r="GH502" i="23916"/>
  <c r="GI502" i="23916" s="1"/>
  <c r="GN508" i="23916"/>
  <c r="GO508" i="23916" s="1"/>
  <c r="GN506" i="23916"/>
  <c r="GO500" i="23916"/>
  <c r="GN503" i="23916"/>
  <c r="GN502" i="23916"/>
  <c r="GO502" i="23916" s="1"/>
  <c r="EM822" i="23916"/>
  <c r="EN544" i="23916"/>
  <c r="DQ816" i="23916"/>
  <c r="DR372" i="23916"/>
  <c r="BZ620" i="23916"/>
  <c r="BY621" i="23916"/>
  <c r="DS801" i="23916"/>
  <c r="DT272" i="23916"/>
  <c r="DS615" i="23916"/>
  <c r="DS275" i="23916"/>
  <c r="DT275" i="23916" s="1"/>
  <c r="DT269" i="23916"/>
  <c r="DS271" i="23916"/>
  <c r="DS9" i="23916"/>
  <c r="BG195" i="23916"/>
  <c r="BH195" i="23916" s="1"/>
  <c r="BG193" i="23916"/>
  <c r="BG189" i="23916"/>
  <c r="BH189" i="23916" s="1"/>
  <c r="BH187" i="23916"/>
  <c r="BG190" i="23916"/>
  <c r="DM802" i="23916"/>
  <c r="DN305" i="23916"/>
  <c r="BJ189" i="23916"/>
  <c r="GU33" i="23916"/>
  <c r="GV33" i="23916"/>
  <c r="BY193" i="23916"/>
  <c r="BZ187" i="23916"/>
  <c r="BY190" i="23916"/>
  <c r="BY195" i="23916"/>
  <c r="BZ195" i="23916" s="1"/>
  <c r="BY189" i="23916"/>
  <c r="BZ189" i="23916" s="1"/>
  <c r="GR715" i="23916"/>
  <c r="GQ715" i="23916"/>
  <c r="GD719" i="23916"/>
  <c r="GE719" i="23916" s="1"/>
  <c r="GE718" i="23916"/>
  <c r="GD721" i="23916"/>
  <c r="GD763" i="23916"/>
  <c r="GE763" i="23916" s="1"/>
  <c r="AU545" i="23916"/>
  <c r="AV606" i="23916"/>
  <c r="GC604" i="23916"/>
  <c r="AN509" i="23916"/>
  <c r="GE502" i="23916"/>
  <c r="GE508" i="23916"/>
  <c r="FO604" i="23916"/>
  <c r="CV509" i="23916"/>
  <c r="AJ509" i="23916"/>
  <c r="GS406" i="23916"/>
  <c r="GT406" i="23916"/>
  <c r="DU802" i="23916"/>
  <c r="DV373" i="23916"/>
  <c r="BQ397" i="23916"/>
  <c r="BR392" i="23916"/>
  <c r="BQ398" i="23916"/>
  <c r="EV353" i="23916"/>
  <c r="EU359" i="23916"/>
  <c r="EV359" i="23916" s="1"/>
  <c r="EV288" i="23916"/>
  <c r="EW288" i="23916"/>
  <c r="EX288" i="23916" s="1"/>
  <c r="CK143" i="23916"/>
  <c r="EH12" i="23916"/>
  <c r="EH619" i="23916"/>
  <c r="DB619" i="23916"/>
  <c r="FZ812" i="23916"/>
  <c r="FZ620" i="23916"/>
  <c r="FZ376" i="23916"/>
  <c r="FZ372" i="23916"/>
  <c r="DS618" i="23916"/>
  <c r="DT301" i="23916"/>
  <c r="DS308" i="23916"/>
  <c r="DT308" i="23916" s="1"/>
  <c r="DS304" i="23916"/>
  <c r="DT304" i="23916" s="1"/>
  <c r="DS11" i="23916"/>
  <c r="DT11" i="23916" s="1"/>
  <c r="DM813" i="23916"/>
  <c r="DM613" i="23916"/>
  <c r="DM117" i="23916"/>
  <c r="DN115" i="23916"/>
  <c r="DM121" i="23916"/>
  <c r="CS71" i="23916"/>
  <c r="CT71" i="23916" s="1"/>
  <c r="CT52" i="23916"/>
  <c r="FU184" i="23916"/>
  <c r="FW184" i="23916"/>
  <c r="BU193" i="23916"/>
  <c r="BV187" i="23916"/>
  <c r="BU190" i="23916"/>
  <c r="BU189" i="23916"/>
  <c r="BV189" i="23916" s="1"/>
  <c r="BU195" i="23916"/>
  <c r="BV195" i="23916" s="1"/>
  <c r="CY860" i="23916"/>
  <c r="CY796" i="23916"/>
  <c r="CZ118" i="23916"/>
  <c r="GN133" i="23916"/>
  <c r="GO127" i="23916"/>
  <c r="GN138" i="23916"/>
  <c r="GO138" i="23916" s="1"/>
  <c r="GN137" i="23916"/>
  <c r="GO137" i="23916" s="1"/>
  <c r="EG860" i="23916"/>
  <c r="EG796" i="23916"/>
  <c r="EH118" i="23916"/>
  <c r="CR613" i="23916"/>
  <c r="EI860" i="23916"/>
  <c r="EI796" i="23916"/>
  <c r="EJ118" i="23916"/>
  <c r="GJ195" i="23916"/>
  <c r="GJ193" i="23916"/>
  <c r="GJ190" i="23916"/>
  <c r="GJ189" i="23916"/>
  <c r="GL619" i="23916"/>
  <c r="GM334" i="23916"/>
  <c r="GL341" i="23916"/>
  <c r="GL337" i="23916"/>
  <c r="GL12" i="23916"/>
  <c r="EA820" i="23916"/>
  <c r="EB271" i="23916"/>
  <c r="DZ624" i="23916"/>
  <c r="DW450" i="23916"/>
  <c r="DW449" i="23916"/>
  <c r="DW444" i="23916"/>
  <c r="DW448" i="23916"/>
  <c r="DW445" i="23916"/>
  <c r="CF147" i="23916"/>
  <c r="CE809" i="23916"/>
  <c r="CE155" i="23916"/>
  <c r="CN147" i="23916"/>
  <c r="ER268" i="23916"/>
  <c r="EJ268" i="23916"/>
  <c r="GL615" i="23916"/>
  <c r="GL271" i="23916"/>
  <c r="GM269" i="23916"/>
  <c r="GL275" i="23916"/>
  <c r="GL9" i="23916"/>
  <c r="EU263" i="23916"/>
  <c r="EU264" i="23916" s="1"/>
  <c r="EV258" i="23916"/>
  <c r="GP827" i="23916"/>
  <c r="GQ827" i="23916" s="1"/>
  <c r="GR128" i="23916"/>
  <c r="GQ128" i="23916"/>
  <c r="DK804" i="23916"/>
  <c r="DL545" i="23916"/>
  <c r="DJ372" i="23916"/>
  <c r="AO816" i="23916"/>
  <c r="AP372" i="23916"/>
  <c r="DY801" i="23916"/>
  <c r="DZ272" i="23916"/>
  <c r="FU375" i="23916"/>
  <c r="EN307" i="23916"/>
  <c r="DP613" i="23916"/>
  <c r="EC613" i="23916"/>
  <c r="EC117" i="23916"/>
  <c r="ED117" i="23916" s="1"/>
  <c r="ED115" i="23916"/>
  <c r="EC7" i="23916"/>
  <c r="EC121" i="23916"/>
  <c r="ED121" i="23916" s="1"/>
  <c r="CT38" i="23916"/>
  <c r="CU32" i="23916"/>
  <c r="CS58" i="23916"/>
  <c r="CT58" i="23916" s="1"/>
  <c r="CH620" i="23916"/>
  <c r="CG621" i="23916"/>
  <c r="GO331" i="23916"/>
  <c r="GN340" i="23916"/>
  <c r="GO340" i="23916" s="1"/>
  <c r="GN338" i="23916"/>
  <c r="GO338" i="23916" s="1"/>
  <c r="GN334" i="23916"/>
  <c r="GN333" i="23916"/>
  <c r="GO333" i="23916" s="1"/>
  <c r="DZ621" i="23916"/>
  <c r="AC813" i="23916"/>
  <c r="AD190" i="23916"/>
  <c r="AC192" i="23916"/>
  <c r="AL192" i="23916" s="1"/>
  <c r="AC196" i="23916"/>
  <c r="AD196" i="23916" s="1"/>
  <c r="GL246" i="23916"/>
  <c r="GM246" i="23916" s="1"/>
  <c r="GL235" i="23916"/>
  <c r="DH860" i="23916"/>
  <c r="DH796" i="23916"/>
  <c r="GC860" i="23916"/>
  <c r="GC796" i="23916"/>
  <c r="FU742" i="23916"/>
  <c r="CY804" i="23916"/>
  <c r="CZ545" i="23916"/>
  <c r="FI571" i="23916"/>
  <c r="FK571" i="23916"/>
  <c r="GT607" i="23916"/>
  <c r="GV536" i="23916"/>
  <c r="DW432" i="23916"/>
  <c r="EG816" i="23916"/>
  <c r="EH372" i="23916"/>
  <c r="DE816" i="23916"/>
  <c r="DF372" i="23916"/>
  <c r="CS397" i="23916"/>
  <c r="CS398" i="23916"/>
  <c r="AU802" i="23916"/>
  <c r="AV373" i="23916"/>
  <c r="DK619" i="23916"/>
  <c r="DK337" i="23916"/>
  <c r="DL337" i="23916" s="1"/>
  <c r="DL334" i="23916"/>
  <c r="DK341" i="23916"/>
  <c r="DL341" i="23916" s="1"/>
  <c r="GD619" i="23916"/>
  <c r="GD341" i="23916"/>
  <c r="GE334" i="23916"/>
  <c r="GD337" i="23916"/>
  <c r="GE180" i="23916"/>
  <c r="GD187" i="23916"/>
  <c r="AE195" i="23916"/>
  <c r="AF195" i="23916" s="1"/>
  <c r="AE193" i="23916"/>
  <c r="AE189" i="23916"/>
  <c r="AF189" i="23916" s="1"/>
  <c r="AF187" i="23916"/>
  <c r="AE190" i="23916"/>
  <c r="CL505" i="23916"/>
  <c r="DW822" i="23916"/>
  <c r="DX544" i="23916"/>
  <c r="FK753" i="23916"/>
  <c r="CM804" i="23916"/>
  <c r="CN545" i="23916"/>
  <c r="CL376" i="23916"/>
  <c r="BU816" i="23916"/>
  <c r="BV372" i="23916"/>
  <c r="EV284" i="23916"/>
  <c r="EU290" i="23916"/>
  <c r="GI114" i="23916"/>
  <c r="GI112" i="23916"/>
  <c r="DE613" i="23916"/>
  <c r="DE117" i="23916"/>
  <c r="DF115" i="23916"/>
  <c r="DE121" i="23916"/>
  <c r="CA133" i="23916"/>
  <c r="CA138" i="23916"/>
  <c r="CA137" i="23916"/>
  <c r="CA135" i="23916"/>
  <c r="T753" i="23916"/>
  <c r="DO804" i="23916"/>
  <c r="DP545" i="23916"/>
  <c r="FP581" i="23916"/>
  <c r="FQ577" i="23916"/>
  <c r="FP585" i="23916"/>
  <c r="FF581" i="23916"/>
  <c r="FG577" i="23916"/>
  <c r="FF585" i="23916"/>
  <c r="FG585" i="23916" s="1"/>
  <c r="FG497" i="23916"/>
  <c r="FI497" i="23916"/>
  <c r="FV373" i="23916"/>
  <c r="FW373" i="23916" s="1"/>
  <c r="FV369" i="23916"/>
  <c r="FW369" i="23916" s="1"/>
  <c r="FV375" i="23916"/>
  <c r="FW375" i="23916" s="1"/>
  <c r="FV370" i="23916"/>
  <c r="FW367" i="23916"/>
  <c r="GN375" i="23916"/>
  <c r="GO375" i="23916" s="1"/>
  <c r="GN370" i="23916"/>
  <c r="GO367" i="23916"/>
  <c r="GN373" i="23916"/>
  <c r="GN369" i="23916"/>
  <c r="GO369" i="23916" s="1"/>
  <c r="BY143" i="23916"/>
  <c r="BW809" i="23916"/>
  <c r="BW155" i="23916"/>
  <c r="FK376" i="23916"/>
  <c r="GT252" i="23916"/>
  <c r="GS252" i="23916"/>
  <c r="CY195" i="23916"/>
  <c r="CZ195" i="23916" s="1"/>
  <c r="CY193" i="23916"/>
  <c r="CY190" i="23916"/>
  <c r="CY189" i="23916"/>
  <c r="CZ189" i="23916" s="1"/>
  <c r="CZ187" i="23916"/>
  <c r="DX307" i="23916"/>
  <c r="C155" i="23916"/>
  <c r="C135" i="23916"/>
  <c r="E127" i="23916"/>
  <c r="CW813" i="23916"/>
  <c r="CW613" i="23916"/>
  <c r="CW117" i="23916"/>
  <c r="CX115" i="23916"/>
  <c r="CW121" i="23916"/>
  <c r="CX121" i="23916" s="1"/>
  <c r="CS127" i="23916"/>
  <c r="GI665" i="23916"/>
  <c r="CG804" i="23916"/>
  <c r="CS804" i="23916"/>
  <c r="AC804" i="23916"/>
  <c r="AD545" i="23916"/>
  <c r="EN622" i="23916"/>
  <c r="ES539" i="23916"/>
  <c r="ES541" i="23916"/>
  <c r="FM502" i="23916"/>
  <c r="FM508" i="23916"/>
  <c r="GC304" i="23916"/>
  <c r="DO812" i="23916"/>
  <c r="EN372" i="23916"/>
  <c r="GJ802" i="23916"/>
  <c r="FJ271" i="23916"/>
  <c r="FK271" i="23916" s="1"/>
  <c r="FK269" i="23916"/>
  <c r="GI180" i="23916"/>
  <c r="GH187" i="23916"/>
  <c r="CE195" i="23916"/>
  <c r="CF195" i="23916" s="1"/>
  <c r="CE193" i="23916"/>
  <c r="CF187" i="23916"/>
  <c r="CE190" i="23916"/>
  <c r="CE189" i="23916"/>
  <c r="CF189" i="23916" s="1"/>
  <c r="DU152" i="23916"/>
  <c r="M813" i="23916"/>
  <c r="N190" i="23916"/>
  <c r="M192" i="23916"/>
  <c r="M196" i="23916"/>
  <c r="N196" i="23916" s="1"/>
  <c r="EE236" i="23916"/>
  <c r="EE238" i="23916"/>
  <c r="EN615" i="23916"/>
  <c r="CO193" i="23916"/>
  <c r="CP187" i="23916"/>
  <c r="CO189" i="23916"/>
  <c r="CO195" i="23916"/>
  <c r="CP195" i="23916" s="1"/>
  <c r="CO190" i="23916"/>
  <c r="DL115" i="23916"/>
  <c r="CH170" i="23916"/>
  <c r="FW576" i="23916"/>
  <c r="CZ505" i="23916"/>
  <c r="EV393" i="23916"/>
  <c r="BO480" i="23916"/>
  <c r="BO481" i="23916"/>
  <c r="BP481" i="23916" s="1"/>
  <c r="BP388" i="23916"/>
  <c r="EK615" i="23916"/>
  <c r="EK271" i="23916"/>
  <c r="EK275" i="23916"/>
  <c r="EL269" i="23916"/>
  <c r="EK9" i="23916"/>
  <c r="EK801" i="23916"/>
  <c r="EL272" i="23916"/>
  <c r="EJ307" i="23916"/>
  <c r="DC802" i="23916"/>
  <c r="DD305" i="23916"/>
  <c r="BQ821" i="23916"/>
  <c r="BQ817" i="23916"/>
  <c r="CW792" i="23916"/>
  <c r="FU571" i="23916"/>
  <c r="FW571" i="23916"/>
  <c r="AW545" i="23916"/>
  <c r="AX606" i="23916"/>
  <c r="DX505" i="23916"/>
  <c r="GT474" i="23916"/>
  <c r="GS474" i="23916"/>
  <c r="GN620" i="23916"/>
  <c r="EJ620" i="23916"/>
  <c r="BM654" i="23916"/>
  <c r="BN620" i="23916"/>
  <c r="BM621" i="23916"/>
  <c r="EH274" i="23916"/>
  <c r="EO816" i="23916"/>
  <c r="EP372" i="23916"/>
  <c r="FR615" i="23916"/>
  <c r="FS615" i="23916" s="1"/>
  <c r="FR271" i="23916"/>
  <c r="FS271" i="23916" s="1"/>
  <c r="FS269" i="23916"/>
  <c r="GC268" i="23916"/>
  <c r="GC272" i="23916"/>
  <c r="DC195" i="23916"/>
  <c r="DD195" i="23916" s="1"/>
  <c r="DC193" i="23916"/>
  <c r="DD187" i="23916"/>
  <c r="DC190" i="23916"/>
  <c r="DC189" i="23916"/>
  <c r="DD189" i="23916" s="1"/>
  <c r="FP813" i="23916"/>
  <c r="FP192" i="23916"/>
  <c r="FP196" i="23916"/>
  <c r="DX117" i="23916"/>
  <c r="DX613" i="23916"/>
  <c r="AO171" i="23916"/>
  <c r="FM722" i="23916"/>
  <c r="BS791" i="23916"/>
  <c r="BS792" i="23916" s="1"/>
  <c r="BS787" i="23916"/>
  <c r="BS545" i="23916"/>
  <c r="BT606" i="23916"/>
  <c r="GC805" i="23916"/>
  <c r="EL624" i="23916"/>
  <c r="CF509" i="23916"/>
  <c r="FI502" i="23916"/>
  <c r="FI508" i="23916"/>
  <c r="EP502" i="23916"/>
  <c r="EX502" i="23916"/>
  <c r="FW420" i="23916"/>
  <c r="FV425" i="23916"/>
  <c r="FV431" i="23916"/>
  <c r="FV430" i="23916"/>
  <c r="DY608" i="23916"/>
  <c r="DZ608" i="23916" s="1"/>
  <c r="DY606" i="23916"/>
  <c r="GC376" i="23916"/>
  <c r="BK655" i="23916"/>
  <c r="EO236" i="23916"/>
  <c r="EO238" i="23916"/>
  <c r="FI180" i="23916"/>
  <c r="FH187" i="23916"/>
  <c r="ER333" i="23916"/>
  <c r="ES333" i="23916"/>
  <c r="DV618" i="23916"/>
  <c r="EL604" i="23916"/>
  <c r="EK606" i="23916"/>
  <c r="EK608" i="23916"/>
  <c r="EL608" i="23916" s="1"/>
  <c r="GN305" i="23916"/>
  <c r="GO305" i="23916" s="1"/>
  <c r="GO298" i="23916"/>
  <c r="GN307" i="23916"/>
  <c r="GO307" i="23916" s="1"/>
  <c r="GN301" i="23916"/>
  <c r="GN300" i="23916"/>
  <c r="GO300" i="23916" s="1"/>
  <c r="FI184" i="23916"/>
  <c r="FK184" i="23916"/>
  <c r="AJ369" i="23916"/>
  <c r="AR369" i="23916"/>
  <c r="AI802" i="23916"/>
  <c r="AJ373" i="23916"/>
  <c r="AR373" i="23916"/>
  <c r="DG802" i="23916"/>
  <c r="DH305" i="23916"/>
  <c r="FS147" i="23916"/>
  <c r="FT143" i="23916"/>
  <c r="FR148" i="23916"/>
  <c r="FO182" i="23916"/>
  <c r="ET669" i="23916"/>
  <c r="ES671" i="23916"/>
  <c r="ET673" i="23916"/>
  <c r="AR664" i="23916"/>
  <c r="GK624" i="23916"/>
  <c r="EP15" i="23916"/>
  <c r="BZ505" i="23916"/>
  <c r="AM545" i="23916"/>
  <c r="EJ505" i="23916"/>
  <c r="BP445" i="23916"/>
  <c r="BO448" i="23916"/>
  <c r="BP448" i="23916" s="1"/>
  <c r="BD375" i="23916"/>
  <c r="BL375" i="23916"/>
  <c r="FP375" i="23916"/>
  <c r="FQ375" i="23916" s="1"/>
  <c r="FQ367" i="23916"/>
  <c r="FP370" i="23916"/>
  <c r="FP373" i="23916"/>
  <c r="FQ373" i="23916" s="1"/>
  <c r="FP369" i="23916"/>
  <c r="FQ369" i="23916" s="1"/>
  <c r="DT337" i="23916"/>
  <c r="DX620" i="23916"/>
  <c r="EW850" i="23916"/>
  <c r="EX251" i="23916"/>
  <c r="GP251" i="23916"/>
  <c r="CE812" i="23916"/>
  <c r="CE620" i="23916"/>
  <c r="CE372" i="23916"/>
  <c r="CF370" i="23916"/>
  <c r="CE376" i="23916"/>
  <c r="CF376" i="23916" s="1"/>
  <c r="CE802" i="23916"/>
  <c r="CF373" i="23916"/>
  <c r="EC618" i="23916"/>
  <c r="EC308" i="23916"/>
  <c r="ED308" i="23916" s="1"/>
  <c r="EC304" i="23916"/>
  <c r="ED304" i="23916" s="1"/>
  <c r="ED301" i="23916"/>
  <c r="EC11" i="23916"/>
  <c r="ED11" i="23916" s="1"/>
  <c r="AS143" i="23916"/>
  <c r="AQ148" i="23916"/>
  <c r="FV813" i="23916"/>
  <c r="BH753" i="23916"/>
  <c r="EX720" i="23916"/>
  <c r="GP720" i="23916"/>
  <c r="CU792" i="23916"/>
  <c r="FH581" i="23916"/>
  <c r="FI577" i="23916"/>
  <c r="FH585" i="23916"/>
  <c r="FI585" i="23916" s="1"/>
  <c r="FZ799" i="23916"/>
  <c r="FZ805" i="23916"/>
  <c r="GA582" i="23916"/>
  <c r="BT509" i="23916"/>
  <c r="FY497" i="23916"/>
  <c r="FN505" i="23916"/>
  <c r="FO503" i="23916"/>
  <c r="FN509" i="23916"/>
  <c r="GP523" i="23916"/>
  <c r="GR519" i="23916"/>
  <c r="EO615" i="23916"/>
  <c r="EO271" i="23916"/>
  <c r="EO817" i="23916" s="1"/>
  <c r="EO275" i="23916"/>
  <c r="EP275" i="23916" s="1"/>
  <c r="EP269" i="23916"/>
  <c r="EO9" i="23916"/>
  <c r="EO10" i="23916" s="1"/>
  <c r="EK802" i="23916"/>
  <c r="EL373" i="23916"/>
  <c r="CM812" i="23916"/>
  <c r="CM620" i="23916"/>
  <c r="CM621" i="23916" s="1"/>
  <c r="CM372" i="23916"/>
  <c r="CM376" i="23916"/>
  <c r="CN370" i="23916"/>
  <c r="CV370" i="23916"/>
  <c r="CB375" i="23916"/>
  <c r="GM307" i="23916"/>
  <c r="DU801" i="23916"/>
  <c r="DV272" i="23916"/>
  <c r="FE196" i="23916"/>
  <c r="FD274" i="23916"/>
  <c r="FE274" i="23916" s="1"/>
  <c r="AP196" i="23916"/>
  <c r="DQ193" i="23916"/>
  <c r="DR187" i="23916"/>
  <c r="DQ190" i="23916"/>
  <c r="DQ189" i="23916"/>
  <c r="DR189" i="23916" s="1"/>
  <c r="DQ195" i="23916"/>
  <c r="DR195" i="23916" s="1"/>
  <c r="EM236" i="23916"/>
  <c r="EM238" i="23916"/>
  <c r="FY506" i="23916"/>
  <c r="AL196" i="23916"/>
  <c r="ED624" i="23916"/>
  <c r="EP613" i="23916"/>
  <c r="X753" i="23916"/>
  <c r="FU664" i="23916"/>
  <c r="DW463" i="23916"/>
  <c r="DW458" i="23916"/>
  <c r="DW462" i="23916"/>
  <c r="DV505" i="23916"/>
  <c r="FU497" i="23916"/>
  <c r="AF605" i="23916"/>
  <c r="AE606" i="23916"/>
  <c r="AN606" i="23916" s="1"/>
  <c r="EI802" i="23916"/>
  <c r="FW599" i="23916"/>
  <c r="FV602" i="23916"/>
  <c r="FY599" i="23916"/>
  <c r="CT372" i="23916"/>
  <c r="BA816" i="23916"/>
  <c r="BB372" i="23916"/>
  <c r="GH373" i="23916"/>
  <c r="GI373" i="23916" s="1"/>
  <c r="GH369" i="23916"/>
  <c r="GI369" i="23916" s="1"/>
  <c r="GH375" i="23916"/>
  <c r="GI375" i="23916" s="1"/>
  <c r="GH370" i="23916"/>
  <c r="GI367" i="23916"/>
  <c r="EE816" i="23916"/>
  <c r="EF372" i="23916"/>
  <c r="DY816" i="23916"/>
  <c r="DZ372" i="23916"/>
  <c r="CU618" i="23916"/>
  <c r="CV301" i="23916"/>
  <c r="CU308" i="23916"/>
  <c r="CV308" i="23916" s="1"/>
  <c r="CU304" i="23916"/>
  <c r="CU812" i="23916"/>
  <c r="FX615" i="23916"/>
  <c r="FY615" i="23916" s="1"/>
  <c r="FX271" i="23916"/>
  <c r="FY271" i="23916" s="1"/>
  <c r="FY269" i="23916"/>
  <c r="S800" i="23916"/>
  <c r="T193" i="23916"/>
  <c r="CP171" i="23916"/>
  <c r="CG193" i="23916"/>
  <c r="CG195" i="23916"/>
  <c r="CH195" i="23916" s="1"/>
  <c r="CH187" i="23916"/>
  <c r="CG189" i="23916"/>
  <c r="CH189" i="23916" s="1"/>
  <c r="CG190" i="23916"/>
  <c r="CS860" i="23916"/>
  <c r="CS796" i="23916"/>
  <c r="CT118" i="23916"/>
  <c r="CT860" i="23916" s="1"/>
  <c r="EB753" i="23916"/>
  <c r="AJ753" i="23916"/>
  <c r="CE792" i="23916"/>
  <c r="AX376" i="23916"/>
  <c r="EB337" i="23916"/>
  <c r="EC802" i="23916"/>
  <c r="ED373" i="23916"/>
  <c r="FN271" i="23916"/>
  <c r="FO269" i="23916"/>
  <c r="GL866" i="23916"/>
  <c r="GL604" i="23916"/>
  <c r="GM594" i="23916"/>
  <c r="DF618" i="23916"/>
  <c r="DE621" i="23916"/>
  <c r="CP307" i="23916"/>
  <c r="CX307" i="23916"/>
  <c r="EC615" i="23916"/>
  <c r="EC271" i="23916"/>
  <c r="EC275" i="23916"/>
  <c r="ED269" i="23916"/>
  <c r="EC9" i="23916"/>
  <c r="DO195" i="23916"/>
  <c r="DO193" i="23916"/>
  <c r="DO189" i="23916"/>
  <c r="DP187" i="23916"/>
  <c r="DO190" i="23916"/>
  <c r="AU195" i="23916"/>
  <c r="AU193" i="23916"/>
  <c r="AU190" i="23916"/>
  <c r="AV187" i="23916"/>
  <c r="AU189" i="23916"/>
  <c r="AV189" i="23916" s="1"/>
  <c r="FL813" i="23916"/>
  <c r="FL192" i="23916"/>
  <c r="FL196" i="23916"/>
  <c r="EG193" i="23916"/>
  <c r="EG190" i="23916"/>
  <c r="EG189" i="23916"/>
  <c r="EG195" i="23916"/>
  <c r="EH187" i="23916"/>
  <c r="EP187" i="23916"/>
  <c r="AM195" i="23916"/>
  <c r="AN195" i="23916" s="1"/>
  <c r="AM193" i="23916"/>
  <c r="AM189" i="23916"/>
  <c r="AN189" i="23916" s="1"/>
  <c r="AN187" i="23916"/>
  <c r="AM190" i="23916"/>
  <c r="DT117" i="23916"/>
  <c r="GJ613" i="23916"/>
  <c r="GK115" i="23916"/>
  <c r="GJ7" i="23916"/>
  <c r="GJ117" i="23916"/>
  <c r="GJ121" i="23916"/>
  <c r="DQ813" i="23916"/>
  <c r="DQ613" i="23916"/>
  <c r="DQ117" i="23916"/>
  <c r="DR115" i="23916"/>
  <c r="DQ121" i="23916"/>
  <c r="DR121" i="23916" s="1"/>
  <c r="EV639" i="23916"/>
  <c r="GF787" i="23916"/>
  <c r="GG606" i="23916"/>
  <c r="GF791" i="23916"/>
  <c r="GF792" i="23916" s="1"/>
  <c r="GF545" i="23916"/>
  <c r="GG545" i="23916" s="1"/>
  <c r="FM584" i="23916"/>
  <c r="GK494" i="23916"/>
  <c r="AK804" i="23916"/>
  <c r="AL545" i="23916"/>
  <c r="CB505" i="23916"/>
  <c r="FN799" i="23916"/>
  <c r="FN805" i="23916"/>
  <c r="FO582" i="23916"/>
  <c r="EL505" i="23916"/>
  <c r="FS494" i="23916"/>
  <c r="FU494" i="23916"/>
  <c r="X605" i="23916"/>
  <c r="W606" i="23916"/>
  <c r="DR620" i="23916"/>
  <c r="BZ376" i="23916"/>
  <c r="EB372" i="23916"/>
  <c r="GC307" i="23916"/>
  <c r="DS816" i="23916"/>
  <c r="DT372" i="23916"/>
  <c r="DT340" i="23916"/>
  <c r="EA195" i="23916"/>
  <c r="EA193" i="23916"/>
  <c r="EA189" i="23916"/>
  <c r="EB189" i="23916" s="1"/>
  <c r="EB187" i="23916"/>
  <c r="EA190" i="23916"/>
  <c r="BI813" i="23916"/>
  <c r="BI614" i="23916"/>
  <c r="BI192" i="23916"/>
  <c r="BI196" i="23916"/>
  <c r="BR196" i="23916" s="1"/>
  <c r="BJ190" i="23916"/>
  <c r="BI800" i="23916"/>
  <c r="BJ193" i="23916"/>
  <c r="DU860" i="23916"/>
  <c r="DU796" i="23916"/>
  <c r="DV118" i="23916"/>
  <c r="GO863" i="23916"/>
  <c r="GN864" i="23916"/>
  <c r="GO864" i="23916" s="1"/>
  <c r="DB721" i="23916"/>
  <c r="DA722" i="23916"/>
  <c r="DB722" i="23916" s="1"/>
  <c r="EX703" i="23916"/>
  <c r="GP703" i="23916"/>
  <c r="DE804" i="23916"/>
  <c r="DF545" i="23916"/>
  <c r="GN581" i="23916"/>
  <c r="GZ579" i="23916"/>
  <c r="GN16" i="23916"/>
  <c r="GB787" i="23916"/>
  <c r="GC606" i="23916"/>
  <c r="GB545" i="23916"/>
  <c r="GB791" i="23916"/>
  <c r="AP664" i="23916"/>
  <c r="DQ792" i="23916"/>
  <c r="AJ605" i="23916"/>
  <c r="AI606" i="23916"/>
  <c r="AR606" i="23916" s="1"/>
  <c r="FN605" i="23916"/>
  <c r="CV505" i="23916"/>
  <c r="FM497" i="23916"/>
  <c r="DW392" i="23916"/>
  <c r="N376" i="23916"/>
  <c r="EH337" i="23916"/>
  <c r="GJ236" i="23916"/>
  <c r="GJ238" i="23916"/>
  <c r="DT305" i="23916"/>
  <c r="DW195" i="23916"/>
  <c r="DX195" i="23916" s="1"/>
  <c r="DW193" i="23916"/>
  <c r="DW189" i="23916"/>
  <c r="DX189" i="23916" s="1"/>
  <c r="DX187" i="23916"/>
  <c r="DW190" i="23916"/>
  <c r="BC195" i="23916"/>
  <c r="BD195" i="23916" s="1"/>
  <c r="BC193" i="23916"/>
  <c r="BC189" i="23916"/>
  <c r="BD187" i="23916"/>
  <c r="BC190" i="23916"/>
  <c r="Y821" i="23916"/>
  <c r="Y817" i="23916"/>
  <c r="BK195" i="23916"/>
  <c r="BK193" i="23916"/>
  <c r="BK190" i="23916"/>
  <c r="BK189" i="23916"/>
  <c r="BL189" i="23916" s="1"/>
  <c r="BL187" i="23916"/>
  <c r="CY813" i="23916"/>
  <c r="CY613" i="23916"/>
  <c r="DH613" i="23916" s="1"/>
  <c r="CY121" i="23916"/>
  <c r="CZ121" i="23916" s="1"/>
  <c r="CY117" i="23916"/>
  <c r="CZ115" i="23916"/>
  <c r="CQ820" i="23916"/>
  <c r="CR117" i="23916"/>
  <c r="GK180" i="23916"/>
  <c r="GM333" i="23916"/>
  <c r="GM338" i="23916"/>
  <c r="GP321" i="23916"/>
  <c r="GR314" i="23916"/>
  <c r="GQ314" i="23916"/>
  <c r="EB275" i="23916"/>
  <c r="DJ121" i="23916"/>
  <c r="FX375" i="23916"/>
  <c r="FY375" i="23916" s="1"/>
  <c r="FX370" i="23916"/>
  <c r="FY367" i="23916"/>
  <c r="FX373" i="23916"/>
  <c r="FY373" i="23916" s="1"/>
  <c r="FX369" i="23916"/>
  <c r="FY369" i="23916" s="1"/>
  <c r="EF337" i="23916"/>
  <c r="EB615" i="23916"/>
  <c r="AO804" i="23916"/>
  <c r="AP545" i="23916"/>
  <c r="CD620" i="23916"/>
  <c r="CC621" i="23916"/>
  <c r="EE608" i="23916"/>
  <c r="EF608" i="23916" s="1"/>
  <c r="EF604" i="23916"/>
  <c r="EE606" i="23916"/>
  <c r="EW290" i="23916"/>
  <c r="EX284" i="23916"/>
  <c r="DS195" i="23916"/>
  <c r="DT195" i="23916" s="1"/>
  <c r="DS193" i="23916"/>
  <c r="DT187" i="23916"/>
  <c r="DS189" i="23916"/>
  <c r="DT189" i="23916" s="1"/>
  <c r="DS190" i="23916"/>
  <c r="FJ799" i="23916"/>
  <c r="FJ805" i="23916"/>
  <c r="FK582" i="23916"/>
  <c r="EG822" i="23916"/>
  <c r="EH544" i="23916"/>
  <c r="FW458" i="23916"/>
  <c r="FV459" i="23916"/>
  <c r="FW459" i="23916" s="1"/>
  <c r="FX453" i="23916"/>
  <c r="DB620" i="23916"/>
  <c r="FU373" i="23916"/>
  <c r="EU323" i="23916"/>
  <c r="EV317" i="23916"/>
  <c r="EP619" i="23916"/>
  <c r="EM618" i="23916"/>
  <c r="EN301" i="23916"/>
  <c r="EM308" i="23916"/>
  <c r="EN308" i="23916" s="1"/>
  <c r="EM304" i="23916"/>
  <c r="EN304" i="23916" s="1"/>
  <c r="EM11" i="23916"/>
  <c r="EN11" i="23916" s="1"/>
  <c r="EN300" i="23916"/>
  <c r="EV300" i="23916"/>
  <c r="CS39" i="23916"/>
  <c r="GS668" i="23916"/>
  <c r="GT668" i="23916"/>
  <c r="FS605" i="23916"/>
  <c r="FR606" i="23916"/>
  <c r="DC804" i="23916"/>
  <c r="DD545" i="23916"/>
  <c r="GH802" i="23916"/>
  <c r="GH340" i="23916"/>
  <c r="GH338" i="23916"/>
  <c r="GH334" i="23916"/>
  <c r="GI331" i="23916"/>
  <c r="GH333" i="23916"/>
  <c r="CK621" i="23916"/>
  <c r="CL618" i="23916"/>
  <c r="ES264" i="23916"/>
  <c r="FO180" i="23916"/>
  <c r="FQ180" i="23916"/>
  <c r="FN187" i="23916"/>
  <c r="ED622" i="23916"/>
  <c r="T605" i="23916"/>
  <c r="S606" i="23916"/>
  <c r="FJ605" i="23916"/>
  <c r="FK605" i="23916" s="1"/>
  <c r="EH620" i="23916"/>
  <c r="EH604" i="23916"/>
  <c r="EG606" i="23916"/>
  <c r="EG608" i="23916"/>
  <c r="EH608" i="23916" s="1"/>
  <c r="EU360" i="23916"/>
  <c r="EV360" i="23916" s="1"/>
  <c r="EW358" i="23916"/>
  <c r="GP358" i="23916" s="1"/>
  <c r="EV358" i="23916"/>
  <c r="EU601" i="23916"/>
  <c r="EV601" i="23916" s="1"/>
  <c r="GE338" i="23916"/>
  <c r="EX281" i="23916"/>
  <c r="EW854" i="23916"/>
  <c r="GT37" i="23916"/>
  <c r="GS37" i="23916"/>
  <c r="EF613" i="23916"/>
  <c r="DC860" i="23916"/>
  <c r="DC796" i="23916"/>
  <c r="DD118" i="23916"/>
  <c r="CL509" i="23916"/>
  <c r="AL195" i="23916"/>
  <c r="GL669" i="23916"/>
  <c r="GG625" i="23916"/>
  <c r="FJ505" i="23916"/>
  <c r="FK505" i="23916" s="1"/>
  <c r="FJ509" i="23916"/>
  <c r="FK503" i="23916"/>
  <c r="GF802" i="23916"/>
  <c r="GG331" i="23916"/>
  <c r="GG805" i="23916" s="1"/>
  <c r="GF340" i="23916"/>
  <c r="GG340" i="23916" s="1"/>
  <c r="GF338" i="23916"/>
  <c r="GG338" i="23916" s="1"/>
  <c r="GF334" i="23916"/>
  <c r="GF333" i="23916"/>
  <c r="GG333" i="23916" s="1"/>
  <c r="BH376" i="23916"/>
  <c r="EA618" i="23916"/>
  <c r="EA308" i="23916"/>
  <c r="EB308" i="23916" s="1"/>
  <c r="EA304" i="23916"/>
  <c r="EB304" i="23916" s="1"/>
  <c r="EB301" i="23916"/>
  <c r="EA11" i="23916"/>
  <c r="EB11" i="23916" s="1"/>
  <c r="GT351" i="23916"/>
  <c r="GS351" i="23916"/>
  <c r="GQ315" i="23916"/>
  <c r="GR315" i="23916"/>
  <c r="DO802" i="23916"/>
  <c r="DP305" i="23916"/>
  <c r="AY802" i="23916"/>
  <c r="AZ373" i="23916"/>
  <c r="U800" i="23916"/>
  <c r="V193" i="23916"/>
  <c r="GH613" i="23916"/>
  <c r="GH117" i="23916"/>
  <c r="GH121" i="23916"/>
  <c r="GI115" i="23916"/>
  <c r="DS74" i="23916"/>
  <c r="EX489" i="23916"/>
  <c r="GP489" i="23916"/>
  <c r="GM506" i="23916"/>
  <c r="FW494" i="23916"/>
  <c r="FY494" i="23916"/>
  <c r="ET323" i="23916"/>
  <c r="ES324" i="23916"/>
  <c r="DZ619" i="23916"/>
  <c r="EL308" i="23916"/>
  <c r="DX300" i="23916"/>
  <c r="BM648" i="23916"/>
  <c r="BM616" i="23916"/>
  <c r="AA195" i="23916"/>
  <c r="AB195" i="23916" s="1"/>
  <c r="AA193" i="23916"/>
  <c r="AA189" i="23916"/>
  <c r="AB189" i="23916" s="1"/>
  <c r="AB187" i="23916"/>
  <c r="AA190" i="23916"/>
  <c r="CC193" i="23916"/>
  <c r="CC195" i="23916"/>
  <c r="CD195" i="23916" s="1"/>
  <c r="CC190" i="23916"/>
  <c r="CD187" i="23916"/>
  <c r="CC189" i="23916"/>
  <c r="CD189" i="23916" s="1"/>
  <c r="CQ169" i="23916"/>
  <c r="CQ170" i="23916"/>
  <c r="GE112" i="23916"/>
  <c r="GD120" i="23916"/>
  <c r="GE120" i="23916" s="1"/>
  <c r="GD118" i="23916"/>
  <c r="GD115" i="23916"/>
  <c r="GD114" i="23916"/>
  <c r="GE114" i="23916" s="1"/>
  <c r="EN753" i="23916"/>
  <c r="AJ682" i="23916"/>
  <c r="AR682" i="23916"/>
  <c r="EW600" i="23916"/>
  <c r="EX600" i="23916" s="1"/>
  <c r="GP529" i="23916"/>
  <c r="GR529" i="23916" s="1"/>
  <c r="EN509" i="23916"/>
  <c r="EP624" i="23916"/>
  <c r="FL509" i="23916"/>
  <c r="FM509" i="23916" s="1"/>
  <c r="FL505" i="23916"/>
  <c r="FM503" i="23916"/>
  <c r="BI816" i="23916"/>
  <c r="BJ372" i="23916"/>
  <c r="EW855" i="23916"/>
  <c r="EW856" i="23916" s="1"/>
  <c r="EX349" i="23916"/>
  <c r="GP349" i="23916"/>
  <c r="EN620" i="23916"/>
  <c r="DU167" i="23916"/>
  <c r="DW143" i="23916"/>
  <c r="DU809" i="23916"/>
  <c r="DU155" i="23916"/>
  <c r="EN121" i="23916"/>
  <c r="EM820" i="23916"/>
  <c r="EN271" i="23916"/>
  <c r="K135" i="23916"/>
  <c r="L133" i="23916"/>
  <c r="M127" i="23916"/>
  <c r="GC613" i="23916"/>
  <c r="DK820" i="23916"/>
  <c r="DL117" i="23916"/>
  <c r="EW102" i="23916"/>
  <c r="EV102" i="23916"/>
  <c r="GX635" i="23916"/>
  <c r="GW635" i="23916"/>
  <c r="BA606" i="23916"/>
  <c r="BB605" i="23916"/>
  <c r="FV581" i="23916"/>
  <c r="FY581" i="23916" s="1"/>
  <c r="FW577" i="23916"/>
  <c r="FV585" i="23916"/>
  <c r="FW585" i="23916" s="1"/>
  <c r="EX454" i="23916"/>
  <c r="GP454" i="23916"/>
  <c r="EW393" i="23916"/>
  <c r="EX421" i="23916"/>
  <c r="FV388" i="23916"/>
  <c r="FW381" i="23916"/>
  <c r="FV387" i="23916"/>
  <c r="CW816" i="23916"/>
  <c r="CX372" i="23916"/>
  <c r="FW397" i="23916"/>
  <c r="FV398" i="23916"/>
  <c r="FX392" i="23916"/>
  <c r="ET359" i="23916"/>
  <c r="GN866" i="23916"/>
  <c r="GN604" i="23916"/>
  <c r="GO594" i="23916"/>
  <c r="FU615" i="23916"/>
  <c r="FS184" i="23916"/>
  <c r="GR225" i="23916"/>
  <c r="GQ225" i="23916"/>
  <c r="EI618" i="23916"/>
  <c r="EJ301" i="23916"/>
  <c r="EI308" i="23916"/>
  <c r="EJ308" i="23916" s="1"/>
  <c r="EI304" i="23916"/>
  <c r="EI11" i="23916"/>
  <c r="EJ11" i="23916" s="1"/>
  <c r="ER300" i="23916"/>
  <c r="EJ300" i="23916"/>
  <c r="DG195" i="23916"/>
  <c r="DH195" i="23916" s="1"/>
  <c r="DG193" i="23916"/>
  <c r="DG189" i="23916"/>
  <c r="DH189" i="23916" s="1"/>
  <c r="DH187" i="23916"/>
  <c r="DG190" i="23916"/>
  <c r="CP148" i="23916"/>
  <c r="CO167" i="23916"/>
  <c r="CP167" i="23916" s="1"/>
  <c r="CP147" i="23916"/>
  <c r="CQ143" i="23916"/>
  <c r="CO155" i="23916"/>
  <c r="CP155" i="23916" s="1"/>
  <c r="CO809" i="23916"/>
  <c r="BP369" i="23916"/>
  <c r="BX369" i="23916"/>
  <c r="EW258" i="23916"/>
  <c r="BO195" i="23916"/>
  <c r="BP195" i="23916" s="1"/>
  <c r="BO193" i="23916"/>
  <c r="BP187" i="23916"/>
  <c r="BO189" i="23916"/>
  <c r="BP189" i="23916" s="1"/>
  <c r="BO190" i="23916"/>
  <c r="DX622" i="23916"/>
  <c r="FZ508" i="23916"/>
  <c r="GA508" i="23916" s="1"/>
  <c r="FZ506" i="23916"/>
  <c r="GA506" i="23916" s="1"/>
  <c r="FZ503" i="23916"/>
  <c r="GC503" i="23916" s="1"/>
  <c r="GA500" i="23916"/>
  <c r="FZ502" i="23916"/>
  <c r="GA502" i="23916" s="1"/>
  <c r="DT505" i="23916"/>
  <c r="CT509" i="23916"/>
  <c r="EI812" i="23916"/>
  <c r="DN620" i="23916"/>
  <c r="BN376" i="23916"/>
  <c r="EH268" i="23916"/>
  <c r="GR342" i="23916"/>
  <c r="GT342" i="23916" s="1"/>
  <c r="GV342" i="23916" s="1"/>
  <c r="GX342" i="23916" s="1"/>
  <c r="GP344" i="23916"/>
  <c r="EP13" i="23916"/>
  <c r="EP620" i="23916"/>
  <c r="DK802" i="23916"/>
  <c r="DL305" i="23916"/>
  <c r="CY618" i="23916"/>
  <c r="CY308" i="23916"/>
  <c r="CZ308" i="23916" s="1"/>
  <c r="CY304" i="23916"/>
  <c r="CZ301" i="23916"/>
  <c r="CY812" i="23916"/>
  <c r="DX7" i="23916"/>
  <c r="FK180" i="23916"/>
  <c r="FM180" i="23916"/>
  <c r="FJ187" i="23916"/>
  <c r="GN120" i="23916"/>
  <c r="GO120" i="23916" s="1"/>
  <c r="GN118" i="23916"/>
  <c r="GN115" i="23916"/>
  <c r="GO112" i="23916"/>
  <c r="GN114" i="23916"/>
  <c r="GO114" i="23916" s="1"/>
  <c r="DW32" i="23916"/>
  <c r="CO804" i="23916"/>
  <c r="CP545" i="23916"/>
  <c r="EK822" i="23916"/>
  <c r="EL544" i="23916"/>
  <c r="BD505" i="23916"/>
  <c r="EW531" i="23916"/>
  <c r="EW533" i="23916" s="1"/>
  <c r="GP526" i="23916"/>
  <c r="CF505" i="23916"/>
  <c r="FH509" i="23916"/>
  <c r="FI509" i="23916" s="1"/>
  <c r="FH505" i="23916"/>
  <c r="FI505" i="23916" s="1"/>
  <c r="FI503" i="23916"/>
  <c r="BQ462" i="23916"/>
  <c r="BQ458" i="23916"/>
  <c r="BR453" i="23916"/>
  <c r="BQ459" i="23916"/>
  <c r="BR459" i="23916" s="1"/>
  <c r="BQ463" i="23916"/>
  <c r="BQ464" i="23916" s="1"/>
  <c r="Y816" i="23916"/>
  <c r="Z372" i="23916"/>
  <c r="GC372" i="23916"/>
  <c r="AA816" i="23916"/>
  <c r="AB372" i="23916"/>
  <c r="EA608" i="23916"/>
  <c r="EB608" i="23916" s="1"/>
  <c r="EA606" i="23916"/>
  <c r="DJ619" i="23916"/>
  <c r="GB195" i="23916"/>
  <c r="GB190" i="23916"/>
  <c r="GC187" i="23916"/>
  <c r="GB189" i="23916"/>
  <c r="GB193" i="23916"/>
  <c r="AI812" i="23916"/>
  <c r="AI372" i="23916"/>
  <c r="AJ370" i="23916"/>
  <c r="AI376" i="23916"/>
  <c r="AR370" i="23916"/>
  <c r="DH307" i="23916"/>
  <c r="FS180" i="23916"/>
  <c r="FR187" i="23916"/>
  <c r="EV674" i="23916"/>
  <c r="EU669" i="23916"/>
  <c r="EU673" i="23916"/>
  <c r="EV673" i="23916" s="1"/>
  <c r="EW674" i="23916"/>
  <c r="EW639" i="23916"/>
  <c r="EX637" i="23916"/>
  <c r="AR690" i="23916"/>
  <c r="FN745" i="23916"/>
  <c r="FO745" i="23916" s="1"/>
  <c r="FN744" i="23916"/>
  <c r="FO640" i="23916"/>
  <c r="FN682" i="23916"/>
  <c r="FQ640" i="23916"/>
  <c r="DM792" i="23916"/>
  <c r="DH509" i="23916"/>
  <c r="BZ509" i="23916"/>
  <c r="FR508" i="23916"/>
  <c r="FS508" i="23916" s="1"/>
  <c r="FR506" i="23916"/>
  <c r="FS506" i="23916" s="1"/>
  <c r="FR503" i="23916"/>
  <c r="FR502" i="23916"/>
  <c r="FS502" i="23916" s="1"/>
  <c r="FS500" i="23916"/>
  <c r="GN622" i="23916"/>
  <c r="EJ622" i="23916"/>
  <c r="BP444" i="23916"/>
  <c r="BO466" i="23916"/>
  <c r="BP466" i="23916" s="1"/>
  <c r="BQ438" i="23916"/>
  <c r="BC812" i="23916"/>
  <c r="BC620" i="23916"/>
  <c r="BC372" i="23916"/>
  <c r="BC376" i="23916"/>
  <c r="BD370" i="23916"/>
  <c r="BL370" i="23916"/>
  <c r="BC802" i="23916"/>
  <c r="BD373" i="23916"/>
  <c r="BL373" i="23916"/>
  <c r="DT619" i="23916"/>
  <c r="DX376" i="23916"/>
  <c r="DW812" i="23916"/>
  <c r="CT308" i="23916"/>
  <c r="EX357" i="23916"/>
  <c r="GP357" i="23916"/>
  <c r="DW236" i="23916"/>
  <c r="DW238" i="23916"/>
  <c r="FU180" i="23916"/>
  <c r="CJ127" i="23916"/>
  <c r="CI133" i="23916"/>
  <c r="CI138" i="23916"/>
  <c r="CJ138" i="23916" s="1"/>
  <c r="CI137" i="23916"/>
  <c r="CJ137" i="23916" s="1"/>
  <c r="CI135" i="23916"/>
  <c r="GJ625" i="23916"/>
  <c r="GJ581" i="23916"/>
  <c r="GJ16" i="23916"/>
  <c r="CK791" i="23916"/>
  <c r="CK787" i="23916"/>
  <c r="CK545" i="23916"/>
  <c r="CL606" i="23916"/>
  <c r="FZ581" i="23916"/>
  <c r="GA577" i="23916"/>
  <c r="FZ585" i="23916"/>
  <c r="GA585" i="23916" s="1"/>
  <c r="AL505" i="23916"/>
  <c r="FO508" i="23916"/>
  <c r="EB411" i="23916"/>
  <c r="EC405" i="23916"/>
  <c r="BE802" i="23916"/>
  <c r="BF373" i="23916"/>
  <c r="U816" i="23916"/>
  <c r="V372" i="23916"/>
  <c r="EP274" i="23916"/>
  <c r="EL369" i="23916"/>
  <c r="ET369" i="23916"/>
  <c r="CN375" i="23916"/>
  <c r="CV375" i="23916"/>
  <c r="CA812" i="23916"/>
  <c r="CA620" i="23916"/>
  <c r="CA372" i="23916"/>
  <c r="CA376" i="23916"/>
  <c r="CB376" i="23916" s="1"/>
  <c r="CB370" i="23916"/>
  <c r="CA802" i="23916"/>
  <c r="CB373" i="23916"/>
  <c r="EK193" i="23916"/>
  <c r="EL187" i="23916"/>
  <c r="EK190" i="23916"/>
  <c r="EK195" i="23916"/>
  <c r="EL195" i="23916" s="1"/>
  <c r="EK189" i="23916"/>
  <c r="DU615" i="23916"/>
  <c r="DU271" i="23916"/>
  <c r="DU275" i="23916"/>
  <c r="DV275" i="23916" s="1"/>
  <c r="DV269" i="23916"/>
  <c r="DU9" i="23916"/>
  <c r="FL275" i="23916"/>
  <c r="FL271" i="23916"/>
  <c r="FM271" i="23916" s="1"/>
  <c r="FM269" i="23916"/>
  <c r="AO821" i="23916"/>
  <c r="AO817" i="23916"/>
  <c r="AP192" i="23916"/>
  <c r="GU144" i="23916"/>
  <c r="GV144" i="23916"/>
  <c r="CC804" i="23916"/>
  <c r="FY502" i="23916"/>
  <c r="FY508" i="23916"/>
  <c r="GJ615" i="23916"/>
  <c r="GJ275" i="23916"/>
  <c r="GJ271" i="23916"/>
  <c r="GJ9" i="23916"/>
  <c r="GN236" i="23916"/>
  <c r="GO235" i="23916"/>
  <c r="GN238" i="23916"/>
  <c r="EC822" i="23916"/>
  <c r="ED544" i="23916"/>
  <c r="FQ271" i="23916"/>
  <c r="EP121" i="23916"/>
  <c r="GP600" i="23916"/>
  <c r="GQ600" i="23916" s="1"/>
  <c r="DV509" i="23916"/>
  <c r="GA494" i="23916"/>
  <c r="GC494" i="23916"/>
  <c r="GD799" i="23916"/>
  <c r="GE582" i="23916"/>
  <c r="GE805" i="23916" s="1"/>
  <c r="AB509" i="23916"/>
  <c r="CT505" i="23916"/>
  <c r="DU481" i="23916"/>
  <c r="DU480" i="23916"/>
  <c r="BN373" i="23916"/>
  <c r="EF13" i="23916"/>
  <c r="EF620" i="23916"/>
  <c r="BH369" i="23916"/>
  <c r="DZ620" i="23916"/>
  <c r="EX322" i="23916"/>
  <c r="GP322" i="23916"/>
  <c r="W821" i="23916"/>
  <c r="W817" i="23916"/>
  <c r="X192" i="23916"/>
  <c r="FY268" i="23916"/>
  <c r="FY272" i="23916"/>
  <c r="S813" i="23916"/>
  <c r="S196" i="23916"/>
  <c r="T196" i="23916" s="1"/>
  <c r="T190" i="23916"/>
  <c r="S192" i="23916"/>
  <c r="GW179" i="23916"/>
  <c r="GX179" i="23916"/>
  <c r="DY127" i="23916"/>
  <c r="CV613" i="23916"/>
  <c r="GR716" i="23916"/>
  <c r="GQ716" i="23916"/>
  <c r="GC584" i="23916"/>
  <c r="GP528" i="23916"/>
  <c r="GR528" i="23916" s="1"/>
  <c r="X505" i="23916"/>
  <c r="FO568" i="23916"/>
  <c r="CH505" i="23916"/>
  <c r="CQ387" i="23916"/>
  <c r="CQ388" i="23916"/>
  <c r="FV412" i="23916"/>
  <c r="FW405" i="23916"/>
  <c r="FV411" i="23916"/>
  <c r="FV416" i="23916"/>
  <c r="FW416" i="23916" s="1"/>
  <c r="AW816" i="23916"/>
  <c r="AX372" i="23916"/>
  <c r="Q816" i="23916"/>
  <c r="R372" i="23916"/>
  <c r="EB12" i="23916"/>
  <c r="EB619" i="23916"/>
  <c r="CP300" i="23916"/>
  <c r="CX300" i="23916"/>
  <c r="ED274" i="23916"/>
  <c r="K821" i="23916"/>
  <c r="K817" i="23916"/>
  <c r="L192" i="23916"/>
  <c r="FK375" i="23916"/>
  <c r="GT50" i="23916"/>
  <c r="GS50" i="23916"/>
  <c r="DT7" i="23916"/>
  <c r="GJ860" i="23916"/>
  <c r="GJ796" i="23916"/>
  <c r="GK118" i="23916"/>
  <c r="GJ72" i="23916"/>
  <c r="GJ73" i="23916"/>
  <c r="GJ71" i="23916"/>
  <c r="DX753" i="23916"/>
  <c r="FM576" i="23916"/>
  <c r="FL805" i="23916"/>
  <c r="FL799" i="23916"/>
  <c r="FM582" i="23916"/>
  <c r="FS584" i="23916"/>
  <c r="GK497" i="23916"/>
  <c r="GC576" i="23916"/>
  <c r="FO576" i="23916"/>
  <c r="FN581" i="23916"/>
  <c r="FO577" i="23916"/>
  <c r="FN585" i="23916"/>
  <c r="FO585" i="23916" s="1"/>
  <c r="EL509" i="23916"/>
  <c r="EN15" i="23916"/>
  <c r="EN623" i="23916"/>
  <c r="BY816" i="23916"/>
  <c r="BZ372" i="23916"/>
  <c r="EB620" i="23916"/>
  <c r="DT620" i="23916"/>
  <c r="CI816" i="23916"/>
  <c r="CJ372" i="23916"/>
  <c r="EG621" i="23916"/>
  <c r="EP621" i="23916" s="1"/>
  <c r="GD812" i="23916"/>
  <c r="GD620" i="23916"/>
  <c r="GD376" i="23916"/>
  <c r="GE376" i="23916" s="1"/>
  <c r="GE370" i="23916"/>
  <c r="GD372" i="23916"/>
  <c r="GN272" i="23916"/>
  <c r="GN269" i="23916"/>
  <c r="GO266" i="23916"/>
  <c r="GN274" i="23916"/>
  <c r="GO274" i="23916" s="1"/>
  <c r="GN268" i="23916"/>
  <c r="GO268" i="23916" s="1"/>
  <c r="BJ195" i="23916"/>
  <c r="GL213" i="23916"/>
  <c r="GM222" i="23916"/>
  <c r="DE193" i="23916"/>
  <c r="DF187" i="23916"/>
  <c r="DE189" i="23916"/>
  <c r="DF189" i="23916" s="1"/>
  <c r="DE195" i="23916"/>
  <c r="DF195" i="23916" s="1"/>
  <c r="DE190" i="23916"/>
  <c r="DL114" i="23916"/>
  <c r="GJ757" i="23916"/>
  <c r="BL753" i="23916"/>
  <c r="DC763" i="23916"/>
  <c r="DD763" i="23916" s="1"/>
  <c r="DC721" i="23916"/>
  <c r="DD718" i="23916"/>
  <c r="DC719" i="23916"/>
  <c r="DD719" i="23916" s="1"/>
  <c r="DE718" i="23916"/>
  <c r="GQ585" i="23916"/>
  <c r="GZ585" i="23916"/>
  <c r="GO585" i="23916"/>
  <c r="GC608" i="23916"/>
  <c r="DQ804" i="23916"/>
  <c r="DR545" i="23916"/>
  <c r="AN505" i="23916"/>
  <c r="CX505" i="23916"/>
  <c r="GE506" i="23916"/>
  <c r="FO494" i="23916"/>
  <c r="FQ494" i="23916"/>
  <c r="AJ505" i="23916"/>
  <c r="AT376" i="23916"/>
  <c r="DU812" i="23916"/>
  <c r="DU620" i="23916"/>
  <c r="DU621" i="23916" s="1"/>
  <c r="DV370" i="23916"/>
  <c r="DU372" i="23916"/>
  <c r="DU376" i="23916"/>
  <c r="DV376" i="23916" s="1"/>
  <c r="DU13" i="23916"/>
  <c r="DV13" i="23916" s="1"/>
  <c r="GQ352" i="23916"/>
  <c r="GP353" i="23916"/>
  <c r="GR352" i="23916"/>
  <c r="GP288" i="23916"/>
  <c r="EI608" i="23916"/>
  <c r="EJ608" i="23916" s="1"/>
  <c r="EJ604" i="23916"/>
  <c r="EI606" i="23916"/>
  <c r="EI545" i="23916" s="1"/>
  <c r="DB337" i="23916"/>
  <c r="GA369" i="23916"/>
  <c r="DT307" i="23916"/>
  <c r="AO627" i="23916"/>
  <c r="AX191" i="23916"/>
  <c r="AP191" i="23916"/>
  <c r="AO193" i="23916"/>
  <c r="FT813" i="23916"/>
  <c r="FT614" i="23916"/>
  <c r="FT192" i="23916"/>
  <c r="FW192" i="23916" s="1"/>
  <c r="FT196" i="23916"/>
  <c r="DN114" i="23916"/>
  <c r="DA193" i="23916"/>
  <c r="DA189" i="23916"/>
  <c r="DB189" i="23916" s="1"/>
  <c r="DB187" i="23916"/>
  <c r="DA195" i="23916"/>
  <c r="DB195" i="23916" s="1"/>
  <c r="DA190" i="23916"/>
  <c r="DA813" i="23916" s="1"/>
  <c r="GL155" i="23916"/>
  <c r="GM155" i="23916" s="1"/>
  <c r="GR253" i="23916"/>
  <c r="GQ253" i="23916"/>
  <c r="GP254" i="23916"/>
  <c r="ER114" i="23916"/>
  <c r="EJ114" i="23916"/>
  <c r="GP410" i="23916"/>
  <c r="GM331" i="23916"/>
  <c r="GV530" i="23916"/>
  <c r="GR358" i="23916" l="1"/>
  <c r="GQ358" i="23916"/>
  <c r="EO17" i="23916"/>
  <c r="GB143" i="23916"/>
  <c r="GM39" i="23916"/>
  <c r="GL71" i="23916"/>
  <c r="GM71" i="23916" s="1"/>
  <c r="GL72" i="23916"/>
  <c r="GL73" i="23916"/>
  <c r="GM73" i="23916" s="1"/>
  <c r="FW445" i="23916"/>
  <c r="FV448" i="23916"/>
  <c r="FW448" i="23916" s="1"/>
  <c r="EI804" i="23916"/>
  <c r="EW534" i="23916"/>
  <c r="FT648" i="23916"/>
  <c r="FT616" i="23916"/>
  <c r="GE620" i="23916"/>
  <c r="FO581" i="23916"/>
  <c r="CS381" i="23916"/>
  <c r="CQ401" i="23916"/>
  <c r="GT528" i="23916"/>
  <c r="GT716" i="23916"/>
  <c r="GS716" i="23916"/>
  <c r="DY138" i="23916"/>
  <c r="DY137" i="23916"/>
  <c r="DY135" i="23916"/>
  <c r="DY133" i="23916"/>
  <c r="GZ179" i="23916"/>
  <c r="GY179" i="23916"/>
  <c r="GJ820" i="23916"/>
  <c r="CA816" i="23916"/>
  <c r="CB372" i="23916"/>
  <c r="EC415" i="23916"/>
  <c r="ED415" i="23916" s="1"/>
  <c r="EC412" i="23916"/>
  <c r="ED412" i="23916" s="1"/>
  <c r="EC417" i="23916"/>
  <c r="ED405" i="23916"/>
  <c r="EC416" i="23916"/>
  <c r="ED416" i="23916" s="1"/>
  <c r="EC411" i="23916"/>
  <c r="GA581" i="23916"/>
  <c r="CK792" i="23916"/>
  <c r="CI169" i="23916"/>
  <c r="CI167" i="23916"/>
  <c r="CI170" i="23916"/>
  <c r="CJ135" i="23916"/>
  <c r="BC654" i="23916"/>
  <c r="BD620" i="23916"/>
  <c r="BC621" i="23916"/>
  <c r="BL620" i="23916"/>
  <c r="FO744" i="23916"/>
  <c r="FQ744" i="23916"/>
  <c r="EX639" i="23916"/>
  <c r="EV669" i="23916"/>
  <c r="EU671" i="23916"/>
  <c r="EV671" i="23916" s="1"/>
  <c r="DW43" i="23916"/>
  <c r="DW42" i="23916"/>
  <c r="DW41" i="23916"/>
  <c r="DW38" i="23916"/>
  <c r="BO800" i="23916"/>
  <c r="BP193" i="23916"/>
  <c r="DG614" i="23916"/>
  <c r="DG196" i="23916"/>
  <c r="DH190" i="23916"/>
  <c r="DG192" i="23916"/>
  <c r="DG813" i="23916"/>
  <c r="EJ304" i="23916"/>
  <c r="BA787" i="23916"/>
  <c r="BA545" i="23916"/>
  <c r="BB606" i="23916"/>
  <c r="EX102" i="23916"/>
  <c r="GP102" i="23916"/>
  <c r="K169" i="23916"/>
  <c r="K170" i="23916"/>
  <c r="L135" i="23916"/>
  <c r="DW150" i="23916"/>
  <c r="DW147" i="23916"/>
  <c r="DW151" i="23916"/>
  <c r="DW148" i="23916"/>
  <c r="FM505" i="23916"/>
  <c r="GD860" i="23916"/>
  <c r="GD796" i="23916"/>
  <c r="GE118" i="23916"/>
  <c r="CR170" i="23916"/>
  <c r="CC808" i="23916"/>
  <c r="CC800" i="23916"/>
  <c r="CD193" i="23916"/>
  <c r="AA800" i="23916"/>
  <c r="AB193" i="23916"/>
  <c r="GT315" i="23916"/>
  <c r="GS315" i="23916"/>
  <c r="EB618" i="23916"/>
  <c r="EA621" i="23916"/>
  <c r="GI338" i="23916"/>
  <c r="CY820" i="23916"/>
  <c r="CZ117" i="23916"/>
  <c r="BL195" i="23916"/>
  <c r="BC800" i="23916"/>
  <c r="BD193" i="23916"/>
  <c r="GR703" i="23916"/>
  <c r="GQ703" i="23916"/>
  <c r="BI821" i="23916"/>
  <c r="BI817" i="23916"/>
  <c r="EA614" i="23916"/>
  <c r="EA196" i="23916"/>
  <c r="EA192" i="23916"/>
  <c r="EB190" i="23916"/>
  <c r="EA8" i="23916"/>
  <c r="EB195" i="23916"/>
  <c r="GK121" i="23916"/>
  <c r="GK613" i="23916"/>
  <c r="EG800" i="23916"/>
  <c r="EH193" i="23916"/>
  <c r="EP193" i="23916"/>
  <c r="AU800" i="23916"/>
  <c r="AV193" i="23916"/>
  <c r="EC820" i="23916"/>
  <c r="ED271" i="23916"/>
  <c r="DF621" i="23916"/>
  <c r="GL608" i="23916"/>
  <c r="GM608" i="23916" s="1"/>
  <c r="GM604" i="23916"/>
  <c r="GL606" i="23916"/>
  <c r="FO271" i="23916"/>
  <c r="DW459" i="23916"/>
  <c r="DY453" i="23916"/>
  <c r="DQ614" i="23916"/>
  <c r="DQ192" i="23916"/>
  <c r="DR190" i="23916"/>
  <c r="DQ196" i="23916"/>
  <c r="CN376" i="23916"/>
  <c r="CV376" i="23916"/>
  <c r="GR523" i="23916"/>
  <c r="GT519" i="23916"/>
  <c r="FO505" i="23916"/>
  <c r="FI581" i="23916"/>
  <c r="AS151" i="23916"/>
  <c r="AS147" i="23916"/>
  <c r="AS150" i="23916"/>
  <c r="FU143" i="23916"/>
  <c r="FT147" i="23916"/>
  <c r="FT151" i="23916"/>
  <c r="FT150" i="23916"/>
  <c r="GN308" i="23916"/>
  <c r="GO308" i="23916" s="1"/>
  <c r="GO301" i="23916"/>
  <c r="GN304" i="23916"/>
  <c r="GO304" i="23916" s="1"/>
  <c r="GN11" i="23916"/>
  <c r="GO11" i="23916" s="1"/>
  <c r="FH195" i="23916"/>
  <c r="FH193" i="23916"/>
  <c r="FH190" i="23916"/>
  <c r="FI187" i="23916"/>
  <c r="FH189" i="23916"/>
  <c r="DC800" i="23916"/>
  <c r="DD193" i="23916"/>
  <c r="DD805" i="23916" s="1"/>
  <c r="E133" i="23916"/>
  <c r="E138" i="23916"/>
  <c r="E137" i="23916"/>
  <c r="CY800" i="23916"/>
  <c r="CZ193" i="23916"/>
  <c r="BY147" i="23916"/>
  <c r="BY151" i="23916"/>
  <c r="BY152" i="23916" s="1"/>
  <c r="CH143" i="23916"/>
  <c r="BY148" i="23916"/>
  <c r="BY150" i="23916"/>
  <c r="GN802" i="23916"/>
  <c r="GO373" i="23916"/>
  <c r="AE813" i="23916"/>
  <c r="AE196" i="23916"/>
  <c r="AF196" i="23916" s="1"/>
  <c r="AF190" i="23916"/>
  <c r="AE192" i="23916"/>
  <c r="GX536" i="23916"/>
  <c r="GX607" i="23916" s="1"/>
  <c r="GV607" i="23916"/>
  <c r="GN337" i="23916"/>
  <c r="GO337" i="23916" s="1"/>
  <c r="GN341" i="23916"/>
  <c r="GO341" i="23916" s="1"/>
  <c r="GO334" i="23916"/>
  <c r="GN12" i="23916"/>
  <c r="GO12" i="23916" s="1"/>
  <c r="CH621" i="23916"/>
  <c r="ED7" i="23916"/>
  <c r="DW466" i="23916"/>
  <c r="DY438" i="23916"/>
  <c r="GJ614" i="23916"/>
  <c r="GJ192" i="23916"/>
  <c r="GJ196" i="23916"/>
  <c r="GJ8" i="23916"/>
  <c r="GK8" i="23916" s="1"/>
  <c r="CZ860" i="23916"/>
  <c r="CZ796" i="23916"/>
  <c r="DN613" i="23916"/>
  <c r="CK147" i="23916"/>
  <c r="CL147" i="23916" s="1"/>
  <c r="CK151" i="23916"/>
  <c r="CK152" i="23916" s="1"/>
  <c r="CL143" i="23916"/>
  <c r="CK148" i="23916"/>
  <c r="CL148" i="23916" s="1"/>
  <c r="CK150" i="23916"/>
  <c r="GT715" i="23916"/>
  <c r="GS715" i="23916"/>
  <c r="DH121" i="23916"/>
  <c r="BG813" i="23916"/>
  <c r="BG614" i="23916"/>
  <c r="BG196" i="23916"/>
  <c r="BH190" i="23916"/>
  <c r="BG192" i="23916"/>
  <c r="CJ376" i="23916"/>
  <c r="CS820" i="23916"/>
  <c r="CT117" i="23916"/>
  <c r="DU797" i="23916"/>
  <c r="DU799" i="23916"/>
  <c r="FS375" i="23916"/>
  <c r="FW616" i="23916"/>
  <c r="BQ816" i="23916"/>
  <c r="BR372" i="23916"/>
  <c r="EV386" i="23916"/>
  <c r="DH304" i="23916"/>
  <c r="DG816" i="23916"/>
  <c r="GN819" i="23916"/>
  <c r="GO819" i="23916" s="1"/>
  <c r="GN544" i="23916"/>
  <c r="GO541" i="23916"/>
  <c r="GN15" i="23916"/>
  <c r="GO15" i="23916" s="1"/>
  <c r="AS545" i="23916"/>
  <c r="AT606" i="23916"/>
  <c r="DL618" i="23916"/>
  <c r="DK621" i="23916"/>
  <c r="CS426" i="23916"/>
  <c r="CS431" i="23916"/>
  <c r="CS432" i="23916" s="1"/>
  <c r="CS430" i="23916"/>
  <c r="CS425" i="23916"/>
  <c r="CA800" i="23916"/>
  <c r="CB193" i="23916"/>
  <c r="EC787" i="23916"/>
  <c r="ED606" i="23916"/>
  <c r="EC791" i="23916"/>
  <c r="EC545" i="23916"/>
  <c r="DS787" i="23916"/>
  <c r="DT606" i="23916"/>
  <c r="DS791" i="23916"/>
  <c r="DS545" i="23916"/>
  <c r="GG376" i="23916"/>
  <c r="BQ388" i="23916"/>
  <c r="BR381" i="23916"/>
  <c r="BQ387" i="23916"/>
  <c r="BA813" i="23916"/>
  <c r="BA614" i="23916"/>
  <c r="BA196" i="23916"/>
  <c r="BA192" i="23916"/>
  <c r="BB190" i="23916"/>
  <c r="BA800" i="23916"/>
  <c r="BB193" i="23916"/>
  <c r="GX159" i="23916"/>
  <c r="GW159" i="23916"/>
  <c r="GQ212" i="23916"/>
  <c r="GP221" i="23916"/>
  <c r="GR212" i="23916"/>
  <c r="GK375" i="23916"/>
  <c r="CQ448" i="23916"/>
  <c r="GV699" i="23916"/>
  <c r="GU699" i="23916"/>
  <c r="GW47" i="23916"/>
  <c r="GX47" i="23916"/>
  <c r="CX860" i="23916"/>
  <c r="CX796" i="23916"/>
  <c r="DJ195" i="23916"/>
  <c r="EN189" i="23916"/>
  <c r="EV189" i="23916"/>
  <c r="GL812" i="23916"/>
  <c r="GL620" i="23916"/>
  <c r="GL376" i="23916"/>
  <c r="GM376" i="23916" s="1"/>
  <c r="GM370" i="23916"/>
  <c r="GL372" i="23916"/>
  <c r="GL13" i="23916"/>
  <c r="GM13" i="23916" s="1"/>
  <c r="FN376" i="23916"/>
  <c r="FO376" i="23916" s="1"/>
  <c r="FN372" i="23916"/>
  <c r="FO370" i="23916"/>
  <c r="BJ606" i="23916"/>
  <c r="DJ665" i="23916"/>
  <c r="DF860" i="23916"/>
  <c r="DF796" i="23916"/>
  <c r="BF189" i="23916"/>
  <c r="BN189" i="23916"/>
  <c r="DP308" i="23916"/>
  <c r="DB121" i="23916"/>
  <c r="GJ619" i="23916"/>
  <c r="GJ337" i="23916"/>
  <c r="GJ341" i="23916"/>
  <c r="GK334" i="23916"/>
  <c r="GJ12" i="23916"/>
  <c r="GK12" i="23916" s="1"/>
  <c r="GF860" i="23916"/>
  <c r="GF796" i="23916"/>
  <c r="GG118" i="23916"/>
  <c r="FG135" i="23916"/>
  <c r="FF169" i="23916"/>
  <c r="FF170" i="23916"/>
  <c r="FG170" i="23916" s="1"/>
  <c r="FF167" i="23916"/>
  <c r="FG167" i="23916" s="1"/>
  <c r="EX317" i="23916"/>
  <c r="EW323" i="23916"/>
  <c r="EO787" i="23916"/>
  <c r="EP606" i="23916"/>
  <c r="EO791" i="23916"/>
  <c r="EO792" i="23916" s="1"/>
  <c r="EO545" i="23916"/>
  <c r="GM625" i="23916"/>
  <c r="GO625" i="23916"/>
  <c r="EL7" i="23916"/>
  <c r="CM813" i="23916"/>
  <c r="CM614" i="23916"/>
  <c r="CM196" i="23916"/>
  <c r="CN190" i="23916"/>
  <c r="CM192" i="23916"/>
  <c r="ET260" i="23916"/>
  <c r="ES266" i="23916"/>
  <c r="CF154" i="23916"/>
  <c r="CE783" i="23916"/>
  <c r="CN154" i="23916"/>
  <c r="BM792" i="23916"/>
  <c r="EJ7" i="23916"/>
  <c r="CR195" i="23916"/>
  <c r="GE622" i="23916"/>
  <c r="DH117" i="23916"/>
  <c r="CV189" i="23916"/>
  <c r="CV195" i="23916"/>
  <c r="CI800" i="23916"/>
  <c r="CI805" i="23916" s="1"/>
  <c r="CJ193" i="23916"/>
  <c r="CO621" i="23916"/>
  <c r="CX621" i="23916" s="1"/>
  <c r="CP618" i="23916"/>
  <c r="CX618" i="23916"/>
  <c r="ED13" i="23916"/>
  <c r="ED620" i="23916"/>
  <c r="GU702" i="23916"/>
  <c r="GV702" i="23916"/>
  <c r="BS766" i="23916"/>
  <c r="BT766" i="23916" s="1"/>
  <c r="BS734" i="23916"/>
  <c r="BT731" i="23916"/>
  <c r="DW171" i="23916"/>
  <c r="DN195" i="23916"/>
  <c r="BA655" i="23916"/>
  <c r="BB655" i="23916" s="1"/>
  <c r="BB621" i="23916"/>
  <c r="ET298" i="23916"/>
  <c r="ES299" i="23916"/>
  <c r="ET299" i="23916" s="1"/>
  <c r="ES307" i="23916"/>
  <c r="ET307" i="23916" s="1"/>
  <c r="ES305" i="23916"/>
  <c r="ET305" i="23916" s="1"/>
  <c r="EI822" i="23916"/>
  <c r="EJ544" i="23916"/>
  <c r="CL195" i="23916"/>
  <c r="EK816" i="23916"/>
  <c r="EL372" i="23916"/>
  <c r="CQ434" i="23916"/>
  <c r="CS405" i="23916"/>
  <c r="GK585" i="23916"/>
  <c r="Q813" i="23916"/>
  <c r="R190" i="23916"/>
  <c r="Q196" i="23916"/>
  <c r="Q192" i="23916"/>
  <c r="Z190" i="23916"/>
  <c r="EU497" i="23916"/>
  <c r="ES498" i="23916"/>
  <c r="ET497" i="23916"/>
  <c r="DV195" i="23916"/>
  <c r="GR424" i="23916"/>
  <c r="GQ424" i="23916"/>
  <c r="GQ439" i="23916"/>
  <c r="GR439" i="23916"/>
  <c r="BQ430" i="23916"/>
  <c r="BQ426" i="23916"/>
  <c r="BR426" i="23916" s="1"/>
  <c r="BQ431" i="23916"/>
  <c r="BQ432" i="23916" s="1"/>
  <c r="BQ425" i="23916"/>
  <c r="BR420" i="23916"/>
  <c r="BW813" i="23916"/>
  <c r="BW614" i="23916"/>
  <c r="BW196" i="23916"/>
  <c r="BX190" i="23916"/>
  <c r="BW192" i="23916"/>
  <c r="BX195" i="23916"/>
  <c r="GL822" i="23916"/>
  <c r="GM822" i="23916" s="1"/>
  <c r="GM544" i="23916"/>
  <c r="FT830" i="23916"/>
  <c r="FU692" i="23916"/>
  <c r="DD304" i="23916"/>
  <c r="DC816" i="23916"/>
  <c r="FU271" i="23916"/>
  <c r="FU506" i="23916"/>
  <c r="BK804" i="23916"/>
  <c r="BL545" i="23916"/>
  <c r="DL121" i="23916"/>
  <c r="ED195" i="23916"/>
  <c r="DK614" i="23916"/>
  <c r="DK196" i="23916"/>
  <c r="DL190" i="23916"/>
  <c r="DK192" i="23916"/>
  <c r="DK813" i="23916"/>
  <c r="DL195" i="23916"/>
  <c r="GE618" i="23916"/>
  <c r="GD621" i="23916"/>
  <c r="DX308" i="23916"/>
  <c r="EE800" i="23916"/>
  <c r="EF193" i="23916"/>
  <c r="CX189" i="23916"/>
  <c r="GI118" i="23916"/>
  <c r="GI307" i="23916"/>
  <c r="BV621" i="23916"/>
  <c r="GJ787" i="23916"/>
  <c r="GK606" i="23916"/>
  <c r="GJ791" i="23916"/>
  <c r="GJ792" i="23916" s="1"/>
  <c r="GJ545" i="23916"/>
  <c r="BG804" i="23916"/>
  <c r="BH545" i="23916"/>
  <c r="DC820" i="23916"/>
  <c r="DD117" i="23916"/>
  <c r="GM117" i="23916"/>
  <c r="GE271" i="23916"/>
  <c r="DY426" i="23916"/>
  <c r="DY430" i="23916"/>
  <c r="DY425" i="23916"/>
  <c r="DY431" i="23916"/>
  <c r="AY804" i="23916"/>
  <c r="AZ545" i="23916"/>
  <c r="GR457" i="23916"/>
  <c r="GQ457" i="23916"/>
  <c r="GG622" i="23916"/>
  <c r="DZ189" i="23916"/>
  <c r="DY800" i="23916"/>
  <c r="DZ193" i="23916"/>
  <c r="AY800" i="23916"/>
  <c r="AZ193" i="23916"/>
  <c r="GG187" i="23916"/>
  <c r="FQ505" i="23916"/>
  <c r="EF12" i="23916"/>
  <c r="FU585" i="23916"/>
  <c r="CV619" i="23916"/>
  <c r="DD619" i="23916"/>
  <c r="DZ121" i="23916"/>
  <c r="GQ217" i="23916"/>
  <c r="GP219" i="23916"/>
  <c r="GQ219" i="23916" s="1"/>
  <c r="GR217" i="23916"/>
  <c r="GP218" i="23916"/>
  <c r="EQ819" i="23916"/>
  <c r="EQ624" i="23916"/>
  <c r="EQ623" i="23916"/>
  <c r="EQ544" i="23916"/>
  <c r="ER541" i="23916"/>
  <c r="EQ15" i="23916"/>
  <c r="ER15" i="23916" s="1"/>
  <c r="GX530" i="23916"/>
  <c r="GS253" i="23916"/>
  <c r="GT253" i="23916"/>
  <c r="FT274" i="23916"/>
  <c r="FT275" i="23916"/>
  <c r="AO628" i="23916"/>
  <c r="AP627" i="23916"/>
  <c r="AX627" i="23916"/>
  <c r="GQ288" i="23916"/>
  <c r="DV620" i="23916"/>
  <c r="DD721" i="23916"/>
  <c r="DC722" i="23916"/>
  <c r="DD722" i="23916" s="1"/>
  <c r="GL211" i="23916"/>
  <c r="GM211" i="23916" s="1"/>
  <c r="GM213" i="23916"/>
  <c r="GD816" i="23916"/>
  <c r="GE372" i="23916"/>
  <c r="GJ74" i="23916"/>
  <c r="GV50" i="23916"/>
  <c r="GU50" i="23916"/>
  <c r="FW412" i="23916"/>
  <c r="FV415" i="23916"/>
  <c r="FW415" i="23916" s="1"/>
  <c r="GW144" i="23916"/>
  <c r="GX144" i="23916"/>
  <c r="DU820" i="23916"/>
  <c r="DV271" i="23916"/>
  <c r="EK614" i="23916"/>
  <c r="EK192" i="23916"/>
  <c r="EK196" i="23916"/>
  <c r="EL190" i="23916"/>
  <c r="EK8" i="23916"/>
  <c r="EK10" i="23916" s="1"/>
  <c r="CB620" i="23916"/>
  <c r="CA621" i="23916"/>
  <c r="CJ621" i="23916" s="1"/>
  <c r="AI816" i="23916"/>
  <c r="AJ372" i="23916"/>
  <c r="AR372" i="23916"/>
  <c r="BS453" i="23916"/>
  <c r="BR458" i="23916"/>
  <c r="GN613" i="23916"/>
  <c r="GO115" i="23916"/>
  <c r="GN117" i="23916"/>
  <c r="GO117" i="23916" s="1"/>
  <c r="GN7" i="23916"/>
  <c r="GN121" i="23916"/>
  <c r="GO121" i="23916" s="1"/>
  <c r="FJ193" i="23916"/>
  <c r="FJ195" i="23916"/>
  <c r="FJ190" i="23916"/>
  <c r="FK187" i="23916"/>
  <c r="FJ189" i="23916"/>
  <c r="FM187" i="23916"/>
  <c r="CZ618" i="23916"/>
  <c r="CY621" i="23916"/>
  <c r="BO813" i="23916"/>
  <c r="BO614" i="23916"/>
  <c r="BO196" i="23916"/>
  <c r="BP196" i="23916" s="1"/>
  <c r="BP190" i="23916"/>
  <c r="BO192" i="23916"/>
  <c r="FV480" i="23916"/>
  <c r="FV481" i="23916"/>
  <c r="FW481" i="23916" s="1"/>
  <c r="FW388" i="23916"/>
  <c r="GQ454" i="23916"/>
  <c r="GR454" i="23916"/>
  <c r="GP855" i="23916"/>
  <c r="GQ349" i="23916"/>
  <c r="GR349" i="23916"/>
  <c r="GR600" i="23916"/>
  <c r="GS600" i="23916" s="1"/>
  <c r="GT529" i="23916"/>
  <c r="AA813" i="23916"/>
  <c r="AA196" i="23916"/>
  <c r="AB196" i="23916" s="1"/>
  <c r="AB190" i="23916"/>
  <c r="AA192" i="23916"/>
  <c r="GR489" i="23916"/>
  <c r="GQ489" i="23916"/>
  <c r="FK509" i="23916"/>
  <c r="GM669" i="23916"/>
  <c r="GO669" i="23916"/>
  <c r="DD860" i="23916"/>
  <c r="DD796" i="23916"/>
  <c r="EG787" i="23916"/>
  <c r="EH606" i="23916"/>
  <c r="EG791" i="23916"/>
  <c r="EG545" i="23916"/>
  <c r="GI333" i="23916"/>
  <c r="GI340" i="23916"/>
  <c r="FR787" i="23916"/>
  <c r="FS606" i="23916"/>
  <c r="FR545" i="23916"/>
  <c r="EN618" i="23916"/>
  <c r="EM621" i="23916"/>
  <c r="DS808" i="23916"/>
  <c r="DS800" i="23916"/>
  <c r="DT193" i="23916"/>
  <c r="EX290" i="23916"/>
  <c r="EW291" i="23916"/>
  <c r="CD621" i="23916"/>
  <c r="FX620" i="23916"/>
  <c r="FX372" i="23916"/>
  <c r="FX376" i="23916"/>
  <c r="GA376" i="23916" s="1"/>
  <c r="FY370" i="23916"/>
  <c r="GQ321" i="23916"/>
  <c r="GR321" i="23916"/>
  <c r="BC813" i="23916"/>
  <c r="BC614" i="23916"/>
  <c r="BC196" i="23916"/>
  <c r="BD190" i="23916"/>
  <c r="BC192" i="23916"/>
  <c r="GA375" i="23916"/>
  <c r="GO581" i="23916"/>
  <c r="GZ581" i="23916"/>
  <c r="GQ581" i="23916"/>
  <c r="BI648" i="23916"/>
  <c r="BJ614" i="23916"/>
  <c r="BI616" i="23916"/>
  <c r="DQ820" i="23916"/>
  <c r="DR117" i="23916"/>
  <c r="GK117" i="23916"/>
  <c r="AM800" i="23916"/>
  <c r="AN193" i="23916"/>
  <c r="EH195" i="23916"/>
  <c r="EP195" i="23916"/>
  <c r="AV195" i="23916"/>
  <c r="DP189" i="23916"/>
  <c r="ED615" i="23916"/>
  <c r="GL867" i="23916"/>
  <c r="GM867" i="23916" s="1"/>
  <c r="GM866" i="23916"/>
  <c r="CG813" i="23916"/>
  <c r="CG614" i="23916"/>
  <c r="CG196" i="23916"/>
  <c r="CG192" i="23916"/>
  <c r="CH190" i="23916"/>
  <c r="CG808" i="23916"/>
  <c r="CG800" i="23916"/>
  <c r="CG805" i="23916" s="1"/>
  <c r="CH193" i="23916"/>
  <c r="CV618" i="23916"/>
  <c r="CU621" i="23916"/>
  <c r="DW464" i="23916"/>
  <c r="CM816" i="23916"/>
  <c r="CN372" i="23916"/>
  <c r="CV372" i="23916"/>
  <c r="EO820" i="23916"/>
  <c r="EP271" i="23916"/>
  <c r="EC621" i="23916"/>
  <c r="ED618" i="23916"/>
  <c r="GP850" i="23916"/>
  <c r="GQ850" i="23916" s="1"/>
  <c r="GQ251" i="23916"/>
  <c r="FP372" i="23916"/>
  <c r="FQ370" i="23916"/>
  <c r="FP376" i="23916"/>
  <c r="FQ376" i="23916" s="1"/>
  <c r="EK787" i="23916"/>
  <c r="EL606" i="23916"/>
  <c r="EK791" i="23916"/>
  <c r="EK545" i="23916"/>
  <c r="FP274" i="23916"/>
  <c r="FP275" i="23916"/>
  <c r="EL275" i="23916"/>
  <c r="CO813" i="23916"/>
  <c r="CO614" i="23916"/>
  <c r="CO192" i="23916"/>
  <c r="CP190" i="23916"/>
  <c r="CO196" i="23916"/>
  <c r="CP196" i="23916" s="1"/>
  <c r="CO808" i="23916"/>
  <c r="CO800" i="23916"/>
  <c r="CO805" i="23916" s="1"/>
  <c r="CP193" i="23916"/>
  <c r="CE813" i="23916"/>
  <c r="CE614" i="23916"/>
  <c r="CE196" i="23916"/>
  <c r="CF196" i="23916" s="1"/>
  <c r="CF190" i="23916"/>
  <c r="CE192" i="23916"/>
  <c r="GH193" i="23916"/>
  <c r="GH195" i="23916"/>
  <c r="GI195" i="23916" s="1"/>
  <c r="GH190" i="23916"/>
  <c r="GK190" i="23916" s="1"/>
  <c r="GI187" i="23916"/>
  <c r="GH189" i="23916"/>
  <c r="GI189" i="23916" s="1"/>
  <c r="EM816" i="23916"/>
  <c r="CW820" i="23916"/>
  <c r="CX117" i="23916"/>
  <c r="C169" i="23916"/>
  <c r="C167" i="23916"/>
  <c r="C170" i="23916"/>
  <c r="EL304" i="23916"/>
  <c r="FV620" i="23916"/>
  <c r="FV376" i="23916"/>
  <c r="FW376" i="23916" s="1"/>
  <c r="FW370" i="23916"/>
  <c r="FV372" i="23916"/>
  <c r="FP817" i="23916"/>
  <c r="FQ581" i="23916"/>
  <c r="DE820" i="23916"/>
  <c r="DF117" i="23916"/>
  <c r="GD193" i="23916"/>
  <c r="GD195" i="23916"/>
  <c r="GE195" i="23916" s="1"/>
  <c r="GE187" i="23916"/>
  <c r="GD190" i="23916"/>
  <c r="GD189" i="23916"/>
  <c r="GE189" i="23916" s="1"/>
  <c r="GD32" i="23916"/>
  <c r="CV32" i="23916"/>
  <c r="CU43" i="23916"/>
  <c r="CV43" i="23916" s="1"/>
  <c r="CU42" i="23916"/>
  <c r="CV42" i="23916" s="1"/>
  <c r="CU41" i="23916"/>
  <c r="CV41" i="23916" s="1"/>
  <c r="CU38" i="23916"/>
  <c r="CU39" i="23916" s="1"/>
  <c r="GS128" i="23916"/>
  <c r="GT128" i="23916"/>
  <c r="GL820" i="23916"/>
  <c r="GM820" i="23916" s="1"/>
  <c r="GM271" i="23916"/>
  <c r="GM12" i="23916"/>
  <c r="GM619" i="23916"/>
  <c r="GJ808" i="23916"/>
  <c r="GJ800" i="23916"/>
  <c r="GK193" i="23916"/>
  <c r="CY805" i="23916"/>
  <c r="CY806" i="23916" s="1"/>
  <c r="BU813" i="23916"/>
  <c r="BU614" i="23916"/>
  <c r="BV190" i="23916"/>
  <c r="BU192" i="23916"/>
  <c r="BU196" i="23916"/>
  <c r="BV196" i="23916" s="1"/>
  <c r="DN121" i="23916"/>
  <c r="DT618" i="23916"/>
  <c r="DS621" i="23916"/>
  <c r="GA620" i="23916"/>
  <c r="EU367" i="23916"/>
  <c r="BS392" i="23916"/>
  <c r="BR397" i="23916"/>
  <c r="GU406" i="23916"/>
  <c r="GV406" i="23916"/>
  <c r="AU804" i="23916"/>
  <c r="AV545" i="23916"/>
  <c r="BY800" i="23916"/>
  <c r="BZ193" i="23916"/>
  <c r="DT615" i="23916"/>
  <c r="GN509" i="23916"/>
  <c r="GO509" i="23916" s="1"/>
  <c r="GN505" i="23916"/>
  <c r="GO505" i="23916" s="1"/>
  <c r="GO503" i="23916"/>
  <c r="GN14" i="23916"/>
  <c r="GO14" i="23916" s="1"/>
  <c r="FS581" i="23916"/>
  <c r="AQ800" i="23916"/>
  <c r="AR193" i="23916"/>
  <c r="CT613" i="23916"/>
  <c r="GN619" i="23916"/>
  <c r="EJ619" i="23916"/>
  <c r="FZ621" i="23916"/>
  <c r="GA618" i="23916"/>
  <c r="FS369" i="23916"/>
  <c r="DW787" i="23916"/>
  <c r="DX606" i="23916"/>
  <c r="DW791" i="23916"/>
  <c r="DW792" i="23916" s="1"/>
  <c r="DW545" i="23916"/>
  <c r="EO843" i="23916"/>
  <c r="DH308" i="23916"/>
  <c r="GT350" i="23916"/>
  <c r="GS350" i="23916"/>
  <c r="FW275" i="23916"/>
  <c r="DL304" i="23916"/>
  <c r="DK816" i="23916"/>
  <c r="BQ650" i="23916"/>
  <c r="BR616" i="23916"/>
  <c r="EF624" i="23916"/>
  <c r="BP376" i="23916"/>
  <c r="BX376" i="23916"/>
  <c r="CA813" i="23916"/>
  <c r="CA614" i="23916"/>
  <c r="CA196" i="23916"/>
  <c r="CB190" i="23916"/>
  <c r="CA192" i="23916"/>
  <c r="GG372" i="23916"/>
  <c r="GV527" i="23916"/>
  <c r="GK369" i="23916"/>
  <c r="BI655" i="23916"/>
  <c r="BJ655" i="23916" s="1"/>
  <c r="BJ621" i="23916"/>
  <c r="CQ466" i="23916"/>
  <c r="CS438" i="23916"/>
  <c r="GP717" i="23916"/>
  <c r="GQ717" i="23916" s="1"/>
  <c r="GR714" i="23916"/>
  <c r="GQ714" i="23916"/>
  <c r="ER189" i="23916"/>
  <c r="EJ189" i="23916"/>
  <c r="DI800" i="23916"/>
  <c r="DI805" i="23916" s="1"/>
  <c r="DI806" i="23916" s="1"/>
  <c r="DJ193" i="23916"/>
  <c r="GJ482" i="23916"/>
  <c r="AA545" i="23916"/>
  <c r="AB606" i="23916"/>
  <c r="BI804" i="23916"/>
  <c r="BJ545" i="23916"/>
  <c r="GO246" i="23916"/>
  <c r="BE813" i="23916"/>
  <c r="BE614" i="23916"/>
  <c r="BE192" i="23916"/>
  <c r="BF190" i="23916"/>
  <c r="BE196" i="23916"/>
  <c r="BN190" i="23916"/>
  <c r="BE800" i="23916"/>
  <c r="BF193" i="23916"/>
  <c r="BN193" i="23916"/>
  <c r="DO621" i="23916"/>
  <c r="DP618" i="23916"/>
  <c r="GK338" i="23916"/>
  <c r="GG114" i="23916"/>
  <c r="GG120" i="23916"/>
  <c r="EM787" i="23916"/>
  <c r="EN606" i="23916"/>
  <c r="EM791" i="23916"/>
  <c r="EM792" i="23916" s="1"/>
  <c r="EM545" i="23916"/>
  <c r="GQ293" i="23916"/>
  <c r="GR293" i="23916"/>
  <c r="EL117" i="23916"/>
  <c r="EJ615" i="23916"/>
  <c r="EH7" i="23916"/>
  <c r="G147" i="23916"/>
  <c r="G151" i="23916"/>
  <c r="G150" i="23916"/>
  <c r="AJ189" i="23916"/>
  <c r="GE509" i="23916"/>
  <c r="GS701" i="23916"/>
  <c r="GT701" i="23916"/>
  <c r="DV7" i="23916"/>
  <c r="CU614" i="23916"/>
  <c r="CU196" i="23916"/>
  <c r="CV196" i="23916" s="1"/>
  <c r="CV190" i="23916"/>
  <c r="CU192" i="23916"/>
  <c r="CU813" i="23916"/>
  <c r="CJ620" i="23916"/>
  <c r="GM38" i="23916"/>
  <c r="GN32" i="23916"/>
  <c r="CJ195" i="23916"/>
  <c r="CP304" i="23916"/>
  <c r="CX304" i="23916"/>
  <c r="ED376" i="23916"/>
  <c r="DM800" i="23916"/>
  <c r="DM805" i="23916" s="1"/>
  <c r="DM806" i="23916" s="1"/>
  <c r="DN193" i="23916"/>
  <c r="GE581" i="23916"/>
  <c r="GG581" i="23916"/>
  <c r="EX593" i="23916"/>
  <c r="GP593" i="23916"/>
  <c r="GQ593" i="23916" s="1"/>
  <c r="GJ618" i="23916"/>
  <c r="GJ308" i="23916"/>
  <c r="GK301" i="23916"/>
  <c r="GJ304" i="23916"/>
  <c r="GJ11" i="23916"/>
  <c r="GK11" i="23916" s="1"/>
  <c r="GQ282" i="23916"/>
  <c r="GR282" i="23916"/>
  <c r="GR288" i="23916" s="1"/>
  <c r="GP284" i="23916"/>
  <c r="BE654" i="23916"/>
  <c r="BF654" i="23916" s="1"/>
  <c r="BF620" i="23916"/>
  <c r="BE621" i="23916"/>
  <c r="CQ415" i="23916"/>
  <c r="R195" i="23916"/>
  <c r="Z195" i="23916"/>
  <c r="GK502" i="23916"/>
  <c r="GK508" i="23916"/>
  <c r="DU614" i="23916"/>
  <c r="DV190" i="23916"/>
  <c r="DU192" i="23916"/>
  <c r="DU196" i="23916"/>
  <c r="DU8" i="23916"/>
  <c r="DV8" i="23916" s="1"/>
  <c r="ER260" i="23916"/>
  <c r="EQ266" i="23916"/>
  <c r="DU787" i="23916"/>
  <c r="DV606" i="23916"/>
  <c r="DU791" i="23916"/>
  <c r="DU792" i="23916" s="1"/>
  <c r="DU545" i="23916"/>
  <c r="GB619" i="23916"/>
  <c r="GB337" i="23916"/>
  <c r="GB341" i="23916"/>
  <c r="GC341" i="23916" s="1"/>
  <c r="GC334" i="23916"/>
  <c r="GB812" i="23916"/>
  <c r="EO813" i="23916"/>
  <c r="EP622" i="23916"/>
  <c r="GV283" i="23916"/>
  <c r="GU283" i="23916"/>
  <c r="FH816" i="23916"/>
  <c r="FI372" i="23916"/>
  <c r="DX341" i="23916"/>
  <c r="DD308" i="23916"/>
  <c r="EV260" i="23916"/>
  <c r="EU266" i="23916"/>
  <c r="EQ620" i="23916"/>
  <c r="EQ372" i="23916"/>
  <c r="EQ376" i="23916"/>
  <c r="ER376" i="23916" s="1"/>
  <c r="ER370" i="23916"/>
  <c r="EQ13" i="23916"/>
  <c r="ER13" i="23916" s="1"/>
  <c r="ER373" i="23916"/>
  <c r="EW228" i="23916"/>
  <c r="EW230" i="23916" s="1"/>
  <c r="GP226" i="23916"/>
  <c r="EC800" i="23916"/>
  <c r="ED193" i="23916"/>
  <c r="DL189" i="23916"/>
  <c r="GJ816" i="23916"/>
  <c r="GK665" i="23916"/>
  <c r="CR137" i="23916"/>
  <c r="BT189" i="23916"/>
  <c r="EE614" i="23916"/>
  <c r="EE196" i="23916"/>
  <c r="EE192" i="23916"/>
  <c r="EF190" i="23916"/>
  <c r="EE8" i="23916"/>
  <c r="EF195" i="23916"/>
  <c r="EL11" i="23916"/>
  <c r="GC581" i="23916"/>
  <c r="GP732" i="23916"/>
  <c r="EX732" i="23916"/>
  <c r="EW705" i="23916"/>
  <c r="EX705" i="23916" s="1"/>
  <c r="V196" i="23916"/>
  <c r="GM613" i="23916"/>
  <c r="GE615" i="23916"/>
  <c r="GE340" i="23916"/>
  <c r="GV313" i="23916"/>
  <c r="GU313" i="23916"/>
  <c r="GC508" i="23916"/>
  <c r="EX321" i="23916"/>
  <c r="GO213" i="23916"/>
  <c r="GN211" i="23916"/>
  <c r="GO211" i="23916" s="1"/>
  <c r="FT816" i="23916"/>
  <c r="FK581" i="23916"/>
  <c r="FZ787" i="23916"/>
  <c r="FZ791" i="23916"/>
  <c r="FZ792" i="23916" s="1"/>
  <c r="FZ545" i="23916"/>
  <c r="GC545" i="23916" s="1"/>
  <c r="DY614" i="23916"/>
  <c r="DY192" i="23916"/>
  <c r="DY196" i="23916"/>
  <c r="DZ196" i="23916" s="1"/>
  <c r="DZ190" i="23916"/>
  <c r="DY8" i="23916"/>
  <c r="AY813" i="23916"/>
  <c r="AY614" i="23916"/>
  <c r="AY196" i="23916"/>
  <c r="AZ190" i="23916"/>
  <c r="AY192" i="23916"/>
  <c r="AZ195" i="23916"/>
  <c r="GF614" i="23916"/>
  <c r="GF192" i="23916"/>
  <c r="GG190" i="23916"/>
  <c r="GF196" i="23916"/>
  <c r="GF813" i="23916"/>
  <c r="FQ509" i="23916"/>
  <c r="AS138" i="23916"/>
  <c r="AS137" i="23916"/>
  <c r="AS133" i="23916"/>
  <c r="CV341" i="23916"/>
  <c r="DD341" i="23916"/>
  <c r="EF341" i="23916"/>
  <c r="GR237" i="23916"/>
  <c r="GP245" i="23916"/>
  <c r="GQ237" i="23916"/>
  <c r="GQ644" i="23916"/>
  <c r="GR644" i="23916"/>
  <c r="DU74" i="23916"/>
  <c r="AO800" i="23916"/>
  <c r="AP193" i="23916"/>
  <c r="EI787" i="23916"/>
  <c r="EJ606" i="23916"/>
  <c r="EI791" i="23916"/>
  <c r="GR353" i="23916"/>
  <c r="GT352" i="23916"/>
  <c r="GS352" i="23916"/>
  <c r="DE763" i="23916"/>
  <c r="DF763" i="23916" s="1"/>
  <c r="DE721" i="23916"/>
  <c r="DF718" i="23916"/>
  <c r="DE719" i="23916"/>
  <c r="DF719" i="23916" s="1"/>
  <c r="DG718" i="23916"/>
  <c r="GN615" i="23916"/>
  <c r="GN275" i="23916"/>
  <c r="GO275" i="23916" s="1"/>
  <c r="GN271" i="23916"/>
  <c r="GN9" i="23916"/>
  <c r="GO9" i="23916" s="1"/>
  <c r="GO269" i="23916"/>
  <c r="EH621" i="23916"/>
  <c r="CQ480" i="23916"/>
  <c r="CQ481" i="23916"/>
  <c r="CQ478" i="23916"/>
  <c r="S821" i="23916"/>
  <c r="S817" i="23916"/>
  <c r="T192" i="23916"/>
  <c r="DU482" i="23916"/>
  <c r="DV615" i="23916"/>
  <c r="CK804" i="23916"/>
  <c r="CL545" i="23916"/>
  <c r="GK581" i="23916"/>
  <c r="GR357" i="23916"/>
  <c r="GQ357" i="23916"/>
  <c r="BD376" i="23916"/>
  <c r="BL376" i="23916"/>
  <c r="BR438" i="23916"/>
  <c r="BQ445" i="23916"/>
  <c r="BQ449" i="23916"/>
  <c r="BR449" i="23916" s="1"/>
  <c r="BQ444" i="23916"/>
  <c r="GO622" i="23916"/>
  <c r="FO682" i="23916"/>
  <c r="FQ682" i="23916"/>
  <c r="EW673" i="23916"/>
  <c r="EX673" i="23916" s="1"/>
  <c r="EX674" i="23916"/>
  <c r="EW669" i="23916"/>
  <c r="GP669" i="23916" s="1"/>
  <c r="GQ669" i="23916" s="1"/>
  <c r="FR193" i="23916"/>
  <c r="FR195" i="23916"/>
  <c r="FR190" i="23916"/>
  <c r="FS187" i="23916"/>
  <c r="FR189" i="23916"/>
  <c r="FU187" i="23916"/>
  <c r="GB614" i="23916"/>
  <c r="GB192" i="23916"/>
  <c r="GB196" i="23916"/>
  <c r="GB813" i="23916"/>
  <c r="EA787" i="23916"/>
  <c r="EB606" i="23916"/>
  <c r="EA791" i="23916"/>
  <c r="EA545" i="23916"/>
  <c r="GN860" i="23916"/>
  <c r="GN796" i="23916"/>
  <c r="GO118" i="23916"/>
  <c r="GO860" i="23916" s="1"/>
  <c r="EX258" i="23916"/>
  <c r="EW263" i="23916"/>
  <c r="GT225" i="23916"/>
  <c r="GS225" i="23916"/>
  <c r="GR229" i="23916"/>
  <c r="GS229" i="23916" s="1"/>
  <c r="GN608" i="23916"/>
  <c r="GO608" i="23916" s="1"/>
  <c r="GO604" i="23916"/>
  <c r="GN606" i="23916"/>
  <c r="GN545" i="23916" s="1"/>
  <c r="FY392" i="23916"/>
  <c r="FW581" i="23916"/>
  <c r="GZ635" i="23916"/>
  <c r="GY635" i="23916"/>
  <c r="M138" i="23916"/>
  <c r="N138" i="23916" s="1"/>
  <c r="M137" i="23916"/>
  <c r="N137" i="23916" s="1"/>
  <c r="M133" i="23916"/>
  <c r="N127" i="23916"/>
  <c r="CQ171" i="23916"/>
  <c r="CR169" i="23916"/>
  <c r="CC813" i="23916"/>
  <c r="CC614" i="23916"/>
  <c r="CC196" i="23916"/>
  <c r="CD196" i="23916" s="1"/>
  <c r="CC192" i="23916"/>
  <c r="CD190" i="23916"/>
  <c r="BM650" i="23916"/>
  <c r="ET324" i="23916"/>
  <c r="ES331" i="23916"/>
  <c r="DC805" i="23916"/>
  <c r="DC806" i="23916" s="1"/>
  <c r="EX358" i="23916"/>
  <c r="EW601" i="23916"/>
  <c r="EX601" i="23916" s="1"/>
  <c r="T606" i="23916"/>
  <c r="S545" i="23916"/>
  <c r="FN193" i="23916"/>
  <c r="FN195" i="23916"/>
  <c r="FO187" i="23916"/>
  <c r="FN190" i="23916"/>
  <c r="FN189" i="23916"/>
  <c r="FQ187" i="23916"/>
  <c r="CT39" i="23916"/>
  <c r="CS73" i="23916"/>
  <c r="CT73" i="23916" s="1"/>
  <c r="CS72" i="23916"/>
  <c r="CS70" i="23916"/>
  <c r="CT70" i="23916" s="1"/>
  <c r="EV323" i="23916"/>
  <c r="EU324" i="23916"/>
  <c r="FY453" i="23916"/>
  <c r="FX462" i="23916"/>
  <c r="FX463" i="23916"/>
  <c r="DS614" i="23916"/>
  <c r="DS196" i="23916"/>
  <c r="DT196" i="23916" s="1"/>
  <c r="DT190" i="23916"/>
  <c r="DS8" i="23916"/>
  <c r="DS192" i="23916"/>
  <c r="EE787" i="23916"/>
  <c r="EF606" i="23916"/>
  <c r="EE791" i="23916"/>
  <c r="EE792" i="23916" s="1"/>
  <c r="GT314" i="23916"/>
  <c r="GS314" i="23916"/>
  <c r="CZ613" i="23916"/>
  <c r="BK813" i="23916"/>
  <c r="BK614" i="23916"/>
  <c r="BK196" i="23916"/>
  <c r="BL196" i="23916" s="1"/>
  <c r="BL190" i="23916"/>
  <c r="BK192" i="23916"/>
  <c r="DW800" i="23916"/>
  <c r="DX193" i="23916"/>
  <c r="FO605" i="23916"/>
  <c r="FN606" i="23916"/>
  <c r="EA816" i="23916"/>
  <c r="DR613" i="23916"/>
  <c r="GJ10" i="23916"/>
  <c r="GK7" i="23916"/>
  <c r="AM813" i="23916"/>
  <c r="AM196" i="23916"/>
  <c r="AN196" i="23916" s="1"/>
  <c r="AN190" i="23916"/>
  <c r="AM192" i="23916"/>
  <c r="EH189" i="23916"/>
  <c r="EP189" i="23916"/>
  <c r="FL274" i="23916"/>
  <c r="DO800" i="23916"/>
  <c r="DO805" i="23916" s="1"/>
  <c r="DO806" i="23916" s="1"/>
  <c r="DP193" i="23916"/>
  <c r="CV304" i="23916"/>
  <c r="CU816" i="23916"/>
  <c r="AE545" i="23916"/>
  <c r="AF606" i="23916"/>
  <c r="DQ800" i="23916"/>
  <c r="DQ805" i="23916" s="1"/>
  <c r="DQ806" i="23916" s="1"/>
  <c r="DR193" i="23916"/>
  <c r="CN620" i="23916"/>
  <c r="CV620" i="23916"/>
  <c r="EP615" i="23916"/>
  <c r="FO509" i="23916"/>
  <c r="GQ720" i="23916"/>
  <c r="GR720" i="23916"/>
  <c r="CE816" i="23916"/>
  <c r="CF372" i="23916"/>
  <c r="AM804" i="23916"/>
  <c r="AN545" i="23916"/>
  <c r="EU333" i="23916"/>
  <c r="ET333" i="23916"/>
  <c r="DC614" i="23916"/>
  <c r="DC196" i="23916"/>
  <c r="DD196" i="23916" s="1"/>
  <c r="DD190" i="23916"/>
  <c r="DC192" i="23916"/>
  <c r="GV474" i="23916"/>
  <c r="GU474" i="23916"/>
  <c r="EK820" i="23916"/>
  <c r="EL271" i="23916"/>
  <c r="BP480" i="23916"/>
  <c r="BO482" i="23916"/>
  <c r="BP482" i="23916" s="1"/>
  <c r="GK373" i="23916"/>
  <c r="CT545" i="23916"/>
  <c r="CS138" i="23916"/>
  <c r="CS137" i="23916"/>
  <c r="CS135" i="23916"/>
  <c r="CS133" i="23916"/>
  <c r="CX613" i="23916"/>
  <c r="BW838" i="23916"/>
  <c r="BW839" i="23916" s="1"/>
  <c r="GN812" i="23916"/>
  <c r="GO812" i="23916" s="1"/>
  <c r="GN372" i="23916"/>
  <c r="GN376" i="23916"/>
  <c r="GO376" i="23916" s="1"/>
  <c r="GO370" i="23916"/>
  <c r="GN13" i="23916"/>
  <c r="GO13" i="23916" s="1"/>
  <c r="FG581" i="23916"/>
  <c r="GC585" i="23916"/>
  <c r="CA169" i="23916"/>
  <c r="CA170" i="23916"/>
  <c r="FX135" i="23916"/>
  <c r="DF613" i="23916"/>
  <c r="EV290" i="23916"/>
  <c r="EU291" i="23916"/>
  <c r="GP290" i="23916"/>
  <c r="GE619" i="23916"/>
  <c r="DL619" i="23916"/>
  <c r="CS479" i="23916"/>
  <c r="GC506" i="23916"/>
  <c r="AC821" i="23916"/>
  <c r="AC817" i="23916"/>
  <c r="AD192" i="23916"/>
  <c r="GM9" i="23916"/>
  <c r="GM615" i="23916"/>
  <c r="CE838" i="23916"/>
  <c r="CE839" i="23916" s="1"/>
  <c r="CF155" i="23916"/>
  <c r="CN155" i="23916"/>
  <c r="GM337" i="23916"/>
  <c r="GK189" i="23916"/>
  <c r="GK195" i="23916"/>
  <c r="FZ816" i="23916"/>
  <c r="GA372" i="23916"/>
  <c r="GE721" i="23916"/>
  <c r="GD722" i="23916"/>
  <c r="GE722" i="23916" s="1"/>
  <c r="GX33" i="23916"/>
  <c r="GW33" i="23916"/>
  <c r="DS820" i="23916"/>
  <c r="DT271" i="23916"/>
  <c r="AQ813" i="23916"/>
  <c r="AQ196" i="23916"/>
  <c r="AR190" i="23916"/>
  <c r="AQ192" i="23916"/>
  <c r="GT289" i="23916"/>
  <c r="GS289" i="23916"/>
  <c r="BQ742" i="23916"/>
  <c r="BR742" i="23916" s="1"/>
  <c r="BR735" i="23916"/>
  <c r="BQ744" i="23916"/>
  <c r="BR744" i="23916" s="1"/>
  <c r="BQ842" i="23916"/>
  <c r="GN195" i="23916"/>
  <c r="GN193" i="23916"/>
  <c r="GN190" i="23916"/>
  <c r="GO187" i="23916"/>
  <c r="GN189" i="23916"/>
  <c r="FR620" i="23916"/>
  <c r="FR376" i="23916"/>
  <c r="FS376" i="23916" s="1"/>
  <c r="FR372" i="23916"/>
  <c r="FS370" i="23916"/>
  <c r="FS373" i="23916"/>
  <c r="GL193" i="23916"/>
  <c r="GL195" i="23916"/>
  <c r="GM195" i="23916" s="1"/>
  <c r="GL190" i="23916"/>
  <c r="GM187" i="23916"/>
  <c r="GL189" i="23916"/>
  <c r="GM189" i="23916" s="1"/>
  <c r="BQ654" i="23916"/>
  <c r="BR654" i="23916" s="1"/>
  <c r="BR620" i="23916"/>
  <c r="BQ621" i="23916"/>
  <c r="EX410" i="23916"/>
  <c r="EW386" i="23916"/>
  <c r="EX386" i="23916" s="1"/>
  <c r="FW444" i="23916"/>
  <c r="FV466" i="23916"/>
  <c r="FW466" i="23916" s="1"/>
  <c r="FX438" i="23916"/>
  <c r="EO821" i="23916"/>
  <c r="EG820" i="23916"/>
  <c r="EH271" i="23916"/>
  <c r="BR614" i="23916"/>
  <c r="EE822" i="23916"/>
  <c r="EF544" i="23916"/>
  <c r="I817" i="23916"/>
  <c r="I821" i="23916"/>
  <c r="BO816" i="23916"/>
  <c r="BP372" i="23916"/>
  <c r="BX372" i="23916"/>
  <c r="ET367" i="23916"/>
  <c r="ES368" i="23916"/>
  <c r="ET368" i="23916" s="1"/>
  <c r="ES373" i="23916"/>
  <c r="ES370" i="23916"/>
  <c r="ES375" i="23916"/>
  <c r="ET375" i="23916" s="1"/>
  <c r="GG620" i="23916"/>
  <c r="AW813" i="23916"/>
  <c r="AW196" i="23916"/>
  <c r="AX196" i="23916" s="1"/>
  <c r="AW192" i="23916"/>
  <c r="AX190" i="23916"/>
  <c r="AW800" i="23916"/>
  <c r="AX193" i="23916"/>
  <c r="GC618" i="23916"/>
  <c r="BE787" i="23916"/>
  <c r="BE545" i="23916"/>
  <c r="BF606" i="23916"/>
  <c r="BO804" i="23916"/>
  <c r="BP545" i="23916"/>
  <c r="CR138" i="23916"/>
  <c r="EI800" i="23916"/>
  <c r="EJ193" i="23916"/>
  <c r="DJ189" i="23916"/>
  <c r="EM800" i="23916"/>
  <c r="EN193" i="23916"/>
  <c r="FM605" i="23916"/>
  <c r="FL606" i="23916"/>
  <c r="EQ307" i="23916"/>
  <c r="ER307" i="23916" s="1"/>
  <c r="EQ305" i="23916"/>
  <c r="ER305" i="23916" s="1"/>
  <c r="ER298" i="23916"/>
  <c r="EQ299" i="23916"/>
  <c r="BF195" i="23916"/>
  <c r="BN195" i="23916"/>
  <c r="BG655" i="23916"/>
  <c r="GE545" i="23916"/>
  <c r="GM671" i="23916"/>
  <c r="GO671" i="23916"/>
  <c r="DA820" i="23916"/>
  <c r="DB117" i="23916"/>
  <c r="GM796" i="23916"/>
  <c r="FL816" i="23916"/>
  <c r="FM372" i="23916"/>
  <c r="GK340" i="23916"/>
  <c r="GI545" i="23916"/>
  <c r="FH133" i="23916"/>
  <c r="FI127" i="23916"/>
  <c r="FH138" i="23916"/>
  <c r="FI138" i="23916" s="1"/>
  <c r="FH137" i="23916"/>
  <c r="FI137" i="23916" s="1"/>
  <c r="GM16" i="23916"/>
  <c r="BC804" i="23916"/>
  <c r="BD545" i="23916"/>
  <c r="EL121" i="23916"/>
  <c r="EL613" i="23916"/>
  <c r="CM808" i="23916"/>
  <c r="CM800" i="23916"/>
  <c r="CM805" i="23916" s="1"/>
  <c r="CN193" i="23916"/>
  <c r="EI820" i="23916"/>
  <c r="EJ271" i="23916"/>
  <c r="EF618" i="23916"/>
  <c r="EE621" i="23916"/>
  <c r="GA146" i="23916"/>
  <c r="FZ150" i="23916"/>
  <c r="FZ154" i="23916"/>
  <c r="GC146" i="23916"/>
  <c r="BM804" i="23916"/>
  <c r="BN545" i="23916"/>
  <c r="EJ613" i="23916"/>
  <c r="AI800" i="23916"/>
  <c r="AJ193" i="23916"/>
  <c r="CQ614" i="23916"/>
  <c r="CQ196" i="23916"/>
  <c r="CR190" i="23916"/>
  <c r="CQ192" i="23916"/>
  <c r="CQ813" i="23916"/>
  <c r="GA373" i="23916"/>
  <c r="EW359" i="23916"/>
  <c r="EX353" i="23916"/>
  <c r="GK805" i="23916"/>
  <c r="DV117" i="23916"/>
  <c r="DN618" i="23916"/>
  <c r="DM621" i="23916"/>
  <c r="CS614" i="23916"/>
  <c r="CS616" i="23916" s="1"/>
  <c r="CS196" i="23916"/>
  <c r="CS192" i="23916"/>
  <c r="CT190" i="23916"/>
  <c r="CS800" i="23916"/>
  <c r="CS805" i="23916" s="1"/>
  <c r="CS806" i="23916" s="1"/>
  <c r="CT193" i="23916"/>
  <c r="CR621" i="23916"/>
  <c r="CJ189" i="23916"/>
  <c r="CP308" i="23916"/>
  <c r="CX308" i="23916"/>
  <c r="EC816" i="23916"/>
  <c r="ED372" i="23916"/>
  <c r="BU736" i="23916"/>
  <c r="BV736" i="23916" s="1"/>
  <c r="BW730" i="23916"/>
  <c r="BV730" i="23916"/>
  <c r="BU731" i="23916"/>
  <c r="BU727" i="23916"/>
  <c r="BU733" i="23916"/>
  <c r="FV730" i="23916"/>
  <c r="BU761" i="23916"/>
  <c r="BV761" i="23916" s="1"/>
  <c r="BU760" i="23916"/>
  <c r="BV760" i="23916" s="1"/>
  <c r="BU762" i="23916"/>
  <c r="BV762" i="23916" s="1"/>
  <c r="BR734" i="23916"/>
  <c r="BQ745" i="23916"/>
  <c r="BR745" i="23916" s="1"/>
  <c r="DN189" i="23916"/>
  <c r="EP7" i="23916"/>
  <c r="GN623" i="23916"/>
  <c r="GO623" i="23916" s="1"/>
  <c r="EJ623" i="23916"/>
  <c r="CL189" i="23916"/>
  <c r="EL620" i="23916"/>
  <c r="GM411" i="23916"/>
  <c r="FW196" i="23916"/>
  <c r="FX813" i="23916"/>
  <c r="FX614" i="23916"/>
  <c r="FX192" i="23916"/>
  <c r="FY190" i="23916"/>
  <c r="FX196" i="23916"/>
  <c r="GP362" i="23916"/>
  <c r="GQ356" i="23916"/>
  <c r="GJ622" i="23916"/>
  <c r="GJ509" i="23916"/>
  <c r="GJ505" i="23916"/>
  <c r="GK503" i="23916"/>
  <c r="GJ14" i="23916"/>
  <c r="GJ813" i="23916" s="1"/>
  <c r="EX396" i="23916"/>
  <c r="GP396" i="23916"/>
  <c r="GQ396" i="23916" s="1"/>
  <c r="GC620" i="23916"/>
  <c r="BX189" i="23916"/>
  <c r="BS816" i="23916"/>
  <c r="BT372" i="23916"/>
  <c r="GI805" i="23916"/>
  <c r="GM624" i="23916"/>
  <c r="DX337" i="23916"/>
  <c r="DD618" i="23916"/>
  <c r="DC621" i="23916"/>
  <c r="ER368" i="23916"/>
  <c r="GX280" i="23916"/>
  <c r="GW280" i="23916"/>
  <c r="FU502" i="23916"/>
  <c r="FU508" i="23916"/>
  <c r="BK792" i="23916"/>
  <c r="ED189" i="23916"/>
  <c r="DO816" i="23916"/>
  <c r="GL788" i="23916"/>
  <c r="GM788" i="23916" s="1"/>
  <c r="GM684" i="23916"/>
  <c r="GN684" i="23916"/>
  <c r="GL665" i="23916"/>
  <c r="GL757" i="23916"/>
  <c r="DX618" i="23916"/>
  <c r="DW621" i="23916"/>
  <c r="BS800" i="23916"/>
  <c r="BT193" i="23916"/>
  <c r="EF189" i="23916"/>
  <c r="EL618" i="23916"/>
  <c r="GA271" i="23916"/>
  <c r="GM503" i="23916"/>
  <c r="CX195" i="23916"/>
  <c r="GI305" i="23916"/>
  <c r="AY816" i="23916"/>
  <c r="AZ372" i="23916"/>
  <c r="GR251" i="23916"/>
  <c r="GT201" i="23916"/>
  <c r="GS201" i="23916"/>
  <c r="GR205" i="23916"/>
  <c r="GS205" i="23916" s="1"/>
  <c r="DD613" i="23916"/>
  <c r="DB860" i="23916"/>
  <c r="DB796" i="23916"/>
  <c r="GM121" i="23916"/>
  <c r="GE333" i="23916"/>
  <c r="GC502" i="23916"/>
  <c r="GO143" i="23916"/>
  <c r="GN147" i="23916"/>
  <c r="GN151" i="23916"/>
  <c r="GO151" i="23916" s="1"/>
  <c r="GN150" i="23916"/>
  <c r="GO150" i="23916" s="1"/>
  <c r="EN619" i="23916"/>
  <c r="GR663" i="23916"/>
  <c r="GQ663" i="23916"/>
  <c r="E275" i="23916"/>
  <c r="E271" i="23916"/>
  <c r="E813" i="23916"/>
  <c r="GR316" i="23916"/>
  <c r="GP317" i="23916"/>
  <c r="GQ316" i="23916"/>
  <c r="GP853" i="23916"/>
  <c r="GQ853" i="23916" s="1"/>
  <c r="FT654" i="23916"/>
  <c r="FU620" i="23916"/>
  <c r="FT621" i="23916"/>
  <c r="DY820" i="23916"/>
  <c r="DZ271" i="23916"/>
  <c r="GG505" i="23916"/>
  <c r="DZ195" i="23916"/>
  <c r="GG189" i="23916"/>
  <c r="GG195" i="23916"/>
  <c r="DZ117" i="23916"/>
  <c r="AS800" i="23916"/>
  <c r="AT193" i="23916"/>
  <c r="FU581" i="23916"/>
  <c r="FQ606" i="23916"/>
  <c r="FP545" i="23916"/>
  <c r="GP674" i="23916"/>
  <c r="GR241" i="23916"/>
  <c r="GP242" i="23916"/>
  <c r="GQ242" i="23916" s="1"/>
  <c r="GQ241" i="23916"/>
  <c r="GP243" i="23916"/>
  <c r="GQ243" i="23916" s="1"/>
  <c r="GT281" i="23916"/>
  <c r="GS281" i="23916"/>
  <c r="GR854" i="23916"/>
  <c r="GS854" i="23916" s="1"/>
  <c r="GP258" i="23916"/>
  <c r="GR410" i="23916"/>
  <c r="GQ410" i="23916"/>
  <c r="GQ254" i="23916"/>
  <c r="DA614" i="23916"/>
  <c r="DA192" i="23916"/>
  <c r="DA196" i="23916"/>
  <c r="DB196" i="23916" s="1"/>
  <c r="DB190" i="23916"/>
  <c r="DA800" i="23916"/>
  <c r="DB193" i="23916"/>
  <c r="GQ353" i="23916"/>
  <c r="DU816" i="23916"/>
  <c r="DV372" i="23916"/>
  <c r="DE614" i="23916"/>
  <c r="DE192" i="23916"/>
  <c r="DF190" i="23916"/>
  <c r="DE196" i="23916"/>
  <c r="DE800" i="23916"/>
  <c r="DE805" i="23916" s="1"/>
  <c r="DE806" i="23916" s="1"/>
  <c r="DF193" i="23916"/>
  <c r="DF805" i="23916" s="1"/>
  <c r="GN801" i="23916"/>
  <c r="GO801" i="23916" s="1"/>
  <c r="GO272" i="23916"/>
  <c r="GK860" i="23916"/>
  <c r="GK796" i="23916"/>
  <c r="FX405" i="23916"/>
  <c r="FV434" i="23916"/>
  <c r="FW434" i="23916" s="1"/>
  <c r="FW411" i="23916"/>
  <c r="GR322" i="23916"/>
  <c r="GQ322" i="23916"/>
  <c r="EL189" i="23916"/>
  <c r="ET189" i="23916"/>
  <c r="EK800" i="23916"/>
  <c r="EL193" i="23916"/>
  <c r="GK625" i="23916"/>
  <c r="CI809" i="23916"/>
  <c r="CI808" i="23916" s="1"/>
  <c r="CI155" i="23916"/>
  <c r="CJ133" i="23916"/>
  <c r="CK127" i="23916"/>
  <c r="BC816" i="23916"/>
  <c r="BD372" i="23916"/>
  <c r="BL372" i="23916"/>
  <c r="FR622" i="23916"/>
  <c r="FR505" i="23916"/>
  <c r="FS505" i="23916" s="1"/>
  <c r="FS503" i="23916"/>
  <c r="FR509" i="23916"/>
  <c r="FS509" i="23916" s="1"/>
  <c r="AJ376" i="23916"/>
  <c r="AR376" i="23916"/>
  <c r="GB800" i="23916"/>
  <c r="GB805" i="23916" s="1"/>
  <c r="GR526" i="23916"/>
  <c r="GP531" i="23916"/>
  <c r="GP533" i="23916" s="1"/>
  <c r="CZ304" i="23916"/>
  <c r="CY816" i="23916"/>
  <c r="GS344" i="23916"/>
  <c r="GQ344" i="23916"/>
  <c r="FZ622" i="23916"/>
  <c r="FZ505" i="23916"/>
  <c r="GA505" i="23916" s="1"/>
  <c r="FZ509" i="23916"/>
  <c r="GA509" i="23916" s="1"/>
  <c r="GA503" i="23916"/>
  <c r="CQ151" i="23916"/>
  <c r="CQ152" i="23916" s="1"/>
  <c r="CQ150" i="23916"/>
  <c r="CQ147" i="23916"/>
  <c r="CR143" i="23916"/>
  <c r="CQ148" i="23916"/>
  <c r="DG800" i="23916"/>
  <c r="DG805" i="23916" s="1"/>
  <c r="DG806" i="23916" s="1"/>
  <c r="DH193" i="23916"/>
  <c r="DH805" i="23916" s="1"/>
  <c r="GN618" i="23916"/>
  <c r="EJ618" i="23916"/>
  <c r="EI621" i="23916"/>
  <c r="GN867" i="23916"/>
  <c r="GO867" i="23916" s="1"/>
  <c r="GO866" i="23916"/>
  <c r="FV479" i="23916"/>
  <c r="FW479" i="23916" s="1"/>
  <c r="FW398" i="23916"/>
  <c r="FV478" i="23916"/>
  <c r="FW478" i="23916" s="1"/>
  <c r="FX381" i="23916"/>
  <c r="FV401" i="23916"/>
  <c r="FW401" i="23916" s="1"/>
  <c r="FW387" i="23916"/>
  <c r="EX393" i="23916"/>
  <c r="GD813" i="23916"/>
  <c r="GD613" i="23916"/>
  <c r="GD117" i="23916"/>
  <c r="GE117" i="23916" s="1"/>
  <c r="GD121" i="23916"/>
  <c r="GE121" i="23916" s="1"/>
  <c r="GE115" i="23916"/>
  <c r="CR135" i="23916"/>
  <c r="GU351" i="23916"/>
  <c r="GV351" i="23916"/>
  <c r="GF619" i="23916"/>
  <c r="GF337" i="23916"/>
  <c r="GG337" i="23916" s="1"/>
  <c r="GF341" i="23916"/>
  <c r="GG341" i="23916" s="1"/>
  <c r="GG334" i="23916"/>
  <c r="GU37" i="23916"/>
  <c r="GV37" i="23916"/>
  <c r="CL621" i="23916"/>
  <c r="GH619" i="23916"/>
  <c r="GH341" i="23916"/>
  <c r="GI341" i="23916" s="1"/>
  <c r="GI334" i="23916"/>
  <c r="GH337" i="23916"/>
  <c r="GI337" i="23916" s="1"/>
  <c r="GV668" i="23916"/>
  <c r="GU668" i="23916"/>
  <c r="DZ613" i="23916"/>
  <c r="BK800" i="23916"/>
  <c r="BL193" i="23916"/>
  <c r="BD189" i="23916"/>
  <c r="DW614" i="23916"/>
  <c r="DW196" i="23916"/>
  <c r="DX196" i="23916" s="1"/>
  <c r="DX190" i="23916"/>
  <c r="DW8" i="23916"/>
  <c r="DW192" i="23916"/>
  <c r="DW398" i="23916"/>
  <c r="DW397" i="23916"/>
  <c r="AI545" i="23916"/>
  <c r="AJ606" i="23916"/>
  <c r="GB792" i="23916"/>
  <c r="GO16" i="23916"/>
  <c r="GQ16" i="23916"/>
  <c r="GZ16" i="23916"/>
  <c r="BJ196" i="23916"/>
  <c r="EA800" i="23916"/>
  <c r="EB193" i="23916"/>
  <c r="X606" i="23916"/>
  <c r="W545" i="23916"/>
  <c r="EG614" i="23916"/>
  <c r="EG192" i="23916"/>
  <c r="EH190" i="23916"/>
  <c r="EG8" i="23916"/>
  <c r="EG196" i="23916"/>
  <c r="EP190" i="23916"/>
  <c r="FL843" i="23916"/>
  <c r="AU813" i="23916"/>
  <c r="AU196" i="23916"/>
  <c r="AV196" i="23916" s="1"/>
  <c r="AU192" i="23916"/>
  <c r="AV190" i="23916"/>
  <c r="DO614" i="23916"/>
  <c r="DO196" i="23916"/>
  <c r="DP196" i="23916" s="1"/>
  <c r="DO192" i="23916"/>
  <c r="DP190" i="23916"/>
  <c r="DO813" i="23916"/>
  <c r="DP195" i="23916"/>
  <c r="ED275" i="23916"/>
  <c r="GH812" i="23916"/>
  <c r="GH620" i="23916"/>
  <c r="GH376" i="23916"/>
  <c r="GI376" i="23916" s="1"/>
  <c r="GI370" i="23916"/>
  <c r="GH372" i="23916"/>
  <c r="GK372" i="23916" s="1"/>
  <c r="FW602" i="23916"/>
  <c r="FY602" i="23916"/>
  <c r="CF620" i="23916"/>
  <c r="CE621" i="23916"/>
  <c r="ET671" i="23916"/>
  <c r="EO616" i="23916"/>
  <c r="DY787" i="23916"/>
  <c r="DZ606" i="23916"/>
  <c r="DY791" i="23916"/>
  <c r="DY792" i="23916" s="1"/>
  <c r="DY545" i="23916"/>
  <c r="FV426" i="23916"/>
  <c r="FW426" i="23916" s="1"/>
  <c r="FX420" i="23916"/>
  <c r="FW425" i="23916"/>
  <c r="BS804" i="23916"/>
  <c r="BT545" i="23916"/>
  <c r="FP843" i="23916"/>
  <c r="BM655" i="23916"/>
  <c r="BN621" i="23916"/>
  <c r="GO620" i="23916"/>
  <c r="AW804" i="23916"/>
  <c r="AX545" i="23916"/>
  <c r="BR192" i="23916"/>
  <c r="EL615" i="23916"/>
  <c r="CP189" i="23916"/>
  <c r="M821" i="23916"/>
  <c r="M817" i="23916"/>
  <c r="N192" i="23916"/>
  <c r="CE808" i="23916"/>
  <c r="CE800" i="23916"/>
  <c r="CE805" i="23916" s="1"/>
  <c r="CF193" i="23916"/>
  <c r="ES819" i="23916"/>
  <c r="ES624" i="23916"/>
  <c r="ES623" i="23916"/>
  <c r="ET623" i="23916" s="1"/>
  <c r="ES544" i="23916"/>
  <c r="ET541" i="23916"/>
  <c r="ES15" i="23916"/>
  <c r="ET15" i="23916" s="1"/>
  <c r="CR133" i="23916"/>
  <c r="CY614" i="23916"/>
  <c r="CY196" i="23916"/>
  <c r="CZ196" i="23916" s="1"/>
  <c r="CZ190" i="23916"/>
  <c r="CY192" i="23916"/>
  <c r="GU252" i="23916"/>
  <c r="GV252" i="23916"/>
  <c r="FQ585" i="23916"/>
  <c r="DF121" i="23916"/>
  <c r="DE813" i="23916"/>
  <c r="AE800" i="23916"/>
  <c r="AF193" i="23916"/>
  <c r="GE337" i="23916"/>
  <c r="CU392" i="23916"/>
  <c r="GL238" i="23916"/>
  <c r="GM238" i="23916" s="1"/>
  <c r="GM235" i="23916"/>
  <c r="GL236" i="23916"/>
  <c r="FY585" i="23916"/>
  <c r="ED613" i="23916"/>
  <c r="GM275" i="23916"/>
  <c r="GM341" i="23916"/>
  <c r="GK187" i="23916"/>
  <c r="GN809" i="23916"/>
  <c r="GO809" i="23916" s="1"/>
  <c r="GN155" i="23916"/>
  <c r="GO155" i="23916" s="1"/>
  <c r="GO133" i="23916"/>
  <c r="GP127" i="23916"/>
  <c r="BU808" i="23916"/>
  <c r="BU800" i="23916"/>
  <c r="BV193" i="23916"/>
  <c r="DM820" i="23916"/>
  <c r="DN117" i="23916"/>
  <c r="GA370" i="23916"/>
  <c r="BQ479" i="23916"/>
  <c r="BR479" i="23916" s="1"/>
  <c r="BQ478" i="23916"/>
  <c r="BR478" i="23916" s="1"/>
  <c r="BR398" i="23916"/>
  <c r="BY813" i="23916"/>
  <c r="BY614" i="23916"/>
  <c r="BZ190" i="23916"/>
  <c r="BY192" i="23916"/>
  <c r="BY196" i="23916"/>
  <c r="BZ196" i="23916" s="1"/>
  <c r="BG800" i="23916"/>
  <c r="BH193" i="23916"/>
  <c r="GO506" i="23916"/>
  <c r="GH622" i="23916"/>
  <c r="GH505" i="23916"/>
  <c r="GI505" i="23916" s="1"/>
  <c r="GI503" i="23916"/>
  <c r="GH509" i="23916"/>
  <c r="GI509" i="23916" s="1"/>
  <c r="FS585" i="23916"/>
  <c r="GP204" i="23916"/>
  <c r="GQ202" i="23916"/>
  <c r="BQ416" i="23916"/>
  <c r="BR416" i="23916" s="1"/>
  <c r="BQ412" i="23916"/>
  <c r="BR405" i="23916"/>
  <c r="BQ411" i="23916"/>
  <c r="FZ193" i="23916"/>
  <c r="FZ195" i="23916"/>
  <c r="GA195" i="23916" s="1"/>
  <c r="FZ190" i="23916"/>
  <c r="GC190" i="23916" s="1"/>
  <c r="GA187" i="23916"/>
  <c r="FZ189" i="23916"/>
  <c r="GA189" i="23916" s="1"/>
  <c r="DW387" i="23916"/>
  <c r="DW388" i="23916"/>
  <c r="GM308" i="23916"/>
  <c r="FW614" i="23916"/>
  <c r="DG621" i="23916"/>
  <c r="DH618" i="23916"/>
  <c r="DP619" i="23916"/>
  <c r="GX163" i="23916"/>
  <c r="GW163" i="23916"/>
  <c r="EH615" i="23916"/>
  <c r="EI816" i="23916"/>
  <c r="GI625" i="23916"/>
  <c r="BR648" i="23916"/>
  <c r="EE545" i="23916"/>
  <c r="GT259" i="23916"/>
  <c r="GS259" i="23916"/>
  <c r="BO654" i="23916"/>
  <c r="BP654" i="23916" s="1"/>
  <c r="BP620" i="23916"/>
  <c r="BO621" i="23916"/>
  <c r="BX620" i="23916"/>
  <c r="GF812" i="23916"/>
  <c r="GS421" i="23916"/>
  <c r="GT421" i="23916"/>
  <c r="GR393" i="23916"/>
  <c r="GR326" i="23916"/>
  <c r="GQ326" i="23916"/>
  <c r="FO690" i="23916"/>
  <c r="Q664" i="23916"/>
  <c r="FN664" i="23916"/>
  <c r="FO664" i="23916" s="1"/>
  <c r="EI614" i="23916"/>
  <c r="EI196" i="23916"/>
  <c r="EJ196" i="23916" s="1"/>
  <c r="EI192" i="23916"/>
  <c r="EI8" i="23916"/>
  <c r="EJ8" i="23916" s="1"/>
  <c r="EJ190" i="23916"/>
  <c r="EJ195" i="23916"/>
  <c r="DI614" i="23916"/>
  <c r="DJ190" i="23916"/>
  <c r="DI196" i="23916"/>
  <c r="DJ196" i="23916" s="1"/>
  <c r="DI192" i="23916"/>
  <c r="DI813" i="23916"/>
  <c r="EM614" i="23916"/>
  <c r="EM196" i="23916"/>
  <c r="EN196" i="23916" s="1"/>
  <c r="EM192" i="23916"/>
  <c r="EN190" i="23916"/>
  <c r="EM8" i="23916"/>
  <c r="GL802" i="23916"/>
  <c r="GM802" i="23916" s="1"/>
  <c r="GM373" i="23916"/>
  <c r="BI792" i="23916"/>
  <c r="DK788" i="23916"/>
  <c r="DM684" i="23916"/>
  <c r="DL684" i="23916"/>
  <c r="DK665" i="23916"/>
  <c r="FT791" i="23916"/>
  <c r="FT792" i="23916" s="1"/>
  <c r="FT787" i="23916"/>
  <c r="FU606" i="23916"/>
  <c r="FT545" i="23916"/>
  <c r="FU545" i="23916" s="1"/>
  <c r="DA616" i="23916"/>
  <c r="DB613" i="23916"/>
  <c r="GK333" i="23916"/>
  <c r="G821" i="23916"/>
  <c r="G817" i="23916"/>
  <c r="GF613" i="23916"/>
  <c r="GG115" i="23916"/>
  <c r="GF117" i="23916"/>
  <c r="GG117" i="23916" s="1"/>
  <c r="GF121" i="23916"/>
  <c r="GG121" i="23916" s="1"/>
  <c r="CT621" i="23916"/>
  <c r="EN608" i="23916"/>
  <c r="FF193" i="23916"/>
  <c r="FF195" i="23916"/>
  <c r="FG195" i="23916" s="1"/>
  <c r="FF190" i="23916"/>
  <c r="FG187" i="23916"/>
  <c r="FF189" i="23916"/>
  <c r="FG189" i="23916" s="1"/>
  <c r="GF618" i="23916"/>
  <c r="GF308" i="23916"/>
  <c r="GG308" i="23916" s="1"/>
  <c r="GG301" i="23916"/>
  <c r="GF304" i="23916"/>
  <c r="GG304" i="23916" s="1"/>
  <c r="EP608" i="23916"/>
  <c r="GM581" i="23916"/>
  <c r="FV622" i="23916"/>
  <c r="FV505" i="23916"/>
  <c r="FY505" i="23916" s="1"/>
  <c r="FW503" i="23916"/>
  <c r="FV509" i="23916"/>
  <c r="FY509" i="23916" s="1"/>
  <c r="CN189" i="23916"/>
  <c r="CN195" i="23916"/>
  <c r="CF148" i="23916"/>
  <c r="CE167" i="23916"/>
  <c r="CN148" i="23916"/>
  <c r="EF671" i="23916"/>
  <c r="EN671" i="23916"/>
  <c r="EH613" i="23916"/>
  <c r="CU55" i="23916"/>
  <c r="CU56" i="23916" s="1"/>
  <c r="CV46" i="23916"/>
  <c r="CU54" i="23916"/>
  <c r="GD46" i="23916"/>
  <c r="CU52" i="23916"/>
  <c r="CU51" i="23916"/>
  <c r="AI813" i="23916"/>
  <c r="AI196" i="23916"/>
  <c r="AJ196" i="23916" s="1"/>
  <c r="AJ190" i="23916"/>
  <c r="AI192" i="23916"/>
  <c r="AJ195" i="23916"/>
  <c r="CQ800" i="23916"/>
  <c r="CQ805" i="23916" s="1"/>
  <c r="CQ806" i="23916" s="1"/>
  <c r="CR193" i="23916"/>
  <c r="GE505" i="23916"/>
  <c r="DV121" i="23916"/>
  <c r="DV613" i="23916"/>
  <c r="CU800" i="23916"/>
  <c r="CU805" i="23916" s="1"/>
  <c r="CU806" i="23916" s="1"/>
  <c r="CV193" i="23916"/>
  <c r="FL817" i="23916"/>
  <c r="FM581" i="23916"/>
  <c r="CI813" i="23916"/>
  <c r="CI614" i="23916"/>
  <c r="CI196" i="23916"/>
  <c r="CJ196" i="23916" s="1"/>
  <c r="CJ190" i="23916"/>
  <c r="CI192" i="23916"/>
  <c r="BS756" i="23916"/>
  <c r="BT756" i="23916" s="1"/>
  <c r="BS754" i="23916"/>
  <c r="BT754" i="23916" s="1"/>
  <c r="BS753" i="23916"/>
  <c r="BT753" i="23916" s="1"/>
  <c r="BT733" i="23916"/>
  <c r="BS735" i="23916"/>
  <c r="BS749" i="23916"/>
  <c r="BT749" i="23916" s="1"/>
  <c r="BS752" i="23916"/>
  <c r="BT752" i="23916" s="1"/>
  <c r="BS751" i="23916"/>
  <c r="BT751" i="23916" s="1"/>
  <c r="BS711" i="23916"/>
  <c r="BS750" i="23916"/>
  <c r="BT750" i="23916" s="1"/>
  <c r="DM614" i="23916"/>
  <c r="DM196" i="23916"/>
  <c r="DN196" i="23916" s="1"/>
  <c r="DN190" i="23916"/>
  <c r="DM192" i="23916"/>
  <c r="EU109" i="23916"/>
  <c r="EV108" i="23916"/>
  <c r="EW108" i="23916"/>
  <c r="GR730" i="23916"/>
  <c r="GQ730" i="23916"/>
  <c r="GN624" i="23916"/>
  <c r="EJ624" i="23916"/>
  <c r="FY503" i="23916"/>
  <c r="CK813" i="23916"/>
  <c r="CK614" i="23916"/>
  <c r="CK192" i="23916"/>
  <c r="CL190" i="23916"/>
  <c r="CK196" i="23916"/>
  <c r="CL196" i="23916" s="1"/>
  <c r="CK800" i="23916"/>
  <c r="CK805" i="23916" s="1"/>
  <c r="CL193" i="23916"/>
  <c r="EL376" i="23916"/>
  <c r="BE816" i="23916"/>
  <c r="BF372" i="23916"/>
  <c r="FJ147" i="23916"/>
  <c r="FK143" i="23916"/>
  <c r="FJ151" i="23916"/>
  <c r="FJ150" i="23916"/>
  <c r="R189" i="23916"/>
  <c r="Z189" i="23916"/>
  <c r="R193" i="23916"/>
  <c r="Z193" i="23916"/>
  <c r="FX800" i="23916"/>
  <c r="FY193" i="23916"/>
  <c r="DT341" i="23916"/>
  <c r="GK506" i="23916"/>
  <c r="GJ799" i="23916"/>
  <c r="GJ797" i="23916"/>
  <c r="FQ664" i="23916"/>
  <c r="DV189" i="23916"/>
  <c r="DU808" i="23916"/>
  <c r="DU800" i="23916"/>
  <c r="DV193" i="23916"/>
  <c r="DV304" i="23916"/>
  <c r="FQ745" i="23916"/>
  <c r="BW808" i="23916"/>
  <c r="BW800" i="23916"/>
  <c r="BX193" i="23916"/>
  <c r="BS654" i="23916"/>
  <c r="BT654" i="23916" s="1"/>
  <c r="BT620" i="23916"/>
  <c r="BS621" i="23916"/>
  <c r="BN372" i="23916"/>
  <c r="DX619" i="23916"/>
  <c r="FT622" i="23916"/>
  <c r="FT509" i="23916"/>
  <c r="FU509" i="23916" s="1"/>
  <c r="FT505" i="23916"/>
  <c r="FU505" i="23916" s="1"/>
  <c r="FU503" i="23916"/>
  <c r="EC614" i="23916"/>
  <c r="EC192" i="23916"/>
  <c r="EC196" i="23916"/>
  <c r="ED196" i="23916" s="1"/>
  <c r="ED190" i="23916"/>
  <c r="EC8" i="23916"/>
  <c r="ED8" i="23916" s="1"/>
  <c r="DK800" i="23916"/>
  <c r="DK805" i="23916" s="1"/>
  <c r="DK806" i="23916" s="1"/>
  <c r="DL193" i="23916"/>
  <c r="GK370" i="23916"/>
  <c r="GJ812" i="23916"/>
  <c r="GC308" i="23916"/>
  <c r="DX304" i="23916"/>
  <c r="BS813" i="23916"/>
  <c r="BS614" i="23916"/>
  <c r="BS196" i="23916"/>
  <c r="BT196" i="23916" s="1"/>
  <c r="BT190" i="23916"/>
  <c r="BS192" i="23916"/>
  <c r="BT195" i="23916"/>
  <c r="EK621" i="23916"/>
  <c r="GA615" i="23916"/>
  <c r="GM505" i="23916"/>
  <c r="CW614" i="23916"/>
  <c r="CW196" i="23916"/>
  <c r="CX196" i="23916" s="1"/>
  <c r="CW192" i="23916"/>
  <c r="CX190" i="23916"/>
  <c r="CW800" i="23916"/>
  <c r="CW805" i="23916" s="1"/>
  <c r="CW806" i="23916" s="1"/>
  <c r="CX193" i="23916"/>
  <c r="U821" i="23916"/>
  <c r="U817" i="23916"/>
  <c r="V192" i="23916"/>
  <c r="GI300" i="23916"/>
  <c r="GH618" i="23916"/>
  <c r="GH308" i="23916"/>
  <c r="GI308" i="23916" s="1"/>
  <c r="GI301" i="23916"/>
  <c r="GH304" i="23916"/>
  <c r="GI304" i="23916" s="1"/>
  <c r="AY654" i="23916"/>
  <c r="AZ654" i="23916" s="1"/>
  <c r="AZ620" i="23916"/>
  <c r="AY621" i="23916"/>
  <c r="GZ627" i="23916"/>
  <c r="GY627" i="23916"/>
  <c r="DC813" i="23916"/>
  <c r="DA805" i="23916"/>
  <c r="DA806" i="23916" s="1"/>
  <c r="GM7" i="23916"/>
  <c r="FI271" i="23916"/>
  <c r="GP601" i="23916"/>
  <c r="GQ601" i="23916" s="1"/>
  <c r="AU816" i="23916"/>
  <c r="AV372" i="23916"/>
  <c r="BQ804" i="23916"/>
  <c r="BQ805" i="23916" s="1"/>
  <c r="BR545" i="23916"/>
  <c r="CO816" i="23916"/>
  <c r="FU376" i="23916"/>
  <c r="DZ615" i="23916"/>
  <c r="GG509" i="23916"/>
  <c r="CS453" i="23916"/>
  <c r="FK585" i="23916"/>
  <c r="AZ189" i="23916"/>
  <c r="GF800" i="23916"/>
  <c r="GG193" i="23916"/>
  <c r="AQ804" i="23916"/>
  <c r="AR545" i="23916"/>
  <c r="AQ169" i="23916"/>
  <c r="AQ167" i="23916"/>
  <c r="AQ170" i="23916"/>
  <c r="AS813" i="23916"/>
  <c r="AT190" i="23916"/>
  <c r="AS192" i="23916"/>
  <c r="AS196" i="23916"/>
  <c r="AT196" i="23916" s="1"/>
  <c r="CV337" i="23916"/>
  <c r="DD337" i="23916"/>
  <c r="FQ605" i="23916"/>
  <c r="GP215" i="23916"/>
  <c r="GQ216" i="23916"/>
  <c r="GS216" i="23916"/>
  <c r="GS240" i="23916"/>
  <c r="GQ240" i="23916"/>
  <c r="GQ639" i="23916"/>
  <c r="EQ619" i="23916"/>
  <c r="EQ337" i="23916"/>
  <c r="ER337" i="23916" s="1"/>
  <c r="EQ341" i="23916"/>
  <c r="ER341" i="23916" s="1"/>
  <c r="ER334" i="23916"/>
  <c r="EQ12" i="23916"/>
  <c r="ER12" i="23916" s="1"/>
  <c r="EU541" i="23916"/>
  <c r="EU539" i="23916"/>
  <c r="GP393" i="23916"/>
  <c r="CU73" i="23916" l="1"/>
  <c r="CV73" i="23916" s="1"/>
  <c r="CU72" i="23916"/>
  <c r="CU70" i="23916"/>
  <c r="CV70" i="23916" s="1"/>
  <c r="CV39" i="23916"/>
  <c r="GS288" i="23916"/>
  <c r="DU805" i="23916"/>
  <c r="DU806" i="23916" s="1"/>
  <c r="CS626" i="23916"/>
  <c r="GN804" i="23916"/>
  <c r="EL10" i="23916"/>
  <c r="EK17" i="23916"/>
  <c r="EK813" i="23916"/>
  <c r="GQ393" i="23916"/>
  <c r="CW843" i="23916"/>
  <c r="CW821" i="23916"/>
  <c r="CW817" i="23916"/>
  <c r="CX192" i="23916"/>
  <c r="CL614" i="23916"/>
  <c r="CK616" i="23916"/>
  <c r="CT616" i="23916" s="1"/>
  <c r="GS730" i="23916"/>
  <c r="GT730" i="23916"/>
  <c r="DM843" i="23916"/>
  <c r="DM821" i="23916"/>
  <c r="DM817" i="23916"/>
  <c r="DN192" i="23916"/>
  <c r="AI821" i="23916"/>
  <c r="AI817" i="23916"/>
  <c r="AJ192" i="23916"/>
  <c r="CW46" i="23916"/>
  <c r="CV51" i="23916"/>
  <c r="DL665" i="23916"/>
  <c r="EN8" i="23916"/>
  <c r="EM10" i="23916"/>
  <c r="EN614" i="23916"/>
  <c r="EM616" i="23916"/>
  <c r="GT326" i="23916"/>
  <c r="GR327" i="23916"/>
  <c r="GR320" i="23916" s="1"/>
  <c r="GS320" i="23916" s="1"/>
  <c r="GS326" i="23916"/>
  <c r="EE804" i="23916"/>
  <c r="EF545" i="23916"/>
  <c r="GZ163" i="23916"/>
  <c r="GY163" i="23916"/>
  <c r="FZ800" i="23916"/>
  <c r="GA193" i="23916"/>
  <c r="GQ127" i="23916"/>
  <c r="CZ614" i="23916"/>
  <c r="ES822" i="23916"/>
  <c r="ET544" i="23916"/>
  <c r="DY804" i="23916"/>
  <c r="DZ545" i="23916"/>
  <c r="EG843" i="23916"/>
  <c r="EG821" i="23916"/>
  <c r="EG817" i="23916"/>
  <c r="EH192" i="23916"/>
  <c r="EP192" i="23916"/>
  <c r="AI804" i="23916"/>
  <c r="AJ545" i="23916"/>
  <c r="DW843" i="23916"/>
  <c r="DW821" i="23916"/>
  <c r="DW817" i="23916"/>
  <c r="DX192" i="23916"/>
  <c r="DW648" i="23916"/>
  <c r="DX614" i="23916"/>
  <c r="DW616" i="23916"/>
  <c r="GW668" i="23916"/>
  <c r="GX668" i="23916"/>
  <c r="GI619" i="23916"/>
  <c r="GX37" i="23916"/>
  <c r="GW37" i="23916"/>
  <c r="GI117" i="23916"/>
  <c r="CR148" i="23916"/>
  <c r="CQ167" i="23916"/>
  <c r="CR167" i="23916" s="1"/>
  <c r="GC622" i="23916"/>
  <c r="GA622" i="23916"/>
  <c r="GC193" i="23916"/>
  <c r="FR656" i="23916"/>
  <c r="FS656" i="23916" s="1"/>
  <c r="FS622" i="23916"/>
  <c r="CK138" i="23916"/>
  <c r="CL138" i="23916" s="1"/>
  <c r="CK137" i="23916"/>
  <c r="CL137" i="23916" s="1"/>
  <c r="CK135" i="23916"/>
  <c r="CK133" i="23916"/>
  <c r="CL127" i="23916"/>
  <c r="FT843" i="23916"/>
  <c r="GQ258" i="23916"/>
  <c r="GP263" i="23916"/>
  <c r="GT316" i="23916"/>
  <c r="GR317" i="23916"/>
  <c r="GS316" i="23916"/>
  <c r="GR853" i="23916"/>
  <c r="GS853" i="23916" s="1"/>
  <c r="GR593" i="23916"/>
  <c r="GS593" i="23916" s="1"/>
  <c r="GN148" i="23916"/>
  <c r="GO148" i="23916" s="1"/>
  <c r="GO147" i="23916"/>
  <c r="GP143" i="23916"/>
  <c r="GR850" i="23916"/>
  <c r="GS850" i="23916" s="1"/>
  <c r="GS251" i="23916"/>
  <c r="FX843" i="23916"/>
  <c r="FY192" i="23916"/>
  <c r="FX817" i="23916"/>
  <c r="BV727" i="23916"/>
  <c r="FV727" i="23916"/>
  <c r="FW727" i="23916" s="1"/>
  <c r="DN621" i="23916"/>
  <c r="CR196" i="23916"/>
  <c r="EF621" i="23916"/>
  <c r="GC509" i="23916"/>
  <c r="FM606" i="23916"/>
  <c r="FL545" i="23916"/>
  <c r="FM545" i="23916" s="1"/>
  <c r="AW821" i="23916"/>
  <c r="AW817" i="23916"/>
  <c r="AX192" i="23916"/>
  <c r="GL614" i="23916"/>
  <c r="GL196" i="23916"/>
  <c r="GM196" i="23916" s="1"/>
  <c r="GL192" i="23916"/>
  <c r="GM190" i="23916"/>
  <c r="GL8" i="23916"/>
  <c r="GO189" i="23916"/>
  <c r="GO195" i="23916"/>
  <c r="AQ821" i="23916"/>
  <c r="AQ817" i="23916"/>
  <c r="AR192" i="23916"/>
  <c r="FX170" i="23916"/>
  <c r="FX169" i="23916"/>
  <c r="DD614" i="23916"/>
  <c r="DC616" i="23916"/>
  <c r="GS720" i="23916"/>
  <c r="GT720" i="23916"/>
  <c r="GK10" i="23916"/>
  <c r="GJ17" i="23916"/>
  <c r="FO606" i="23916"/>
  <c r="FN545" i="23916"/>
  <c r="BK648" i="23916"/>
  <c r="BL648" i="23916" s="1"/>
  <c r="BL614" i="23916"/>
  <c r="BK616" i="23916"/>
  <c r="FV817" i="23916"/>
  <c r="GT229" i="23916"/>
  <c r="GU229" i="23916" s="1"/>
  <c r="GV225" i="23916"/>
  <c r="GU225" i="23916"/>
  <c r="EA792" i="23916"/>
  <c r="FS195" i="23916"/>
  <c r="FU195" i="23916"/>
  <c r="GT357" i="23916"/>
  <c r="GS357" i="23916"/>
  <c r="EI792" i="23916"/>
  <c r="AS155" i="23916"/>
  <c r="AS135" i="23916"/>
  <c r="AU127" i="23916"/>
  <c r="GF616" i="23916"/>
  <c r="AZ196" i="23916"/>
  <c r="EE843" i="23916"/>
  <c r="EE821" i="23916"/>
  <c r="EE817" i="23916"/>
  <c r="EF192" i="23916"/>
  <c r="EW232" i="23916"/>
  <c r="GP230" i="23916"/>
  <c r="EW257" i="23916"/>
  <c r="GC337" i="23916"/>
  <c r="GB816" i="23916"/>
  <c r="DU616" i="23916"/>
  <c r="DV614" i="23916"/>
  <c r="GK308" i="23916"/>
  <c r="CU843" i="23916"/>
  <c r="CU821" i="23916"/>
  <c r="CU817" i="23916"/>
  <c r="CV192" i="23916"/>
  <c r="DU10" i="23916"/>
  <c r="GT293" i="23916"/>
  <c r="GR294" i="23916"/>
  <c r="GR287" i="23916" s="1"/>
  <c r="GS287" i="23916" s="1"/>
  <c r="GS293" i="23916"/>
  <c r="GC505" i="23916"/>
  <c r="BE821" i="23916"/>
  <c r="BE817" i="23916"/>
  <c r="BF192" i="23916"/>
  <c r="BN192" i="23916"/>
  <c r="AA804" i="23916"/>
  <c r="AB545" i="23916"/>
  <c r="CS445" i="23916"/>
  <c r="CS449" i="23916"/>
  <c r="CS444" i="23916"/>
  <c r="CB196" i="23916"/>
  <c r="BS398" i="23916"/>
  <c r="BT392" i="23916"/>
  <c r="BS397" i="23916"/>
  <c r="DT621" i="23916"/>
  <c r="GE341" i="23916"/>
  <c r="FW620" i="23916"/>
  <c r="FV621" i="23916"/>
  <c r="C171" i="23916"/>
  <c r="CO843" i="23916"/>
  <c r="CO821" i="23916"/>
  <c r="CO817" i="23916"/>
  <c r="CP192" i="23916"/>
  <c r="BN654" i="23916"/>
  <c r="EK792" i="23916"/>
  <c r="CV621" i="23916"/>
  <c r="CU626" i="23916"/>
  <c r="CH196" i="23916"/>
  <c r="BD196" i="23916"/>
  <c r="FY620" i="23916"/>
  <c r="FX621" i="23916"/>
  <c r="EX291" i="23916"/>
  <c r="EW298" i="23916"/>
  <c r="FS545" i="23916"/>
  <c r="GT489" i="23916"/>
  <c r="GS489" i="23916"/>
  <c r="GT454" i="23916"/>
  <c r="GS454" i="23916"/>
  <c r="GO613" i="23916"/>
  <c r="EL196" i="23916"/>
  <c r="FW274" i="23916"/>
  <c r="GR254" i="23916"/>
  <c r="ER624" i="23916"/>
  <c r="GR218" i="23916"/>
  <c r="GS217" i="23916"/>
  <c r="GR219" i="23916"/>
  <c r="GS219" i="23916" s="1"/>
  <c r="GT217" i="23916"/>
  <c r="GR203" i="23916"/>
  <c r="GS203" i="23916" s="1"/>
  <c r="DK843" i="23916"/>
  <c r="DK821" i="23916"/>
  <c r="DK817" i="23916"/>
  <c r="DL192" i="23916"/>
  <c r="BX614" i="23916"/>
  <c r="BW616" i="23916"/>
  <c r="GX702" i="23916"/>
  <c r="GW702" i="23916"/>
  <c r="EO804" i="23916"/>
  <c r="EP545" i="23916"/>
  <c r="EX323" i="23916"/>
  <c r="GP323" i="23916"/>
  <c r="EW324" i="23916"/>
  <c r="GF805" i="23916"/>
  <c r="GF806" i="23916" s="1"/>
  <c r="GK341" i="23916"/>
  <c r="BH654" i="23916"/>
  <c r="FN816" i="23916"/>
  <c r="FO372" i="23916"/>
  <c r="BB196" i="23916"/>
  <c r="DS792" i="23916"/>
  <c r="EC792" i="23916"/>
  <c r="GM11" i="23916"/>
  <c r="GZ607" i="23916"/>
  <c r="GV519" i="23916"/>
  <c r="GT523" i="23916"/>
  <c r="DR196" i="23916"/>
  <c r="DY458" i="23916"/>
  <c r="DY462" i="23916"/>
  <c r="DY463" i="23916"/>
  <c r="GL787" i="23916"/>
  <c r="GM787" i="23916" s="1"/>
  <c r="GM606" i="23916"/>
  <c r="GL791" i="23916"/>
  <c r="GL545" i="23916"/>
  <c r="GO545" i="23916" s="1"/>
  <c r="EA843" i="23916"/>
  <c r="EA821" i="23916"/>
  <c r="EA817" i="23916"/>
  <c r="EB192" i="23916"/>
  <c r="EB621" i="23916"/>
  <c r="GU315" i="23916"/>
  <c r="GV315" i="23916"/>
  <c r="CC805" i="23916"/>
  <c r="CC840" i="23916"/>
  <c r="DW152" i="23916"/>
  <c r="GQ102" i="23916"/>
  <c r="GR102" i="23916"/>
  <c r="GR601" i="23916" s="1"/>
  <c r="GS601" i="23916" s="1"/>
  <c r="BO805" i="23916"/>
  <c r="GC189" i="23916"/>
  <c r="BC655" i="23916"/>
  <c r="BD621" i="23916"/>
  <c r="BL621" i="23916"/>
  <c r="CJ170" i="23916"/>
  <c r="GV528" i="23916"/>
  <c r="DV621" i="23916"/>
  <c r="GL74" i="23916"/>
  <c r="GM74" i="23916" s="1"/>
  <c r="GM72" i="23916"/>
  <c r="GC143" i="23916"/>
  <c r="GB150" i="23916"/>
  <c r="GB151" i="23916"/>
  <c r="AQ171" i="23916"/>
  <c r="CS462" i="23916"/>
  <c r="CS458" i="23916"/>
  <c r="CS459" i="23916"/>
  <c r="CS463" i="23916"/>
  <c r="CS464" i="23916" s="1"/>
  <c r="AY655" i="23916"/>
  <c r="AZ655" i="23916" s="1"/>
  <c r="AZ621" i="23916"/>
  <c r="EL621" i="23916"/>
  <c r="GO624" i="23916"/>
  <c r="EX108" i="23916"/>
  <c r="EW109" i="23916"/>
  <c r="BT735" i="23916"/>
  <c r="BS742" i="23916"/>
  <c r="BT742" i="23916" s="1"/>
  <c r="BS744" i="23916"/>
  <c r="BT744" i="23916" s="1"/>
  <c r="BS842" i="23916"/>
  <c r="CJ614" i="23916"/>
  <c r="CI616" i="23916"/>
  <c r="CU71" i="23916"/>
  <c r="CV71" i="23916" s="1"/>
  <c r="CV52" i="23916"/>
  <c r="FW505" i="23916"/>
  <c r="FV843" i="23916"/>
  <c r="FF813" i="23916"/>
  <c r="FF196" i="23916"/>
  <c r="FF192" i="23916"/>
  <c r="FG190" i="23916"/>
  <c r="GG613" i="23916"/>
  <c r="DI616" i="23916"/>
  <c r="DJ614" i="23916"/>
  <c r="EI843" i="23916"/>
  <c r="EI821" i="23916"/>
  <c r="EI817" i="23916"/>
  <c r="EJ192" i="23916"/>
  <c r="R664" i="23916"/>
  <c r="Z664" i="23916"/>
  <c r="GS393" i="23916"/>
  <c r="DH621" i="23916"/>
  <c r="DW481" i="23916"/>
  <c r="DW480" i="23916"/>
  <c r="BQ434" i="23916"/>
  <c r="BR434" i="23916" s="1"/>
  <c r="BR411" i="23916"/>
  <c r="BS405" i="23916"/>
  <c r="BZ614" i="23916"/>
  <c r="BY616" i="23916"/>
  <c r="CY843" i="23916"/>
  <c r="CY821" i="23916"/>
  <c r="CY817" i="23916"/>
  <c r="CZ192" i="23916"/>
  <c r="EO650" i="23916"/>
  <c r="EP616" i="23916"/>
  <c r="EO626" i="23916"/>
  <c r="CF621" i="23916"/>
  <c r="CE626" i="23916"/>
  <c r="GI620" i="23916"/>
  <c r="DO648" i="23916"/>
  <c r="DP614" i="23916"/>
  <c r="DO616" i="23916"/>
  <c r="EH196" i="23916"/>
  <c r="EP196" i="23916"/>
  <c r="EG616" i="23916"/>
  <c r="EH614" i="23916"/>
  <c r="EP614" i="23916"/>
  <c r="DX8" i="23916"/>
  <c r="DW10" i="23916"/>
  <c r="GG619" i="23916"/>
  <c r="GE613" i="23916"/>
  <c r="EJ621" i="23916"/>
  <c r="GN621" i="23916"/>
  <c r="DE843" i="23916"/>
  <c r="DE821" i="23916"/>
  <c r="DE817" i="23916"/>
  <c r="DF192" i="23916"/>
  <c r="DX621" i="23916"/>
  <c r="DW626" i="23916"/>
  <c r="GM665" i="23916"/>
  <c r="GY280" i="23916"/>
  <c r="GZ280" i="23916"/>
  <c r="DC655" i="23916"/>
  <c r="DD621" i="23916"/>
  <c r="DC626" i="23916"/>
  <c r="GK505" i="23916"/>
  <c r="GQ362" i="23916"/>
  <c r="GR362" i="23916"/>
  <c r="FY614" i="23916"/>
  <c r="FX616" i="23916"/>
  <c r="BU766" i="23916"/>
  <c r="BV731" i="23916"/>
  <c r="BU734" i="23916"/>
  <c r="BV734" i="23916" s="1"/>
  <c r="CS843" i="23916"/>
  <c r="CS821" i="23916"/>
  <c r="CS817" i="23916"/>
  <c r="CT192" i="23916"/>
  <c r="CR614" i="23916"/>
  <c r="CQ616" i="23916"/>
  <c r="GA154" i="23916"/>
  <c r="FZ783" i="23916"/>
  <c r="GC154" i="23916"/>
  <c r="BE804" i="23916"/>
  <c r="BF545" i="23916"/>
  <c r="FY438" i="23916"/>
  <c r="FX449" i="23916"/>
  <c r="FY449" i="23916" s="1"/>
  <c r="FR816" i="23916"/>
  <c r="FS372" i="23916"/>
  <c r="BW840" i="23916"/>
  <c r="CT127" i="23916"/>
  <c r="CT138" i="23916"/>
  <c r="DC843" i="23916"/>
  <c r="DC821" i="23916"/>
  <c r="DC817" i="23916"/>
  <c r="DD192" i="23916"/>
  <c r="AE804" i="23916"/>
  <c r="AF545" i="23916"/>
  <c r="BK821" i="23916"/>
  <c r="BK817" i="23916"/>
  <c r="BL192" i="23916"/>
  <c r="FO195" i="23916"/>
  <c r="FQ195" i="23916"/>
  <c r="GI121" i="23916"/>
  <c r="BM659" i="23916"/>
  <c r="CD614" i="23916"/>
  <c r="CC616" i="23916"/>
  <c r="GO796" i="23916"/>
  <c r="GB274" i="23916"/>
  <c r="GB275" i="23916"/>
  <c r="FS189" i="23916"/>
  <c r="FU189" i="23916"/>
  <c r="FR800" i="23916"/>
  <c r="FS193" i="23916"/>
  <c r="FU193" i="23916"/>
  <c r="BS438" i="23916"/>
  <c r="BR444" i="23916"/>
  <c r="BQ466" i="23916"/>
  <c r="BR466" i="23916" s="1"/>
  <c r="CQ482" i="23916"/>
  <c r="GO615" i="23916"/>
  <c r="DF721" i="23916"/>
  <c r="DE722" i="23916"/>
  <c r="DF722" i="23916" s="1"/>
  <c r="GU352" i="23916"/>
  <c r="GV352" i="23916"/>
  <c r="GF266" i="23916"/>
  <c r="AY648" i="23916"/>
  <c r="AZ648" i="23916" s="1"/>
  <c r="AZ614" i="23916"/>
  <c r="AY616" i="23916"/>
  <c r="GR732" i="23916"/>
  <c r="GQ732" i="23916"/>
  <c r="GP705" i="23916"/>
  <c r="GQ705" i="23916" s="1"/>
  <c r="EF196" i="23916"/>
  <c r="EU267" i="23916"/>
  <c r="EV267" i="23916" s="1"/>
  <c r="EU274" i="23916"/>
  <c r="EV274" i="23916" s="1"/>
  <c r="EV266" i="23916"/>
  <c r="EU272" i="23916"/>
  <c r="EU269" i="23916"/>
  <c r="GW283" i="23916"/>
  <c r="GX283" i="23916"/>
  <c r="GC619" i="23916"/>
  <c r="GB621" i="23916"/>
  <c r="DV196" i="23916"/>
  <c r="GJ621" i="23916"/>
  <c r="GK618" i="23916"/>
  <c r="I143" i="23916"/>
  <c r="G148" i="23916"/>
  <c r="G155" i="23916"/>
  <c r="BE648" i="23916"/>
  <c r="BF614" i="23916"/>
  <c r="BE616" i="23916"/>
  <c r="BN614" i="23916"/>
  <c r="GF816" i="23916"/>
  <c r="CA648" i="23916"/>
  <c r="CB614" i="23916"/>
  <c r="CA616" i="23916"/>
  <c r="BR650" i="23916"/>
  <c r="DW804" i="23916"/>
  <c r="DX545" i="23916"/>
  <c r="GX406" i="23916"/>
  <c r="GW406" i="23916"/>
  <c r="EU373" i="23916"/>
  <c r="EU368" i="23916"/>
  <c r="EU375" i="23916"/>
  <c r="EV375" i="23916" s="1"/>
  <c r="EV367" i="23916"/>
  <c r="BU821" i="23916"/>
  <c r="BU817" i="23916"/>
  <c r="BV192" i="23916"/>
  <c r="GD43" i="23916"/>
  <c r="GE43" i="23916" s="1"/>
  <c r="GD38" i="23916"/>
  <c r="GD39" i="23916" s="1"/>
  <c r="GE32" i="23916"/>
  <c r="GD42" i="23916"/>
  <c r="GE42" i="23916" s="1"/>
  <c r="GD41" i="23916"/>
  <c r="GE41" i="23916" s="1"/>
  <c r="GD800" i="23916"/>
  <c r="GD805" i="23916" s="1"/>
  <c r="GD806" i="23916" s="1"/>
  <c r="GE193" i="23916"/>
  <c r="FV816" i="23916"/>
  <c r="FW372" i="23916"/>
  <c r="GH800" i="23916"/>
  <c r="GH805" i="23916" s="1"/>
  <c r="GH806" i="23916" s="1"/>
  <c r="GI193" i="23916"/>
  <c r="CE648" i="23916"/>
  <c r="CF614" i="23916"/>
  <c r="CE616" i="23916"/>
  <c r="CO648" i="23916"/>
  <c r="CP614" i="23916"/>
  <c r="CO616" i="23916"/>
  <c r="CH614" i="23916"/>
  <c r="CG616" i="23916"/>
  <c r="BI650" i="23916"/>
  <c r="BJ616" i="23916"/>
  <c r="BC648" i="23916"/>
  <c r="BD648" i="23916" s="1"/>
  <c r="BD614" i="23916"/>
  <c r="BC616" i="23916"/>
  <c r="EN621" i="23916"/>
  <c r="EG804" i="23916"/>
  <c r="EH545" i="23916"/>
  <c r="AA821" i="23916"/>
  <c r="AA817" i="23916"/>
  <c r="AB192" i="23916"/>
  <c r="GT600" i="23916"/>
  <c r="GU600" i="23916" s="1"/>
  <c r="GV529" i="23916"/>
  <c r="GP856" i="23916"/>
  <c r="GQ856" i="23916" s="1"/>
  <c r="GQ855" i="23916"/>
  <c r="FW480" i="23916"/>
  <c r="FV482" i="23916"/>
  <c r="FW482" i="23916" s="1"/>
  <c r="BO648" i="23916"/>
  <c r="BP614" i="23916"/>
  <c r="BO616" i="23916"/>
  <c r="FJ813" i="23916"/>
  <c r="FJ196" i="23916"/>
  <c r="FJ192" i="23916"/>
  <c r="FK190" i="23916"/>
  <c r="FM190" i="23916"/>
  <c r="GO7" i="23916"/>
  <c r="EK843" i="23916"/>
  <c r="EK821" i="23916"/>
  <c r="EK817" i="23916"/>
  <c r="EL192" i="23916"/>
  <c r="GY144" i="23916"/>
  <c r="GZ144" i="23916"/>
  <c r="EQ822" i="23916"/>
  <c r="ER544" i="23916"/>
  <c r="GJ804" i="23916"/>
  <c r="GJ805" i="23916" s="1"/>
  <c r="GJ806" i="23916" s="1"/>
  <c r="GK545" i="23916"/>
  <c r="GI860" i="23916"/>
  <c r="GI796" i="23916"/>
  <c r="GM14" i="23916"/>
  <c r="BW821" i="23916"/>
  <c r="BW817" i="23916"/>
  <c r="BX192" i="23916"/>
  <c r="Q817" i="23916"/>
  <c r="Q821" i="23916"/>
  <c r="R192" i="23916"/>
  <c r="Z192" i="23916"/>
  <c r="ES272" i="23916"/>
  <c r="ET266" i="23916"/>
  <c r="ES267" i="23916"/>
  <c r="ET267" i="23916" s="1"/>
  <c r="ES274" i="23916"/>
  <c r="ET274" i="23916" s="1"/>
  <c r="CN196" i="23916"/>
  <c r="FF171" i="23916"/>
  <c r="FG171" i="23916" s="1"/>
  <c r="FG169" i="23916"/>
  <c r="GK337" i="23916"/>
  <c r="BA648" i="23916"/>
  <c r="BB648" i="23916" s="1"/>
  <c r="BB614" i="23916"/>
  <c r="BA616" i="23916"/>
  <c r="BQ481" i="23916"/>
  <c r="BR481" i="23916" s="1"/>
  <c r="BQ480" i="23916"/>
  <c r="BR388" i="23916"/>
  <c r="GM618" i="23916"/>
  <c r="BH196" i="23916"/>
  <c r="GJ843" i="23916"/>
  <c r="AE821" i="23916"/>
  <c r="AE817" i="23916"/>
  <c r="AF192" i="23916"/>
  <c r="CH148" i="23916"/>
  <c r="BY167" i="23916"/>
  <c r="CA143" i="23916"/>
  <c r="CH147" i="23916"/>
  <c r="BY809" i="23916"/>
  <c r="BY808" i="23916" s="1"/>
  <c r="BY155" i="23916"/>
  <c r="FH813" i="23916"/>
  <c r="FH192" i="23916"/>
  <c r="FI190" i="23916"/>
  <c r="FH196" i="23916"/>
  <c r="EB196" i="23916"/>
  <c r="GI613" i="23916"/>
  <c r="L170" i="23916"/>
  <c r="DH196" i="23916"/>
  <c r="GO238" i="23916"/>
  <c r="EA127" i="23916"/>
  <c r="GP534" i="23916"/>
  <c r="GP535" i="23916" s="1"/>
  <c r="GR535" i="23916" s="1"/>
  <c r="EU819" i="23916"/>
  <c r="EU624" i="23916"/>
  <c r="EU623" i="23916"/>
  <c r="EV623" i="23916" s="1"/>
  <c r="EU544" i="23916"/>
  <c r="EV541" i="23916"/>
  <c r="EU15" i="23916"/>
  <c r="EV15" i="23916" s="1"/>
  <c r="GQ215" i="23916"/>
  <c r="GS215" i="23916"/>
  <c r="CX614" i="23916"/>
  <c r="BS648" i="23916"/>
  <c r="BT648" i="23916" s="1"/>
  <c r="BT614" i="23916"/>
  <c r="BS616" i="23916"/>
  <c r="EC843" i="23916"/>
  <c r="EC821" i="23916"/>
  <c r="EC817" i="23916"/>
  <c r="ED192" i="23916"/>
  <c r="FL143" i="23916"/>
  <c r="FJ148" i="23916"/>
  <c r="FK148" i="23916" s="1"/>
  <c r="FK147" i="23916"/>
  <c r="CI821" i="23916"/>
  <c r="CI817" i="23916"/>
  <c r="CJ192" i="23916"/>
  <c r="GD52" i="23916"/>
  <c r="GE46" i="23916"/>
  <c r="GD51" i="23916"/>
  <c r="GD55" i="23916"/>
  <c r="GD54" i="23916"/>
  <c r="FW622" i="23916"/>
  <c r="GF621" i="23916"/>
  <c r="GG618" i="23916"/>
  <c r="DB616" i="23916"/>
  <c r="DA626" i="23916"/>
  <c r="DM788" i="23916"/>
  <c r="DN684" i="23916"/>
  <c r="DM665" i="23916"/>
  <c r="DO684" i="23916"/>
  <c r="EM821" i="23916"/>
  <c r="EM843" i="23916"/>
  <c r="EM817" i="23916"/>
  <c r="EN192" i="23916"/>
  <c r="DI843" i="23916"/>
  <c r="DI821" i="23916"/>
  <c r="DI817" i="23916"/>
  <c r="DJ192" i="23916"/>
  <c r="GV421" i="23916"/>
  <c r="GT393" i="23916"/>
  <c r="GU421" i="23916"/>
  <c r="FZ813" i="23916"/>
  <c r="FZ614" i="23916"/>
  <c r="FZ196" i="23916"/>
  <c r="GC196" i="23916" s="1"/>
  <c r="FZ192" i="23916"/>
  <c r="GA190" i="23916"/>
  <c r="BU840" i="23916"/>
  <c r="FY420" i="23916"/>
  <c r="FX431" i="23916"/>
  <c r="FX430" i="23916"/>
  <c r="GH816" i="23916"/>
  <c r="GI372" i="23916"/>
  <c r="EH8" i="23916"/>
  <c r="EP8" i="23916"/>
  <c r="W804" i="23916"/>
  <c r="X545" i="23916"/>
  <c r="DY392" i="23916"/>
  <c r="GX351" i="23916"/>
  <c r="GW351" i="23916"/>
  <c r="CR147" i="23916"/>
  <c r="CS143" i="23916"/>
  <c r="CQ809" i="23916"/>
  <c r="CQ808" i="23916" s="1"/>
  <c r="CQ155" i="23916"/>
  <c r="CR155" i="23916" s="1"/>
  <c r="GR531" i="23916"/>
  <c r="GR533" i="23916" s="1"/>
  <c r="GT526" i="23916"/>
  <c r="DE616" i="23916"/>
  <c r="DF614" i="23916"/>
  <c r="DA843" i="23916"/>
  <c r="DA821" i="23916"/>
  <c r="DA817" i="23916"/>
  <c r="DB192" i="23916"/>
  <c r="GQ674" i="23916"/>
  <c r="GR674" i="23916"/>
  <c r="FT817" i="23916"/>
  <c r="FT655" i="23916"/>
  <c r="E821" i="23916"/>
  <c r="E817" i="23916"/>
  <c r="GT663" i="23916"/>
  <c r="GS663" i="23916"/>
  <c r="GN788" i="23916"/>
  <c r="GO788" i="23916" s="1"/>
  <c r="GO684" i="23916"/>
  <c r="GN665" i="23916"/>
  <c r="GN757" i="23916"/>
  <c r="GK620" i="23916"/>
  <c r="GK509" i="23916"/>
  <c r="FY196" i="23916"/>
  <c r="FX274" i="23916"/>
  <c r="FY274" i="23916" s="1"/>
  <c r="FX275" i="23916"/>
  <c r="FY275" i="23916" s="1"/>
  <c r="FY622" i="23916"/>
  <c r="FW730" i="23916"/>
  <c r="FV762" i="23916"/>
  <c r="FW762" i="23916" s="1"/>
  <c r="FV733" i="23916"/>
  <c r="FV760" i="23916"/>
  <c r="FW760" i="23916" s="1"/>
  <c r="FV761" i="23916"/>
  <c r="FW761" i="23916" s="1"/>
  <c r="FV731" i="23916"/>
  <c r="FV724" i="23916"/>
  <c r="FW724" i="23916" s="1"/>
  <c r="CT196" i="23916"/>
  <c r="EX359" i="23916"/>
  <c r="GP359" i="23916"/>
  <c r="CQ843" i="23916"/>
  <c r="CQ821" i="23916"/>
  <c r="CQ817" i="23916"/>
  <c r="CR192" i="23916"/>
  <c r="FH809" i="23916"/>
  <c r="FH155" i="23916"/>
  <c r="FI155" i="23916" s="1"/>
  <c r="FI133" i="23916"/>
  <c r="FJ127" i="23916"/>
  <c r="FH135" i="23916"/>
  <c r="ES620" i="23916"/>
  <c r="ET370" i="23916"/>
  <c r="ES372" i="23916"/>
  <c r="ES376" i="23916"/>
  <c r="ET376" i="23916" s="1"/>
  <c r="ES13" i="23916"/>
  <c r="ET13" i="23916" s="1"/>
  <c r="BQ655" i="23916"/>
  <c r="BR655" i="23916" s="1"/>
  <c r="BR621" i="23916"/>
  <c r="GL808" i="23916"/>
  <c r="GM808" i="23916" s="1"/>
  <c r="GL800" i="23916"/>
  <c r="GM800" i="23916" s="1"/>
  <c r="GM193" i="23916"/>
  <c r="GN614" i="23916"/>
  <c r="GN192" i="23916"/>
  <c r="GO190" i="23916"/>
  <c r="GN196" i="23916"/>
  <c r="GO196" i="23916" s="1"/>
  <c r="GN8" i="23916"/>
  <c r="GU289" i="23916"/>
  <c r="GV289" i="23916"/>
  <c r="AR196" i="23916"/>
  <c r="GQ290" i="23916"/>
  <c r="GP295" i="23916"/>
  <c r="GP291" i="23916"/>
  <c r="GQ291" i="23916" s="1"/>
  <c r="GN816" i="23916"/>
  <c r="GO372" i="23916"/>
  <c r="GB133" i="23916"/>
  <c r="CT133" i="23916"/>
  <c r="CU127" i="23916"/>
  <c r="EV333" i="23916"/>
  <c r="EW333" i="23916"/>
  <c r="EX333" i="23916" s="1"/>
  <c r="CY616" i="23916"/>
  <c r="GV314" i="23916"/>
  <c r="GU314" i="23916"/>
  <c r="DS843" i="23916"/>
  <c r="DS821" i="23916"/>
  <c r="DS817" i="23916"/>
  <c r="DT192" i="23916"/>
  <c r="DT614" i="23916"/>
  <c r="DS616" i="23916"/>
  <c r="CS74" i="23916"/>
  <c r="CT74" i="23916" s="1"/>
  <c r="CT72" i="23916"/>
  <c r="FO189" i="23916"/>
  <c r="FQ189" i="23916"/>
  <c r="FN800" i="23916"/>
  <c r="FO193" i="23916"/>
  <c r="FQ193" i="23916"/>
  <c r="ES340" i="23916"/>
  <c r="ET340" i="23916" s="1"/>
  <c r="ET331" i="23916"/>
  <c r="ES332" i="23916"/>
  <c r="ES338" i="23916"/>
  <c r="ET338" i="23916" s="1"/>
  <c r="ES334" i="23916"/>
  <c r="O127" i="23916"/>
  <c r="M135" i="23916"/>
  <c r="N133" i="23916"/>
  <c r="GB843" i="23916"/>
  <c r="GC192" i="23916"/>
  <c r="GB817" i="23916"/>
  <c r="EX669" i="23916"/>
  <c r="EW671" i="23916"/>
  <c r="GJ817" i="23916"/>
  <c r="DG763" i="23916"/>
  <c r="DH763" i="23916" s="1"/>
  <c r="DG721" i="23916"/>
  <c r="DH718" i="23916"/>
  <c r="DG719" i="23916"/>
  <c r="DH719" i="23916" s="1"/>
  <c r="DI718" i="23916"/>
  <c r="GR359" i="23916"/>
  <c r="GS359" i="23916" s="1"/>
  <c r="GS353" i="23916"/>
  <c r="AY821" i="23916"/>
  <c r="AY817" i="23916"/>
  <c r="AZ192" i="23916"/>
  <c r="DY843" i="23916"/>
  <c r="DY821" i="23916"/>
  <c r="DY817" i="23916"/>
  <c r="DZ192" i="23916"/>
  <c r="EF8" i="23916"/>
  <c r="EE10" i="23916"/>
  <c r="EF614" i="23916"/>
  <c r="EE616" i="23916"/>
  <c r="EQ802" i="23916"/>
  <c r="ER372" i="23916"/>
  <c r="DU804" i="23916"/>
  <c r="DV545" i="23916"/>
  <c r="ER266" i="23916"/>
  <c r="EQ274" i="23916"/>
  <c r="ER274" i="23916" s="1"/>
  <c r="EQ267" i="23916"/>
  <c r="EQ272" i="23916"/>
  <c r="EQ269" i="23916"/>
  <c r="DU843" i="23916"/>
  <c r="DU821" i="23916"/>
  <c r="DU817" i="23916"/>
  <c r="DV192" i="23916"/>
  <c r="GQ284" i="23916"/>
  <c r="GK304" i="23916"/>
  <c r="GV701" i="23916"/>
  <c r="GU701" i="23916"/>
  <c r="EM804" i="23916"/>
  <c r="EN545" i="23916"/>
  <c r="BF196" i="23916"/>
  <c r="BN196" i="23916"/>
  <c r="GR717" i="23916"/>
  <c r="GS717" i="23916" s="1"/>
  <c r="GT714" i="23916"/>
  <c r="GS714" i="23916"/>
  <c r="GX527" i="23916"/>
  <c r="CA821" i="23916"/>
  <c r="CA817" i="23916"/>
  <c r="CB192" i="23916"/>
  <c r="EE626" i="23916"/>
  <c r="GU350" i="23916"/>
  <c r="GV350" i="23916"/>
  <c r="GM304" i="23916"/>
  <c r="BZ621" i="23916"/>
  <c r="GD614" i="23916"/>
  <c r="GD196" i="23916"/>
  <c r="GG196" i="23916" s="1"/>
  <c r="GD192" i="23916"/>
  <c r="GE190" i="23916"/>
  <c r="CE821" i="23916"/>
  <c r="CE817" i="23916"/>
  <c r="CF192" i="23916"/>
  <c r="EK804" i="23916"/>
  <c r="EL545" i="23916"/>
  <c r="FP816" i="23916"/>
  <c r="FQ372" i="23916"/>
  <c r="ED621" i="23916"/>
  <c r="BC821" i="23916"/>
  <c r="BC817" i="23916"/>
  <c r="BD192" i="23916"/>
  <c r="FY376" i="23916"/>
  <c r="BO821" i="23916"/>
  <c r="BO817" i="23916"/>
  <c r="BP192" i="23916"/>
  <c r="FK195" i="23916"/>
  <c r="FM195" i="23916"/>
  <c r="BS462" i="23916"/>
  <c r="BS459" i="23916"/>
  <c r="BT459" i="23916" s="1"/>
  <c r="BT453" i="23916"/>
  <c r="BS458" i="23916"/>
  <c r="BS463" i="23916"/>
  <c r="BS464" i="23916" s="1"/>
  <c r="EL8" i="23916"/>
  <c r="EK616" i="23916"/>
  <c r="EL614" i="23916"/>
  <c r="AO829" i="23916"/>
  <c r="AP628" i="23916"/>
  <c r="AX628" i="23916"/>
  <c r="GV253" i="23916"/>
  <c r="GU253" i="23916"/>
  <c r="DY432" i="23916"/>
  <c r="GK376" i="23916"/>
  <c r="DL196" i="23916"/>
  <c r="R196" i="23916"/>
  <c r="Z196" i="23916"/>
  <c r="CS416" i="23916"/>
  <c r="CS412" i="23916"/>
  <c r="CS411" i="23916"/>
  <c r="BT734" i="23916"/>
  <c r="BS745" i="23916"/>
  <c r="BT745" i="23916" s="1"/>
  <c r="CN614" i="23916"/>
  <c r="CM616" i="23916"/>
  <c r="GK619" i="23916"/>
  <c r="GM620" i="23916"/>
  <c r="GZ47" i="23916"/>
  <c r="GY47" i="23916"/>
  <c r="GW699" i="23916"/>
  <c r="GX699" i="23916"/>
  <c r="GT212" i="23916"/>
  <c r="GR221" i="23916"/>
  <c r="GS212" i="23916"/>
  <c r="GZ159" i="23916"/>
  <c r="GY159" i="23916"/>
  <c r="CU420" i="23916"/>
  <c r="GL621" i="23916"/>
  <c r="BG648" i="23916"/>
  <c r="BH648" i="23916" s="1"/>
  <c r="BH614" i="23916"/>
  <c r="BG616" i="23916"/>
  <c r="GV715" i="23916"/>
  <c r="GU715" i="23916"/>
  <c r="GJ616" i="23916"/>
  <c r="EC10" i="23916"/>
  <c r="FH808" i="23916"/>
  <c r="FH800" i="23916"/>
  <c r="FI193" i="23916"/>
  <c r="FT148" i="23916"/>
  <c r="FU148" i="23916" s="1"/>
  <c r="FU147" i="23916"/>
  <c r="FV143" i="23916"/>
  <c r="DQ843" i="23916"/>
  <c r="DQ821" i="23916"/>
  <c r="DQ817" i="23916"/>
  <c r="DR192" i="23916"/>
  <c r="EB8" i="23916"/>
  <c r="EA10" i="23916"/>
  <c r="EB614" i="23916"/>
  <c r="EA616" i="23916"/>
  <c r="EA626" i="23916" s="1"/>
  <c r="DY143" i="23916"/>
  <c r="DW809" i="23916"/>
  <c r="DW808" i="23916" s="1"/>
  <c r="DW155" i="23916"/>
  <c r="DH614" i="23916"/>
  <c r="DG616" i="23916"/>
  <c r="DY32" i="23916"/>
  <c r="BD654" i="23916"/>
  <c r="BL654" i="23916"/>
  <c r="CI171" i="23916"/>
  <c r="CJ171" i="23916" s="1"/>
  <c r="CJ169" i="23916"/>
  <c r="EE405" i="23916"/>
  <c r="ED411" i="23916"/>
  <c r="DY170" i="23916"/>
  <c r="DY169" i="23916"/>
  <c r="GJ135" i="23916"/>
  <c r="GV716" i="23916"/>
  <c r="GU716" i="23916"/>
  <c r="CS388" i="23916"/>
  <c r="CS387" i="23916"/>
  <c r="FT650" i="23916"/>
  <c r="EW537" i="23916"/>
  <c r="CN621" i="23916"/>
  <c r="ER619" i="23916"/>
  <c r="AS821" i="23916"/>
  <c r="AS817" i="23916"/>
  <c r="AT192" i="23916"/>
  <c r="GH621" i="23916"/>
  <c r="GI618" i="23916"/>
  <c r="BS821" i="23916"/>
  <c r="BS817" i="23916"/>
  <c r="BT192" i="23916"/>
  <c r="EC616" i="23916"/>
  <c r="ED614" i="23916"/>
  <c r="FT656" i="23916"/>
  <c r="FU656" i="23916" s="1"/>
  <c r="FU622" i="23916"/>
  <c r="BS655" i="23916"/>
  <c r="BT655" i="23916" s="1"/>
  <c r="BT621" i="23916"/>
  <c r="CK821" i="23916"/>
  <c r="CK817" i="23916"/>
  <c r="CL192" i="23916"/>
  <c r="DM616" i="23916"/>
  <c r="DM626" i="23916" s="1"/>
  <c r="DN614" i="23916"/>
  <c r="CF167" i="23916"/>
  <c r="CN167" i="23916"/>
  <c r="FW509" i="23916"/>
  <c r="FF808" i="23916"/>
  <c r="FF800" i="23916"/>
  <c r="FG193" i="23916"/>
  <c r="EJ614" i="23916"/>
  <c r="EI616" i="23916"/>
  <c r="BO655" i="23916"/>
  <c r="BP655" i="23916" s="1"/>
  <c r="BP621" i="23916"/>
  <c r="BX621" i="23916"/>
  <c r="GU259" i="23916"/>
  <c r="GV259" i="23916"/>
  <c r="DW401" i="23916"/>
  <c r="DY381" i="23916"/>
  <c r="BR412" i="23916"/>
  <c r="BQ415" i="23916"/>
  <c r="BR415" i="23916" s="1"/>
  <c r="GI622" i="23916"/>
  <c r="BY821" i="23916"/>
  <c r="BY817" i="23916"/>
  <c r="BZ192" i="23916"/>
  <c r="CU398" i="23916"/>
  <c r="GD392" i="23916"/>
  <c r="CU397" i="23916"/>
  <c r="CV392" i="23916"/>
  <c r="GX252" i="23916"/>
  <c r="GW252" i="23916"/>
  <c r="ET624" i="23916"/>
  <c r="DO843" i="23916"/>
  <c r="DO821" i="23916"/>
  <c r="DO817" i="23916"/>
  <c r="DP192" i="23916"/>
  <c r="AU821" i="23916"/>
  <c r="AU817" i="23916"/>
  <c r="AV192" i="23916"/>
  <c r="DW479" i="23916"/>
  <c r="DW478" i="23916"/>
  <c r="FY381" i="23916"/>
  <c r="GO618" i="23916"/>
  <c r="GC195" i="23916"/>
  <c r="GT322" i="23916"/>
  <c r="GS322" i="23916"/>
  <c r="FY405" i="23916"/>
  <c r="FX416" i="23916"/>
  <c r="FY416" i="23916" s="1"/>
  <c r="DF196" i="23916"/>
  <c r="DA648" i="23916"/>
  <c r="DB614" i="23916"/>
  <c r="GR386" i="23916"/>
  <c r="GT410" i="23916"/>
  <c r="GS410" i="23916"/>
  <c r="GU281" i="23916"/>
  <c r="GV281" i="23916"/>
  <c r="GT854" i="23916"/>
  <c r="GS241" i="23916"/>
  <c r="GT241" i="23916"/>
  <c r="GR242" i="23916"/>
  <c r="GS242" i="23916" s="1"/>
  <c r="GR243" i="23916"/>
  <c r="GS243" i="23916" s="1"/>
  <c r="GR227" i="23916"/>
  <c r="GS227" i="23916" s="1"/>
  <c r="FQ545" i="23916"/>
  <c r="GQ317" i="23916"/>
  <c r="GT205" i="23916"/>
  <c r="GU205" i="23916" s="1"/>
  <c r="GV201" i="23916"/>
  <c r="GU201" i="23916"/>
  <c r="GT251" i="23916"/>
  <c r="BS805" i="23916"/>
  <c r="GK622" i="23916"/>
  <c r="BU756" i="23916"/>
  <c r="BU754" i="23916"/>
  <c r="BV754" i="23916" s="1"/>
  <c r="BU753" i="23916"/>
  <c r="BV753" i="23916" s="1"/>
  <c r="BU735" i="23916"/>
  <c r="BV735" i="23916" s="1"/>
  <c r="BV733" i="23916"/>
  <c r="BU750" i="23916"/>
  <c r="BV750" i="23916" s="1"/>
  <c r="BU749" i="23916"/>
  <c r="BV749" i="23916" s="1"/>
  <c r="BU711" i="23916"/>
  <c r="BU752" i="23916"/>
  <c r="BV752" i="23916" s="1"/>
  <c r="BU751" i="23916"/>
  <c r="BV751" i="23916" s="1"/>
  <c r="BW736" i="23916"/>
  <c r="BX736" i="23916" s="1"/>
  <c r="BW731" i="23916"/>
  <c r="BW727" i="23916"/>
  <c r="BX727" i="23916" s="1"/>
  <c r="BW733" i="23916"/>
  <c r="BY730" i="23916"/>
  <c r="BX730" i="23916"/>
  <c r="BW762" i="23916"/>
  <c r="BX762" i="23916" s="1"/>
  <c r="BW761" i="23916"/>
  <c r="BX761" i="23916" s="1"/>
  <c r="BW760" i="23916"/>
  <c r="BX760" i="23916" s="1"/>
  <c r="CT614" i="23916"/>
  <c r="BH621" i="23916"/>
  <c r="ER299" i="23916"/>
  <c r="EQ301" i="23916"/>
  <c r="ES802" i="23916"/>
  <c r="ET373" i="23916"/>
  <c r="FR654" i="23916"/>
  <c r="FS654" i="23916" s="1"/>
  <c r="FS620" i="23916"/>
  <c r="FR621" i="23916"/>
  <c r="GN808" i="23916"/>
  <c r="GO808" i="23916" s="1"/>
  <c r="GN800" i="23916"/>
  <c r="GO193" i="23916"/>
  <c r="GY33" i="23916"/>
  <c r="GZ33" i="23916"/>
  <c r="CE840" i="23916"/>
  <c r="EV291" i="23916"/>
  <c r="EU298" i="23916"/>
  <c r="CA171" i="23916"/>
  <c r="CW616" i="23916"/>
  <c r="CS170" i="23916"/>
  <c r="CS169" i="23916"/>
  <c r="CT135" i="23916"/>
  <c r="GB135" i="23916"/>
  <c r="GX474" i="23916"/>
  <c r="GW474" i="23916"/>
  <c r="AM821" i="23916"/>
  <c r="AM817" i="23916"/>
  <c r="AN192" i="23916"/>
  <c r="DT8" i="23916"/>
  <c r="DS10" i="23916"/>
  <c r="EV324" i="23916"/>
  <c r="EU331" i="23916"/>
  <c r="FN813" i="23916"/>
  <c r="FN196" i="23916"/>
  <c r="FN192" i="23916"/>
  <c r="FO190" i="23916"/>
  <c r="FQ190" i="23916"/>
  <c r="S804" i="23916"/>
  <c r="T545" i="23916"/>
  <c r="EW360" i="23916"/>
  <c r="CC821" i="23916"/>
  <c r="CC817" i="23916"/>
  <c r="CD192" i="23916"/>
  <c r="GN787" i="23916"/>
  <c r="GO787" i="23916" s="1"/>
  <c r="GO606" i="23916"/>
  <c r="GN791" i="23916"/>
  <c r="EA804" i="23916"/>
  <c r="EB545" i="23916"/>
  <c r="GC614" i="23916"/>
  <c r="GB616" i="23916"/>
  <c r="FR813" i="23916"/>
  <c r="FR614" i="23916"/>
  <c r="FR196" i="23916"/>
  <c r="FR192" i="23916"/>
  <c r="FS190" i="23916"/>
  <c r="FU190" i="23916"/>
  <c r="BR445" i="23916"/>
  <c r="BQ448" i="23916"/>
  <c r="BR448" i="23916" s="1"/>
  <c r="GJ821" i="23916"/>
  <c r="GN820" i="23916"/>
  <c r="GO820" i="23916" s="1"/>
  <c r="GO271" i="23916"/>
  <c r="GT644" i="23916"/>
  <c r="GR637" i="23916"/>
  <c r="GS644" i="23916"/>
  <c r="GR245" i="23916"/>
  <c r="GR231" i="23916" s="1"/>
  <c r="GS231" i="23916" s="1"/>
  <c r="GS237" i="23916"/>
  <c r="GT237" i="23916"/>
  <c r="GF843" i="23916"/>
  <c r="GG192" i="23916"/>
  <c r="GF821" i="23916"/>
  <c r="GF817" i="23916"/>
  <c r="DZ8" i="23916"/>
  <c r="DY10" i="23916"/>
  <c r="DY616" i="23916"/>
  <c r="DZ614" i="23916"/>
  <c r="FU372" i="23916"/>
  <c r="GW313" i="23916"/>
  <c r="GX313" i="23916"/>
  <c r="GM509" i="23916"/>
  <c r="GP228" i="23916"/>
  <c r="GQ226" i="23916"/>
  <c r="ER620" i="23916"/>
  <c r="BE655" i="23916"/>
  <c r="BF655" i="23916" s="1"/>
  <c r="BF621" i="23916"/>
  <c r="GT282" i="23916"/>
  <c r="GS282" i="23916"/>
  <c r="GR284" i="23916"/>
  <c r="GN38" i="23916"/>
  <c r="GN39" i="23916"/>
  <c r="GO32" i="23916"/>
  <c r="GN43" i="23916"/>
  <c r="GO43" i="23916" s="1"/>
  <c r="GN41" i="23916"/>
  <c r="GO41" i="23916" s="1"/>
  <c r="GN42" i="23916"/>
  <c r="GO42" i="23916" s="1"/>
  <c r="CU648" i="23916"/>
  <c r="CV614" i="23916"/>
  <c r="CU616" i="23916"/>
  <c r="EG10" i="23916"/>
  <c r="DO655" i="23916"/>
  <c r="DP621" i="23916"/>
  <c r="DO626" i="23916"/>
  <c r="GO619" i="23916"/>
  <c r="BV614" i="23916"/>
  <c r="BU616" i="23916"/>
  <c r="GU128" i="23916"/>
  <c r="GV128" i="23916"/>
  <c r="CU58" i="23916"/>
  <c r="CV58" i="23916" s="1"/>
  <c r="CV38" i="23916"/>
  <c r="CW32" i="23916"/>
  <c r="GH614" i="23916"/>
  <c r="GH196" i="23916"/>
  <c r="GH192" i="23916"/>
  <c r="GK192" i="23916" s="1"/>
  <c r="GI190" i="23916"/>
  <c r="GH813" i="23916"/>
  <c r="GP673" i="23916"/>
  <c r="GQ673" i="23916" s="1"/>
  <c r="CG821" i="23916"/>
  <c r="CG817" i="23916"/>
  <c r="CH192" i="23916"/>
  <c r="GT321" i="23916"/>
  <c r="GS321" i="23916"/>
  <c r="FX816" i="23916"/>
  <c r="FY372" i="23916"/>
  <c r="EG792" i="23916"/>
  <c r="GR855" i="23916"/>
  <c r="GT349" i="23916"/>
  <c r="GT353" i="23916" s="1"/>
  <c r="GS349" i="23916"/>
  <c r="CY655" i="23916"/>
  <c r="CZ621" i="23916"/>
  <c r="CY626" i="23916"/>
  <c r="FK189" i="23916"/>
  <c r="FM189" i="23916"/>
  <c r="FJ800" i="23916"/>
  <c r="FK193" i="23916"/>
  <c r="FM193" i="23916"/>
  <c r="CA655" i="23916"/>
  <c r="CB655" i="23916" s="1"/>
  <c r="CB621" i="23916"/>
  <c r="CA626" i="23916"/>
  <c r="GX50" i="23916"/>
  <c r="GW50" i="23916"/>
  <c r="ER623" i="23916"/>
  <c r="GT457" i="23916"/>
  <c r="GS457" i="23916"/>
  <c r="EA420" i="23916"/>
  <c r="DY434" i="23916"/>
  <c r="GM622" i="23916"/>
  <c r="GE621" i="23916"/>
  <c r="DL614" i="23916"/>
  <c r="DK616" i="23916"/>
  <c r="BX196" i="23916"/>
  <c r="BR425" i="23916"/>
  <c r="BS420" i="23916"/>
  <c r="GT439" i="23916"/>
  <c r="GS439" i="23916"/>
  <c r="GR382" i="23916"/>
  <c r="GT424" i="23916"/>
  <c r="GR396" i="23916"/>
  <c r="GS396" i="23916" s="1"/>
  <c r="GS424" i="23916"/>
  <c r="EW497" i="23916"/>
  <c r="EU498" i="23916"/>
  <c r="EV497" i="23916"/>
  <c r="ES301" i="23916"/>
  <c r="CO655" i="23916"/>
  <c r="CP621" i="23916"/>
  <c r="CO626" i="23916"/>
  <c r="EI10" i="23916"/>
  <c r="CM843" i="23916"/>
  <c r="CM821" i="23916"/>
  <c r="CM817" i="23916"/>
  <c r="CN192" i="23916"/>
  <c r="GG860" i="23916"/>
  <c r="GG796" i="23916"/>
  <c r="GL816" i="23916"/>
  <c r="GM816" i="23916" s="1"/>
  <c r="GM372" i="23916"/>
  <c r="GM812" i="23916"/>
  <c r="GQ221" i="23916"/>
  <c r="GP222" i="23916"/>
  <c r="BA821" i="23916"/>
  <c r="BA817" i="23916"/>
  <c r="BB192" i="23916"/>
  <c r="BQ401" i="23916"/>
  <c r="BR401" i="23916" s="1"/>
  <c r="BS381" i="23916"/>
  <c r="BR387" i="23916"/>
  <c r="DS804" i="23916"/>
  <c r="DS805" i="23916" s="1"/>
  <c r="DS806" i="23916" s="1"/>
  <c r="DT545" i="23916"/>
  <c r="EC804" i="23916"/>
  <c r="ED545" i="23916"/>
  <c r="DL621" i="23916"/>
  <c r="DK626" i="23916"/>
  <c r="DK681" i="23916" s="1"/>
  <c r="AS804" i="23916"/>
  <c r="AT545" i="23916"/>
  <c r="GN822" i="23916"/>
  <c r="GO822" i="23916" s="1"/>
  <c r="GO544" i="23916"/>
  <c r="GP386" i="23916"/>
  <c r="GQ386" i="23916" s="1"/>
  <c r="BG821" i="23916"/>
  <c r="BG817" i="23916"/>
  <c r="BH192" i="23916"/>
  <c r="GK196" i="23916"/>
  <c r="DY450" i="23916"/>
  <c r="DY449" i="23916"/>
  <c r="DY445" i="23916"/>
  <c r="DY448" i="23916"/>
  <c r="DY444" i="23916"/>
  <c r="GO802" i="23916"/>
  <c r="E155" i="23916"/>
  <c r="E135" i="23916"/>
  <c r="G135" i="23916"/>
  <c r="FI189" i="23916"/>
  <c r="FI195" i="23916"/>
  <c r="AS148" i="23916"/>
  <c r="AU143" i="23916"/>
  <c r="DQ616" i="23916"/>
  <c r="DR614" i="23916"/>
  <c r="BJ192" i="23916"/>
  <c r="GT703" i="23916"/>
  <c r="GS703" i="23916"/>
  <c r="GE860" i="23916"/>
  <c r="GE796" i="23916"/>
  <c r="DW167" i="23916"/>
  <c r="K171" i="23916"/>
  <c r="L171" i="23916" s="1"/>
  <c r="L169" i="23916"/>
  <c r="BA804" i="23916"/>
  <c r="BB545" i="23916"/>
  <c r="DG843" i="23916"/>
  <c r="DG821" i="23916"/>
  <c r="DG817" i="23916"/>
  <c r="DH192" i="23916"/>
  <c r="DW39" i="23916"/>
  <c r="EJ545" i="23916"/>
  <c r="EO18" i="23916"/>
  <c r="GT358" i="23916"/>
  <c r="GS358" i="23916"/>
  <c r="DM755" i="23916" l="1"/>
  <c r="DM657" i="23916"/>
  <c r="DM656" i="23916"/>
  <c r="DM689" i="23916"/>
  <c r="DM628" i="23916"/>
  <c r="DM658" i="23916"/>
  <c r="DM784" i="23916"/>
  <c r="DM640" i="23916"/>
  <c r="DM653" i="23916"/>
  <c r="DM654" i="23916"/>
  <c r="DM647" i="23916"/>
  <c r="DM652" i="23916"/>
  <c r="DM655" i="23916"/>
  <c r="DM648" i="23916"/>
  <c r="GE39" i="23916"/>
  <c r="GD72" i="23916"/>
  <c r="GD70" i="23916"/>
  <c r="GE70" i="23916" s="1"/>
  <c r="GD73" i="23916"/>
  <c r="GE73" i="23916" s="1"/>
  <c r="GT359" i="23916"/>
  <c r="GU359" i="23916" s="1"/>
  <c r="GU353" i="23916"/>
  <c r="EA755" i="23916"/>
  <c r="EA742" i="23916"/>
  <c r="EA689" i="23916"/>
  <c r="EA628" i="23916"/>
  <c r="EA640" i="23916"/>
  <c r="EA784" i="23916"/>
  <c r="EA657" i="23916"/>
  <c r="EA658" i="23916"/>
  <c r="EA656" i="23916"/>
  <c r="EA647" i="23916"/>
  <c r="EA649" i="23916"/>
  <c r="EA653" i="23916"/>
  <c r="EA654" i="23916"/>
  <c r="EA652" i="23916"/>
  <c r="EA655" i="23916"/>
  <c r="EA648" i="23916"/>
  <c r="G167" i="23916"/>
  <c r="G170" i="23916"/>
  <c r="G169" i="23916"/>
  <c r="G171" i="23916" s="1"/>
  <c r="BS387" i="23916"/>
  <c r="BT381" i="23916"/>
  <c r="BS388" i="23916"/>
  <c r="GV424" i="23916"/>
  <c r="GT396" i="23916"/>
  <c r="GU396" i="23916" s="1"/>
  <c r="GU424" i="23916"/>
  <c r="GV439" i="23916"/>
  <c r="GU439" i="23916"/>
  <c r="GT382" i="23916"/>
  <c r="DK650" i="23916"/>
  <c r="DL616" i="23916"/>
  <c r="EA430" i="23916"/>
  <c r="EB430" i="23916" s="1"/>
  <c r="EA425" i="23916"/>
  <c r="EB420" i="23916"/>
  <c r="EA431" i="23916"/>
  <c r="EA426" i="23916"/>
  <c r="EB426" i="23916" s="1"/>
  <c r="GL420" i="23916"/>
  <c r="GH616" i="23916"/>
  <c r="GI614" i="23916"/>
  <c r="EX360" i="23916"/>
  <c r="EW367" i="23916"/>
  <c r="EU338" i="23916"/>
  <c r="EV338" i="23916" s="1"/>
  <c r="EU332" i="23916"/>
  <c r="EV332" i="23916" s="1"/>
  <c r="EU340" i="23916"/>
  <c r="EV340" i="23916" s="1"/>
  <c r="EV331" i="23916"/>
  <c r="EU334" i="23916"/>
  <c r="GB169" i="23916"/>
  <c r="GB170" i="23916"/>
  <c r="EU307" i="23916"/>
  <c r="EV307" i="23916" s="1"/>
  <c r="EU305" i="23916"/>
  <c r="EV305" i="23916" s="1"/>
  <c r="EU299" i="23916"/>
  <c r="EU301" i="23916" s="1"/>
  <c r="EV298" i="23916"/>
  <c r="BW756" i="23916"/>
  <c r="BX756" i="23916" s="1"/>
  <c r="BW754" i="23916"/>
  <c r="BX754" i="23916" s="1"/>
  <c r="BW753" i="23916"/>
  <c r="BX753" i="23916" s="1"/>
  <c r="BW735" i="23916"/>
  <c r="BX735" i="23916" s="1"/>
  <c r="BX733" i="23916"/>
  <c r="BW711" i="23916"/>
  <c r="BW751" i="23916"/>
  <c r="BX751" i="23916" s="1"/>
  <c r="BW750" i="23916"/>
  <c r="BX750" i="23916" s="1"/>
  <c r="BW749" i="23916"/>
  <c r="BX749" i="23916" s="1"/>
  <c r="BW752" i="23916"/>
  <c r="BX752" i="23916" s="1"/>
  <c r="GV251" i="23916"/>
  <c r="GX201" i="23916"/>
  <c r="GV205" i="23916"/>
  <c r="GW205" i="23916" s="1"/>
  <c r="GW201" i="23916"/>
  <c r="DW73" i="23916"/>
  <c r="DW72" i="23916"/>
  <c r="DW71" i="23916"/>
  <c r="AU151" i="23916"/>
  <c r="AU147" i="23916"/>
  <c r="AV143" i="23916"/>
  <c r="AU150" i="23916"/>
  <c r="AU148" i="23916"/>
  <c r="GV457" i="23916"/>
  <c r="GU457" i="23916"/>
  <c r="GS855" i="23916"/>
  <c r="GR856" i="23916"/>
  <c r="GS856" i="23916" s="1"/>
  <c r="GH266" i="23916"/>
  <c r="GI196" i="23916"/>
  <c r="GS284" i="23916"/>
  <c r="GR290" i="23916"/>
  <c r="DZ616" i="23916"/>
  <c r="DY626" i="23916"/>
  <c r="GV237" i="23916"/>
  <c r="GU237" i="23916"/>
  <c r="GT245" i="23916"/>
  <c r="GT231" i="23916" s="1"/>
  <c r="GU231" i="23916" s="1"/>
  <c r="GS637" i="23916"/>
  <c r="GR639" i="23916"/>
  <c r="CS171" i="23916"/>
  <c r="CT169" i="23916"/>
  <c r="BY736" i="23916"/>
  <c r="BZ736" i="23916" s="1"/>
  <c r="BY733" i="23916"/>
  <c r="CA730" i="23916"/>
  <c r="BY727" i="23916"/>
  <c r="BZ727" i="23916" s="1"/>
  <c r="BZ730" i="23916"/>
  <c r="BY731" i="23916"/>
  <c r="BY762" i="23916"/>
  <c r="BZ762" i="23916" s="1"/>
  <c r="BY761" i="23916"/>
  <c r="BZ761" i="23916" s="1"/>
  <c r="BY760" i="23916"/>
  <c r="BZ760" i="23916" s="1"/>
  <c r="GX281" i="23916"/>
  <c r="GW281" i="23916"/>
  <c r="GV854" i="23916"/>
  <c r="GS386" i="23916"/>
  <c r="DW797" i="23916"/>
  <c r="DW805" i="23916" s="1"/>
  <c r="DW806" i="23916" s="1"/>
  <c r="DW799" i="23916"/>
  <c r="ED616" i="23916"/>
  <c r="EW541" i="23916"/>
  <c r="EW539" i="23916"/>
  <c r="GJ169" i="23916"/>
  <c r="GJ170" i="23916"/>
  <c r="GJ167" i="23916"/>
  <c r="DH616" i="23916"/>
  <c r="GK616" i="23916"/>
  <c r="GX715" i="23916"/>
  <c r="GW715" i="23916"/>
  <c r="GM621" i="23916"/>
  <c r="GU212" i="23916"/>
  <c r="GT221" i="23916"/>
  <c r="GV212" i="23916"/>
  <c r="GV254" i="23916"/>
  <c r="GW253" i="23916"/>
  <c r="GX253" i="23916"/>
  <c r="GE614" i="23916"/>
  <c r="GT717" i="23916"/>
  <c r="GU717" i="23916" s="1"/>
  <c r="GV714" i="23916"/>
  <c r="GU714" i="23916"/>
  <c r="GW701" i="23916"/>
  <c r="GX701" i="23916"/>
  <c r="EE650" i="23916"/>
  <c r="EF616" i="23916"/>
  <c r="DH721" i="23916"/>
  <c r="DG722" i="23916"/>
  <c r="DH722" i="23916" s="1"/>
  <c r="ES619" i="23916"/>
  <c r="ES341" i="23916"/>
  <c r="ET341" i="23916" s="1"/>
  <c r="ET334" i="23916"/>
  <c r="ES337" i="23916"/>
  <c r="ET337" i="23916" s="1"/>
  <c r="ES12" i="23916"/>
  <c r="ET12" i="23916" s="1"/>
  <c r="GX289" i="23916"/>
  <c r="GW289" i="23916"/>
  <c r="FJ133" i="23916"/>
  <c r="FK127" i="23916"/>
  <c r="FJ138" i="23916"/>
  <c r="FK138" i="23916" s="1"/>
  <c r="FJ137" i="23916"/>
  <c r="FK137" i="23916" s="1"/>
  <c r="GP364" i="23916"/>
  <c r="GQ359" i="23916"/>
  <c r="GP360" i="23916"/>
  <c r="FW731" i="23916"/>
  <c r="FV734" i="23916"/>
  <c r="FW734" i="23916" s="1"/>
  <c r="GV663" i="23916"/>
  <c r="GU663" i="23916"/>
  <c r="GV526" i="23916"/>
  <c r="GT531" i="23916"/>
  <c r="GY351" i="23916"/>
  <c r="GZ351" i="23916"/>
  <c r="FZ843" i="23916"/>
  <c r="GA192" i="23916"/>
  <c r="FZ817" i="23916"/>
  <c r="DO788" i="23916"/>
  <c r="DP684" i="23916"/>
  <c r="DQ684" i="23916"/>
  <c r="DO665" i="23916"/>
  <c r="DO766" i="23916"/>
  <c r="DO756" i="23916"/>
  <c r="DA755" i="23916"/>
  <c r="DA689" i="23916"/>
  <c r="DA657" i="23916"/>
  <c r="DA656" i="23916"/>
  <c r="DA628" i="23916"/>
  <c r="DB626" i="23916"/>
  <c r="DA658" i="23916"/>
  <c r="DA784" i="23916"/>
  <c r="DA681" i="23916"/>
  <c r="DB681" i="23916" s="1"/>
  <c r="DA640" i="23916"/>
  <c r="DA652" i="23916"/>
  <c r="DA655" i="23916"/>
  <c r="DA654" i="23916"/>
  <c r="DA653" i="23916"/>
  <c r="DA647" i="23916"/>
  <c r="GF655" i="23916"/>
  <c r="GG621" i="23916"/>
  <c r="GF626" i="23916"/>
  <c r="GE52" i="23916"/>
  <c r="GD71" i="23916"/>
  <c r="GE71" i="23916" s="1"/>
  <c r="EU822" i="23916"/>
  <c r="EV544" i="23916"/>
  <c r="FI196" i="23916"/>
  <c r="FH274" i="23916"/>
  <c r="FH275" i="23916"/>
  <c r="FI275" i="23916" s="1"/>
  <c r="BY838" i="23916"/>
  <c r="BY839" i="23916" s="1"/>
  <c r="BY840" i="23916" s="1"/>
  <c r="CH155" i="23916"/>
  <c r="CA151" i="23916"/>
  <c r="CA152" i="23916" s="1"/>
  <c r="CA150" i="23916"/>
  <c r="CA147" i="23916"/>
  <c r="CA148" i="23916"/>
  <c r="CJ143" i="23916"/>
  <c r="GV600" i="23916"/>
  <c r="GW600" i="23916" s="1"/>
  <c r="GX529" i="23916"/>
  <c r="GX600" i="23916" s="1"/>
  <c r="GK621" i="23916"/>
  <c r="GJ626" i="23916"/>
  <c r="GJ650" i="23916" s="1"/>
  <c r="AY650" i="23916"/>
  <c r="AZ616" i="23916"/>
  <c r="FY616" i="23916"/>
  <c r="DW755" i="23916"/>
  <c r="DW742" i="23916"/>
  <c r="DW689" i="23916"/>
  <c r="DX626" i="23916"/>
  <c r="DW628" i="23916"/>
  <c r="DW657" i="23916"/>
  <c r="DX657" i="23916" s="1"/>
  <c r="DW784" i="23916"/>
  <c r="DW640" i="23916"/>
  <c r="DW649" i="23916"/>
  <c r="DW647" i="23916"/>
  <c r="DW656" i="23916"/>
  <c r="DW658" i="23916"/>
  <c r="DW654" i="23916"/>
  <c r="DW652" i="23916"/>
  <c r="DX652" i="23916" s="1"/>
  <c r="DW653" i="23916"/>
  <c r="CE784" i="23916"/>
  <c r="CE755" i="23916"/>
  <c r="CE689" i="23916"/>
  <c r="CE657" i="23916"/>
  <c r="CE656" i="23916"/>
  <c r="CE628" i="23916"/>
  <c r="CE658" i="23916"/>
  <c r="CE681" i="23916"/>
  <c r="CE652" i="23916"/>
  <c r="CE647" i="23916"/>
  <c r="CE640" i="23916"/>
  <c r="CE653" i="23916"/>
  <c r="CE654" i="23916"/>
  <c r="FF843" i="23916"/>
  <c r="FG192" i="23916"/>
  <c r="FF817" i="23916"/>
  <c r="GL792" i="23916"/>
  <c r="GM792" i="23916" s="1"/>
  <c r="GM791" i="23916"/>
  <c r="DY464" i="23916"/>
  <c r="GT533" i="23916"/>
  <c r="GQ323" i="23916"/>
  <c r="GP328" i="23916"/>
  <c r="GP324" i="23916"/>
  <c r="GT219" i="23916"/>
  <c r="GU219" i="23916" s="1"/>
  <c r="GV217" i="23916"/>
  <c r="GU217" i="23916"/>
  <c r="GT218" i="23916"/>
  <c r="GT203" i="23916"/>
  <c r="GU203" i="23916" s="1"/>
  <c r="GS254" i="23916"/>
  <c r="GU489" i="23916"/>
  <c r="GV489" i="23916"/>
  <c r="FX655" i="23916"/>
  <c r="FY621" i="23916"/>
  <c r="FX626" i="23916"/>
  <c r="FX650" i="23916" s="1"/>
  <c r="BS478" i="23916"/>
  <c r="BT478" i="23916" s="1"/>
  <c r="BS479" i="23916"/>
  <c r="BT479" i="23916" s="1"/>
  <c r="BT398" i="23916"/>
  <c r="GJ18" i="23916"/>
  <c r="GK18" i="23916" s="1"/>
  <c r="GK17" i="23916"/>
  <c r="DC650" i="23916"/>
  <c r="DD616" i="23916"/>
  <c r="FX171" i="23916"/>
  <c r="GS317" i="23916"/>
  <c r="GR323" i="23916"/>
  <c r="CK170" i="23916"/>
  <c r="CL170" i="23916" s="1"/>
  <c r="CK169" i="23916"/>
  <c r="CK167" i="23916"/>
  <c r="CL167" i="23916" s="1"/>
  <c r="FZ135" i="23916"/>
  <c r="CL135" i="23916"/>
  <c r="GZ668" i="23916"/>
  <c r="GY668" i="23916"/>
  <c r="GT327" i="23916"/>
  <c r="GT320" i="23916" s="1"/>
  <c r="GU320" i="23916" s="1"/>
  <c r="GU326" i="23916"/>
  <c r="GV326" i="23916"/>
  <c r="EN10" i="23916"/>
  <c r="EM17" i="23916"/>
  <c r="EM813" i="23916"/>
  <c r="GP537" i="23916"/>
  <c r="GX128" i="23916"/>
  <c r="GW128" i="23916"/>
  <c r="FR843" i="23916"/>
  <c r="FS192" i="23916"/>
  <c r="FU192" i="23916"/>
  <c r="FR817" i="23916"/>
  <c r="FR655" i="23916"/>
  <c r="FS655" i="23916" s="1"/>
  <c r="FS621" i="23916"/>
  <c r="GT243" i="23916"/>
  <c r="GU243" i="23916" s="1"/>
  <c r="GU241" i="23916"/>
  <c r="GT242" i="23916"/>
  <c r="GU242" i="23916" s="1"/>
  <c r="GT227" i="23916"/>
  <c r="GU227" i="23916" s="1"/>
  <c r="GV241" i="23916"/>
  <c r="DY43" i="23916"/>
  <c r="DY42" i="23916"/>
  <c r="DY41" i="23916"/>
  <c r="DY39" i="23916"/>
  <c r="DY38" i="23916"/>
  <c r="DY147" i="23916"/>
  <c r="DY151" i="23916"/>
  <c r="DY150" i="23916"/>
  <c r="DY148" i="23916"/>
  <c r="FV147" i="23916"/>
  <c r="FW143" i="23916"/>
  <c r="FV151" i="23916"/>
  <c r="FV150" i="23916"/>
  <c r="GK614" i="23916"/>
  <c r="GZ699" i="23916"/>
  <c r="GY699" i="23916"/>
  <c r="EL616" i="23916"/>
  <c r="BU453" i="23916"/>
  <c r="BT458" i="23916"/>
  <c r="EE755" i="23916"/>
  <c r="EF755" i="23916" s="1"/>
  <c r="EE742" i="23916"/>
  <c r="EF742" i="23916" s="1"/>
  <c r="EE689" i="23916"/>
  <c r="EF626" i="23916"/>
  <c r="EE628" i="23916"/>
  <c r="EE657" i="23916"/>
  <c r="EE784" i="23916"/>
  <c r="EE640" i="23916"/>
  <c r="EE653" i="23916"/>
  <c r="EF653" i="23916" s="1"/>
  <c r="EE649" i="23916"/>
  <c r="EE656" i="23916"/>
  <c r="EF656" i="23916" s="1"/>
  <c r="EE654" i="23916"/>
  <c r="EF654" i="23916" s="1"/>
  <c r="EE647" i="23916"/>
  <c r="EE658" i="23916"/>
  <c r="EF658" i="23916" s="1"/>
  <c r="EE652" i="23916"/>
  <c r="EF652" i="23916" s="1"/>
  <c r="EQ615" i="23916"/>
  <c r="EQ275" i="23916"/>
  <c r="ER275" i="23916" s="1"/>
  <c r="EQ271" i="23916"/>
  <c r="ER269" i="23916"/>
  <c r="EQ9" i="23916"/>
  <c r="DI763" i="23916"/>
  <c r="DJ763" i="23916" s="1"/>
  <c r="DI721" i="23916"/>
  <c r="GF718" i="23916"/>
  <c r="DK718" i="23916"/>
  <c r="DJ718" i="23916"/>
  <c r="DI719" i="23916"/>
  <c r="DJ719" i="23916" s="1"/>
  <c r="M170" i="23916"/>
  <c r="M169" i="23916"/>
  <c r="N135" i="23916"/>
  <c r="DT616" i="23916"/>
  <c r="GX314" i="23916"/>
  <c r="GW314" i="23916"/>
  <c r="ET620" i="23916"/>
  <c r="DE650" i="23916"/>
  <c r="DF616" i="23916"/>
  <c r="DE626" i="23916"/>
  <c r="CS147" i="23916"/>
  <c r="CS151" i="23916"/>
  <c r="CS152" i="23916" s="1"/>
  <c r="CT143" i="23916"/>
  <c r="CS148" i="23916"/>
  <c r="CS150" i="23916"/>
  <c r="GU393" i="23916"/>
  <c r="CB648" i="23916"/>
  <c r="EU615" i="23916"/>
  <c r="EV269" i="23916"/>
  <c r="EU275" i="23916"/>
  <c r="EV275" i="23916" s="1"/>
  <c r="EU271" i="23916"/>
  <c r="EU9" i="23916"/>
  <c r="BT438" i="23916"/>
  <c r="BS449" i="23916"/>
  <c r="BT449" i="23916" s="1"/>
  <c r="BS444" i="23916"/>
  <c r="BS445" i="23916"/>
  <c r="GC274" i="23916"/>
  <c r="CD616" i="23916"/>
  <c r="CC626" i="23916"/>
  <c r="CC650" i="23916" s="1"/>
  <c r="BS411" i="23916"/>
  <c r="BT405" i="23916"/>
  <c r="BS416" i="23916"/>
  <c r="BT416" i="23916" s="1"/>
  <c r="BS412" i="23916"/>
  <c r="DW482" i="23916"/>
  <c r="GX528" i="23916"/>
  <c r="GX519" i="23916"/>
  <c r="GX523" i="23916" s="1"/>
  <c r="GV523" i="23916"/>
  <c r="GY702" i="23916"/>
  <c r="GZ702" i="23916"/>
  <c r="GU454" i="23916"/>
  <c r="GV454" i="23916"/>
  <c r="CU755" i="23916"/>
  <c r="CU689" i="23916"/>
  <c r="CU657" i="23916"/>
  <c r="CU656" i="23916"/>
  <c r="CU628" i="23916"/>
  <c r="CU784" i="23916"/>
  <c r="CU681" i="23916"/>
  <c r="CU658" i="23916"/>
  <c r="CU640" i="23916"/>
  <c r="CU654" i="23916"/>
  <c r="CU647" i="23916"/>
  <c r="CU653" i="23916"/>
  <c r="CU652" i="23916"/>
  <c r="AU135" i="23916"/>
  <c r="AU133" i="23916"/>
  <c r="AV127" i="23916"/>
  <c r="AU138" i="23916"/>
  <c r="AV138" i="23916" s="1"/>
  <c r="AU137" i="23916"/>
  <c r="AV137" i="23916" s="1"/>
  <c r="GM8" i="23916"/>
  <c r="GL10" i="23916"/>
  <c r="GL616" i="23916"/>
  <c r="GL626" i="23916" s="1"/>
  <c r="GM614" i="23916"/>
  <c r="GY37" i="23916"/>
  <c r="GZ37" i="23916"/>
  <c r="GR360" i="23916"/>
  <c r="DR616" i="23916"/>
  <c r="DQ626" i="23916"/>
  <c r="E167" i="23916"/>
  <c r="E170" i="23916"/>
  <c r="E169" i="23916"/>
  <c r="E171" i="23916" s="1"/>
  <c r="EA438" i="23916"/>
  <c r="DY466" i="23916"/>
  <c r="GP213" i="23916"/>
  <c r="GQ222" i="23916"/>
  <c r="EJ10" i="23916"/>
  <c r="EI17" i="23916"/>
  <c r="EI813" i="23916"/>
  <c r="ES618" i="23916"/>
  <c r="ES308" i="23916"/>
  <c r="ET308" i="23916" s="1"/>
  <c r="ES304" i="23916"/>
  <c r="ET304" i="23916" s="1"/>
  <c r="ET301" i="23916"/>
  <c r="ES11" i="23916"/>
  <c r="ET11" i="23916" s="1"/>
  <c r="EX497" i="23916"/>
  <c r="EW498" i="23916"/>
  <c r="GS382" i="23916"/>
  <c r="GR827" i="23916"/>
  <c r="GS827" i="23916" s="1"/>
  <c r="BS431" i="23916"/>
  <c r="BS432" i="23916" s="1"/>
  <c r="BS425" i="23916"/>
  <c r="BS426" i="23916"/>
  <c r="BT426" i="23916" s="1"/>
  <c r="BS430" i="23916"/>
  <c r="BT420" i="23916"/>
  <c r="CA755" i="23916"/>
  <c r="CB755" i="23916" s="1"/>
  <c r="CA689" i="23916"/>
  <c r="CA789" i="23916" s="1"/>
  <c r="CA657" i="23916"/>
  <c r="CB657" i="23916" s="1"/>
  <c r="CA656" i="23916"/>
  <c r="CB656" i="23916" s="1"/>
  <c r="CB626" i="23916"/>
  <c r="CA628" i="23916"/>
  <c r="CA608" i="23916"/>
  <c r="CA784" i="23916"/>
  <c r="CA681" i="23916"/>
  <c r="CB681" i="23916" s="1"/>
  <c r="CA647" i="23916"/>
  <c r="CB647" i="23916" s="1"/>
  <c r="CA652" i="23916"/>
  <c r="CB652" i="23916" s="1"/>
  <c r="CA658" i="23916"/>
  <c r="CB658" i="23916" s="1"/>
  <c r="CA653" i="23916"/>
  <c r="CB653" i="23916" s="1"/>
  <c r="CA640" i="23916"/>
  <c r="CA654" i="23916"/>
  <c r="CB654" i="23916" s="1"/>
  <c r="GU321" i="23916"/>
  <c r="GV321" i="23916"/>
  <c r="CW43" i="23916"/>
  <c r="CX43" i="23916" s="1"/>
  <c r="CW42" i="23916"/>
  <c r="CX42" i="23916" s="1"/>
  <c r="CW41" i="23916"/>
  <c r="CX41" i="23916" s="1"/>
  <c r="CW39" i="23916"/>
  <c r="CW38" i="23916"/>
  <c r="CX32" i="23916"/>
  <c r="EH10" i="23916"/>
  <c r="EG17" i="23916"/>
  <c r="EG813" i="23916"/>
  <c r="EP10" i="23916"/>
  <c r="GO39" i="23916"/>
  <c r="GN72" i="23916"/>
  <c r="GN73" i="23916"/>
  <c r="GO73" i="23916" s="1"/>
  <c r="GN71" i="23916"/>
  <c r="GO71" i="23916" s="1"/>
  <c r="GU282" i="23916"/>
  <c r="GV282" i="23916"/>
  <c r="GT284" i="23916"/>
  <c r="DZ10" i="23916"/>
  <c r="DY17" i="23916"/>
  <c r="DY813" i="23916"/>
  <c r="FS196" i="23916"/>
  <c r="FR274" i="23916"/>
  <c r="FR275" i="23916"/>
  <c r="FU196" i="23916"/>
  <c r="FN843" i="23916"/>
  <c r="FO192" i="23916"/>
  <c r="FN817" i="23916"/>
  <c r="FQ192" i="23916"/>
  <c r="GZ474" i="23916"/>
  <c r="GY474" i="23916"/>
  <c r="CX616" i="23916"/>
  <c r="CW626" i="23916"/>
  <c r="CW650" i="23916" s="1"/>
  <c r="EQ618" i="23916"/>
  <c r="ER301" i="23916"/>
  <c r="EQ308" i="23916"/>
  <c r="ER308" i="23916" s="1"/>
  <c r="EQ304" i="23916"/>
  <c r="EQ11" i="23916"/>
  <c r="ER11" i="23916" s="1"/>
  <c r="EQ812" i="23916"/>
  <c r="BV756" i="23916"/>
  <c r="FV756" i="23916"/>
  <c r="FW756" i="23916" s="1"/>
  <c r="GT850" i="23916"/>
  <c r="GU251" i="23916"/>
  <c r="GD397" i="23916"/>
  <c r="GE392" i="23916"/>
  <c r="GX259" i="23916"/>
  <c r="GW259" i="23916"/>
  <c r="GH655" i="23916"/>
  <c r="GI655" i="23916" s="1"/>
  <c r="GI621" i="23916"/>
  <c r="GH626" i="23916"/>
  <c r="GH648" i="23916" s="1"/>
  <c r="FT659" i="23916"/>
  <c r="EE415" i="23916"/>
  <c r="EF415" i="23916" s="1"/>
  <c r="EE411" i="23916"/>
  <c r="EE417" i="23916"/>
  <c r="EF405" i="23916"/>
  <c r="EE416" i="23916"/>
  <c r="EF416" i="23916" s="1"/>
  <c r="EE412" i="23916"/>
  <c r="EF412" i="23916" s="1"/>
  <c r="EB10" i="23916"/>
  <c r="EA17" i="23916"/>
  <c r="EA813" i="23916"/>
  <c r="CU430" i="23916"/>
  <c r="CU425" i="23916"/>
  <c r="CV420" i="23916"/>
  <c r="CU426" i="23916"/>
  <c r="CV426" i="23916" s="1"/>
  <c r="GD420" i="23916"/>
  <c r="CU431" i="23916"/>
  <c r="CU432" i="23916" s="1"/>
  <c r="CM650" i="23916"/>
  <c r="CN616" i="23916"/>
  <c r="CM626" i="23916"/>
  <c r="GT254" i="23916"/>
  <c r="EC626" i="23916"/>
  <c r="GD843" i="23916"/>
  <c r="GE192" i="23916"/>
  <c r="GD817" i="23916"/>
  <c r="EQ801" i="23916"/>
  <c r="ER272" i="23916"/>
  <c r="EE648" i="23916"/>
  <c r="EF648" i="23916" s="1"/>
  <c r="EX671" i="23916"/>
  <c r="GP671" i="23916"/>
  <c r="GQ671" i="23916" s="1"/>
  <c r="O133" i="23916"/>
  <c r="P127" i="23916"/>
  <c r="O138" i="23916"/>
  <c r="P138" i="23916" s="1"/>
  <c r="O137" i="23916"/>
  <c r="P137" i="23916" s="1"/>
  <c r="ET332" i="23916"/>
  <c r="CY650" i="23916"/>
  <c r="CZ616" i="23916"/>
  <c r="GN843" i="23916"/>
  <c r="GO192" i="23916"/>
  <c r="GN817" i="23916"/>
  <c r="GN821" i="23916"/>
  <c r="ES812" i="23916"/>
  <c r="GP684" i="23916"/>
  <c r="GR673" i="23916"/>
  <c r="GS673" i="23916" s="1"/>
  <c r="GT674" i="23916"/>
  <c r="GS674" i="23916"/>
  <c r="GR669" i="23916"/>
  <c r="FZ616" i="23916"/>
  <c r="GA614" i="23916"/>
  <c r="GW421" i="23916"/>
  <c r="GX421" i="23916"/>
  <c r="GV393" i="23916"/>
  <c r="DA650" i="23916"/>
  <c r="GF46" i="23916"/>
  <c r="GE51" i="23916"/>
  <c r="FL147" i="23916"/>
  <c r="FM143" i="23916"/>
  <c r="FL150" i="23916"/>
  <c r="FL151" i="23916"/>
  <c r="FH843" i="23916"/>
  <c r="FI192" i="23916"/>
  <c r="FH817" i="23916"/>
  <c r="CH167" i="23916"/>
  <c r="ES269" i="23916"/>
  <c r="ES801" i="23916"/>
  <c r="ET272" i="23916"/>
  <c r="FJ843" i="23916"/>
  <c r="FK192" i="23916"/>
  <c r="FJ817" i="23916"/>
  <c r="FM192" i="23916"/>
  <c r="BC650" i="23916"/>
  <c r="BD616" i="23916"/>
  <c r="BI659" i="23916"/>
  <c r="CE650" i="23916"/>
  <c r="CF616" i="23916"/>
  <c r="EU802" i="23916"/>
  <c r="EV373" i="23916"/>
  <c r="GY406" i="23916"/>
  <c r="GZ406" i="23916"/>
  <c r="BQ659" i="23916"/>
  <c r="BR659" i="23916" s="1"/>
  <c r="I151" i="23916"/>
  <c r="I150" i="23916"/>
  <c r="I147" i="23916"/>
  <c r="GZ283" i="23916"/>
  <c r="GY283" i="23916"/>
  <c r="EU801" i="23916"/>
  <c r="EV272" i="23916"/>
  <c r="GT732" i="23916"/>
  <c r="GS732" i="23916"/>
  <c r="GR705" i="23916"/>
  <c r="GS705" i="23916" s="1"/>
  <c r="GX352" i="23916"/>
  <c r="GW352" i="23916"/>
  <c r="CR616" i="23916"/>
  <c r="CQ626" i="23916"/>
  <c r="DC755" i="23916"/>
  <c r="DC689" i="23916"/>
  <c r="DC657" i="23916"/>
  <c r="DD657" i="23916" s="1"/>
  <c r="DC656" i="23916"/>
  <c r="DD626" i="23916"/>
  <c r="DC628" i="23916"/>
  <c r="DC658" i="23916"/>
  <c r="DD658" i="23916" s="1"/>
  <c r="DC784" i="23916"/>
  <c r="DC681" i="23916"/>
  <c r="DD681" i="23916" s="1"/>
  <c r="DC640" i="23916"/>
  <c r="DC653" i="23916"/>
  <c r="DD653" i="23916" s="1"/>
  <c r="DC654" i="23916"/>
  <c r="DC652" i="23916"/>
  <c r="DD652" i="23916" s="1"/>
  <c r="DC647" i="23916"/>
  <c r="DD647" i="23916" s="1"/>
  <c r="DW655" i="23916"/>
  <c r="DX655" i="23916" s="1"/>
  <c r="CE655" i="23916"/>
  <c r="BZ616" i="23916"/>
  <c r="BY626" i="23916"/>
  <c r="EK626" i="23916"/>
  <c r="EK650" i="23916" s="1"/>
  <c r="CU453" i="23916"/>
  <c r="GX315" i="23916"/>
  <c r="GW315" i="23916"/>
  <c r="EA453" i="23916"/>
  <c r="DY459" i="23916"/>
  <c r="EW301" i="23916"/>
  <c r="EX298" i="23916"/>
  <c r="EW299" i="23916"/>
  <c r="EX299" i="23916" s="1"/>
  <c r="EW307" i="23916"/>
  <c r="EX307" i="23916" s="1"/>
  <c r="EW305" i="23916"/>
  <c r="EX305" i="23916" s="1"/>
  <c r="BT397" i="23916"/>
  <c r="BU392" i="23916"/>
  <c r="GA621" i="23916"/>
  <c r="GV293" i="23916"/>
  <c r="GU293" i="23916"/>
  <c r="GT294" i="23916"/>
  <c r="GT287" i="23916" s="1"/>
  <c r="GU287" i="23916" s="1"/>
  <c r="DU650" i="23916"/>
  <c r="DV616" i="23916"/>
  <c r="DU626" i="23916"/>
  <c r="EW260" i="23916"/>
  <c r="EX257" i="23916"/>
  <c r="EW262" i="23916"/>
  <c r="EW264" i="23916" s="1"/>
  <c r="GP257" i="23916"/>
  <c r="GF650" i="23916"/>
  <c r="GG616" i="23916"/>
  <c r="CR171" i="23916"/>
  <c r="FO545" i="23916"/>
  <c r="GU720" i="23916"/>
  <c r="GV720" i="23916"/>
  <c r="DC648" i="23916"/>
  <c r="DD648" i="23916" s="1"/>
  <c r="EE655" i="23916"/>
  <c r="EF655" i="23916" s="1"/>
  <c r="GQ143" i="23916"/>
  <c r="FU654" i="23916"/>
  <c r="CU74" i="23916"/>
  <c r="CV74" i="23916" s="1"/>
  <c r="CV72" i="23916"/>
  <c r="DK755" i="23916"/>
  <c r="DL755" i="23916" s="1"/>
  <c r="DK689" i="23916"/>
  <c r="DK657" i="23916"/>
  <c r="DK656" i="23916"/>
  <c r="DL656" i="23916" s="1"/>
  <c r="DL626" i="23916"/>
  <c r="DK628" i="23916"/>
  <c r="DK784" i="23916"/>
  <c r="DK658" i="23916"/>
  <c r="DL658" i="23916" s="1"/>
  <c r="DK640" i="23916"/>
  <c r="DK654" i="23916"/>
  <c r="DL654" i="23916" s="1"/>
  <c r="DK647" i="23916"/>
  <c r="DK653" i="23916"/>
  <c r="DL653" i="23916" s="1"/>
  <c r="DK652" i="23916"/>
  <c r="DL652" i="23916" s="1"/>
  <c r="GZ50" i="23916"/>
  <c r="GY50" i="23916"/>
  <c r="BU650" i="23916"/>
  <c r="BV616" i="23916"/>
  <c r="BU626" i="23916"/>
  <c r="GV644" i="23916"/>
  <c r="GT637" i="23916"/>
  <c r="GU644" i="23916"/>
  <c r="GC616" i="23916"/>
  <c r="GV322" i="23916"/>
  <c r="GU322" i="23916"/>
  <c r="CW392" i="23916"/>
  <c r="CV397" i="23916"/>
  <c r="DM650" i="23916"/>
  <c r="DN616" i="23916"/>
  <c r="CS481" i="23916"/>
  <c r="CS480" i="23916"/>
  <c r="CS478" i="23916"/>
  <c r="BG650" i="23916"/>
  <c r="BH616" i="23916"/>
  <c r="CS415" i="23916"/>
  <c r="CU133" i="23916"/>
  <c r="CU138" i="23916"/>
  <c r="CV138" i="23916" s="1"/>
  <c r="CU137" i="23916"/>
  <c r="CV137" i="23916" s="1"/>
  <c r="CV127" i="23916"/>
  <c r="CU135" i="23916"/>
  <c r="GQ295" i="23916"/>
  <c r="GS295" i="23916"/>
  <c r="GO665" i="23916"/>
  <c r="DY397" i="23916"/>
  <c r="DY398" i="23916"/>
  <c r="GA196" i="23916"/>
  <c r="FZ274" i="23916"/>
  <c r="GA274" i="23916" s="1"/>
  <c r="FZ275" i="23916"/>
  <c r="GA275" i="23916" s="1"/>
  <c r="DM682" i="23916"/>
  <c r="DM681" i="23916"/>
  <c r="DN665" i="23916"/>
  <c r="GT535" i="23916"/>
  <c r="GR534" i="23916"/>
  <c r="EA133" i="23916"/>
  <c r="EA138" i="23916"/>
  <c r="EB138" i="23916" s="1"/>
  <c r="EA137" i="23916"/>
  <c r="EB137" i="23916" s="1"/>
  <c r="EB127" i="23916"/>
  <c r="EA135" i="23916"/>
  <c r="BR480" i="23916"/>
  <c r="BQ482" i="23916"/>
  <c r="BR482" i="23916" s="1"/>
  <c r="BO650" i="23916"/>
  <c r="BP616" i="23916"/>
  <c r="GD58" i="23916"/>
  <c r="GE58" i="23916" s="1"/>
  <c r="GE38" i="23916"/>
  <c r="GF32" i="23916"/>
  <c r="EV368" i="23916"/>
  <c r="BE650" i="23916"/>
  <c r="BF616" i="23916"/>
  <c r="BN616" i="23916"/>
  <c r="FG196" i="23916"/>
  <c r="FF274" i="23916"/>
  <c r="FG274" i="23916" s="1"/>
  <c r="FF275" i="23916"/>
  <c r="FG275" i="23916" s="1"/>
  <c r="CU438" i="23916"/>
  <c r="CS466" i="23916"/>
  <c r="GV357" i="23916"/>
  <c r="GU357" i="23916"/>
  <c r="GV316" i="23916"/>
  <c r="GT317" i="23916"/>
  <c r="GU316" i="23916"/>
  <c r="GT853" i="23916"/>
  <c r="GT593" i="23916"/>
  <c r="GU593" i="23916" s="1"/>
  <c r="DX648" i="23916"/>
  <c r="EN616" i="23916"/>
  <c r="CK650" i="23916"/>
  <c r="CL616" i="23916"/>
  <c r="CK626" i="23916"/>
  <c r="CS755" i="23916"/>
  <c r="CS657" i="23916"/>
  <c r="CS656" i="23916"/>
  <c r="CS689" i="23916"/>
  <c r="CS628" i="23916"/>
  <c r="CT626" i="23916"/>
  <c r="CS784" i="23916"/>
  <c r="CS658" i="23916"/>
  <c r="CS681" i="23916"/>
  <c r="CS640" i="23916"/>
  <c r="CS652" i="23916"/>
  <c r="CS654" i="23916"/>
  <c r="CS653" i="23916"/>
  <c r="CS655" i="23916"/>
  <c r="CS647" i="23916"/>
  <c r="GV358" i="23916"/>
  <c r="GU358" i="23916"/>
  <c r="GV703" i="23916"/>
  <c r="GU703" i="23916"/>
  <c r="DK655" i="23916"/>
  <c r="DL655" i="23916" s="1"/>
  <c r="CO755" i="23916"/>
  <c r="CO689" i="23916"/>
  <c r="CO657" i="23916"/>
  <c r="CO656" i="23916"/>
  <c r="CO628" i="23916"/>
  <c r="CO647" i="23916"/>
  <c r="CO658" i="23916"/>
  <c r="CO681" i="23916"/>
  <c r="CO784" i="23916"/>
  <c r="CO640" i="23916"/>
  <c r="CO653" i="23916"/>
  <c r="CO654" i="23916"/>
  <c r="CO652" i="23916"/>
  <c r="DK648" i="23916"/>
  <c r="DL648" i="23916" s="1"/>
  <c r="CY755" i="23916"/>
  <c r="CY689" i="23916"/>
  <c r="CY657" i="23916"/>
  <c r="CY656" i="23916"/>
  <c r="CY628" i="23916"/>
  <c r="CY784" i="23916"/>
  <c r="CY658" i="23916"/>
  <c r="CY681" i="23916"/>
  <c r="CY640" i="23916"/>
  <c r="CY653" i="23916"/>
  <c r="CY654" i="23916"/>
  <c r="CY652" i="23916"/>
  <c r="CY647" i="23916"/>
  <c r="GT855" i="23916"/>
  <c r="GT856" i="23916" s="1"/>
  <c r="GU349" i="23916"/>
  <c r="GV349" i="23916"/>
  <c r="GV353" i="23916" s="1"/>
  <c r="BJ648" i="23916"/>
  <c r="GH843" i="23916"/>
  <c r="GI192" i="23916"/>
  <c r="GH817" i="23916"/>
  <c r="GH821" i="23916"/>
  <c r="DO755" i="23916"/>
  <c r="DO689" i="23916"/>
  <c r="DO657" i="23916"/>
  <c r="DO656" i="23916"/>
  <c r="DO628" i="23916"/>
  <c r="DO784" i="23916"/>
  <c r="DO658" i="23916"/>
  <c r="DO640" i="23916"/>
  <c r="DO654" i="23916"/>
  <c r="DO647" i="23916"/>
  <c r="DO653" i="23916"/>
  <c r="DO652" i="23916"/>
  <c r="CU650" i="23916"/>
  <c r="CV616" i="23916"/>
  <c r="GP32" i="23916"/>
  <c r="GO38" i="23916"/>
  <c r="GZ313" i="23916"/>
  <c r="GY313" i="23916"/>
  <c r="FR616" i="23916"/>
  <c r="FR648" i="23916"/>
  <c r="FS614" i="23916"/>
  <c r="FU614" i="23916"/>
  <c r="GN792" i="23916"/>
  <c r="GO792" i="23916" s="1"/>
  <c r="GO791" i="23916"/>
  <c r="FO196" i="23916"/>
  <c r="FN274" i="23916"/>
  <c r="FN275" i="23916"/>
  <c r="FQ196" i="23916"/>
  <c r="DT10" i="23916"/>
  <c r="DS17" i="23916"/>
  <c r="DS813" i="23916"/>
  <c r="GO800" i="23916"/>
  <c r="CS648" i="23916"/>
  <c r="BW766" i="23916"/>
  <c r="BX766" i="23916" s="1"/>
  <c r="BW734" i="23916"/>
  <c r="BX734" i="23916" s="1"/>
  <c r="BX731" i="23916"/>
  <c r="GV410" i="23916"/>
  <c r="GU410" i="23916"/>
  <c r="GT386" i="23916"/>
  <c r="GU386" i="23916" s="1"/>
  <c r="GY252" i="23916"/>
  <c r="GZ252" i="23916"/>
  <c r="CU479" i="23916"/>
  <c r="CV479" i="23916" s="1"/>
  <c r="CV398" i="23916"/>
  <c r="DY388" i="23916"/>
  <c r="DY387" i="23916"/>
  <c r="EJ616" i="23916"/>
  <c r="EI626" i="23916"/>
  <c r="EI650" i="23916" s="1"/>
  <c r="CS401" i="23916"/>
  <c r="CU381" i="23916"/>
  <c r="GX716" i="23916"/>
  <c r="GW716" i="23916"/>
  <c r="DY171" i="23916"/>
  <c r="EA650" i="23916"/>
  <c r="EB616" i="23916"/>
  <c r="ED10" i="23916"/>
  <c r="EC17" i="23916"/>
  <c r="EC813" i="23916"/>
  <c r="GR207" i="23916"/>
  <c r="GS221" i="23916"/>
  <c r="CS434" i="23916"/>
  <c r="CU405" i="23916"/>
  <c r="GE196" i="23916"/>
  <c r="GD274" i="23916"/>
  <c r="GE274" i="23916" s="1"/>
  <c r="GD275" i="23916"/>
  <c r="GE275" i="23916" s="1"/>
  <c r="GX350" i="23916"/>
  <c r="GW350" i="23916"/>
  <c r="GP298" i="23916"/>
  <c r="ER267" i="23916"/>
  <c r="EF10" i="23916"/>
  <c r="EE17" i="23916"/>
  <c r="EE813" i="23916"/>
  <c r="GD127" i="23916"/>
  <c r="GO816" i="23916"/>
  <c r="GO8" i="23916"/>
  <c r="GO614" i="23916"/>
  <c r="GN616" i="23916"/>
  <c r="ES816" i="23916"/>
  <c r="ET372" i="23916"/>
  <c r="FI135" i="23916"/>
  <c r="FH170" i="23916"/>
  <c r="FI170" i="23916" s="1"/>
  <c r="FH169" i="23916"/>
  <c r="FH167" i="23916"/>
  <c r="FI167" i="23916" s="1"/>
  <c r="FV754" i="23916"/>
  <c r="FW754" i="23916" s="1"/>
  <c r="FV753" i="23916"/>
  <c r="FW753" i="23916" s="1"/>
  <c r="FW733" i="23916"/>
  <c r="FV749" i="23916"/>
  <c r="FW749" i="23916" s="1"/>
  <c r="FV751" i="23916"/>
  <c r="FW751" i="23916" s="1"/>
  <c r="FV750" i="23916"/>
  <c r="FW750" i="23916" s="1"/>
  <c r="FV752" i="23916"/>
  <c r="FW752" i="23916" s="1"/>
  <c r="FV735" i="23916"/>
  <c r="FW735" i="23916" s="1"/>
  <c r="FU621" i="23916"/>
  <c r="BS650" i="23916"/>
  <c r="BT616" i="23916"/>
  <c r="EV624" i="23916"/>
  <c r="BA650" i="23916"/>
  <c r="BB616" i="23916"/>
  <c r="GN10" i="23916"/>
  <c r="FK196" i="23916"/>
  <c r="FJ274" i="23916"/>
  <c r="FJ275" i="23916"/>
  <c r="FM196" i="23916"/>
  <c r="BP648" i="23916"/>
  <c r="EM626" i="23916"/>
  <c r="CG650" i="23916"/>
  <c r="CH616" i="23916"/>
  <c r="CG626" i="23916"/>
  <c r="CO650" i="23916"/>
  <c r="CP616" i="23916"/>
  <c r="EU370" i="23916"/>
  <c r="CA650" i="23916"/>
  <c r="CB616" i="23916"/>
  <c r="BF648" i="23916"/>
  <c r="BN648" i="23916"/>
  <c r="GC621" i="23916"/>
  <c r="GB626" i="23916"/>
  <c r="GF272" i="23916"/>
  <c r="GG272" i="23916" s="1"/>
  <c r="GF269" i="23916"/>
  <c r="GF274" i="23916"/>
  <c r="GG274" i="23916" s="1"/>
  <c r="GG266" i="23916"/>
  <c r="GF268" i="23916"/>
  <c r="GG268" i="23916" s="1"/>
  <c r="BV766" i="23916"/>
  <c r="FV766" i="23916"/>
  <c r="FW766" i="23916" s="1"/>
  <c r="GR363" i="23916"/>
  <c r="GR356" i="23916" s="1"/>
  <c r="GS356" i="23916" s="1"/>
  <c r="GT362" i="23916"/>
  <c r="GS362" i="23916"/>
  <c r="GO621" i="23916"/>
  <c r="GD616" i="23916"/>
  <c r="DX10" i="23916"/>
  <c r="DW17" i="23916"/>
  <c r="DW813" i="23916"/>
  <c r="EH616" i="23916"/>
  <c r="EG626" i="23916"/>
  <c r="DO650" i="23916"/>
  <c r="DP616" i="23916"/>
  <c r="EO755" i="23916"/>
  <c r="EO742" i="23916"/>
  <c r="EO689" i="23916"/>
  <c r="EO628" i="23916"/>
  <c r="EP626" i="23916"/>
  <c r="EO657" i="23916"/>
  <c r="EO784" i="23916"/>
  <c r="EO640" i="23916"/>
  <c r="EO652" i="23916"/>
  <c r="EO658" i="23916"/>
  <c r="EO653" i="23916"/>
  <c r="EO655" i="23916"/>
  <c r="EO647" i="23916"/>
  <c r="EO654" i="23916"/>
  <c r="EO648" i="23916"/>
  <c r="EO656" i="23916"/>
  <c r="EO649" i="23916"/>
  <c r="DG626" i="23916"/>
  <c r="DJ616" i="23916"/>
  <c r="DI626" i="23916"/>
  <c r="CI650" i="23916"/>
  <c r="CJ616" i="23916"/>
  <c r="CI626" i="23916"/>
  <c r="BD655" i="23916"/>
  <c r="BL655" i="23916"/>
  <c r="GT102" i="23916"/>
  <c r="GT601" i="23916" s="1"/>
  <c r="GU601" i="23916" s="1"/>
  <c r="GS102" i="23916"/>
  <c r="GL804" i="23916"/>
  <c r="GM804" i="23916" s="1"/>
  <c r="GM545" i="23916"/>
  <c r="EX324" i="23916"/>
  <c r="EW331" i="23916"/>
  <c r="BW650" i="23916"/>
  <c r="BX616" i="23916"/>
  <c r="BW626" i="23916"/>
  <c r="CU655" i="23916"/>
  <c r="DD655" i="23916" s="1"/>
  <c r="FW621" i="23916"/>
  <c r="DS626" i="23916"/>
  <c r="EB626" i="23916" s="1"/>
  <c r="CS448" i="23916"/>
  <c r="DV10" i="23916"/>
  <c r="DU17" i="23916"/>
  <c r="DU813" i="23916"/>
  <c r="GQ230" i="23916"/>
  <c r="GP244" i="23916"/>
  <c r="GP232" i="23916"/>
  <c r="GQ232" i="23916" s="1"/>
  <c r="GG614" i="23916"/>
  <c r="AS170" i="23916"/>
  <c r="AS169" i="23916"/>
  <c r="AS167" i="23916"/>
  <c r="GX225" i="23916"/>
  <c r="GV229" i="23916"/>
  <c r="GW229" i="23916" s="1"/>
  <c r="GW225" i="23916"/>
  <c r="BK650" i="23916"/>
  <c r="BL616" i="23916"/>
  <c r="CT137" i="23916"/>
  <c r="GL843" i="23916"/>
  <c r="GM843" i="23916" s="1"/>
  <c r="GM192" i="23916"/>
  <c r="GL821" i="23916"/>
  <c r="GM821" i="23916" s="1"/>
  <c r="GL817" i="23916"/>
  <c r="GM817" i="23916" s="1"/>
  <c r="BH655" i="23916"/>
  <c r="CK809" i="23916"/>
  <c r="CK808" i="23916" s="1"/>
  <c r="CK155" i="23916"/>
  <c r="CL155" i="23916" s="1"/>
  <c r="CL133" i="23916"/>
  <c r="DW650" i="23916"/>
  <c r="DX616" i="23916"/>
  <c r="BN655" i="23916"/>
  <c r="CY648" i="23916"/>
  <c r="CX46" i="23916"/>
  <c r="CW55" i="23916"/>
  <c r="CW56" i="23916" s="1"/>
  <c r="CW52" i="23916"/>
  <c r="CW51" i="23916"/>
  <c r="CW54" i="23916"/>
  <c r="GV730" i="23916"/>
  <c r="GU730" i="23916"/>
  <c r="CS650" i="23916"/>
  <c r="GT288" i="23916"/>
  <c r="EJ650" i="23916" l="1"/>
  <c r="GV359" i="23916"/>
  <c r="GW359" i="23916" s="1"/>
  <c r="GW353" i="23916"/>
  <c r="GL755" i="23916"/>
  <c r="GL742" i="23916"/>
  <c r="GL689" i="23916"/>
  <c r="GM626" i="23916"/>
  <c r="GL628" i="23916"/>
  <c r="GL784" i="23916"/>
  <c r="GL640" i="23916"/>
  <c r="GL652" i="23916"/>
  <c r="GL658" i="23916"/>
  <c r="GL653" i="23916"/>
  <c r="GL649" i="23916"/>
  <c r="GL657" i="23916"/>
  <c r="GL656" i="23916"/>
  <c r="GL647" i="23916"/>
  <c r="GL681" i="23916"/>
  <c r="GL654" i="23916"/>
  <c r="GL648" i="23916"/>
  <c r="GL655" i="23916"/>
  <c r="CX650" i="23916"/>
  <c r="CD650" i="23916"/>
  <c r="EU618" i="23916"/>
  <c r="EV301" i="23916"/>
  <c r="EU308" i="23916"/>
  <c r="EV308" i="23916" s="1"/>
  <c r="EU304" i="23916"/>
  <c r="EV304" i="23916" s="1"/>
  <c r="EU11" i="23916"/>
  <c r="EV11" i="23916" s="1"/>
  <c r="DX650" i="23916"/>
  <c r="DW659" i="23916"/>
  <c r="BL650" i="23916"/>
  <c r="BK659" i="23916"/>
  <c r="BX650" i="23916"/>
  <c r="DI755" i="23916"/>
  <c r="DJ755" i="23916" s="1"/>
  <c r="DI657" i="23916"/>
  <c r="DJ657" i="23916" s="1"/>
  <c r="DI656" i="23916"/>
  <c r="DJ656" i="23916" s="1"/>
  <c r="DI689" i="23916"/>
  <c r="DI628" i="23916"/>
  <c r="DJ626" i="23916"/>
  <c r="DI784" i="23916"/>
  <c r="DI658" i="23916"/>
  <c r="DJ658" i="23916" s="1"/>
  <c r="DI640" i="23916"/>
  <c r="DI654" i="23916"/>
  <c r="DJ654" i="23916" s="1"/>
  <c r="DI652" i="23916"/>
  <c r="DJ652" i="23916" s="1"/>
  <c r="DI647" i="23916"/>
  <c r="DJ647" i="23916" s="1"/>
  <c r="DI655" i="23916"/>
  <c r="DJ655" i="23916" s="1"/>
  <c r="DI653" i="23916"/>
  <c r="DJ653" i="23916" s="1"/>
  <c r="DI681" i="23916"/>
  <c r="DJ681" i="23916" s="1"/>
  <c r="DI648" i="23916"/>
  <c r="DJ648" i="23916" s="1"/>
  <c r="EG755" i="23916"/>
  <c r="EG742" i="23916"/>
  <c r="EG689" i="23916"/>
  <c r="EG628" i="23916"/>
  <c r="EH626" i="23916"/>
  <c r="EG784" i="23916"/>
  <c r="EG657" i="23916"/>
  <c r="EG640" i="23916"/>
  <c r="EG656" i="23916"/>
  <c r="EG652" i="23916"/>
  <c r="EG653" i="23916"/>
  <c r="EG658" i="23916"/>
  <c r="EG654" i="23916"/>
  <c r="EG647" i="23916"/>
  <c r="EG649" i="23916"/>
  <c r="EG655" i="23916"/>
  <c r="EG648" i="23916"/>
  <c r="BA659" i="23916"/>
  <c r="BB659" i="23916" s="1"/>
  <c r="BB650" i="23916"/>
  <c r="EA659" i="23916"/>
  <c r="FS648" i="23916"/>
  <c r="FU648" i="23916"/>
  <c r="GY352" i="23916"/>
  <c r="GZ352" i="23916"/>
  <c r="GU288" i="23916"/>
  <c r="GV288" i="23916"/>
  <c r="GW730" i="23916"/>
  <c r="GX730" i="23916"/>
  <c r="GX229" i="23916"/>
  <c r="GY229" i="23916" s="1"/>
  <c r="GY225" i="23916"/>
  <c r="AS171" i="23916"/>
  <c r="GP246" i="23916"/>
  <c r="GQ246" i="23916" s="1"/>
  <c r="GP235" i="23916"/>
  <c r="CJ650" i="23916"/>
  <c r="DG755" i="23916"/>
  <c r="DH755" i="23916" s="1"/>
  <c r="DG689" i="23916"/>
  <c r="DG657" i="23916"/>
  <c r="DH657" i="23916" s="1"/>
  <c r="DG656" i="23916"/>
  <c r="DH656" i="23916" s="1"/>
  <c r="DH626" i="23916"/>
  <c r="DG628" i="23916"/>
  <c r="DG784" i="23916"/>
  <c r="DG658" i="23916"/>
  <c r="DH658" i="23916" s="1"/>
  <c r="DG640" i="23916"/>
  <c r="DG654" i="23916"/>
  <c r="DH654" i="23916" s="1"/>
  <c r="DG653" i="23916"/>
  <c r="DH653" i="23916" s="1"/>
  <c r="DG647" i="23916"/>
  <c r="DH647" i="23916" s="1"/>
  <c r="DG681" i="23916"/>
  <c r="DH681" i="23916" s="1"/>
  <c r="DG652" i="23916"/>
  <c r="DH652" i="23916" s="1"/>
  <c r="DG648" i="23916"/>
  <c r="DG655" i="23916"/>
  <c r="EP654" i="23916"/>
  <c r="EP658" i="23916"/>
  <c r="EP657" i="23916"/>
  <c r="EO900" i="23916"/>
  <c r="EO694" i="23916"/>
  <c r="EO19" i="23916"/>
  <c r="DO659" i="23916"/>
  <c r="GB755" i="23916"/>
  <c r="GB689" i="23916"/>
  <c r="GB656" i="23916"/>
  <c r="GB657" i="23916"/>
  <c r="GB628" i="23916"/>
  <c r="GB640" i="23916"/>
  <c r="GB658" i="23916"/>
  <c r="GB681" i="23916"/>
  <c r="GB784" i="23916"/>
  <c r="GB654" i="23916"/>
  <c r="GB647" i="23916"/>
  <c r="GB652" i="23916"/>
  <c r="GB648" i="23916"/>
  <c r="GB653" i="23916"/>
  <c r="FK275" i="23916"/>
  <c r="FM275" i="23916"/>
  <c r="GD133" i="23916"/>
  <c r="GD137" i="23916"/>
  <c r="GD138" i="23916"/>
  <c r="CU411" i="23916"/>
  <c r="CV405" i="23916"/>
  <c r="GD405" i="23916"/>
  <c r="CU416" i="23916"/>
  <c r="CV416" i="23916" s="1"/>
  <c r="CU412" i="23916"/>
  <c r="GS207" i="23916"/>
  <c r="GR258" i="23916"/>
  <c r="GV386" i="23916"/>
  <c r="GW386" i="23916" s="1"/>
  <c r="GX410" i="23916"/>
  <c r="GW410" i="23916"/>
  <c r="GQ32" i="23916"/>
  <c r="DP658" i="23916"/>
  <c r="DP626" i="23916"/>
  <c r="CO900" i="23916"/>
  <c r="CO694" i="23916"/>
  <c r="CO630" i="23916" s="1"/>
  <c r="CO631" i="23916" s="1"/>
  <c r="GU317" i="23916"/>
  <c r="GT323" i="23916"/>
  <c r="GX357" i="23916"/>
  <c r="GW357" i="23916"/>
  <c r="BE659" i="23916"/>
  <c r="BF650" i="23916"/>
  <c r="BN650" i="23916"/>
  <c r="GT534" i="23916"/>
  <c r="GV535" i="23916"/>
  <c r="DY479" i="23916"/>
  <c r="DY478" i="23916"/>
  <c r="CS482" i="23916"/>
  <c r="GT639" i="23916"/>
  <c r="GU637" i="23916"/>
  <c r="DK829" i="23916"/>
  <c r="DK692" i="23916"/>
  <c r="DL628" i="23916"/>
  <c r="DL657" i="23916"/>
  <c r="GX293" i="23916"/>
  <c r="GW293" i="23916"/>
  <c r="GV294" i="23916"/>
  <c r="GV287" i="23916" s="1"/>
  <c r="GW287" i="23916" s="1"/>
  <c r="EA463" i="23916"/>
  <c r="GL453" i="23916"/>
  <c r="EA458" i="23916"/>
  <c r="EB453" i="23916"/>
  <c r="EA462" i="23916"/>
  <c r="EB462" i="23916" s="1"/>
  <c r="BY789" i="23916"/>
  <c r="BY755" i="23916"/>
  <c r="BZ755" i="23916" s="1"/>
  <c r="BY689" i="23916"/>
  <c r="BY657" i="23916"/>
  <c r="BZ657" i="23916" s="1"/>
  <c r="BY656" i="23916"/>
  <c r="BZ656" i="23916" s="1"/>
  <c r="BY628" i="23916"/>
  <c r="BZ626" i="23916"/>
  <c r="BY608" i="23916"/>
  <c r="BY647" i="23916"/>
  <c r="BZ647" i="23916" s="1"/>
  <c r="BY658" i="23916"/>
  <c r="BZ658" i="23916" s="1"/>
  <c r="BY681" i="23916"/>
  <c r="BZ681" i="23916" s="1"/>
  <c r="BY653" i="23916"/>
  <c r="BZ653" i="23916" s="1"/>
  <c r="BY784" i="23916"/>
  <c r="BY652" i="23916"/>
  <c r="BZ652" i="23916" s="1"/>
  <c r="BY640" i="23916"/>
  <c r="BY654" i="23916"/>
  <c r="BZ654" i="23916" s="1"/>
  <c r="BY655" i="23916"/>
  <c r="BZ655" i="23916" s="1"/>
  <c r="BY648" i="23916"/>
  <c r="BZ648" i="23916" s="1"/>
  <c r="DD656" i="23916"/>
  <c r="DD755" i="23916"/>
  <c r="BJ659" i="23916"/>
  <c r="GF54" i="23916"/>
  <c r="GF51" i="23916"/>
  <c r="GF52" i="23916"/>
  <c r="GG46" i="23916"/>
  <c r="GF55" i="23916"/>
  <c r="GO817" i="23916"/>
  <c r="CY659" i="23916"/>
  <c r="EC755" i="23916"/>
  <c r="EC742" i="23916"/>
  <c r="EC689" i="23916"/>
  <c r="EC628" i="23916"/>
  <c r="ED626" i="23916"/>
  <c r="EC657" i="23916"/>
  <c r="EC784" i="23916"/>
  <c r="EC640" i="23916"/>
  <c r="EC653" i="23916"/>
  <c r="EC656" i="23916"/>
  <c r="EC658" i="23916"/>
  <c r="EC654" i="23916"/>
  <c r="EC649" i="23916"/>
  <c r="EC652" i="23916"/>
  <c r="EC647" i="23916"/>
  <c r="EC648" i="23916"/>
  <c r="EC655" i="23916"/>
  <c r="ES621" i="23916"/>
  <c r="ET618" i="23916"/>
  <c r="EA450" i="23916"/>
  <c r="EB438" i="23916"/>
  <c r="EA449" i="23916"/>
  <c r="EB449" i="23916" s="1"/>
  <c r="EA444" i="23916"/>
  <c r="EA448" i="23916"/>
  <c r="EB448" i="23916" s="1"/>
  <c r="EA445" i="23916"/>
  <c r="EB445" i="23916" s="1"/>
  <c r="GL438" i="23916"/>
  <c r="AU155" i="23916"/>
  <c r="AV155" i="23916" s="1"/>
  <c r="AV133" i="23916"/>
  <c r="AW127" i="23916"/>
  <c r="CT148" i="23916"/>
  <c r="CS167" i="23916"/>
  <c r="CT167" i="23916" s="1"/>
  <c r="DE755" i="23916"/>
  <c r="DE689" i="23916"/>
  <c r="DE657" i="23916"/>
  <c r="DE656" i="23916"/>
  <c r="DE628" i="23916"/>
  <c r="DF626" i="23916"/>
  <c r="DE658" i="23916"/>
  <c r="DE784" i="23916"/>
  <c r="DE640" i="23916"/>
  <c r="DE681" i="23916"/>
  <c r="DE653" i="23916"/>
  <c r="DE652" i="23916"/>
  <c r="DE654" i="23916"/>
  <c r="DE647" i="23916"/>
  <c r="DE655" i="23916"/>
  <c r="DE648" i="23916"/>
  <c r="DS650" i="23916"/>
  <c r="N170" i="23916"/>
  <c r="GF719" i="23916"/>
  <c r="GG719" i="23916" s="1"/>
  <c r="GG718" i="23916"/>
  <c r="GF721" i="23916"/>
  <c r="GF763" i="23916"/>
  <c r="GG763" i="23916" s="1"/>
  <c r="ER615" i="23916"/>
  <c r="EE745" i="23916"/>
  <c r="EE744" i="23916"/>
  <c r="EE690" i="23916"/>
  <c r="EF640" i="23916"/>
  <c r="EE842" i="23916"/>
  <c r="EE829" i="23916"/>
  <c r="EE743" i="23916"/>
  <c r="EE692" i="23916"/>
  <c r="EF628" i="23916"/>
  <c r="EA32" i="23916"/>
  <c r="CT170" i="23916"/>
  <c r="CK171" i="23916"/>
  <c r="CL171" i="23916" s="1"/>
  <c r="CL169" i="23916"/>
  <c r="DD650" i="23916"/>
  <c r="DC659" i="23916"/>
  <c r="GQ324" i="23916"/>
  <c r="GP331" i="23916"/>
  <c r="DX653" i="23916"/>
  <c r="DX656" i="23916"/>
  <c r="GJ655" i="23916"/>
  <c r="GK655" i="23916" s="1"/>
  <c r="GF755" i="23916"/>
  <c r="GF689" i="23916"/>
  <c r="GF628" i="23916"/>
  <c r="GF640" i="23916"/>
  <c r="GF658" i="23916"/>
  <c r="GF784" i="23916"/>
  <c r="GF681" i="23916"/>
  <c r="GF657" i="23916"/>
  <c r="GF656" i="23916"/>
  <c r="GF654" i="23916"/>
  <c r="GF647" i="23916"/>
  <c r="GF653" i="23916"/>
  <c r="GF652" i="23916"/>
  <c r="GF648" i="23916"/>
  <c r="DB653" i="23916"/>
  <c r="DA690" i="23916"/>
  <c r="DB640" i="23916"/>
  <c r="DA682" i="23916"/>
  <c r="DB657" i="23916"/>
  <c r="GV531" i="23916"/>
  <c r="GX526" i="23916"/>
  <c r="GS364" i="23916"/>
  <c r="GQ364" i="23916"/>
  <c r="FJ809" i="23916"/>
  <c r="FJ808" i="23916" s="1"/>
  <c r="FJ155" i="23916"/>
  <c r="FK155" i="23916" s="1"/>
  <c r="FJ135" i="23916"/>
  <c r="FK133" i="23916"/>
  <c r="FL127" i="23916"/>
  <c r="ET619" i="23916"/>
  <c r="EF650" i="23916"/>
  <c r="EE659" i="23916"/>
  <c r="EF659" i="23916" s="1"/>
  <c r="GV717" i="23916"/>
  <c r="GW717" i="23916" s="1"/>
  <c r="GX714" i="23916"/>
  <c r="GW714" i="23916"/>
  <c r="GZ253" i="23916"/>
  <c r="GY253" i="23916"/>
  <c r="GU221" i="23916"/>
  <c r="GT207" i="23916"/>
  <c r="GW237" i="23916"/>
  <c r="GX237" i="23916"/>
  <c r="GV245" i="23916"/>
  <c r="GV231" i="23916" s="1"/>
  <c r="GW231" i="23916" s="1"/>
  <c r="GS290" i="23916"/>
  <c r="GR291" i="23916"/>
  <c r="GH274" i="23916"/>
  <c r="GI266" i="23916"/>
  <c r="GH269" i="23916"/>
  <c r="GH272" i="23916"/>
  <c r="GH268" i="23916"/>
  <c r="GK266" i="23916"/>
  <c r="GX457" i="23916"/>
  <c r="GW457" i="23916"/>
  <c r="AV147" i="23916"/>
  <c r="AW143" i="23916"/>
  <c r="EW368" i="23916"/>
  <c r="EW373" i="23916"/>
  <c r="EX367" i="23916"/>
  <c r="EW375" i="23916"/>
  <c r="EX375" i="23916" s="1"/>
  <c r="GH650" i="23916"/>
  <c r="GI616" i="23916"/>
  <c r="EB431" i="23916"/>
  <c r="EA432" i="23916"/>
  <c r="EB432" i="23916" s="1"/>
  <c r="GX424" i="23916"/>
  <c r="GV396" i="23916"/>
  <c r="GW396" i="23916" s="1"/>
  <c r="GW424" i="23916"/>
  <c r="BT387" i="23916"/>
  <c r="BS401" i="23916"/>
  <c r="BT401" i="23916" s="1"/>
  <c r="BU381" i="23916"/>
  <c r="DN655" i="23916"/>
  <c r="DN653" i="23916"/>
  <c r="DN626" i="23916"/>
  <c r="DN656" i="23916"/>
  <c r="EP647" i="23916"/>
  <c r="CV133" i="23916"/>
  <c r="CW127" i="23916"/>
  <c r="CW397" i="23916"/>
  <c r="CW398" i="23916"/>
  <c r="CX392" i="23916"/>
  <c r="GW720" i="23916"/>
  <c r="GX720" i="23916"/>
  <c r="GR213" i="23916"/>
  <c r="GP211" i="23916"/>
  <c r="GQ211" i="23916" s="1"/>
  <c r="GQ213" i="23916"/>
  <c r="GZ701" i="23916"/>
  <c r="GY701" i="23916"/>
  <c r="EW819" i="23916"/>
  <c r="EW624" i="23916"/>
  <c r="EX541" i="23916"/>
  <c r="EW544" i="23916"/>
  <c r="EW623" i="23916"/>
  <c r="EW15" i="23916"/>
  <c r="EX15" i="23916" s="1"/>
  <c r="CA736" i="23916"/>
  <c r="CB736" i="23916" s="1"/>
  <c r="CA731" i="23916"/>
  <c r="CC730" i="23916"/>
  <c r="CA733" i="23916"/>
  <c r="CB730" i="23916"/>
  <c r="CA727" i="23916"/>
  <c r="CB727" i="23916" s="1"/>
  <c r="CA760" i="23916"/>
  <c r="CB760" i="23916" s="1"/>
  <c r="CA762" i="23916"/>
  <c r="CB762" i="23916" s="1"/>
  <c r="CA761" i="23916"/>
  <c r="CB761" i="23916" s="1"/>
  <c r="DY755" i="23916"/>
  <c r="DY742" i="23916"/>
  <c r="DY689" i="23916"/>
  <c r="DY628" i="23916"/>
  <c r="DZ626" i="23916"/>
  <c r="DY657" i="23916"/>
  <c r="DY784" i="23916"/>
  <c r="DY640" i="23916"/>
  <c r="DY656" i="23916"/>
  <c r="DY652" i="23916"/>
  <c r="DY654" i="23916"/>
  <c r="DY658" i="23916"/>
  <c r="DY655" i="23916"/>
  <c r="DY647" i="23916"/>
  <c r="DY653" i="23916"/>
  <c r="DY649" i="23916"/>
  <c r="DY648" i="23916"/>
  <c r="DW74" i="23916"/>
  <c r="GB171" i="23916"/>
  <c r="DL650" i="23916"/>
  <c r="DK659" i="23916"/>
  <c r="DL659" i="23916" s="1"/>
  <c r="GX439" i="23916"/>
  <c r="GW439" i="23916"/>
  <c r="GV382" i="23916"/>
  <c r="EA842" i="23916"/>
  <c r="EA829" i="23916"/>
  <c r="EA743" i="23916"/>
  <c r="EA692" i="23916"/>
  <c r="GD74" i="23916"/>
  <c r="GE74" i="23916" s="1"/>
  <c r="GE72" i="23916"/>
  <c r="DN652" i="23916"/>
  <c r="DM690" i="23916"/>
  <c r="DN640" i="23916"/>
  <c r="DN657" i="23916"/>
  <c r="EP742" i="23916"/>
  <c r="CO659" i="23916"/>
  <c r="CP650" i="23916"/>
  <c r="FK274" i="23916"/>
  <c r="FM274" i="23916"/>
  <c r="EF17" i="23916"/>
  <c r="EE18" i="23916"/>
  <c r="DY401" i="23916"/>
  <c r="EA381" i="23916"/>
  <c r="DP647" i="23916"/>
  <c r="DP755" i="23916"/>
  <c r="GX358" i="23916"/>
  <c r="GW358" i="23916"/>
  <c r="CS829" i="23916"/>
  <c r="CS692" i="23916"/>
  <c r="CL650" i="23916"/>
  <c r="EW618" i="23916"/>
  <c r="EW308" i="23916"/>
  <c r="EX308" i="23916" s="1"/>
  <c r="EW304" i="23916"/>
  <c r="EX304" i="23916" s="1"/>
  <c r="EX301" i="23916"/>
  <c r="EW11" i="23916"/>
  <c r="EX11" i="23916" s="1"/>
  <c r="GP618" i="23916"/>
  <c r="ER618" i="23916"/>
  <c r="EQ621" i="23916"/>
  <c r="GT290" i="23916"/>
  <c r="GU284" i="23916"/>
  <c r="DJ721" i="23916"/>
  <c r="DI722" i="23916"/>
  <c r="DJ722" i="23916" s="1"/>
  <c r="FV148" i="23916"/>
  <c r="FW148" i="23916" s="1"/>
  <c r="FW147" i="23916"/>
  <c r="FX143" i="23916"/>
  <c r="DY71" i="23916"/>
  <c r="DY73" i="23916"/>
  <c r="DY72" i="23916"/>
  <c r="GV243" i="23916"/>
  <c r="GW243" i="23916" s="1"/>
  <c r="GX241" i="23916"/>
  <c r="GV242" i="23916"/>
  <c r="GW242" i="23916" s="1"/>
  <c r="GW241" i="23916"/>
  <c r="GV227" i="23916"/>
  <c r="GW227" i="23916" s="1"/>
  <c r="GS328" i="23916"/>
  <c r="GQ328" i="23916"/>
  <c r="DW900" i="23916"/>
  <c r="DX689" i="23916"/>
  <c r="DW694" i="23916"/>
  <c r="DW19" i="23916"/>
  <c r="DX19" i="23916" s="1"/>
  <c r="AZ650" i="23916"/>
  <c r="AY659" i="23916"/>
  <c r="AZ659" i="23916" s="1"/>
  <c r="CJ148" i="23916"/>
  <c r="CA167" i="23916"/>
  <c r="GX663" i="23916"/>
  <c r="GW663" i="23916"/>
  <c r="GO804" i="23916"/>
  <c r="CX51" i="23916"/>
  <c r="CY46" i="23916"/>
  <c r="EW340" i="23916"/>
  <c r="EX340" i="23916" s="1"/>
  <c r="EX331" i="23916"/>
  <c r="EW332" i="23916"/>
  <c r="EW338" i="23916"/>
  <c r="EX338" i="23916" s="1"/>
  <c r="EW334" i="23916"/>
  <c r="CI784" i="23916"/>
  <c r="CI755" i="23916"/>
  <c r="CJ755" i="23916" s="1"/>
  <c r="CI689" i="23916"/>
  <c r="CI657" i="23916"/>
  <c r="CJ657" i="23916" s="1"/>
  <c r="CI656" i="23916"/>
  <c r="CJ656" i="23916" s="1"/>
  <c r="CJ626" i="23916"/>
  <c r="CI628" i="23916"/>
  <c r="CI652" i="23916"/>
  <c r="CJ652" i="23916" s="1"/>
  <c r="CI640" i="23916"/>
  <c r="CI653" i="23916"/>
  <c r="CJ653" i="23916" s="1"/>
  <c r="CI658" i="23916"/>
  <c r="CJ658" i="23916" s="1"/>
  <c r="CI681" i="23916"/>
  <c r="CJ681" i="23916" s="1"/>
  <c r="CI647" i="23916"/>
  <c r="CJ647" i="23916" s="1"/>
  <c r="CI654" i="23916"/>
  <c r="CJ654" i="23916" s="1"/>
  <c r="CI655" i="23916"/>
  <c r="CJ655" i="23916" s="1"/>
  <c r="CI648" i="23916"/>
  <c r="CJ648" i="23916" s="1"/>
  <c r="EP656" i="23916"/>
  <c r="EP655" i="23916"/>
  <c r="EO745" i="23916"/>
  <c r="EO744" i="23916"/>
  <c r="EO690" i="23916"/>
  <c r="EP640" i="23916"/>
  <c r="EP755" i="23916"/>
  <c r="GF615" i="23916"/>
  <c r="GG615" i="23916" s="1"/>
  <c r="GF275" i="23916"/>
  <c r="GG275" i="23916" s="1"/>
  <c r="GF271" i="23916"/>
  <c r="GG271" i="23916" s="1"/>
  <c r="GG269" i="23916"/>
  <c r="GB655" i="23916"/>
  <c r="CB650" i="23916"/>
  <c r="CA659" i="23916"/>
  <c r="CG789" i="23916"/>
  <c r="CG755" i="23916"/>
  <c r="CH755" i="23916" s="1"/>
  <c r="CG657" i="23916"/>
  <c r="CH657" i="23916" s="1"/>
  <c r="CG656" i="23916"/>
  <c r="CH656" i="23916" s="1"/>
  <c r="CG689" i="23916"/>
  <c r="CP689" i="23916" s="1"/>
  <c r="CG628" i="23916"/>
  <c r="CH626" i="23916"/>
  <c r="CG647" i="23916"/>
  <c r="CH647" i="23916" s="1"/>
  <c r="CG652" i="23916"/>
  <c r="CH652" i="23916" s="1"/>
  <c r="CG784" i="23916"/>
  <c r="CG681" i="23916"/>
  <c r="CH681" i="23916" s="1"/>
  <c r="CG653" i="23916"/>
  <c r="CH653" i="23916" s="1"/>
  <c r="CG658" i="23916"/>
  <c r="CH658" i="23916" s="1"/>
  <c r="CG640" i="23916"/>
  <c r="CG654" i="23916"/>
  <c r="CH654" i="23916" s="1"/>
  <c r="CG655" i="23916"/>
  <c r="CG659" i="23916" s="1"/>
  <c r="CG648" i="23916"/>
  <c r="BT650" i="23916"/>
  <c r="BS659" i="23916"/>
  <c r="BT659" i="23916" s="1"/>
  <c r="FH171" i="23916"/>
  <c r="FI171" i="23916" s="1"/>
  <c r="FI169" i="23916"/>
  <c r="ED17" i="23916"/>
  <c r="EC18" i="23916"/>
  <c r="GZ716" i="23916"/>
  <c r="GY716" i="23916"/>
  <c r="EI755" i="23916"/>
  <c r="EJ755" i="23916" s="1"/>
  <c r="EI742" i="23916"/>
  <c r="EJ742" i="23916" s="1"/>
  <c r="EI689" i="23916"/>
  <c r="EJ626" i="23916"/>
  <c r="EI628" i="23916"/>
  <c r="GN626" i="23916"/>
  <c r="EI657" i="23916"/>
  <c r="EJ657" i="23916" s="1"/>
  <c r="EI784" i="23916"/>
  <c r="EI640" i="23916"/>
  <c r="EI656" i="23916"/>
  <c r="EJ656" i="23916" s="1"/>
  <c r="EI654" i="23916"/>
  <c r="EJ654" i="23916" s="1"/>
  <c r="EI658" i="23916"/>
  <c r="EJ658" i="23916" s="1"/>
  <c r="EI649" i="23916"/>
  <c r="EI647" i="23916"/>
  <c r="EJ647" i="23916" s="1"/>
  <c r="EI653" i="23916"/>
  <c r="EJ653" i="23916" s="1"/>
  <c r="EI652" i="23916"/>
  <c r="EJ652" i="23916" s="1"/>
  <c r="EI648" i="23916"/>
  <c r="EJ648" i="23916" s="1"/>
  <c r="EI655" i="23916"/>
  <c r="EJ655" i="23916" s="1"/>
  <c r="FO275" i="23916"/>
  <c r="FQ275" i="23916"/>
  <c r="FR650" i="23916"/>
  <c r="FS616" i="23916"/>
  <c r="FU616" i="23916"/>
  <c r="CV650" i="23916"/>
  <c r="CU659" i="23916"/>
  <c r="DP654" i="23916"/>
  <c r="DP657" i="23916"/>
  <c r="CY690" i="23916"/>
  <c r="CY682" i="23916"/>
  <c r="CY829" i="23916"/>
  <c r="CY692" i="23916"/>
  <c r="CO690" i="23916"/>
  <c r="CO642" i="23916"/>
  <c r="CO678" i="23916" s="1"/>
  <c r="CP640" i="23916"/>
  <c r="CO682" i="23916"/>
  <c r="CP647" i="23916"/>
  <c r="CP656" i="23916"/>
  <c r="CP755" i="23916"/>
  <c r="GX703" i="23916"/>
  <c r="GW703" i="23916"/>
  <c r="CS900" i="23916"/>
  <c r="CS694" i="23916"/>
  <c r="CS630" i="23916" s="1"/>
  <c r="CS631" i="23916" s="1"/>
  <c r="EO659" i="23916"/>
  <c r="EA169" i="23916"/>
  <c r="EA170" i="23916"/>
  <c r="EB170" i="23916" s="1"/>
  <c r="EB135" i="23916"/>
  <c r="EB133" i="23916"/>
  <c r="EC127" i="23916"/>
  <c r="EA392" i="23916"/>
  <c r="GB650" i="23916"/>
  <c r="GF659" i="23916"/>
  <c r="EX260" i="23916"/>
  <c r="EW266" i="23916"/>
  <c r="GY315" i="23916"/>
  <c r="GZ315" i="23916"/>
  <c r="EK755" i="23916"/>
  <c r="EL755" i="23916" s="1"/>
  <c r="EK742" i="23916"/>
  <c r="EL742" i="23916" s="1"/>
  <c r="EK689" i="23916"/>
  <c r="EK628" i="23916"/>
  <c r="EL626" i="23916"/>
  <c r="EK657" i="23916"/>
  <c r="EL657" i="23916" s="1"/>
  <c r="EK784" i="23916"/>
  <c r="EK640" i="23916"/>
  <c r="EK653" i="23916"/>
  <c r="EL653" i="23916" s="1"/>
  <c r="EK652" i="23916"/>
  <c r="EL652" i="23916" s="1"/>
  <c r="EK656" i="23916"/>
  <c r="EL656" i="23916" s="1"/>
  <c r="EK658" i="23916"/>
  <c r="EL658" i="23916" s="1"/>
  <c r="EK647" i="23916"/>
  <c r="EL647" i="23916" s="1"/>
  <c r="EK649" i="23916"/>
  <c r="EK654" i="23916"/>
  <c r="EL654" i="23916" s="1"/>
  <c r="EK648" i="23916"/>
  <c r="EL648" i="23916" s="1"/>
  <c r="EK655" i="23916"/>
  <c r="EL655" i="23916" s="1"/>
  <c r="BY650" i="23916"/>
  <c r="CH650" i="23916" s="1"/>
  <c r="DC900" i="23916"/>
  <c r="DC694" i="23916"/>
  <c r="DC630" i="23916" s="1"/>
  <c r="DC631" i="23916" s="1"/>
  <c r="DD689" i="23916"/>
  <c r="CF650" i="23916"/>
  <c r="CE659" i="23916"/>
  <c r="BD650" i="23916"/>
  <c r="BC659" i="23916"/>
  <c r="BD659" i="23916" s="1"/>
  <c r="FL148" i="23916"/>
  <c r="FM148" i="23916" s="1"/>
  <c r="FM147" i="23916"/>
  <c r="FN143" i="23916"/>
  <c r="GW393" i="23916"/>
  <c r="GO843" i="23916"/>
  <c r="O135" i="23916"/>
  <c r="P133" i="23916"/>
  <c r="Q127" i="23916"/>
  <c r="CW420" i="23916"/>
  <c r="CV425" i="23916"/>
  <c r="ER304" i="23916"/>
  <c r="EQ816" i="23916"/>
  <c r="CW755" i="23916"/>
  <c r="CX755" i="23916" s="1"/>
  <c r="CW657" i="23916"/>
  <c r="CX657" i="23916" s="1"/>
  <c r="CW656" i="23916"/>
  <c r="CX656" i="23916" s="1"/>
  <c r="CW689" i="23916"/>
  <c r="CW628" i="23916"/>
  <c r="CX626" i="23916"/>
  <c r="CW681" i="23916"/>
  <c r="CX681" i="23916" s="1"/>
  <c r="CW658" i="23916"/>
  <c r="CX658" i="23916" s="1"/>
  <c r="CW784" i="23916"/>
  <c r="CW640" i="23916"/>
  <c r="CW652" i="23916"/>
  <c r="CX652" i="23916" s="1"/>
  <c r="CW653" i="23916"/>
  <c r="CX653" i="23916" s="1"/>
  <c r="CW654" i="23916"/>
  <c r="CX654" i="23916" s="1"/>
  <c r="CW655" i="23916"/>
  <c r="CX655" i="23916" s="1"/>
  <c r="CW647" i="23916"/>
  <c r="CX647" i="23916" s="1"/>
  <c r="CW648" i="23916"/>
  <c r="CX648" i="23916" s="1"/>
  <c r="FS275" i="23916"/>
  <c r="FU275" i="23916"/>
  <c r="DY18" i="23916"/>
  <c r="DZ17" i="23916"/>
  <c r="GX282" i="23916"/>
  <c r="GW282" i="23916"/>
  <c r="GV284" i="23916"/>
  <c r="CX38" i="23916"/>
  <c r="CY32" i="23916"/>
  <c r="CW58" i="23916"/>
  <c r="CX58" i="23916" s="1"/>
  <c r="CA690" i="23916"/>
  <c r="CB640" i="23916"/>
  <c r="CA682" i="23916"/>
  <c r="CB682" i="23916" s="1"/>
  <c r="CA829" i="23916"/>
  <c r="CB628" i="23916"/>
  <c r="BU420" i="23916"/>
  <c r="BT425" i="23916"/>
  <c r="EI18" i="23916"/>
  <c r="EJ17" i="23916"/>
  <c r="CU690" i="23916"/>
  <c r="CU682" i="23916"/>
  <c r="CU829" i="23916"/>
  <c r="CU692" i="23916"/>
  <c r="GX454" i="23916"/>
  <c r="GW454" i="23916"/>
  <c r="BS415" i="23916"/>
  <c r="BT415" i="23916" s="1"/>
  <c r="BT412" i="23916"/>
  <c r="CC755" i="23916"/>
  <c r="CC657" i="23916"/>
  <c r="CC656" i="23916"/>
  <c r="CC689" i="23916"/>
  <c r="CC628" i="23916"/>
  <c r="CD626" i="23916"/>
  <c r="CC652" i="23916"/>
  <c r="CC784" i="23916"/>
  <c r="CC653" i="23916"/>
  <c r="CC658" i="23916"/>
  <c r="CC647" i="23916"/>
  <c r="CC681" i="23916"/>
  <c r="CC640" i="23916"/>
  <c r="CC654" i="23916"/>
  <c r="CC655" i="23916"/>
  <c r="CC648" i="23916"/>
  <c r="BT445" i="23916"/>
  <c r="BS448" i="23916"/>
  <c r="BT448" i="23916" s="1"/>
  <c r="EV615" i="23916"/>
  <c r="DE659" i="23916"/>
  <c r="DF650" i="23916"/>
  <c r="GZ314" i="23916"/>
  <c r="GY314" i="23916"/>
  <c r="ER271" i="23916"/>
  <c r="EF657" i="23916"/>
  <c r="EE900" i="23916"/>
  <c r="EF689" i="23916"/>
  <c r="EF900" i="23916" s="1"/>
  <c r="EE694" i="23916"/>
  <c r="EE19" i="23916"/>
  <c r="EF19" i="23916" s="1"/>
  <c r="BU462" i="23916"/>
  <c r="BU458" i="23916"/>
  <c r="BV453" i="23916"/>
  <c r="BU459" i="23916"/>
  <c r="BV459" i="23916" s="1"/>
  <c r="BU463" i="23916"/>
  <c r="BU464" i="23916" s="1"/>
  <c r="DY167" i="23916"/>
  <c r="EA143" i="23916"/>
  <c r="DY809" i="23916"/>
  <c r="DY808" i="23916" s="1"/>
  <c r="DY155" i="23916"/>
  <c r="GZ128" i="23916"/>
  <c r="GY128" i="23916"/>
  <c r="EL17" i="23916"/>
  <c r="GA135" i="23916"/>
  <c r="FZ170" i="23916"/>
  <c r="GA170" i="23916" s="1"/>
  <c r="FZ169" i="23916"/>
  <c r="GV218" i="23916"/>
  <c r="GW217" i="23916"/>
  <c r="GV219" i="23916"/>
  <c r="GW219" i="23916" s="1"/>
  <c r="GX217" i="23916"/>
  <c r="GV203" i="23916"/>
  <c r="GW203" i="23916" s="1"/>
  <c r="CE829" i="23916"/>
  <c r="DX654" i="23916"/>
  <c r="GJ755" i="23916"/>
  <c r="GJ742" i="23916"/>
  <c r="GJ689" i="23916"/>
  <c r="GJ628" i="23916"/>
  <c r="GK626" i="23916"/>
  <c r="GJ640" i="23916"/>
  <c r="GJ784" i="23916"/>
  <c r="GJ658" i="23916"/>
  <c r="GJ647" i="23916"/>
  <c r="GJ654" i="23916"/>
  <c r="GJ657" i="23916"/>
  <c r="GJ681" i="23916"/>
  <c r="GJ649" i="23916"/>
  <c r="GJ653" i="23916"/>
  <c r="GJ648" i="23916"/>
  <c r="GK648" i="23916" s="1"/>
  <c r="GJ652" i="23916"/>
  <c r="GJ656" i="23916"/>
  <c r="GZ600" i="23916"/>
  <c r="GY600" i="23916"/>
  <c r="FI274" i="23916"/>
  <c r="DB655" i="23916"/>
  <c r="DA829" i="23916"/>
  <c r="DA692" i="23916"/>
  <c r="DB628" i="23916"/>
  <c r="DO682" i="23916"/>
  <c r="DO681" i="23916"/>
  <c r="DP681" i="23916" s="1"/>
  <c r="DP665" i="23916"/>
  <c r="FU655" i="23916"/>
  <c r="GQ360" i="23916"/>
  <c r="GP367" i="23916"/>
  <c r="GY289" i="23916"/>
  <c r="GZ289" i="23916"/>
  <c r="GW254" i="23916"/>
  <c r="GZ715" i="23916"/>
  <c r="GY715" i="23916"/>
  <c r="DG650" i="23916"/>
  <c r="GJ171" i="23916"/>
  <c r="GY281" i="23916"/>
  <c r="GZ281" i="23916"/>
  <c r="GX854" i="23916"/>
  <c r="BY766" i="23916"/>
  <c r="BZ766" i="23916" s="1"/>
  <c r="BY734" i="23916"/>
  <c r="BZ734" i="23916" s="1"/>
  <c r="BZ731" i="23916"/>
  <c r="BY754" i="23916"/>
  <c r="BZ754" i="23916" s="1"/>
  <c r="BY753" i="23916"/>
  <c r="BZ753" i="23916" s="1"/>
  <c r="BY756" i="23916"/>
  <c r="BZ756" i="23916" s="1"/>
  <c r="BY735" i="23916"/>
  <c r="BZ735" i="23916" s="1"/>
  <c r="BZ733" i="23916"/>
  <c r="BY751" i="23916"/>
  <c r="BZ751" i="23916" s="1"/>
  <c r="BY750" i="23916"/>
  <c r="BZ750" i="23916" s="1"/>
  <c r="BY711" i="23916"/>
  <c r="BY749" i="23916"/>
  <c r="BZ749" i="23916" s="1"/>
  <c r="BY752" i="23916"/>
  <c r="BZ752" i="23916" s="1"/>
  <c r="CT171" i="23916"/>
  <c r="GX205" i="23916"/>
  <c r="GZ201" i="23916"/>
  <c r="GY201" i="23916"/>
  <c r="GX251" i="23916"/>
  <c r="GX254" i="23916" s="1"/>
  <c r="GC135" i="23916"/>
  <c r="GM420" i="23916"/>
  <c r="GL425" i="23916"/>
  <c r="GL431" i="23916"/>
  <c r="GM431" i="23916" s="1"/>
  <c r="GL430" i="23916"/>
  <c r="GM430" i="23916" s="1"/>
  <c r="EC420" i="23916"/>
  <c r="EB425" i="23916"/>
  <c r="EA434" i="23916"/>
  <c r="GU382" i="23916"/>
  <c r="GT827" i="23916"/>
  <c r="BS480" i="23916"/>
  <c r="BS481" i="23916"/>
  <c r="BT481" i="23916" s="1"/>
  <c r="BT388" i="23916"/>
  <c r="DL681" i="23916"/>
  <c r="DN647" i="23916"/>
  <c r="DM829" i="23916"/>
  <c r="DM692" i="23916"/>
  <c r="DN628" i="23916"/>
  <c r="CS659" i="23916"/>
  <c r="CT650" i="23916"/>
  <c r="EP652" i="23916"/>
  <c r="DW18" i="23916"/>
  <c r="DX17" i="23916"/>
  <c r="EM755" i="23916"/>
  <c r="EN755" i="23916" s="1"/>
  <c r="EM742" i="23916"/>
  <c r="EN742" i="23916" s="1"/>
  <c r="EM689" i="23916"/>
  <c r="EN626" i="23916"/>
  <c r="EM628" i="23916"/>
  <c r="EM784" i="23916"/>
  <c r="EM657" i="23916"/>
  <c r="EN657" i="23916" s="1"/>
  <c r="EM640" i="23916"/>
  <c r="EM649" i="23916"/>
  <c r="EM658" i="23916"/>
  <c r="EN658" i="23916" s="1"/>
  <c r="EM656" i="23916"/>
  <c r="EN656" i="23916" s="1"/>
  <c r="EM647" i="23916"/>
  <c r="EN647" i="23916" s="1"/>
  <c r="EM654" i="23916"/>
  <c r="EN654" i="23916" s="1"/>
  <c r="EM652" i="23916"/>
  <c r="EN652" i="23916" s="1"/>
  <c r="EM653" i="23916"/>
  <c r="EN653" i="23916" s="1"/>
  <c r="EM648" i="23916"/>
  <c r="EN648" i="23916" s="1"/>
  <c r="EM655" i="23916"/>
  <c r="EN655" i="23916" s="1"/>
  <c r="GP305" i="23916"/>
  <c r="GQ305" i="23916" s="1"/>
  <c r="GQ298" i="23916"/>
  <c r="GP307" i="23916"/>
  <c r="GQ307" i="23916" s="1"/>
  <c r="DP656" i="23916"/>
  <c r="CO829" i="23916"/>
  <c r="CO692" i="23916"/>
  <c r="CP628" i="23916"/>
  <c r="GX316" i="23916"/>
  <c r="GV317" i="23916"/>
  <c r="GW316" i="23916"/>
  <c r="GV853" i="23916"/>
  <c r="GV593" i="23916"/>
  <c r="GW593" i="23916" s="1"/>
  <c r="CU169" i="23916"/>
  <c r="CU170" i="23916"/>
  <c r="CV170" i="23916" s="1"/>
  <c r="CV135" i="23916"/>
  <c r="BH650" i="23916"/>
  <c r="BG659" i="23916"/>
  <c r="BH659" i="23916" s="1"/>
  <c r="GX644" i="23916"/>
  <c r="GW644" i="23916"/>
  <c r="GV637" i="23916"/>
  <c r="BV650" i="23916"/>
  <c r="DK690" i="23916"/>
  <c r="DL640" i="23916"/>
  <c r="DK642" i="23916"/>
  <c r="DK678" i="23916" s="1"/>
  <c r="DK682" i="23916"/>
  <c r="DK900" i="23916"/>
  <c r="DK694" i="23916"/>
  <c r="DK630" i="23916" s="1"/>
  <c r="DK631" i="23916" s="1"/>
  <c r="DL689" i="23916"/>
  <c r="DV650" i="23916"/>
  <c r="CU462" i="23916"/>
  <c r="CU459" i="23916"/>
  <c r="CV459" i="23916" s="1"/>
  <c r="GD453" i="23916"/>
  <c r="CU458" i="23916"/>
  <c r="CV453" i="23916"/>
  <c r="CU463" i="23916"/>
  <c r="CU464" i="23916" s="1"/>
  <c r="DC690" i="23916"/>
  <c r="DD640" i="23916"/>
  <c r="DC642" i="23916"/>
  <c r="DC678" i="23916" s="1"/>
  <c r="DC682" i="23916"/>
  <c r="DD682" i="23916" s="1"/>
  <c r="DC829" i="23916"/>
  <c r="DC692" i="23916"/>
  <c r="DD628" i="23916"/>
  <c r="CQ755" i="23916"/>
  <c r="CR755" i="23916" s="1"/>
  <c r="CQ689" i="23916"/>
  <c r="CQ657" i="23916"/>
  <c r="CR657" i="23916" s="1"/>
  <c r="CQ656" i="23916"/>
  <c r="CR656" i="23916" s="1"/>
  <c r="CR626" i="23916"/>
  <c r="CQ628" i="23916"/>
  <c r="CQ784" i="23916"/>
  <c r="CQ658" i="23916"/>
  <c r="CR658" i="23916" s="1"/>
  <c r="CQ681" i="23916"/>
  <c r="CR681" i="23916" s="1"/>
  <c r="CQ640" i="23916"/>
  <c r="CQ654" i="23916"/>
  <c r="CR654" i="23916" s="1"/>
  <c r="CQ653" i="23916"/>
  <c r="CR653" i="23916" s="1"/>
  <c r="CQ652" i="23916"/>
  <c r="CR652" i="23916" s="1"/>
  <c r="CQ647" i="23916"/>
  <c r="CR647" i="23916" s="1"/>
  <c r="CQ655" i="23916"/>
  <c r="CQ648" i="23916"/>
  <c r="CR648" i="23916" s="1"/>
  <c r="GV732" i="23916"/>
  <c r="GU732" i="23916"/>
  <c r="GT705" i="23916"/>
  <c r="GU705" i="23916" s="1"/>
  <c r="ES615" i="23916"/>
  <c r="ES271" i="23916"/>
  <c r="ES275" i="23916"/>
  <c r="ET275" i="23916" s="1"/>
  <c r="ET269" i="23916"/>
  <c r="ES9" i="23916"/>
  <c r="DA659" i="23916"/>
  <c r="DB659" i="23916" s="1"/>
  <c r="DB650" i="23916"/>
  <c r="GS669" i="23916"/>
  <c r="GR671" i="23916"/>
  <c r="GS671" i="23916" s="1"/>
  <c r="GP788" i="23916"/>
  <c r="GQ788" i="23916" s="1"/>
  <c r="GR684" i="23916"/>
  <c r="GQ684" i="23916"/>
  <c r="GR685" i="23916"/>
  <c r="GP665" i="23916"/>
  <c r="GU254" i="23916"/>
  <c r="CN650" i="23916"/>
  <c r="EB17" i="23916"/>
  <c r="EA18" i="23916"/>
  <c r="GE397" i="23916"/>
  <c r="GD398" i="23916"/>
  <c r="CB608" i="23916"/>
  <c r="CA605" i="23916"/>
  <c r="CJ608" i="23916"/>
  <c r="DQ755" i="23916"/>
  <c r="DR755" i="23916" s="1"/>
  <c r="DQ742" i="23916"/>
  <c r="DQ689" i="23916"/>
  <c r="DQ657" i="23916"/>
  <c r="DR657" i="23916" s="1"/>
  <c r="DQ656" i="23916"/>
  <c r="DR656" i="23916" s="1"/>
  <c r="DQ628" i="23916"/>
  <c r="DR626" i="23916"/>
  <c r="DQ658" i="23916"/>
  <c r="DR658" i="23916" s="1"/>
  <c r="DQ784" i="23916"/>
  <c r="DQ640" i="23916"/>
  <c r="DQ652" i="23916"/>
  <c r="DR652" i="23916" s="1"/>
  <c r="DQ653" i="23916"/>
  <c r="DR653" i="23916" s="1"/>
  <c r="DQ655" i="23916"/>
  <c r="DR655" i="23916" s="1"/>
  <c r="DQ654" i="23916"/>
  <c r="DR654" i="23916" s="1"/>
  <c r="DQ647" i="23916"/>
  <c r="DR647" i="23916" s="1"/>
  <c r="DQ648" i="23916"/>
  <c r="DR648" i="23916" s="1"/>
  <c r="GS360" i="23916"/>
  <c r="GR367" i="23916"/>
  <c r="GL650" i="23916"/>
  <c r="GM616" i="23916"/>
  <c r="AU169" i="23916"/>
  <c r="AU167" i="23916"/>
  <c r="AU170" i="23916"/>
  <c r="BS434" i="23916"/>
  <c r="BT434" i="23916" s="1"/>
  <c r="BT411" i="23916"/>
  <c r="BU405" i="23916"/>
  <c r="DY152" i="23916"/>
  <c r="GP539" i="23916"/>
  <c r="GP541" i="23916"/>
  <c r="EN17" i="23916"/>
  <c r="EM18" i="23916"/>
  <c r="CE690" i="23916"/>
  <c r="CE682" i="23916"/>
  <c r="DX647" i="23916"/>
  <c r="DB654" i="23916"/>
  <c r="DA900" i="23916"/>
  <c r="DB689" i="23916"/>
  <c r="DA694" i="23916"/>
  <c r="DA630" i="23916" s="1"/>
  <c r="DA631" i="23916" s="1"/>
  <c r="CW71" i="23916"/>
  <c r="CX71" i="23916" s="1"/>
  <c r="CX52" i="23916"/>
  <c r="DV17" i="23916"/>
  <c r="DU18" i="23916"/>
  <c r="DS755" i="23916"/>
  <c r="DT755" i="23916" s="1"/>
  <c r="DS742" i="23916"/>
  <c r="DS689" i="23916"/>
  <c r="DT626" i="23916"/>
  <c r="DS628" i="23916"/>
  <c r="DS657" i="23916"/>
  <c r="DT657" i="23916" s="1"/>
  <c r="DS784" i="23916"/>
  <c r="DS640" i="23916"/>
  <c r="DS658" i="23916"/>
  <c r="DT658" i="23916" s="1"/>
  <c r="DS656" i="23916"/>
  <c r="DT656" i="23916" s="1"/>
  <c r="DS654" i="23916"/>
  <c r="DT654" i="23916" s="1"/>
  <c r="DS647" i="23916"/>
  <c r="DT647" i="23916" s="1"/>
  <c r="DS653" i="23916"/>
  <c r="DT653" i="23916" s="1"/>
  <c r="DS652" i="23916"/>
  <c r="DT652" i="23916" s="1"/>
  <c r="DS649" i="23916"/>
  <c r="DS648" i="23916"/>
  <c r="DT648" i="23916" s="1"/>
  <c r="DS655" i="23916"/>
  <c r="DT655" i="23916" s="1"/>
  <c r="BW789" i="23916"/>
  <c r="BW755" i="23916"/>
  <c r="BX755" i="23916" s="1"/>
  <c r="BW742" i="23916"/>
  <c r="BX742" i="23916" s="1"/>
  <c r="BW689" i="23916"/>
  <c r="BW657" i="23916"/>
  <c r="BX657" i="23916" s="1"/>
  <c r="BW656" i="23916"/>
  <c r="BX656" i="23916" s="1"/>
  <c r="BX626" i="23916"/>
  <c r="BW628" i="23916"/>
  <c r="CF628" i="23916" s="1"/>
  <c r="BW608" i="23916"/>
  <c r="BW647" i="23916"/>
  <c r="BX647" i="23916" s="1"/>
  <c r="BW652" i="23916"/>
  <c r="BX652" i="23916" s="1"/>
  <c r="BW653" i="23916"/>
  <c r="BX653" i="23916" s="1"/>
  <c r="BW681" i="23916"/>
  <c r="BX681" i="23916" s="1"/>
  <c r="BW658" i="23916"/>
  <c r="BX658" i="23916" s="1"/>
  <c r="BW784" i="23916"/>
  <c r="BW640" i="23916"/>
  <c r="BW654" i="23916"/>
  <c r="BX654" i="23916" s="1"/>
  <c r="BW655" i="23916"/>
  <c r="BX655" i="23916" s="1"/>
  <c r="BW648" i="23916"/>
  <c r="GU102" i="23916"/>
  <c r="GV102" i="23916"/>
  <c r="DI650" i="23916"/>
  <c r="EP648" i="23916"/>
  <c r="EP653" i="23916"/>
  <c r="EO842" i="23916"/>
  <c r="EO829" i="23916"/>
  <c r="EO743" i="23916"/>
  <c r="EO692" i="23916"/>
  <c r="EP628" i="23916"/>
  <c r="EG650" i="23916"/>
  <c r="GE616" i="23916"/>
  <c r="GD626" i="23916"/>
  <c r="GT363" i="23916"/>
  <c r="GT356" i="23916" s="1"/>
  <c r="GU362" i="23916"/>
  <c r="GV362" i="23916"/>
  <c r="EU812" i="23916"/>
  <c r="EU620" i="23916"/>
  <c r="EU372" i="23916"/>
  <c r="EV370" i="23916"/>
  <c r="EU376" i="23916"/>
  <c r="EV376" i="23916" s="1"/>
  <c r="EU13" i="23916"/>
  <c r="EV13" i="23916" s="1"/>
  <c r="GO10" i="23916"/>
  <c r="GN17" i="23916"/>
  <c r="GN813" i="23916"/>
  <c r="GN650" i="23916"/>
  <c r="GO616" i="23916"/>
  <c r="GY350" i="23916"/>
  <c r="GZ350" i="23916"/>
  <c r="CU387" i="23916"/>
  <c r="CV381" i="23916"/>
  <c r="GD381" i="23916"/>
  <c r="CU388" i="23916"/>
  <c r="DY480" i="23916"/>
  <c r="DY481" i="23916"/>
  <c r="DT17" i="23916"/>
  <c r="DS18" i="23916"/>
  <c r="FO274" i="23916"/>
  <c r="FQ274" i="23916"/>
  <c r="DP652" i="23916"/>
  <c r="DO690" i="23916"/>
  <c r="DP640" i="23916"/>
  <c r="DO829" i="23916"/>
  <c r="DO692" i="23916"/>
  <c r="DP628" i="23916"/>
  <c r="DO900" i="23916"/>
  <c r="DP689" i="23916"/>
  <c r="DO694" i="23916"/>
  <c r="GV855" i="23916"/>
  <c r="GV856" i="23916" s="1"/>
  <c r="GX349" i="23916"/>
  <c r="GX353" i="23916" s="1"/>
  <c r="GW349" i="23916"/>
  <c r="CZ652" i="23916"/>
  <c r="CZ681" i="23916"/>
  <c r="CZ626" i="23916"/>
  <c r="CY900" i="23916"/>
  <c r="CY694" i="23916"/>
  <c r="CY630" i="23916" s="1"/>
  <c r="CY631" i="23916" s="1"/>
  <c r="CZ689" i="23916"/>
  <c r="CP652" i="23916"/>
  <c r="CP626" i="23916"/>
  <c r="CP657" i="23916"/>
  <c r="CS690" i="23916"/>
  <c r="CS642" i="23916"/>
  <c r="CS678" i="23916" s="1"/>
  <c r="CS682" i="23916"/>
  <c r="CK789" i="23916"/>
  <c r="CK755" i="23916"/>
  <c r="CL755" i="23916" s="1"/>
  <c r="CK689" i="23916"/>
  <c r="CK657" i="23916"/>
  <c r="CL657" i="23916" s="1"/>
  <c r="CK656" i="23916"/>
  <c r="CL656" i="23916" s="1"/>
  <c r="CK628" i="23916"/>
  <c r="CL626" i="23916"/>
  <c r="CK658" i="23916"/>
  <c r="CL658" i="23916" s="1"/>
  <c r="CK784" i="23916"/>
  <c r="CK653" i="23916"/>
  <c r="CL653" i="23916" s="1"/>
  <c r="CK647" i="23916"/>
  <c r="CL647" i="23916" s="1"/>
  <c r="CK681" i="23916"/>
  <c r="CL681" i="23916" s="1"/>
  <c r="CK640" i="23916"/>
  <c r="CK654" i="23916"/>
  <c r="CL654" i="23916" s="1"/>
  <c r="CK652" i="23916"/>
  <c r="CL652" i="23916" s="1"/>
  <c r="CK655" i="23916"/>
  <c r="CL655" i="23916" s="1"/>
  <c r="CK648" i="23916"/>
  <c r="CL648" i="23916" s="1"/>
  <c r="EM650" i="23916"/>
  <c r="CV438" i="23916"/>
  <c r="GD438" i="23916"/>
  <c r="CU449" i="23916"/>
  <c r="CV449" i="23916" s="1"/>
  <c r="CU444" i="23916"/>
  <c r="CU445" i="23916"/>
  <c r="GF38" i="23916"/>
  <c r="GF39" i="23916" s="1"/>
  <c r="GF41" i="23916"/>
  <c r="GG41" i="23916" s="1"/>
  <c r="GG32" i="23916"/>
  <c r="GF42" i="23916"/>
  <c r="GG42" i="23916" s="1"/>
  <c r="GF43" i="23916"/>
  <c r="GG43" i="23916" s="1"/>
  <c r="BP650" i="23916"/>
  <c r="BO659" i="23916"/>
  <c r="BP659" i="23916" s="1"/>
  <c r="DN681" i="23916"/>
  <c r="DM659" i="23916"/>
  <c r="DN659" i="23916" s="1"/>
  <c r="DN650" i="23916"/>
  <c r="GX322" i="23916"/>
  <c r="GW322" i="23916"/>
  <c r="BU755" i="23916"/>
  <c r="BV755" i="23916" s="1"/>
  <c r="BU742" i="23916"/>
  <c r="BV742" i="23916" s="1"/>
  <c r="BU689" i="23916"/>
  <c r="BU657" i="23916"/>
  <c r="BV657" i="23916" s="1"/>
  <c r="BU656" i="23916"/>
  <c r="BV656" i="23916" s="1"/>
  <c r="BU628" i="23916"/>
  <c r="FV626" i="23916"/>
  <c r="BV626" i="23916"/>
  <c r="BU608" i="23916"/>
  <c r="BU658" i="23916"/>
  <c r="BV658" i="23916" s="1"/>
  <c r="BU784" i="23916"/>
  <c r="BU653" i="23916"/>
  <c r="BV653" i="23916" s="1"/>
  <c r="BU652" i="23916"/>
  <c r="BV652" i="23916" s="1"/>
  <c r="BU647" i="23916"/>
  <c r="BV647" i="23916" s="1"/>
  <c r="BU681" i="23916"/>
  <c r="BV681" i="23916" s="1"/>
  <c r="BU640" i="23916"/>
  <c r="BU654" i="23916"/>
  <c r="BV654" i="23916" s="1"/>
  <c r="BU655" i="23916"/>
  <c r="BV655" i="23916" s="1"/>
  <c r="BU648" i="23916"/>
  <c r="BV648" i="23916" s="1"/>
  <c r="DL647" i="23916"/>
  <c r="GQ257" i="23916"/>
  <c r="GP262" i="23916"/>
  <c r="GP264" i="23916" s="1"/>
  <c r="GP260" i="23916"/>
  <c r="DU755" i="23916"/>
  <c r="DV755" i="23916" s="1"/>
  <c r="DU742" i="23916"/>
  <c r="DU689" i="23916"/>
  <c r="DU628" i="23916"/>
  <c r="DV626" i="23916"/>
  <c r="DU657" i="23916"/>
  <c r="DV657" i="23916" s="1"/>
  <c r="DU784" i="23916"/>
  <c r="DU640" i="23916"/>
  <c r="DU658" i="23916"/>
  <c r="DV658" i="23916" s="1"/>
  <c r="DU653" i="23916"/>
  <c r="DV653" i="23916" s="1"/>
  <c r="DU656" i="23916"/>
  <c r="DV656" i="23916" s="1"/>
  <c r="DU652" i="23916"/>
  <c r="DV652" i="23916" s="1"/>
  <c r="DU649" i="23916"/>
  <c r="DU655" i="23916"/>
  <c r="DV655" i="23916" s="1"/>
  <c r="DU654" i="23916"/>
  <c r="DV654" i="23916" s="1"/>
  <c r="DU647" i="23916"/>
  <c r="DV647" i="23916" s="1"/>
  <c r="DU648" i="23916"/>
  <c r="DV648" i="23916" s="1"/>
  <c r="BU397" i="23916"/>
  <c r="BV392" i="23916"/>
  <c r="BU398" i="23916"/>
  <c r="CF655" i="23916"/>
  <c r="DD654" i="23916"/>
  <c r="CQ650" i="23916"/>
  <c r="CZ650" i="23916" s="1"/>
  <c r="I148" i="23916"/>
  <c r="I167" i="23916" s="1"/>
  <c r="K143" i="23916"/>
  <c r="I155" i="23916"/>
  <c r="BJ650" i="23916"/>
  <c r="GZ421" i="23916"/>
  <c r="GX393" i="23916"/>
  <c r="GY421" i="23916"/>
  <c r="FZ650" i="23916"/>
  <c r="GA616" i="23916"/>
  <c r="FZ626" i="23916"/>
  <c r="GT669" i="23916"/>
  <c r="GT673" i="23916"/>
  <c r="GU673" i="23916" s="1"/>
  <c r="GU674" i="23916"/>
  <c r="GV674" i="23916"/>
  <c r="GO821" i="23916"/>
  <c r="CM755" i="23916"/>
  <c r="CN755" i="23916" s="1"/>
  <c r="CM689" i="23916"/>
  <c r="CM657" i="23916"/>
  <c r="CN657" i="23916" s="1"/>
  <c r="CM656" i="23916"/>
  <c r="CN656" i="23916" s="1"/>
  <c r="CN626" i="23916"/>
  <c r="CM628" i="23916"/>
  <c r="CV628" i="23916" s="1"/>
  <c r="CM647" i="23916"/>
  <c r="CN647" i="23916" s="1"/>
  <c r="CM658" i="23916"/>
  <c r="CN658" i="23916" s="1"/>
  <c r="CM681" i="23916"/>
  <c r="CN681" i="23916" s="1"/>
  <c r="CM784" i="23916"/>
  <c r="CM640" i="23916"/>
  <c r="CV640" i="23916" s="1"/>
  <c r="CM652" i="23916"/>
  <c r="CN652" i="23916" s="1"/>
  <c r="CM653" i="23916"/>
  <c r="CN653" i="23916" s="1"/>
  <c r="CM655" i="23916"/>
  <c r="CN655" i="23916" s="1"/>
  <c r="CM654" i="23916"/>
  <c r="CN654" i="23916" s="1"/>
  <c r="CM648" i="23916"/>
  <c r="GE420" i="23916"/>
  <c r="GD425" i="23916"/>
  <c r="GD430" i="23916"/>
  <c r="GD431" i="23916"/>
  <c r="EF411" i="23916"/>
  <c r="EG405" i="23916"/>
  <c r="GH755" i="23916"/>
  <c r="GI755" i="23916" s="1"/>
  <c r="GH689" i="23916"/>
  <c r="GI626" i="23916"/>
  <c r="GH628" i="23916"/>
  <c r="GH784" i="23916"/>
  <c r="GH658" i="23916"/>
  <c r="GI658" i="23916" s="1"/>
  <c r="GH640" i="23916"/>
  <c r="GH681" i="23916"/>
  <c r="GI681" i="23916" s="1"/>
  <c r="GH657" i="23916"/>
  <c r="GI657" i="23916" s="1"/>
  <c r="GH647" i="23916"/>
  <c r="GI647" i="23916" s="1"/>
  <c r="GH653" i="23916"/>
  <c r="GI653" i="23916" s="1"/>
  <c r="GH654" i="23916"/>
  <c r="GI654" i="23916" s="1"/>
  <c r="GH652" i="23916"/>
  <c r="GI652" i="23916" s="1"/>
  <c r="GH656" i="23916"/>
  <c r="GI656" i="23916" s="1"/>
  <c r="GY259" i="23916"/>
  <c r="GZ259" i="23916"/>
  <c r="DB648" i="23916"/>
  <c r="FS274" i="23916"/>
  <c r="FU274" i="23916"/>
  <c r="GO72" i="23916"/>
  <c r="GN74" i="23916"/>
  <c r="GO74" i="23916" s="1"/>
  <c r="EH17" i="23916"/>
  <c r="EG18" i="23916"/>
  <c r="EP17" i="23916"/>
  <c r="CX39" i="23916"/>
  <c r="CW73" i="23916"/>
  <c r="CX73" i="23916" s="1"/>
  <c r="CW72" i="23916"/>
  <c r="CW70" i="23916"/>
  <c r="CX70" i="23916" s="1"/>
  <c r="GX321" i="23916"/>
  <c r="GW321" i="23916"/>
  <c r="CA900" i="23916"/>
  <c r="CA692" i="23916"/>
  <c r="CA694" i="23916"/>
  <c r="CA630" i="23916" s="1"/>
  <c r="CA631" i="23916" s="1"/>
  <c r="CB689" i="23916"/>
  <c r="DQ650" i="23916"/>
  <c r="GL17" i="23916"/>
  <c r="GM10" i="23916"/>
  <c r="GL813" i="23916"/>
  <c r="GM813" i="23916" s="1"/>
  <c r="CV653" i="23916"/>
  <c r="CV658" i="23916"/>
  <c r="CV626" i="23916"/>
  <c r="CU900" i="23916"/>
  <c r="CU694" i="23916"/>
  <c r="CU630" i="23916" s="1"/>
  <c r="CU631" i="23916" s="1"/>
  <c r="CV689" i="23916"/>
  <c r="GV533" i="23916"/>
  <c r="BT444" i="23916"/>
  <c r="BU438" i="23916"/>
  <c r="BS466" i="23916"/>
  <c r="BT466" i="23916" s="1"/>
  <c r="EV271" i="23916"/>
  <c r="GB147" i="23916"/>
  <c r="CT147" i="23916"/>
  <c r="CU143" i="23916"/>
  <c r="CS809" i="23916"/>
  <c r="CS808" i="23916" s="1"/>
  <c r="CS155" i="23916"/>
  <c r="CT155" i="23916" s="1"/>
  <c r="M171" i="23916"/>
  <c r="N171" i="23916" s="1"/>
  <c r="N169" i="23916"/>
  <c r="DK763" i="23916"/>
  <c r="DL763" i="23916" s="1"/>
  <c r="DK721" i="23916"/>
  <c r="DL718" i="23916"/>
  <c r="DK719" i="23916"/>
  <c r="DL719" i="23916" s="1"/>
  <c r="DM718" i="23916"/>
  <c r="EF647" i="23916"/>
  <c r="EK18" i="23916"/>
  <c r="GW326" i="23916"/>
  <c r="GV327" i="23916"/>
  <c r="GV320" i="23916" s="1"/>
  <c r="GW320" i="23916" s="1"/>
  <c r="GX326" i="23916"/>
  <c r="GS323" i="23916"/>
  <c r="GR324" i="23916"/>
  <c r="FX755" i="23916"/>
  <c r="FX689" i="23916"/>
  <c r="FX789" i="23916" s="1"/>
  <c r="FX657" i="23916"/>
  <c r="FX628" i="23916"/>
  <c r="FY626" i="23916"/>
  <c r="FX647" i="23916"/>
  <c r="FX608" i="23916"/>
  <c r="FX681" i="23916"/>
  <c r="FX652" i="23916"/>
  <c r="FX784" i="23916"/>
  <c r="FX653" i="23916"/>
  <c r="FX640" i="23916"/>
  <c r="FX658" i="23916"/>
  <c r="FX659" i="23916" s="1"/>
  <c r="FX656" i="23916"/>
  <c r="FX654" i="23916"/>
  <c r="FX648" i="23916"/>
  <c r="GW489" i="23916"/>
  <c r="GX489" i="23916"/>
  <c r="GV601" i="23916"/>
  <c r="GW601" i="23916" s="1"/>
  <c r="GT537" i="23916"/>
  <c r="CF654" i="23916"/>
  <c r="CF652" i="23916"/>
  <c r="CF626" i="23916"/>
  <c r="CE900" i="23916"/>
  <c r="CE692" i="23916"/>
  <c r="CE694" i="23916"/>
  <c r="CE630" i="23916" s="1"/>
  <c r="CE631" i="23916" s="1"/>
  <c r="CF689" i="23916"/>
  <c r="CE789" i="23916"/>
  <c r="DX658" i="23916"/>
  <c r="DW745" i="23916"/>
  <c r="DW744" i="23916"/>
  <c r="DW690" i="23916"/>
  <c r="DX640" i="23916"/>
  <c r="DW842" i="23916"/>
  <c r="DW829" i="23916"/>
  <c r="DW743" i="23916"/>
  <c r="DW692" i="23916"/>
  <c r="DX628" i="23916"/>
  <c r="DX755" i="23916"/>
  <c r="GC275" i="23916"/>
  <c r="CJ147" i="23916"/>
  <c r="CA809" i="23916"/>
  <c r="CA808" i="23916" s="1"/>
  <c r="CA155" i="23916"/>
  <c r="DB647" i="23916"/>
  <c r="DB652" i="23916"/>
  <c r="DB658" i="23916"/>
  <c r="DB656" i="23916"/>
  <c r="DB755" i="23916"/>
  <c r="DQ788" i="23916"/>
  <c r="DR684" i="23916"/>
  <c r="DS684" i="23916"/>
  <c r="DQ665" i="23916"/>
  <c r="DQ766" i="23916"/>
  <c r="DQ756" i="23916"/>
  <c r="GV221" i="23916"/>
  <c r="GX212" i="23916"/>
  <c r="GX221" i="23916" s="1"/>
  <c r="EC650" i="23916"/>
  <c r="EL650" i="23916" s="1"/>
  <c r="GS639" i="23916"/>
  <c r="DY650" i="23916"/>
  <c r="GV850" i="23916"/>
  <c r="GW251" i="23916"/>
  <c r="EV299" i="23916"/>
  <c r="GP299" i="23916"/>
  <c r="EU619" i="23916"/>
  <c r="EU337" i="23916"/>
  <c r="EV337" i="23916" s="1"/>
  <c r="EU341" i="23916"/>
  <c r="EV341" i="23916" s="1"/>
  <c r="EV334" i="23916"/>
  <c r="EU12" i="23916"/>
  <c r="EV12" i="23916" s="1"/>
  <c r="EB654" i="23916"/>
  <c r="EB656" i="23916"/>
  <c r="EA745" i="23916"/>
  <c r="EA744" i="23916"/>
  <c r="EA690" i="23916"/>
  <c r="EB640" i="23916"/>
  <c r="EA900" i="23916"/>
  <c r="EB689" i="23916"/>
  <c r="EA694" i="23916"/>
  <c r="EA19" i="23916"/>
  <c r="GR537" i="23916"/>
  <c r="DN648" i="23916"/>
  <c r="DN654" i="23916"/>
  <c r="DN658" i="23916"/>
  <c r="DM900" i="23916"/>
  <c r="DM694" i="23916"/>
  <c r="DN689" i="23916"/>
  <c r="DN755" i="23916"/>
  <c r="GG39" i="23916" l="1"/>
  <c r="GF73" i="23916"/>
  <c r="GG73" i="23916" s="1"/>
  <c r="GF70" i="23916"/>
  <c r="GG70" i="23916" s="1"/>
  <c r="GF72" i="23916"/>
  <c r="GZ353" i="23916"/>
  <c r="GX359" i="23916"/>
  <c r="GY353" i="23916"/>
  <c r="GZ254" i="23916"/>
  <c r="GY254" i="23916"/>
  <c r="EB744" i="23916"/>
  <c r="EV619" i="23916"/>
  <c r="CE830" i="23916"/>
  <c r="CF692" i="23916"/>
  <c r="GP300" i="23916"/>
  <c r="GQ299" i="23916"/>
  <c r="GH766" i="23916"/>
  <c r="EA630" i="23916"/>
  <c r="EA21" i="23916"/>
  <c r="DY659" i="23916"/>
  <c r="DZ650" i="23916"/>
  <c r="GY221" i="23916"/>
  <c r="GX207" i="23916"/>
  <c r="DQ682" i="23916"/>
  <c r="DQ681" i="23916"/>
  <c r="DR681" i="23916" s="1"/>
  <c r="DR665" i="23916"/>
  <c r="FX829" i="23916"/>
  <c r="GX327" i="23916"/>
  <c r="GX320" i="23916" s="1"/>
  <c r="GZ326" i="23916"/>
  <c r="GY326" i="23916"/>
  <c r="DM630" i="23916"/>
  <c r="EB690" i="23916"/>
  <c r="EA664" i="23916"/>
  <c r="GV207" i="23916"/>
  <c r="GW221" i="23916"/>
  <c r="DS788" i="23916"/>
  <c r="DU684" i="23916"/>
  <c r="DT684" i="23916"/>
  <c r="DS665" i="23916"/>
  <c r="DS766" i="23916"/>
  <c r="DS756" i="23916"/>
  <c r="CA838" i="23916"/>
  <c r="CA839" i="23916" s="1"/>
  <c r="CA840" i="23916" s="1"/>
  <c r="CJ155" i="23916"/>
  <c r="DW830" i="23916"/>
  <c r="DX692" i="23916"/>
  <c r="DW20" i="23916"/>
  <c r="DX20" i="23916" s="1"/>
  <c r="GA608" i="23916"/>
  <c r="FY657" i="23916"/>
  <c r="CV143" i="23916"/>
  <c r="CU151" i="23916"/>
  <c r="CU152" i="23916" s="1"/>
  <c r="CU147" i="23916"/>
  <c r="CU150" i="23916"/>
  <c r="CU148" i="23916"/>
  <c r="GY321" i="23916"/>
  <c r="GZ321" i="23916"/>
  <c r="CM900" i="23916"/>
  <c r="CM694" i="23916"/>
  <c r="CM630" i="23916" s="1"/>
  <c r="CN689" i="23916"/>
  <c r="GV673" i="23916"/>
  <c r="GW673" i="23916" s="1"/>
  <c r="GX674" i="23916"/>
  <c r="GW674" i="23916"/>
  <c r="GV669" i="23916"/>
  <c r="FZ755" i="23916"/>
  <c r="GA755" i="23916" s="1"/>
  <c r="FZ689" i="23916"/>
  <c r="GA626" i="23916"/>
  <c r="FZ647" i="23916"/>
  <c r="GA647" i="23916" s="1"/>
  <c r="FZ628" i="23916"/>
  <c r="FZ681" i="23916"/>
  <c r="GA681" i="23916" s="1"/>
  <c r="FZ653" i="23916"/>
  <c r="GA653" i="23916" s="1"/>
  <c r="FZ657" i="23916"/>
  <c r="GA657" i="23916" s="1"/>
  <c r="FZ640" i="23916"/>
  <c r="FZ784" i="23916"/>
  <c r="FZ658" i="23916"/>
  <c r="GA658" i="23916" s="1"/>
  <c r="FZ654" i="23916"/>
  <c r="GA654" i="23916" s="1"/>
  <c r="FZ652" i="23916"/>
  <c r="GA652" i="23916" s="1"/>
  <c r="FZ655" i="23916"/>
  <c r="GA655" i="23916" s="1"/>
  <c r="FZ656" i="23916"/>
  <c r="GA656" i="23916" s="1"/>
  <c r="FZ648" i="23916"/>
  <c r="GA648" i="23916" s="1"/>
  <c r="GY393" i="23916"/>
  <c r="GZ393" i="23916"/>
  <c r="DU842" i="23916"/>
  <c r="DU829" i="23916"/>
  <c r="DU743" i="23916"/>
  <c r="DU692" i="23916"/>
  <c r="DV628" i="23916"/>
  <c r="GQ260" i="23916"/>
  <c r="GP266" i="23916"/>
  <c r="CV444" i="23916"/>
  <c r="CU466" i="23916"/>
  <c r="CV466" i="23916" s="1"/>
  <c r="CW438" i="23916"/>
  <c r="EN650" i="23916"/>
  <c r="EM659" i="23916"/>
  <c r="EN659" i="23916" s="1"/>
  <c r="CK900" i="23916"/>
  <c r="CL689" i="23916"/>
  <c r="CK694" i="23916"/>
  <c r="CK630" i="23916" s="1"/>
  <c r="CK631" i="23916" s="1"/>
  <c r="CK692" i="23916"/>
  <c r="CT656" i="23916"/>
  <c r="CS664" i="23916"/>
  <c r="DO630" i="23916"/>
  <c r="DO830" i="23916"/>
  <c r="DY482" i="23916"/>
  <c r="CV387" i="23916"/>
  <c r="CU401" i="23916"/>
  <c r="CV401" i="23916" s="1"/>
  <c r="CW381" i="23916"/>
  <c r="GO650" i="23916"/>
  <c r="EV620" i="23916"/>
  <c r="GU356" i="23916"/>
  <c r="GT360" i="23916"/>
  <c r="EG659" i="23916"/>
  <c r="EH650" i="23916"/>
  <c r="EP650" i="23916"/>
  <c r="DI659" i="23916"/>
  <c r="DJ659" i="23916" s="1"/>
  <c r="DJ650" i="23916"/>
  <c r="DS745" i="23916"/>
  <c r="EB745" i="23916" s="1"/>
  <c r="DS744" i="23916"/>
  <c r="DS690" i="23916"/>
  <c r="DT640" i="23916"/>
  <c r="DS842" i="23916"/>
  <c r="DS829" i="23916"/>
  <c r="DS743" i="23916"/>
  <c r="DS692" i="23916"/>
  <c r="EB692" i="23916" s="1"/>
  <c r="DT628" i="23916"/>
  <c r="AU171" i="23916"/>
  <c r="DQ842" i="23916"/>
  <c r="DQ829" i="23916"/>
  <c r="DQ743" i="23916"/>
  <c r="DQ692" i="23916"/>
  <c r="DR628" i="23916"/>
  <c r="GR788" i="23916"/>
  <c r="GS788" i="23916" s="1"/>
  <c r="GT685" i="23916"/>
  <c r="GS684" i="23916"/>
  <c r="GT684" i="23916"/>
  <c r="GR665" i="23916"/>
  <c r="CQ690" i="23916"/>
  <c r="CQ642" i="23916"/>
  <c r="CQ678" i="23916" s="1"/>
  <c r="CR678" i="23916" s="1"/>
  <c r="CR640" i="23916"/>
  <c r="CQ682" i="23916"/>
  <c r="CQ829" i="23916"/>
  <c r="CQ692" i="23916"/>
  <c r="CR628" i="23916"/>
  <c r="DD690" i="23916"/>
  <c r="DC664" i="23916"/>
  <c r="GZ644" i="23916"/>
  <c r="GY644" i="23916"/>
  <c r="GX637" i="23916"/>
  <c r="CT658" i="23916"/>
  <c r="GP301" i="23916"/>
  <c r="EM900" i="23916"/>
  <c r="EN689" i="23916"/>
  <c r="EN900" i="23916" s="1"/>
  <c r="EM694" i="23916"/>
  <c r="EM19" i="23916"/>
  <c r="EN19" i="23916" s="1"/>
  <c r="CT659" i="23916"/>
  <c r="EB647" i="23916"/>
  <c r="BT480" i="23916"/>
  <c r="BS482" i="23916"/>
  <c r="BT482" i="23916" s="1"/>
  <c r="GL426" i="23916"/>
  <c r="GM426" i="23916" s="1"/>
  <c r="GM425" i="23916"/>
  <c r="GL434" i="23916"/>
  <c r="DH650" i="23916"/>
  <c r="DG659" i="23916"/>
  <c r="DH659" i="23916" s="1"/>
  <c r="GP373" i="23916"/>
  <c r="GP375" i="23916"/>
  <c r="GQ375" i="23916" s="1"/>
  <c r="GQ367" i="23916"/>
  <c r="DA830" i="23916"/>
  <c r="DB692" i="23916"/>
  <c r="GK653" i="23916"/>
  <c r="GK654" i="23916"/>
  <c r="GJ744" i="23916"/>
  <c r="GJ745" i="23916"/>
  <c r="GJ690" i="23916"/>
  <c r="GK640" i="23916"/>
  <c r="GJ682" i="23916"/>
  <c r="CF657" i="23916"/>
  <c r="FZ171" i="23916"/>
  <c r="GA171" i="23916" s="1"/>
  <c r="GA169" i="23916"/>
  <c r="CD648" i="23916"/>
  <c r="CD681" i="23916"/>
  <c r="CC829" i="23916"/>
  <c r="CD628" i="23916"/>
  <c r="GY454" i="23916"/>
  <c r="GZ454" i="23916"/>
  <c r="CU642" i="23916"/>
  <c r="CU678" i="23916" s="1"/>
  <c r="CV678" i="23916" s="1"/>
  <c r="GW284" i="23916"/>
  <c r="GV290" i="23916"/>
  <c r="CW900" i="23916"/>
  <c r="CW694" i="23916"/>
  <c r="CW630" i="23916" s="1"/>
  <c r="CW631" i="23916" s="1"/>
  <c r="CX689" i="23916"/>
  <c r="O169" i="23916"/>
  <c r="O170" i="23916"/>
  <c r="P170" i="23916" s="1"/>
  <c r="P135" i="23916"/>
  <c r="EW272" i="23916"/>
  <c r="EW267" i="23916"/>
  <c r="EW274" i="23916"/>
  <c r="EX274" i="23916" s="1"/>
  <c r="EX266" i="23916"/>
  <c r="EW269" i="23916"/>
  <c r="GB659" i="23916"/>
  <c r="GC650" i="23916"/>
  <c r="EA398" i="23916"/>
  <c r="GL392" i="23916"/>
  <c r="EA397" i="23916"/>
  <c r="EB392" i="23916"/>
  <c r="EA171" i="23916"/>
  <c r="EB171" i="23916" s="1"/>
  <c r="EB169" i="23916"/>
  <c r="CT647" i="23916"/>
  <c r="CZ657" i="23916"/>
  <c r="CY642" i="23916"/>
  <c r="CY678" i="23916" s="1"/>
  <c r="CZ678" i="23916" s="1"/>
  <c r="CZ647" i="23916"/>
  <c r="EI842" i="23916"/>
  <c r="EI829" i="23916"/>
  <c r="EI743" i="23916"/>
  <c r="EJ743" i="23916" s="1"/>
  <c r="EI692" i="23916"/>
  <c r="GN628" i="23916"/>
  <c r="EJ628" i="23916"/>
  <c r="CG690" i="23916"/>
  <c r="CH640" i="23916"/>
  <c r="CG682" i="23916"/>
  <c r="CB659" i="23916"/>
  <c r="CI829" i="23916"/>
  <c r="CJ628" i="23916"/>
  <c r="EX332" i="23916"/>
  <c r="GP332" i="23916"/>
  <c r="CZ648" i="23916"/>
  <c r="DY74" i="23916"/>
  <c r="FY143" i="23916"/>
  <c r="FX147" i="23916"/>
  <c r="FX151" i="23916"/>
  <c r="FX150" i="23916"/>
  <c r="GA143" i="23916"/>
  <c r="CV654" i="23916"/>
  <c r="ER621" i="23916"/>
  <c r="EX618" i="23916"/>
  <c r="CK659" i="23916"/>
  <c r="DY797" i="23916"/>
  <c r="DY805" i="23916" s="1"/>
  <c r="DY806" i="23916" s="1"/>
  <c r="DY799" i="23916"/>
  <c r="DM664" i="23916"/>
  <c r="EA830" i="23916"/>
  <c r="EA20" i="23916"/>
  <c r="EB657" i="23916"/>
  <c r="GZ439" i="23916"/>
  <c r="GY439" i="23916"/>
  <c r="GX382" i="23916"/>
  <c r="GC169" i="23916"/>
  <c r="DZ647" i="23916"/>
  <c r="DZ652" i="23916"/>
  <c r="DZ657" i="23916"/>
  <c r="DY900" i="23916"/>
  <c r="DY694" i="23916"/>
  <c r="DZ689" i="23916"/>
  <c r="DY19" i="23916"/>
  <c r="DZ19" i="23916" s="1"/>
  <c r="CA754" i="23916"/>
  <c r="CB754" i="23916" s="1"/>
  <c r="CA753" i="23916"/>
  <c r="CB753" i="23916" s="1"/>
  <c r="CA756" i="23916"/>
  <c r="CB756" i="23916" s="1"/>
  <c r="CB733" i="23916"/>
  <c r="CA735" i="23916"/>
  <c r="CA749" i="23916"/>
  <c r="CB749" i="23916" s="1"/>
  <c r="CA752" i="23916"/>
  <c r="CB752" i="23916" s="1"/>
  <c r="CA711" i="23916"/>
  <c r="CA751" i="23916"/>
  <c r="CB751" i="23916" s="1"/>
  <c r="CA750" i="23916"/>
  <c r="CB750" i="23916" s="1"/>
  <c r="GS213" i="23916"/>
  <c r="GR211" i="23916"/>
  <c r="GT213" i="23916"/>
  <c r="CW479" i="23916"/>
  <c r="CX479" i="23916" s="1"/>
  <c r="CX398" i="23916"/>
  <c r="EB658" i="23916"/>
  <c r="GZ424" i="23916"/>
  <c r="GX396" i="23916"/>
  <c r="GY424" i="23916"/>
  <c r="GI650" i="23916"/>
  <c r="GH659" i="23916"/>
  <c r="GI659" i="23916" s="1"/>
  <c r="EW802" i="23916"/>
  <c r="EX373" i="23916"/>
  <c r="GI268" i="23916"/>
  <c r="GK268" i="23916"/>
  <c r="GI274" i="23916"/>
  <c r="GK274" i="23916"/>
  <c r="GX245" i="23916"/>
  <c r="GX231" i="23916" s="1"/>
  <c r="GY231" i="23916" s="1"/>
  <c r="GY237" i="23916"/>
  <c r="GX531" i="23916"/>
  <c r="GX533" i="23916" s="1"/>
  <c r="DB690" i="23916"/>
  <c r="DA664" i="23916"/>
  <c r="DB664" i="23916" s="1"/>
  <c r="GF829" i="23916"/>
  <c r="CF653" i="23916"/>
  <c r="EF744" i="23916"/>
  <c r="DF655" i="23916"/>
  <c r="DF653" i="23916"/>
  <c r="DF658" i="23916"/>
  <c r="DF656" i="23916"/>
  <c r="DF755" i="23916"/>
  <c r="CV681" i="23916"/>
  <c r="EB444" i="23916"/>
  <c r="EC438" i="23916"/>
  <c r="EA466" i="23916"/>
  <c r="EB466" i="23916" s="1"/>
  <c r="ED648" i="23916"/>
  <c r="ED654" i="23916"/>
  <c r="EC745" i="23916"/>
  <c r="EC744" i="23916"/>
  <c r="EC690" i="23916"/>
  <c r="ED640" i="23916"/>
  <c r="ED755" i="23916"/>
  <c r="BY900" i="23916"/>
  <c r="BY694" i="23916"/>
  <c r="BY630" i="23916" s="1"/>
  <c r="BY631" i="23916" s="1"/>
  <c r="BZ689" i="23916"/>
  <c r="BY692" i="23916"/>
  <c r="EA464" i="23916"/>
  <c r="EB464" i="23916" s="1"/>
  <c r="EB463" i="23916"/>
  <c r="CT653" i="23916"/>
  <c r="CP681" i="23916"/>
  <c r="GZ410" i="23916"/>
  <c r="GY410" i="23916"/>
  <c r="GX386" i="23916"/>
  <c r="GC652" i="23916"/>
  <c r="GC681" i="23916"/>
  <c r="GB829" i="23916"/>
  <c r="GC628" i="23916"/>
  <c r="GB900" i="23916"/>
  <c r="GC689" i="23916"/>
  <c r="GB692" i="23916"/>
  <c r="DP650" i="23916"/>
  <c r="DH655" i="23916"/>
  <c r="DP655" i="23916"/>
  <c r="GP238" i="23916"/>
  <c r="GP236" i="23916"/>
  <c r="GQ235" i="23916"/>
  <c r="EH653" i="23916"/>
  <c r="EH657" i="23916"/>
  <c r="EG842" i="23916"/>
  <c r="EG829" i="23916"/>
  <c r="EG743" i="23916"/>
  <c r="EG692" i="23916"/>
  <c r="EH628" i="23916"/>
  <c r="DI829" i="23916"/>
  <c r="DI692" i="23916"/>
  <c r="DJ628" i="23916"/>
  <c r="GM654" i="23916"/>
  <c r="GM657" i="23916"/>
  <c r="GM652" i="23916"/>
  <c r="GI648" i="23916"/>
  <c r="GR539" i="23916"/>
  <c r="GR541" i="23916"/>
  <c r="GZ489" i="23916"/>
  <c r="GY489" i="23916"/>
  <c r="GX601" i="23916"/>
  <c r="FY656" i="23916"/>
  <c r="FY647" i="23916"/>
  <c r="FX900" i="23916"/>
  <c r="FY689" i="23916"/>
  <c r="FX692" i="23916"/>
  <c r="GS324" i="23916"/>
  <c r="GR331" i="23916"/>
  <c r="DL721" i="23916"/>
  <c r="DK722" i="23916"/>
  <c r="DL722" i="23916" s="1"/>
  <c r="GL18" i="23916"/>
  <c r="GM18" i="23916" s="1"/>
  <c r="GM17" i="23916"/>
  <c r="CA830" i="23916"/>
  <c r="CB692" i="23916"/>
  <c r="GH829" i="23916"/>
  <c r="GI628" i="23916"/>
  <c r="CN648" i="23916"/>
  <c r="CV648" i="23916"/>
  <c r="L143" i="23916"/>
  <c r="K151" i="23916"/>
  <c r="K147" i="23916"/>
  <c r="K150" i="23916"/>
  <c r="BW392" i="23916"/>
  <c r="BV397" i="23916"/>
  <c r="DU900" i="23916"/>
  <c r="DU694" i="23916"/>
  <c r="DV689" i="23916"/>
  <c r="DU19" i="23916"/>
  <c r="DV19" i="23916" s="1"/>
  <c r="FV755" i="23916"/>
  <c r="FW755" i="23916" s="1"/>
  <c r="FV742" i="23916"/>
  <c r="FW742" i="23916" s="1"/>
  <c r="FV657" i="23916"/>
  <c r="FW657" i="23916" s="1"/>
  <c r="FV689" i="23916"/>
  <c r="FV647" i="23916"/>
  <c r="FW647" i="23916" s="1"/>
  <c r="FW626" i="23916"/>
  <c r="FV628" i="23916"/>
  <c r="FV608" i="23916"/>
  <c r="FV653" i="23916"/>
  <c r="FW653" i="23916" s="1"/>
  <c r="FV658" i="23916"/>
  <c r="FW658" i="23916" s="1"/>
  <c r="FV681" i="23916"/>
  <c r="FW681" i="23916" s="1"/>
  <c r="FV652" i="23916"/>
  <c r="FW652" i="23916" s="1"/>
  <c r="FV640" i="23916"/>
  <c r="FV784" i="23916"/>
  <c r="FV648" i="23916"/>
  <c r="FW648" i="23916" s="1"/>
  <c r="FV650" i="23916"/>
  <c r="FV656" i="23916"/>
  <c r="FW656" i="23916" s="1"/>
  <c r="FV654" i="23916"/>
  <c r="FW654" i="23916" s="1"/>
  <c r="FV655" i="23916"/>
  <c r="BU900" i="23916"/>
  <c r="BV689" i="23916"/>
  <c r="BU694" i="23916"/>
  <c r="BU630" i="23916" s="1"/>
  <c r="BU631" i="23916" s="1"/>
  <c r="FV631" i="23916" s="1"/>
  <c r="BU692" i="23916"/>
  <c r="GZ322" i="23916"/>
  <c r="GY322" i="23916"/>
  <c r="CK690" i="23916"/>
  <c r="CT690" i="23916" s="1"/>
  <c r="CK642" i="23916"/>
  <c r="CK678" i="23916" s="1"/>
  <c r="CT678" i="23916" s="1"/>
  <c r="CL640" i="23916"/>
  <c r="CK682" i="23916"/>
  <c r="CT682" i="23916" s="1"/>
  <c r="CK829" i="23916"/>
  <c r="CL628" i="23916"/>
  <c r="CU480" i="23916"/>
  <c r="CU481" i="23916"/>
  <c r="CV481" i="23916" s="1"/>
  <c r="CV388" i="23916"/>
  <c r="CU478" i="23916"/>
  <c r="CV478" i="23916" s="1"/>
  <c r="GO813" i="23916"/>
  <c r="GD755" i="23916"/>
  <c r="GE755" i="23916" s="1"/>
  <c r="GD657" i="23916"/>
  <c r="GE657" i="23916" s="1"/>
  <c r="GD689" i="23916"/>
  <c r="GE626" i="23916"/>
  <c r="GD628" i="23916"/>
  <c r="GG628" i="23916" s="1"/>
  <c r="GD784" i="23916"/>
  <c r="GD681" i="23916"/>
  <c r="GE681" i="23916" s="1"/>
  <c r="GD658" i="23916"/>
  <c r="GE658" i="23916" s="1"/>
  <c r="GD640" i="23916"/>
  <c r="GD656" i="23916"/>
  <c r="GE656" i="23916" s="1"/>
  <c r="GD654" i="23916"/>
  <c r="GE654" i="23916" s="1"/>
  <c r="GD652" i="23916"/>
  <c r="GE652" i="23916" s="1"/>
  <c r="GD653" i="23916"/>
  <c r="GE653" i="23916" s="1"/>
  <c r="GD655" i="23916"/>
  <c r="GD647" i="23916"/>
  <c r="GE647" i="23916" s="1"/>
  <c r="GD648" i="23916"/>
  <c r="GE648" i="23916" s="1"/>
  <c r="GX102" i="23916"/>
  <c r="GW102" i="23916"/>
  <c r="BX608" i="23916"/>
  <c r="BW605" i="23916"/>
  <c r="CF608" i="23916"/>
  <c r="CE642" i="23916"/>
  <c r="CE678" i="23916" s="1"/>
  <c r="GE398" i="23916"/>
  <c r="GD479" i="23916"/>
  <c r="GE479" i="23916" s="1"/>
  <c r="CM659" i="23916"/>
  <c r="CN659" i="23916" s="1"/>
  <c r="GQ665" i="23916"/>
  <c r="ET271" i="23916"/>
  <c r="GW732" i="23916"/>
  <c r="GX732" i="23916"/>
  <c r="GV705" i="23916"/>
  <c r="GW705" i="23916" s="1"/>
  <c r="CQ900" i="23916"/>
  <c r="CQ694" i="23916"/>
  <c r="CQ630" i="23916" s="1"/>
  <c r="CQ631" i="23916" s="1"/>
  <c r="CR689" i="23916"/>
  <c r="DC830" i="23916"/>
  <c r="DD692" i="23916"/>
  <c r="CV458" i="23916"/>
  <c r="CW453" i="23916"/>
  <c r="DL690" i="23916"/>
  <c r="DK664" i="23916"/>
  <c r="DL664" i="23916" s="1"/>
  <c r="BU659" i="23916"/>
  <c r="BV659" i="23916" s="1"/>
  <c r="EB652" i="23916"/>
  <c r="EC426" i="23916"/>
  <c r="ED426" i="23916" s="1"/>
  <c r="ED420" i="23916"/>
  <c r="EC430" i="23916"/>
  <c r="ED430" i="23916" s="1"/>
  <c r="EC425" i="23916"/>
  <c r="EC431" i="23916"/>
  <c r="GK656" i="23916"/>
  <c r="GK647" i="23916"/>
  <c r="GK755" i="23916"/>
  <c r="CF647" i="23916"/>
  <c r="EB143" i="23916"/>
  <c r="EA150" i="23916"/>
  <c r="EB150" i="23916" s="1"/>
  <c r="EA148" i="23916"/>
  <c r="EA147" i="23916"/>
  <c r="EA151" i="23916"/>
  <c r="CD655" i="23916"/>
  <c r="CD647" i="23916"/>
  <c r="CD652" i="23916"/>
  <c r="CC900" i="23916"/>
  <c r="CD689" i="23916"/>
  <c r="CC694" i="23916"/>
  <c r="CC630" i="23916" s="1"/>
  <c r="CC631" i="23916" s="1"/>
  <c r="CC692" i="23916"/>
  <c r="CD755" i="23916"/>
  <c r="CV657" i="23916"/>
  <c r="CV652" i="23916"/>
  <c r="CA642" i="23916"/>
  <c r="CA678" i="23916" s="1"/>
  <c r="CB678" i="23916" s="1"/>
  <c r="CW690" i="23916"/>
  <c r="CW642" i="23916"/>
  <c r="CW678" i="23916" s="1"/>
  <c r="CX678" i="23916" s="1"/>
  <c r="CX640" i="23916"/>
  <c r="CW682" i="23916"/>
  <c r="CX682" i="23916" s="1"/>
  <c r="CW430" i="23916"/>
  <c r="CW426" i="23916"/>
  <c r="CX426" i="23916" s="1"/>
  <c r="CX420" i="23916"/>
  <c r="CW431" i="23916"/>
  <c r="CW432" i="23916" s="1"/>
  <c r="CW425" i="23916"/>
  <c r="FN147" i="23916"/>
  <c r="FQ143" i="23916"/>
  <c r="FO143" i="23916"/>
  <c r="FN150" i="23916"/>
  <c r="FN151" i="23916"/>
  <c r="GF631" i="23916"/>
  <c r="EK745" i="23916"/>
  <c r="EL745" i="23916" s="1"/>
  <c r="EK744" i="23916"/>
  <c r="EL744" i="23916" s="1"/>
  <c r="EK690" i="23916"/>
  <c r="EL640" i="23916"/>
  <c r="EC138" i="23916"/>
  <c r="ED138" i="23916" s="1"/>
  <c r="EC137" i="23916"/>
  <c r="ED137" i="23916" s="1"/>
  <c r="ED127" i="23916"/>
  <c r="EC135" i="23916"/>
  <c r="EC133" i="23916"/>
  <c r="EP659" i="23916"/>
  <c r="CT689" i="23916"/>
  <c r="CP690" i="23916"/>
  <c r="CO664" i="23916"/>
  <c r="CZ628" i="23916"/>
  <c r="CZ690" i="23916"/>
  <c r="CY664" i="23916"/>
  <c r="CH648" i="23916"/>
  <c r="CP648" i="23916"/>
  <c r="CG829" i="23916"/>
  <c r="CH628" i="23916"/>
  <c r="CI900" i="23916"/>
  <c r="CI692" i="23916"/>
  <c r="CI694" i="23916"/>
  <c r="CI630" i="23916" s="1"/>
  <c r="CI631" i="23916" s="1"/>
  <c r="CJ689" i="23916"/>
  <c r="CI789" i="23916"/>
  <c r="CZ46" i="23916"/>
  <c r="CY55" i="23916"/>
  <c r="CY56" i="23916" s="1"/>
  <c r="CY54" i="23916"/>
  <c r="CY52" i="23916"/>
  <c r="CY51" i="23916"/>
  <c r="CJ167" i="23916"/>
  <c r="GX242" i="23916"/>
  <c r="GY242" i="23916" s="1"/>
  <c r="GY241" i="23916"/>
  <c r="GX243" i="23916"/>
  <c r="GY243" i="23916" s="1"/>
  <c r="GX227" i="23916"/>
  <c r="GY227" i="23916" s="1"/>
  <c r="CT628" i="23916"/>
  <c r="GZ358" i="23916"/>
  <c r="GY358" i="23916"/>
  <c r="EB743" i="23916"/>
  <c r="EB655" i="23916"/>
  <c r="GC171" i="23916"/>
  <c r="DZ648" i="23916"/>
  <c r="DZ655" i="23916"/>
  <c r="DZ656" i="23916"/>
  <c r="DZ742" i="23916"/>
  <c r="CC736" i="23916"/>
  <c r="CD736" i="23916" s="1"/>
  <c r="CE730" i="23916"/>
  <c r="CC733" i="23916"/>
  <c r="CD730" i="23916"/>
  <c r="FX730" i="23916"/>
  <c r="CC731" i="23916"/>
  <c r="CC727" i="23916"/>
  <c r="CC762" i="23916"/>
  <c r="CD762" i="23916" s="1"/>
  <c r="CC761" i="23916"/>
  <c r="CD761" i="23916" s="1"/>
  <c r="CC760" i="23916"/>
  <c r="CD760" i="23916" s="1"/>
  <c r="EX623" i="23916"/>
  <c r="GP623" i="23916"/>
  <c r="GQ623" i="23916" s="1"/>
  <c r="EX624" i="23916"/>
  <c r="GP624" i="23916"/>
  <c r="GZ720" i="23916"/>
  <c r="GY720" i="23916"/>
  <c r="CX397" i="23916"/>
  <c r="CY392" i="23916"/>
  <c r="EB653" i="23916"/>
  <c r="EX368" i="23916"/>
  <c r="GP368" i="23916"/>
  <c r="GP370" i="23916" s="1"/>
  <c r="GI272" i="23916"/>
  <c r="GK272" i="23916"/>
  <c r="GS291" i="23916"/>
  <c r="GR298" i="23916"/>
  <c r="FM127" i="23916"/>
  <c r="FL138" i="23916"/>
  <c r="FM138" i="23916" s="1"/>
  <c r="FL137" i="23916"/>
  <c r="FM137" i="23916" s="1"/>
  <c r="DB682" i="23916"/>
  <c r="GG652" i="23916"/>
  <c r="GG656" i="23916"/>
  <c r="GG658" i="23916"/>
  <c r="GF900" i="23916"/>
  <c r="GF692" i="23916"/>
  <c r="GP338" i="23916"/>
  <c r="GQ338" i="23916" s="1"/>
  <c r="GP334" i="23916"/>
  <c r="GP340" i="23916"/>
  <c r="GQ340" i="23916" s="1"/>
  <c r="GQ331" i="23916"/>
  <c r="EE830" i="23916"/>
  <c r="EF692" i="23916"/>
  <c r="EE20" i="23916"/>
  <c r="EF20" i="23916" s="1"/>
  <c r="EF745" i="23916"/>
  <c r="DF647" i="23916"/>
  <c r="DF681" i="23916"/>
  <c r="DF657" i="23916"/>
  <c r="CV647" i="23916"/>
  <c r="GM438" i="23916"/>
  <c r="GL444" i="23916"/>
  <c r="GL449" i="23916"/>
  <c r="GM449" i="23916" s="1"/>
  <c r="GL445" i="23916"/>
  <c r="GM445" i="23916" s="1"/>
  <c r="GL450" i="23916"/>
  <c r="GM450" i="23916" s="1"/>
  <c r="GL448" i="23916"/>
  <c r="GM448" i="23916" s="1"/>
  <c r="ET621" i="23916"/>
  <c r="ED647" i="23916"/>
  <c r="ED658" i="23916"/>
  <c r="EC842" i="23916"/>
  <c r="EC829" i="23916"/>
  <c r="EC743" i="23916"/>
  <c r="ED743" i="23916" s="1"/>
  <c r="EC692" i="23916"/>
  <c r="ED628" i="23916"/>
  <c r="BY842" i="23916"/>
  <c r="BY829" i="23916"/>
  <c r="BY743" i="23916"/>
  <c r="BZ628" i="23916"/>
  <c r="BY742" i="23916"/>
  <c r="BZ742" i="23916" s="1"/>
  <c r="CP654" i="23916"/>
  <c r="CU415" i="23916"/>
  <c r="CV415" i="23916" s="1"/>
  <c r="CV412" i="23916"/>
  <c r="CV411" i="23916"/>
  <c r="CW405" i="23916"/>
  <c r="CU434" i="23916"/>
  <c r="CV434" i="23916" s="1"/>
  <c r="GE133" i="23916"/>
  <c r="GF127" i="23916"/>
  <c r="GC658" i="23916"/>
  <c r="EP19" i="23916"/>
  <c r="DH648" i="23916"/>
  <c r="DP648" i="23916"/>
  <c r="GX288" i="23916"/>
  <c r="GW288" i="23916"/>
  <c r="EH647" i="23916"/>
  <c r="EH652" i="23916"/>
  <c r="EG900" i="23916"/>
  <c r="EG694" i="23916"/>
  <c r="EH689" i="23916"/>
  <c r="EH900" i="23916" s="1"/>
  <c r="EG19" i="23916"/>
  <c r="EH19" i="23916" s="1"/>
  <c r="DI900" i="23916"/>
  <c r="DJ689" i="23916"/>
  <c r="DI694" i="23916"/>
  <c r="DI630" i="23916" s="1"/>
  <c r="DI631" i="23916" s="1"/>
  <c r="BL659" i="23916"/>
  <c r="EV618" i="23916"/>
  <c r="EU621" i="23916"/>
  <c r="CW659" i="23916"/>
  <c r="CX659" i="23916" s="1"/>
  <c r="GM681" i="23916"/>
  <c r="GL745" i="23916"/>
  <c r="GM745" i="23916" s="1"/>
  <c r="GL744" i="23916"/>
  <c r="GM744" i="23916" s="1"/>
  <c r="GL690" i="23916"/>
  <c r="GM640" i="23916"/>
  <c r="GL682" i="23916"/>
  <c r="GM682" i="23916" s="1"/>
  <c r="GL900" i="23916"/>
  <c r="GL692" i="23916"/>
  <c r="GM689" i="23916"/>
  <c r="GL19" i="23916"/>
  <c r="GH756" i="23916"/>
  <c r="EC659" i="23916"/>
  <c r="ED650" i="23916"/>
  <c r="DX690" i="23916"/>
  <c r="DW664" i="23916"/>
  <c r="GT541" i="23916"/>
  <c r="GT539" i="23916"/>
  <c r="FY658" i="23916"/>
  <c r="FY652" i="23916"/>
  <c r="DM763" i="23916"/>
  <c r="DN763" i="23916" s="1"/>
  <c r="DM721" i="23916"/>
  <c r="DO718" i="23916"/>
  <c r="DM719" i="23916"/>
  <c r="DN719" i="23916" s="1"/>
  <c r="DN718" i="23916"/>
  <c r="GB148" i="23916"/>
  <c r="GC147" i="23916"/>
  <c r="GD143" i="23916"/>
  <c r="GB809" i="23916"/>
  <c r="GB808" i="23916" s="1"/>
  <c r="GB155" i="23916"/>
  <c r="BV438" i="23916"/>
  <c r="BU445" i="23916"/>
  <c r="BU449" i="23916"/>
  <c r="BV449" i="23916" s="1"/>
  <c r="BU444" i="23916"/>
  <c r="GD631" i="23916"/>
  <c r="DQ659" i="23916"/>
  <c r="DR659" i="23916" s="1"/>
  <c r="DR650" i="23916"/>
  <c r="CW74" i="23916"/>
  <c r="CX74" i="23916" s="1"/>
  <c r="CX72" i="23916"/>
  <c r="GH690" i="23916"/>
  <c r="GI640" i="23916"/>
  <c r="GH682" i="23916"/>
  <c r="EG415" i="23916"/>
  <c r="EH415" i="23916" s="1"/>
  <c r="EG412" i="23916"/>
  <c r="EH412" i="23916" s="1"/>
  <c r="EH405" i="23916"/>
  <c r="EG417" i="23916"/>
  <c r="EG416" i="23916"/>
  <c r="EH416" i="23916" s="1"/>
  <c r="EG411" i="23916"/>
  <c r="CM690" i="23916"/>
  <c r="CN640" i="23916"/>
  <c r="CM642" i="23916"/>
  <c r="CM678" i="23916" s="1"/>
  <c r="CN678" i="23916" s="1"/>
  <c r="CM682" i="23916"/>
  <c r="CN682" i="23916" s="1"/>
  <c r="GA650" i="23916"/>
  <c r="FZ659" i="23916"/>
  <c r="GA659" i="23916" s="1"/>
  <c r="BV608" i="23916"/>
  <c r="CD608" i="23916"/>
  <c r="BU605" i="23916"/>
  <c r="BU842" i="23916"/>
  <c r="BU829" i="23916"/>
  <c r="BV628" i="23916"/>
  <c r="GH32" i="23916"/>
  <c r="GF58" i="23916"/>
  <c r="GG58" i="23916" s="1"/>
  <c r="GG38" i="23916"/>
  <c r="GD444" i="23916"/>
  <c r="GD445" i="23916" s="1"/>
  <c r="GE438" i="23916"/>
  <c r="GD449" i="23916"/>
  <c r="GE449" i="23916" s="1"/>
  <c r="CT640" i="23916"/>
  <c r="GX855" i="23916"/>
  <c r="GY349" i="23916"/>
  <c r="GZ349" i="23916"/>
  <c r="DO664" i="23916"/>
  <c r="GE381" i="23916"/>
  <c r="GD387" i="23916"/>
  <c r="GN18" i="23916"/>
  <c r="GO18" i="23916" s="1"/>
  <c r="GO17" i="23916"/>
  <c r="GV363" i="23916"/>
  <c r="GV356" i="23916" s="1"/>
  <c r="GW362" i="23916"/>
  <c r="GX362" i="23916"/>
  <c r="EO830" i="23916"/>
  <c r="EO20" i="23916"/>
  <c r="BW745" i="23916"/>
  <c r="BX745" i="23916" s="1"/>
  <c r="BW744" i="23916"/>
  <c r="BX744" i="23916" s="1"/>
  <c r="BW690" i="23916"/>
  <c r="BX640" i="23916"/>
  <c r="BW682" i="23916"/>
  <c r="BX682" i="23916" s="1"/>
  <c r="BW842" i="23916"/>
  <c r="BW829" i="23916"/>
  <c r="BX628" i="23916"/>
  <c r="DS900" i="23916"/>
  <c r="DT689" i="23916"/>
  <c r="DS694" i="23916"/>
  <c r="DS19" i="23916"/>
  <c r="DT19" i="23916" s="1"/>
  <c r="CF640" i="23916"/>
  <c r="GP819" i="23916"/>
  <c r="GQ819" i="23916" s="1"/>
  <c r="GP544" i="23916"/>
  <c r="GQ541" i="23916"/>
  <c r="GP15" i="23916"/>
  <c r="GQ15" i="23916" s="1"/>
  <c r="BU416" i="23916"/>
  <c r="BV416" i="23916" s="1"/>
  <c r="BU412" i="23916"/>
  <c r="BV405" i="23916"/>
  <c r="BU411" i="23916"/>
  <c r="GM650" i="23916"/>
  <c r="GL659" i="23916"/>
  <c r="GR793" i="23916"/>
  <c r="ET615" i="23916"/>
  <c r="DD678" i="23916"/>
  <c r="GD458" i="23916"/>
  <c r="GE453" i="23916"/>
  <c r="GD462" i="23916"/>
  <c r="GD463" i="23916"/>
  <c r="DU659" i="23916"/>
  <c r="DV659" i="23916" s="1"/>
  <c r="DL682" i="23916"/>
  <c r="GW637" i="23916"/>
  <c r="GV639" i="23916"/>
  <c r="CU171" i="23916"/>
  <c r="CV171" i="23916" s="1"/>
  <c r="CV169" i="23916"/>
  <c r="GW317" i="23916"/>
  <c r="GV323" i="23916"/>
  <c r="CO830" i="23916"/>
  <c r="CP692" i="23916"/>
  <c r="CZ755" i="23916"/>
  <c r="EM745" i="23916"/>
  <c r="EN745" i="23916" s="1"/>
  <c r="EM744" i="23916"/>
  <c r="EN744" i="23916" s="1"/>
  <c r="EM690" i="23916"/>
  <c r="EN640" i="23916"/>
  <c r="EM842" i="23916"/>
  <c r="EM829" i="23916"/>
  <c r="EM743" i="23916"/>
  <c r="EN743" i="23916" s="1"/>
  <c r="EM692" i="23916"/>
  <c r="EN628" i="23916"/>
  <c r="DM830" i="23916"/>
  <c r="GK652" i="23916"/>
  <c r="GK681" i="23916"/>
  <c r="GK658" i="23916"/>
  <c r="GJ842" i="23916"/>
  <c r="GJ829" i="23916"/>
  <c r="GJ743" i="23916"/>
  <c r="GK628" i="23916"/>
  <c r="EF694" i="23916"/>
  <c r="EE630" i="23916"/>
  <c r="EE21" i="23916"/>
  <c r="CD654" i="23916"/>
  <c r="CD658" i="23916"/>
  <c r="CD656" i="23916"/>
  <c r="CC789" i="23916"/>
  <c r="CU664" i="23916"/>
  <c r="BU431" i="23916"/>
  <c r="BU432" i="23916" s="1"/>
  <c r="BU426" i="23916"/>
  <c r="BV426" i="23916" s="1"/>
  <c r="BU430" i="23916"/>
  <c r="BU425" i="23916"/>
  <c r="BV420" i="23916"/>
  <c r="CB690" i="23916"/>
  <c r="CA664" i="23916"/>
  <c r="CB664" i="23916" s="1"/>
  <c r="CZ32" i="23916"/>
  <c r="CY43" i="23916"/>
  <c r="CZ43" i="23916" s="1"/>
  <c r="CY42" i="23916"/>
  <c r="CZ42" i="23916" s="1"/>
  <c r="CY41" i="23916"/>
  <c r="CZ41" i="23916" s="1"/>
  <c r="CY39" i="23916"/>
  <c r="CY38" i="23916"/>
  <c r="GY282" i="23916"/>
  <c r="GZ282" i="23916"/>
  <c r="GX284" i="23916"/>
  <c r="Q138" i="23916"/>
  <c r="R138" i="23916" s="1"/>
  <c r="Q137" i="23916"/>
  <c r="R137" i="23916" s="1"/>
  <c r="Q133" i="23916"/>
  <c r="R127" i="23916"/>
  <c r="EK829" i="23916"/>
  <c r="EK842" i="23916"/>
  <c r="EK743" i="23916"/>
  <c r="EL743" i="23916" s="1"/>
  <c r="EK692" i="23916"/>
  <c r="EL628" i="23916"/>
  <c r="GZ703" i="23916"/>
  <c r="GY703" i="23916"/>
  <c r="CP682" i="23916"/>
  <c r="CY830" i="23916"/>
  <c r="CZ692" i="23916"/>
  <c r="CZ682" i="23916"/>
  <c r="GN755" i="23916"/>
  <c r="GO755" i="23916" s="1"/>
  <c r="GN742" i="23916"/>
  <c r="GO742" i="23916" s="1"/>
  <c r="GN689" i="23916"/>
  <c r="GO626" i="23916"/>
  <c r="GN640" i="23916"/>
  <c r="GN784" i="23916"/>
  <c r="GO784" i="23916" s="1"/>
  <c r="GN657" i="23916"/>
  <c r="GO657" i="23916" s="1"/>
  <c r="GN654" i="23916"/>
  <c r="GO654" i="23916" s="1"/>
  <c r="GN656" i="23916"/>
  <c r="GO656" i="23916" s="1"/>
  <c r="GN647" i="23916"/>
  <c r="GO647" i="23916" s="1"/>
  <c r="GN653" i="23916"/>
  <c r="GO653" i="23916" s="1"/>
  <c r="GN658" i="23916"/>
  <c r="GO658" i="23916" s="1"/>
  <c r="GN652" i="23916"/>
  <c r="GO652" i="23916" s="1"/>
  <c r="GN649" i="23916"/>
  <c r="GN681" i="23916"/>
  <c r="GO681" i="23916" s="1"/>
  <c r="GN648" i="23916"/>
  <c r="GO648" i="23916" s="1"/>
  <c r="GN655" i="23916"/>
  <c r="GO655" i="23916" s="1"/>
  <c r="EI900" i="23916"/>
  <c r="EJ689" i="23916"/>
  <c r="EJ900" i="23916" s="1"/>
  <c r="EI694" i="23916"/>
  <c r="EI19" i="23916"/>
  <c r="EJ19" i="23916" s="1"/>
  <c r="CH655" i="23916"/>
  <c r="CP655" i="23916"/>
  <c r="CG900" i="23916"/>
  <c r="CG694" i="23916"/>
  <c r="CG630" i="23916" s="1"/>
  <c r="CG631" i="23916" s="1"/>
  <c r="FZ631" i="23916" s="1"/>
  <c r="CH689" i="23916"/>
  <c r="CG692" i="23916"/>
  <c r="GC655" i="23916"/>
  <c r="EO664" i="23916"/>
  <c r="CI690" i="23916"/>
  <c r="CI642" i="23916"/>
  <c r="CI678" i="23916" s="1"/>
  <c r="CJ678" i="23916" s="1"/>
  <c r="CJ640" i="23916"/>
  <c r="CI682" i="23916"/>
  <c r="CJ682" i="23916" s="1"/>
  <c r="EW619" i="23916"/>
  <c r="EW341" i="23916"/>
  <c r="EX341" i="23916" s="1"/>
  <c r="EX334" i="23916"/>
  <c r="EW337" i="23916"/>
  <c r="EX337" i="23916" s="1"/>
  <c r="EW12" i="23916"/>
  <c r="EX12" i="23916" s="1"/>
  <c r="CF755" i="23916"/>
  <c r="CV755" i="23916"/>
  <c r="GQ618" i="23916"/>
  <c r="CS830" i="23916"/>
  <c r="CT692" i="23916"/>
  <c r="CT654" i="23916"/>
  <c r="CP658" i="23916"/>
  <c r="GL381" i="23916"/>
  <c r="EA387" i="23916"/>
  <c r="EB381" i="23916"/>
  <c r="EA388" i="23916"/>
  <c r="EB755" i="23916"/>
  <c r="GW382" i="23916"/>
  <c r="GV827" i="23916"/>
  <c r="DZ658" i="23916"/>
  <c r="DY745" i="23916"/>
  <c r="DY744" i="23916"/>
  <c r="DY690" i="23916"/>
  <c r="DZ640" i="23916"/>
  <c r="DZ755" i="23916"/>
  <c r="CA766" i="23916"/>
  <c r="CB766" i="23916" s="1"/>
  <c r="CA734" i="23916"/>
  <c r="CB731" i="23916"/>
  <c r="EW822" i="23916"/>
  <c r="EX544" i="23916"/>
  <c r="CW138" i="23916"/>
  <c r="CX138" i="23916" s="1"/>
  <c r="CW137" i="23916"/>
  <c r="CX137" i="23916" s="1"/>
  <c r="CX127" i="23916"/>
  <c r="CW135" i="23916"/>
  <c r="CW133" i="23916"/>
  <c r="EB648" i="23916"/>
  <c r="EW370" i="23916"/>
  <c r="GC170" i="23916"/>
  <c r="GZ457" i="23916"/>
  <c r="GY457" i="23916"/>
  <c r="GH615" i="23916"/>
  <c r="GH271" i="23916"/>
  <c r="GI269" i="23916"/>
  <c r="GH275" i="23916"/>
  <c r="GK269" i="23916"/>
  <c r="GX717" i="23916"/>
  <c r="GZ714" i="23916"/>
  <c r="GY714" i="23916"/>
  <c r="GG653" i="23916"/>
  <c r="GG657" i="23916"/>
  <c r="GF690" i="23916"/>
  <c r="GG640" i="23916"/>
  <c r="GF682" i="23916"/>
  <c r="EB32" i="23916"/>
  <c r="EA43" i="23916"/>
  <c r="EB43" i="23916" s="1"/>
  <c r="EA42" i="23916"/>
  <c r="EB42" i="23916" s="1"/>
  <c r="EA41" i="23916"/>
  <c r="EB41" i="23916" s="1"/>
  <c r="EA39" i="23916"/>
  <c r="EA38" i="23916"/>
  <c r="EF743" i="23916"/>
  <c r="GG721" i="23916"/>
  <c r="GF722" i="23916"/>
  <c r="GG722" i="23916" s="1"/>
  <c r="DT650" i="23916"/>
  <c r="DS659" i="23916"/>
  <c r="DT659" i="23916" s="1"/>
  <c r="DF654" i="23916"/>
  <c r="DE690" i="23916"/>
  <c r="DF640" i="23916"/>
  <c r="DE682" i="23916"/>
  <c r="DE900" i="23916"/>
  <c r="DE694" i="23916"/>
  <c r="DE630" i="23916" s="1"/>
  <c r="DE631" i="23916" s="1"/>
  <c r="DF689" i="23916"/>
  <c r="AW138" i="23916"/>
  <c r="AX138" i="23916" s="1"/>
  <c r="AW137" i="23916"/>
  <c r="AX137" i="23916" s="1"/>
  <c r="AW135" i="23916"/>
  <c r="AW133" i="23916"/>
  <c r="AX127" i="23916"/>
  <c r="ED652" i="23916"/>
  <c r="ED656" i="23916"/>
  <c r="ED657" i="23916"/>
  <c r="EC900" i="23916"/>
  <c r="EC694" i="23916"/>
  <c r="ED689" i="23916"/>
  <c r="ED900" i="23916" s="1"/>
  <c r="EC19" i="23916"/>
  <c r="ED19" i="23916" s="1"/>
  <c r="GG52" i="23916"/>
  <c r="GF71" i="23916"/>
  <c r="GG71" i="23916" s="1"/>
  <c r="BZ608" i="23916"/>
  <c r="BY605" i="23916"/>
  <c r="CH608" i="23916"/>
  <c r="EA459" i="23916"/>
  <c r="EB459" i="23916" s="1"/>
  <c r="EC453" i="23916"/>
  <c r="EB458" i="23916"/>
  <c r="DK830" i="23916"/>
  <c r="DL692" i="23916"/>
  <c r="GZ357" i="23916"/>
  <c r="GY357" i="23916"/>
  <c r="CT657" i="23916"/>
  <c r="CZ658" i="23916"/>
  <c r="DP653" i="23916"/>
  <c r="CT648" i="23916"/>
  <c r="GC653" i="23916"/>
  <c r="GC654" i="23916"/>
  <c r="GB690" i="23916"/>
  <c r="GC640" i="23916"/>
  <c r="GB682" i="23916"/>
  <c r="GC755" i="23916"/>
  <c r="EP689" i="23916"/>
  <c r="EP900" i="23916" s="1"/>
  <c r="DG829" i="23916"/>
  <c r="DG692" i="23916"/>
  <c r="DH628" i="23916"/>
  <c r="CI659" i="23916"/>
  <c r="CJ659" i="23916" s="1"/>
  <c r="CP653" i="23916"/>
  <c r="EB659" i="23916"/>
  <c r="EH648" i="23916"/>
  <c r="EH654" i="23916"/>
  <c r="EH656" i="23916"/>
  <c r="EH742" i="23916"/>
  <c r="BW659" i="23916"/>
  <c r="BX659" i="23916" s="1"/>
  <c r="GK650" i="23916"/>
  <c r="GM655" i="23916"/>
  <c r="GM647" i="23916"/>
  <c r="GM653" i="23916"/>
  <c r="GM784" i="23916"/>
  <c r="GM742" i="23916"/>
  <c r="EK659" i="23916"/>
  <c r="EL659" i="23916" s="1"/>
  <c r="EI659" i="23916"/>
  <c r="EJ659" i="23916" s="1"/>
  <c r="FX690" i="23916"/>
  <c r="FY640" i="23916"/>
  <c r="FX682" i="23916"/>
  <c r="FY755" i="23916"/>
  <c r="GH900" i="23916"/>
  <c r="GH692" i="23916"/>
  <c r="GI689" i="23916"/>
  <c r="GD426" i="23916"/>
  <c r="GE426" i="23916" s="1"/>
  <c r="GE425" i="23916"/>
  <c r="CM829" i="23916"/>
  <c r="CM692" i="23916"/>
  <c r="CN628" i="23916"/>
  <c r="GU669" i="23916"/>
  <c r="GT671" i="23916"/>
  <c r="GU671" i="23916" s="1"/>
  <c r="CR650" i="23916"/>
  <c r="CQ659" i="23916"/>
  <c r="CR659" i="23916" s="1"/>
  <c r="BU479" i="23916"/>
  <c r="BV479" i="23916" s="1"/>
  <c r="BV398" i="23916"/>
  <c r="DU745" i="23916"/>
  <c r="DU744" i="23916"/>
  <c r="DU690" i="23916"/>
  <c r="DV640" i="23916"/>
  <c r="BU745" i="23916"/>
  <c r="BV745" i="23916" s="1"/>
  <c r="BU744" i="23916"/>
  <c r="BV744" i="23916" s="1"/>
  <c r="BU690" i="23916"/>
  <c r="BU642" i="23916"/>
  <c r="BU678" i="23916" s="1"/>
  <c r="BV678" i="23916" s="1"/>
  <c r="BV640" i="23916"/>
  <c r="BU682" i="23916"/>
  <c r="BV682" i="23916" s="1"/>
  <c r="CV445" i="23916"/>
  <c r="CU448" i="23916"/>
  <c r="CV448" i="23916" s="1"/>
  <c r="CT655" i="23916"/>
  <c r="EU816" i="23916"/>
  <c r="EV372" i="23916"/>
  <c r="GD650" i="23916"/>
  <c r="EP743" i="23916"/>
  <c r="BX648" i="23916"/>
  <c r="CF648" i="23916"/>
  <c r="BW900" i="23916"/>
  <c r="BW692" i="23916"/>
  <c r="BW694" i="23916"/>
  <c r="BW630" i="23916" s="1"/>
  <c r="BW631" i="23916" s="1"/>
  <c r="FX631" i="23916" s="1"/>
  <c r="BX689" i="23916"/>
  <c r="CF656" i="23916"/>
  <c r="CF690" i="23916"/>
  <c r="CE664" i="23916"/>
  <c r="GR375" i="23916"/>
  <c r="GS375" i="23916" s="1"/>
  <c r="GS367" i="23916"/>
  <c r="GR373" i="23916"/>
  <c r="DQ745" i="23916"/>
  <c r="DQ744" i="23916"/>
  <c r="DQ690" i="23916"/>
  <c r="DR640" i="23916"/>
  <c r="DQ900" i="23916"/>
  <c r="DQ694" i="23916"/>
  <c r="DR689" i="23916"/>
  <c r="CJ605" i="23916"/>
  <c r="CB605" i="23916"/>
  <c r="CA606" i="23916"/>
  <c r="CR655" i="23916"/>
  <c r="CZ655" i="23916"/>
  <c r="DL678" i="23916"/>
  <c r="GZ316" i="23916"/>
  <c r="GX317" i="23916"/>
  <c r="GY316" i="23916"/>
  <c r="GX853" i="23916"/>
  <c r="GX593" i="23916"/>
  <c r="CZ653" i="23916"/>
  <c r="EB434" i="23916"/>
  <c r="GX850" i="23916"/>
  <c r="GZ251" i="23916"/>
  <c r="GY251" i="23916"/>
  <c r="GY205" i="23916"/>
  <c r="GZ205" i="23916"/>
  <c r="GK657" i="23916"/>
  <c r="GJ900" i="23916"/>
  <c r="GK689" i="23916"/>
  <c r="GJ692" i="23916"/>
  <c r="GJ19" i="23916"/>
  <c r="GK19" i="23916" s="1"/>
  <c r="GX219" i="23916"/>
  <c r="GY219" i="23916" s="1"/>
  <c r="GX218" i="23916"/>
  <c r="GX203" i="23916"/>
  <c r="GY217" i="23916"/>
  <c r="BV458" i="23916"/>
  <c r="BW453" i="23916"/>
  <c r="DF659" i="23916"/>
  <c r="CC690" i="23916"/>
  <c r="CC642" i="23916"/>
  <c r="CC678" i="23916" s="1"/>
  <c r="CD678" i="23916" s="1"/>
  <c r="CD640" i="23916"/>
  <c r="CC682" i="23916"/>
  <c r="CD682" i="23916" s="1"/>
  <c r="CD653" i="23916"/>
  <c r="CD657" i="23916"/>
  <c r="CU830" i="23916"/>
  <c r="CV692" i="23916"/>
  <c r="CV682" i="23916"/>
  <c r="CW829" i="23916"/>
  <c r="CW692" i="23916"/>
  <c r="CX628" i="23916"/>
  <c r="BY659" i="23916"/>
  <c r="BZ659" i="23916" s="1"/>
  <c r="BZ650" i="23916"/>
  <c r="EK900" i="23916"/>
  <c r="EK694" i="23916"/>
  <c r="EL689" i="23916"/>
  <c r="EL900" i="23916" s="1"/>
  <c r="EK19" i="23916"/>
  <c r="CT755" i="23916"/>
  <c r="CT652" i="23916"/>
  <c r="CZ640" i="23916"/>
  <c r="CV659" i="23916"/>
  <c r="FS650" i="23916"/>
  <c r="FR659" i="23916"/>
  <c r="FU650" i="23916"/>
  <c r="EI745" i="23916"/>
  <c r="EJ745" i="23916" s="1"/>
  <c r="EI744" i="23916"/>
  <c r="EJ744" i="23916" s="1"/>
  <c r="EI690" i="23916"/>
  <c r="EJ640" i="23916"/>
  <c r="EP744" i="23916"/>
  <c r="CV655" i="23916"/>
  <c r="GZ663" i="23916"/>
  <c r="GY663" i="23916"/>
  <c r="DX694" i="23916"/>
  <c r="DW630" i="23916"/>
  <c r="DW21" i="23916"/>
  <c r="DX21" i="23916" s="1"/>
  <c r="CF658" i="23916"/>
  <c r="CV656" i="23916"/>
  <c r="GU290" i="23916"/>
  <c r="GT291" i="23916"/>
  <c r="CZ656" i="23916"/>
  <c r="CP659" i="23916"/>
  <c r="EB628" i="23916"/>
  <c r="DZ653" i="23916"/>
  <c r="DZ654" i="23916"/>
  <c r="DY842" i="23916"/>
  <c r="DY829" i="23916"/>
  <c r="DY743" i="23916"/>
  <c r="DY692" i="23916"/>
  <c r="DZ628" i="23916"/>
  <c r="EB742" i="23916"/>
  <c r="BU388" i="23916"/>
  <c r="BV381" i="23916"/>
  <c r="BU387" i="23916"/>
  <c r="AW151" i="23916"/>
  <c r="AW147" i="23916"/>
  <c r="AW150" i="23916"/>
  <c r="AX143" i="23916"/>
  <c r="AW148" i="23916"/>
  <c r="AX148" i="23916" s="1"/>
  <c r="GT258" i="23916"/>
  <c r="GU207" i="23916"/>
  <c r="FK135" i="23916"/>
  <c r="FJ169" i="23916"/>
  <c r="FJ170" i="23916"/>
  <c r="FK170" i="23916" s="1"/>
  <c r="FJ167" i="23916"/>
  <c r="FK167" i="23916" s="1"/>
  <c r="DA642" i="23916"/>
  <c r="DA678" i="23916" s="1"/>
  <c r="DB678" i="23916" s="1"/>
  <c r="GG626" i="23916"/>
  <c r="GG755" i="23916"/>
  <c r="CF681" i="23916"/>
  <c r="DD659" i="23916"/>
  <c r="EF690" i="23916"/>
  <c r="EE664" i="23916"/>
  <c r="EF664" i="23916" s="1"/>
  <c r="DF648" i="23916"/>
  <c r="DF652" i="23916"/>
  <c r="DE829" i="23916"/>
  <c r="DE692" i="23916"/>
  <c r="DN692" i="23916" s="1"/>
  <c r="DF628" i="23916"/>
  <c r="ED655" i="23916"/>
  <c r="ED653" i="23916"/>
  <c r="ED742" i="23916"/>
  <c r="GG51" i="23916"/>
  <c r="GH46" i="23916"/>
  <c r="BY745" i="23916"/>
  <c r="BZ745" i="23916" s="1"/>
  <c r="BY744" i="23916"/>
  <c r="BZ744" i="23916" s="1"/>
  <c r="BY690" i="23916"/>
  <c r="BY642" i="23916"/>
  <c r="BY678" i="23916" s="1"/>
  <c r="BZ678" i="23916" s="1"/>
  <c r="BZ640" i="23916"/>
  <c r="BY682" i="23916"/>
  <c r="BZ682" i="23916" s="1"/>
  <c r="GL458" i="23916"/>
  <c r="GM453" i="23916"/>
  <c r="GL463" i="23916"/>
  <c r="GM463" i="23916" s="1"/>
  <c r="GL462" i="23916"/>
  <c r="GM462" i="23916" s="1"/>
  <c r="GY293" i="23916"/>
  <c r="GX294" i="23916"/>
  <c r="GX287" i="23916" s="1"/>
  <c r="GZ293" i="23916"/>
  <c r="GU639" i="23916"/>
  <c r="GV534" i="23916"/>
  <c r="GX535" i="23916"/>
  <c r="GX534" i="23916" s="1"/>
  <c r="BF659" i="23916"/>
  <c r="BN659" i="23916"/>
  <c r="GU323" i="23916"/>
  <c r="GT324" i="23916"/>
  <c r="CT681" i="23916"/>
  <c r="CZ654" i="23916"/>
  <c r="GS258" i="23916"/>
  <c r="GR263" i="23916"/>
  <c r="GE405" i="23916"/>
  <c r="GD411" i="23916"/>
  <c r="GD416" i="23916"/>
  <c r="GE416" i="23916" s="1"/>
  <c r="GC626" i="23916"/>
  <c r="GC656" i="23916"/>
  <c r="EP694" i="23916"/>
  <c r="EO630" i="23916"/>
  <c r="EO21" i="23916"/>
  <c r="DG690" i="23916"/>
  <c r="DP690" i="23916" s="1"/>
  <c r="DH640" i="23916"/>
  <c r="DG682" i="23916"/>
  <c r="DH682" i="23916" s="1"/>
  <c r="DG900" i="23916"/>
  <c r="DG694" i="23916"/>
  <c r="DG630" i="23916" s="1"/>
  <c r="DG631" i="23916" s="1"/>
  <c r="DH689" i="23916"/>
  <c r="GZ730" i="23916"/>
  <c r="GY730" i="23916"/>
  <c r="EB650" i="23916"/>
  <c r="EH655" i="23916"/>
  <c r="EH658" i="23916"/>
  <c r="EG745" i="23916"/>
  <c r="EH745" i="23916" s="1"/>
  <c r="EG744" i="23916"/>
  <c r="EH744" i="23916" s="1"/>
  <c r="EG690" i="23916"/>
  <c r="EP690" i="23916" s="1"/>
  <c r="EH640" i="23916"/>
  <c r="EH755" i="23916"/>
  <c r="DI690" i="23916"/>
  <c r="DI642" i="23916"/>
  <c r="DI678" i="23916" s="1"/>
  <c r="DJ640" i="23916"/>
  <c r="DI682" i="23916"/>
  <c r="DJ682" i="23916" s="1"/>
  <c r="DX659" i="23916"/>
  <c r="CC659" i="23916"/>
  <c r="CD659" i="23916" s="1"/>
  <c r="GJ659" i="23916"/>
  <c r="GK659" i="23916" s="1"/>
  <c r="GM648" i="23916"/>
  <c r="GM656" i="23916"/>
  <c r="GM658" i="23916"/>
  <c r="GL842" i="23916"/>
  <c r="GM842" i="23916" s="1"/>
  <c r="GL829" i="23916"/>
  <c r="GM829" i="23916" s="1"/>
  <c r="GL746" i="23916"/>
  <c r="GL743" i="23916"/>
  <c r="GM628" i="23916"/>
  <c r="GM755" i="23916"/>
  <c r="GP812" i="23916" l="1"/>
  <c r="GQ812" i="23916" s="1"/>
  <c r="GP376" i="23916"/>
  <c r="GQ376" i="23916" s="1"/>
  <c r="GQ370" i="23916"/>
  <c r="GP372" i="23916"/>
  <c r="GP13" i="23916"/>
  <c r="GQ13" i="23916" s="1"/>
  <c r="GE445" i="23916"/>
  <c r="GD448" i="23916"/>
  <c r="GE448" i="23916" s="1"/>
  <c r="FZ694" i="23916"/>
  <c r="FZ630" i="23916"/>
  <c r="GV213" i="23916"/>
  <c r="GT211" i="23916"/>
  <c r="GU213" i="23916"/>
  <c r="CB735" i="23916"/>
  <c r="CA742" i="23916"/>
  <c r="CB742" i="23916" s="1"/>
  <c r="CA744" i="23916"/>
  <c r="CB744" i="23916" s="1"/>
  <c r="CA842" i="23916"/>
  <c r="CA743" i="23916"/>
  <c r="EW615" i="23916"/>
  <c r="EW271" i="23916"/>
  <c r="EW275" i="23916"/>
  <c r="EX275" i="23916" s="1"/>
  <c r="EX269" i="23916"/>
  <c r="EW9" i="23916"/>
  <c r="DJ690" i="23916"/>
  <c r="DI664" i="23916"/>
  <c r="DJ664" i="23916" s="1"/>
  <c r="DG642" i="23916"/>
  <c r="DG678" i="23916" s="1"/>
  <c r="DH678" i="23916" s="1"/>
  <c r="GU324" i="23916"/>
  <c r="GT331" i="23916"/>
  <c r="GG647" i="23916"/>
  <c r="FJ171" i="23916"/>
  <c r="FK171" i="23916" s="1"/>
  <c r="FK169" i="23916"/>
  <c r="GU291" i="23916"/>
  <c r="GT298" i="23916"/>
  <c r="EJ690" i="23916"/>
  <c r="EI664" i="23916"/>
  <c r="EJ664" i="23916" s="1"/>
  <c r="FS659" i="23916"/>
  <c r="FU659" i="23916"/>
  <c r="CF664" i="23916"/>
  <c r="DG830" i="23916"/>
  <c r="DH692" i="23916"/>
  <c r="DF682" i="23916"/>
  <c r="DN682" i="23916"/>
  <c r="EC32" i="23916"/>
  <c r="EB38" i="23916"/>
  <c r="CY127" i="23916"/>
  <c r="CX133" i="23916"/>
  <c r="CB734" i="23916"/>
  <c r="CA745" i="23916"/>
  <c r="CB745" i="23916" s="1"/>
  <c r="EA481" i="23916"/>
  <c r="EB481" i="23916" s="1"/>
  <c r="EA480" i="23916"/>
  <c r="EB388" i="23916"/>
  <c r="EX619" i="23916"/>
  <c r="CJ690" i="23916"/>
  <c r="CI664" i="23916"/>
  <c r="CJ664" i="23916" s="1"/>
  <c r="GN745" i="23916"/>
  <c r="GO745" i="23916" s="1"/>
  <c r="GN744" i="23916"/>
  <c r="GO744" i="23916" s="1"/>
  <c r="GN690" i="23916"/>
  <c r="GO640" i="23916"/>
  <c r="GN682" i="23916"/>
  <c r="GO682" i="23916" s="1"/>
  <c r="EK830" i="23916"/>
  <c r="EL692" i="23916"/>
  <c r="EK20" i="23916"/>
  <c r="CF659" i="23916"/>
  <c r="CY58" i="23916"/>
  <c r="CZ58" i="23916" s="1"/>
  <c r="DA32" i="23916"/>
  <c r="CZ38" i="23916"/>
  <c r="EF630" i="23916"/>
  <c r="EE631" i="23916"/>
  <c r="EE642" i="23916"/>
  <c r="GW323" i="23916"/>
  <c r="GV324" i="23916"/>
  <c r="GW639" i="23916"/>
  <c r="GE458" i="23916"/>
  <c r="GD459" i="23916"/>
  <c r="GE459" i="23916" s="1"/>
  <c r="BV412" i="23916"/>
  <c r="BU415" i="23916"/>
  <c r="BV415" i="23916" s="1"/>
  <c r="GP822" i="23916"/>
  <c r="GQ822" i="23916" s="1"/>
  <c r="GQ544" i="23916"/>
  <c r="BW642" i="23916"/>
  <c r="BW678" i="23916" s="1"/>
  <c r="BX678" i="23916" s="1"/>
  <c r="GX363" i="23916"/>
  <c r="GX356" i="23916" s="1"/>
  <c r="GX360" i="23916" s="1"/>
  <c r="GY362" i="23916"/>
  <c r="GZ362" i="23916"/>
  <c r="GX856" i="23916"/>
  <c r="GH43" i="23916"/>
  <c r="GK32" i="23916"/>
  <c r="GH38" i="23916"/>
  <c r="GI32" i="23916"/>
  <c r="GH42" i="23916"/>
  <c r="GH41" i="23916"/>
  <c r="BU606" i="23916"/>
  <c r="CD605" i="23916"/>
  <c r="BV605" i="23916"/>
  <c r="EH411" i="23916"/>
  <c r="EI405" i="23916"/>
  <c r="GD694" i="23916"/>
  <c r="GD630" i="23916"/>
  <c r="DO763" i="23916"/>
  <c r="DP763" i="23916" s="1"/>
  <c r="DO762" i="23916"/>
  <c r="DO761" i="23916"/>
  <c r="DO760" i="23916"/>
  <c r="DO751" i="23916"/>
  <c r="DO749" i="23916"/>
  <c r="DO752" i="23916"/>
  <c r="DO721" i="23916"/>
  <c r="DP718" i="23916"/>
  <c r="DO719" i="23916"/>
  <c r="DP719" i="23916" s="1"/>
  <c r="DQ718" i="23916"/>
  <c r="DO750" i="23916"/>
  <c r="DX664" i="23916"/>
  <c r="EH694" i="23916"/>
  <c r="EG630" i="23916"/>
  <c r="EG21" i="23916"/>
  <c r="CW416" i="23916"/>
  <c r="CX416" i="23916" s="1"/>
  <c r="CW412" i="23916"/>
  <c r="CX405" i="23916"/>
  <c r="CW411" i="23916"/>
  <c r="CZ659" i="23916"/>
  <c r="CC766" i="23916"/>
  <c r="CC734" i="23916"/>
  <c r="CD731" i="23916"/>
  <c r="CE736" i="23916"/>
  <c r="CF736" i="23916" s="1"/>
  <c r="CE733" i="23916"/>
  <c r="CE731" i="23916"/>
  <c r="CE727" i="23916"/>
  <c r="CF727" i="23916" s="1"/>
  <c r="CG730" i="23916"/>
  <c r="CF730" i="23916"/>
  <c r="CE760" i="23916"/>
  <c r="CF760" i="23916" s="1"/>
  <c r="CE762" i="23916"/>
  <c r="CF762" i="23916" s="1"/>
  <c r="CE761" i="23916"/>
  <c r="CF761" i="23916" s="1"/>
  <c r="CZ51" i="23916"/>
  <c r="DA46" i="23916"/>
  <c r="CI830" i="23916"/>
  <c r="CJ692" i="23916"/>
  <c r="EC170" i="23916"/>
  <c r="ED170" i="23916" s="1"/>
  <c r="EC169" i="23916"/>
  <c r="ED135" i="23916"/>
  <c r="CF605" i="23916"/>
  <c r="BX605" i="23916"/>
  <c r="FX605" i="23916"/>
  <c r="BW606" i="23916"/>
  <c r="BU830" i="23916"/>
  <c r="BV692" i="23916"/>
  <c r="FW655" i="23916"/>
  <c r="FY655" i="23916"/>
  <c r="FV829" i="23916"/>
  <c r="FV842" i="23916"/>
  <c r="FV743" i="23916"/>
  <c r="FW628" i="23916"/>
  <c r="FX830" i="23916"/>
  <c r="DI830" i="23916"/>
  <c r="DJ692" i="23916"/>
  <c r="ED745" i="23916"/>
  <c r="EC450" i="23916"/>
  <c r="ED438" i="23916"/>
  <c r="EC449" i="23916"/>
  <c r="ED449" i="23916" s="1"/>
  <c r="EC445" i="23916"/>
  <c r="ED445" i="23916" s="1"/>
  <c r="EC448" i="23916"/>
  <c r="ED448" i="23916" s="1"/>
  <c r="EC444" i="23916"/>
  <c r="DZ694" i="23916"/>
  <c r="DY630" i="23916"/>
  <c r="DY21" i="23916"/>
  <c r="DZ21" i="23916" s="1"/>
  <c r="GP333" i="23916"/>
  <c r="GQ332" i="23916"/>
  <c r="CH682" i="23916"/>
  <c r="EI830" i="23916"/>
  <c r="EJ692" i="23916"/>
  <c r="EI20" i="23916"/>
  <c r="EJ20" i="23916" s="1"/>
  <c r="EB397" i="23916"/>
  <c r="EC392" i="23916"/>
  <c r="GC659" i="23916"/>
  <c r="EX267" i="23916"/>
  <c r="GP267" i="23916"/>
  <c r="GP802" i="23916"/>
  <c r="GQ802" i="23916" s="1"/>
  <c r="GQ373" i="23916"/>
  <c r="GX639" i="23916"/>
  <c r="GZ637" i="23916"/>
  <c r="GY637" i="23916"/>
  <c r="DD664" i="23916"/>
  <c r="GT793" i="23916"/>
  <c r="GU685" i="23916"/>
  <c r="DQ830" i="23916"/>
  <c r="DR692" i="23916"/>
  <c r="CX438" i="23916"/>
  <c r="CW445" i="23916"/>
  <c r="CW449" i="23916"/>
  <c r="CX449" i="23916" s="1"/>
  <c r="CW444" i="23916"/>
  <c r="FZ690" i="23916"/>
  <c r="GA640" i="23916"/>
  <c r="FZ642" i="23916"/>
  <c r="FZ678" i="23916" s="1"/>
  <c r="GA678" i="23916" s="1"/>
  <c r="FZ682" i="23916"/>
  <c r="GA682" i="23916" s="1"/>
  <c r="FZ829" i="23916"/>
  <c r="GA628" i="23916"/>
  <c r="GZ674" i="23916"/>
  <c r="GY674" i="23916"/>
  <c r="GX669" i="23916"/>
  <c r="GX673" i="23916"/>
  <c r="CV148" i="23916"/>
  <c r="CU167" i="23916"/>
  <c r="CV167" i="23916" s="1"/>
  <c r="FY653" i="23916"/>
  <c r="DS682" i="23916"/>
  <c r="DT682" i="23916" s="1"/>
  <c r="DS681" i="23916"/>
  <c r="DT681" i="23916" s="1"/>
  <c r="DT665" i="23916"/>
  <c r="GX258" i="23916"/>
  <c r="GZ207" i="23916"/>
  <c r="GY207" i="23916"/>
  <c r="DZ659" i="23916"/>
  <c r="EB19" i="23916"/>
  <c r="GG72" i="23916"/>
  <c r="GF74" i="23916"/>
  <c r="GG74" i="23916" s="1"/>
  <c r="GY203" i="23916"/>
  <c r="GZ203" i="23916"/>
  <c r="GJ830" i="23916"/>
  <c r="GK692" i="23916"/>
  <c r="GJ20" i="23916"/>
  <c r="GK20" i="23916" s="1"/>
  <c r="FX694" i="23916"/>
  <c r="FX630" i="23916"/>
  <c r="FX642" i="23916" s="1"/>
  <c r="FX678" i="23916" s="1"/>
  <c r="FY678" i="23916" s="1"/>
  <c r="BY606" i="23916"/>
  <c r="CH605" i="23916"/>
  <c r="BZ605" i="23916"/>
  <c r="EA73" i="23916"/>
  <c r="EB73" i="23916" s="1"/>
  <c r="EA72" i="23916"/>
  <c r="EA71" i="23916"/>
  <c r="EB71" i="23916" s="1"/>
  <c r="EB39" i="23916"/>
  <c r="DZ690" i="23916"/>
  <c r="DY664" i="23916"/>
  <c r="EJ694" i="23916"/>
  <c r="EI630" i="23916"/>
  <c r="EI21" i="23916"/>
  <c r="EJ21" i="23916" s="1"/>
  <c r="CY73" i="23916"/>
  <c r="CZ73" i="23916" s="1"/>
  <c r="CY72" i="23916"/>
  <c r="CY70" i="23916"/>
  <c r="CZ70" i="23916" s="1"/>
  <c r="CZ39" i="23916"/>
  <c r="BV425" i="23916"/>
  <c r="BW420" i="23916"/>
  <c r="CN690" i="23916"/>
  <c r="CM664" i="23916"/>
  <c r="CN664" i="23916" s="1"/>
  <c r="GI690" i="23916"/>
  <c r="GH664" i="23916"/>
  <c r="GL830" i="23916"/>
  <c r="GM830" i="23916" s="1"/>
  <c r="GM692" i="23916"/>
  <c r="GL20" i="23916"/>
  <c r="GF830" i="23916"/>
  <c r="GG692" i="23916"/>
  <c r="FY730" i="23916"/>
  <c r="FX761" i="23916"/>
  <c r="FY761" i="23916" s="1"/>
  <c r="FX731" i="23916"/>
  <c r="FX733" i="23916"/>
  <c r="FX762" i="23916"/>
  <c r="FY762" i="23916" s="1"/>
  <c r="FX760" i="23916"/>
  <c r="FY760" i="23916" s="1"/>
  <c r="FX724" i="23916"/>
  <c r="FY724" i="23916" s="1"/>
  <c r="CY71" i="23916"/>
  <c r="CZ71" i="23916" s="1"/>
  <c r="CZ52" i="23916"/>
  <c r="EA152" i="23916"/>
  <c r="EB152" i="23916" s="1"/>
  <c r="EB151" i="23916"/>
  <c r="GD900" i="23916"/>
  <c r="GD692" i="23916"/>
  <c r="GE689" i="23916"/>
  <c r="CL678" i="23916"/>
  <c r="GY287" i="23916"/>
  <c r="GZ287" i="23916"/>
  <c r="GI46" i="23916"/>
  <c r="GH55" i="23916"/>
  <c r="GI55" i="23916" s="1"/>
  <c r="GH51" i="23916"/>
  <c r="GI51" i="23916" s="1"/>
  <c r="GH54" i="23916"/>
  <c r="GI54" i="23916" s="1"/>
  <c r="EL694" i="23916"/>
  <c r="EK630" i="23916"/>
  <c r="EK21" i="23916"/>
  <c r="GH830" i="23916"/>
  <c r="GI692" i="23916"/>
  <c r="AW809" i="23916"/>
  <c r="AW155" i="23916"/>
  <c r="AX155" i="23916" s="1"/>
  <c r="AY127" i="23916"/>
  <c r="AX133" i="23916"/>
  <c r="GF664" i="23916"/>
  <c r="GZ717" i="23916"/>
  <c r="GY717" i="23916"/>
  <c r="GI271" i="23916"/>
  <c r="GK271" i="23916"/>
  <c r="CW170" i="23916"/>
  <c r="CX170" i="23916" s="1"/>
  <c r="CW169" i="23916"/>
  <c r="CX135" i="23916"/>
  <c r="GX290" i="23916"/>
  <c r="GZ284" i="23916"/>
  <c r="GY284" i="23916"/>
  <c r="CV664" i="23916"/>
  <c r="EN690" i="23916"/>
  <c r="EM664" i="23916"/>
  <c r="EN664" i="23916" s="1"/>
  <c r="GD401" i="23916"/>
  <c r="GE401" i="23916" s="1"/>
  <c r="GE387" i="23916"/>
  <c r="GE444" i="23916"/>
  <c r="GD466" i="23916"/>
  <c r="GE466" i="23916" s="1"/>
  <c r="BV444" i="23916"/>
  <c r="BU466" i="23916"/>
  <c r="BV466" i="23916" s="1"/>
  <c r="BW438" i="23916"/>
  <c r="DN721" i="23916"/>
  <c r="DM722" i="23916"/>
  <c r="DN722" i="23916" s="1"/>
  <c r="CV480" i="23916"/>
  <c r="CU482" i="23916"/>
  <c r="CV482" i="23916" s="1"/>
  <c r="FV694" i="23916"/>
  <c r="FV630" i="23916"/>
  <c r="BW398" i="23916"/>
  <c r="BX392" i="23916"/>
  <c r="BW397" i="23916"/>
  <c r="GY601" i="23916"/>
  <c r="GZ601" i="23916"/>
  <c r="GR819" i="23916"/>
  <c r="GS819" i="23916" s="1"/>
  <c r="GR624" i="23916"/>
  <c r="GR623" i="23916"/>
  <c r="GS623" i="23916" s="1"/>
  <c r="GR544" i="23916"/>
  <c r="GS541" i="23916"/>
  <c r="GR15" i="23916"/>
  <c r="GS15" i="23916" s="1"/>
  <c r="EG830" i="23916"/>
  <c r="EH692" i="23916"/>
  <c r="EG20" i="23916"/>
  <c r="EH20" i="23916" s="1"/>
  <c r="GQ238" i="23916"/>
  <c r="GR238" i="23916"/>
  <c r="GB830" i="23916"/>
  <c r="GL397" i="23916"/>
  <c r="GM392" i="23916"/>
  <c r="GS665" i="23916"/>
  <c r="DS830" i="23916"/>
  <c r="DT692" i="23916"/>
  <c r="DS20" i="23916"/>
  <c r="DT20" i="23916" s="1"/>
  <c r="DN630" i="23916"/>
  <c r="DM631" i="23916"/>
  <c r="DM642" i="23916"/>
  <c r="EH690" i="23916"/>
  <c r="EG664" i="23916"/>
  <c r="GC648" i="23916"/>
  <c r="GM458" i="23916"/>
  <c r="GL459" i="23916"/>
  <c r="GM459" i="23916" s="1"/>
  <c r="BZ690" i="23916"/>
  <c r="BY664" i="23916"/>
  <c r="BZ664" i="23916" s="1"/>
  <c r="DY830" i="23916"/>
  <c r="DZ692" i="23916"/>
  <c r="DY20" i="23916"/>
  <c r="DZ20" i="23916" s="1"/>
  <c r="DX630" i="23916"/>
  <c r="DW631" i="23916"/>
  <c r="DW642" i="23916"/>
  <c r="CW830" i="23916"/>
  <c r="CX692" i="23916"/>
  <c r="CD690" i="23916"/>
  <c r="CC664" i="23916"/>
  <c r="BW462" i="23916"/>
  <c r="BW459" i="23916"/>
  <c r="BX459" i="23916" s="1"/>
  <c r="BX453" i="23916"/>
  <c r="BW458" i="23916"/>
  <c r="BW463" i="23916"/>
  <c r="BW464" i="23916" s="1"/>
  <c r="GZ317" i="23916"/>
  <c r="GY317" i="23916"/>
  <c r="GX323" i="23916"/>
  <c r="GS373" i="23916"/>
  <c r="BW830" i="23916"/>
  <c r="BX692" i="23916"/>
  <c r="BV690" i="23916"/>
  <c r="BU664" i="23916"/>
  <c r="BV664" i="23916" s="1"/>
  <c r="CM830" i="23916"/>
  <c r="CN692" i="23916"/>
  <c r="GC657" i="23916"/>
  <c r="GC690" i="23916"/>
  <c r="GB664" i="23916"/>
  <c r="EC458" i="23916"/>
  <c r="EC462" i="23916"/>
  <c r="ED462" i="23916" s="1"/>
  <c r="EC463" i="23916"/>
  <c r="ED453" i="23916"/>
  <c r="AW170" i="23916"/>
  <c r="AX170" i="23916" s="1"/>
  <c r="AW169" i="23916"/>
  <c r="AW167" i="23916"/>
  <c r="AX167" i="23916" s="1"/>
  <c r="AX135" i="23916"/>
  <c r="DE642" i="23916"/>
  <c r="DE678" i="23916" s="1"/>
  <c r="DF678" i="23916" s="1"/>
  <c r="GP619" i="23916"/>
  <c r="GI615" i="23916"/>
  <c r="GK615" i="23916"/>
  <c r="EW812" i="23916"/>
  <c r="EW620" i="23916"/>
  <c r="EW372" i="23916"/>
  <c r="EW376" i="23916"/>
  <c r="EX376" i="23916" s="1"/>
  <c r="EX370" i="23916"/>
  <c r="EW13" i="23916"/>
  <c r="EX13" i="23916" s="1"/>
  <c r="DZ744" i="23916"/>
  <c r="EB387" i="23916"/>
  <c r="EC381" i="23916"/>
  <c r="EA401" i="23916"/>
  <c r="CG830" i="23916"/>
  <c r="CH692" i="23916"/>
  <c r="GN900" i="23916"/>
  <c r="GO689" i="23916"/>
  <c r="GN692" i="23916"/>
  <c r="GN19" i="23916"/>
  <c r="GO19" i="23916" s="1"/>
  <c r="Q135" i="23916"/>
  <c r="R133" i="23916"/>
  <c r="S127" i="23916"/>
  <c r="CV690" i="23916"/>
  <c r="BW405" i="23916"/>
  <c r="BV411" i="23916"/>
  <c r="BU434" i="23916"/>
  <c r="BV434" i="23916" s="1"/>
  <c r="BX690" i="23916"/>
  <c r="BW664" i="23916"/>
  <c r="BX664" i="23916" s="1"/>
  <c r="EP692" i="23916"/>
  <c r="GW356" i="23916"/>
  <c r="GV360" i="23916"/>
  <c r="GI682" i="23916"/>
  <c r="GM690" i="23916"/>
  <c r="GL664" i="23916"/>
  <c r="GC647" i="23916"/>
  <c r="EC830" i="23916"/>
  <c r="ED692" i="23916"/>
  <c r="EC20" i="23916"/>
  <c r="GG689" i="23916"/>
  <c r="CY398" i="23916"/>
  <c r="CY397" i="23916"/>
  <c r="CZ392" i="23916"/>
  <c r="GQ624" i="23916"/>
  <c r="EL690" i="23916"/>
  <c r="EK664" i="23916"/>
  <c r="FN148" i="23916"/>
  <c r="FO148" i="23916" s="1"/>
  <c r="FO147" i="23916"/>
  <c r="FP148" i="23916"/>
  <c r="FQ147" i="23916"/>
  <c r="CC830" i="23916"/>
  <c r="CD692" i="23916"/>
  <c r="EB147" i="23916"/>
  <c r="EC143" i="23916"/>
  <c r="EA155" i="23916"/>
  <c r="EB155" i="23916" s="1"/>
  <c r="EA809" i="23916"/>
  <c r="EA808" i="23916" s="1"/>
  <c r="EC432" i="23916"/>
  <c r="ED432" i="23916" s="1"/>
  <c r="ED431" i="23916"/>
  <c r="CF678" i="23916"/>
  <c r="GE655" i="23916"/>
  <c r="GG655" i="23916"/>
  <c r="CL690" i="23916"/>
  <c r="CK664" i="23916"/>
  <c r="CL664" i="23916" s="1"/>
  <c r="FV745" i="23916"/>
  <c r="FW745" i="23916" s="1"/>
  <c r="FV744" i="23916"/>
  <c r="FW744" i="23916" s="1"/>
  <c r="FV690" i="23916"/>
  <c r="FV642" i="23916"/>
  <c r="FV678" i="23916" s="1"/>
  <c r="FW678" i="23916" s="1"/>
  <c r="FW640" i="23916"/>
  <c r="FV682" i="23916"/>
  <c r="FW682" i="23916" s="1"/>
  <c r="DV694" i="23916"/>
  <c r="DU630" i="23916"/>
  <c r="DU21" i="23916"/>
  <c r="DV21" i="23916" s="1"/>
  <c r="GR340" i="23916"/>
  <c r="GS340" i="23916" s="1"/>
  <c r="GS331" i="23916"/>
  <c r="GR338" i="23916"/>
  <c r="GS338" i="23916" s="1"/>
  <c r="EH743" i="23916"/>
  <c r="GZ386" i="23916"/>
  <c r="GY386" i="23916"/>
  <c r="ED690" i="23916"/>
  <c r="EC664" i="23916"/>
  <c r="ED664" i="23916" s="1"/>
  <c r="GG654" i="23916"/>
  <c r="GX537" i="23916"/>
  <c r="GR220" i="23916"/>
  <c r="GS211" i="23916"/>
  <c r="GR202" i="23916"/>
  <c r="GY382" i="23916"/>
  <c r="GZ382" i="23916"/>
  <c r="GX827" i="23916"/>
  <c r="DN664" i="23916"/>
  <c r="EP745" i="23916"/>
  <c r="CG642" i="23916"/>
  <c r="CG678" i="23916" s="1"/>
  <c r="EA479" i="23916"/>
  <c r="EB479" i="23916" s="1"/>
  <c r="EA478" i="23916"/>
  <c r="EB478" i="23916" s="1"/>
  <c r="EB398" i="23916"/>
  <c r="O171" i="23916"/>
  <c r="P171" i="23916" s="1"/>
  <c r="P169" i="23916"/>
  <c r="GW290" i="23916"/>
  <c r="GV291" i="23916"/>
  <c r="GJ664" i="23916"/>
  <c r="GK664" i="23916" s="1"/>
  <c r="GK690" i="23916"/>
  <c r="GP308" i="23916"/>
  <c r="GQ308" i="23916" s="1"/>
  <c r="GQ301" i="23916"/>
  <c r="GP304" i="23916"/>
  <c r="GQ304" i="23916" s="1"/>
  <c r="GP11" i="23916"/>
  <c r="GQ11" i="23916" s="1"/>
  <c r="CR690" i="23916"/>
  <c r="CQ664" i="23916"/>
  <c r="CR664" i="23916" s="1"/>
  <c r="GT788" i="23916"/>
  <c r="GU684" i="23916"/>
  <c r="GV684" i="23916"/>
  <c r="GV685" i="23916"/>
  <c r="GT665" i="23916"/>
  <c r="EH659" i="23916"/>
  <c r="CW388" i="23916"/>
  <c r="CX381" i="23916"/>
  <c r="CW387" i="23916"/>
  <c r="DP694" i="23916"/>
  <c r="CK830" i="23916"/>
  <c r="CL692" i="23916"/>
  <c r="DU830" i="23916"/>
  <c r="DV692" i="23916"/>
  <c r="DU20" i="23916"/>
  <c r="DV20" i="23916" s="1"/>
  <c r="GW669" i="23916"/>
  <c r="GV671" i="23916"/>
  <c r="GW671" i="23916" s="1"/>
  <c r="CW143" i="23916"/>
  <c r="CV147" i="23916"/>
  <c r="CU809" i="23916"/>
  <c r="CU808" i="23916" s="1"/>
  <c r="CU155" i="23916"/>
  <c r="CV155" i="23916" s="1"/>
  <c r="DU788" i="23916"/>
  <c r="DV684" i="23916"/>
  <c r="DW684" i="23916"/>
  <c r="DU665" i="23916"/>
  <c r="DU766" i="23916"/>
  <c r="DU756" i="23916"/>
  <c r="GW207" i="23916"/>
  <c r="GV258" i="23916"/>
  <c r="DN694" i="23916"/>
  <c r="FY628" i="23916"/>
  <c r="FY681" i="23916"/>
  <c r="EA631" i="23916"/>
  <c r="EA642" i="23916"/>
  <c r="CH659" i="23916"/>
  <c r="DH690" i="23916"/>
  <c r="DG664" i="23916"/>
  <c r="DH664" i="23916" s="1"/>
  <c r="EP630" i="23916"/>
  <c r="EO631" i="23916"/>
  <c r="EO642" i="23916"/>
  <c r="GE411" i="23916"/>
  <c r="GD434" i="23916"/>
  <c r="GE434" i="23916" s="1"/>
  <c r="BU401" i="23916"/>
  <c r="BV401" i="23916" s="1"/>
  <c r="BV387" i="23916"/>
  <c r="BW381" i="23916"/>
  <c r="DT694" i="23916"/>
  <c r="DS630" i="23916"/>
  <c r="DS21" i="23916"/>
  <c r="DT21" i="23916" s="1"/>
  <c r="EP20" i="23916"/>
  <c r="GB167" i="23916"/>
  <c r="GY288" i="23916"/>
  <c r="GZ288" i="23916"/>
  <c r="GF694" i="23916"/>
  <c r="GF630" i="23916"/>
  <c r="GF642" i="23916" s="1"/>
  <c r="GF678" i="23916" s="1"/>
  <c r="GG678" i="23916" s="1"/>
  <c r="EW801" i="23916"/>
  <c r="EX272" i="23916"/>
  <c r="GN659" i="23916"/>
  <c r="GO659" i="23916" s="1"/>
  <c r="DP630" i="23916"/>
  <c r="DO631" i="23916"/>
  <c r="DP631" i="23916" s="1"/>
  <c r="DO642" i="23916"/>
  <c r="FY654" i="23916"/>
  <c r="GZ320" i="23916"/>
  <c r="GY320" i="23916"/>
  <c r="EB21" i="23916"/>
  <c r="GZ359" i="23916"/>
  <c r="GY359" i="23916"/>
  <c r="GM743" i="23916"/>
  <c r="DJ678" i="23916"/>
  <c r="DP659" i="23916"/>
  <c r="GD412" i="23916"/>
  <c r="DE830" i="23916"/>
  <c r="DF692" i="23916"/>
  <c r="GG681" i="23916"/>
  <c r="GT263" i="23916"/>
  <c r="GU258" i="23916"/>
  <c r="AX147" i="23916"/>
  <c r="AY143" i="23916"/>
  <c r="BU481" i="23916"/>
  <c r="BV481" i="23916" s="1"/>
  <c r="BU480" i="23916"/>
  <c r="BV388" i="23916"/>
  <c r="DZ743" i="23916"/>
  <c r="GZ593" i="23916"/>
  <c r="GY593" i="23916"/>
  <c r="CA787" i="23916"/>
  <c r="CA791" i="23916"/>
  <c r="CA545" i="23916"/>
  <c r="CB606" i="23916"/>
  <c r="CJ606" i="23916"/>
  <c r="DR694" i="23916"/>
  <c r="DQ630" i="23916"/>
  <c r="DR690" i="23916"/>
  <c r="DQ664" i="23916"/>
  <c r="DR664" i="23916" s="1"/>
  <c r="GE650" i="23916"/>
  <c r="GD659" i="23916"/>
  <c r="GG650" i="23916"/>
  <c r="DV690" i="23916"/>
  <c r="DU664" i="23916"/>
  <c r="DV664" i="23916" s="1"/>
  <c r="BU478" i="23916"/>
  <c r="BV478" i="23916" s="1"/>
  <c r="FX664" i="23916"/>
  <c r="FY690" i="23916"/>
  <c r="ED694" i="23916"/>
  <c r="EC630" i="23916"/>
  <c r="EC21" i="23916"/>
  <c r="ED21" i="23916" s="1"/>
  <c r="DF690" i="23916"/>
  <c r="DE664" i="23916"/>
  <c r="GI275" i="23916"/>
  <c r="GK275" i="23916"/>
  <c r="DZ745" i="23916"/>
  <c r="GM381" i="23916"/>
  <c r="GL387" i="23916"/>
  <c r="EP664" i="23916"/>
  <c r="EF21" i="23916"/>
  <c r="DP682" i="23916"/>
  <c r="EM830" i="23916"/>
  <c r="EN692" i="23916"/>
  <c r="EM20" i="23916"/>
  <c r="EN20" i="23916" s="1"/>
  <c r="GM659" i="23916"/>
  <c r="GD388" i="23916"/>
  <c r="BV445" i="23916"/>
  <c r="BU448" i="23916"/>
  <c r="BV448" i="23916" s="1"/>
  <c r="GD147" i="23916"/>
  <c r="GE143" i="23916"/>
  <c r="GD150" i="23916"/>
  <c r="GD151" i="23916"/>
  <c r="GT819" i="23916"/>
  <c r="GT623" i="23916"/>
  <c r="GU623" i="23916" s="1"/>
  <c r="GT624" i="23916"/>
  <c r="GT544" i="23916"/>
  <c r="GU541" i="23916"/>
  <c r="GT15" i="23916"/>
  <c r="ED659" i="23916"/>
  <c r="GM19" i="23916"/>
  <c r="EV621" i="23916"/>
  <c r="GF133" i="23916"/>
  <c r="GG127" i="23916"/>
  <c r="GF138" i="23916"/>
  <c r="GG138" i="23916" s="1"/>
  <c r="GF137" i="23916"/>
  <c r="GG137" i="23916" s="1"/>
  <c r="GM444" i="23916"/>
  <c r="GL466" i="23916"/>
  <c r="GM466" i="23916" s="1"/>
  <c r="GQ334" i="23916"/>
  <c r="GP341" i="23916"/>
  <c r="GQ341" i="23916" s="1"/>
  <c r="GP337" i="23916"/>
  <c r="GQ337" i="23916" s="1"/>
  <c r="GP12" i="23916"/>
  <c r="GQ12" i="23916" s="1"/>
  <c r="GR305" i="23916"/>
  <c r="GS305" i="23916" s="1"/>
  <c r="GR307" i="23916"/>
  <c r="GS307" i="23916" s="1"/>
  <c r="GS298" i="23916"/>
  <c r="GP369" i="23916"/>
  <c r="GQ368" i="23916"/>
  <c r="FX727" i="23916"/>
  <c r="FY727" i="23916" s="1"/>
  <c r="CD727" i="23916"/>
  <c r="CC756" i="23916"/>
  <c r="CC754" i="23916"/>
  <c r="CD754" i="23916" s="1"/>
  <c r="CC753" i="23916"/>
  <c r="CD753" i="23916" s="1"/>
  <c r="CC735" i="23916"/>
  <c r="CD733" i="23916"/>
  <c r="CC752" i="23916"/>
  <c r="CD752" i="23916" s="1"/>
  <c r="CC711" i="23916"/>
  <c r="CC751" i="23916"/>
  <c r="CD751" i="23916" s="1"/>
  <c r="CC750" i="23916"/>
  <c r="CD750" i="23916" s="1"/>
  <c r="CC749" i="23916"/>
  <c r="CD749" i="23916" s="1"/>
  <c r="CP664" i="23916"/>
  <c r="ED133" i="23916"/>
  <c r="EE127" i="23916"/>
  <c r="CY420" i="23916"/>
  <c r="CX425" i="23916"/>
  <c r="CX690" i="23916"/>
  <c r="CW664" i="23916"/>
  <c r="CX664" i="23916" s="1"/>
  <c r="EB148" i="23916"/>
  <c r="EA167" i="23916"/>
  <c r="EB167" i="23916" s="1"/>
  <c r="ED425" i="23916"/>
  <c r="EE420" i="23916"/>
  <c r="EC434" i="23916"/>
  <c r="CW462" i="23916"/>
  <c r="CW458" i="23916"/>
  <c r="CW459" i="23916"/>
  <c r="CX459" i="23916" s="1"/>
  <c r="CX453" i="23916"/>
  <c r="CW463" i="23916"/>
  <c r="CW464" i="23916" s="1"/>
  <c r="GZ732" i="23916"/>
  <c r="GY732" i="23916"/>
  <c r="GX705" i="23916"/>
  <c r="GY102" i="23916"/>
  <c r="GZ102" i="23916"/>
  <c r="GD690" i="23916"/>
  <c r="GD642" i="23916"/>
  <c r="GD678" i="23916" s="1"/>
  <c r="GE678" i="23916" s="1"/>
  <c r="GE640" i="23916"/>
  <c r="GD682" i="23916"/>
  <c r="GE682" i="23916" s="1"/>
  <c r="GD829" i="23916"/>
  <c r="GE628" i="23916"/>
  <c r="CL682" i="23916"/>
  <c r="FW650" i="23916"/>
  <c r="FV659" i="23916"/>
  <c r="FY650" i="23916"/>
  <c r="FW608" i="23916"/>
  <c r="FV605" i="23916"/>
  <c r="FV900" i="23916"/>
  <c r="FV692" i="23916"/>
  <c r="FY692" i="23916" s="1"/>
  <c r="FW689" i="23916"/>
  <c r="FV789" i="23916"/>
  <c r="L147" i="23916"/>
  <c r="K148" i="23916"/>
  <c r="M143" i="23916"/>
  <c r="K155" i="23916"/>
  <c r="L155" i="23916" s="1"/>
  <c r="BY830" i="23916"/>
  <c r="BZ692" i="23916"/>
  <c r="ED744" i="23916"/>
  <c r="GG648" i="23916"/>
  <c r="GZ396" i="23916"/>
  <c r="GY396" i="23916"/>
  <c r="DN690" i="23916"/>
  <c r="CL659" i="23916"/>
  <c r="FX148" i="23916"/>
  <c r="FY147" i="23916"/>
  <c r="GA147" i="23916"/>
  <c r="FZ148" i="23916"/>
  <c r="CH690" i="23916"/>
  <c r="CG664" i="23916"/>
  <c r="CH664" i="23916" s="1"/>
  <c r="GN842" i="23916"/>
  <c r="GO842" i="23916" s="1"/>
  <c r="GN829" i="23916"/>
  <c r="GO829" i="23916" s="1"/>
  <c r="GN746" i="23916"/>
  <c r="GN743" i="23916"/>
  <c r="GO743" i="23916" s="1"/>
  <c r="GO628" i="23916"/>
  <c r="GK682" i="23916"/>
  <c r="GM434" i="23916"/>
  <c r="EN694" i="23916"/>
  <c r="EM630" i="23916"/>
  <c r="EM21" i="23916"/>
  <c r="EN21" i="23916" s="1"/>
  <c r="CQ830" i="23916"/>
  <c r="CR692" i="23916"/>
  <c r="CR682" i="23916"/>
  <c r="CF682" i="23916"/>
  <c r="DT690" i="23916"/>
  <c r="DS664" i="23916"/>
  <c r="DT664" i="23916" s="1"/>
  <c r="GU360" i="23916"/>
  <c r="GT367" i="23916"/>
  <c r="DP692" i="23916"/>
  <c r="GP274" i="23916"/>
  <c r="GQ274" i="23916" s="1"/>
  <c r="GQ266" i="23916"/>
  <c r="GP272" i="23916"/>
  <c r="FZ900" i="23916"/>
  <c r="FZ692" i="23916"/>
  <c r="GC692" i="23916" s="1"/>
  <c r="GA689" i="23916"/>
  <c r="GB630" i="23916"/>
  <c r="CM631" i="23916"/>
  <c r="GV537" i="23916"/>
  <c r="FY608" i="23916"/>
  <c r="EB664" i="23916"/>
  <c r="FY648" i="23916"/>
  <c r="DR682" i="23916"/>
  <c r="EB694" i="23916"/>
  <c r="GR300" i="23916"/>
  <c r="GQ300" i="23916"/>
  <c r="GY360" i="23916" l="1"/>
  <c r="GZ360" i="23916"/>
  <c r="GX367" i="23916"/>
  <c r="GA148" i="23916"/>
  <c r="FZ167" i="23916"/>
  <c r="FW659" i="23916"/>
  <c r="FY659" i="23916"/>
  <c r="EE430" i="23916"/>
  <c r="EF430" i="23916" s="1"/>
  <c r="EE425" i="23916"/>
  <c r="EF420" i="23916"/>
  <c r="EE431" i="23916"/>
  <c r="EE426" i="23916"/>
  <c r="EF426" i="23916" s="1"/>
  <c r="GE388" i="23916"/>
  <c r="GD481" i="23916"/>
  <c r="GE481" i="23916" s="1"/>
  <c r="GD480" i="23916"/>
  <c r="GD478" i="23916"/>
  <c r="GE478" i="23916" s="1"/>
  <c r="GL401" i="23916"/>
  <c r="GM387" i="23916"/>
  <c r="DP642" i="23916"/>
  <c r="DO678" i="23916"/>
  <c r="DP678" i="23916" s="1"/>
  <c r="GC148" i="23916"/>
  <c r="DW788" i="23916"/>
  <c r="DX684" i="23916"/>
  <c r="DY684" i="23916"/>
  <c r="DW665" i="23916"/>
  <c r="DW766" i="23916"/>
  <c r="DX766" i="23916" s="1"/>
  <c r="DW756" i="23916"/>
  <c r="DX756" i="23916" s="1"/>
  <c r="GV788" i="23916"/>
  <c r="GX685" i="23916"/>
  <c r="GW684" i="23916"/>
  <c r="GX684" i="23916"/>
  <c r="GV665" i="23916"/>
  <c r="GX539" i="23916"/>
  <c r="GX541" i="23916"/>
  <c r="CY479" i="23916"/>
  <c r="CZ479" i="23916" s="1"/>
  <c r="CZ398" i="23916"/>
  <c r="BW411" i="23916"/>
  <c r="BX405" i="23916"/>
  <c r="BW416" i="23916"/>
  <c r="BX416" i="23916" s="1"/>
  <c r="BW412" i="23916"/>
  <c r="GN830" i="23916"/>
  <c r="GO830" i="23916" s="1"/>
  <c r="GO692" i="23916"/>
  <c r="GN20" i="23916"/>
  <c r="GO20" i="23916" s="1"/>
  <c r="EW816" i="23916"/>
  <c r="EX372" i="23916"/>
  <c r="BX458" i="23916"/>
  <c r="BY453" i="23916"/>
  <c r="CD664" i="23916"/>
  <c r="DX642" i="23916"/>
  <c r="GT238" i="23916"/>
  <c r="GS238" i="23916"/>
  <c r="GR235" i="23916"/>
  <c r="GR822" i="23916"/>
  <c r="GS822" i="23916" s="1"/>
  <c r="GS544" i="23916"/>
  <c r="BW479" i="23916"/>
  <c r="BX479" i="23916" s="1"/>
  <c r="BX398" i="23916"/>
  <c r="CW171" i="23916"/>
  <c r="CX171" i="23916" s="1"/>
  <c r="CX169" i="23916"/>
  <c r="GD830" i="23916"/>
  <c r="GE692" i="23916"/>
  <c r="GI664" i="23916"/>
  <c r="BW425" i="23916"/>
  <c r="BW431" i="23916"/>
  <c r="BW432" i="23916" s="1"/>
  <c r="BW426" i="23916"/>
  <c r="BX426" i="23916" s="1"/>
  <c r="BW430" i="23916"/>
  <c r="BX420" i="23916"/>
  <c r="CY74" i="23916"/>
  <c r="CZ74" i="23916" s="1"/>
  <c r="CZ72" i="23916"/>
  <c r="GA690" i="23916"/>
  <c r="FZ664" i="23916"/>
  <c r="GA664" i="23916" s="1"/>
  <c r="GZ639" i="23916"/>
  <c r="GY639" i="23916"/>
  <c r="EC397" i="23916"/>
  <c r="ED392" i="23916"/>
  <c r="EC398" i="23916"/>
  <c r="EC171" i="23916"/>
  <c r="ED171" i="23916" s="1"/>
  <c r="ED169" i="23916"/>
  <c r="CW434" i="23916"/>
  <c r="CX434" i="23916" s="1"/>
  <c r="CX411" i="23916"/>
  <c r="CY405" i="23916"/>
  <c r="EH21" i="23916"/>
  <c r="DP721" i="23916"/>
  <c r="DO722" i="23916"/>
  <c r="DP722" i="23916" s="1"/>
  <c r="GI41" i="23916"/>
  <c r="GK41" i="23916"/>
  <c r="GH58" i="23916"/>
  <c r="GI58" i="23916" s="1"/>
  <c r="GI38" i="23916"/>
  <c r="GK38" i="23916"/>
  <c r="DP664" i="23916"/>
  <c r="EF631" i="23916"/>
  <c r="GN664" i="23916"/>
  <c r="GO664" i="23916" s="1"/>
  <c r="GO690" i="23916"/>
  <c r="EB480" i="23916"/>
  <c r="EA482" i="23916"/>
  <c r="EB482" i="23916" s="1"/>
  <c r="EP21" i="23916"/>
  <c r="EX615" i="23916"/>
  <c r="GW213" i="23916"/>
  <c r="GV211" i="23916"/>
  <c r="GX213" i="23916"/>
  <c r="GP816" i="23916"/>
  <c r="GQ816" i="23916" s="1"/>
  <c r="GQ372" i="23916"/>
  <c r="Q170" i="23916"/>
  <c r="R170" i="23916" s="1"/>
  <c r="Q169" i="23916"/>
  <c r="R135" i="23916"/>
  <c r="EX620" i="23916"/>
  <c r="GP620" i="23916"/>
  <c r="EW621" i="23916"/>
  <c r="GQ619" i="23916"/>
  <c r="EC464" i="23916"/>
  <c r="ED464" i="23916" s="1"/>
  <c r="ED463" i="23916"/>
  <c r="GY290" i="23916"/>
  <c r="GZ290" i="23916"/>
  <c r="GX291" i="23916"/>
  <c r="GZ673" i="23916"/>
  <c r="GY673" i="23916"/>
  <c r="DZ630" i="23916"/>
  <c r="DY631" i="23916"/>
  <c r="DY642" i="23916"/>
  <c r="CE766" i="23916"/>
  <c r="CF766" i="23916" s="1"/>
  <c r="CE734" i="23916"/>
  <c r="CF731" i="23916"/>
  <c r="GW324" i="23916"/>
  <c r="GV331" i="23916"/>
  <c r="GU331" i="23916"/>
  <c r="GT340" i="23916"/>
  <c r="GU340" i="23916" s="1"/>
  <c r="GT338" i="23916"/>
  <c r="GU338" i="23916" s="1"/>
  <c r="GS300" i="23916"/>
  <c r="GT300" i="23916"/>
  <c r="FW605" i="23916"/>
  <c r="FV606" i="23916"/>
  <c r="EF127" i="23916"/>
  <c r="EE133" i="23916"/>
  <c r="EE138" i="23916"/>
  <c r="EF138" i="23916" s="1"/>
  <c r="EE137" i="23916"/>
  <c r="EF137" i="23916" s="1"/>
  <c r="EE135" i="23916"/>
  <c r="GR299" i="23916"/>
  <c r="ED630" i="23916"/>
  <c r="EC631" i="23916"/>
  <c r="EC642" i="23916"/>
  <c r="BW387" i="23916"/>
  <c r="BX381" i="23916"/>
  <c r="BW388" i="23916"/>
  <c r="GR204" i="23916"/>
  <c r="GR206" i="23916" s="1"/>
  <c r="GS202" i="23916"/>
  <c r="GW360" i="23916"/>
  <c r="GV367" i="23916"/>
  <c r="GM397" i="23916"/>
  <c r="GL398" i="23916"/>
  <c r="AY135" i="23916"/>
  <c r="FR127" i="23916"/>
  <c r="AY133" i="23916"/>
  <c r="AZ127" i="23916"/>
  <c r="AY138" i="23916"/>
  <c r="AZ138" i="23916" s="1"/>
  <c r="AY137" i="23916"/>
  <c r="AZ137" i="23916" s="1"/>
  <c r="EL630" i="23916"/>
  <c r="EK631" i="23916"/>
  <c r="EL631" i="23916" s="1"/>
  <c r="EK642" i="23916"/>
  <c r="EL642" i="23916" s="1"/>
  <c r="FX754" i="23916"/>
  <c r="FY754" i="23916" s="1"/>
  <c r="FX753" i="23916"/>
  <c r="FY753" i="23916" s="1"/>
  <c r="FY733" i="23916"/>
  <c r="FX749" i="23916"/>
  <c r="FY749" i="23916" s="1"/>
  <c r="FX750" i="23916"/>
  <c r="FY750" i="23916" s="1"/>
  <c r="FX751" i="23916"/>
  <c r="FY751" i="23916" s="1"/>
  <c r="FX752" i="23916"/>
  <c r="FY752" i="23916" s="1"/>
  <c r="FX735" i="23916"/>
  <c r="GY258" i="23916"/>
  <c r="GX263" i="23916"/>
  <c r="GZ258" i="23916"/>
  <c r="CX445" i="23916"/>
  <c r="CW448" i="23916"/>
  <c r="CX448" i="23916" s="1"/>
  <c r="GQ267" i="23916"/>
  <c r="GP268" i="23916"/>
  <c r="CD734" i="23916"/>
  <c r="CC745" i="23916"/>
  <c r="CD745" i="23916" s="1"/>
  <c r="M151" i="23916"/>
  <c r="M147" i="23916"/>
  <c r="M150" i="23916"/>
  <c r="N143" i="23916"/>
  <c r="GE690" i="23916"/>
  <c r="GD664" i="23916"/>
  <c r="GE664" i="23916" s="1"/>
  <c r="CD756" i="23916"/>
  <c r="FX756" i="23916"/>
  <c r="FY756" i="23916" s="1"/>
  <c r="GQ369" i="23916"/>
  <c r="GR369" i="23916"/>
  <c r="CA804" i="23916"/>
  <c r="CA805" i="23916" s="1"/>
  <c r="CB545" i="23916"/>
  <c r="CJ545" i="23916"/>
  <c r="GE412" i="23916"/>
  <c r="GD415" i="23916"/>
  <c r="GE415" i="23916" s="1"/>
  <c r="GU665" i="23916"/>
  <c r="CH678" i="23916"/>
  <c r="CP678" i="23916"/>
  <c r="FW690" i="23916"/>
  <c r="FV664" i="23916"/>
  <c r="FW664" i="23916" s="1"/>
  <c r="EC148" i="23916"/>
  <c r="EC147" i="23916"/>
  <c r="ED143" i="23916"/>
  <c r="EC151" i="23916"/>
  <c r="EC150" i="23916"/>
  <c r="ED150" i="23916" s="1"/>
  <c r="EL664" i="23916"/>
  <c r="ED20" i="23916"/>
  <c r="GM664" i="23916"/>
  <c r="EC388" i="23916"/>
  <c r="EC387" i="23916"/>
  <c r="ED381" i="23916"/>
  <c r="GG682" i="23916"/>
  <c r="AW171" i="23916"/>
  <c r="AX171" i="23916" s="1"/>
  <c r="AX169" i="23916"/>
  <c r="GR802" i="23916"/>
  <c r="GS802" i="23916" s="1"/>
  <c r="DN631" i="23916"/>
  <c r="GS624" i="23916"/>
  <c r="BX397" i="23916"/>
  <c r="BY392" i="23916"/>
  <c r="GG664" i="23916"/>
  <c r="FY731" i="23916"/>
  <c r="FX734" i="23916"/>
  <c r="EA74" i="23916"/>
  <c r="EB74" i="23916" s="1"/>
  <c r="EB72" i="23916"/>
  <c r="BY791" i="23916"/>
  <c r="BY787" i="23916"/>
  <c r="BY545" i="23916"/>
  <c r="BZ606" i="23916"/>
  <c r="CH606" i="23916"/>
  <c r="GZ669" i="23916"/>
  <c r="GY669" i="23916"/>
  <c r="GX671" i="23916"/>
  <c r="BW791" i="23916"/>
  <c r="BW787" i="23916"/>
  <c r="BW545" i="23916"/>
  <c r="BX606" i="23916"/>
  <c r="CF606" i="23916"/>
  <c r="CZ664" i="23916"/>
  <c r="CE756" i="23916"/>
  <c r="CF756" i="23916" s="1"/>
  <c r="CE754" i="23916"/>
  <c r="CF754" i="23916" s="1"/>
  <c r="CE753" i="23916"/>
  <c r="CF753" i="23916" s="1"/>
  <c r="CE735" i="23916"/>
  <c r="CF733" i="23916"/>
  <c r="CE711" i="23916"/>
  <c r="CE749" i="23916"/>
  <c r="CF749" i="23916" s="1"/>
  <c r="CE752" i="23916"/>
  <c r="CF752" i="23916" s="1"/>
  <c r="CE751" i="23916"/>
  <c r="CF751" i="23916" s="1"/>
  <c r="CE750" i="23916"/>
  <c r="CF750" i="23916" s="1"/>
  <c r="CD766" i="23916"/>
  <c r="FX766" i="23916"/>
  <c r="FY766" i="23916" s="1"/>
  <c r="CX412" i="23916"/>
  <c r="CW415" i="23916"/>
  <c r="CX415" i="23916" s="1"/>
  <c r="EI415" i="23916"/>
  <c r="EJ415" i="23916" s="1"/>
  <c r="EJ405" i="23916"/>
  <c r="EI411" i="23916"/>
  <c r="EI417" i="23916"/>
  <c r="EI416" i="23916"/>
  <c r="EJ416" i="23916" s="1"/>
  <c r="EI412" i="23916"/>
  <c r="EJ412" i="23916" s="1"/>
  <c r="GN405" i="23916"/>
  <c r="GI43" i="23916"/>
  <c r="GK43" i="23916"/>
  <c r="CZ127" i="23916"/>
  <c r="CY133" i="23916"/>
  <c r="CY138" i="23916"/>
  <c r="CZ138" i="23916" s="1"/>
  <c r="CY137" i="23916"/>
  <c r="CZ137" i="23916" s="1"/>
  <c r="CY135" i="23916"/>
  <c r="EC43" i="23916"/>
  <c r="ED43" i="23916" s="1"/>
  <c r="EC42" i="23916"/>
  <c r="ED42" i="23916" s="1"/>
  <c r="EC41" i="23916"/>
  <c r="ED41" i="23916" s="1"/>
  <c r="EC39" i="23916"/>
  <c r="EC38" i="23916"/>
  <c r="ED32" i="23916"/>
  <c r="GB631" i="23916"/>
  <c r="GB694" i="23916" s="1"/>
  <c r="GB642" i="23916"/>
  <c r="GB678" i="23916" s="1"/>
  <c r="GC678" i="23916" s="1"/>
  <c r="GT373" i="23916"/>
  <c r="GT375" i="23916"/>
  <c r="GU375" i="23916" s="1"/>
  <c r="GU367" i="23916"/>
  <c r="CY453" i="23916"/>
  <c r="CX458" i="23916"/>
  <c r="GG133" i="23916"/>
  <c r="GH127" i="23916"/>
  <c r="GT822" i="23916"/>
  <c r="GU544" i="23916"/>
  <c r="GD148" i="23916"/>
  <c r="GE148" i="23916" s="1"/>
  <c r="GE147" i="23916"/>
  <c r="GF143" i="23916"/>
  <c r="GD155" i="23916"/>
  <c r="GE155" i="23916" s="1"/>
  <c r="GD809" i="23916"/>
  <c r="GD808" i="23916" s="1"/>
  <c r="FY664" i="23916"/>
  <c r="BV480" i="23916"/>
  <c r="BU482" i="23916"/>
  <c r="BV482" i="23916" s="1"/>
  <c r="CW401" i="23916"/>
  <c r="CX401" i="23916" s="1"/>
  <c r="CY381" i="23916"/>
  <c r="CX387" i="23916"/>
  <c r="DV630" i="23916"/>
  <c r="DU631" i="23916"/>
  <c r="DV631" i="23916" s="1"/>
  <c r="DU642" i="23916"/>
  <c r="DV642" i="23916" s="1"/>
  <c r="EB401" i="23916"/>
  <c r="EA797" i="23916"/>
  <c r="EA799" i="23916"/>
  <c r="DX631" i="23916"/>
  <c r="DN642" i="23916"/>
  <c r="DM678" i="23916"/>
  <c r="DN678" i="23916" s="1"/>
  <c r="DZ664" i="23916"/>
  <c r="DA54" i="23916"/>
  <c r="DB46" i="23916"/>
  <c r="DA52" i="23916"/>
  <c r="DA51" i="23916"/>
  <c r="DA55" i="23916"/>
  <c r="DA56" i="23916" s="1"/>
  <c r="EH630" i="23916"/>
  <c r="EG631" i="23916"/>
  <c r="EH631" i="23916" s="1"/>
  <c r="EG642" i="23916"/>
  <c r="EH642" i="23916" s="1"/>
  <c r="DQ763" i="23916"/>
  <c r="DR763" i="23916" s="1"/>
  <c r="DQ762" i="23916"/>
  <c r="DQ761" i="23916"/>
  <c r="DQ760" i="23916"/>
  <c r="DQ752" i="23916"/>
  <c r="DQ751" i="23916"/>
  <c r="DQ749" i="23916"/>
  <c r="DQ721" i="23916"/>
  <c r="DQ719" i="23916"/>
  <c r="DR719" i="23916" s="1"/>
  <c r="GH718" i="23916"/>
  <c r="DS718" i="23916"/>
  <c r="DR718" i="23916"/>
  <c r="DQ750" i="23916"/>
  <c r="GI42" i="23916"/>
  <c r="GK42" i="23916"/>
  <c r="GP801" i="23916"/>
  <c r="GQ801" i="23916" s="1"/>
  <c r="GQ272" i="23916"/>
  <c r="EN630" i="23916"/>
  <c r="EM631" i="23916"/>
  <c r="EN631" i="23916" s="1"/>
  <c r="EM642" i="23916"/>
  <c r="EN642" i="23916" s="1"/>
  <c r="EB20" i="23916"/>
  <c r="GL388" i="23916"/>
  <c r="DF664" i="23916"/>
  <c r="GE659" i="23916"/>
  <c r="GG659" i="23916"/>
  <c r="DR630" i="23916"/>
  <c r="DQ631" i="23916"/>
  <c r="DR631" i="23916" s="1"/>
  <c r="DQ642" i="23916"/>
  <c r="GL631" i="23916"/>
  <c r="GV541" i="23916"/>
  <c r="GV539" i="23916"/>
  <c r="FZ830" i="23916"/>
  <c r="GA692" i="23916"/>
  <c r="GP269" i="23916"/>
  <c r="CT664" i="23916"/>
  <c r="FY148" i="23916"/>
  <c r="FX167" i="23916"/>
  <c r="L148" i="23916"/>
  <c r="K167" i="23916"/>
  <c r="L167" i="23916" s="1"/>
  <c r="FV830" i="23916"/>
  <c r="FW692" i="23916"/>
  <c r="GZ705" i="23916"/>
  <c r="GY705" i="23916"/>
  <c r="ED434" i="23916"/>
  <c r="CY431" i="23916"/>
  <c r="CY432" i="23916" s="1"/>
  <c r="CY425" i="23916"/>
  <c r="CZ420" i="23916"/>
  <c r="CY426" i="23916"/>
  <c r="CZ426" i="23916" s="1"/>
  <c r="CY430" i="23916"/>
  <c r="CD735" i="23916"/>
  <c r="CC742" i="23916"/>
  <c r="CD742" i="23916" s="1"/>
  <c r="CC744" i="23916"/>
  <c r="CD744" i="23916" s="1"/>
  <c r="CC743" i="23916"/>
  <c r="CC842" i="23916"/>
  <c r="GU15" i="23916"/>
  <c r="GU624" i="23916"/>
  <c r="GC682" i="23916"/>
  <c r="CA792" i="23916"/>
  <c r="AZ143" i="23916"/>
  <c r="AY151" i="23916"/>
  <c r="AY152" i="23916" s="1"/>
  <c r="AY147" i="23916"/>
  <c r="AY150" i="23916"/>
  <c r="AY148" i="23916"/>
  <c r="AZ148" i="23916" s="1"/>
  <c r="GC167" i="23916"/>
  <c r="DT630" i="23916"/>
  <c r="DS631" i="23916"/>
  <c r="EB631" i="23916" s="1"/>
  <c r="DS642" i="23916"/>
  <c r="EB642" i="23916" s="1"/>
  <c r="EP642" i="23916"/>
  <c r="EB630" i="23916"/>
  <c r="GV263" i="23916"/>
  <c r="GW258" i="23916"/>
  <c r="DU682" i="23916"/>
  <c r="DV682" i="23916" s="1"/>
  <c r="DU681" i="23916"/>
  <c r="DV681" i="23916" s="1"/>
  <c r="DV665" i="23916"/>
  <c r="DU678" i="23916"/>
  <c r="DV678" i="23916" s="1"/>
  <c r="CW147" i="23916"/>
  <c r="CW151" i="23916"/>
  <c r="CW152" i="23916" s="1"/>
  <c r="CX143" i="23916"/>
  <c r="CW150" i="23916"/>
  <c r="CW148" i="23916"/>
  <c r="CW481" i="23916"/>
  <c r="CX481" i="23916" s="1"/>
  <c r="CW480" i="23916"/>
  <c r="CX388" i="23916"/>
  <c r="CW478" i="23916"/>
  <c r="CX478" i="23916" s="1"/>
  <c r="GV793" i="23916"/>
  <c r="GW685" i="23916"/>
  <c r="GW291" i="23916"/>
  <c r="GV298" i="23916"/>
  <c r="GS220" i="23916"/>
  <c r="GR222" i="23916"/>
  <c r="GS222" i="23916" s="1"/>
  <c r="FQ148" i="23916"/>
  <c r="FS148" i="23916"/>
  <c r="CZ397" i="23916"/>
  <c r="DA392" i="23916"/>
  <c r="S133" i="23916"/>
  <c r="T127" i="23916"/>
  <c r="S138" i="23916"/>
  <c r="T138" i="23916" s="1"/>
  <c r="S137" i="23916"/>
  <c r="T137" i="23916" s="1"/>
  <c r="EC459" i="23916"/>
  <c r="ED459" i="23916" s="1"/>
  <c r="ED458" i="23916"/>
  <c r="EE453" i="23916"/>
  <c r="GZ323" i="23916"/>
  <c r="GY323" i="23916"/>
  <c r="GX324" i="23916"/>
  <c r="EH664" i="23916"/>
  <c r="BX438" i="23916"/>
  <c r="BW449" i="23916"/>
  <c r="BX449" i="23916" s="1"/>
  <c r="BW444" i="23916"/>
  <c r="BW445" i="23916"/>
  <c r="GG690" i="23916"/>
  <c r="GH52" i="23916"/>
  <c r="GM20" i="23916"/>
  <c r="EJ630" i="23916"/>
  <c r="EI631" i="23916"/>
  <c r="EI642" i="23916"/>
  <c r="EJ642" i="23916" s="1"/>
  <c r="CX444" i="23916"/>
  <c r="CW466" i="23916"/>
  <c r="CX466" i="23916" s="1"/>
  <c r="CY438" i="23916"/>
  <c r="GR333" i="23916"/>
  <c r="GQ333" i="23916"/>
  <c r="ED444" i="23916"/>
  <c r="EC466" i="23916"/>
  <c r="ED466" i="23916" s="1"/>
  <c r="EE438" i="23916"/>
  <c r="FY605" i="23916"/>
  <c r="FX606" i="23916"/>
  <c r="GA605" i="23916"/>
  <c r="CG736" i="23916"/>
  <c r="CH736" i="23916" s="1"/>
  <c r="CI730" i="23916"/>
  <c r="CG727" i="23916"/>
  <c r="CH727" i="23916" s="1"/>
  <c r="CH730" i="23916"/>
  <c r="CG733" i="23916"/>
  <c r="CG731" i="23916"/>
  <c r="CG762" i="23916"/>
  <c r="CH762" i="23916" s="1"/>
  <c r="CG761" i="23916"/>
  <c r="CH761" i="23916" s="1"/>
  <c r="CG760" i="23916"/>
  <c r="CH760" i="23916" s="1"/>
  <c r="BU791" i="23916"/>
  <c r="BU792" i="23916" s="1"/>
  <c r="BU545" i="23916"/>
  <c r="BV606" i="23916"/>
  <c r="CD606" i="23916"/>
  <c r="GH39" i="23916"/>
  <c r="GZ356" i="23916"/>
  <c r="GY356" i="23916"/>
  <c r="EF642" i="23916"/>
  <c r="DA43" i="23916"/>
  <c r="DB43" i="23916" s="1"/>
  <c r="DA42" i="23916"/>
  <c r="DB42" i="23916" s="1"/>
  <c r="DA41" i="23916"/>
  <c r="DB41" i="23916" s="1"/>
  <c r="DA38" i="23916"/>
  <c r="DB32" i="23916"/>
  <c r="FY682" i="23916"/>
  <c r="GU298" i="23916"/>
  <c r="GT305" i="23916"/>
  <c r="GU305" i="23916" s="1"/>
  <c r="GT299" i="23916"/>
  <c r="GU299" i="23916" s="1"/>
  <c r="GT307" i="23916"/>
  <c r="GU307" i="23916" s="1"/>
  <c r="EX271" i="23916"/>
  <c r="GT220" i="23916"/>
  <c r="GU211" i="23916"/>
  <c r="GT202" i="23916"/>
  <c r="DB38" i="23916" l="1"/>
  <c r="DC32" i="23916"/>
  <c r="DA58" i="23916"/>
  <c r="DB58" i="23916" s="1"/>
  <c r="GI39" i="23916"/>
  <c r="GH72" i="23916"/>
  <c r="GH70" i="23916"/>
  <c r="GI70" i="23916" s="1"/>
  <c r="GH73" i="23916"/>
  <c r="GK39" i="23916"/>
  <c r="FX787" i="23916"/>
  <c r="FY606" i="23916"/>
  <c r="FX545" i="23916"/>
  <c r="FX791" i="23916"/>
  <c r="GA606" i="23916"/>
  <c r="BX445" i="23916"/>
  <c r="BW448" i="23916"/>
  <c r="BX448" i="23916" s="1"/>
  <c r="EE463" i="23916"/>
  <c r="EE458" i="23916"/>
  <c r="EF453" i="23916"/>
  <c r="EE462" i="23916"/>
  <c r="EF462" i="23916" s="1"/>
  <c r="GT301" i="23916"/>
  <c r="DA39" i="23916"/>
  <c r="CG766" i="23916"/>
  <c r="CH766" i="23916" s="1"/>
  <c r="CH731" i="23916"/>
  <c r="CG734" i="23916"/>
  <c r="CI736" i="23916"/>
  <c r="CJ736" i="23916" s="1"/>
  <c r="CI731" i="23916"/>
  <c r="CI733" i="23916"/>
  <c r="CK730" i="23916"/>
  <c r="CJ730" i="23916"/>
  <c r="CI727" i="23916"/>
  <c r="CJ727" i="23916" s="1"/>
  <c r="CI760" i="23916"/>
  <c r="CJ760" i="23916" s="1"/>
  <c r="CI762" i="23916"/>
  <c r="CJ762" i="23916" s="1"/>
  <c r="CI761" i="23916"/>
  <c r="CJ761" i="23916" s="1"/>
  <c r="BX444" i="23916"/>
  <c r="BW466" i="23916"/>
  <c r="BX466" i="23916" s="1"/>
  <c r="BY438" i="23916"/>
  <c r="GZ324" i="23916"/>
  <c r="GY324" i="23916"/>
  <c r="GX331" i="23916"/>
  <c r="GV305" i="23916"/>
  <c r="GW305" i="23916" s="1"/>
  <c r="GV307" i="23916"/>
  <c r="GW307" i="23916" s="1"/>
  <c r="GW298" i="23916"/>
  <c r="BA143" i="23916"/>
  <c r="AZ147" i="23916"/>
  <c r="DS763" i="23916"/>
  <c r="DT763" i="23916" s="1"/>
  <c r="DS762" i="23916"/>
  <c r="DS761" i="23916"/>
  <c r="DS760" i="23916"/>
  <c r="DS751" i="23916"/>
  <c r="DS749" i="23916"/>
  <c r="DS752" i="23916"/>
  <c r="DS721" i="23916"/>
  <c r="DT718" i="23916"/>
  <c r="DS719" i="23916"/>
  <c r="DT719" i="23916" s="1"/>
  <c r="DU718" i="23916"/>
  <c r="DS750" i="23916"/>
  <c r="DA71" i="23916"/>
  <c r="DB71" i="23916" s="1"/>
  <c r="DB52" i="23916"/>
  <c r="EA805" i="23916"/>
  <c r="EA806" i="23916" s="1"/>
  <c r="GK127" i="23916"/>
  <c r="GH133" i="23916"/>
  <c r="GI127" i="23916"/>
  <c r="GH137" i="23916"/>
  <c r="GH138" i="23916"/>
  <c r="BW804" i="23916"/>
  <c r="BW805" i="23916" s="1"/>
  <c r="BX545" i="23916"/>
  <c r="CF545" i="23916"/>
  <c r="BY804" i="23916"/>
  <c r="BY805" i="23916" s="1"/>
  <c r="BZ545" i="23916"/>
  <c r="CH545" i="23916"/>
  <c r="GT369" i="23916"/>
  <c r="GS369" i="23916"/>
  <c r="GR368" i="23916"/>
  <c r="M148" i="23916"/>
  <c r="N147" i="23916"/>
  <c r="O143" i="23916"/>
  <c r="M155" i="23916"/>
  <c r="N155" i="23916" s="1"/>
  <c r="FY735" i="23916"/>
  <c r="FX742" i="23916"/>
  <c r="FY742" i="23916" s="1"/>
  <c r="FX743" i="23916"/>
  <c r="FX842" i="23916"/>
  <c r="FX744" i="23916"/>
  <c r="FY744" i="23916" s="1"/>
  <c r="FR133" i="23916"/>
  <c r="FR137" i="23916"/>
  <c r="FR138" i="23916"/>
  <c r="GV375" i="23916"/>
  <c r="GW375" i="23916" s="1"/>
  <c r="GW367" i="23916"/>
  <c r="GV373" i="23916"/>
  <c r="BW480" i="23916"/>
  <c r="BW481" i="23916"/>
  <c r="BX481" i="23916" s="1"/>
  <c r="BX388" i="23916"/>
  <c r="ED631" i="23916"/>
  <c r="FV791" i="23916"/>
  <c r="FV787" i="23916"/>
  <c r="FV545" i="23916"/>
  <c r="FW545" i="23916" s="1"/>
  <c r="FW606" i="23916"/>
  <c r="DZ631" i="23916"/>
  <c r="GZ291" i="23916"/>
  <c r="GY291" i="23916"/>
  <c r="GX298" i="23916"/>
  <c r="GQ620" i="23916"/>
  <c r="EC478" i="23916"/>
  <c r="ED478" i="23916" s="1"/>
  <c r="EC479" i="23916"/>
  <c r="ED479" i="23916" s="1"/>
  <c r="ED398" i="23916"/>
  <c r="GC664" i="23916"/>
  <c r="GX788" i="23916"/>
  <c r="GY684" i="23916"/>
  <c r="GZ684" i="23916"/>
  <c r="GX665" i="23916"/>
  <c r="GU202" i="23916"/>
  <c r="GT204" i="23916"/>
  <c r="GT206" i="23916" s="1"/>
  <c r="GU220" i="23916"/>
  <c r="GT222" i="23916"/>
  <c r="GU222" i="23916" s="1"/>
  <c r="CG754" i="23916"/>
  <c r="CH754" i="23916" s="1"/>
  <c r="CG753" i="23916"/>
  <c r="CH753" i="23916" s="1"/>
  <c r="CG756" i="23916"/>
  <c r="CH756" i="23916" s="1"/>
  <c r="CG735" i="23916"/>
  <c r="CH733" i="23916"/>
  <c r="CG752" i="23916"/>
  <c r="CH752" i="23916" s="1"/>
  <c r="CG751" i="23916"/>
  <c r="CH751" i="23916" s="1"/>
  <c r="CG711" i="23916"/>
  <c r="CG750" i="23916"/>
  <c r="CH750" i="23916" s="1"/>
  <c r="CG749" i="23916"/>
  <c r="CH749" i="23916" s="1"/>
  <c r="EE450" i="23916"/>
  <c r="EF438" i="23916"/>
  <c r="EE449" i="23916"/>
  <c r="EF449" i="23916" s="1"/>
  <c r="EE444" i="23916"/>
  <c r="EE448" i="23916"/>
  <c r="EF448" i="23916" s="1"/>
  <c r="EE445" i="23916"/>
  <c r="EF445" i="23916" s="1"/>
  <c r="GS333" i="23916"/>
  <c r="GT333" i="23916"/>
  <c r="GR332" i="23916"/>
  <c r="GI52" i="23916"/>
  <c r="GH71" i="23916"/>
  <c r="S135" i="23916"/>
  <c r="T133" i="23916"/>
  <c r="U127" i="23916"/>
  <c r="CX148" i="23916"/>
  <c r="CW167" i="23916"/>
  <c r="CX167" i="23916" s="1"/>
  <c r="CY143" i="23916"/>
  <c r="CX147" i="23916"/>
  <c r="CW809" i="23916"/>
  <c r="CW808" i="23916" s="1"/>
  <c r="CW155" i="23916"/>
  <c r="CX155" i="23916" s="1"/>
  <c r="CZ425" i="23916"/>
  <c r="DA420" i="23916"/>
  <c r="GL694" i="23916"/>
  <c r="GL630" i="23916"/>
  <c r="GM388" i="23916"/>
  <c r="GL480" i="23916"/>
  <c r="GL481" i="23916"/>
  <c r="GM481" i="23916" s="1"/>
  <c r="GH719" i="23916"/>
  <c r="GI719" i="23916" s="1"/>
  <c r="GI718" i="23916"/>
  <c r="GH762" i="23916"/>
  <c r="GH749" i="23916"/>
  <c r="GH763" i="23916"/>
  <c r="GI763" i="23916" s="1"/>
  <c r="GH760" i="23916"/>
  <c r="GH751" i="23916"/>
  <c r="GH721" i="23916"/>
  <c r="GH761" i="23916"/>
  <c r="GH752" i="23916"/>
  <c r="GH750" i="23916"/>
  <c r="CY462" i="23916"/>
  <c r="CY459" i="23916"/>
  <c r="CZ459" i="23916" s="1"/>
  <c r="CY458" i="23916"/>
  <c r="CZ453" i="23916"/>
  <c r="CY463" i="23916"/>
  <c r="CY464" i="23916" s="1"/>
  <c r="CF735" i="23916"/>
  <c r="CE742" i="23916"/>
  <c r="CF742" i="23916" s="1"/>
  <c r="CE743" i="23916"/>
  <c r="CE842" i="23916"/>
  <c r="CE744" i="23916"/>
  <c r="CF744" i="23916" s="1"/>
  <c r="FY734" i="23916"/>
  <c r="FX745" i="23916"/>
  <c r="FY745" i="23916" s="1"/>
  <c r="BY397" i="23916"/>
  <c r="BZ392" i="23916"/>
  <c r="BY398" i="23916"/>
  <c r="EC401" i="23916"/>
  <c r="ED387" i="23916"/>
  <c r="EE381" i="23916"/>
  <c r="EE143" i="23916"/>
  <c r="ED147" i="23916"/>
  <c r="EC809" i="23916"/>
  <c r="EC808" i="23916" s="1"/>
  <c r="EC155" i="23916"/>
  <c r="ED155" i="23916" s="1"/>
  <c r="GR268" i="23916"/>
  <c r="GQ268" i="23916"/>
  <c r="AY169" i="23916"/>
  <c r="AY167" i="23916"/>
  <c r="AZ167" i="23916" s="1"/>
  <c r="AY170" i="23916"/>
  <c r="AZ170" i="23916" s="1"/>
  <c r="AZ135" i="23916"/>
  <c r="GV340" i="23916"/>
  <c r="GW340" i="23916" s="1"/>
  <c r="GW331" i="23916"/>
  <c r="GV338" i="23916"/>
  <c r="GW338" i="23916" s="1"/>
  <c r="CF734" i="23916"/>
  <c r="CE745" i="23916"/>
  <c r="CF745" i="23916" s="1"/>
  <c r="Q171" i="23916"/>
  <c r="R171" i="23916" s="1"/>
  <c r="R169" i="23916"/>
  <c r="GX211" i="23916"/>
  <c r="GY213" i="23916"/>
  <c r="GR236" i="23916"/>
  <c r="GR244" i="23916"/>
  <c r="GR246" i="23916" s="1"/>
  <c r="GS246" i="23916" s="1"/>
  <c r="GS235" i="23916"/>
  <c r="GR226" i="23916"/>
  <c r="BX411" i="23916"/>
  <c r="BW434" i="23916"/>
  <c r="BX434" i="23916" s="1"/>
  <c r="BY405" i="23916"/>
  <c r="GX819" i="23916"/>
  <c r="GX623" i="23916"/>
  <c r="GX624" i="23916"/>
  <c r="GY541" i="23916"/>
  <c r="GX544" i="23916"/>
  <c r="GZ541" i="23916"/>
  <c r="GX15" i="23916"/>
  <c r="GE480" i="23916"/>
  <c r="GD482" i="23916"/>
  <c r="GE482" i="23916" s="1"/>
  <c r="EF431" i="23916"/>
  <c r="EE432" i="23916"/>
  <c r="EF432" i="23916" s="1"/>
  <c r="GX373" i="23916"/>
  <c r="GX375" i="23916"/>
  <c r="GY367" i="23916"/>
  <c r="GZ367" i="23916"/>
  <c r="BU804" i="23916"/>
  <c r="BU805" i="23916" s="1"/>
  <c r="BV545" i="23916"/>
  <c r="CD545" i="23916"/>
  <c r="CZ438" i="23916"/>
  <c r="CY449" i="23916"/>
  <c r="CZ449" i="23916" s="1"/>
  <c r="CY444" i="23916"/>
  <c r="CY445" i="23916"/>
  <c r="GN631" i="23916"/>
  <c r="EJ631" i="23916"/>
  <c r="DA397" i="23916"/>
  <c r="DA398" i="23916"/>
  <c r="DB392" i="23916"/>
  <c r="DT642" i="23916"/>
  <c r="DS678" i="23916"/>
  <c r="DT678" i="23916" s="1"/>
  <c r="CY387" i="23916"/>
  <c r="CZ381" i="23916"/>
  <c r="CY388" i="23916"/>
  <c r="GT802" i="23916"/>
  <c r="GU373" i="23916"/>
  <c r="ED38" i="23916"/>
  <c r="EE32" i="23916"/>
  <c r="CZ133" i="23916"/>
  <c r="DA127" i="23916"/>
  <c r="GN417" i="23916"/>
  <c r="GO417" i="23916" s="1"/>
  <c r="GN411" i="23916"/>
  <c r="GN412" i="23916" s="1"/>
  <c r="GO412" i="23916" s="1"/>
  <c r="GO405" i="23916"/>
  <c r="GN416" i="23916"/>
  <c r="GO416" i="23916" s="1"/>
  <c r="GN415" i="23916"/>
  <c r="GO415" i="23916" s="1"/>
  <c r="EJ411" i="23916"/>
  <c r="EK405" i="23916"/>
  <c r="BW792" i="23916"/>
  <c r="BY792" i="23916"/>
  <c r="GH631" i="23916"/>
  <c r="EC481" i="23916"/>
  <c r="ED481" i="23916" s="1"/>
  <c r="EC480" i="23916"/>
  <c r="ED388" i="23916"/>
  <c r="ED148" i="23916"/>
  <c r="EC167" i="23916"/>
  <c r="ED167" i="23916" s="1"/>
  <c r="GM398" i="23916"/>
  <c r="GL479" i="23916"/>
  <c r="GM479" i="23916" s="1"/>
  <c r="GL478" i="23916"/>
  <c r="GM478" i="23916" s="1"/>
  <c r="BX387" i="23916"/>
  <c r="BY381" i="23916"/>
  <c r="BW401" i="23916"/>
  <c r="BX401" i="23916" s="1"/>
  <c r="GS299" i="23916"/>
  <c r="GR301" i="23916"/>
  <c r="EF133" i="23916"/>
  <c r="EG127" i="23916"/>
  <c r="GV300" i="23916"/>
  <c r="GV299" i="23916" s="1"/>
  <c r="GU300" i="23916"/>
  <c r="GV220" i="23916"/>
  <c r="GV202" i="23916"/>
  <c r="EE392" i="23916"/>
  <c r="ED397" i="23916"/>
  <c r="BY420" i="23916"/>
  <c r="BX425" i="23916"/>
  <c r="BW478" i="23916"/>
  <c r="BX478" i="23916" s="1"/>
  <c r="BY462" i="23916"/>
  <c r="BY458" i="23916"/>
  <c r="BZ453" i="23916"/>
  <c r="BY459" i="23916"/>
  <c r="BZ459" i="23916" s="1"/>
  <c r="BY463" i="23916"/>
  <c r="BY464" i="23916" s="1"/>
  <c r="BW415" i="23916"/>
  <c r="BX415" i="23916" s="1"/>
  <c r="BX412" i="23916"/>
  <c r="GX793" i="23916"/>
  <c r="GY685" i="23916"/>
  <c r="GZ685" i="23916"/>
  <c r="DW678" i="23916"/>
  <c r="DX678" i="23916" s="1"/>
  <c r="DW682" i="23916"/>
  <c r="DX682" i="23916" s="1"/>
  <c r="DW681" i="23916"/>
  <c r="DX681" i="23916" s="1"/>
  <c r="DX665" i="23916"/>
  <c r="EP631" i="23916"/>
  <c r="CX480" i="23916"/>
  <c r="CW482" i="23916"/>
  <c r="CX482" i="23916" s="1"/>
  <c r="GJ631" i="23916"/>
  <c r="DT631" i="23916"/>
  <c r="GP615" i="23916"/>
  <c r="GP271" i="23916"/>
  <c r="GQ269" i="23916"/>
  <c r="GP275" i="23916"/>
  <c r="GQ275" i="23916" s="1"/>
  <c r="GP9" i="23916"/>
  <c r="GQ9" i="23916" s="1"/>
  <c r="GV819" i="23916"/>
  <c r="GV624" i="23916"/>
  <c r="GV623" i="23916"/>
  <c r="GW623" i="23916" s="1"/>
  <c r="GV544" i="23916"/>
  <c r="GW541" i="23916"/>
  <c r="GV15" i="23916"/>
  <c r="GW15" i="23916" s="1"/>
  <c r="DR642" i="23916"/>
  <c r="DQ678" i="23916"/>
  <c r="DR678" i="23916" s="1"/>
  <c r="DR721" i="23916"/>
  <c r="DQ722" i="23916"/>
  <c r="DR722" i="23916" s="1"/>
  <c r="DB51" i="23916"/>
  <c r="DC46" i="23916"/>
  <c r="GG143" i="23916"/>
  <c r="GF147" i="23916"/>
  <c r="GF151" i="23916"/>
  <c r="GF150" i="23916"/>
  <c r="EC71" i="23916"/>
  <c r="ED71" i="23916" s="1"/>
  <c r="ED39" i="23916"/>
  <c r="EC73" i="23916"/>
  <c r="ED73" i="23916" s="1"/>
  <c r="EC72" i="23916"/>
  <c r="CY169" i="23916"/>
  <c r="CY170" i="23916"/>
  <c r="CZ170" i="23916" s="1"/>
  <c r="CZ135" i="23916"/>
  <c r="GZ671" i="23916"/>
  <c r="GY671" i="23916"/>
  <c r="ED151" i="23916"/>
  <c r="EC152" i="23916"/>
  <c r="ED152" i="23916" s="1"/>
  <c r="AY809" i="23916"/>
  <c r="AY808" i="23916" s="1"/>
  <c r="AY155" i="23916"/>
  <c r="AZ133" i="23916"/>
  <c r="BA127" i="23916"/>
  <c r="GS206" i="23916"/>
  <c r="GR208" i="23916"/>
  <c r="GS208" i="23916" s="1"/>
  <c r="ED642" i="23916"/>
  <c r="EE169" i="23916"/>
  <c r="EF135" i="23916"/>
  <c r="EE170" i="23916"/>
  <c r="EF170" i="23916" s="1"/>
  <c r="DZ642" i="23916"/>
  <c r="EX621" i="23916"/>
  <c r="GP621" i="23916"/>
  <c r="CY411" i="23916"/>
  <c r="CZ405" i="23916"/>
  <c r="CY416" i="23916"/>
  <c r="CZ416" i="23916" s="1"/>
  <c r="CY412" i="23916"/>
  <c r="GU238" i="23916"/>
  <c r="GT235" i="23916"/>
  <c r="GV238" i="23916"/>
  <c r="GW665" i="23916"/>
  <c r="DY788" i="23916"/>
  <c r="DZ684" i="23916"/>
  <c r="DY665" i="23916"/>
  <c r="EA684" i="23916"/>
  <c r="DY766" i="23916"/>
  <c r="DY756" i="23916"/>
  <c r="GM401" i="23916"/>
  <c r="GL797" i="23916"/>
  <c r="GL799" i="23916"/>
  <c r="GM799" i="23916" s="1"/>
  <c r="EG420" i="23916"/>
  <c r="EF425" i="23916"/>
  <c r="EE434" i="23916"/>
  <c r="GA167" i="23916"/>
  <c r="GW299" i="23916" l="1"/>
  <c r="GV301" i="23916"/>
  <c r="GH694" i="23916"/>
  <c r="GI694" i="23916" s="1"/>
  <c r="GI631" i="23916"/>
  <c r="GH630" i="23916"/>
  <c r="DA138" i="23916"/>
  <c r="DB138" i="23916" s="1"/>
  <c r="DA137" i="23916"/>
  <c r="DB137" i="23916" s="1"/>
  <c r="DA135" i="23916"/>
  <c r="DA133" i="23916"/>
  <c r="DB127" i="23916"/>
  <c r="GN694" i="23916"/>
  <c r="GO631" i="23916"/>
  <c r="GN630" i="23916"/>
  <c r="AY838" i="23916"/>
  <c r="AY839" i="23916" s="1"/>
  <c r="AY840" i="23916" s="1"/>
  <c r="AZ155" i="23916"/>
  <c r="EG431" i="23916"/>
  <c r="EG426" i="23916"/>
  <c r="EH426" i="23916" s="1"/>
  <c r="EH420" i="23916"/>
  <c r="EG430" i="23916"/>
  <c r="EH430" i="23916" s="1"/>
  <c r="EG425" i="23916"/>
  <c r="DZ756" i="23916"/>
  <c r="GJ756" i="23916"/>
  <c r="GK756" i="23916" s="1"/>
  <c r="CY415" i="23916"/>
  <c r="CZ415" i="23916" s="1"/>
  <c r="CZ412" i="23916"/>
  <c r="EE171" i="23916"/>
  <c r="EF171" i="23916" s="1"/>
  <c r="EF169" i="23916"/>
  <c r="CY171" i="23916"/>
  <c r="CZ171" i="23916" s="1"/>
  <c r="CZ169" i="23916"/>
  <c r="GF148" i="23916"/>
  <c r="GG148" i="23916" s="1"/>
  <c r="GG147" i="23916"/>
  <c r="GH143" i="23916"/>
  <c r="GF809" i="23916"/>
  <c r="GF808" i="23916" s="1"/>
  <c r="GF155" i="23916"/>
  <c r="GG155" i="23916" s="1"/>
  <c r="GV822" i="23916"/>
  <c r="GW544" i="23916"/>
  <c r="GQ615" i="23916"/>
  <c r="CA453" i="23916"/>
  <c r="BZ458" i="23916"/>
  <c r="BY430" i="23916"/>
  <c r="BY431" i="23916"/>
  <c r="BY432" i="23916" s="1"/>
  <c r="BY426" i="23916"/>
  <c r="BZ426" i="23916" s="1"/>
  <c r="BY425" i="23916"/>
  <c r="BZ420" i="23916"/>
  <c r="GW220" i="23916"/>
  <c r="GV222" i="23916"/>
  <c r="GW222" i="23916" s="1"/>
  <c r="EK415" i="23916"/>
  <c r="EL415" i="23916" s="1"/>
  <c r="EK412" i="23916"/>
  <c r="EL412" i="23916" s="1"/>
  <c r="EK417" i="23916"/>
  <c r="EK416" i="23916"/>
  <c r="EL416" i="23916" s="1"/>
  <c r="EK411" i="23916"/>
  <c r="EL405" i="23916"/>
  <c r="CZ387" i="23916"/>
  <c r="DA381" i="23916"/>
  <c r="CY401" i="23916"/>
  <c r="CZ401" i="23916" s="1"/>
  <c r="GZ624" i="23916"/>
  <c r="GY624" i="23916"/>
  <c r="AY171" i="23916"/>
  <c r="AZ171" i="23916" s="1"/>
  <c r="AZ169" i="23916"/>
  <c r="CA392" i="23916"/>
  <c r="BZ397" i="23916"/>
  <c r="DA431" i="23916"/>
  <c r="DA432" i="23916" s="1"/>
  <c r="DA426" i="23916"/>
  <c r="DB426" i="23916" s="1"/>
  <c r="DB420" i="23916"/>
  <c r="DA430" i="23916"/>
  <c r="DA425" i="23916"/>
  <c r="U138" i="23916"/>
  <c r="V138" i="23916" s="1"/>
  <c r="U137" i="23916"/>
  <c r="V137" i="23916" s="1"/>
  <c r="U133" i="23916"/>
  <c r="V127" i="23916"/>
  <c r="GI71" i="23916"/>
  <c r="GK71" i="23916"/>
  <c r="N148" i="23916"/>
  <c r="M167" i="23916"/>
  <c r="N167" i="23916" s="1"/>
  <c r="DT721" i="23916"/>
  <c r="DS722" i="23916"/>
  <c r="DT722" i="23916" s="1"/>
  <c r="BZ438" i="23916"/>
  <c r="BY445" i="23916"/>
  <c r="BY449" i="23916"/>
  <c r="BZ449" i="23916" s="1"/>
  <c r="BY444" i="23916"/>
  <c r="CK736" i="23916"/>
  <c r="CL736" i="23916" s="1"/>
  <c r="CM730" i="23916"/>
  <c r="CL730" i="23916"/>
  <c r="CK731" i="23916"/>
  <c r="CK727" i="23916"/>
  <c r="CK733" i="23916"/>
  <c r="FZ730" i="23916"/>
  <c r="CK761" i="23916"/>
  <c r="CL761" i="23916" s="1"/>
  <c r="CK760" i="23916"/>
  <c r="CL760" i="23916" s="1"/>
  <c r="CK762" i="23916"/>
  <c r="CL762" i="23916" s="1"/>
  <c r="CH734" i="23916"/>
  <c r="CG745" i="23916"/>
  <c r="CH745" i="23916" s="1"/>
  <c r="GT618" i="23916"/>
  <c r="GT308" i="23916"/>
  <c r="GT304" i="23916"/>
  <c r="GU301" i="23916"/>
  <c r="GT11" i="23916"/>
  <c r="EE464" i="23916"/>
  <c r="EF464" i="23916" s="1"/>
  <c r="EF463" i="23916"/>
  <c r="FX792" i="23916"/>
  <c r="GX238" i="23916"/>
  <c r="GW238" i="23916"/>
  <c r="GV235" i="23916"/>
  <c r="GQ621" i="23916"/>
  <c r="BA138" i="23916"/>
  <c r="BB138" i="23916" s="1"/>
  <c r="BA137" i="23916"/>
  <c r="BB137" i="23916" s="1"/>
  <c r="BA135" i="23916"/>
  <c r="BA133" i="23916"/>
  <c r="BB127" i="23916"/>
  <c r="ED401" i="23916"/>
  <c r="EC799" i="23916"/>
  <c r="EC797" i="23916"/>
  <c r="GL642" i="23916"/>
  <c r="CY151" i="23916"/>
  <c r="CY152" i="23916" s="1"/>
  <c r="CY150" i="23916"/>
  <c r="CY147" i="23916"/>
  <c r="CZ143" i="23916"/>
  <c r="CY148" i="23916"/>
  <c r="CH735" i="23916"/>
  <c r="CG742" i="23916"/>
  <c r="CH742" i="23916" s="1"/>
  <c r="CG743" i="23916"/>
  <c r="CG842" i="23916"/>
  <c r="CG744" i="23916"/>
  <c r="CH744" i="23916" s="1"/>
  <c r="GZ665" i="23916"/>
  <c r="GY665" i="23916"/>
  <c r="GS368" i="23916"/>
  <c r="GR370" i="23916"/>
  <c r="GI133" i="23916"/>
  <c r="GK133" i="23916"/>
  <c r="DU763" i="23916"/>
  <c r="DV763" i="23916" s="1"/>
  <c r="DU762" i="23916"/>
  <c r="DU761" i="23916"/>
  <c r="DU760" i="23916"/>
  <c r="DU752" i="23916"/>
  <c r="DU751" i="23916"/>
  <c r="DU749" i="23916"/>
  <c r="DU721" i="23916"/>
  <c r="DV718" i="23916"/>
  <c r="DU719" i="23916"/>
  <c r="DV719" i="23916" s="1"/>
  <c r="DW718" i="23916"/>
  <c r="DU750" i="23916"/>
  <c r="GX338" i="23916"/>
  <c r="GZ331" i="23916"/>
  <c r="GY331" i="23916"/>
  <c r="GX340" i="23916"/>
  <c r="CI756" i="23916"/>
  <c r="CJ756" i="23916" s="1"/>
  <c r="CI754" i="23916"/>
  <c r="CJ754" i="23916" s="1"/>
  <c r="CI753" i="23916"/>
  <c r="CJ753" i="23916" s="1"/>
  <c r="CJ733" i="23916"/>
  <c r="CI735" i="23916"/>
  <c r="CI749" i="23916"/>
  <c r="CJ749" i="23916" s="1"/>
  <c r="CI752" i="23916"/>
  <c r="CJ752" i="23916" s="1"/>
  <c r="CI751" i="23916"/>
  <c r="CJ751" i="23916" s="1"/>
  <c r="CI711" i="23916"/>
  <c r="CI750" i="23916"/>
  <c r="CJ750" i="23916" s="1"/>
  <c r="FY545" i="23916"/>
  <c r="GA545" i="23916"/>
  <c r="GI73" i="23916"/>
  <c r="GK73" i="23916"/>
  <c r="EF32" i="23916"/>
  <c r="EE43" i="23916"/>
  <c r="EF43" i="23916" s="1"/>
  <c r="EE42" i="23916"/>
  <c r="EF42" i="23916" s="1"/>
  <c r="EE38" i="23916"/>
  <c r="EE41" i="23916"/>
  <c r="EF41" i="23916" s="1"/>
  <c r="GZ375" i="23916"/>
  <c r="GY375" i="23916"/>
  <c r="GX822" i="23916"/>
  <c r="GZ544" i="23916"/>
  <c r="GY544" i="23916"/>
  <c r="GZ623" i="23916"/>
  <c r="GY623" i="23916"/>
  <c r="EF434" i="23916"/>
  <c r="GM797" i="23916"/>
  <c r="GL805" i="23916"/>
  <c r="EA788" i="23916"/>
  <c r="EC684" i="23916"/>
  <c r="EB684" i="23916"/>
  <c r="EA665" i="23916"/>
  <c r="EA756" i="23916"/>
  <c r="EB756" i="23916" s="1"/>
  <c r="EA766" i="23916"/>
  <c r="EB766" i="23916" s="1"/>
  <c r="GT244" i="23916"/>
  <c r="GT246" i="23916" s="1"/>
  <c r="GU246" i="23916" s="1"/>
  <c r="GU235" i="23916"/>
  <c r="GT226" i="23916"/>
  <c r="GT236" i="23916"/>
  <c r="EC74" i="23916"/>
  <c r="ED74" i="23916" s="1"/>
  <c r="ED72" i="23916"/>
  <c r="DC55" i="23916"/>
  <c r="DC56" i="23916" s="1"/>
  <c r="DD46" i="23916"/>
  <c r="DC54" i="23916"/>
  <c r="DC52" i="23916"/>
  <c r="DC51" i="23916"/>
  <c r="GW624" i="23916"/>
  <c r="GJ694" i="23916"/>
  <c r="GK631" i="23916"/>
  <c r="GJ630" i="23916"/>
  <c r="EE398" i="23916"/>
  <c r="EE397" i="23916"/>
  <c r="EF392" i="23916"/>
  <c r="GW300" i="23916"/>
  <c r="GX300" i="23916"/>
  <c r="BY388" i="23916"/>
  <c r="BZ381" i="23916"/>
  <c r="BY387" i="23916"/>
  <c r="CY480" i="23916"/>
  <c r="CY481" i="23916"/>
  <c r="CZ481" i="23916" s="1"/>
  <c r="CZ388" i="23916"/>
  <c r="CY478" i="23916"/>
  <c r="CZ478" i="23916" s="1"/>
  <c r="DA479" i="23916"/>
  <c r="DB479" i="23916" s="1"/>
  <c r="DB398" i="23916"/>
  <c r="CZ445" i="23916"/>
  <c r="CY448" i="23916"/>
  <c r="CZ448" i="23916" s="1"/>
  <c r="GY373" i="23916"/>
  <c r="GZ373" i="23916"/>
  <c r="GR228" i="23916"/>
  <c r="GR230" i="23916" s="1"/>
  <c r="GS226" i="23916"/>
  <c r="GS268" i="23916"/>
  <c r="GT268" i="23916"/>
  <c r="EE150" i="23916"/>
  <c r="EF150" i="23916" s="1"/>
  <c r="EE148" i="23916"/>
  <c r="EE147" i="23916"/>
  <c r="EF143" i="23916"/>
  <c r="EE151" i="23916"/>
  <c r="BY479" i="23916"/>
  <c r="BZ479" i="23916" s="1"/>
  <c r="BY478" i="23916"/>
  <c r="BZ478" i="23916" s="1"/>
  <c r="BZ398" i="23916"/>
  <c r="CZ458" i="23916"/>
  <c r="DA453" i="23916"/>
  <c r="GI721" i="23916"/>
  <c r="GH722" i="23916"/>
  <c r="GI722" i="23916" s="1"/>
  <c r="GM631" i="23916"/>
  <c r="S169" i="23916"/>
  <c r="S170" i="23916"/>
  <c r="T170" i="23916" s="1"/>
  <c r="T135" i="23916"/>
  <c r="GS332" i="23916"/>
  <c r="GR334" i="23916"/>
  <c r="FV792" i="23916"/>
  <c r="BX480" i="23916"/>
  <c r="BW482" i="23916"/>
  <c r="BX482" i="23916" s="1"/>
  <c r="O151" i="23916"/>
  <c r="O147" i="23916"/>
  <c r="P143" i="23916"/>
  <c r="O150" i="23916"/>
  <c r="GI138" i="23916"/>
  <c r="GK138" i="23916"/>
  <c r="BA147" i="23916"/>
  <c r="BA151" i="23916"/>
  <c r="BA152" i="23916" s="1"/>
  <c r="BB143" i="23916"/>
  <c r="BA150" i="23916"/>
  <c r="BA148" i="23916"/>
  <c r="BB148" i="23916" s="1"/>
  <c r="CI766" i="23916"/>
  <c r="CJ766" i="23916" s="1"/>
  <c r="CI734" i="23916"/>
  <c r="CJ731" i="23916"/>
  <c r="DD32" i="23916"/>
  <c r="DC43" i="23916"/>
  <c r="DD43" i="23916" s="1"/>
  <c r="DC42" i="23916"/>
  <c r="DD42" i="23916" s="1"/>
  <c r="DC41" i="23916"/>
  <c r="DD41" i="23916" s="1"/>
  <c r="DC39" i="23916"/>
  <c r="DC38" i="23916"/>
  <c r="DZ766" i="23916"/>
  <c r="GJ766" i="23916"/>
  <c r="GK766" i="23916" s="1"/>
  <c r="DY682" i="23916"/>
  <c r="DZ682" i="23916" s="1"/>
  <c r="DY681" i="23916"/>
  <c r="DZ681" i="23916" s="1"/>
  <c r="DY678" i="23916"/>
  <c r="DZ678" i="23916" s="1"/>
  <c r="DZ665" i="23916"/>
  <c r="CY434" i="23916"/>
  <c r="CZ434" i="23916" s="1"/>
  <c r="CZ411" i="23916"/>
  <c r="DA405" i="23916"/>
  <c r="GQ271" i="23916"/>
  <c r="GV204" i="23916"/>
  <c r="GV206" i="23916" s="1"/>
  <c r="GW202" i="23916"/>
  <c r="EG138" i="23916"/>
  <c r="EH138" i="23916" s="1"/>
  <c r="EG137" i="23916"/>
  <c r="EH137" i="23916" s="1"/>
  <c r="EG135" i="23916"/>
  <c r="EG133" i="23916"/>
  <c r="EH127" i="23916"/>
  <c r="GR618" i="23916"/>
  <c r="GS301" i="23916"/>
  <c r="GR308" i="23916"/>
  <c r="GS308" i="23916" s="1"/>
  <c r="GR304" i="23916"/>
  <c r="GS304" i="23916" s="1"/>
  <c r="GR11" i="23916"/>
  <c r="GS11" i="23916" s="1"/>
  <c r="EC482" i="23916"/>
  <c r="ED482" i="23916" s="1"/>
  <c r="ED480" i="23916"/>
  <c r="GO411" i="23916"/>
  <c r="DC392" i="23916"/>
  <c r="DB397" i="23916"/>
  <c r="CZ444" i="23916"/>
  <c r="CY466" i="23916"/>
  <c r="CZ466" i="23916" s="1"/>
  <c r="DA438" i="23916"/>
  <c r="GZ15" i="23916"/>
  <c r="GY15" i="23916"/>
  <c r="BY416" i="23916"/>
  <c r="BZ416" i="23916" s="1"/>
  <c r="BY412" i="23916"/>
  <c r="BZ405" i="23916"/>
  <c r="BY411" i="23916"/>
  <c r="GX220" i="23916"/>
  <c r="GX202" i="23916"/>
  <c r="EE387" i="23916"/>
  <c r="EF381" i="23916"/>
  <c r="EE388" i="23916"/>
  <c r="GM480" i="23916"/>
  <c r="GL482" i="23916"/>
  <c r="GM482" i="23916" s="1"/>
  <c r="GM694" i="23916"/>
  <c r="GL21" i="23916"/>
  <c r="GV333" i="23916"/>
  <c r="GU333" i="23916"/>
  <c r="GT332" i="23916"/>
  <c r="EF444" i="23916"/>
  <c r="EE466" i="23916"/>
  <c r="EF466" i="23916" s="1"/>
  <c r="EG438" i="23916"/>
  <c r="GU206" i="23916"/>
  <c r="GT208" i="23916"/>
  <c r="GU208" i="23916" s="1"/>
  <c r="GY298" i="23916"/>
  <c r="GX305" i="23916"/>
  <c r="GX299" i="23916"/>
  <c r="GX301" i="23916" s="1"/>
  <c r="GX307" i="23916"/>
  <c r="GZ298" i="23916"/>
  <c r="GV802" i="23916"/>
  <c r="GW373" i="23916"/>
  <c r="FR809" i="23916"/>
  <c r="FR808" i="23916" s="1"/>
  <c r="FR155" i="23916"/>
  <c r="FT127" i="23916"/>
  <c r="GU369" i="23916"/>
  <c r="GV369" i="23916"/>
  <c r="GT368" i="23916"/>
  <c r="GI137" i="23916"/>
  <c r="GK137" i="23916"/>
  <c r="DB39" i="23916"/>
  <c r="DA73" i="23916"/>
  <c r="DB73" i="23916" s="1"/>
  <c r="DA72" i="23916"/>
  <c r="DA70" i="23916"/>
  <c r="DB70" i="23916" s="1"/>
  <c r="EE459" i="23916"/>
  <c r="EF459" i="23916" s="1"/>
  <c r="EF458" i="23916"/>
  <c r="EG453" i="23916"/>
  <c r="GH74" i="23916"/>
  <c r="GI72" i="23916"/>
  <c r="GK72" i="23916"/>
  <c r="GX618" i="23916" l="1"/>
  <c r="GX308" i="23916"/>
  <c r="GX304" i="23916"/>
  <c r="GZ301" i="23916"/>
  <c r="GY301" i="23916"/>
  <c r="GX11" i="23916"/>
  <c r="GY220" i="23916"/>
  <c r="GX222" i="23916"/>
  <c r="GY222" i="23916" s="1"/>
  <c r="GI74" i="23916"/>
  <c r="GK74" i="23916"/>
  <c r="GZ305" i="23916"/>
  <c r="GY305" i="23916"/>
  <c r="EG458" i="23916"/>
  <c r="EG462" i="23916"/>
  <c r="EH462" i="23916" s="1"/>
  <c r="EG463" i="23916"/>
  <c r="EH453" i="23916"/>
  <c r="GU332" i="23916"/>
  <c r="GT334" i="23916"/>
  <c r="EF387" i="23916"/>
  <c r="EG381" i="23916"/>
  <c r="EE401" i="23916"/>
  <c r="EI127" i="23916"/>
  <c r="EH133" i="23916"/>
  <c r="DA416" i="23916"/>
  <c r="DB416" i="23916" s="1"/>
  <c r="DA412" i="23916"/>
  <c r="DB405" i="23916"/>
  <c r="DA411" i="23916"/>
  <c r="FT133" i="23916"/>
  <c r="FU127" i="23916"/>
  <c r="FT138" i="23916"/>
  <c r="FU138" i="23916" s="1"/>
  <c r="FT137" i="23916"/>
  <c r="FU137" i="23916" s="1"/>
  <c r="GZ307" i="23916"/>
  <c r="GY307" i="23916"/>
  <c r="EG450" i="23916"/>
  <c r="EG449" i="23916"/>
  <c r="EH449" i="23916" s="1"/>
  <c r="EG445" i="23916"/>
  <c r="EH445" i="23916" s="1"/>
  <c r="EG448" i="23916"/>
  <c r="EH448" i="23916" s="1"/>
  <c r="EG444" i="23916"/>
  <c r="EH438" i="23916"/>
  <c r="GX204" i="23916"/>
  <c r="GZ202" i="23916"/>
  <c r="GY202" i="23916"/>
  <c r="BZ412" i="23916"/>
  <c r="BY415" i="23916"/>
  <c r="BZ415" i="23916" s="1"/>
  <c r="DB438" i="23916"/>
  <c r="DA445" i="23916"/>
  <c r="DA449" i="23916"/>
  <c r="DB449" i="23916" s="1"/>
  <c r="DA444" i="23916"/>
  <c r="DC398" i="23916"/>
  <c r="DC397" i="23916"/>
  <c r="DD392" i="23916"/>
  <c r="GF392" i="23916"/>
  <c r="EG170" i="23916"/>
  <c r="EH170" i="23916" s="1"/>
  <c r="EG169" i="23916"/>
  <c r="GL135" i="23916"/>
  <c r="EH135" i="23916"/>
  <c r="GW206" i="23916"/>
  <c r="GV208" i="23916"/>
  <c r="GW208" i="23916" s="1"/>
  <c r="DC58" i="23916"/>
  <c r="DD58" i="23916" s="1"/>
  <c r="DD38" i="23916"/>
  <c r="DE32" i="23916"/>
  <c r="P147" i="23916"/>
  <c r="O148" i="23916"/>
  <c r="Q143" i="23916"/>
  <c r="O155" i="23916"/>
  <c r="P155" i="23916" s="1"/>
  <c r="EE152" i="23916"/>
  <c r="EF152" i="23916" s="1"/>
  <c r="EF151" i="23916"/>
  <c r="GS230" i="23916"/>
  <c r="GR232" i="23916"/>
  <c r="GS232" i="23916" s="1"/>
  <c r="GR257" i="23916"/>
  <c r="CZ480" i="23916"/>
  <c r="CY482" i="23916"/>
  <c r="CZ482" i="23916" s="1"/>
  <c r="GY300" i="23916"/>
  <c r="GZ300" i="23916"/>
  <c r="EE479" i="23916"/>
  <c r="EF479" i="23916" s="1"/>
  <c r="EE478" i="23916"/>
  <c r="EF478" i="23916" s="1"/>
  <c r="EF398" i="23916"/>
  <c r="DC71" i="23916"/>
  <c r="DD71" i="23916" s="1"/>
  <c r="DD52" i="23916"/>
  <c r="EA678" i="23916"/>
  <c r="EB678" i="23916" s="1"/>
  <c r="EB665" i="23916"/>
  <c r="EA682" i="23916"/>
  <c r="EB682" i="23916" s="1"/>
  <c r="EA681" i="23916"/>
  <c r="EB681" i="23916" s="1"/>
  <c r="GM805" i="23916"/>
  <c r="GL806" i="23916"/>
  <c r="DV721" i="23916"/>
  <c r="DU722" i="23916"/>
  <c r="DV722" i="23916" s="1"/>
  <c r="GR812" i="23916"/>
  <c r="GS812" i="23916" s="1"/>
  <c r="GR620" i="23916"/>
  <c r="GR372" i="23916"/>
  <c r="GR376" i="23916"/>
  <c r="GS376" i="23916" s="1"/>
  <c r="GS370" i="23916"/>
  <c r="GR13" i="23916"/>
  <c r="GS13" i="23916" s="1"/>
  <c r="CZ148" i="23916"/>
  <c r="CY167" i="23916"/>
  <c r="CZ167" i="23916" s="1"/>
  <c r="EC805" i="23916"/>
  <c r="EC806" i="23916" s="1"/>
  <c r="BA809" i="23916"/>
  <c r="BA808" i="23916" s="1"/>
  <c r="BB133" i="23916"/>
  <c r="BC127" i="23916"/>
  <c r="BA155" i="23916"/>
  <c r="GY238" i="23916"/>
  <c r="GX235" i="23916"/>
  <c r="GU11" i="23916"/>
  <c r="GU618" i="23916"/>
  <c r="CL727" i="23916"/>
  <c r="FZ727" i="23916"/>
  <c r="GA727" i="23916" s="1"/>
  <c r="EH425" i="23916"/>
  <c r="EI420" i="23916"/>
  <c r="EG434" i="23916"/>
  <c r="EG432" i="23916"/>
  <c r="EH432" i="23916" s="1"/>
  <c r="EH431" i="23916"/>
  <c r="DA170" i="23916"/>
  <c r="DB170" i="23916" s="1"/>
  <c r="DA169" i="23916"/>
  <c r="GD135" i="23916"/>
  <c r="DB135" i="23916"/>
  <c r="GU368" i="23916"/>
  <c r="GT370" i="23916"/>
  <c r="GZ299" i="23916"/>
  <c r="GY299" i="23916"/>
  <c r="GW333" i="23916"/>
  <c r="GX333" i="23916"/>
  <c r="GV332" i="23916"/>
  <c r="GR621" i="23916"/>
  <c r="GS618" i="23916"/>
  <c r="DC73" i="23916"/>
  <c r="DD73" i="23916" s="1"/>
  <c r="DC72" i="23916"/>
  <c r="DC70" i="23916"/>
  <c r="DD70" i="23916" s="1"/>
  <c r="DD39" i="23916"/>
  <c r="BC143" i="23916"/>
  <c r="BB147" i="23916"/>
  <c r="GR619" i="23916"/>
  <c r="GR337" i="23916"/>
  <c r="GS337" i="23916" s="1"/>
  <c r="GR341" i="23916"/>
  <c r="GS341" i="23916" s="1"/>
  <c r="GS334" i="23916"/>
  <c r="GR12" i="23916"/>
  <c r="GS12" i="23916" s="1"/>
  <c r="GV268" i="23916"/>
  <c r="GU268" i="23916"/>
  <c r="BY401" i="23916"/>
  <c r="BZ401" i="23916" s="1"/>
  <c r="CA381" i="23916"/>
  <c r="BZ387" i="23916"/>
  <c r="GK630" i="23916"/>
  <c r="GJ642" i="23916"/>
  <c r="EF38" i="23916"/>
  <c r="EG32" i="23916"/>
  <c r="GZ340" i="23916"/>
  <c r="GY340" i="23916"/>
  <c r="GY338" i="23916"/>
  <c r="GZ338" i="23916"/>
  <c r="DW763" i="23916"/>
  <c r="DX763" i="23916" s="1"/>
  <c r="DW762" i="23916"/>
  <c r="DX762" i="23916" s="1"/>
  <c r="DW761" i="23916"/>
  <c r="DX761" i="23916" s="1"/>
  <c r="DW760" i="23916"/>
  <c r="DX760" i="23916" s="1"/>
  <c r="DW752" i="23916"/>
  <c r="DX752" i="23916" s="1"/>
  <c r="DW751" i="23916"/>
  <c r="DX751" i="23916" s="1"/>
  <c r="DW749" i="23916"/>
  <c r="DX749" i="23916" s="1"/>
  <c r="DW721" i="23916"/>
  <c r="DX718" i="23916"/>
  <c r="DW719" i="23916"/>
  <c r="DX719" i="23916" s="1"/>
  <c r="DY718" i="23916"/>
  <c r="DW750" i="23916"/>
  <c r="DX750" i="23916" s="1"/>
  <c r="GL678" i="23916"/>
  <c r="GM678" i="23916" s="1"/>
  <c r="BA170" i="23916"/>
  <c r="BB170" i="23916" s="1"/>
  <c r="BA169" i="23916"/>
  <c r="BA167" i="23916"/>
  <c r="BB167" i="23916" s="1"/>
  <c r="BB135" i="23916"/>
  <c r="CK766" i="23916"/>
  <c r="CL731" i="23916"/>
  <c r="CK734" i="23916"/>
  <c r="CA438" i="23916"/>
  <c r="BZ444" i="23916"/>
  <c r="BY466" i="23916"/>
  <c r="BZ466" i="23916" s="1"/>
  <c r="EM405" i="23916"/>
  <c r="EL411" i="23916"/>
  <c r="BZ425" i="23916"/>
  <c r="CA420" i="23916"/>
  <c r="GH147" i="23916"/>
  <c r="GI143" i="23916"/>
  <c r="GH151" i="23916"/>
  <c r="GH150" i="23916"/>
  <c r="GK143" i="23916"/>
  <c r="GO694" i="23916"/>
  <c r="GN21" i="23916"/>
  <c r="GO21" i="23916" s="1"/>
  <c r="EE481" i="23916"/>
  <c r="EF481" i="23916" s="1"/>
  <c r="EE480" i="23916"/>
  <c r="EF388" i="23916"/>
  <c r="BY434" i="23916"/>
  <c r="BZ434" i="23916" s="1"/>
  <c r="BZ411" i="23916"/>
  <c r="CA405" i="23916"/>
  <c r="S171" i="23916"/>
  <c r="T171" i="23916" s="1"/>
  <c r="T169" i="23916"/>
  <c r="EF147" i="23916"/>
  <c r="EG143" i="23916"/>
  <c r="EE155" i="23916"/>
  <c r="EF155" i="23916" s="1"/>
  <c r="EE809" i="23916"/>
  <c r="EE808" i="23916" s="1"/>
  <c r="EC788" i="23916"/>
  <c r="ED684" i="23916"/>
  <c r="EC665" i="23916"/>
  <c r="EE684" i="23916"/>
  <c r="EC756" i="23916"/>
  <c r="ED756" i="23916" s="1"/>
  <c r="EC766" i="23916"/>
  <c r="ED766" i="23916" s="1"/>
  <c r="EE39" i="23916"/>
  <c r="CZ147" i="23916"/>
  <c r="DA143" i="23916"/>
  <c r="CY155" i="23916"/>
  <c r="CZ155" i="23916" s="1"/>
  <c r="CY809" i="23916"/>
  <c r="CY808" i="23916" s="1"/>
  <c r="GM630" i="23916"/>
  <c r="GV236" i="23916"/>
  <c r="GV244" i="23916"/>
  <c r="GV246" i="23916" s="1"/>
  <c r="GW246" i="23916" s="1"/>
  <c r="GW235" i="23916"/>
  <c r="GV226" i="23916"/>
  <c r="GU304" i="23916"/>
  <c r="GA730" i="23916"/>
  <c r="FZ762" i="23916"/>
  <c r="GA762" i="23916" s="1"/>
  <c r="FZ733" i="23916"/>
  <c r="FZ760" i="23916"/>
  <c r="GA760" i="23916" s="1"/>
  <c r="FZ731" i="23916"/>
  <c r="FZ761" i="23916"/>
  <c r="GA761" i="23916" s="1"/>
  <c r="FZ724" i="23916"/>
  <c r="GA724" i="23916" s="1"/>
  <c r="DB425" i="23916"/>
  <c r="DC420" i="23916"/>
  <c r="CA398" i="23916"/>
  <c r="CA396" i="23916"/>
  <c r="CA397" i="23916"/>
  <c r="CB392" i="23916"/>
  <c r="DA388" i="23916"/>
  <c r="DB381" i="23916"/>
  <c r="DA387" i="23916"/>
  <c r="CA462" i="23916"/>
  <c r="CA459" i="23916"/>
  <c r="CB459" i="23916" s="1"/>
  <c r="CA457" i="23916"/>
  <c r="CA458" i="23916"/>
  <c r="CA463" i="23916"/>
  <c r="CA464" i="23916" s="1"/>
  <c r="CB453" i="23916"/>
  <c r="GV618" i="23916"/>
  <c r="GW301" i="23916"/>
  <c r="GV308" i="23916"/>
  <c r="GW308" i="23916" s="1"/>
  <c r="GV304" i="23916"/>
  <c r="GW304" i="23916" s="1"/>
  <c r="GV11" i="23916"/>
  <c r="GW11" i="23916" s="1"/>
  <c r="GX369" i="23916"/>
  <c r="GW369" i="23916"/>
  <c r="GV368" i="23916"/>
  <c r="DA74" i="23916"/>
  <c r="DB74" i="23916" s="1"/>
  <c r="DB72" i="23916"/>
  <c r="CJ734" i="23916"/>
  <c r="CI745" i="23916"/>
  <c r="CJ745" i="23916" s="1"/>
  <c r="DA462" i="23916"/>
  <c r="DA458" i="23916"/>
  <c r="DA459" i="23916"/>
  <c r="DB459" i="23916" s="1"/>
  <c r="DB453" i="23916"/>
  <c r="DA463" i="23916"/>
  <c r="DA464" i="23916" s="1"/>
  <c r="EF148" i="23916"/>
  <c r="EE167" i="23916"/>
  <c r="EF167" i="23916" s="1"/>
  <c r="GX802" i="23916"/>
  <c r="BY481" i="23916"/>
  <c r="BZ481" i="23916" s="1"/>
  <c r="BY480" i="23916"/>
  <c r="BZ388" i="23916"/>
  <c r="EF397" i="23916"/>
  <c r="EG392" i="23916"/>
  <c r="GK694" i="23916"/>
  <c r="GJ21" i="23916"/>
  <c r="GK21" i="23916" s="1"/>
  <c r="DE46" i="23916"/>
  <c r="DD51" i="23916"/>
  <c r="GU226" i="23916"/>
  <c r="GT228" i="23916"/>
  <c r="GT230" i="23916" s="1"/>
  <c r="CJ735" i="23916"/>
  <c r="CI742" i="23916"/>
  <c r="CJ742" i="23916" s="1"/>
  <c r="CI743" i="23916"/>
  <c r="CI842" i="23916"/>
  <c r="CI744" i="23916"/>
  <c r="CJ744" i="23916" s="1"/>
  <c r="GU308" i="23916"/>
  <c r="CK756" i="23916"/>
  <c r="CK754" i="23916"/>
  <c r="CL754" i="23916" s="1"/>
  <c r="CK753" i="23916"/>
  <c r="CL753" i="23916" s="1"/>
  <c r="CK735" i="23916"/>
  <c r="CL733" i="23916"/>
  <c r="CK711" i="23916"/>
  <c r="CK750" i="23916"/>
  <c r="CL750" i="23916" s="1"/>
  <c r="CK749" i="23916"/>
  <c r="CL749" i="23916" s="1"/>
  <c r="CK752" i="23916"/>
  <c r="CL752" i="23916" s="1"/>
  <c r="CK751" i="23916"/>
  <c r="CL751" i="23916" s="1"/>
  <c r="CM736" i="23916"/>
  <c r="CN736" i="23916" s="1"/>
  <c r="CM731" i="23916"/>
  <c r="CM727" i="23916"/>
  <c r="CN727" i="23916" s="1"/>
  <c r="CM733" i="23916"/>
  <c r="CO730" i="23916"/>
  <c r="CN730" i="23916"/>
  <c r="CM762" i="23916"/>
  <c r="CN762" i="23916" s="1"/>
  <c r="CM761" i="23916"/>
  <c r="CN761" i="23916" s="1"/>
  <c r="CM760" i="23916"/>
  <c r="CN760" i="23916" s="1"/>
  <c r="BZ445" i="23916"/>
  <c r="BY448" i="23916"/>
  <c r="BZ448" i="23916" s="1"/>
  <c r="W127" i="23916"/>
  <c r="U135" i="23916"/>
  <c r="V133" i="23916"/>
  <c r="GO630" i="23916"/>
  <c r="GN642" i="23916"/>
  <c r="DB133" i="23916"/>
  <c r="DC127" i="23916"/>
  <c r="GI630" i="23916"/>
  <c r="GH642" i="23916"/>
  <c r="GI642" i="23916" l="1"/>
  <c r="GH678" i="23916"/>
  <c r="GI678" i="23916" s="1"/>
  <c r="CL756" i="23916"/>
  <c r="FZ756" i="23916"/>
  <c r="GA756" i="23916" s="1"/>
  <c r="GU230" i="23916"/>
  <c r="GT232" i="23916"/>
  <c r="GU232" i="23916" s="1"/>
  <c r="GT257" i="23916"/>
  <c r="DC425" i="23916"/>
  <c r="DD420" i="23916"/>
  <c r="GF420" i="23916"/>
  <c r="DC431" i="23916"/>
  <c r="DC432" i="23916" s="1"/>
  <c r="DC426" i="23916"/>
  <c r="DD426" i="23916" s="1"/>
  <c r="DC430" i="23916"/>
  <c r="GA731" i="23916"/>
  <c r="FZ734" i="23916"/>
  <c r="EE788" i="23916"/>
  <c r="EF684" i="23916"/>
  <c r="EG684" i="23916"/>
  <c r="EE665" i="23916"/>
  <c r="EE766" i="23916"/>
  <c r="EF766" i="23916" s="1"/>
  <c r="EE756" i="23916"/>
  <c r="EF756" i="23916" s="1"/>
  <c r="GI151" i="23916"/>
  <c r="GK151" i="23916"/>
  <c r="BA171" i="23916"/>
  <c r="BB171" i="23916" s="1"/>
  <c r="BB169" i="23916"/>
  <c r="CB381" i="23916"/>
  <c r="CA388" i="23916"/>
  <c r="CA386" i="23916"/>
  <c r="CA387" i="23916" s="1"/>
  <c r="GS619" i="23916"/>
  <c r="GZ333" i="23916"/>
  <c r="GY333" i="23916"/>
  <c r="GX332" i="23916"/>
  <c r="GT812" i="23916"/>
  <c r="GT620" i="23916"/>
  <c r="GT376" i="23916"/>
  <c r="GU376" i="23916" s="1"/>
  <c r="GU370" i="23916"/>
  <c r="GT372" i="23916"/>
  <c r="GT13" i="23916"/>
  <c r="GU13" i="23916" s="1"/>
  <c r="BA838" i="23916"/>
  <c r="BA839" i="23916" s="1"/>
  <c r="BA840" i="23916" s="1"/>
  <c r="BB155" i="23916"/>
  <c r="GR262" i="23916"/>
  <c r="GR264" i="23916" s="1"/>
  <c r="GR260" i="23916"/>
  <c r="GS257" i="23916"/>
  <c r="GM135" i="23916"/>
  <c r="GL169" i="23916"/>
  <c r="GL167" i="23916"/>
  <c r="GM167" i="23916" s="1"/>
  <c r="GL170" i="23916"/>
  <c r="GM170" i="23916" s="1"/>
  <c r="GG392" i="23916"/>
  <c r="GF397" i="23916"/>
  <c r="DC438" i="23916"/>
  <c r="DB444" i="23916"/>
  <c r="DA466" i="23916"/>
  <c r="DB466" i="23916" s="1"/>
  <c r="GX206" i="23916"/>
  <c r="GZ204" i="23916"/>
  <c r="FT809" i="23916"/>
  <c r="FT808" i="23916" s="1"/>
  <c r="FT155" i="23916"/>
  <c r="FU155" i="23916" s="1"/>
  <c r="FU133" i="23916"/>
  <c r="FV127" i="23916"/>
  <c r="FT135" i="23916"/>
  <c r="GT619" i="23916"/>
  <c r="GT341" i="23916"/>
  <c r="GU341" i="23916" s="1"/>
  <c r="GU334" i="23916"/>
  <c r="GT337" i="23916"/>
  <c r="GU337" i="23916" s="1"/>
  <c r="GT12" i="23916"/>
  <c r="GU12" i="23916" s="1"/>
  <c r="EG464" i="23916"/>
  <c r="EH464" i="23916" s="1"/>
  <c r="EH463" i="23916"/>
  <c r="CL735" i="23916"/>
  <c r="CK742" i="23916"/>
  <c r="CL742" i="23916" s="1"/>
  <c r="CK744" i="23916"/>
  <c r="CL744" i="23916" s="1"/>
  <c r="CK842" i="23916"/>
  <c r="CK743" i="23916"/>
  <c r="BZ480" i="23916"/>
  <c r="BY482" i="23916"/>
  <c r="BZ482" i="23916" s="1"/>
  <c r="DC453" i="23916"/>
  <c r="DB458" i="23916"/>
  <c r="GY369" i="23916"/>
  <c r="GZ369" i="23916"/>
  <c r="GX368" i="23916"/>
  <c r="CC453" i="23916"/>
  <c r="CB458" i="23916"/>
  <c r="DA401" i="23916"/>
  <c r="DB401" i="23916" s="1"/>
  <c r="DB387" i="23916"/>
  <c r="DC381" i="23916"/>
  <c r="CB397" i="23916"/>
  <c r="CC392" i="23916"/>
  <c r="DA147" i="23916"/>
  <c r="DA151" i="23916"/>
  <c r="DA152" i="23916" s="1"/>
  <c r="DB143" i="23916"/>
  <c r="DA148" i="23916"/>
  <c r="DA150" i="23916"/>
  <c r="EE73" i="23916"/>
  <c r="EF73" i="23916" s="1"/>
  <c r="EE72" i="23916"/>
  <c r="EE71" i="23916"/>
  <c r="EF71" i="23916" s="1"/>
  <c r="EF39" i="23916"/>
  <c r="EC682" i="23916"/>
  <c r="ED682" i="23916" s="1"/>
  <c r="EC681" i="23916"/>
  <c r="ED681" i="23916" s="1"/>
  <c r="ED665" i="23916"/>
  <c r="EC678" i="23916"/>
  <c r="ED678" i="23916" s="1"/>
  <c r="CL766" i="23916"/>
  <c r="FZ766" i="23916"/>
  <c r="GA766" i="23916" s="1"/>
  <c r="GK642" i="23916"/>
  <c r="GJ678" i="23916"/>
  <c r="GK678" i="23916" s="1"/>
  <c r="GS621" i="23916"/>
  <c r="DA171" i="23916"/>
  <c r="DB171" i="23916" s="1"/>
  <c r="DB169" i="23916"/>
  <c r="EH434" i="23916"/>
  <c r="BC135" i="23916"/>
  <c r="BC133" i="23916"/>
  <c r="BD127" i="23916"/>
  <c r="BC138" i="23916"/>
  <c r="BD138" i="23916" s="1"/>
  <c r="BC137" i="23916"/>
  <c r="BD137" i="23916" s="1"/>
  <c r="DE43" i="23916"/>
  <c r="DF43" i="23916" s="1"/>
  <c r="DE42" i="23916"/>
  <c r="DF42" i="23916" s="1"/>
  <c r="DE41" i="23916"/>
  <c r="DF41" i="23916" s="1"/>
  <c r="DE39" i="23916"/>
  <c r="DE38" i="23916"/>
  <c r="DF32" i="23916"/>
  <c r="DC405" i="23916"/>
  <c r="DB411" i="23916"/>
  <c r="DA434" i="23916"/>
  <c r="DB434" i="23916" s="1"/>
  <c r="EF401" i="23916"/>
  <c r="EE797" i="23916"/>
  <c r="EE805" i="23916" s="1"/>
  <c r="EE806" i="23916" s="1"/>
  <c r="EE799" i="23916"/>
  <c r="GY304" i="23916"/>
  <c r="GZ304" i="23916"/>
  <c r="CM766" i="23916"/>
  <c r="CN766" i="23916" s="1"/>
  <c r="CM734" i="23916"/>
  <c r="CN731" i="23916"/>
  <c r="DC133" i="23916"/>
  <c r="DC138" i="23916"/>
  <c r="DD138" i="23916" s="1"/>
  <c r="DC137" i="23916"/>
  <c r="DD137" i="23916" s="1"/>
  <c r="DD127" i="23916"/>
  <c r="DC135" i="23916"/>
  <c r="GO642" i="23916"/>
  <c r="GN678" i="23916"/>
  <c r="GO678" i="23916" s="1"/>
  <c r="U170" i="23916"/>
  <c r="V170" i="23916" s="1"/>
  <c r="U169" i="23916"/>
  <c r="V135" i="23916"/>
  <c r="CO736" i="23916"/>
  <c r="CP736" i="23916" s="1"/>
  <c r="CO733" i="23916"/>
  <c r="CQ730" i="23916"/>
  <c r="CO727" i="23916"/>
  <c r="CP727" i="23916" s="1"/>
  <c r="CP730" i="23916"/>
  <c r="CO731" i="23916"/>
  <c r="CO761" i="23916"/>
  <c r="CP761" i="23916" s="1"/>
  <c r="CO760" i="23916"/>
  <c r="CP760" i="23916" s="1"/>
  <c r="CO762" i="23916"/>
  <c r="CP762" i="23916" s="1"/>
  <c r="EG397" i="23916"/>
  <c r="EH392" i="23916"/>
  <c r="EG398" i="23916"/>
  <c r="GW618" i="23916"/>
  <c r="FX457" i="23916"/>
  <c r="CB457" i="23916"/>
  <c r="CJ457" i="23916"/>
  <c r="FX396" i="23916"/>
  <c r="CJ396" i="23916"/>
  <c r="CB396" i="23916"/>
  <c r="FZ754" i="23916"/>
  <c r="GA754" i="23916" s="1"/>
  <c r="FZ753" i="23916"/>
  <c r="GA753" i="23916" s="1"/>
  <c r="GA733" i="23916"/>
  <c r="FZ749" i="23916"/>
  <c r="GA749" i="23916" s="1"/>
  <c r="FZ750" i="23916"/>
  <c r="GA750" i="23916" s="1"/>
  <c r="FZ751" i="23916"/>
  <c r="GA751" i="23916" s="1"/>
  <c r="FZ752" i="23916"/>
  <c r="GA752" i="23916" s="1"/>
  <c r="FZ735" i="23916"/>
  <c r="GV228" i="23916"/>
  <c r="GV230" i="23916" s="1"/>
  <c r="GW226" i="23916"/>
  <c r="EG148" i="23916"/>
  <c r="EG147" i="23916"/>
  <c r="EG151" i="23916"/>
  <c r="EH143" i="23916"/>
  <c r="EG150" i="23916"/>
  <c r="EH150" i="23916" s="1"/>
  <c r="CB405" i="23916"/>
  <c r="CA416" i="23916"/>
  <c r="CB416" i="23916" s="1"/>
  <c r="CA410" i="23916"/>
  <c r="CA412" i="23916" s="1"/>
  <c r="EE482" i="23916"/>
  <c r="EF482" i="23916" s="1"/>
  <c r="EF480" i="23916"/>
  <c r="GI147" i="23916"/>
  <c r="GH148" i="23916"/>
  <c r="GK147" i="23916"/>
  <c r="GH809" i="23916"/>
  <c r="GH808" i="23916" s="1"/>
  <c r="GH155" i="23916"/>
  <c r="EM415" i="23916"/>
  <c r="EN415" i="23916" s="1"/>
  <c r="EM411" i="23916"/>
  <c r="EM417" i="23916"/>
  <c r="EN405" i="23916"/>
  <c r="EM416" i="23916"/>
  <c r="EN416" i="23916" s="1"/>
  <c r="EM412" i="23916"/>
  <c r="EN412" i="23916" s="1"/>
  <c r="CB438" i="23916"/>
  <c r="CA449" i="23916"/>
  <c r="CB449" i="23916" s="1"/>
  <c r="CA443" i="23916"/>
  <c r="CA445" i="23916" s="1"/>
  <c r="DX721" i="23916"/>
  <c r="DW722" i="23916"/>
  <c r="DX722" i="23916" s="1"/>
  <c r="EG43" i="23916"/>
  <c r="EH43" i="23916" s="1"/>
  <c r="EG42" i="23916"/>
  <c r="EH42" i="23916" s="1"/>
  <c r="EG41" i="23916"/>
  <c r="EH41" i="23916" s="1"/>
  <c r="EG38" i="23916"/>
  <c r="EH32" i="23916"/>
  <c r="BC151" i="23916"/>
  <c r="BC152" i="23916" s="1"/>
  <c r="BC150" i="23916"/>
  <c r="BC147" i="23916"/>
  <c r="BD143" i="23916"/>
  <c r="BC148" i="23916"/>
  <c r="BD148" i="23916" s="1"/>
  <c r="DC74" i="23916"/>
  <c r="DD74" i="23916" s="1"/>
  <c r="DD72" i="23916"/>
  <c r="EI430" i="23916"/>
  <c r="EJ430" i="23916" s="1"/>
  <c r="EI425" i="23916"/>
  <c r="EJ420" i="23916"/>
  <c r="GN420" i="23916"/>
  <c r="EI426" i="23916"/>
  <c r="EJ426" i="23916" s="1"/>
  <c r="EI431" i="23916"/>
  <c r="GX226" i="23916"/>
  <c r="GX244" i="23916"/>
  <c r="GX246" i="23916" s="1"/>
  <c r="GY246" i="23916" s="1"/>
  <c r="GX236" i="23916"/>
  <c r="GY235" i="23916"/>
  <c r="GR816" i="23916"/>
  <c r="GS816" i="23916" s="1"/>
  <c r="GS372" i="23916"/>
  <c r="Q151" i="23916"/>
  <c r="Q147" i="23916"/>
  <c r="Q150" i="23916"/>
  <c r="R143" i="23916"/>
  <c r="EG171" i="23916"/>
  <c r="EH171" i="23916" s="1"/>
  <c r="EH169" i="23916"/>
  <c r="DE392" i="23916"/>
  <c r="DD397" i="23916"/>
  <c r="DB445" i="23916"/>
  <c r="DA448" i="23916"/>
  <c r="DB448" i="23916" s="1"/>
  <c r="EI438" i="23916"/>
  <c r="EH444" i="23916"/>
  <c r="EG466" i="23916"/>
  <c r="EH466" i="23916" s="1"/>
  <c r="EG388" i="23916"/>
  <c r="EG387" i="23916"/>
  <c r="EH381" i="23916"/>
  <c r="EI453" i="23916"/>
  <c r="EG459" i="23916"/>
  <c r="EH459" i="23916" s="1"/>
  <c r="EH458" i="23916"/>
  <c r="GZ11" i="23916"/>
  <c r="GY11" i="23916"/>
  <c r="GZ308" i="23916"/>
  <c r="GY308" i="23916"/>
  <c r="W133" i="23916"/>
  <c r="X127" i="23916"/>
  <c r="W138" i="23916"/>
  <c r="X138" i="23916" s="1"/>
  <c r="W137" i="23916"/>
  <c r="X137" i="23916" s="1"/>
  <c r="CM756" i="23916"/>
  <c r="CN756" i="23916" s="1"/>
  <c r="CM754" i="23916"/>
  <c r="CN754" i="23916" s="1"/>
  <c r="CM753" i="23916"/>
  <c r="CN753" i="23916" s="1"/>
  <c r="CM735" i="23916"/>
  <c r="CN733" i="23916"/>
  <c r="CM711" i="23916"/>
  <c r="CM751" i="23916"/>
  <c r="CN751" i="23916" s="1"/>
  <c r="CM750" i="23916"/>
  <c r="CN750" i="23916" s="1"/>
  <c r="CM749" i="23916"/>
  <c r="CN749" i="23916" s="1"/>
  <c r="CM752" i="23916"/>
  <c r="CN752" i="23916" s="1"/>
  <c r="DF46" i="23916"/>
  <c r="DE55" i="23916"/>
  <c r="DE56" i="23916" s="1"/>
  <c r="DE52" i="23916"/>
  <c r="DE51" i="23916"/>
  <c r="DE54" i="23916"/>
  <c r="GW368" i="23916"/>
  <c r="GV370" i="23916"/>
  <c r="DA481" i="23916"/>
  <c r="DB481" i="23916" s="1"/>
  <c r="DA480" i="23916"/>
  <c r="DB388" i="23916"/>
  <c r="DA478" i="23916"/>
  <c r="DB478" i="23916" s="1"/>
  <c r="CA478" i="23916"/>
  <c r="CB478" i="23916" s="1"/>
  <c r="CA479" i="23916"/>
  <c r="CB479" i="23916" s="1"/>
  <c r="CB398" i="23916"/>
  <c r="GI150" i="23916"/>
  <c r="GK150" i="23916"/>
  <c r="CA431" i="23916"/>
  <c r="CA432" i="23916" s="1"/>
  <c r="CB420" i="23916"/>
  <c r="CA430" i="23916"/>
  <c r="CA424" i="23916"/>
  <c r="CA426" i="23916" s="1"/>
  <c r="CB426" i="23916" s="1"/>
  <c r="CL734" i="23916"/>
  <c r="CK745" i="23916"/>
  <c r="CL745" i="23916" s="1"/>
  <c r="GM642" i="23916"/>
  <c r="DY763" i="23916"/>
  <c r="DZ763" i="23916" s="1"/>
  <c r="DY762" i="23916"/>
  <c r="DZ762" i="23916" s="1"/>
  <c r="DY761" i="23916"/>
  <c r="DZ761" i="23916" s="1"/>
  <c r="DY760" i="23916"/>
  <c r="DZ760" i="23916" s="1"/>
  <c r="DY751" i="23916"/>
  <c r="DZ751" i="23916" s="1"/>
  <c r="DY749" i="23916"/>
  <c r="DZ749" i="23916" s="1"/>
  <c r="DY752" i="23916"/>
  <c r="DZ752" i="23916" s="1"/>
  <c r="DY721" i="23916"/>
  <c r="GJ718" i="23916"/>
  <c r="EA718" i="23916"/>
  <c r="DZ718" i="23916"/>
  <c r="DY719" i="23916"/>
  <c r="DZ719" i="23916" s="1"/>
  <c r="DY750" i="23916"/>
  <c r="DZ750" i="23916" s="1"/>
  <c r="GW268" i="23916"/>
  <c r="GX268" i="23916"/>
  <c r="GW332" i="23916"/>
  <c r="GV334" i="23916"/>
  <c r="GE135" i="23916"/>
  <c r="GD170" i="23916"/>
  <c r="GE170" i="23916" s="1"/>
  <c r="GD167" i="23916"/>
  <c r="GE167" i="23916" s="1"/>
  <c r="GD169" i="23916"/>
  <c r="GS620" i="23916"/>
  <c r="P148" i="23916"/>
  <c r="O167" i="23916"/>
  <c r="P167" i="23916" s="1"/>
  <c r="DC479" i="23916"/>
  <c r="DD479" i="23916" s="1"/>
  <c r="DD398" i="23916"/>
  <c r="DB412" i="23916"/>
  <c r="DA415" i="23916"/>
  <c r="DB415" i="23916" s="1"/>
  <c r="EI133" i="23916"/>
  <c r="EI138" i="23916"/>
  <c r="EJ138" i="23916" s="1"/>
  <c r="EI137" i="23916"/>
  <c r="EJ137" i="23916" s="1"/>
  <c r="EJ127" i="23916"/>
  <c r="EI135" i="23916"/>
  <c r="GM21" i="23916"/>
  <c r="GZ618" i="23916"/>
  <c r="GY618" i="23916"/>
  <c r="CA415" i="23916" l="1"/>
  <c r="CB415" i="23916" s="1"/>
  <c r="CB412" i="23916"/>
  <c r="CB387" i="23916"/>
  <c r="CA401" i="23916"/>
  <c r="CB401" i="23916" s="1"/>
  <c r="CC381" i="23916"/>
  <c r="CB445" i="23916"/>
  <c r="CA448" i="23916"/>
  <c r="CB448" i="23916" s="1"/>
  <c r="DZ721" i="23916"/>
  <c r="DY722" i="23916"/>
  <c r="DZ722" i="23916" s="1"/>
  <c r="DB480" i="23916"/>
  <c r="DA482" i="23916"/>
  <c r="DB482" i="23916" s="1"/>
  <c r="EG480" i="23916"/>
  <c r="EG481" i="23916"/>
  <c r="EH481" i="23916" s="1"/>
  <c r="EH388" i="23916"/>
  <c r="Q148" i="23916"/>
  <c r="R147" i="23916"/>
  <c r="S143" i="23916"/>
  <c r="Q155" i="23916"/>
  <c r="R155" i="23916" s="1"/>
  <c r="EJ431" i="23916"/>
  <c r="EI432" i="23916"/>
  <c r="EK420" i="23916"/>
  <c r="EJ425" i="23916"/>
  <c r="EI434" i="23916"/>
  <c r="GI155" i="23916"/>
  <c r="GK155" i="23916"/>
  <c r="EH148" i="23916"/>
  <c r="EG167" i="23916"/>
  <c r="EH167" i="23916" s="1"/>
  <c r="DF38" i="23916"/>
  <c r="DG32" i="23916"/>
  <c r="DE58" i="23916"/>
  <c r="DF58" i="23916" s="1"/>
  <c r="BC809" i="23916"/>
  <c r="BC808" i="23916" s="1"/>
  <c r="BC155" i="23916"/>
  <c r="BD133" i="23916"/>
  <c r="BE127" i="23916"/>
  <c r="DB148" i="23916"/>
  <c r="DA167" i="23916"/>
  <c r="DB167" i="23916" s="1"/>
  <c r="CC397" i="23916"/>
  <c r="CD392" i="23916"/>
  <c r="CC398" i="23916"/>
  <c r="GY206" i="23916"/>
  <c r="GZ206" i="23916"/>
  <c r="GX208" i="23916"/>
  <c r="GF398" i="23916"/>
  <c r="GG397" i="23916"/>
  <c r="GL171" i="23916"/>
  <c r="GM171" i="23916" s="1"/>
  <c r="GM169" i="23916"/>
  <c r="GT816" i="23916"/>
  <c r="GU372" i="23916"/>
  <c r="EE682" i="23916"/>
  <c r="EF682" i="23916" s="1"/>
  <c r="EE681" i="23916"/>
  <c r="EF681" i="23916" s="1"/>
  <c r="EF665" i="23916"/>
  <c r="EE678" i="23916"/>
  <c r="EF678" i="23916" s="1"/>
  <c r="GA734" i="23916"/>
  <c r="FZ745" i="23916"/>
  <c r="GA745" i="23916" s="1"/>
  <c r="DE420" i="23916"/>
  <c r="DD425" i="23916"/>
  <c r="EI169" i="23916"/>
  <c r="EJ135" i="23916"/>
  <c r="EI170" i="23916"/>
  <c r="EJ133" i="23916"/>
  <c r="EK127" i="23916"/>
  <c r="GY268" i="23916"/>
  <c r="GZ268" i="23916"/>
  <c r="DF51" i="23916"/>
  <c r="DG46" i="23916"/>
  <c r="EI463" i="23916"/>
  <c r="EI458" i="23916"/>
  <c r="EJ453" i="23916"/>
  <c r="GN453" i="23916"/>
  <c r="EI462" i="23916"/>
  <c r="EJ462" i="23916" s="1"/>
  <c r="FY457" i="23916"/>
  <c r="GA457" i="23916"/>
  <c r="FX458" i="23916"/>
  <c r="EG479" i="23916"/>
  <c r="EH479" i="23916" s="1"/>
  <c r="EG478" i="23916"/>
  <c r="EH478" i="23916" s="1"/>
  <c r="EH398" i="23916"/>
  <c r="CN734" i="23916"/>
  <c r="CM745" i="23916"/>
  <c r="CN745" i="23916" s="1"/>
  <c r="DF39" i="23916"/>
  <c r="DE73" i="23916"/>
  <c r="DF73" i="23916" s="1"/>
  <c r="DE72" i="23916"/>
  <c r="DE70" i="23916"/>
  <c r="DF70" i="23916" s="1"/>
  <c r="BC169" i="23916"/>
  <c r="BC167" i="23916"/>
  <c r="BD167" i="23916" s="1"/>
  <c r="BC170" i="23916"/>
  <c r="BD170" i="23916" s="1"/>
  <c r="BD135" i="23916"/>
  <c r="EE74" i="23916"/>
  <c r="EF74" i="23916" s="1"/>
  <c r="EF72" i="23916"/>
  <c r="GU619" i="23916"/>
  <c r="GY332" i="23916"/>
  <c r="GZ332" i="23916"/>
  <c r="GX334" i="23916"/>
  <c r="EG788" i="23916"/>
  <c r="EH684" i="23916"/>
  <c r="EI684" i="23916"/>
  <c r="EG665" i="23916"/>
  <c r="EG766" i="23916"/>
  <c r="EG756" i="23916"/>
  <c r="GU257" i="23916"/>
  <c r="GT262" i="23916"/>
  <c r="GT264" i="23916" s="1"/>
  <c r="GT260" i="23916"/>
  <c r="EA763" i="23916"/>
  <c r="EB763" i="23916" s="1"/>
  <c r="EA762" i="23916"/>
  <c r="EB762" i="23916" s="1"/>
  <c r="EA761" i="23916"/>
  <c r="EB761" i="23916" s="1"/>
  <c r="EA760" i="23916"/>
  <c r="EB760" i="23916" s="1"/>
  <c r="EA751" i="23916"/>
  <c r="EB751" i="23916" s="1"/>
  <c r="EA749" i="23916"/>
  <c r="EB749" i="23916" s="1"/>
  <c r="EA752" i="23916"/>
  <c r="EB752" i="23916" s="1"/>
  <c r="EA721" i="23916"/>
  <c r="EB718" i="23916"/>
  <c r="EA719" i="23916"/>
  <c r="EB719" i="23916" s="1"/>
  <c r="EC718" i="23916"/>
  <c r="EA750" i="23916"/>
  <c r="EB750" i="23916" s="1"/>
  <c r="GV812" i="23916"/>
  <c r="GV620" i="23916"/>
  <c r="GV372" i="23916"/>
  <c r="GV376" i="23916"/>
  <c r="GW376" i="23916" s="1"/>
  <c r="GW370" i="23916"/>
  <c r="GV13" i="23916"/>
  <c r="GW13" i="23916" s="1"/>
  <c r="DE71" i="23916"/>
  <c r="DF71" i="23916" s="1"/>
  <c r="DF52" i="23916"/>
  <c r="W135" i="23916"/>
  <c r="X133" i="23916"/>
  <c r="Y127" i="23916"/>
  <c r="GN425" i="23916"/>
  <c r="GO420" i="23916"/>
  <c r="GN431" i="23916"/>
  <c r="GO431" i="23916" s="1"/>
  <c r="GN430" i="23916"/>
  <c r="GO430" i="23916" s="1"/>
  <c r="BD147" i="23916"/>
  <c r="BE143" i="23916"/>
  <c r="EH38" i="23916"/>
  <c r="EI32" i="23916"/>
  <c r="CB443" i="23916"/>
  <c r="EN411" i="23916"/>
  <c r="EO405" i="23916"/>
  <c r="EH151" i="23916"/>
  <c r="EG152" i="23916"/>
  <c r="EH152" i="23916" s="1"/>
  <c r="GW230" i="23916"/>
  <c r="GV232" i="23916"/>
  <c r="GW232" i="23916" s="1"/>
  <c r="GV257" i="23916"/>
  <c r="FY396" i="23916"/>
  <c r="GA396" i="23916"/>
  <c r="FX397" i="23916"/>
  <c r="CQ736" i="23916"/>
  <c r="CR736" i="23916" s="1"/>
  <c r="CQ731" i="23916"/>
  <c r="CS730" i="23916"/>
  <c r="CQ733" i="23916"/>
  <c r="CR730" i="23916"/>
  <c r="CQ727" i="23916"/>
  <c r="CR727" i="23916" s="1"/>
  <c r="CQ762" i="23916"/>
  <c r="CR762" i="23916" s="1"/>
  <c r="CQ761" i="23916"/>
  <c r="CR761" i="23916" s="1"/>
  <c r="CQ760" i="23916"/>
  <c r="CR760" i="23916" s="1"/>
  <c r="GF405" i="23916"/>
  <c r="DC411" i="23916"/>
  <c r="DD405" i="23916"/>
  <c r="DC416" i="23916"/>
  <c r="DD416" i="23916" s="1"/>
  <c r="DC412" i="23916"/>
  <c r="GF381" i="23916"/>
  <c r="DC387" i="23916"/>
  <c r="DD381" i="23916"/>
  <c r="DC388" i="23916"/>
  <c r="CC458" i="23916"/>
  <c r="CD453" i="23916"/>
  <c r="CC459" i="23916"/>
  <c r="CD459" i="23916" s="1"/>
  <c r="CC463" i="23916"/>
  <c r="CC464" i="23916" s="1"/>
  <c r="CC462" i="23916"/>
  <c r="FT167" i="23916"/>
  <c r="FT170" i="23916"/>
  <c r="FT169" i="23916"/>
  <c r="CB386" i="23916"/>
  <c r="GF425" i="23916"/>
  <c r="GG420" i="23916"/>
  <c r="GF431" i="23916"/>
  <c r="GF430" i="23916"/>
  <c r="GD171" i="23916"/>
  <c r="GE171" i="23916" s="1"/>
  <c r="GE169" i="23916"/>
  <c r="GV619" i="23916"/>
  <c r="GV337" i="23916"/>
  <c r="GW337" i="23916" s="1"/>
  <c r="GV341" i="23916"/>
  <c r="GW341" i="23916" s="1"/>
  <c r="GW334" i="23916"/>
  <c r="GV12" i="23916"/>
  <c r="GW12" i="23916" s="1"/>
  <c r="GJ719" i="23916"/>
  <c r="GK719" i="23916" s="1"/>
  <c r="GK718" i="23916"/>
  <c r="GJ761" i="23916"/>
  <c r="GK761" i="23916" s="1"/>
  <c r="GJ752" i="23916"/>
  <c r="GK752" i="23916" s="1"/>
  <c r="GJ763" i="23916"/>
  <c r="GK763" i="23916" s="1"/>
  <c r="GJ721" i="23916"/>
  <c r="GJ762" i="23916"/>
  <c r="GK762" i="23916" s="1"/>
  <c r="GJ751" i="23916"/>
  <c r="GK751" i="23916" s="1"/>
  <c r="GJ760" i="23916"/>
  <c r="GK760" i="23916" s="1"/>
  <c r="GJ749" i="23916"/>
  <c r="GK749" i="23916" s="1"/>
  <c r="GJ750" i="23916"/>
  <c r="GK750" i="23916" s="1"/>
  <c r="FX424" i="23916"/>
  <c r="CJ424" i="23916"/>
  <c r="CB424" i="23916"/>
  <c r="CA425" i="23916"/>
  <c r="CN735" i="23916"/>
  <c r="CM742" i="23916"/>
  <c r="CN742" i="23916" s="1"/>
  <c r="CM743" i="23916"/>
  <c r="CM744" i="23916"/>
  <c r="CN744" i="23916" s="1"/>
  <c r="CM842" i="23916"/>
  <c r="EG401" i="23916"/>
  <c r="EH387" i="23916"/>
  <c r="EI381" i="23916"/>
  <c r="EI450" i="23916"/>
  <c r="EI449" i="23916"/>
  <c r="EJ449" i="23916" s="1"/>
  <c r="EI444" i="23916"/>
  <c r="GN438" i="23916"/>
  <c r="EI448" i="23916"/>
  <c r="EJ448" i="23916" s="1"/>
  <c r="EI445" i="23916"/>
  <c r="EJ445" i="23916" s="1"/>
  <c r="EJ438" i="23916"/>
  <c r="DE397" i="23916"/>
  <c r="DE398" i="23916"/>
  <c r="DF392" i="23916"/>
  <c r="GX228" i="23916"/>
  <c r="GX230" i="23916" s="1"/>
  <c r="GY226" i="23916"/>
  <c r="EG39" i="23916"/>
  <c r="CA444" i="23916"/>
  <c r="GI148" i="23916"/>
  <c r="GK148" i="23916"/>
  <c r="CB410" i="23916"/>
  <c r="CA411" i="23916"/>
  <c r="EI143" i="23916"/>
  <c r="EH147" i="23916"/>
  <c r="EG155" i="23916"/>
  <c r="EH155" i="23916" s="1"/>
  <c r="EG809" i="23916"/>
  <c r="EG808" i="23916" s="1"/>
  <c r="GA735" i="23916"/>
  <c r="FZ742" i="23916"/>
  <c r="GA742" i="23916" s="1"/>
  <c r="FZ743" i="23916"/>
  <c r="FZ744" i="23916"/>
  <c r="GA744" i="23916" s="1"/>
  <c r="FZ842" i="23916"/>
  <c r="EI392" i="23916"/>
  <c r="EH397" i="23916"/>
  <c r="CO766" i="23916"/>
  <c r="CP766" i="23916" s="1"/>
  <c r="CO734" i="23916"/>
  <c r="CP731" i="23916"/>
  <c r="CO754" i="23916"/>
  <c r="CP754" i="23916" s="1"/>
  <c r="CO753" i="23916"/>
  <c r="CP753" i="23916" s="1"/>
  <c r="CO756" i="23916"/>
  <c r="CP756" i="23916" s="1"/>
  <c r="CO735" i="23916"/>
  <c r="CP733" i="23916"/>
  <c r="CO711" i="23916"/>
  <c r="CO750" i="23916"/>
  <c r="CP750" i="23916" s="1"/>
  <c r="CO749" i="23916"/>
  <c r="CP749" i="23916" s="1"/>
  <c r="CO752" i="23916"/>
  <c r="CP752" i="23916" s="1"/>
  <c r="CO751" i="23916"/>
  <c r="CP751" i="23916" s="1"/>
  <c r="U171" i="23916"/>
  <c r="V171" i="23916" s="1"/>
  <c r="V169" i="23916"/>
  <c r="DC169" i="23916"/>
  <c r="DC170" i="23916"/>
  <c r="DD170" i="23916" s="1"/>
  <c r="DD135" i="23916"/>
  <c r="DD133" i="23916"/>
  <c r="DE127" i="23916"/>
  <c r="DB147" i="23916"/>
  <c r="DC143" i="23916"/>
  <c r="DA809" i="23916"/>
  <c r="DA808" i="23916" s="1"/>
  <c r="DA155" i="23916"/>
  <c r="DB155" i="23916" s="1"/>
  <c r="GZ368" i="23916"/>
  <c r="GY368" i="23916"/>
  <c r="GX370" i="23916"/>
  <c r="DC462" i="23916"/>
  <c r="DC459" i="23916"/>
  <c r="DD459" i="23916" s="1"/>
  <c r="DC458" i="23916"/>
  <c r="DD453" i="23916"/>
  <c r="GF453" i="23916"/>
  <c r="DC463" i="23916"/>
  <c r="DC464" i="23916" s="1"/>
  <c r="FV133" i="23916"/>
  <c r="FW127" i="23916"/>
  <c r="FV137" i="23916"/>
  <c r="FW137" i="23916" s="1"/>
  <c r="FV138" i="23916"/>
  <c r="FW138" i="23916" s="1"/>
  <c r="DD438" i="23916"/>
  <c r="DC449" i="23916"/>
  <c r="DD449" i="23916" s="1"/>
  <c r="DC444" i="23916"/>
  <c r="DC445" i="23916"/>
  <c r="GF438" i="23916"/>
  <c r="GS260" i="23916"/>
  <c r="GR266" i="23916"/>
  <c r="GU620" i="23916"/>
  <c r="GT621" i="23916"/>
  <c r="CA480" i="23916"/>
  <c r="CA481" i="23916"/>
  <c r="CB481" i="23916" s="1"/>
  <c r="CB388" i="23916"/>
  <c r="DD445" i="23916" l="1"/>
  <c r="DC448" i="23916"/>
  <c r="DD448" i="23916" s="1"/>
  <c r="GU621" i="23916"/>
  <c r="GX812" i="23916"/>
  <c r="GX620" i="23916"/>
  <c r="GZ370" i="23916"/>
  <c r="GX376" i="23916"/>
  <c r="GY370" i="23916"/>
  <c r="GX372" i="23916"/>
  <c r="GX13" i="23916"/>
  <c r="CP734" i="23916"/>
  <c r="CO745" i="23916"/>
  <c r="CP745" i="23916" s="1"/>
  <c r="EI150" i="23916"/>
  <c r="EJ150" i="23916" s="1"/>
  <c r="EI148" i="23916"/>
  <c r="EI147" i="23916"/>
  <c r="EI151" i="23916"/>
  <c r="EJ143" i="23916"/>
  <c r="DF397" i="23916"/>
  <c r="DG392" i="23916"/>
  <c r="GN445" i="23916"/>
  <c r="GO445" i="23916" s="1"/>
  <c r="GO438" i="23916"/>
  <c r="GN444" i="23916"/>
  <c r="GN448" i="23916"/>
  <c r="GO448" i="23916" s="1"/>
  <c r="GN449" i="23916"/>
  <c r="GO449" i="23916" s="1"/>
  <c r="GN450" i="23916"/>
  <c r="GO450" i="23916" s="1"/>
  <c r="EI387" i="23916"/>
  <c r="EJ381" i="23916"/>
  <c r="EI388" i="23916"/>
  <c r="GN381" i="23916"/>
  <c r="CC420" i="23916"/>
  <c r="CB425" i="23916"/>
  <c r="FT171" i="23916"/>
  <c r="CD458" i="23916"/>
  <c r="CE453" i="23916"/>
  <c r="GF387" i="23916"/>
  <c r="GF388" i="23916" s="1"/>
  <c r="GG381" i="23916"/>
  <c r="DD411" i="23916"/>
  <c r="DE405" i="23916"/>
  <c r="DC434" i="23916"/>
  <c r="DD434" i="23916" s="1"/>
  <c r="CS736" i="23916"/>
  <c r="CT736" i="23916" s="1"/>
  <c r="CU730" i="23916"/>
  <c r="CS733" i="23916"/>
  <c r="CT730" i="23916"/>
  <c r="GB730" i="23916"/>
  <c r="CS727" i="23916"/>
  <c r="CS731" i="23916"/>
  <c r="CS762" i="23916"/>
  <c r="CT762" i="23916" s="1"/>
  <c r="CS761" i="23916"/>
  <c r="CT761" i="23916" s="1"/>
  <c r="CS760" i="23916"/>
  <c r="CT760" i="23916" s="1"/>
  <c r="W169" i="23916"/>
  <c r="W170" i="23916"/>
  <c r="X170" i="23916" s="1"/>
  <c r="X135" i="23916"/>
  <c r="GW620" i="23916"/>
  <c r="GV621" i="23916"/>
  <c r="EI788" i="23916"/>
  <c r="EK684" i="23916"/>
  <c r="EJ684" i="23916"/>
  <c r="EI665" i="23916"/>
  <c r="EI756" i="23916"/>
  <c r="EJ756" i="23916" s="1"/>
  <c r="EI766" i="23916"/>
  <c r="EJ766" i="23916" s="1"/>
  <c r="DE430" i="23916"/>
  <c r="DE431" i="23916"/>
  <c r="DE432" i="23916" s="1"/>
  <c r="DE426" i="23916"/>
  <c r="DF426" i="23916" s="1"/>
  <c r="DF420" i="23916"/>
  <c r="DE425" i="23916"/>
  <c r="GG398" i="23916"/>
  <c r="GF479" i="23916"/>
  <c r="GG479" i="23916" s="1"/>
  <c r="BC838" i="23916"/>
  <c r="BC839" i="23916" s="1"/>
  <c r="BC840" i="23916" s="1"/>
  <c r="BD155" i="23916"/>
  <c r="ER432" i="23916"/>
  <c r="EJ432" i="23916"/>
  <c r="EG482" i="23916"/>
  <c r="EH482" i="23916" s="1"/>
  <c r="EH480" i="23916"/>
  <c r="GG438" i="23916"/>
  <c r="GF444" i="23916"/>
  <c r="GF449" i="23916"/>
  <c r="GG449" i="23916" s="1"/>
  <c r="FV809" i="23916"/>
  <c r="FV808" i="23916" s="1"/>
  <c r="FV155" i="23916"/>
  <c r="FW155" i="23916" s="1"/>
  <c r="FW133" i="23916"/>
  <c r="FX127" i="23916"/>
  <c r="DD458" i="23916"/>
  <c r="DE453" i="23916"/>
  <c r="DD143" i="23916"/>
  <c r="DC151" i="23916"/>
  <c r="DC152" i="23916" s="1"/>
  <c r="DC147" i="23916"/>
  <c r="DC150" i="23916"/>
  <c r="DC148" i="23916"/>
  <c r="CB411" i="23916"/>
  <c r="CC405" i="23916"/>
  <c r="CA434" i="23916"/>
  <c r="CB434" i="23916" s="1"/>
  <c r="GY230" i="23916"/>
  <c r="GX232" i="23916"/>
  <c r="GY232" i="23916" s="1"/>
  <c r="EJ444" i="23916"/>
  <c r="EK438" i="23916"/>
  <c r="EI466" i="23916"/>
  <c r="EJ466" i="23916" s="1"/>
  <c r="GK721" i="23916"/>
  <c r="GJ722" i="23916"/>
  <c r="GK722" i="23916" s="1"/>
  <c r="GG425" i="23916"/>
  <c r="GF426" i="23916"/>
  <c r="GG426" i="23916" s="1"/>
  <c r="DC480" i="23916"/>
  <c r="DC481" i="23916"/>
  <c r="DD481" i="23916" s="1"/>
  <c r="DD388" i="23916"/>
  <c r="DC478" i="23916"/>
  <c r="DD478" i="23916" s="1"/>
  <c r="DC415" i="23916"/>
  <c r="DD415" i="23916" s="1"/>
  <c r="DD412" i="23916"/>
  <c r="GF411" i="23916"/>
  <c r="GF412" i="23916" s="1"/>
  <c r="GG405" i="23916"/>
  <c r="GF416" i="23916"/>
  <c r="GG416" i="23916" s="1"/>
  <c r="CQ766" i="23916"/>
  <c r="CR766" i="23916" s="1"/>
  <c r="CR731" i="23916"/>
  <c r="CQ734" i="23916"/>
  <c r="EJ32" i="23916"/>
  <c r="EI43" i="23916"/>
  <c r="EJ43" i="23916" s="1"/>
  <c r="EI42" i="23916"/>
  <c r="EJ42" i="23916" s="1"/>
  <c r="EI41" i="23916"/>
  <c r="EJ41" i="23916" s="1"/>
  <c r="EI38" i="23916"/>
  <c r="GO425" i="23916"/>
  <c r="GN426" i="23916"/>
  <c r="GO426" i="23916" s="1"/>
  <c r="GN434" i="23916"/>
  <c r="EH756" i="23916"/>
  <c r="GL756" i="23916"/>
  <c r="GM756" i="23916" s="1"/>
  <c r="BC171" i="23916"/>
  <c r="BD171" i="23916" s="1"/>
  <c r="BD169" i="23916"/>
  <c r="EI459" i="23916"/>
  <c r="EJ459" i="23916" s="1"/>
  <c r="EK453" i="23916"/>
  <c r="EJ458" i="23916"/>
  <c r="GZ208" i="23916"/>
  <c r="GY208" i="23916"/>
  <c r="CC479" i="23916"/>
  <c r="CD479" i="23916" s="1"/>
  <c r="CD398" i="23916"/>
  <c r="EJ434" i="23916"/>
  <c r="R148" i="23916"/>
  <c r="Q167" i="23916"/>
  <c r="R167" i="23916" s="1"/>
  <c r="DC171" i="23916"/>
  <c r="DD171" i="23916" s="1"/>
  <c r="DD169" i="23916"/>
  <c r="EH401" i="23916"/>
  <c r="EG797" i="23916"/>
  <c r="EG805" i="23916" s="1"/>
  <c r="EG806" i="23916" s="1"/>
  <c r="EG799" i="23916"/>
  <c r="GV260" i="23916"/>
  <c r="GV262" i="23916"/>
  <c r="GV264" i="23916" s="1"/>
  <c r="GW257" i="23916"/>
  <c r="Y138" i="23916"/>
  <c r="Z138" i="23916" s="1"/>
  <c r="Y137" i="23916"/>
  <c r="Z137" i="23916" s="1"/>
  <c r="Y133" i="23916"/>
  <c r="Z127" i="23916"/>
  <c r="EB721" i="23916"/>
  <c r="EA722" i="23916"/>
  <c r="EB722" i="23916" s="1"/>
  <c r="GU260" i="23916"/>
  <c r="GT266" i="23916"/>
  <c r="EH766" i="23916"/>
  <c r="GL766" i="23916"/>
  <c r="GM766" i="23916" s="1"/>
  <c r="EI464" i="23916"/>
  <c r="EJ463" i="23916"/>
  <c r="EI171" i="23916"/>
  <c r="ER169" i="23916"/>
  <c r="EJ169" i="23916"/>
  <c r="BE138" i="23916"/>
  <c r="BF138" i="23916" s="1"/>
  <c r="BE137" i="23916"/>
  <c r="BF137" i="23916" s="1"/>
  <c r="BE135" i="23916"/>
  <c r="BE133" i="23916"/>
  <c r="BF127" i="23916"/>
  <c r="CB444" i="23916"/>
  <c r="CC438" i="23916"/>
  <c r="CA466" i="23916"/>
  <c r="CB466" i="23916" s="1"/>
  <c r="CB480" i="23916"/>
  <c r="CA482" i="23916"/>
  <c r="CB482" i="23916" s="1"/>
  <c r="GR272" i="23916"/>
  <c r="GS266" i="23916"/>
  <c r="GR267" i="23916"/>
  <c r="GS267" i="23916" s="1"/>
  <c r="GR269" i="23916"/>
  <c r="GR274" i="23916"/>
  <c r="GS274" i="23916" s="1"/>
  <c r="DD444" i="23916"/>
  <c r="DC466" i="23916"/>
  <c r="DD466" i="23916" s="1"/>
  <c r="DE438" i="23916"/>
  <c r="GG453" i="23916"/>
  <c r="GF458" i="23916"/>
  <c r="GF462" i="23916"/>
  <c r="GF463" i="23916"/>
  <c r="DE138" i="23916"/>
  <c r="DF138" i="23916" s="1"/>
  <c r="DE137" i="23916"/>
  <c r="DF137" i="23916" s="1"/>
  <c r="DF127" i="23916"/>
  <c r="DE135" i="23916"/>
  <c r="DE133" i="23916"/>
  <c r="CP735" i="23916"/>
  <c r="CO742" i="23916"/>
  <c r="CP742" i="23916" s="1"/>
  <c r="CO743" i="23916"/>
  <c r="CO744" i="23916"/>
  <c r="CP744" i="23916" s="1"/>
  <c r="CO842" i="23916"/>
  <c r="EI398" i="23916"/>
  <c r="EI397" i="23916"/>
  <c r="GN392" i="23916"/>
  <c r="EJ392" i="23916"/>
  <c r="EG71" i="23916"/>
  <c r="EH71" i="23916" s="1"/>
  <c r="EH39" i="23916"/>
  <c r="EG73" i="23916"/>
  <c r="EH73" i="23916" s="1"/>
  <c r="EG72" i="23916"/>
  <c r="DE479" i="23916"/>
  <c r="DF479" i="23916" s="1"/>
  <c r="DF398" i="23916"/>
  <c r="GA424" i="23916"/>
  <c r="FY424" i="23916"/>
  <c r="FX425" i="23916"/>
  <c r="GW619" i="23916"/>
  <c r="DD387" i="23916"/>
  <c r="DC401" i="23916"/>
  <c r="DD401" i="23916" s="1"/>
  <c r="DE381" i="23916"/>
  <c r="CQ754" i="23916"/>
  <c r="CR754" i="23916" s="1"/>
  <c r="CQ753" i="23916"/>
  <c r="CR753" i="23916" s="1"/>
  <c r="CQ756" i="23916"/>
  <c r="CR756" i="23916" s="1"/>
  <c r="CR733" i="23916"/>
  <c r="CQ735" i="23916"/>
  <c r="CQ711" i="23916"/>
  <c r="CQ752" i="23916"/>
  <c r="CR752" i="23916" s="1"/>
  <c r="CQ751" i="23916"/>
  <c r="CR751" i="23916" s="1"/>
  <c r="CQ750" i="23916"/>
  <c r="CR750" i="23916" s="1"/>
  <c r="CQ749" i="23916"/>
  <c r="CR749" i="23916" s="1"/>
  <c r="FX398" i="23916"/>
  <c r="FZ392" i="23916"/>
  <c r="FY397" i="23916"/>
  <c r="EO415" i="23916"/>
  <c r="EO412" i="23916"/>
  <c r="EP412" i="23916" s="1"/>
  <c r="EO417" i="23916"/>
  <c r="EQ417" i="23916" s="1"/>
  <c r="ES417" i="23916" s="1"/>
  <c r="EU417" i="23916" s="1"/>
  <c r="EW417" i="23916" s="1"/>
  <c r="EP405" i="23916"/>
  <c r="EO416" i="23916"/>
  <c r="EO411" i="23916"/>
  <c r="BE147" i="23916"/>
  <c r="BE151" i="23916"/>
  <c r="BE152" i="23916" s="1"/>
  <c r="BF143" i="23916"/>
  <c r="BE148" i="23916"/>
  <c r="BF148" i="23916" s="1"/>
  <c r="BE150" i="23916"/>
  <c r="GV816" i="23916"/>
  <c r="GW372" i="23916"/>
  <c r="EC763" i="23916"/>
  <c r="ED763" i="23916" s="1"/>
  <c r="EC762" i="23916"/>
  <c r="ED762" i="23916" s="1"/>
  <c r="EC761" i="23916"/>
  <c r="ED761" i="23916" s="1"/>
  <c r="EC760" i="23916"/>
  <c r="ED760" i="23916" s="1"/>
  <c r="EC752" i="23916"/>
  <c r="ED752" i="23916" s="1"/>
  <c r="EC751" i="23916"/>
  <c r="ED751" i="23916" s="1"/>
  <c r="EC749" i="23916"/>
  <c r="ED749" i="23916" s="1"/>
  <c r="EC721" i="23916"/>
  <c r="EE718" i="23916"/>
  <c r="EC719" i="23916"/>
  <c r="ED719" i="23916" s="1"/>
  <c r="ED718" i="23916"/>
  <c r="EC750" i="23916"/>
  <c r="ED750" i="23916" s="1"/>
  <c r="EG682" i="23916"/>
  <c r="EH682" i="23916" s="1"/>
  <c r="EG681" i="23916"/>
  <c r="EH681" i="23916" s="1"/>
  <c r="EH665" i="23916"/>
  <c r="EG678" i="23916"/>
  <c r="EH678" i="23916" s="1"/>
  <c r="GX619" i="23916"/>
  <c r="GY334" i="23916"/>
  <c r="GX341" i="23916"/>
  <c r="GX337" i="23916"/>
  <c r="GZ334" i="23916"/>
  <c r="GX12" i="23916"/>
  <c r="DE74" i="23916"/>
  <c r="DF74" i="23916" s="1"/>
  <c r="DF72" i="23916"/>
  <c r="FX459" i="23916"/>
  <c r="FY459" i="23916" s="1"/>
  <c r="FZ453" i="23916"/>
  <c r="FY458" i="23916"/>
  <c r="GO453" i="23916"/>
  <c r="GN458" i="23916"/>
  <c r="GN462" i="23916"/>
  <c r="GO462" i="23916" s="1"/>
  <c r="GN463" i="23916"/>
  <c r="GO463" i="23916" s="1"/>
  <c r="DH46" i="23916"/>
  <c r="DG55" i="23916"/>
  <c r="DG56" i="23916" s="1"/>
  <c r="DG54" i="23916"/>
  <c r="DG52" i="23916"/>
  <c r="DG51" i="23916"/>
  <c r="EK138" i="23916"/>
  <c r="EL138" i="23916" s="1"/>
  <c r="EK137" i="23916"/>
  <c r="EL137" i="23916" s="1"/>
  <c r="EL127" i="23916"/>
  <c r="EK135" i="23916"/>
  <c r="EK133" i="23916"/>
  <c r="EJ170" i="23916"/>
  <c r="ER170" i="23916"/>
  <c r="GX257" i="23916"/>
  <c r="CE392" i="23916"/>
  <c r="CD397" i="23916"/>
  <c r="DH32" i="23916"/>
  <c r="DG43" i="23916"/>
  <c r="DH43" i="23916" s="1"/>
  <c r="DG42" i="23916"/>
  <c r="DH42" i="23916" s="1"/>
  <c r="DG41" i="23916"/>
  <c r="DH41" i="23916" s="1"/>
  <c r="DG39" i="23916"/>
  <c r="DG38" i="23916"/>
  <c r="EK426" i="23916"/>
  <c r="EL426" i="23916" s="1"/>
  <c r="EL420" i="23916"/>
  <c r="EK431" i="23916"/>
  <c r="EK430" i="23916"/>
  <c r="EL430" i="23916" s="1"/>
  <c r="EK425" i="23916"/>
  <c r="T143" i="23916"/>
  <c r="S151" i="23916"/>
  <c r="S147" i="23916"/>
  <c r="S150" i="23916"/>
  <c r="CC386" i="23916"/>
  <c r="CC388" i="23916" s="1"/>
  <c r="CD381" i="23916"/>
  <c r="CC387" i="23916"/>
  <c r="AX59" i="24103"/>
  <c r="AX18" i="24103"/>
  <c r="AW18" i="24103"/>
  <c r="AX5" i="24103"/>
  <c r="AX50" i="24103" s="1"/>
  <c r="AW5" i="24103"/>
  <c r="AW50" i="24103" s="1"/>
  <c r="AX4" i="24103"/>
  <c r="AX49" i="24103" s="1"/>
  <c r="AX3" i="24103"/>
  <c r="AX48" i="24103" s="1"/>
  <c r="AP59" i="24103"/>
  <c r="AO18" i="24103"/>
  <c r="AP5" i="24103"/>
  <c r="AP50" i="24103" s="1"/>
  <c r="AO5" i="24103"/>
  <c r="AO50" i="24103" s="1"/>
  <c r="AP4" i="24103"/>
  <c r="AP49" i="24103" s="1"/>
  <c r="AP3" i="24103"/>
  <c r="AP48" i="24103" s="1"/>
  <c r="AG59" i="24103"/>
  <c r="AE59" i="24103"/>
  <c r="AC59" i="24103"/>
  <c r="AA59" i="24103"/>
  <c r="Z40" i="24103"/>
  <c r="AG18" i="24103"/>
  <c r="AF18" i="24103"/>
  <c r="AE18" i="24103"/>
  <c r="AD18" i="24103"/>
  <c r="AB18" i="24103"/>
  <c r="Z18" i="24103"/>
  <c r="AG5" i="24103"/>
  <c r="AG50" i="24103" s="1"/>
  <c r="AF5" i="24103"/>
  <c r="AF50" i="24103" s="1"/>
  <c r="AE5" i="24103"/>
  <c r="AE50" i="24103" s="1"/>
  <c r="AD5" i="24103"/>
  <c r="AD50" i="24103" s="1"/>
  <c r="AC5" i="24103"/>
  <c r="AC50" i="24103" s="1"/>
  <c r="AB5" i="24103"/>
  <c r="AB50" i="24103" s="1"/>
  <c r="AA5" i="24103"/>
  <c r="AA50" i="24103" s="1"/>
  <c r="Z5" i="24103"/>
  <c r="Z50" i="24103" s="1"/>
  <c r="AG4" i="24103"/>
  <c r="AG49" i="24103" s="1"/>
  <c r="AE4" i="24103"/>
  <c r="AE49" i="24103" s="1"/>
  <c r="AC4" i="24103"/>
  <c r="AC49" i="24103" s="1"/>
  <c r="AA4" i="24103"/>
  <c r="AA49" i="24103" s="1"/>
  <c r="AG3" i="24103"/>
  <c r="AG48" i="24103" s="1"/>
  <c r="AE3" i="24103"/>
  <c r="AE48" i="24103" s="1"/>
  <c r="AC3" i="24103"/>
  <c r="AC48" i="24103" s="1"/>
  <c r="AA3" i="24103"/>
  <c r="AA48" i="24103" s="1"/>
  <c r="AX18" i="23920"/>
  <c r="AW18" i="23920"/>
  <c r="AX11" i="23920"/>
  <c r="AX5" i="23920"/>
  <c r="AX59" i="23920" s="1"/>
  <c r="AW5" i="23920"/>
  <c r="AW59" i="23920" s="1"/>
  <c r="AX4" i="23920"/>
  <c r="AX58" i="23920" s="1"/>
  <c r="AX3" i="23920"/>
  <c r="AX57" i="23920" s="1"/>
  <c r="AO23" i="23920"/>
  <c r="AP5" i="23920"/>
  <c r="AP59" i="23920" s="1"/>
  <c r="AO5" i="23920"/>
  <c r="AO59" i="23920" s="1"/>
  <c r="AP4" i="23920"/>
  <c r="AP58" i="23920" s="1"/>
  <c r="AP3" i="23920"/>
  <c r="AP57" i="23920" s="1"/>
  <c r="Z49" i="23920"/>
  <c r="AG23" i="23920"/>
  <c r="AF23" i="23920"/>
  <c r="AE23" i="23920"/>
  <c r="AD23" i="23920"/>
  <c r="AC23" i="23920"/>
  <c r="AB23" i="23920"/>
  <c r="AA23" i="23920"/>
  <c r="Z23" i="23920"/>
  <c r="AG18" i="23920"/>
  <c r="AF18" i="23920"/>
  <c r="AE18" i="23920"/>
  <c r="AD18" i="23920"/>
  <c r="AB18" i="23920"/>
  <c r="Z18" i="23920"/>
  <c r="AG11" i="23920"/>
  <c r="AE11" i="23920"/>
  <c r="AC11" i="23920"/>
  <c r="AA11" i="23920"/>
  <c r="AG5" i="23920"/>
  <c r="AG59" i="23920" s="1"/>
  <c r="AF5" i="23920"/>
  <c r="AF59" i="23920" s="1"/>
  <c r="AE5" i="23920"/>
  <c r="AE59" i="23920" s="1"/>
  <c r="AD5" i="23920"/>
  <c r="AD59" i="23920" s="1"/>
  <c r="AC5" i="23920"/>
  <c r="AC59" i="23920" s="1"/>
  <c r="AB5" i="23920"/>
  <c r="AB59" i="23920" s="1"/>
  <c r="AA5" i="23920"/>
  <c r="AA59" i="23920" s="1"/>
  <c r="Z5" i="23920"/>
  <c r="Z59" i="23920" s="1"/>
  <c r="AG4" i="23920"/>
  <c r="AG58" i="23920" s="1"/>
  <c r="AE4" i="23920"/>
  <c r="AE58" i="23920" s="1"/>
  <c r="AC4" i="23920"/>
  <c r="AC58" i="23920" s="1"/>
  <c r="AA4" i="23920"/>
  <c r="AA58" i="23920" s="1"/>
  <c r="AG3" i="23920"/>
  <c r="AG57" i="23920" s="1"/>
  <c r="AE3" i="23920"/>
  <c r="AE57" i="23920" s="1"/>
  <c r="AC3" i="23920"/>
  <c r="AC57" i="23920" s="1"/>
  <c r="AA3" i="23920"/>
  <c r="AA57" i="23920" s="1"/>
  <c r="GG412" i="23916" l="1"/>
  <c r="GF415" i="23916"/>
  <c r="GG415" i="23916" s="1"/>
  <c r="CC481" i="23916"/>
  <c r="CD481" i="23916" s="1"/>
  <c r="CD388" i="23916"/>
  <c r="CC480" i="23916"/>
  <c r="CC478" i="23916"/>
  <c r="CD478" i="23916" s="1"/>
  <c r="GG388" i="23916"/>
  <c r="GF481" i="23916"/>
  <c r="GG481" i="23916" s="1"/>
  <c r="GF480" i="23916"/>
  <c r="GF478" i="23916"/>
  <c r="GG478" i="23916" s="1"/>
  <c r="FZ458" i="23916"/>
  <c r="GA453" i="23916"/>
  <c r="FZ462" i="23916"/>
  <c r="GC453" i="23916"/>
  <c r="FZ463" i="23916"/>
  <c r="GY12" i="23916"/>
  <c r="GZ12" i="23916"/>
  <c r="BF147" i="23916"/>
  <c r="BG143" i="23916"/>
  <c r="FZ397" i="23916"/>
  <c r="GC392" i="23916"/>
  <c r="GA392" i="23916"/>
  <c r="DE388" i="23916"/>
  <c r="DF381" i="23916"/>
  <c r="DE387" i="23916"/>
  <c r="EG74" i="23916"/>
  <c r="EH74" i="23916" s="1"/>
  <c r="EH72" i="23916"/>
  <c r="GF459" i="23916"/>
  <c r="GG459" i="23916" s="1"/>
  <c r="GG458" i="23916"/>
  <c r="GT274" i="23916"/>
  <c r="GU274" i="23916" s="1"/>
  <c r="GU266" i="23916"/>
  <c r="GT267" i="23916"/>
  <c r="GU267" i="23916" s="1"/>
  <c r="GT272" i="23916"/>
  <c r="GT269" i="23916"/>
  <c r="EK458" i="23916"/>
  <c r="EK462" i="23916"/>
  <c r="EL462" i="23916" s="1"/>
  <c r="EK463" i="23916"/>
  <c r="EL453" i="23916"/>
  <c r="FX133" i="23916"/>
  <c r="FY127" i="23916"/>
  <c r="FX138" i="23916"/>
  <c r="FY138" i="23916" s="1"/>
  <c r="FX137" i="23916"/>
  <c r="FY137" i="23916" s="1"/>
  <c r="EI678" i="23916"/>
  <c r="EJ678" i="23916" s="1"/>
  <c r="EI682" i="23916"/>
  <c r="EJ682" i="23916" s="1"/>
  <c r="EI681" i="23916"/>
  <c r="EJ681" i="23916" s="1"/>
  <c r="EJ665" i="23916"/>
  <c r="GW621" i="23916"/>
  <c r="GC730" i="23916"/>
  <c r="GB761" i="23916"/>
  <c r="GC761" i="23916" s="1"/>
  <c r="GB731" i="23916"/>
  <c r="GB762" i="23916"/>
  <c r="GC762" i="23916" s="1"/>
  <c r="GB733" i="23916"/>
  <c r="GB760" i="23916"/>
  <c r="GC760" i="23916" s="1"/>
  <c r="GB724" i="23916"/>
  <c r="GC724" i="23916" s="1"/>
  <c r="CC426" i="23916"/>
  <c r="CD426" i="23916" s="1"/>
  <c r="CC425" i="23916"/>
  <c r="CD420" i="23916"/>
  <c r="CC431" i="23916"/>
  <c r="CC432" i="23916" s="1"/>
  <c r="CC430" i="23916"/>
  <c r="EJ387" i="23916"/>
  <c r="EK381" i="23916"/>
  <c r="EI401" i="23916"/>
  <c r="GN466" i="23916"/>
  <c r="GO466" i="23916" s="1"/>
  <c r="GO444" i="23916"/>
  <c r="EJ148" i="23916"/>
  <c r="EI167" i="23916"/>
  <c r="GZ13" i="23916"/>
  <c r="GY13" i="23916"/>
  <c r="CC401" i="23916"/>
  <c r="CD401" i="23916" s="1"/>
  <c r="CD387" i="23916"/>
  <c r="CE381" i="23916"/>
  <c r="EL425" i="23916"/>
  <c r="EM420" i="23916"/>
  <c r="EK434" i="23916"/>
  <c r="CE398" i="23916"/>
  <c r="CE397" i="23916"/>
  <c r="CN392" i="23916"/>
  <c r="CF392" i="23916"/>
  <c r="EL133" i="23916"/>
  <c r="EM127" i="23916"/>
  <c r="GN459" i="23916"/>
  <c r="GO459" i="23916" s="1"/>
  <c r="GO458" i="23916"/>
  <c r="GZ619" i="23916"/>
  <c r="GY619" i="23916"/>
  <c r="EE763" i="23916"/>
  <c r="EF763" i="23916" s="1"/>
  <c r="EE762" i="23916"/>
  <c r="EF762" i="23916" s="1"/>
  <c r="EE761" i="23916"/>
  <c r="EF761" i="23916" s="1"/>
  <c r="EE760" i="23916"/>
  <c r="EF760" i="23916" s="1"/>
  <c r="EE751" i="23916"/>
  <c r="EF751" i="23916" s="1"/>
  <c r="EE749" i="23916"/>
  <c r="EF749" i="23916" s="1"/>
  <c r="EE752" i="23916"/>
  <c r="EF752" i="23916" s="1"/>
  <c r="EE721" i="23916"/>
  <c r="EF718" i="23916"/>
  <c r="EE719" i="23916"/>
  <c r="EF719" i="23916" s="1"/>
  <c r="EG718" i="23916"/>
  <c r="EE750" i="23916"/>
  <c r="EF750" i="23916" s="1"/>
  <c r="EQ405" i="23916"/>
  <c r="EP411" i="23916"/>
  <c r="FY398" i="23916"/>
  <c r="FX479" i="23916"/>
  <c r="FY479" i="23916" s="1"/>
  <c r="FY425" i="23916"/>
  <c r="FX426" i="23916"/>
  <c r="FY426" i="23916" s="1"/>
  <c r="FZ420" i="23916"/>
  <c r="GO392" i="23916"/>
  <c r="GN397" i="23916"/>
  <c r="DG127" i="23916"/>
  <c r="DF133" i="23916"/>
  <c r="GR801" i="23916"/>
  <c r="GS801" i="23916" s="1"/>
  <c r="GS272" i="23916"/>
  <c r="BE809" i="23916"/>
  <c r="BE808" i="23916" s="1"/>
  <c r="BG127" i="23916"/>
  <c r="BE155" i="23916"/>
  <c r="BF133" i="23916"/>
  <c r="ER464" i="23916"/>
  <c r="EJ464" i="23916"/>
  <c r="Y135" i="23916"/>
  <c r="Z133" i="23916"/>
  <c r="AA127" i="23916"/>
  <c r="EK32" i="23916"/>
  <c r="EJ38" i="23916"/>
  <c r="GF434" i="23916"/>
  <c r="GG434" i="23916" s="1"/>
  <c r="GG411" i="23916"/>
  <c r="DD148" i="23916"/>
  <c r="DC167" i="23916"/>
  <c r="DD167" i="23916" s="1"/>
  <c r="GF466" i="23916"/>
  <c r="GG466" i="23916" s="1"/>
  <c r="GG444" i="23916"/>
  <c r="DG420" i="23916"/>
  <c r="DF425" i="23916"/>
  <c r="GN387" i="23916"/>
  <c r="GN388" i="23916"/>
  <c r="GO381" i="23916"/>
  <c r="GX816" i="23916"/>
  <c r="GZ372" i="23916"/>
  <c r="GY372" i="23916"/>
  <c r="GZ620" i="23916"/>
  <c r="GY620" i="23916"/>
  <c r="GX621" i="23916"/>
  <c r="T147" i="23916"/>
  <c r="S148" i="23916"/>
  <c r="U143" i="23916"/>
  <c r="S155" i="23916"/>
  <c r="T155" i="23916" s="1"/>
  <c r="DG58" i="23916"/>
  <c r="DH58" i="23916" s="1"/>
  <c r="DI32" i="23916"/>
  <c r="DH38" i="23916"/>
  <c r="GY257" i="23916"/>
  <c r="GX262" i="23916"/>
  <c r="GX264" i="23916" s="1"/>
  <c r="GX260" i="23916"/>
  <c r="GZ257" i="23916"/>
  <c r="EK169" i="23916"/>
  <c r="EL135" i="23916"/>
  <c r="EK170" i="23916"/>
  <c r="DH51" i="23916"/>
  <c r="DI46" i="23916"/>
  <c r="GZ337" i="23916"/>
  <c r="GY337" i="23916"/>
  <c r="ED721" i="23916"/>
  <c r="EC722" i="23916"/>
  <c r="ED722" i="23916" s="1"/>
  <c r="EP416" i="23916"/>
  <c r="EQ416" i="23916"/>
  <c r="EQ415" i="23916"/>
  <c r="EP415" i="23916"/>
  <c r="EJ397" i="23916"/>
  <c r="EK392" i="23916"/>
  <c r="DE170" i="23916"/>
  <c r="DF170" i="23916" s="1"/>
  <c r="DE169" i="23916"/>
  <c r="DF135" i="23916"/>
  <c r="DF438" i="23916"/>
  <c r="DE445" i="23916"/>
  <c r="DE449" i="23916"/>
  <c r="DF449" i="23916" s="1"/>
  <c r="DE444" i="23916"/>
  <c r="GR615" i="23916"/>
  <c r="GR275" i="23916"/>
  <c r="GS275" i="23916" s="1"/>
  <c r="GS269" i="23916"/>
  <c r="GR271" i="23916"/>
  <c r="GR9" i="23916"/>
  <c r="GS9" i="23916" s="1"/>
  <c r="CD438" i="23916"/>
  <c r="CC445" i="23916"/>
  <c r="CC449" i="23916"/>
  <c r="CD449" i="23916" s="1"/>
  <c r="CC444" i="23916"/>
  <c r="CC443" i="23916"/>
  <c r="BE170" i="23916"/>
  <c r="BF170" i="23916" s="1"/>
  <c r="BE169" i="23916"/>
  <c r="BE167" i="23916"/>
  <c r="BF167" i="23916" s="1"/>
  <c r="BF135" i="23916"/>
  <c r="GW260" i="23916"/>
  <c r="GV266" i="23916"/>
  <c r="GO434" i="23916"/>
  <c r="EI39" i="23916"/>
  <c r="EK450" i="23916"/>
  <c r="EK449" i="23916"/>
  <c r="EL449" i="23916" s="1"/>
  <c r="EK445" i="23916"/>
  <c r="EL445" i="23916" s="1"/>
  <c r="EL438" i="23916"/>
  <c r="EK448" i="23916"/>
  <c r="EL448" i="23916" s="1"/>
  <c r="EK444" i="23916"/>
  <c r="DE462" i="23916"/>
  <c r="DE458" i="23916"/>
  <c r="DE459" i="23916"/>
  <c r="DF459" i="23916" s="1"/>
  <c r="DF453" i="23916"/>
  <c r="DE463" i="23916"/>
  <c r="DE464" i="23916" s="1"/>
  <c r="EK788" i="23916"/>
  <c r="EL684" i="23916"/>
  <c r="EM684" i="23916"/>
  <c r="EK665" i="23916"/>
  <c r="EK766" i="23916"/>
  <c r="EL766" i="23916" s="1"/>
  <c r="EK756" i="23916"/>
  <c r="EL756" i="23916" s="1"/>
  <c r="W171" i="23916"/>
  <c r="X171" i="23916" s="1"/>
  <c r="X169" i="23916"/>
  <c r="CS766" i="23916"/>
  <c r="CT731" i="23916"/>
  <c r="CS734" i="23916"/>
  <c r="CS756" i="23916"/>
  <c r="CS754" i="23916"/>
  <c r="CT754" i="23916" s="1"/>
  <c r="CS753" i="23916"/>
  <c r="CT753" i="23916" s="1"/>
  <c r="CS735" i="23916"/>
  <c r="CT733" i="23916"/>
  <c r="CS711" i="23916"/>
  <c r="CS752" i="23916"/>
  <c r="CT752" i="23916" s="1"/>
  <c r="CS751" i="23916"/>
  <c r="CT751" i="23916" s="1"/>
  <c r="CS750" i="23916"/>
  <c r="CT750" i="23916" s="1"/>
  <c r="CS749" i="23916"/>
  <c r="CT749" i="23916" s="1"/>
  <c r="DE416" i="23916"/>
  <c r="DF416" i="23916" s="1"/>
  <c r="DE412" i="23916"/>
  <c r="DF405" i="23916"/>
  <c r="DE411" i="23916"/>
  <c r="GF401" i="23916"/>
  <c r="GG401" i="23916" s="1"/>
  <c r="GG387" i="23916"/>
  <c r="EI481" i="23916"/>
  <c r="EJ481" i="23916" s="1"/>
  <c r="EI480" i="23916"/>
  <c r="EJ388" i="23916"/>
  <c r="EI152" i="23916"/>
  <c r="EJ152" i="23916" s="1"/>
  <c r="EJ151" i="23916"/>
  <c r="CD386" i="23916"/>
  <c r="FX386" i="23916"/>
  <c r="EK432" i="23916"/>
  <c r="EL431" i="23916"/>
  <c r="DG73" i="23916"/>
  <c r="DH73" i="23916" s="1"/>
  <c r="DG72" i="23916"/>
  <c r="DG70" i="23916"/>
  <c r="DH70" i="23916" s="1"/>
  <c r="DH39" i="23916"/>
  <c r="DG71" i="23916"/>
  <c r="DH71" i="23916" s="1"/>
  <c r="DH52" i="23916"/>
  <c r="GY341" i="23916"/>
  <c r="GZ341" i="23916"/>
  <c r="CR735" i="23916"/>
  <c r="CQ742" i="23916"/>
  <c r="CR742" i="23916" s="1"/>
  <c r="CQ744" i="23916"/>
  <c r="CR744" i="23916" s="1"/>
  <c r="CQ842" i="23916"/>
  <c r="CQ743" i="23916"/>
  <c r="EI479" i="23916"/>
  <c r="EI478" i="23916"/>
  <c r="EJ398" i="23916"/>
  <c r="ER171" i="23916"/>
  <c r="EJ171" i="23916"/>
  <c r="CR734" i="23916"/>
  <c r="CQ745" i="23916"/>
  <c r="CR745" i="23916" s="1"/>
  <c r="DD480" i="23916"/>
  <c r="DC482" i="23916"/>
  <c r="DD482" i="23916" s="1"/>
  <c r="CC416" i="23916"/>
  <c r="CD416" i="23916" s="1"/>
  <c r="CC410" i="23916"/>
  <c r="CC412" i="23916" s="1"/>
  <c r="CD405" i="23916"/>
  <c r="DE143" i="23916"/>
  <c r="DD147" i="23916"/>
  <c r="DC155" i="23916"/>
  <c r="DD155" i="23916" s="1"/>
  <c r="DC809" i="23916"/>
  <c r="DC808" i="23916" s="1"/>
  <c r="GF445" i="23916"/>
  <c r="GB727" i="23916"/>
  <c r="GC727" i="23916" s="1"/>
  <c r="CT727" i="23916"/>
  <c r="CU736" i="23916"/>
  <c r="CV736" i="23916" s="1"/>
  <c r="CU733" i="23916"/>
  <c r="CU727" i="23916"/>
  <c r="CV727" i="23916" s="1"/>
  <c r="CU731" i="23916"/>
  <c r="CW730" i="23916"/>
  <c r="CV730" i="23916"/>
  <c r="CU760" i="23916"/>
  <c r="CV760" i="23916" s="1"/>
  <c r="CU762" i="23916"/>
  <c r="CV762" i="23916" s="1"/>
  <c r="CU761" i="23916"/>
  <c r="CV761" i="23916" s="1"/>
  <c r="CE462" i="23916"/>
  <c r="CE459" i="23916"/>
  <c r="CE458" i="23916"/>
  <c r="CN453" i="23916"/>
  <c r="CF453" i="23916"/>
  <c r="CE463" i="23916"/>
  <c r="CE464" i="23916" s="1"/>
  <c r="DG398" i="23916"/>
  <c r="DG397" i="23916"/>
  <c r="DH392" i="23916"/>
  <c r="EJ147" i="23916"/>
  <c r="EK143" i="23916"/>
  <c r="EI809" i="23916"/>
  <c r="EI808" i="23916" s="1"/>
  <c r="EI155" i="23916"/>
  <c r="EJ155" i="23916" s="1"/>
  <c r="GY376" i="23916"/>
  <c r="GZ376" i="23916"/>
  <c r="AP23" i="23920"/>
  <c r="AA49" i="23920"/>
  <c r="AB40" i="24103"/>
  <c r="CD412" i="23916" l="1"/>
  <c r="CC415" i="23916"/>
  <c r="CD415" i="23916" s="1"/>
  <c r="GZ621" i="23916"/>
  <c r="GY621" i="23916"/>
  <c r="DH397" i="23916"/>
  <c r="DI392" i="23916"/>
  <c r="CW736" i="23916"/>
  <c r="CX736" i="23916" s="1"/>
  <c r="CW731" i="23916"/>
  <c r="CY730" i="23916"/>
  <c r="CW727" i="23916"/>
  <c r="CX727" i="23916" s="1"/>
  <c r="CX730" i="23916"/>
  <c r="CW762" i="23916"/>
  <c r="CX762" i="23916" s="1"/>
  <c r="CW733" i="23916"/>
  <c r="CW761" i="23916"/>
  <c r="CX761" i="23916" s="1"/>
  <c r="CW760" i="23916"/>
  <c r="CX760" i="23916" s="1"/>
  <c r="EK148" i="23916"/>
  <c r="EK147" i="23916"/>
  <c r="EL143" i="23916"/>
  <c r="EK151" i="23916"/>
  <c r="EK150" i="23916"/>
  <c r="EL150" i="23916" s="1"/>
  <c r="DG479" i="23916"/>
  <c r="DH479" i="23916" s="1"/>
  <c r="DH398" i="23916"/>
  <c r="CF458" i="23916"/>
  <c r="CG453" i="23916"/>
  <c r="CN458" i="23916"/>
  <c r="CU766" i="23916"/>
  <c r="CV766" i="23916" s="1"/>
  <c r="CV731" i="23916"/>
  <c r="CU734" i="23916"/>
  <c r="EJ479" i="23916"/>
  <c r="ER479" i="23916"/>
  <c r="DG74" i="23916"/>
  <c r="DH74" i="23916" s="1"/>
  <c r="DH72" i="23916"/>
  <c r="FY386" i="23916"/>
  <c r="FX387" i="23916"/>
  <c r="DF412" i="23916"/>
  <c r="DE415" i="23916"/>
  <c r="DF415" i="23916" s="1"/>
  <c r="CT735" i="23916"/>
  <c r="CS742" i="23916"/>
  <c r="CT742" i="23916" s="1"/>
  <c r="CS743" i="23916"/>
  <c r="CS842" i="23916"/>
  <c r="CS744" i="23916"/>
  <c r="CT744" i="23916" s="1"/>
  <c r="CT734" i="23916"/>
  <c r="CS745" i="23916"/>
  <c r="CT745" i="23916" s="1"/>
  <c r="EM788" i="23916"/>
  <c r="EN684" i="23916"/>
  <c r="EO684" i="23916"/>
  <c r="EM665" i="23916"/>
  <c r="EM766" i="23916"/>
  <c r="EN766" i="23916" s="1"/>
  <c r="EM756" i="23916"/>
  <c r="EN756" i="23916" s="1"/>
  <c r="EL444" i="23916"/>
  <c r="EK466" i="23916"/>
  <c r="EL466" i="23916" s="1"/>
  <c r="EM438" i="23916"/>
  <c r="CD443" i="23916"/>
  <c r="FX443" i="23916"/>
  <c r="DF445" i="23916"/>
  <c r="DE448" i="23916"/>
  <c r="DF448" i="23916" s="1"/>
  <c r="DE171" i="23916"/>
  <c r="DF171" i="23916" s="1"/>
  <c r="DF169" i="23916"/>
  <c r="DI54" i="23916"/>
  <c r="DJ46" i="23916"/>
  <c r="DI52" i="23916"/>
  <c r="DI51" i="23916"/>
  <c r="DI55" i="23916"/>
  <c r="DI56" i="23916" s="1"/>
  <c r="DG431" i="23916"/>
  <c r="DG432" i="23916" s="1"/>
  <c r="DG425" i="23916"/>
  <c r="DH420" i="23916"/>
  <c r="DG430" i="23916"/>
  <c r="DG426" i="23916"/>
  <c r="DH426" i="23916" s="1"/>
  <c r="Y170" i="23916"/>
  <c r="Z170" i="23916" s="1"/>
  <c r="Y169" i="23916"/>
  <c r="Z135" i="23916"/>
  <c r="GA420" i="23916"/>
  <c r="FZ425" i="23916"/>
  <c r="GC420" i="23916"/>
  <c r="FZ431" i="23916"/>
  <c r="FZ430" i="23916"/>
  <c r="CN397" i="23916"/>
  <c r="CF397" i="23916"/>
  <c r="CG392" i="23916"/>
  <c r="CD425" i="23916"/>
  <c r="CE420" i="23916"/>
  <c r="GB754" i="23916"/>
  <c r="GC754" i="23916" s="1"/>
  <c r="GB753" i="23916"/>
  <c r="GC753" i="23916" s="1"/>
  <c r="GC733" i="23916"/>
  <c r="GB749" i="23916"/>
  <c r="GC749" i="23916" s="1"/>
  <c r="GB750" i="23916"/>
  <c r="GC750" i="23916" s="1"/>
  <c r="GB751" i="23916"/>
  <c r="GC751" i="23916" s="1"/>
  <c r="GB752" i="23916"/>
  <c r="GC752" i="23916" s="1"/>
  <c r="GB735" i="23916"/>
  <c r="GT615" i="23916"/>
  <c r="GT271" i="23916"/>
  <c r="GU269" i="23916"/>
  <c r="GT275" i="23916"/>
  <c r="GU275" i="23916" s="1"/>
  <c r="GT9" i="23916"/>
  <c r="GU9" i="23916" s="1"/>
  <c r="DE481" i="23916"/>
  <c r="DF481" i="23916" s="1"/>
  <c r="DE480" i="23916"/>
  <c r="DF388" i="23916"/>
  <c r="DE478" i="23916"/>
  <c r="DF478" i="23916" s="1"/>
  <c r="BH143" i="23916"/>
  <c r="BG151" i="23916"/>
  <c r="BG152" i="23916" s="1"/>
  <c r="BG147" i="23916"/>
  <c r="BG150" i="23916"/>
  <c r="BG148" i="23916"/>
  <c r="BH148" i="23916" s="1"/>
  <c r="GO388" i="23916"/>
  <c r="GN481" i="23916"/>
  <c r="GO481" i="23916" s="1"/>
  <c r="GN480" i="23916"/>
  <c r="EK43" i="23916"/>
  <c r="EL43" i="23916" s="1"/>
  <c r="EK42" i="23916"/>
  <c r="EL42" i="23916" s="1"/>
  <c r="EK41" i="23916"/>
  <c r="EL41" i="23916" s="1"/>
  <c r="EK38" i="23916"/>
  <c r="EL32" i="23916"/>
  <c r="BE838" i="23916"/>
  <c r="BE839" i="23916" s="1"/>
  <c r="BE840" i="23916" s="1"/>
  <c r="BF155" i="23916"/>
  <c r="EF721" i="23916"/>
  <c r="EE722" i="23916"/>
  <c r="EF722" i="23916" s="1"/>
  <c r="CE479" i="23916"/>
  <c r="CF398" i="23916"/>
  <c r="CN398" i="23916"/>
  <c r="CN381" i="23916"/>
  <c r="CF381" i="23916"/>
  <c r="CE388" i="23916"/>
  <c r="CE478" i="23916" s="1"/>
  <c r="CE386" i="23916"/>
  <c r="EK464" i="23916"/>
  <c r="EL463" i="23916"/>
  <c r="GT801" i="23916"/>
  <c r="GU272" i="23916"/>
  <c r="GA458" i="23916"/>
  <c r="FZ459" i="23916"/>
  <c r="GC458" i="23916"/>
  <c r="CF459" i="23916"/>
  <c r="CN459" i="23916"/>
  <c r="ES415" i="23916"/>
  <c r="ER415" i="23916"/>
  <c r="EQ407" i="23916"/>
  <c r="EK171" i="23916"/>
  <c r="EL169" i="23916"/>
  <c r="ET169" i="23916"/>
  <c r="CU756" i="23916"/>
  <c r="CV756" i="23916" s="1"/>
  <c r="CU754" i="23916"/>
  <c r="CV754" i="23916" s="1"/>
  <c r="CU753" i="23916"/>
  <c r="CV753" i="23916" s="1"/>
  <c r="CU735" i="23916"/>
  <c r="CV733" i="23916"/>
  <c r="CU711" i="23916"/>
  <c r="CU749" i="23916"/>
  <c r="CV749" i="23916" s="1"/>
  <c r="CU752" i="23916"/>
  <c r="CV752" i="23916" s="1"/>
  <c r="CU751" i="23916"/>
  <c r="CV751" i="23916" s="1"/>
  <c r="CU750" i="23916"/>
  <c r="CV750" i="23916" s="1"/>
  <c r="GG445" i="23916"/>
  <c r="GF448" i="23916"/>
  <c r="GG448" i="23916" s="1"/>
  <c r="DE147" i="23916"/>
  <c r="DF143" i="23916"/>
  <c r="DE151" i="23916"/>
  <c r="DE152" i="23916" s="1"/>
  <c r="DE148" i="23916"/>
  <c r="DE150" i="23916"/>
  <c r="DE434" i="23916"/>
  <c r="DF434" i="23916" s="1"/>
  <c r="DF411" i="23916"/>
  <c r="DG405" i="23916"/>
  <c r="CT766" i="23916"/>
  <c r="GB766" i="23916"/>
  <c r="GC766" i="23916" s="1"/>
  <c r="DG453" i="23916"/>
  <c r="DF458" i="23916"/>
  <c r="EI73" i="23916"/>
  <c r="EI72" i="23916"/>
  <c r="EI71" i="23916"/>
  <c r="EJ71" i="23916" s="1"/>
  <c r="EJ39" i="23916"/>
  <c r="GV267" i="23916"/>
  <c r="GW267" i="23916" s="1"/>
  <c r="GV272" i="23916"/>
  <c r="GW266" i="23916"/>
  <c r="GV274" i="23916"/>
  <c r="GW274" i="23916" s="1"/>
  <c r="GV269" i="23916"/>
  <c r="BE171" i="23916"/>
  <c r="BF171" i="23916" s="1"/>
  <c r="BF169" i="23916"/>
  <c r="GS271" i="23916"/>
  <c r="DF444" i="23916"/>
  <c r="DE466" i="23916"/>
  <c r="DF466" i="23916" s="1"/>
  <c r="DG438" i="23916"/>
  <c r="EK397" i="23916"/>
  <c r="EL392" i="23916"/>
  <c r="EK398" i="23916"/>
  <c r="ER416" i="23916"/>
  <c r="ES416" i="23916"/>
  <c r="EL170" i="23916"/>
  <c r="ET170" i="23916"/>
  <c r="U151" i="23916"/>
  <c r="U147" i="23916"/>
  <c r="U150" i="23916"/>
  <c r="V143" i="23916"/>
  <c r="GN401" i="23916"/>
  <c r="GO387" i="23916"/>
  <c r="AA133" i="23916"/>
  <c r="AB127" i="23916"/>
  <c r="AA138" i="23916"/>
  <c r="AB138" i="23916" s="1"/>
  <c r="AA137" i="23916"/>
  <c r="AB137" i="23916" s="1"/>
  <c r="BG135" i="23916"/>
  <c r="BG133" i="23916"/>
  <c r="BH127" i="23916"/>
  <c r="BG138" i="23916"/>
  <c r="BH138" i="23916" s="1"/>
  <c r="BG137" i="23916"/>
  <c r="BH137" i="23916" s="1"/>
  <c r="GN398" i="23916"/>
  <c r="GO397" i="23916"/>
  <c r="EG763" i="23916"/>
  <c r="EH763" i="23916" s="1"/>
  <c r="EG762" i="23916"/>
  <c r="EH762" i="23916" s="1"/>
  <c r="EG761" i="23916"/>
  <c r="EH761" i="23916" s="1"/>
  <c r="EG760" i="23916"/>
  <c r="EH760" i="23916" s="1"/>
  <c r="EG752" i="23916"/>
  <c r="EH752" i="23916" s="1"/>
  <c r="EG751" i="23916"/>
  <c r="EH751" i="23916" s="1"/>
  <c r="EG749" i="23916"/>
  <c r="EH749" i="23916" s="1"/>
  <c r="EG721" i="23916"/>
  <c r="GL718" i="23916"/>
  <c r="EG719" i="23916"/>
  <c r="EH719" i="23916" s="1"/>
  <c r="EI718" i="23916"/>
  <c r="EH718" i="23916"/>
  <c r="EG750" i="23916"/>
  <c r="EH750" i="23916" s="1"/>
  <c r="EN127" i="23916"/>
  <c r="EM133" i="23916"/>
  <c r="EM138" i="23916"/>
  <c r="EN138" i="23916" s="1"/>
  <c r="EM137" i="23916"/>
  <c r="EN137" i="23916" s="1"/>
  <c r="EM135" i="23916"/>
  <c r="EL434" i="23916"/>
  <c r="ER167" i="23916"/>
  <c r="EJ167" i="23916"/>
  <c r="EJ401" i="23916"/>
  <c r="EI797" i="23916"/>
  <c r="EI799" i="23916"/>
  <c r="GC731" i="23916"/>
  <c r="GB734" i="23916"/>
  <c r="DE401" i="23916"/>
  <c r="DF401" i="23916" s="1"/>
  <c r="DG381" i="23916"/>
  <c r="DF387" i="23916"/>
  <c r="CD410" i="23916"/>
  <c r="FX410" i="23916"/>
  <c r="EJ480" i="23916"/>
  <c r="EI482" i="23916"/>
  <c r="EJ482" i="23916" s="1"/>
  <c r="CD444" i="23916"/>
  <c r="CC466" i="23916"/>
  <c r="CD466" i="23916" s="1"/>
  <c r="CE438" i="23916"/>
  <c r="GS615" i="23916"/>
  <c r="CC411" i="23916"/>
  <c r="ER478" i="23916"/>
  <c r="EJ478" i="23916"/>
  <c r="ET432" i="23916"/>
  <c r="EL432" i="23916"/>
  <c r="CT756" i="23916"/>
  <c r="GB756" i="23916"/>
  <c r="GC756" i="23916" s="1"/>
  <c r="EK682" i="23916"/>
  <c r="EL682" i="23916" s="1"/>
  <c r="EK681" i="23916"/>
  <c r="EL681" i="23916" s="1"/>
  <c r="EL665" i="23916"/>
  <c r="EK678" i="23916"/>
  <c r="EL678" i="23916" s="1"/>
  <c r="CD445" i="23916"/>
  <c r="CC448" i="23916"/>
  <c r="CD448" i="23916" s="1"/>
  <c r="GZ260" i="23916"/>
  <c r="GY260" i="23916"/>
  <c r="GX266" i="23916"/>
  <c r="DI43" i="23916"/>
  <c r="DJ43" i="23916" s="1"/>
  <c r="DI42" i="23916"/>
  <c r="DJ42" i="23916" s="1"/>
  <c r="DI41" i="23916"/>
  <c r="DJ41" i="23916" s="1"/>
  <c r="DI38" i="23916"/>
  <c r="DI39" i="23916" s="1"/>
  <c r="DJ32" i="23916"/>
  <c r="T148" i="23916"/>
  <c r="S167" i="23916"/>
  <c r="T167" i="23916" s="1"/>
  <c r="DH127" i="23916"/>
  <c r="DG133" i="23916"/>
  <c r="DG138" i="23916"/>
  <c r="DH138" i="23916" s="1"/>
  <c r="DG137" i="23916"/>
  <c r="DH137" i="23916" s="1"/>
  <c r="DG135" i="23916"/>
  <c r="EQ409" i="23916"/>
  <c r="GP405" i="23916"/>
  <c r="EQ408" i="23916"/>
  <c r="ER405" i="23916"/>
  <c r="EM431" i="23916"/>
  <c r="EM430" i="23916"/>
  <c r="EN430" i="23916" s="1"/>
  <c r="EM425" i="23916"/>
  <c r="EN420" i="23916"/>
  <c r="EM426" i="23916"/>
  <c r="EN426" i="23916" s="1"/>
  <c r="EK388" i="23916"/>
  <c r="EK387" i="23916"/>
  <c r="EL381" i="23916"/>
  <c r="FX809" i="23916"/>
  <c r="FX808" i="23916" s="1"/>
  <c r="FX155" i="23916"/>
  <c r="FY155" i="23916" s="1"/>
  <c r="FY133" i="23916"/>
  <c r="FZ127" i="23916"/>
  <c r="EK459" i="23916"/>
  <c r="EL459" i="23916" s="1"/>
  <c r="EL458" i="23916"/>
  <c r="EM453" i="23916"/>
  <c r="GA397" i="23916"/>
  <c r="FZ398" i="23916"/>
  <c r="GC397" i="23916"/>
  <c r="GF482" i="23916"/>
  <c r="GG482" i="23916" s="1"/>
  <c r="GG480" i="23916"/>
  <c r="CD480" i="23916"/>
  <c r="CC482" i="23916"/>
  <c r="CD482" i="23916" s="1"/>
  <c r="AB49" i="23920"/>
  <c r="AA40" i="24103"/>
  <c r="AC40" i="24103"/>
  <c r="AC49" i="23920"/>
  <c r="AO18" i="23920"/>
  <c r="AD40" i="24103"/>
  <c r="AD49" i="23920"/>
  <c r="AW23" i="23920"/>
  <c r="DJ39" i="23916" l="1"/>
  <c r="DI73" i="23916"/>
  <c r="DJ73" i="23916" s="1"/>
  <c r="DI72" i="23916"/>
  <c r="DI70" i="23916"/>
  <c r="DJ70" i="23916" s="1"/>
  <c r="CF478" i="23916"/>
  <c r="CN478" i="23916"/>
  <c r="GA398" i="23916"/>
  <c r="FZ479" i="23916"/>
  <c r="GC398" i="23916"/>
  <c r="EM432" i="23916"/>
  <c r="EN431" i="23916"/>
  <c r="GQ405" i="23916"/>
  <c r="GX274" i="23916"/>
  <c r="GX267" i="23916"/>
  <c r="GY266" i="23916"/>
  <c r="GX272" i="23916"/>
  <c r="GZ266" i="23916"/>
  <c r="GX269" i="23916"/>
  <c r="GC734" i="23916"/>
  <c r="GB745" i="23916"/>
  <c r="GC745" i="23916" s="1"/>
  <c r="EI805" i="23916"/>
  <c r="EI806" i="23916" s="1"/>
  <c r="GL719" i="23916"/>
  <c r="GM719" i="23916" s="1"/>
  <c r="GM718" i="23916"/>
  <c r="GL762" i="23916"/>
  <c r="GM762" i="23916" s="1"/>
  <c r="GL749" i="23916"/>
  <c r="GM749" i="23916" s="1"/>
  <c r="GL721" i="23916"/>
  <c r="GL760" i="23916"/>
  <c r="GM760" i="23916" s="1"/>
  <c r="GL751" i="23916"/>
  <c r="GM751" i="23916" s="1"/>
  <c r="GL763" i="23916"/>
  <c r="GM763" i="23916" s="1"/>
  <c r="GL761" i="23916"/>
  <c r="GM761" i="23916" s="1"/>
  <c r="GL752" i="23916"/>
  <c r="GM752" i="23916" s="1"/>
  <c r="GL750" i="23916"/>
  <c r="GM750" i="23916" s="1"/>
  <c r="U148" i="23916"/>
  <c r="W143" i="23916"/>
  <c r="V147" i="23916"/>
  <c r="U155" i="23916"/>
  <c r="V155" i="23916" s="1"/>
  <c r="ET416" i="23916"/>
  <c r="EU416" i="23916"/>
  <c r="EM392" i="23916"/>
  <c r="EL397" i="23916"/>
  <c r="GV615" i="23916"/>
  <c r="GW269" i="23916"/>
  <c r="GV275" i="23916"/>
  <c r="GW275" i="23916" s="1"/>
  <c r="GV271" i="23916"/>
  <c r="GV9" i="23916"/>
  <c r="GW9" i="23916" s="1"/>
  <c r="DG462" i="23916"/>
  <c r="DG459" i="23916"/>
  <c r="DH459" i="23916" s="1"/>
  <c r="DG458" i="23916"/>
  <c r="DH453" i="23916"/>
  <c r="DG463" i="23916"/>
  <c r="DG464" i="23916" s="1"/>
  <c r="EU415" i="23916"/>
  <c r="ET415" i="23916"/>
  <c r="GA459" i="23916"/>
  <c r="GC459" i="23916"/>
  <c r="EL38" i="23916"/>
  <c r="EM32" i="23916"/>
  <c r="GU271" i="23916"/>
  <c r="DH425" i="23916"/>
  <c r="DI420" i="23916"/>
  <c r="DI71" i="23916"/>
  <c r="DJ71" i="23916" s="1"/>
  <c r="DJ52" i="23916"/>
  <c r="DI397" i="23916"/>
  <c r="DI398" i="23916"/>
  <c r="DJ392" i="23916"/>
  <c r="EK481" i="23916"/>
  <c r="EL481" i="23916" s="1"/>
  <c r="EK480" i="23916"/>
  <c r="EL388" i="23916"/>
  <c r="EQ414" i="23916"/>
  <c r="ER408" i="23916"/>
  <c r="DG169" i="23916"/>
  <c r="DG170" i="23916"/>
  <c r="DH170" i="23916" s="1"/>
  <c r="DH135" i="23916"/>
  <c r="DJ38" i="23916"/>
  <c r="DK32" i="23916"/>
  <c r="DI58" i="23916"/>
  <c r="DJ58" i="23916" s="1"/>
  <c r="FZ133" i="23916"/>
  <c r="GA127" i="23916"/>
  <c r="FZ138" i="23916"/>
  <c r="GA138" i="23916" s="1"/>
  <c r="FZ137" i="23916"/>
  <c r="GA137" i="23916" s="1"/>
  <c r="EQ412" i="23916"/>
  <c r="ER412" i="23916" s="1"/>
  <c r="EH721" i="23916"/>
  <c r="EG722" i="23916"/>
  <c r="EH722" i="23916" s="1"/>
  <c r="GO401" i="23916"/>
  <c r="GN797" i="23916"/>
  <c r="GN799" i="23916"/>
  <c r="GO799" i="23916" s="1"/>
  <c r="DH438" i="23916"/>
  <c r="DG449" i="23916"/>
  <c r="DH449" i="23916" s="1"/>
  <c r="DG444" i="23916"/>
  <c r="DG445" i="23916"/>
  <c r="EI74" i="23916"/>
  <c r="EJ74" i="23916" s="1"/>
  <c r="EJ72" i="23916"/>
  <c r="EL171" i="23916"/>
  <c r="ET171" i="23916"/>
  <c r="ET464" i="23916"/>
  <c r="EL464" i="23916"/>
  <c r="CF479" i="23916"/>
  <c r="CN479" i="23916"/>
  <c r="EK39" i="23916"/>
  <c r="GN482" i="23916"/>
  <c r="GO482" i="23916" s="1"/>
  <c r="GO480" i="23916"/>
  <c r="GU615" i="23916"/>
  <c r="CG397" i="23916"/>
  <c r="CG398" i="23916"/>
  <c r="CH392" i="23916"/>
  <c r="CP392" i="23916"/>
  <c r="EM450" i="23916"/>
  <c r="EN438" i="23916"/>
  <c r="EM449" i="23916"/>
  <c r="EN449" i="23916" s="1"/>
  <c r="EM444" i="23916"/>
  <c r="EM448" i="23916"/>
  <c r="EN448" i="23916" s="1"/>
  <c r="EM445" i="23916"/>
  <c r="EN445" i="23916" s="1"/>
  <c r="CV734" i="23916"/>
  <c r="CU745" i="23916"/>
  <c r="CV745" i="23916" s="1"/>
  <c r="CG462" i="23916"/>
  <c r="CG458" i="23916"/>
  <c r="CG459" i="23916"/>
  <c r="CH453" i="23916"/>
  <c r="CG463" i="23916"/>
  <c r="CG464" i="23916" s="1"/>
  <c r="CP453" i="23916"/>
  <c r="EM143" i="23916"/>
  <c r="EL147" i="23916"/>
  <c r="EK809" i="23916"/>
  <c r="EK808" i="23916" s="1"/>
  <c r="EK155" i="23916"/>
  <c r="EL155" i="23916" s="1"/>
  <c r="CW754" i="23916"/>
  <c r="CX754" i="23916" s="1"/>
  <c r="CW753" i="23916"/>
  <c r="CX753" i="23916" s="1"/>
  <c r="CW756" i="23916"/>
  <c r="CX756" i="23916" s="1"/>
  <c r="CW735" i="23916"/>
  <c r="CX733" i="23916"/>
  <c r="CW711" i="23916"/>
  <c r="CW752" i="23916"/>
  <c r="CX752" i="23916" s="1"/>
  <c r="CW751" i="23916"/>
  <c r="CX751" i="23916" s="1"/>
  <c r="CW750" i="23916"/>
  <c r="CX750" i="23916" s="1"/>
  <c r="CW749" i="23916"/>
  <c r="CX749" i="23916" s="1"/>
  <c r="CY761" i="23916"/>
  <c r="CZ761" i="23916" s="1"/>
  <c r="CY736" i="23916"/>
  <c r="CZ736" i="23916" s="1"/>
  <c r="CY733" i="23916"/>
  <c r="CY731" i="23916"/>
  <c r="DA730" i="23916"/>
  <c r="CZ730" i="23916"/>
  <c r="CY727" i="23916"/>
  <c r="CZ727" i="23916" s="1"/>
  <c r="CY760" i="23916"/>
  <c r="CZ760" i="23916" s="1"/>
  <c r="CY762" i="23916"/>
  <c r="CZ762" i="23916" s="1"/>
  <c r="EM463" i="23916"/>
  <c r="EM458" i="23916"/>
  <c r="EN453" i="23916"/>
  <c r="EM462" i="23916"/>
  <c r="EN462" i="23916" s="1"/>
  <c r="EK401" i="23916"/>
  <c r="EL387" i="23916"/>
  <c r="EM381" i="23916"/>
  <c r="EO420" i="23916"/>
  <c r="EN425" i="23916"/>
  <c r="EM434" i="23916"/>
  <c r="EQ411" i="23916"/>
  <c r="DH133" i="23916"/>
  <c r="DI127" i="23916"/>
  <c r="CN438" i="23916"/>
  <c r="CF438" i="23916"/>
  <c r="CE449" i="23916"/>
  <c r="CE443" i="23916"/>
  <c r="CE445" i="23916" s="1"/>
  <c r="DG387" i="23916"/>
  <c r="DH381" i="23916"/>
  <c r="DG388" i="23916"/>
  <c r="EN133" i="23916"/>
  <c r="EO127" i="23916"/>
  <c r="EI763" i="23916"/>
  <c r="EJ763" i="23916" s="1"/>
  <c r="EI762" i="23916"/>
  <c r="EJ762" i="23916" s="1"/>
  <c r="EI761" i="23916"/>
  <c r="EJ761" i="23916" s="1"/>
  <c r="EI760" i="23916"/>
  <c r="EJ760" i="23916" s="1"/>
  <c r="EI751" i="23916"/>
  <c r="EJ751" i="23916" s="1"/>
  <c r="EI749" i="23916"/>
  <c r="EJ749" i="23916" s="1"/>
  <c r="EI752" i="23916"/>
  <c r="EJ752" i="23916" s="1"/>
  <c r="EI721" i="23916"/>
  <c r="EJ718" i="23916"/>
  <c r="EI719" i="23916"/>
  <c r="EJ719" i="23916" s="1"/>
  <c r="EK718" i="23916"/>
  <c r="EI750" i="23916"/>
  <c r="EJ750" i="23916" s="1"/>
  <c r="GO398" i="23916"/>
  <c r="GN478" i="23916"/>
  <c r="GO478" i="23916" s="1"/>
  <c r="GN479" i="23916"/>
  <c r="GO479" i="23916" s="1"/>
  <c r="BG809" i="23916"/>
  <c r="BG808" i="23916" s="1"/>
  <c r="BG155" i="23916"/>
  <c r="BH133" i="23916"/>
  <c r="BI127" i="23916"/>
  <c r="EK478" i="23916"/>
  <c r="EK479" i="23916"/>
  <c r="EL398" i="23916"/>
  <c r="ER73" i="23916"/>
  <c r="EJ73" i="23916"/>
  <c r="DF147" i="23916"/>
  <c r="DG143" i="23916"/>
  <c r="DE809" i="23916"/>
  <c r="DE808" i="23916" s="1"/>
  <c r="DE155" i="23916"/>
  <c r="DF155" i="23916" s="1"/>
  <c r="ER407" i="23916"/>
  <c r="CF386" i="23916"/>
  <c r="CN386" i="23916"/>
  <c r="CE387" i="23916"/>
  <c r="BI143" i="23916"/>
  <c r="BH147" i="23916"/>
  <c r="GC735" i="23916"/>
  <c r="GB742" i="23916"/>
  <c r="GC742" i="23916" s="1"/>
  <c r="GB842" i="23916"/>
  <c r="GB743" i="23916"/>
  <c r="GB744" i="23916"/>
  <c r="GC744" i="23916" s="1"/>
  <c r="EM678" i="23916"/>
  <c r="EN678" i="23916" s="1"/>
  <c r="EM682" i="23916"/>
  <c r="EN682" i="23916" s="1"/>
  <c r="EM681" i="23916"/>
  <c r="EN681" i="23916" s="1"/>
  <c r="EN665" i="23916"/>
  <c r="EL148" i="23916"/>
  <c r="EK167" i="23916"/>
  <c r="CW766" i="23916"/>
  <c r="CX766" i="23916" s="1"/>
  <c r="CW734" i="23916"/>
  <c r="CX731" i="23916"/>
  <c r="CE405" i="23916"/>
  <c r="CC434" i="23916"/>
  <c r="CD434" i="23916" s="1"/>
  <c r="CD411" i="23916"/>
  <c r="FY410" i="23916"/>
  <c r="FX411" i="23916"/>
  <c r="EM169" i="23916"/>
  <c r="EN135" i="23916"/>
  <c r="EM170" i="23916"/>
  <c r="BG169" i="23916"/>
  <c r="BG167" i="23916"/>
  <c r="BH167" i="23916" s="1"/>
  <c r="BG170" i="23916"/>
  <c r="BH170" i="23916" s="1"/>
  <c r="BH135" i="23916"/>
  <c r="AA135" i="23916"/>
  <c r="AB133" i="23916"/>
  <c r="AC127" i="23916"/>
  <c r="GV801" i="23916"/>
  <c r="GW272" i="23916"/>
  <c r="DG411" i="23916"/>
  <c r="DH405" i="23916"/>
  <c r="DG416" i="23916"/>
  <c r="DH416" i="23916" s="1"/>
  <c r="DG412" i="23916"/>
  <c r="DF148" i="23916"/>
  <c r="DE167" i="23916"/>
  <c r="DF167" i="23916" s="1"/>
  <c r="CV735" i="23916"/>
  <c r="CU742" i="23916"/>
  <c r="CV742" i="23916" s="1"/>
  <c r="CU744" i="23916"/>
  <c r="CV744" i="23916" s="1"/>
  <c r="CU842" i="23916"/>
  <c r="CU743" i="23916"/>
  <c r="CE480" i="23916"/>
  <c r="CE481" i="23916"/>
  <c r="CF388" i="23916"/>
  <c r="CN388" i="23916"/>
  <c r="DF480" i="23916"/>
  <c r="DE482" i="23916"/>
  <c r="DF482" i="23916" s="1"/>
  <c r="CE425" i="23916"/>
  <c r="CN420" i="23916"/>
  <c r="CF420" i="23916"/>
  <c r="CE431" i="23916"/>
  <c r="CE432" i="23916" s="1"/>
  <c r="CE430" i="23916"/>
  <c r="CE426" i="23916"/>
  <c r="FZ426" i="23916"/>
  <c r="GA425" i="23916"/>
  <c r="GC425" i="23916"/>
  <c r="Y171" i="23916"/>
  <c r="Z171" i="23916" s="1"/>
  <c r="Z169" i="23916"/>
  <c r="DJ51" i="23916"/>
  <c r="DK46" i="23916"/>
  <c r="FY443" i="23916"/>
  <c r="FX444" i="23916"/>
  <c r="EO788" i="23916"/>
  <c r="EQ685" i="23916"/>
  <c r="EP684" i="23916"/>
  <c r="EQ684" i="23916"/>
  <c r="EO665" i="23916"/>
  <c r="EO766" i="23916"/>
  <c r="EO756" i="23916"/>
  <c r="FX401" i="23916"/>
  <c r="FY401" i="23916" s="1"/>
  <c r="FY387" i="23916"/>
  <c r="FZ381" i="23916"/>
  <c r="FX388" i="23916"/>
  <c r="EL151" i="23916"/>
  <c r="EK152" i="23916"/>
  <c r="EL152" i="23916" s="1"/>
  <c r="AE40" i="24103"/>
  <c r="AF40" i="24103"/>
  <c r="AA18" i="23920"/>
  <c r="AA18" i="24103"/>
  <c r="AX23" i="23920"/>
  <c r="AC18" i="23920"/>
  <c r="AC18" i="24103"/>
  <c r="CF445" i="23916" l="1"/>
  <c r="CE448" i="23916"/>
  <c r="CN445" i="23916"/>
  <c r="CF426" i="23916"/>
  <c r="CN426" i="23916"/>
  <c r="GA381" i="23916"/>
  <c r="GC381" i="23916"/>
  <c r="EP766" i="23916"/>
  <c r="GN766" i="23916"/>
  <c r="GO766" i="23916" s="1"/>
  <c r="EQ793" i="23916"/>
  <c r="EQ687" i="23916"/>
  <c r="ER685" i="23916"/>
  <c r="DK55" i="23916"/>
  <c r="DK56" i="23916" s="1"/>
  <c r="DL46" i="23916"/>
  <c r="DK54" i="23916"/>
  <c r="DK52" i="23916"/>
  <c r="DK51" i="23916"/>
  <c r="CG420" i="23916"/>
  <c r="CF425" i="23916"/>
  <c r="CN425" i="23916"/>
  <c r="AC138" i="23916"/>
  <c r="AD138" i="23916" s="1"/>
  <c r="AC137" i="23916"/>
  <c r="AD137" i="23916" s="1"/>
  <c r="AC133" i="23916"/>
  <c r="AD127" i="23916"/>
  <c r="EN170" i="23916"/>
  <c r="EV170" i="23916"/>
  <c r="FX434" i="23916"/>
  <c r="FY434" i="23916" s="1"/>
  <c r="FY411" i="23916"/>
  <c r="FZ405" i="23916"/>
  <c r="FX412" i="23916"/>
  <c r="CE411" i="23916"/>
  <c r="CN405" i="23916"/>
  <c r="CF405" i="23916"/>
  <c r="CE416" i="23916"/>
  <c r="CE412" i="23916"/>
  <c r="CE410" i="23916"/>
  <c r="EL167" i="23916"/>
  <c r="ET167" i="23916"/>
  <c r="BI147" i="23916"/>
  <c r="BI151" i="23916"/>
  <c r="BI152" i="23916" s="1"/>
  <c r="BJ143" i="23916"/>
  <c r="BI150" i="23916"/>
  <c r="BI148" i="23916"/>
  <c r="BJ148" i="23916" s="1"/>
  <c r="EL479" i="23916"/>
  <c r="ET479" i="23916"/>
  <c r="BG838" i="23916"/>
  <c r="BG839" i="23916" s="1"/>
  <c r="BG840" i="23916" s="1"/>
  <c r="BH155" i="23916"/>
  <c r="EL401" i="23916"/>
  <c r="EK799" i="23916"/>
  <c r="EK797" i="23916"/>
  <c r="EM464" i="23916"/>
  <c r="EN463" i="23916"/>
  <c r="CX735" i="23916"/>
  <c r="CW742" i="23916"/>
  <c r="CX742" i="23916" s="1"/>
  <c r="CW743" i="23916"/>
  <c r="CW842" i="23916"/>
  <c r="CW744" i="23916"/>
  <c r="CX744" i="23916" s="1"/>
  <c r="CI453" i="23916"/>
  <c r="CH458" i="23916"/>
  <c r="CP458" i="23916"/>
  <c r="CG479" i="23916"/>
  <c r="CH398" i="23916"/>
  <c r="CP398" i="23916"/>
  <c r="DH444" i="23916"/>
  <c r="DG466" i="23916"/>
  <c r="DH466" i="23916" s="1"/>
  <c r="DI438" i="23916"/>
  <c r="GO797" i="23916"/>
  <c r="GN805" i="23916"/>
  <c r="DT32" i="23916"/>
  <c r="DL32" i="23916"/>
  <c r="DK43" i="23916"/>
  <c r="DK42" i="23916"/>
  <c r="DK41" i="23916"/>
  <c r="DK39" i="23916"/>
  <c r="DK38" i="23916"/>
  <c r="DH458" i="23916"/>
  <c r="DI453" i="23916"/>
  <c r="GW271" i="23916"/>
  <c r="GX801" i="23916"/>
  <c r="GZ272" i="23916"/>
  <c r="GY272" i="23916"/>
  <c r="GA479" i="23916"/>
  <c r="GC479" i="23916"/>
  <c r="CF481" i="23916"/>
  <c r="CN481" i="23916"/>
  <c r="EL478" i="23916"/>
  <c r="ET478" i="23916"/>
  <c r="EJ721" i="23916"/>
  <c r="EI722" i="23916"/>
  <c r="EJ722" i="23916" s="1"/>
  <c r="EO138" i="23916"/>
  <c r="EO137" i="23916"/>
  <c r="EP127" i="23916"/>
  <c r="EO135" i="23916"/>
  <c r="EO133" i="23916"/>
  <c r="DG480" i="23916"/>
  <c r="DG481" i="23916"/>
  <c r="DH481" i="23916" s="1"/>
  <c r="DH388" i="23916"/>
  <c r="DG478" i="23916"/>
  <c r="DH478" i="23916" s="1"/>
  <c r="CN443" i="23916"/>
  <c r="CF443" i="23916"/>
  <c r="EO426" i="23916"/>
  <c r="EP426" i="23916" s="1"/>
  <c r="EO431" i="23916"/>
  <c r="EO430" i="23916"/>
  <c r="EO425" i="23916"/>
  <c r="EP420" i="23916"/>
  <c r="DA761" i="23916"/>
  <c r="DB761" i="23916" s="1"/>
  <c r="DA736" i="23916"/>
  <c r="DB736" i="23916" s="1"/>
  <c r="DC730" i="23916"/>
  <c r="DA731" i="23916"/>
  <c r="DB730" i="23916"/>
  <c r="DA727" i="23916"/>
  <c r="DA733" i="23916"/>
  <c r="GD730" i="23916"/>
  <c r="DA762" i="23916"/>
  <c r="DB762" i="23916" s="1"/>
  <c r="DA760" i="23916"/>
  <c r="DB760" i="23916" s="1"/>
  <c r="CI392" i="23916"/>
  <c r="CH397" i="23916"/>
  <c r="CP397" i="23916"/>
  <c r="DG171" i="23916"/>
  <c r="DH171" i="23916" s="1"/>
  <c r="DH169" i="23916"/>
  <c r="EW415" i="23916"/>
  <c r="EV415" i="23916"/>
  <c r="EM398" i="23916"/>
  <c r="EM397" i="23916"/>
  <c r="EN392" i="23916"/>
  <c r="EV432" i="23916"/>
  <c r="EN432" i="23916"/>
  <c r="DI74" i="23916"/>
  <c r="DJ74" i="23916" s="1"/>
  <c r="DJ72" i="23916"/>
  <c r="EQ788" i="23916"/>
  <c r="ES684" i="23916"/>
  <c r="ER684" i="23916"/>
  <c r="ES685" i="23916"/>
  <c r="EQ665" i="23916"/>
  <c r="FX466" i="23916"/>
  <c r="FY466" i="23916" s="1"/>
  <c r="FZ438" i="23916"/>
  <c r="FY444" i="23916"/>
  <c r="FX445" i="23916"/>
  <c r="GA426" i="23916"/>
  <c r="GC426" i="23916"/>
  <c r="CF480" i="23916"/>
  <c r="CE482" i="23916"/>
  <c r="CN480" i="23916"/>
  <c r="DG415" i="23916"/>
  <c r="DH415" i="23916" s="1"/>
  <c r="DH412" i="23916"/>
  <c r="AA169" i="23916"/>
  <c r="AA170" i="23916"/>
  <c r="AB170" i="23916" s="1"/>
  <c r="AB135" i="23916"/>
  <c r="CX734" i="23916"/>
  <c r="CW745" i="23916"/>
  <c r="CX745" i="23916" s="1"/>
  <c r="CF387" i="23916"/>
  <c r="CG381" i="23916"/>
  <c r="CE401" i="23916"/>
  <c r="CN387" i="23916"/>
  <c r="BI138" i="23916"/>
  <c r="BJ138" i="23916" s="1"/>
  <c r="BI137" i="23916"/>
  <c r="BJ137" i="23916" s="1"/>
  <c r="BI135" i="23916"/>
  <c r="BI133" i="23916"/>
  <c r="BJ127" i="23916"/>
  <c r="EK763" i="23916"/>
  <c r="EL763" i="23916" s="1"/>
  <c r="EK762" i="23916"/>
  <c r="EL762" i="23916" s="1"/>
  <c r="EK761" i="23916"/>
  <c r="EL761" i="23916" s="1"/>
  <c r="EK760" i="23916"/>
  <c r="EL760" i="23916" s="1"/>
  <c r="EK752" i="23916"/>
  <c r="EL752" i="23916" s="1"/>
  <c r="EK751" i="23916"/>
  <c r="EL751" i="23916" s="1"/>
  <c r="EK749" i="23916"/>
  <c r="EL749" i="23916" s="1"/>
  <c r="EK721" i="23916"/>
  <c r="EL718" i="23916"/>
  <c r="EK719" i="23916"/>
  <c r="EL719" i="23916" s="1"/>
  <c r="EM718" i="23916"/>
  <c r="EK750" i="23916"/>
  <c r="EL750" i="23916" s="1"/>
  <c r="CE444" i="23916"/>
  <c r="DI138" i="23916"/>
  <c r="DJ138" i="23916" s="1"/>
  <c r="DI137" i="23916"/>
  <c r="DJ137" i="23916" s="1"/>
  <c r="DI135" i="23916"/>
  <c r="DI133" i="23916"/>
  <c r="DJ127" i="23916"/>
  <c r="ER411" i="23916"/>
  <c r="ES405" i="23916"/>
  <c r="EM387" i="23916"/>
  <c r="EN381" i="23916"/>
  <c r="EM388" i="23916"/>
  <c r="CY766" i="23916"/>
  <c r="CZ766" i="23916" s="1"/>
  <c r="CY734" i="23916"/>
  <c r="CZ731" i="23916"/>
  <c r="EN444" i="23916"/>
  <c r="EM466" i="23916"/>
  <c r="EN466" i="23916" s="1"/>
  <c r="EO438" i="23916"/>
  <c r="EK71" i="23916"/>
  <c r="EL71" i="23916" s="1"/>
  <c r="EL39" i="23916"/>
  <c r="EK73" i="23916"/>
  <c r="EK72" i="23916"/>
  <c r="FZ809" i="23916"/>
  <c r="FZ808" i="23916" s="1"/>
  <c r="FZ155" i="23916"/>
  <c r="GA133" i="23916"/>
  <c r="GB127" i="23916"/>
  <c r="GC133" i="23916"/>
  <c r="DI479" i="23916"/>
  <c r="DJ479" i="23916" s="1"/>
  <c r="DJ398" i="23916"/>
  <c r="DI430" i="23916"/>
  <c r="DI426" i="23916"/>
  <c r="DJ426" i="23916" s="1"/>
  <c r="DJ420" i="23916"/>
  <c r="DI425" i="23916"/>
  <c r="DI431" i="23916"/>
  <c r="DI432" i="23916" s="1"/>
  <c r="EN32" i="23916"/>
  <c r="EM43" i="23916"/>
  <c r="EN43" i="23916" s="1"/>
  <c r="EM42" i="23916"/>
  <c r="EN42" i="23916" s="1"/>
  <c r="EM38" i="23916"/>
  <c r="EM41" i="23916"/>
  <c r="EN41" i="23916" s="1"/>
  <c r="EV416" i="23916"/>
  <c r="EW416" i="23916"/>
  <c r="EX416" i="23916" s="1"/>
  <c r="W151" i="23916"/>
  <c r="W147" i="23916"/>
  <c r="X143" i="23916"/>
  <c r="W150" i="23916"/>
  <c r="GM721" i="23916"/>
  <c r="GL722" i="23916"/>
  <c r="GM722" i="23916" s="1"/>
  <c r="GX615" i="23916"/>
  <c r="GX271" i="23916"/>
  <c r="GZ269" i="23916"/>
  <c r="GX275" i="23916"/>
  <c r="GY269" i="23916"/>
  <c r="GX9" i="23916"/>
  <c r="GZ267" i="23916"/>
  <c r="GY267" i="23916"/>
  <c r="EO682" i="23916"/>
  <c r="EP682" i="23916" s="1"/>
  <c r="EO681" i="23916"/>
  <c r="EP681" i="23916" s="1"/>
  <c r="EO678" i="23916"/>
  <c r="EP678" i="23916" s="1"/>
  <c r="EP665" i="23916"/>
  <c r="DH411" i="23916"/>
  <c r="DG434" i="23916"/>
  <c r="DH434" i="23916" s="1"/>
  <c r="DI405" i="23916"/>
  <c r="FY388" i="23916"/>
  <c r="FX481" i="23916"/>
  <c r="FY481" i="23916" s="1"/>
  <c r="FX480" i="23916"/>
  <c r="FX478" i="23916"/>
  <c r="FY478" i="23916" s="1"/>
  <c r="EP756" i="23916"/>
  <c r="GN756" i="23916"/>
  <c r="GO756" i="23916" s="1"/>
  <c r="BG171" i="23916"/>
  <c r="BH171" i="23916" s="1"/>
  <c r="BH169" i="23916"/>
  <c r="EM171" i="23916"/>
  <c r="EN169" i="23916"/>
  <c r="EV169" i="23916"/>
  <c r="DG151" i="23916"/>
  <c r="DG152" i="23916" s="1"/>
  <c r="DG150" i="23916"/>
  <c r="DG147" i="23916"/>
  <c r="DH143" i="23916"/>
  <c r="DG148" i="23916"/>
  <c r="DH387" i="23916"/>
  <c r="DI381" i="23916"/>
  <c r="DG401" i="23916"/>
  <c r="DH401" i="23916" s="1"/>
  <c r="CN449" i="23916"/>
  <c r="CF449" i="23916"/>
  <c r="EN434" i="23916"/>
  <c r="EM459" i="23916"/>
  <c r="EN459" i="23916" s="1"/>
  <c r="EN458" i="23916"/>
  <c r="EO453" i="23916"/>
  <c r="CY750" i="23916"/>
  <c r="CZ750" i="23916" s="1"/>
  <c r="CY756" i="23916"/>
  <c r="CZ756" i="23916" s="1"/>
  <c r="CY754" i="23916"/>
  <c r="CZ754" i="23916" s="1"/>
  <c r="CY753" i="23916"/>
  <c r="CZ753" i="23916" s="1"/>
  <c r="CZ733" i="23916"/>
  <c r="CY735" i="23916"/>
  <c r="CY711" i="23916"/>
  <c r="CY752" i="23916"/>
  <c r="CZ752" i="23916" s="1"/>
  <c r="CY751" i="23916"/>
  <c r="CZ751" i="23916" s="1"/>
  <c r="CY749" i="23916"/>
  <c r="CZ749" i="23916" s="1"/>
  <c r="EM150" i="23916"/>
  <c r="EN150" i="23916" s="1"/>
  <c r="EM148" i="23916"/>
  <c r="EM147" i="23916"/>
  <c r="EM151" i="23916"/>
  <c r="EN143" i="23916"/>
  <c r="CH459" i="23916"/>
  <c r="CP459" i="23916"/>
  <c r="DH445" i="23916"/>
  <c r="DG448" i="23916"/>
  <c r="DH448" i="23916" s="1"/>
  <c r="EK482" i="23916"/>
  <c r="EL482" i="23916" s="1"/>
  <c r="EL480" i="23916"/>
  <c r="DK392" i="23916"/>
  <c r="DJ397" i="23916"/>
  <c r="GW615" i="23916"/>
  <c r="V148" i="23916"/>
  <c r="U167" i="23916"/>
  <c r="V167" i="23916" s="1"/>
  <c r="GY274" i="23916"/>
  <c r="GZ274" i="23916"/>
  <c r="AE49" i="23920"/>
  <c r="AF49" i="23920"/>
  <c r="Z27" i="24103"/>
  <c r="AG40" i="24103"/>
  <c r="AP18" i="24103"/>
  <c r="DK398" i="23916" l="1"/>
  <c r="GH392" i="23916"/>
  <c r="DK397" i="23916"/>
  <c r="DL392" i="23916"/>
  <c r="DT392" i="23916"/>
  <c r="EM152" i="23916"/>
  <c r="EN152" i="23916" s="1"/>
  <c r="EN151" i="23916"/>
  <c r="CZ735" i="23916"/>
  <c r="CY742" i="23916"/>
  <c r="CZ742" i="23916" s="1"/>
  <c r="CY743" i="23916"/>
  <c r="CY744" i="23916"/>
  <c r="CZ744" i="23916" s="1"/>
  <c r="CY842" i="23916"/>
  <c r="EN171" i="23916"/>
  <c r="EV171" i="23916"/>
  <c r="GZ275" i="23916"/>
  <c r="GY275" i="23916"/>
  <c r="X147" i="23916"/>
  <c r="W148" i="23916"/>
  <c r="Y143" i="23916"/>
  <c r="W155" i="23916"/>
  <c r="X155" i="23916" s="1"/>
  <c r="EK74" i="23916"/>
  <c r="EL74" i="23916" s="1"/>
  <c r="EL72" i="23916"/>
  <c r="EO450" i="23916"/>
  <c r="EQ450" i="23916" s="1"/>
  <c r="ES450" i="23916" s="1"/>
  <c r="EU450" i="23916" s="1"/>
  <c r="EW450" i="23916" s="1"/>
  <c r="EP438" i="23916"/>
  <c r="EO449" i="23916"/>
  <c r="EO445" i="23916"/>
  <c r="EP445" i="23916" s="1"/>
  <c r="EO448" i="23916"/>
  <c r="EO444" i="23916"/>
  <c r="CZ734" i="23916"/>
  <c r="CY745" i="23916"/>
  <c r="CZ745" i="23916" s="1"/>
  <c r="EN387" i="23916"/>
  <c r="EO381" i="23916"/>
  <c r="EM401" i="23916"/>
  <c r="BI170" i="23916"/>
  <c r="BJ170" i="23916" s="1"/>
  <c r="BI169" i="23916"/>
  <c r="BI167" i="23916"/>
  <c r="BJ167" i="23916" s="1"/>
  <c r="BJ135" i="23916"/>
  <c r="CF401" i="23916"/>
  <c r="CN401" i="23916"/>
  <c r="AA171" i="23916"/>
  <c r="AB171" i="23916" s="1"/>
  <c r="AB169" i="23916"/>
  <c r="CF482" i="23916"/>
  <c r="CN482" i="23916"/>
  <c r="FY445" i="23916"/>
  <c r="FX448" i="23916"/>
  <c r="FY448" i="23916" s="1"/>
  <c r="ER665" i="23916"/>
  <c r="DB727" i="23916"/>
  <c r="GD727" i="23916"/>
  <c r="GE727" i="23916" s="1"/>
  <c r="EQ430" i="23916"/>
  <c r="EP430" i="23916"/>
  <c r="DI462" i="23916"/>
  <c r="DI458" i="23916"/>
  <c r="DI459" i="23916"/>
  <c r="DJ459" i="23916" s="1"/>
  <c r="DJ453" i="23916"/>
  <c r="DI463" i="23916"/>
  <c r="DI464" i="23916" s="1"/>
  <c r="DL41" i="23916"/>
  <c r="DT41" i="23916"/>
  <c r="CI462" i="23916"/>
  <c r="CI459" i="23916"/>
  <c r="CI458" i="23916"/>
  <c r="CJ453" i="23916"/>
  <c r="CI463" i="23916"/>
  <c r="CI464" i="23916" s="1"/>
  <c r="CR453" i="23916"/>
  <c r="EK805" i="23916"/>
  <c r="EK806" i="23916" s="1"/>
  <c r="CN416" i="23916"/>
  <c r="CF416" i="23916"/>
  <c r="FY412" i="23916"/>
  <c r="FX415" i="23916"/>
  <c r="FY415" i="23916" s="1"/>
  <c r="CG430" i="23916"/>
  <c r="CG426" i="23916"/>
  <c r="CH420" i="23916"/>
  <c r="CG425" i="23916"/>
  <c r="CG431" i="23916"/>
  <c r="CG432" i="23916" s="1"/>
  <c r="CP420" i="23916"/>
  <c r="EN147" i="23916"/>
  <c r="EO143" i="23916"/>
  <c r="EM155" i="23916"/>
  <c r="EN155" i="23916" s="1"/>
  <c r="EM809" i="23916"/>
  <c r="EM808" i="23916" s="1"/>
  <c r="DH148" i="23916"/>
  <c r="DG167" i="23916"/>
  <c r="DH167" i="23916" s="1"/>
  <c r="DI416" i="23916"/>
  <c r="DJ416" i="23916" s="1"/>
  <c r="DI412" i="23916"/>
  <c r="DJ405" i="23916"/>
  <c r="DI411" i="23916"/>
  <c r="EN38" i="23916"/>
  <c r="EO32" i="23916"/>
  <c r="GA155" i="23916"/>
  <c r="GC155" i="23916"/>
  <c r="EL73" i="23916"/>
  <c r="ET73" i="23916"/>
  <c r="ES409" i="23916"/>
  <c r="ES408" i="23916"/>
  <c r="ET405" i="23916"/>
  <c r="ES411" i="23916"/>
  <c r="ES407" i="23916"/>
  <c r="DJ133" i="23916"/>
  <c r="DK127" i="23916"/>
  <c r="CF444" i="23916"/>
  <c r="CE466" i="23916"/>
  <c r="CG438" i="23916"/>
  <c r="CN444" i="23916"/>
  <c r="CG386" i="23916"/>
  <c r="CG387" i="23916" s="1"/>
  <c r="CH381" i="23916"/>
  <c r="CP381" i="23916"/>
  <c r="ES793" i="23916"/>
  <c r="ES687" i="23916"/>
  <c r="ET685" i="23916"/>
  <c r="EO432" i="23916"/>
  <c r="EP431" i="23916"/>
  <c r="DH480" i="23916"/>
  <c r="DG482" i="23916"/>
  <c r="DH482" i="23916" s="1"/>
  <c r="EQ137" i="23916"/>
  <c r="EP137" i="23916"/>
  <c r="DL42" i="23916"/>
  <c r="DT42" i="23916"/>
  <c r="GO805" i="23916"/>
  <c r="GN806" i="23916"/>
  <c r="CH479" i="23916"/>
  <c r="CP479" i="23916"/>
  <c r="GA405" i="23916"/>
  <c r="GC405" i="23916"/>
  <c r="FZ416" i="23916"/>
  <c r="DM46" i="23916"/>
  <c r="DL51" i="23916"/>
  <c r="EN148" i="23916"/>
  <c r="EM167" i="23916"/>
  <c r="EO458" i="23916"/>
  <c r="EO462" i="23916"/>
  <c r="EP453" i="23916"/>
  <c r="EO463" i="23916"/>
  <c r="FX482" i="23916"/>
  <c r="FY482" i="23916" s="1"/>
  <c r="FY480" i="23916"/>
  <c r="GZ9" i="23916"/>
  <c r="GY9" i="23916"/>
  <c r="GY271" i="23916"/>
  <c r="GZ271" i="23916"/>
  <c r="EM39" i="23916"/>
  <c r="EM481" i="23916"/>
  <c r="EN481" i="23916" s="1"/>
  <c r="EM480" i="23916"/>
  <c r="EN388" i="23916"/>
  <c r="DI170" i="23916"/>
  <c r="DJ170" i="23916" s="1"/>
  <c r="DI169" i="23916"/>
  <c r="DJ135" i="23916"/>
  <c r="GF135" i="23916"/>
  <c r="EL721" i="23916"/>
  <c r="EK722" i="23916"/>
  <c r="EL722" i="23916" s="1"/>
  <c r="GA438" i="23916"/>
  <c r="FZ449" i="23916"/>
  <c r="GC438" i="23916"/>
  <c r="EN397" i="23916"/>
  <c r="EO392" i="23916"/>
  <c r="EX415" i="23916"/>
  <c r="GE730" i="23916"/>
  <c r="GD731" i="23916"/>
  <c r="GD733" i="23916"/>
  <c r="GD761" i="23916"/>
  <c r="GE761" i="23916" s="1"/>
  <c r="GD724" i="23916"/>
  <c r="GE724" i="23916" s="1"/>
  <c r="GD760" i="23916"/>
  <c r="GE760" i="23916" s="1"/>
  <c r="GD762" i="23916"/>
  <c r="GE762" i="23916" s="1"/>
  <c r="DA766" i="23916"/>
  <c r="DB731" i="23916"/>
  <c r="DA734" i="23916"/>
  <c r="EP133" i="23916"/>
  <c r="EQ127" i="23916"/>
  <c r="EQ138" i="23916"/>
  <c r="EP138" i="23916"/>
  <c r="DK58" i="23916"/>
  <c r="DL58" i="23916" s="1"/>
  <c r="DL38" i="23916"/>
  <c r="DM32" i="23916"/>
  <c r="DT38" i="23916"/>
  <c r="DL43" i="23916"/>
  <c r="DT43" i="23916"/>
  <c r="CN410" i="23916"/>
  <c r="CF410" i="23916"/>
  <c r="DK71" i="23916"/>
  <c r="DL52" i="23916"/>
  <c r="CF448" i="23916"/>
  <c r="CN448" i="23916"/>
  <c r="DI388" i="23916"/>
  <c r="DJ381" i="23916"/>
  <c r="DI387" i="23916"/>
  <c r="DH147" i="23916"/>
  <c r="DI143" i="23916"/>
  <c r="DG809" i="23916"/>
  <c r="DG808" i="23916" s="1"/>
  <c r="DG155" i="23916"/>
  <c r="DH155" i="23916" s="1"/>
  <c r="GY615" i="23916"/>
  <c r="GZ615" i="23916"/>
  <c r="DJ425" i="23916"/>
  <c r="DK420" i="23916"/>
  <c r="GC127" i="23916"/>
  <c r="GB138" i="23916"/>
  <c r="GB137" i="23916"/>
  <c r="GE127" i="23916"/>
  <c r="EM763" i="23916"/>
  <c r="EN763" i="23916" s="1"/>
  <c r="EM762" i="23916"/>
  <c r="EN762" i="23916" s="1"/>
  <c r="EM761" i="23916"/>
  <c r="EN761" i="23916" s="1"/>
  <c r="EM760" i="23916"/>
  <c r="EN760" i="23916" s="1"/>
  <c r="EM752" i="23916"/>
  <c r="EN752" i="23916" s="1"/>
  <c r="EM751" i="23916"/>
  <c r="EN751" i="23916" s="1"/>
  <c r="EM749" i="23916"/>
  <c r="EN749" i="23916" s="1"/>
  <c r="EM721" i="23916"/>
  <c r="EN718" i="23916"/>
  <c r="EM719" i="23916"/>
  <c r="EN719" i="23916" s="1"/>
  <c r="EO718" i="23916"/>
  <c r="EM750" i="23916"/>
  <c r="EN750" i="23916" s="1"/>
  <c r="BI809" i="23916"/>
  <c r="BI808" i="23916" s="1"/>
  <c r="BI155" i="23916"/>
  <c r="BJ133" i="23916"/>
  <c r="BK127" i="23916"/>
  <c r="ES788" i="23916"/>
  <c r="ET684" i="23916"/>
  <c r="EU685" i="23916"/>
  <c r="EU684" i="23916"/>
  <c r="ES665" i="23916"/>
  <c r="EM479" i="23916"/>
  <c r="EM478" i="23916"/>
  <c r="EN398" i="23916"/>
  <c r="CI398" i="23916"/>
  <c r="CI397" i="23916"/>
  <c r="CJ392" i="23916"/>
  <c r="CR392" i="23916"/>
  <c r="DA756" i="23916"/>
  <c r="DA754" i="23916"/>
  <c r="DB754" i="23916" s="1"/>
  <c r="DA753" i="23916"/>
  <c r="DB753" i="23916" s="1"/>
  <c r="DA750" i="23916"/>
  <c r="DB750" i="23916" s="1"/>
  <c r="DA735" i="23916"/>
  <c r="DB733" i="23916"/>
  <c r="DA711" i="23916"/>
  <c r="DA749" i="23916"/>
  <c r="DB749" i="23916" s="1"/>
  <c r="DA752" i="23916"/>
  <c r="DB752" i="23916" s="1"/>
  <c r="DA751" i="23916"/>
  <c r="DB751" i="23916" s="1"/>
  <c r="DC761" i="23916"/>
  <c r="DD761" i="23916" s="1"/>
  <c r="DC736" i="23916"/>
  <c r="DD736" i="23916" s="1"/>
  <c r="DC731" i="23916"/>
  <c r="DC727" i="23916"/>
  <c r="DD727" i="23916" s="1"/>
  <c r="DC733" i="23916"/>
  <c r="DE730" i="23916"/>
  <c r="DD730" i="23916"/>
  <c r="DC762" i="23916"/>
  <c r="DD762" i="23916" s="1"/>
  <c r="DC760" i="23916"/>
  <c r="DD760" i="23916" s="1"/>
  <c r="EP425" i="23916"/>
  <c r="EQ420" i="23916"/>
  <c r="EO434" i="23916"/>
  <c r="EO169" i="23916"/>
  <c r="EP135" i="23916"/>
  <c r="GN135" i="23916"/>
  <c r="EO170" i="23916"/>
  <c r="DK73" i="23916"/>
  <c r="DK72" i="23916"/>
  <c r="DK70" i="23916"/>
  <c r="DL70" i="23916" s="1"/>
  <c r="DL39" i="23916"/>
  <c r="DT39" i="23916"/>
  <c r="DJ438" i="23916"/>
  <c r="DI445" i="23916"/>
  <c r="DI449" i="23916"/>
  <c r="DJ449" i="23916" s="1"/>
  <c r="DI444" i="23916"/>
  <c r="EV464" i="23916"/>
  <c r="EN464" i="23916"/>
  <c r="BJ147" i="23916"/>
  <c r="BK143" i="23916"/>
  <c r="CE415" i="23916"/>
  <c r="CF412" i="23916"/>
  <c r="CN412" i="23916"/>
  <c r="CF411" i="23916"/>
  <c r="CE434" i="23916"/>
  <c r="CG405" i="23916"/>
  <c r="CN411" i="23916"/>
  <c r="AE127" i="23916"/>
  <c r="AC135" i="23916"/>
  <c r="AD133" i="23916"/>
  <c r="EQ789" i="23916"/>
  <c r="ER687" i="23916"/>
  <c r="Z36" i="23920"/>
  <c r="AG49" i="23920"/>
  <c r="AO40" i="24103"/>
  <c r="AO49" i="23920"/>
  <c r="AP18" i="23920"/>
  <c r="AB27" i="24103"/>
  <c r="AA27" i="24103"/>
  <c r="CG401" i="23916" l="1"/>
  <c r="CI381" i="23916"/>
  <c r="CH387" i="23916"/>
  <c r="CP387" i="23916"/>
  <c r="CG416" i="23916"/>
  <c r="CG412" i="23916"/>
  <c r="CG410" i="23916"/>
  <c r="CH405" i="23916"/>
  <c r="CP405" i="23916"/>
  <c r="AE133" i="23916"/>
  <c r="AN127" i="23916"/>
  <c r="AF127" i="23916"/>
  <c r="AE138" i="23916"/>
  <c r="AE137" i="23916"/>
  <c r="CF434" i="23916"/>
  <c r="CN434" i="23916"/>
  <c r="CF415" i="23916"/>
  <c r="CN415" i="23916"/>
  <c r="DJ445" i="23916"/>
  <c r="DI448" i="23916"/>
  <c r="DJ448" i="23916" s="1"/>
  <c r="BK151" i="23916"/>
  <c r="BK152" i="23916" s="1"/>
  <c r="BK150" i="23916"/>
  <c r="BK147" i="23916"/>
  <c r="BL143" i="23916"/>
  <c r="BK148" i="23916"/>
  <c r="BL148" i="23916" s="1"/>
  <c r="DK74" i="23916"/>
  <c r="DL72" i="23916"/>
  <c r="DT72" i="23916"/>
  <c r="EQ422" i="23916"/>
  <c r="ER420" i="23916"/>
  <c r="GP420" i="23916"/>
  <c r="EQ423" i="23916"/>
  <c r="DC766" i="23916"/>
  <c r="DD766" i="23916" s="1"/>
  <c r="DD731" i="23916"/>
  <c r="DC734" i="23916"/>
  <c r="DB735" i="23916"/>
  <c r="DA742" i="23916"/>
  <c r="DB742" i="23916" s="1"/>
  <c r="DA842" i="23916"/>
  <c r="DA744" i="23916"/>
  <c r="DB744" i="23916" s="1"/>
  <c r="DA743" i="23916"/>
  <c r="CI479" i="23916"/>
  <c r="CJ398" i="23916"/>
  <c r="CR398" i="23916"/>
  <c r="DK438" i="23916"/>
  <c r="DJ444" i="23916"/>
  <c r="DI466" i="23916"/>
  <c r="DJ466" i="23916" s="1"/>
  <c r="DL73" i="23916"/>
  <c r="DT73" i="23916"/>
  <c r="DE761" i="23916"/>
  <c r="DF761" i="23916" s="1"/>
  <c r="DE736" i="23916"/>
  <c r="DF736" i="23916" s="1"/>
  <c r="DE733" i="23916"/>
  <c r="DG730" i="23916"/>
  <c r="DE727" i="23916"/>
  <c r="DF727" i="23916" s="1"/>
  <c r="DF730" i="23916"/>
  <c r="DE731" i="23916"/>
  <c r="DE762" i="23916"/>
  <c r="DF762" i="23916" s="1"/>
  <c r="DE760" i="23916"/>
  <c r="DF760" i="23916" s="1"/>
  <c r="EU788" i="23916"/>
  <c r="EW684" i="23916"/>
  <c r="EV684" i="23916"/>
  <c r="EW685" i="23916"/>
  <c r="EU665" i="23916"/>
  <c r="BK135" i="23916"/>
  <c r="BK133" i="23916"/>
  <c r="BL127" i="23916"/>
  <c r="BK138" i="23916"/>
  <c r="BL138" i="23916" s="1"/>
  <c r="BK137" i="23916"/>
  <c r="BL137" i="23916" s="1"/>
  <c r="EN721" i="23916"/>
  <c r="EM722" i="23916"/>
  <c r="EN722" i="23916" s="1"/>
  <c r="DK425" i="23916"/>
  <c r="DT420" i="23916"/>
  <c r="DL420" i="23916"/>
  <c r="DK431" i="23916"/>
  <c r="DK430" i="23916"/>
  <c r="DT430" i="23916" s="1"/>
  <c r="DK426" i="23916"/>
  <c r="GH420" i="23916"/>
  <c r="GG135" i="23916"/>
  <c r="GF167" i="23916"/>
  <c r="GG167" i="23916" s="1"/>
  <c r="GF169" i="23916"/>
  <c r="GF170" i="23916"/>
  <c r="GG170" i="23916" s="1"/>
  <c r="EM73" i="23916"/>
  <c r="EM72" i="23916"/>
  <c r="EM71" i="23916"/>
  <c r="EN71" i="23916" s="1"/>
  <c r="EN39" i="23916"/>
  <c r="EO464" i="23916"/>
  <c r="EP463" i="23916"/>
  <c r="EN167" i="23916"/>
  <c r="EV167" i="23916"/>
  <c r="GA416" i="23916"/>
  <c r="GC416" i="23916"/>
  <c r="ES137" i="23916"/>
  <c r="ER137" i="23916"/>
  <c r="EX432" i="23916"/>
  <c r="EP432" i="23916"/>
  <c r="CG388" i="23916"/>
  <c r="ET408" i="23916"/>
  <c r="ES414" i="23916"/>
  <c r="DJ412" i="23916"/>
  <c r="DI415" i="23916"/>
  <c r="DJ415" i="23916" s="1"/>
  <c r="CH426" i="23916"/>
  <c r="CP426" i="23916"/>
  <c r="EO388" i="23916"/>
  <c r="EO387" i="23916"/>
  <c r="EP381" i="23916"/>
  <c r="EP444" i="23916"/>
  <c r="EO466" i="23916"/>
  <c r="EP466" i="23916" s="1"/>
  <c r="EQ438" i="23916"/>
  <c r="EP170" i="23916"/>
  <c r="EX170" i="23916"/>
  <c r="EO171" i="23916"/>
  <c r="EP169" i="23916"/>
  <c r="EX169" i="23916"/>
  <c r="DC756" i="23916"/>
  <c r="DD756" i="23916" s="1"/>
  <c r="DC750" i="23916"/>
  <c r="DD750" i="23916" s="1"/>
  <c r="DC754" i="23916"/>
  <c r="DD754" i="23916" s="1"/>
  <c r="DC753" i="23916"/>
  <c r="DD753" i="23916" s="1"/>
  <c r="DC735" i="23916"/>
  <c r="DD733" i="23916"/>
  <c r="DC711" i="23916"/>
  <c r="DC751" i="23916"/>
  <c r="DD751" i="23916" s="1"/>
  <c r="DC749" i="23916"/>
  <c r="DD749" i="23916" s="1"/>
  <c r="DC752" i="23916"/>
  <c r="DD752" i="23916" s="1"/>
  <c r="EN478" i="23916"/>
  <c r="EV478" i="23916"/>
  <c r="EU793" i="23916"/>
  <c r="EU687" i="23916"/>
  <c r="EV685" i="23916"/>
  <c r="EO763" i="23916"/>
  <c r="EP763" i="23916" s="1"/>
  <c r="EO762" i="23916"/>
  <c r="EP762" i="23916" s="1"/>
  <c r="EO761" i="23916"/>
  <c r="EP761" i="23916" s="1"/>
  <c r="EO760" i="23916"/>
  <c r="EP760" i="23916" s="1"/>
  <c r="EO751" i="23916"/>
  <c r="EP751" i="23916" s="1"/>
  <c r="EO749" i="23916"/>
  <c r="EP749" i="23916" s="1"/>
  <c r="EO752" i="23916"/>
  <c r="EP752" i="23916" s="1"/>
  <c r="EO721" i="23916"/>
  <c r="GN718" i="23916"/>
  <c r="EQ718" i="23916"/>
  <c r="EP718" i="23916"/>
  <c r="EO719" i="23916"/>
  <c r="EP719" i="23916" s="1"/>
  <c r="EO750" i="23916"/>
  <c r="EP750" i="23916" s="1"/>
  <c r="GC137" i="23916"/>
  <c r="GE137" i="23916"/>
  <c r="DI401" i="23916"/>
  <c r="DJ401" i="23916" s="1"/>
  <c r="DJ387" i="23916"/>
  <c r="DK381" i="23916"/>
  <c r="DB766" i="23916"/>
  <c r="GD766" i="23916"/>
  <c r="GE766" i="23916" s="1"/>
  <c r="DK133" i="23916"/>
  <c r="DK138" i="23916"/>
  <c r="DK137" i="23916"/>
  <c r="DT127" i="23916"/>
  <c r="DL127" i="23916"/>
  <c r="DK135" i="23916"/>
  <c r="ET407" i="23916"/>
  <c r="ES412" i="23916"/>
  <c r="ET412" i="23916" s="1"/>
  <c r="ER430" i="23916"/>
  <c r="ES430" i="23916"/>
  <c r="BI171" i="23916"/>
  <c r="BJ171" i="23916" s="1"/>
  <c r="BJ169" i="23916"/>
  <c r="EP448" i="23916"/>
  <c r="EQ448" i="23916"/>
  <c r="Y151" i="23916"/>
  <c r="Y147" i="23916"/>
  <c r="Y150" i="23916"/>
  <c r="Z143" i="23916"/>
  <c r="DM392" i="23916"/>
  <c r="DL397" i="23916"/>
  <c r="DT397" i="23916"/>
  <c r="AC170" i="23916"/>
  <c r="AD170" i="23916" s="1"/>
  <c r="AC169" i="23916"/>
  <c r="AD135" i="23916"/>
  <c r="GO135" i="23916"/>
  <c r="GN167" i="23916"/>
  <c r="GO167" i="23916" s="1"/>
  <c r="GN169" i="23916"/>
  <c r="GN170" i="23916"/>
  <c r="GO170" i="23916" s="1"/>
  <c r="EP434" i="23916"/>
  <c r="CJ397" i="23916"/>
  <c r="CK392" i="23916"/>
  <c r="CR397" i="23916"/>
  <c r="EN479" i="23916"/>
  <c r="EV479" i="23916"/>
  <c r="BI838" i="23916"/>
  <c r="BI839" i="23916" s="1"/>
  <c r="BI840" i="23916" s="1"/>
  <c r="BJ155" i="23916"/>
  <c r="GC138" i="23916"/>
  <c r="GE138" i="23916"/>
  <c r="DM43" i="23916"/>
  <c r="DM42" i="23916"/>
  <c r="DM41" i="23916"/>
  <c r="DM38" i="23916"/>
  <c r="DM39" i="23916" s="1"/>
  <c r="DN32" i="23916"/>
  <c r="DV32" i="23916"/>
  <c r="ES138" i="23916"/>
  <c r="ER138" i="23916"/>
  <c r="EQ131" i="23916"/>
  <c r="GD754" i="23916"/>
  <c r="GE754" i="23916" s="1"/>
  <c r="GD753" i="23916"/>
  <c r="GE753" i="23916" s="1"/>
  <c r="GE733" i="23916"/>
  <c r="GD750" i="23916"/>
  <c r="GE750" i="23916" s="1"/>
  <c r="GD749" i="23916"/>
  <c r="GE749" i="23916" s="1"/>
  <c r="GD752" i="23916"/>
  <c r="GE752" i="23916" s="1"/>
  <c r="GD751" i="23916"/>
  <c r="GE751" i="23916" s="1"/>
  <c r="GD735" i="23916"/>
  <c r="GA449" i="23916"/>
  <c r="GC449" i="23916"/>
  <c r="EM482" i="23916"/>
  <c r="EN482" i="23916" s="1"/>
  <c r="EN480" i="23916"/>
  <c r="EP462" i="23916"/>
  <c r="EQ462" i="23916"/>
  <c r="ES789" i="23916"/>
  <c r="ET687" i="23916"/>
  <c r="CH438" i="23916"/>
  <c r="CG449" i="23916"/>
  <c r="CG443" i="23916"/>
  <c r="CG445" i="23916" s="1"/>
  <c r="CP438" i="23916"/>
  <c r="ET411" i="23916"/>
  <c r="EU405" i="23916"/>
  <c r="DI434" i="23916"/>
  <c r="DJ434" i="23916" s="1"/>
  <c r="DK405" i="23916"/>
  <c r="DJ411" i="23916"/>
  <c r="EO148" i="23916"/>
  <c r="EO147" i="23916"/>
  <c r="EO151" i="23916"/>
  <c r="EP143" i="23916"/>
  <c r="EO150" i="23916"/>
  <c r="CH425" i="23916"/>
  <c r="CI420" i="23916"/>
  <c r="CP425" i="23916"/>
  <c r="CK453" i="23916"/>
  <c r="CJ458" i="23916"/>
  <c r="CR458" i="23916"/>
  <c r="DK453" i="23916"/>
  <c r="DJ458" i="23916"/>
  <c r="X148" i="23916"/>
  <c r="W167" i="23916"/>
  <c r="X167" i="23916" s="1"/>
  <c r="GH397" i="23916"/>
  <c r="GI392" i="23916"/>
  <c r="GK392" i="23916"/>
  <c r="DB756" i="23916"/>
  <c r="GD756" i="23916"/>
  <c r="GE756" i="23916" s="1"/>
  <c r="ET665" i="23916"/>
  <c r="DI147" i="23916"/>
  <c r="DI151" i="23916"/>
  <c r="DI152" i="23916" s="1"/>
  <c r="DJ143" i="23916"/>
  <c r="DI150" i="23916"/>
  <c r="DI148" i="23916"/>
  <c r="DI481" i="23916"/>
  <c r="DJ481" i="23916" s="1"/>
  <c r="DI480" i="23916"/>
  <c r="DJ388" i="23916"/>
  <c r="DI478" i="23916"/>
  <c r="DJ478" i="23916" s="1"/>
  <c r="DL71" i="23916"/>
  <c r="DT71" i="23916"/>
  <c r="EQ133" i="23916"/>
  <c r="EQ130" i="23916"/>
  <c r="ER127" i="23916"/>
  <c r="EQ129" i="23916"/>
  <c r="DB734" i="23916"/>
  <c r="DA745" i="23916"/>
  <c r="DB745" i="23916" s="1"/>
  <c r="GE731" i="23916"/>
  <c r="GD734" i="23916"/>
  <c r="EO397" i="23916"/>
  <c r="EP392" i="23916"/>
  <c r="EO398" i="23916"/>
  <c r="DI171" i="23916"/>
  <c r="DJ171" i="23916" s="1"/>
  <c r="DJ169" i="23916"/>
  <c r="EQ453" i="23916"/>
  <c r="EO459" i="23916"/>
  <c r="EP459" i="23916" s="1"/>
  <c r="EP458" i="23916"/>
  <c r="DM55" i="23916"/>
  <c r="DN46" i="23916"/>
  <c r="DM52" i="23916"/>
  <c r="DM51" i="23916"/>
  <c r="DM54" i="23916"/>
  <c r="DN54" i="23916" s="1"/>
  <c r="CH386" i="23916"/>
  <c r="CP386" i="23916"/>
  <c r="CF466" i="23916"/>
  <c r="CN466" i="23916"/>
  <c r="EO43" i="23916"/>
  <c r="EO42" i="23916"/>
  <c r="EO41" i="23916"/>
  <c r="EO39" i="23916"/>
  <c r="EO38" i="23916"/>
  <c r="EP32" i="23916"/>
  <c r="CJ459" i="23916"/>
  <c r="CR459" i="23916"/>
  <c r="EN401" i="23916"/>
  <c r="EM799" i="23916"/>
  <c r="EM797" i="23916"/>
  <c r="EM805" i="23916" s="1"/>
  <c r="EM806" i="23916" s="1"/>
  <c r="EP449" i="23916"/>
  <c r="EQ449" i="23916"/>
  <c r="DK479" i="23916"/>
  <c r="DL398" i="23916"/>
  <c r="DT398" i="23916"/>
  <c r="AB36" i="23920"/>
  <c r="AA36" i="23920"/>
  <c r="AB17" i="24103"/>
  <c r="AB17" i="23920"/>
  <c r="AC36" i="23920"/>
  <c r="AP49" i="23920"/>
  <c r="AP40" i="24103"/>
  <c r="AD27" i="24103"/>
  <c r="AO62" i="23920"/>
  <c r="AC27" i="24103"/>
  <c r="CH445" i="23916" l="1"/>
  <c r="CG448" i="23916"/>
  <c r="CP445" i="23916"/>
  <c r="DN39" i="23916"/>
  <c r="DM73" i="23916"/>
  <c r="DM72" i="23916"/>
  <c r="DM70" i="23916"/>
  <c r="DN70" i="23916" s="1"/>
  <c r="DV39" i="23916"/>
  <c r="DL479" i="23916"/>
  <c r="DT479" i="23916"/>
  <c r="ES449" i="23916"/>
  <c r="ER449" i="23916"/>
  <c r="EP38" i="23916"/>
  <c r="EQ32" i="23916"/>
  <c r="EP43" i="23916"/>
  <c r="EQ43" i="23916"/>
  <c r="DM71" i="23916"/>
  <c r="DN52" i="23916"/>
  <c r="EO479" i="23916"/>
  <c r="EO478" i="23916"/>
  <c r="EP398" i="23916"/>
  <c r="ER129" i="23916"/>
  <c r="DJ480" i="23916"/>
  <c r="DI482" i="23916"/>
  <c r="DJ482" i="23916" s="1"/>
  <c r="EP147" i="23916"/>
  <c r="EQ143" i="23916"/>
  <c r="EO809" i="23916"/>
  <c r="EO808" i="23916" s="1"/>
  <c r="EO155" i="23916"/>
  <c r="EP155" i="23916" s="1"/>
  <c r="CG444" i="23916"/>
  <c r="EU138" i="23916"/>
  <c r="ET138" i="23916"/>
  <c r="DT137" i="23916"/>
  <c r="DL137" i="23916"/>
  <c r="EU789" i="23916"/>
  <c r="EV687" i="23916"/>
  <c r="EP171" i="23916"/>
  <c r="EX171" i="23916"/>
  <c r="EO480" i="23916"/>
  <c r="EO481" i="23916"/>
  <c r="EP388" i="23916"/>
  <c r="EN73" i="23916"/>
  <c r="EV73" i="23916"/>
  <c r="DK432" i="23916"/>
  <c r="DT432" i="23916" s="1"/>
  <c r="DT431" i="23916"/>
  <c r="EW793" i="23916"/>
  <c r="EW687" i="23916"/>
  <c r="GP685" i="23916"/>
  <c r="EX685" i="23916"/>
  <c r="CJ479" i="23916"/>
  <c r="CR479" i="23916"/>
  <c r="BL147" i="23916"/>
  <c r="BM143" i="23916"/>
  <c r="EO71" i="23916"/>
  <c r="EP39" i="23916"/>
  <c r="EO73" i="23916"/>
  <c r="EO72" i="23916"/>
  <c r="GP453" i="23916"/>
  <c r="EQ456" i="23916"/>
  <c r="EQ458" i="23916"/>
  <c r="EQ455" i="23916"/>
  <c r="ER453" i="23916"/>
  <c r="CK462" i="23916"/>
  <c r="CK458" i="23916"/>
  <c r="CK459" i="23916"/>
  <c r="CL453" i="23916"/>
  <c r="CK463" i="23916"/>
  <c r="CK464" i="23916" s="1"/>
  <c r="CT453" i="23916"/>
  <c r="EQ150" i="23916"/>
  <c r="EP150" i="23916"/>
  <c r="EP148" i="23916"/>
  <c r="EO167" i="23916"/>
  <c r="CH449" i="23916"/>
  <c r="CP449" i="23916"/>
  <c r="GE735" i="23916"/>
  <c r="GD742" i="23916"/>
  <c r="GE742" i="23916" s="1"/>
  <c r="GD744" i="23916"/>
  <c r="GE744" i="23916" s="1"/>
  <c r="GD842" i="23916"/>
  <c r="GD743" i="23916"/>
  <c r="DN41" i="23916"/>
  <c r="DV41" i="23916"/>
  <c r="GN171" i="23916"/>
  <c r="GO171" i="23916" s="1"/>
  <c r="GO169" i="23916"/>
  <c r="Y148" i="23916"/>
  <c r="Z147" i="23916"/>
  <c r="AA143" i="23916"/>
  <c r="Y155" i="23916"/>
  <c r="Z155" i="23916" s="1"/>
  <c r="DK169" i="23916"/>
  <c r="DK170" i="23916"/>
  <c r="DL135" i="23916"/>
  <c r="DT135" i="23916"/>
  <c r="DT138" i="23916"/>
  <c r="DL138" i="23916"/>
  <c r="DK387" i="23916"/>
  <c r="DT381" i="23916"/>
  <c r="DL381" i="23916"/>
  <c r="GH381" i="23916"/>
  <c r="DK388" i="23916"/>
  <c r="ER718" i="23916"/>
  <c r="EQ719" i="23916"/>
  <c r="ER719" i="23916" s="1"/>
  <c r="ES718" i="23916"/>
  <c r="DD735" i="23916"/>
  <c r="DC742" i="23916"/>
  <c r="DD742" i="23916" s="1"/>
  <c r="DC743" i="23916"/>
  <c r="DC744" i="23916"/>
  <c r="DD744" i="23916" s="1"/>
  <c r="DC842" i="23916"/>
  <c r="CG481" i="23916"/>
  <c r="CG480" i="23916"/>
  <c r="CH388" i="23916"/>
  <c r="CP388" i="23916"/>
  <c r="CG478" i="23916"/>
  <c r="EU137" i="23916"/>
  <c r="ET137" i="23916"/>
  <c r="GI420" i="23916"/>
  <c r="GH425" i="23916"/>
  <c r="GH430" i="23916"/>
  <c r="GK420" i="23916"/>
  <c r="GH431" i="23916"/>
  <c r="BK809" i="23916"/>
  <c r="BK808" i="23916" s="1"/>
  <c r="BK155" i="23916"/>
  <c r="BL133" i="23916"/>
  <c r="BM127" i="23916"/>
  <c r="DG761" i="23916"/>
  <c r="DG736" i="23916"/>
  <c r="DP730" i="23916"/>
  <c r="DG731" i="23916"/>
  <c r="DI730" i="23916"/>
  <c r="DG733" i="23916"/>
  <c r="DH730" i="23916"/>
  <c r="DG727" i="23916"/>
  <c r="DG762" i="23916"/>
  <c r="DG760" i="23916"/>
  <c r="DT438" i="23916"/>
  <c r="DL438" i="23916"/>
  <c r="GH438" i="23916"/>
  <c r="DK449" i="23916"/>
  <c r="DK444" i="23916"/>
  <c r="DK445" i="23916"/>
  <c r="EQ431" i="23916"/>
  <c r="ER431" i="23916" s="1"/>
  <c r="EQ394" i="23916"/>
  <c r="ER422" i="23916"/>
  <c r="DL74" i="23916"/>
  <c r="DT74" i="23916"/>
  <c r="AN137" i="23916"/>
  <c r="AF137" i="23916"/>
  <c r="AE135" i="23916"/>
  <c r="AF133" i="23916"/>
  <c r="AG127" i="23916"/>
  <c r="AN133" i="23916"/>
  <c r="CH410" i="23916"/>
  <c r="CP410" i="23916"/>
  <c r="EP41" i="23916"/>
  <c r="EQ41" i="23916"/>
  <c r="DM56" i="23916"/>
  <c r="DN56" i="23916" s="1"/>
  <c r="DN55" i="23916"/>
  <c r="EQ392" i="23916"/>
  <c r="EP397" i="23916"/>
  <c r="ER130" i="23916"/>
  <c r="EQ140" i="23916"/>
  <c r="DJ148" i="23916"/>
  <c r="DI167" i="23916"/>
  <c r="DJ167" i="23916" s="1"/>
  <c r="DJ147" i="23916"/>
  <c r="DK143" i="23916"/>
  <c r="DI155" i="23916"/>
  <c r="DJ155" i="23916" s="1"/>
  <c r="DI809" i="23916"/>
  <c r="DI808" i="23916" s="1"/>
  <c r="GI397" i="23916"/>
  <c r="GH398" i="23916"/>
  <c r="GK397" i="23916"/>
  <c r="DK462" i="23916"/>
  <c r="DT462" i="23916" s="1"/>
  <c r="DK459" i="23916"/>
  <c r="GH453" i="23916"/>
  <c r="DK458" i="23916"/>
  <c r="DT453" i="23916"/>
  <c r="DL453" i="23916"/>
  <c r="DK463" i="23916"/>
  <c r="ER131" i="23916"/>
  <c r="DN42" i="23916"/>
  <c r="DV42" i="23916"/>
  <c r="AC171" i="23916"/>
  <c r="AD171" i="23916" s="1"/>
  <c r="AD169" i="23916"/>
  <c r="DM397" i="23916"/>
  <c r="DM398" i="23916"/>
  <c r="DN392" i="23916"/>
  <c r="DV392" i="23916"/>
  <c r="DL133" i="23916"/>
  <c r="DM127" i="23916"/>
  <c r="DT133" i="23916"/>
  <c r="GN719" i="23916"/>
  <c r="GO719" i="23916" s="1"/>
  <c r="GO718" i="23916"/>
  <c r="GN721" i="23916"/>
  <c r="GN761" i="23916"/>
  <c r="GO761" i="23916" s="1"/>
  <c r="GN749" i="23916"/>
  <c r="GO749" i="23916" s="1"/>
  <c r="GN763" i="23916"/>
  <c r="GO763" i="23916" s="1"/>
  <c r="GN762" i="23916"/>
  <c r="GO762" i="23916" s="1"/>
  <c r="GN751" i="23916"/>
  <c r="GO751" i="23916" s="1"/>
  <c r="GN760" i="23916"/>
  <c r="GO760" i="23916" s="1"/>
  <c r="GN752" i="23916"/>
  <c r="GO752" i="23916" s="1"/>
  <c r="GN750" i="23916"/>
  <c r="GO750" i="23916" s="1"/>
  <c r="GF171" i="23916"/>
  <c r="GG171" i="23916" s="1"/>
  <c r="GG169" i="23916"/>
  <c r="DL426" i="23916"/>
  <c r="DT426" i="23916"/>
  <c r="BK169" i="23916"/>
  <c r="BK167" i="23916"/>
  <c r="BL167" i="23916" s="1"/>
  <c r="BK170" i="23916"/>
  <c r="BL170" i="23916" s="1"/>
  <c r="BL135" i="23916"/>
  <c r="EW788" i="23916"/>
  <c r="EX684" i="23916"/>
  <c r="EW665" i="23916"/>
  <c r="DE766" i="23916"/>
  <c r="DF766" i="23916" s="1"/>
  <c r="DE734" i="23916"/>
  <c r="DF731" i="23916"/>
  <c r="DE754" i="23916"/>
  <c r="DF754" i="23916" s="1"/>
  <c r="DE753" i="23916"/>
  <c r="DF753" i="23916" s="1"/>
  <c r="DE750" i="23916"/>
  <c r="DF750" i="23916" s="1"/>
  <c r="DE756" i="23916"/>
  <c r="DF756" i="23916" s="1"/>
  <c r="DE735" i="23916"/>
  <c r="DF733" i="23916"/>
  <c r="DE711" i="23916"/>
  <c r="DE751" i="23916"/>
  <c r="DF751" i="23916" s="1"/>
  <c r="DE749" i="23916"/>
  <c r="DF749" i="23916" s="1"/>
  <c r="DE752" i="23916"/>
  <c r="DF752" i="23916" s="1"/>
  <c r="EQ395" i="23916"/>
  <c r="ER423" i="23916"/>
  <c r="EQ428" i="23916"/>
  <c r="ER428" i="23916" s="1"/>
  <c r="EQ425" i="23916"/>
  <c r="AN138" i="23916"/>
  <c r="AF138" i="23916"/>
  <c r="CH412" i="23916"/>
  <c r="CG415" i="23916"/>
  <c r="CP412" i="23916"/>
  <c r="CI387" i="23916"/>
  <c r="CJ381" i="23916"/>
  <c r="CI388" i="23916"/>
  <c r="CI386" i="23916"/>
  <c r="CR381" i="23916"/>
  <c r="EP42" i="23916"/>
  <c r="EQ42" i="23916"/>
  <c r="DN51" i="23916"/>
  <c r="DO46" i="23916"/>
  <c r="GE734" i="23916"/>
  <c r="GD745" i="23916"/>
  <c r="GE745" i="23916" s="1"/>
  <c r="EQ135" i="23916"/>
  <c r="ER133" i="23916"/>
  <c r="ES127" i="23916"/>
  <c r="CI431" i="23916"/>
  <c r="CI432" i="23916" s="1"/>
  <c r="CI425" i="23916"/>
  <c r="CJ420" i="23916"/>
  <c r="CI430" i="23916"/>
  <c r="CI426" i="23916"/>
  <c r="CR420" i="23916"/>
  <c r="EP151" i="23916"/>
  <c r="EO152" i="23916"/>
  <c r="DK411" i="23916"/>
  <c r="DT405" i="23916"/>
  <c r="DL405" i="23916"/>
  <c r="GH405" i="23916"/>
  <c r="DK416" i="23916"/>
  <c r="DK412" i="23916"/>
  <c r="EU408" i="23916"/>
  <c r="EV405" i="23916"/>
  <c r="EU412" i="23916"/>
  <c r="EV412" i="23916" s="1"/>
  <c r="EU409" i="23916"/>
  <c r="EU407" i="23916"/>
  <c r="CP443" i="23916"/>
  <c r="CH443" i="23916"/>
  <c r="ES462" i="23916"/>
  <c r="ER462" i="23916"/>
  <c r="DN38" i="23916"/>
  <c r="DO32" i="23916"/>
  <c r="DM58" i="23916"/>
  <c r="DN58" i="23916" s="1"/>
  <c r="DV38" i="23916"/>
  <c r="DN43" i="23916"/>
  <c r="DV43" i="23916"/>
  <c r="CK397" i="23916"/>
  <c r="CK398" i="23916"/>
  <c r="CL392" i="23916"/>
  <c r="CT392" i="23916"/>
  <c r="EQ440" i="23916"/>
  <c r="ES448" i="23916"/>
  <c r="ER448" i="23916"/>
  <c r="EU430" i="23916"/>
  <c r="ET430" i="23916"/>
  <c r="EP721" i="23916"/>
  <c r="EO722" i="23916"/>
  <c r="EP722" i="23916" s="1"/>
  <c r="GP438" i="23916"/>
  <c r="EQ441" i="23916"/>
  <c r="ER438" i="23916"/>
  <c r="EQ444" i="23916"/>
  <c r="EQ445" i="23916"/>
  <c r="ER445" i="23916" s="1"/>
  <c r="EQ442" i="23916"/>
  <c r="EO401" i="23916"/>
  <c r="EQ381" i="23916"/>
  <c r="EP387" i="23916"/>
  <c r="EX464" i="23916"/>
  <c r="EP464" i="23916"/>
  <c r="EM74" i="23916"/>
  <c r="EN74" i="23916" s="1"/>
  <c r="EN72" i="23916"/>
  <c r="DM420" i="23916"/>
  <c r="DL425" i="23916"/>
  <c r="DT425" i="23916"/>
  <c r="EV665" i="23916"/>
  <c r="DD734" i="23916"/>
  <c r="DC745" i="23916"/>
  <c r="DD745" i="23916" s="1"/>
  <c r="GQ420" i="23916"/>
  <c r="CG411" i="23916"/>
  <c r="CH416" i="23916"/>
  <c r="CP416" i="23916"/>
  <c r="CH401" i="23916"/>
  <c r="CP401" i="23916"/>
  <c r="AD36" i="23920"/>
  <c r="AO53" i="24103"/>
  <c r="AE27" i="24103"/>
  <c r="AF27" i="24103"/>
  <c r="AC17" i="23920"/>
  <c r="AA17" i="24103"/>
  <c r="Z17" i="24103"/>
  <c r="Z12" i="24103"/>
  <c r="AA12" i="23920"/>
  <c r="AC17" i="24103"/>
  <c r="AP62" i="23920"/>
  <c r="AO36" i="23920"/>
  <c r="AA17" i="23920"/>
  <c r="Z17" i="23920"/>
  <c r="EP401" i="23916" l="1"/>
  <c r="EO797" i="23916"/>
  <c r="EO805" i="23916" s="1"/>
  <c r="EO806" i="23916" s="1"/>
  <c r="EO799" i="23916"/>
  <c r="ET448" i="23916"/>
  <c r="EU448" i="23916"/>
  <c r="CK479" i="23916"/>
  <c r="CL398" i="23916"/>
  <c r="CT398" i="23916"/>
  <c r="DL411" i="23916"/>
  <c r="DM405" i="23916"/>
  <c r="DK434" i="23916"/>
  <c r="DT411" i="23916"/>
  <c r="CJ426" i="23916"/>
  <c r="CR426" i="23916"/>
  <c r="DP46" i="23916"/>
  <c r="DO54" i="23916"/>
  <c r="DP54" i="23916" s="1"/>
  <c r="DO55" i="23916"/>
  <c r="DO52" i="23916"/>
  <c r="DO51" i="23916"/>
  <c r="DF735" i="23916"/>
  <c r="DE742" i="23916"/>
  <c r="DF742" i="23916" s="1"/>
  <c r="DE842" i="23916"/>
  <c r="DE744" i="23916"/>
  <c r="DF744" i="23916" s="1"/>
  <c r="DE743" i="23916"/>
  <c r="DM426" i="23916"/>
  <c r="DN420" i="23916"/>
  <c r="DM430" i="23916"/>
  <c r="DM425" i="23916"/>
  <c r="DM431" i="23916"/>
  <c r="DV420" i="23916"/>
  <c r="EQ385" i="23916"/>
  <c r="ER441" i="23916"/>
  <c r="EQ447" i="23916"/>
  <c r="EQ824" i="23916" s="1"/>
  <c r="EQ384" i="23916"/>
  <c r="ER440" i="23916"/>
  <c r="EQ383" i="23916"/>
  <c r="CL397" i="23916"/>
  <c r="CT397" i="23916"/>
  <c r="ET462" i="23916"/>
  <c r="EU462" i="23916"/>
  <c r="EV407" i="23916"/>
  <c r="EU411" i="23916"/>
  <c r="GH412" i="23916"/>
  <c r="GI405" i="23916"/>
  <c r="GH411" i="23916"/>
  <c r="GK405" i="23916"/>
  <c r="GH416" i="23916"/>
  <c r="EQ152" i="23916"/>
  <c r="EP152" i="23916"/>
  <c r="ET127" i="23916"/>
  <c r="ES130" i="23916"/>
  <c r="ES129" i="23916"/>
  <c r="ES133" i="23916" s="1"/>
  <c r="CJ386" i="23916"/>
  <c r="CR386" i="23916"/>
  <c r="ER395" i="23916"/>
  <c r="EQ400" i="23916"/>
  <c r="ER400" i="23916" s="1"/>
  <c r="DM479" i="23916"/>
  <c r="DN398" i="23916"/>
  <c r="DV398" i="23916"/>
  <c r="DK464" i="23916"/>
  <c r="DT464" i="23916" s="1"/>
  <c r="DT463" i="23916"/>
  <c r="GH458" i="23916"/>
  <c r="GI453" i="23916"/>
  <c r="GK453" i="23916"/>
  <c r="GH463" i="23916"/>
  <c r="GH462" i="23916"/>
  <c r="GI398" i="23916"/>
  <c r="GH479" i="23916"/>
  <c r="GK398" i="23916"/>
  <c r="DT143" i="23916"/>
  <c r="DL143" i="23916"/>
  <c r="DK151" i="23916"/>
  <c r="DK147" i="23916"/>
  <c r="DK150" i="23916"/>
  <c r="DT150" i="23916" s="1"/>
  <c r="DK148" i="23916"/>
  <c r="EQ826" i="23916"/>
  <c r="ER140" i="23916"/>
  <c r="ES41" i="23916"/>
  <c r="ER41" i="23916"/>
  <c r="EQ34" i="23916"/>
  <c r="AE169" i="23916"/>
  <c r="AE170" i="23916"/>
  <c r="AF170" i="23916" s="1"/>
  <c r="AF135" i="23916"/>
  <c r="DL449" i="23916"/>
  <c r="DT449" i="23916"/>
  <c r="DH760" i="23916"/>
  <c r="DP760" i="23916"/>
  <c r="DG754" i="23916"/>
  <c r="DG753" i="23916"/>
  <c r="DG750" i="23916"/>
  <c r="DG756" i="23916"/>
  <c r="DH733" i="23916"/>
  <c r="DG735" i="23916"/>
  <c r="DG711" i="23916"/>
  <c r="DP733" i="23916"/>
  <c r="DG752" i="23916"/>
  <c r="DG749" i="23916"/>
  <c r="DG751" i="23916"/>
  <c r="DH736" i="23916"/>
  <c r="DP736" i="23916"/>
  <c r="BK838" i="23916"/>
  <c r="BK839" i="23916" s="1"/>
  <c r="BK840" i="23916" s="1"/>
  <c r="BL155" i="23916"/>
  <c r="GI430" i="23916"/>
  <c r="GK430" i="23916"/>
  <c r="EW137" i="23916"/>
  <c r="EX137" i="23916" s="1"/>
  <c r="EV137" i="23916"/>
  <c r="CH480" i="23916"/>
  <c r="CG482" i="23916"/>
  <c r="CP480" i="23916"/>
  <c r="DK480" i="23916"/>
  <c r="DK481" i="23916"/>
  <c r="DL388" i="23916"/>
  <c r="DT388" i="23916"/>
  <c r="DK478" i="23916"/>
  <c r="DL387" i="23916"/>
  <c r="DK401" i="23916"/>
  <c r="DM381" i="23916"/>
  <c r="DT387" i="23916"/>
  <c r="ER456" i="23916"/>
  <c r="EQ461" i="23916"/>
  <c r="EP73" i="23916"/>
  <c r="EX73" i="23916"/>
  <c r="EW138" i="23916"/>
  <c r="EV138" i="23916"/>
  <c r="ER143" i="23916"/>
  <c r="EQ148" i="23916"/>
  <c r="EQ146" i="23916"/>
  <c r="EQ145" i="23916"/>
  <c r="EQ147" i="23916" s="1"/>
  <c r="EP479" i="23916"/>
  <c r="EX479" i="23916"/>
  <c r="ER444" i="23916"/>
  <c r="EQ466" i="23916"/>
  <c r="ER466" i="23916" s="1"/>
  <c r="ES438" i="23916"/>
  <c r="ES440" i="23916" s="1"/>
  <c r="GQ438" i="23916"/>
  <c r="EV430" i="23916"/>
  <c r="EW430" i="23916"/>
  <c r="EX430" i="23916" s="1"/>
  <c r="DP32" i="23916"/>
  <c r="DO43" i="23916"/>
  <c r="DO42" i="23916"/>
  <c r="DO41" i="23916"/>
  <c r="DO38" i="23916"/>
  <c r="DO39" i="23916" s="1"/>
  <c r="DX32" i="23916"/>
  <c r="EV408" i="23916"/>
  <c r="EU414" i="23916"/>
  <c r="ES42" i="23916"/>
  <c r="EQ35" i="23916"/>
  <c r="ER42" i="23916"/>
  <c r="CI480" i="23916"/>
  <c r="CI481" i="23916"/>
  <c r="CJ388" i="23916"/>
  <c r="CR388" i="23916"/>
  <c r="CI478" i="23916"/>
  <c r="CH415" i="23916"/>
  <c r="CP415" i="23916"/>
  <c r="ES420" i="23916"/>
  <c r="EQ426" i="23916"/>
  <c r="ER426" i="23916" s="1"/>
  <c r="ER425" i="23916"/>
  <c r="EQ434" i="23916"/>
  <c r="ER434" i="23916" s="1"/>
  <c r="DF734" i="23916"/>
  <c r="DE745" i="23916"/>
  <c r="DF745" i="23916" s="1"/>
  <c r="BK171" i="23916"/>
  <c r="BL171" i="23916" s="1"/>
  <c r="BL169" i="23916"/>
  <c r="DN397" i="23916"/>
  <c r="DO392" i="23916"/>
  <c r="DV397" i="23916"/>
  <c r="DL459" i="23916"/>
  <c r="DT459" i="23916"/>
  <c r="EQ398" i="23916"/>
  <c r="GP392" i="23916"/>
  <c r="EQ397" i="23916"/>
  <c r="ER392" i="23916"/>
  <c r="GK438" i="23916"/>
  <c r="GH444" i="23916"/>
  <c r="GH445" i="23916"/>
  <c r="GI438" i="23916"/>
  <c r="GH449" i="23916"/>
  <c r="DH762" i="23916"/>
  <c r="DP762" i="23916"/>
  <c r="DI761" i="23916"/>
  <c r="DI736" i="23916"/>
  <c r="DK730" i="23916"/>
  <c r="DI733" i="23916"/>
  <c r="DI731" i="23916"/>
  <c r="DR730" i="23916"/>
  <c r="DJ730" i="23916"/>
  <c r="GF730" i="23916"/>
  <c r="DI727" i="23916"/>
  <c r="DI760" i="23916"/>
  <c r="DI762" i="23916"/>
  <c r="DH761" i="23916"/>
  <c r="DP761" i="23916"/>
  <c r="GH426" i="23916"/>
  <c r="GI425" i="23916"/>
  <c r="GK425" i="23916"/>
  <c r="CH478" i="23916"/>
  <c r="CP478" i="23916"/>
  <c r="CH481" i="23916"/>
  <c r="CP481" i="23916"/>
  <c r="EU718" i="23916"/>
  <c r="ES719" i="23916"/>
  <c r="ET719" i="23916" s="1"/>
  <c r="ET718" i="23916"/>
  <c r="GI381" i="23916"/>
  <c r="GH387" i="23916"/>
  <c r="GH388" i="23916" s="1"/>
  <c r="GK381" i="23916"/>
  <c r="DL170" i="23916"/>
  <c r="DT170" i="23916"/>
  <c r="AB143" i="23916"/>
  <c r="AA151" i="23916"/>
  <c r="AA147" i="23916"/>
  <c r="AA150" i="23916"/>
  <c r="GQ453" i="23916"/>
  <c r="GP793" i="23916"/>
  <c r="GQ685" i="23916"/>
  <c r="GS685" i="23916"/>
  <c r="EQ481" i="23916"/>
  <c r="EP481" i="23916"/>
  <c r="CI438" i="23916"/>
  <c r="CH444" i="23916"/>
  <c r="CG466" i="23916"/>
  <c r="CP444" i="23916"/>
  <c r="ET449" i="23916"/>
  <c r="EU449" i="23916"/>
  <c r="CG434" i="23916"/>
  <c r="CH411" i="23916"/>
  <c r="CI405" i="23916"/>
  <c r="CP411" i="23916"/>
  <c r="EQ387" i="23916"/>
  <c r="GP381" i="23916"/>
  <c r="ER381" i="23916"/>
  <c r="EQ388" i="23916"/>
  <c r="DK415" i="23916"/>
  <c r="DL412" i="23916"/>
  <c r="DT412" i="23916"/>
  <c r="CK420" i="23916"/>
  <c r="CJ425" i="23916"/>
  <c r="CR425" i="23916"/>
  <c r="EQ160" i="23916"/>
  <c r="EQ158" i="23916"/>
  <c r="ER135" i="23916"/>
  <c r="GO721" i="23916"/>
  <c r="GN722" i="23916"/>
  <c r="GO722" i="23916" s="1"/>
  <c r="DM138" i="23916"/>
  <c r="DM137" i="23916"/>
  <c r="DN127" i="23916"/>
  <c r="DM135" i="23916"/>
  <c r="DM133" i="23916"/>
  <c r="DV127" i="23916"/>
  <c r="AG138" i="23916"/>
  <c r="AG137" i="23916"/>
  <c r="AG133" i="23916"/>
  <c r="AH127" i="23916"/>
  <c r="AP127" i="23916"/>
  <c r="DL445" i="23916"/>
  <c r="DK448" i="23916"/>
  <c r="DT445" i="23916"/>
  <c r="DH727" i="23916"/>
  <c r="DP727" i="23916"/>
  <c r="DG766" i="23916"/>
  <c r="DG734" i="23916"/>
  <c r="DH731" i="23916"/>
  <c r="DP731" i="23916"/>
  <c r="BM138" i="23916"/>
  <c r="BM137" i="23916"/>
  <c r="BM135" i="23916"/>
  <c r="BM133" i="23916"/>
  <c r="BN127" i="23916"/>
  <c r="BV127" i="23916"/>
  <c r="GI431" i="23916"/>
  <c r="GK431" i="23916"/>
  <c r="ER150" i="23916"/>
  <c r="ES150" i="23916"/>
  <c r="CL459" i="23916"/>
  <c r="CT459" i="23916"/>
  <c r="EQ463" i="23916"/>
  <c r="ER463" i="23916" s="1"/>
  <c r="ER455" i="23916"/>
  <c r="EQ71" i="23916"/>
  <c r="EP71" i="23916"/>
  <c r="EW789" i="23916"/>
  <c r="EX687" i="23916"/>
  <c r="GP687" i="23916"/>
  <c r="EQ480" i="23916"/>
  <c r="EO482" i="23916"/>
  <c r="EP482" i="23916" s="1"/>
  <c r="EP480" i="23916"/>
  <c r="ES131" i="23916"/>
  <c r="DN71" i="23916"/>
  <c r="DV71" i="23916"/>
  <c r="ER32" i="23916"/>
  <c r="DM74" i="23916"/>
  <c r="DN72" i="23916"/>
  <c r="DV72" i="23916"/>
  <c r="CH448" i="23916"/>
  <c r="CP448" i="23916"/>
  <c r="DT416" i="23916"/>
  <c r="DL416" i="23916"/>
  <c r="CJ387" i="23916"/>
  <c r="CI401" i="23916"/>
  <c r="CK381" i="23916"/>
  <c r="CR387" i="23916"/>
  <c r="EX665" i="23916"/>
  <c r="DL458" i="23916"/>
  <c r="DM453" i="23916"/>
  <c r="DT458" i="23916"/>
  <c r="ER394" i="23916"/>
  <c r="DL444" i="23916"/>
  <c r="DK466" i="23916"/>
  <c r="DM438" i="23916"/>
  <c r="DT444" i="23916"/>
  <c r="DK171" i="23916"/>
  <c r="DL169" i="23916"/>
  <c r="DT169" i="23916"/>
  <c r="Z148" i="23916"/>
  <c r="Y167" i="23916"/>
  <c r="Z167" i="23916" s="1"/>
  <c r="EP167" i="23916"/>
  <c r="EX167" i="23916"/>
  <c r="CL458" i="23916"/>
  <c r="CT458" i="23916"/>
  <c r="EQ459" i="23916"/>
  <c r="ER459" i="23916" s="1"/>
  <c r="ER458" i="23916"/>
  <c r="ES453" i="23916"/>
  <c r="EQ72" i="23916"/>
  <c r="EO74" i="23916"/>
  <c r="EP74" i="23916" s="1"/>
  <c r="EP72" i="23916"/>
  <c r="BM147" i="23916"/>
  <c r="BM151" i="23916"/>
  <c r="BM152" i="23916" s="1"/>
  <c r="BN143" i="23916"/>
  <c r="BV143" i="23916"/>
  <c r="BM148" i="23916"/>
  <c r="BM150" i="23916"/>
  <c r="EP478" i="23916"/>
  <c r="EX478" i="23916"/>
  <c r="EQ36" i="23916"/>
  <c r="ES43" i="23916"/>
  <c r="ER43" i="23916"/>
  <c r="DN73" i="23916"/>
  <c r="DV73" i="23916"/>
  <c r="AF36" i="23920"/>
  <c r="AO27" i="24103"/>
  <c r="Z12" i="23920"/>
  <c r="AP53" i="24103"/>
  <c r="AE36" i="23920"/>
  <c r="AB14" i="24103"/>
  <c r="AP36" i="23920"/>
  <c r="AA12" i="24103"/>
  <c r="AA13" i="24103"/>
  <c r="Z13" i="24103"/>
  <c r="AA13" i="23920"/>
  <c r="Z13" i="23920"/>
  <c r="AG27" i="24103"/>
  <c r="GI388" i="23916" l="1"/>
  <c r="GH481" i="23916"/>
  <c r="GH480" i="23916"/>
  <c r="GK388" i="23916"/>
  <c r="GH478" i="23916"/>
  <c r="DO73" i="23916"/>
  <c r="DO72" i="23916"/>
  <c r="DO70" i="23916"/>
  <c r="DP70" i="23916" s="1"/>
  <c r="DP39" i="23916"/>
  <c r="DX39" i="23916"/>
  <c r="ET440" i="23916"/>
  <c r="ES383" i="23916"/>
  <c r="ET383" i="23916" s="1"/>
  <c r="ER147" i="23916"/>
  <c r="ES143" i="23916"/>
  <c r="EQ809" i="23916"/>
  <c r="EQ155" i="23916"/>
  <c r="ER155" i="23916" s="1"/>
  <c r="ES135" i="23916"/>
  <c r="ET133" i="23916"/>
  <c r="EU127" i="23916"/>
  <c r="ER36" i="23916"/>
  <c r="DL466" i="23916"/>
  <c r="DT466" i="23916"/>
  <c r="CJ401" i="23916"/>
  <c r="CR401" i="23916"/>
  <c r="DN74" i="23916"/>
  <c r="DV74" i="23916"/>
  <c r="BM170" i="23916"/>
  <c r="BM169" i="23916"/>
  <c r="BM167" i="23916"/>
  <c r="BV135" i="23916"/>
  <c r="BN135" i="23916"/>
  <c r="AH138" i="23916"/>
  <c r="AP138" i="23916"/>
  <c r="GQ381" i="23916"/>
  <c r="GQ793" i="23916"/>
  <c r="GS793" i="23916"/>
  <c r="AB147" i="23916"/>
  <c r="AA148" i="23916"/>
  <c r="AC143" i="23916"/>
  <c r="AA155" i="23916"/>
  <c r="AB155" i="23916" s="1"/>
  <c r="GI426" i="23916"/>
  <c r="GK426" i="23916"/>
  <c r="DJ760" i="23916"/>
  <c r="DR760" i="23916"/>
  <c r="DJ736" i="23916"/>
  <c r="DR736" i="23916"/>
  <c r="GI449" i="23916"/>
  <c r="GK449" i="23916"/>
  <c r="EQ470" i="23916"/>
  <c r="EQ469" i="23916"/>
  <c r="ER398" i="23916"/>
  <c r="DO398" i="23916"/>
  <c r="DO397" i="23916"/>
  <c r="DP392" i="23916"/>
  <c r="DX392" i="23916"/>
  <c r="CJ478" i="23916"/>
  <c r="CR478" i="23916"/>
  <c r="CJ480" i="23916"/>
  <c r="CI482" i="23916"/>
  <c r="CR480" i="23916"/>
  <c r="ER146" i="23916"/>
  <c r="EQ154" i="23916"/>
  <c r="DL478" i="23916"/>
  <c r="DT478" i="23916"/>
  <c r="DL480" i="23916"/>
  <c r="DK482" i="23916"/>
  <c r="DT480" i="23916"/>
  <c r="DH751" i="23916"/>
  <c r="DP751" i="23916"/>
  <c r="DH750" i="23916"/>
  <c r="DP750" i="23916"/>
  <c r="DK152" i="23916"/>
  <c r="DT152" i="23916" s="1"/>
  <c r="DT151" i="23916"/>
  <c r="GI463" i="23916"/>
  <c r="GK463" i="23916"/>
  <c r="GH434" i="23916"/>
  <c r="GI411" i="23916"/>
  <c r="GK411" i="23916"/>
  <c r="DO71" i="23916"/>
  <c r="DP52" i="23916"/>
  <c r="DM416" i="23916"/>
  <c r="DM412" i="23916"/>
  <c r="DN405" i="23916"/>
  <c r="DM411" i="23916"/>
  <c r="DV405" i="23916"/>
  <c r="ET43" i="23916"/>
  <c r="EU43" i="23916"/>
  <c r="EQ74" i="23916"/>
  <c r="ER74" i="23916" s="1"/>
  <c r="ES72" i="23916"/>
  <c r="ER72" i="23916"/>
  <c r="DL171" i="23916"/>
  <c r="DT171" i="23916"/>
  <c r="DM458" i="23916"/>
  <c r="DM462" i="23916"/>
  <c r="DM463" i="23916"/>
  <c r="DM459" i="23916"/>
  <c r="DN453" i="23916"/>
  <c r="DV453" i="23916"/>
  <c r="ER480" i="23916"/>
  <c r="EQ482" i="23916"/>
  <c r="ER482" i="23916" s="1"/>
  <c r="ES480" i="23916"/>
  <c r="EU150" i="23916"/>
  <c r="ET150" i="23916"/>
  <c r="BV137" i="23916"/>
  <c r="BN137" i="23916"/>
  <c r="DH734" i="23916"/>
  <c r="DG745" i="23916"/>
  <c r="DH745" i="23916" s="1"/>
  <c r="DN137" i="23916"/>
  <c r="DV137" i="23916"/>
  <c r="DL415" i="23916"/>
  <c r="DT415" i="23916"/>
  <c r="ER387" i="23916"/>
  <c r="ES381" i="23916"/>
  <c r="EQ401" i="23916"/>
  <c r="ER401" i="23916" s="1"/>
  <c r="CH434" i="23916"/>
  <c r="CP434" i="23916"/>
  <c r="CH466" i="23916"/>
  <c r="CP466" i="23916"/>
  <c r="ES481" i="23916"/>
  <c r="ER481" i="23916"/>
  <c r="EV718" i="23916"/>
  <c r="EU719" i="23916"/>
  <c r="EV719" i="23916" s="1"/>
  <c r="EW718" i="23916"/>
  <c r="GF727" i="23916"/>
  <c r="DJ727" i="23916"/>
  <c r="DR727" i="23916"/>
  <c r="DI766" i="23916"/>
  <c r="DJ731" i="23916"/>
  <c r="DR731" i="23916"/>
  <c r="DI734" i="23916"/>
  <c r="DJ761" i="23916"/>
  <c r="DR761" i="23916"/>
  <c r="ES423" i="23916"/>
  <c r="ES425" i="23916" s="1"/>
  <c r="ES422" i="23916"/>
  <c r="ET420" i="23916"/>
  <c r="DP41" i="23916"/>
  <c r="DX41" i="23916"/>
  <c r="EQ825" i="23916"/>
  <c r="ER461" i="23916"/>
  <c r="DM388" i="23916"/>
  <c r="DN381" i="23916"/>
  <c r="DM387" i="23916"/>
  <c r="DV381" i="23916"/>
  <c r="DH749" i="23916"/>
  <c r="DP749" i="23916"/>
  <c r="DH735" i="23916"/>
  <c r="DG742" i="23916"/>
  <c r="DH742" i="23916" s="1"/>
  <c r="DG842" i="23916"/>
  <c r="DG744" i="23916"/>
  <c r="DH744" i="23916" s="1"/>
  <c r="DG743" i="23916"/>
  <c r="DH753" i="23916"/>
  <c r="DP753" i="23916"/>
  <c r="ET41" i="23916"/>
  <c r="EU41" i="23916"/>
  <c r="DL148" i="23916"/>
  <c r="DT148" i="23916"/>
  <c r="DK167" i="23916"/>
  <c r="GI479" i="23916"/>
  <c r="GK479" i="23916"/>
  <c r="DN479" i="23916"/>
  <c r="DV479" i="23916"/>
  <c r="ET129" i="23916"/>
  <c r="ER152" i="23916"/>
  <c r="ES152" i="23916"/>
  <c r="DM432" i="23916"/>
  <c r="DN431" i="23916"/>
  <c r="DV431" i="23916"/>
  <c r="DN426" i="23916"/>
  <c r="DV426" i="23916"/>
  <c r="DO56" i="23916"/>
  <c r="DP56" i="23916" s="1"/>
  <c r="DP55" i="23916"/>
  <c r="CL479" i="23916"/>
  <c r="CT479" i="23916"/>
  <c r="BN148" i="23916"/>
  <c r="BV148" i="23916"/>
  <c r="BN147" i="23916"/>
  <c r="BO143" i="23916"/>
  <c r="BV147" i="23916"/>
  <c r="ES455" i="23916"/>
  <c r="ET453" i="23916"/>
  <c r="ES456" i="23916"/>
  <c r="EQ38" i="23916"/>
  <c r="ET131" i="23916"/>
  <c r="BV138" i="23916"/>
  <c r="BN138" i="23916"/>
  <c r="DH766" i="23916"/>
  <c r="DP766" i="23916"/>
  <c r="DL448" i="23916"/>
  <c r="DT448" i="23916"/>
  <c r="FL133" i="23916"/>
  <c r="AG135" i="23916"/>
  <c r="AH133" i="23916"/>
  <c r="AI127" i="23916"/>
  <c r="AP133" i="23916"/>
  <c r="DO127" i="23916"/>
  <c r="DN133" i="23916"/>
  <c r="DV133" i="23916"/>
  <c r="DN138" i="23916"/>
  <c r="DV138" i="23916"/>
  <c r="EQ847" i="23916"/>
  <c r="ER158" i="23916"/>
  <c r="CK426" i="23916"/>
  <c r="CL420" i="23916"/>
  <c r="CK431" i="23916"/>
  <c r="CK432" i="23916" s="1"/>
  <c r="CK425" i="23916"/>
  <c r="CK430" i="23916"/>
  <c r="CT420" i="23916"/>
  <c r="EQ471" i="23916"/>
  <c r="EQ472" i="23916"/>
  <c r="ER388" i="23916"/>
  <c r="EW449" i="23916"/>
  <c r="EX449" i="23916" s="1"/>
  <c r="EV449" i="23916"/>
  <c r="GH401" i="23916"/>
  <c r="GI387" i="23916"/>
  <c r="GK387" i="23916"/>
  <c r="GG730" i="23916"/>
  <c r="GI730" i="23916"/>
  <c r="GF761" i="23916"/>
  <c r="GF731" i="23916"/>
  <c r="GF733" i="23916"/>
  <c r="GF724" i="23916"/>
  <c r="GF762" i="23916"/>
  <c r="GF760" i="23916"/>
  <c r="DI756" i="23916"/>
  <c r="DI750" i="23916"/>
  <c r="DI754" i="23916"/>
  <c r="DI753" i="23916"/>
  <c r="DI735" i="23916"/>
  <c r="DJ733" i="23916"/>
  <c r="DI711" i="23916"/>
  <c r="DR733" i="23916"/>
  <c r="DI749" i="23916"/>
  <c r="DI752" i="23916"/>
  <c r="DI751" i="23916"/>
  <c r="GI445" i="23916"/>
  <c r="GH448" i="23916"/>
  <c r="GK445" i="23916"/>
  <c r="ER397" i="23916"/>
  <c r="ES392" i="23916"/>
  <c r="ER35" i="23916"/>
  <c r="DP42" i="23916"/>
  <c r="DX42" i="23916"/>
  <c r="ET438" i="23916"/>
  <c r="ES444" i="23916"/>
  <c r="ES441" i="23916"/>
  <c r="ES442" i="23916"/>
  <c r="ER148" i="23916"/>
  <c r="EX138" i="23916"/>
  <c r="DL401" i="23916"/>
  <c r="DT401" i="23916"/>
  <c r="CH482" i="23916"/>
  <c r="CP482" i="23916"/>
  <c r="DH752" i="23916"/>
  <c r="DP752" i="23916"/>
  <c r="DH754" i="23916"/>
  <c r="DP754" i="23916"/>
  <c r="AE171" i="23916"/>
  <c r="AF171" i="23916" s="1"/>
  <c r="AF169" i="23916"/>
  <c r="ET130" i="23916"/>
  <c r="ES140" i="23916"/>
  <c r="GI416" i="23916"/>
  <c r="GK416" i="23916"/>
  <c r="GI412" i="23916"/>
  <c r="GH415" i="23916"/>
  <c r="GK412" i="23916"/>
  <c r="ER384" i="23916"/>
  <c r="EQ828" i="23916"/>
  <c r="DO420" i="23916"/>
  <c r="DN425" i="23916"/>
  <c r="DV425" i="23916"/>
  <c r="EW448" i="23916"/>
  <c r="EV448" i="23916"/>
  <c r="DN438" i="23916"/>
  <c r="DM445" i="23916"/>
  <c r="DM449" i="23916"/>
  <c r="DM444" i="23916"/>
  <c r="DV438" i="23916"/>
  <c r="CK386" i="23916"/>
  <c r="CL381" i="23916"/>
  <c r="CK387" i="23916"/>
  <c r="CT381" i="23916"/>
  <c r="GP789" i="23916"/>
  <c r="GQ789" i="23916" s="1"/>
  <c r="GQ687" i="23916"/>
  <c r="GP686" i="23916"/>
  <c r="GR686" i="23916" s="1"/>
  <c r="ES71" i="23916"/>
  <c r="ER71" i="23916"/>
  <c r="BM809" i="23916"/>
  <c r="BM808" i="23916" s="1"/>
  <c r="BM155" i="23916"/>
  <c r="BO127" i="23916"/>
  <c r="BN133" i="23916"/>
  <c r="BV133" i="23916"/>
  <c r="AH137" i="23916"/>
  <c r="AP137" i="23916"/>
  <c r="DM170" i="23916"/>
  <c r="DM169" i="23916"/>
  <c r="DN135" i="23916"/>
  <c r="DV135" i="23916"/>
  <c r="EQ161" i="23916"/>
  <c r="ER160" i="23916"/>
  <c r="EQ162" i="23916"/>
  <c r="ER162" i="23916" s="1"/>
  <c r="EQ164" i="23916"/>
  <c r="CJ405" i="23916"/>
  <c r="CI416" i="23916"/>
  <c r="CI410" i="23916"/>
  <c r="CR405" i="23916"/>
  <c r="CJ438" i="23916"/>
  <c r="CI449" i="23916"/>
  <c r="CI444" i="23916"/>
  <c r="CI443" i="23916"/>
  <c r="CI445" i="23916"/>
  <c r="CR438" i="23916"/>
  <c r="DJ762" i="23916"/>
  <c r="DR762" i="23916"/>
  <c r="DK761" i="23916"/>
  <c r="DK736" i="23916"/>
  <c r="DK733" i="23916"/>
  <c r="DK731" i="23916"/>
  <c r="DT730" i="23916"/>
  <c r="DK727" i="23916"/>
  <c r="DM730" i="23916"/>
  <c r="DL730" i="23916"/>
  <c r="DK762" i="23916"/>
  <c r="DK760" i="23916"/>
  <c r="GI444" i="23916"/>
  <c r="GH466" i="23916"/>
  <c r="GK444" i="23916"/>
  <c r="GQ392" i="23916"/>
  <c r="CJ481" i="23916"/>
  <c r="CR481" i="23916"/>
  <c r="ET42" i="23916"/>
  <c r="EU42" i="23916"/>
  <c r="DO58" i="23916"/>
  <c r="DP58" i="23916" s="1"/>
  <c r="DQ32" i="23916"/>
  <c r="DP38" i="23916"/>
  <c r="DX38" i="23916"/>
  <c r="DP43" i="23916"/>
  <c r="DX43" i="23916"/>
  <c r="ER145" i="23916"/>
  <c r="EQ151" i="23916"/>
  <c r="ER151" i="23916" s="1"/>
  <c r="DL481" i="23916"/>
  <c r="DT481" i="23916"/>
  <c r="DH756" i="23916"/>
  <c r="DP756" i="23916"/>
  <c r="ER34" i="23916"/>
  <c r="DM143" i="23916"/>
  <c r="DL147" i="23916"/>
  <c r="DT147" i="23916"/>
  <c r="DK809" i="23916"/>
  <c r="DK808" i="23916" s="1"/>
  <c r="DK155" i="23916"/>
  <c r="GI462" i="23916"/>
  <c r="GK462" i="23916"/>
  <c r="GI458" i="23916"/>
  <c r="GH459" i="23916"/>
  <c r="GK458" i="23916"/>
  <c r="EV411" i="23916"/>
  <c r="EW405" i="23916"/>
  <c r="EV462" i="23916"/>
  <c r="EW462" i="23916"/>
  <c r="EX462" i="23916" s="1"/>
  <c r="ER383" i="23916"/>
  <c r="DN430" i="23916"/>
  <c r="DV430" i="23916"/>
  <c r="DP51" i="23916"/>
  <c r="DQ46" i="23916"/>
  <c r="DL434" i="23916"/>
  <c r="DT434" i="23916"/>
  <c r="AB14" i="23920"/>
  <c r="AG36" i="23920"/>
  <c r="AP27" i="24103"/>
  <c r="AE17" i="23920"/>
  <c r="AD17" i="23920"/>
  <c r="AE17" i="24103"/>
  <c r="AD17" i="24103"/>
  <c r="AC14" i="24103"/>
  <c r="AD14" i="24103"/>
  <c r="AD14" i="23920"/>
  <c r="AA14" i="23920"/>
  <c r="Z14" i="23920"/>
  <c r="Z15" i="23920" s="1"/>
  <c r="AB12" i="24103"/>
  <c r="AC12" i="23920"/>
  <c r="AW49" i="23920"/>
  <c r="AW40" i="24103"/>
  <c r="AA14" i="24103"/>
  <c r="Z14" i="24103"/>
  <c r="ES426" i="23916" l="1"/>
  <c r="ET426" i="23916" s="1"/>
  <c r="ET425" i="23916"/>
  <c r="EU420" i="23916"/>
  <c r="ES434" i="23916"/>
  <c r="ET434" i="23916" s="1"/>
  <c r="DL762" i="23916"/>
  <c r="DT762" i="23916"/>
  <c r="DL761" i="23916"/>
  <c r="DT761" i="23916"/>
  <c r="CJ445" i="23916"/>
  <c r="CI448" i="23916"/>
  <c r="CR445" i="23916"/>
  <c r="CJ416" i="23916"/>
  <c r="CR416" i="23916"/>
  <c r="DN170" i="23916"/>
  <c r="DV170" i="23916"/>
  <c r="CL386" i="23916"/>
  <c r="CT386" i="23916"/>
  <c r="FZ386" i="23916"/>
  <c r="DN449" i="23916"/>
  <c r="DV449" i="23916"/>
  <c r="DO430" i="23916"/>
  <c r="DO425" i="23916"/>
  <c r="DP420" i="23916"/>
  <c r="DO431" i="23916"/>
  <c r="DO426" i="23916"/>
  <c r="DX420" i="23916"/>
  <c r="ES385" i="23916"/>
  <c r="GI448" i="23916"/>
  <c r="GK448" i="23916"/>
  <c r="DJ749" i="23916"/>
  <c r="DR749" i="23916"/>
  <c r="DJ735" i="23916"/>
  <c r="DR735" i="23916"/>
  <c r="DI742" i="23916"/>
  <c r="DI842" i="23916"/>
  <c r="DI744" i="23916"/>
  <c r="DI743" i="23916"/>
  <c r="DR743" i="23916" s="1"/>
  <c r="DJ756" i="23916"/>
  <c r="GF756" i="23916"/>
  <c r="DR756" i="23916"/>
  <c r="GF754" i="23916"/>
  <c r="GF753" i="23916"/>
  <c r="GG733" i="23916"/>
  <c r="GH735" i="23916"/>
  <c r="GF750" i="23916"/>
  <c r="GI733" i="23916"/>
  <c r="GF751" i="23916"/>
  <c r="GF749" i="23916"/>
  <c r="GF752" i="23916"/>
  <c r="GF735" i="23916"/>
  <c r="EQ473" i="23916"/>
  <c r="ER473" i="23916" s="1"/>
  <c r="ER471" i="23916"/>
  <c r="EQ475" i="23916"/>
  <c r="AG170" i="23916"/>
  <c r="AG169" i="23916"/>
  <c r="AH135" i="23916"/>
  <c r="AP135" i="23916"/>
  <c r="ET456" i="23916"/>
  <c r="ES461" i="23916"/>
  <c r="DJ734" i="23916"/>
  <c r="DR734" i="23916"/>
  <c r="DI745" i="23916"/>
  <c r="DN459" i="23916"/>
  <c r="DV459" i="23916"/>
  <c r="DN416" i="23916"/>
  <c r="DV416" i="23916"/>
  <c r="EQ846" i="23916"/>
  <c r="ER469" i="23916"/>
  <c r="AB148" i="23916"/>
  <c r="AA167" i="23916"/>
  <c r="AB167" i="23916" s="1"/>
  <c r="BM171" i="23916"/>
  <c r="BN169" i="23916"/>
  <c r="BV169" i="23916"/>
  <c r="DQ55" i="23916"/>
  <c r="DR46" i="23916"/>
  <c r="DQ52" i="23916"/>
  <c r="DQ51" i="23916"/>
  <c r="DQ54" i="23916"/>
  <c r="DR54" i="23916" s="1"/>
  <c r="EW409" i="23916"/>
  <c r="EX405" i="23916"/>
  <c r="EW411" i="23916"/>
  <c r="EW408" i="23916"/>
  <c r="EW407" i="23916"/>
  <c r="GI459" i="23916"/>
  <c r="GK459" i="23916"/>
  <c r="DL155" i="23916"/>
  <c r="DT155" i="23916"/>
  <c r="DM147" i="23916"/>
  <c r="DM151" i="23916"/>
  <c r="DM150" i="23916"/>
  <c r="DN143" i="23916"/>
  <c r="DM148" i="23916"/>
  <c r="DV143" i="23916"/>
  <c r="GI466" i="23916"/>
  <c r="GK466" i="23916"/>
  <c r="DK766" i="23916"/>
  <c r="DL731" i="23916"/>
  <c r="DK734" i="23916"/>
  <c r="DT731" i="23916"/>
  <c r="CR443" i="23916"/>
  <c r="CJ443" i="23916"/>
  <c r="BO135" i="23916"/>
  <c r="BO133" i="23916"/>
  <c r="BP127" i="23916"/>
  <c r="BO138" i="23916"/>
  <c r="BO137" i="23916"/>
  <c r="BX127" i="23916"/>
  <c r="ET71" i="23916"/>
  <c r="EU71" i="23916"/>
  <c r="CK388" i="23916"/>
  <c r="DN445" i="23916"/>
  <c r="DM448" i="23916"/>
  <c r="DV445" i="23916"/>
  <c r="EX448" i="23916"/>
  <c r="ET441" i="23916"/>
  <c r="ES447" i="23916"/>
  <c r="ES824" i="23916" s="1"/>
  <c r="ES384" i="23916"/>
  <c r="ET392" i="23916"/>
  <c r="DJ753" i="23916"/>
  <c r="DR753" i="23916"/>
  <c r="GG760" i="23916"/>
  <c r="GI760" i="23916"/>
  <c r="GH734" i="23916"/>
  <c r="GG731" i="23916"/>
  <c r="GI731" i="23916"/>
  <c r="GF734" i="23916"/>
  <c r="FL809" i="23916"/>
  <c r="FL808" i="23916" s="1"/>
  <c r="FL155" i="23916"/>
  <c r="FM155" i="23916" s="1"/>
  <c r="FM133" i="23916"/>
  <c r="FN127" i="23916"/>
  <c r="FL135" i="23916"/>
  <c r="BP143" i="23916"/>
  <c r="BO151" i="23916"/>
  <c r="BO152" i="23916" s="1"/>
  <c r="BO147" i="23916"/>
  <c r="BO150" i="23916"/>
  <c r="BO148" i="23916"/>
  <c r="BX143" i="23916"/>
  <c r="DM481" i="23916"/>
  <c r="DM480" i="23916"/>
  <c r="DN388" i="23916"/>
  <c r="DV388" i="23916"/>
  <c r="DM478" i="23916"/>
  <c r="ET423" i="23916"/>
  <c r="ES395" i="23916"/>
  <c r="ES398" i="23916" s="1"/>
  <c r="ES428" i="23916"/>
  <c r="ET428" i="23916" s="1"/>
  <c r="EW719" i="23916"/>
  <c r="EX719" i="23916" s="1"/>
  <c r="GP718" i="23916"/>
  <c r="EX718" i="23916"/>
  <c r="EU481" i="23916"/>
  <c r="ET481" i="23916"/>
  <c r="DM464" i="23916"/>
  <c r="DN463" i="23916"/>
  <c r="DV463" i="23916"/>
  <c r="EW43" i="23916"/>
  <c r="EV43" i="23916"/>
  <c r="DM434" i="23916"/>
  <c r="DN411" i="23916"/>
  <c r="DO405" i="23916"/>
  <c r="DV411" i="23916"/>
  <c r="GI434" i="23916"/>
  <c r="GK434" i="23916"/>
  <c r="DP397" i="23916"/>
  <c r="DQ392" i="23916"/>
  <c r="DX397" i="23916"/>
  <c r="ER470" i="23916"/>
  <c r="BN170" i="23916"/>
  <c r="BV170" i="23916"/>
  <c r="ET135" i="23916"/>
  <c r="ES160" i="23916"/>
  <c r="ES148" i="23916"/>
  <c r="ES158" i="23916" s="1"/>
  <c r="ES146" i="23916"/>
  <c r="ET143" i="23916"/>
  <c r="ES145" i="23916"/>
  <c r="ES147" i="23916" s="1"/>
  <c r="DO74" i="23916"/>
  <c r="DP72" i="23916"/>
  <c r="DX72" i="23916"/>
  <c r="GI480" i="23916"/>
  <c r="GH482" i="23916"/>
  <c r="GK480" i="23916"/>
  <c r="EW42" i="23916"/>
  <c r="EV42" i="23916"/>
  <c r="DM761" i="23916"/>
  <c r="DM736" i="23916"/>
  <c r="DM727" i="23916"/>
  <c r="DV730" i="23916"/>
  <c r="DN730" i="23916"/>
  <c r="DM733" i="23916"/>
  <c r="DM731" i="23916"/>
  <c r="DM762" i="23916"/>
  <c r="DM760" i="23916"/>
  <c r="DK756" i="23916"/>
  <c r="DK750" i="23916"/>
  <c r="DK754" i="23916"/>
  <c r="DK753" i="23916"/>
  <c r="DK735" i="23916"/>
  <c r="DL733" i="23916"/>
  <c r="DK711" i="23916"/>
  <c r="DT733" i="23916"/>
  <c r="DK749" i="23916"/>
  <c r="DK752" i="23916"/>
  <c r="DK751" i="23916"/>
  <c r="CJ444" i="23916"/>
  <c r="CK438" i="23916"/>
  <c r="CI466" i="23916"/>
  <c r="CR444" i="23916"/>
  <c r="CR410" i="23916"/>
  <c r="CJ410" i="23916"/>
  <c r="CI411" i="23916"/>
  <c r="BM838" i="23916"/>
  <c r="BM839" i="23916" s="1"/>
  <c r="BM840" i="23916" s="1"/>
  <c r="BN155" i="23916"/>
  <c r="BV155" i="23916"/>
  <c r="GT686" i="23916"/>
  <c r="GR687" i="23916"/>
  <c r="CK401" i="23916"/>
  <c r="CL387" i="23916"/>
  <c r="CT387" i="23916"/>
  <c r="GI415" i="23916"/>
  <c r="GK415" i="23916"/>
  <c r="EU438" i="23916"/>
  <c r="ET444" i="23916"/>
  <c r="DJ751" i="23916"/>
  <c r="DR751" i="23916"/>
  <c r="DJ754" i="23916"/>
  <c r="DR754" i="23916"/>
  <c r="GG762" i="23916"/>
  <c r="GI762" i="23916"/>
  <c r="GG761" i="23916"/>
  <c r="GI761" i="23916"/>
  <c r="CL426" i="23916"/>
  <c r="CT426" i="23916"/>
  <c r="AI133" i="23916"/>
  <c r="AJ127" i="23916"/>
  <c r="AI138" i="23916"/>
  <c r="AI137" i="23916"/>
  <c r="AR127" i="23916"/>
  <c r="ES463" i="23916"/>
  <c r="ET463" i="23916" s="1"/>
  <c r="ET455" i="23916"/>
  <c r="DN432" i="23916"/>
  <c r="DV432" i="23916"/>
  <c r="EW41" i="23916"/>
  <c r="EV41" i="23916"/>
  <c r="GG727" i="23916"/>
  <c r="GI727" i="23916"/>
  <c r="EV150" i="23916"/>
  <c r="EW150" i="23916"/>
  <c r="EX150" i="23916" s="1"/>
  <c r="DN462" i="23916"/>
  <c r="DV462" i="23916"/>
  <c r="DP71" i="23916"/>
  <c r="DX71" i="23916"/>
  <c r="DO479" i="23916"/>
  <c r="DP398" i="23916"/>
  <c r="DX398" i="23916"/>
  <c r="DP73" i="23916"/>
  <c r="DX73" i="23916"/>
  <c r="GI481" i="23916"/>
  <c r="GK481" i="23916"/>
  <c r="DQ43" i="23916"/>
  <c r="DQ42" i="23916"/>
  <c r="DQ41" i="23916"/>
  <c r="DQ39" i="23916"/>
  <c r="DQ38" i="23916"/>
  <c r="DR32" i="23916"/>
  <c r="DZ32" i="23916"/>
  <c r="DL760" i="23916"/>
  <c r="DT760" i="23916"/>
  <c r="DL727" i="23916"/>
  <c r="DT727" i="23916"/>
  <c r="DL736" i="23916"/>
  <c r="DT736" i="23916"/>
  <c r="CJ449" i="23916"/>
  <c r="CR449" i="23916"/>
  <c r="CI412" i="23916"/>
  <c r="EQ165" i="23916"/>
  <c r="ER164" i="23916"/>
  <c r="ER161" i="23916"/>
  <c r="EQ175" i="23916"/>
  <c r="DM171" i="23916"/>
  <c r="DN169" i="23916"/>
  <c r="DV169" i="23916"/>
  <c r="DN444" i="23916"/>
  <c r="DM466" i="23916"/>
  <c r="DO438" i="23916"/>
  <c r="DV444" i="23916"/>
  <c r="ES826" i="23916"/>
  <c r="ET140" i="23916"/>
  <c r="ES445" i="23916"/>
  <c r="ET445" i="23916" s="1"/>
  <c r="DJ752" i="23916"/>
  <c r="DR752" i="23916"/>
  <c r="DJ750" i="23916"/>
  <c r="DR750" i="23916"/>
  <c r="GG724" i="23916"/>
  <c r="GI724" i="23916"/>
  <c r="GI401" i="23916"/>
  <c r="GK401" i="23916"/>
  <c r="ER472" i="23916"/>
  <c r="CL425" i="23916"/>
  <c r="CT425" i="23916"/>
  <c r="DP127" i="23916"/>
  <c r="DO133" i="23916"/>
  <c r="DO138" i="23916"/>
  <c r="DO137" i="23916"/>
  <c r="DO135" i="23916"/>
  <c r="DX127" i="23916"/>
  <c r="ER38" i="23916"/>
  <c r="ES32" i="23916"/>
  <c r="EQ39" i="23916"/>
  <c r="ES458" i="23916"/>
  <c r="EU152" i="23916"/>
  <c r="ET152" i="23916"/>
  <c r="DL167" i="23916"/>
  <c r="DT167" i="23916"/>
  <c r="DM401" i="23916"/>
  <c r="DO381" i="23916"/>
  <c r="DN387" i="23916"/>
  <c r="DV387" i="23916"/>
  <c r="ES431" i="23916"/>
  <c r="ET431" i="23916" s="1"/>
  <c r="ES394" i="23916"/>
  <c r="ET422" i="23916"/>
  <c r="DJ766" i="23916"/>
  <c r="GF766" i="23916"/>
  <c r="DR766" i="23916"/>
  <c r="ET381" i="23916"/>
  <c r="ES387" i="23916"/>
  <c r="ES388" i="23916" s="1"/>
  <c r="ES482" i="23916"/>
  <c r="ET482" i="23916" s="1"/>
  <c r="EU480" i="23916"/>
  <c r="ET480" i="23916"/>
  <c r="DO453" i="23916"/>
  <c r="DN458" i="23916"/>
  <c r="DV458" i="23916"/>
  <c r="EU72" i="23916"/>
  <c r="ET72" i="23916"/>
  <c r="ES74" i="23916"/>
  <c r="ET74" i="23916" s="1"/>
  <c r="DN412" i="23916"/>
  <c r="DM415" i="23916"/>
  <c r="DV412" i="23916"/>
  <c r="DL482" i="23916"/>
  <c r="DT482" i="23916"/>
  <c r="ER154" i="23916"/>
  <c r="EQ783" i="23916"/>
  <c r="CJ482" i="23916"/>
  <c r="CR482" i="23916"/>
  <c r="AC151" i="23916"/>
  <c r="AC147" i="23916"/>
  <c r="AC150" i="23916"/>
  <c r="AD143" i="23916"/>
  <c r="BN167" i="23916"/>
  <c r="BV167" i="23916"/>
  <c r="EU129" i="23916"/>
  <c r="EU133" i="23916" s="1"/>
  <c r="EV127" i="23916"/>
  <c r="EU130" i="23916"/>
  <c r="EU131" i="23916"/>
  <c r="GI478" i="23916"/>
  <c r="GK478" i="23916"/>
  <c r="AC14" i="23920"/>
  <c r="AB12" i="23920"/>
  <c r="AP17" i="24103"/>
  <c r="AO17" i="24103"/>
  <c r="AC13" i="24103"/>
  <c r="AB13" i="24103"/>
  <c r="AA15" i="24103"/>
  <c r="Z15" i="24103"/>
  <c r="AG17" i="23920"/>
  <c r="AF17" i="23920"/>
  <c r="AE13" i="23920"/>
  <c r="AD13" i="23920"/>
  <c r="AC12" i="24103"/>
  <c r="AB15" i="24103"/>
  <c r="AE14" i="23920"/>
  <c r="AE12" i="24103"/>
  <c r="AE14" i="24103"/>
  <c r="AC13" i="23920"/>
  <c r="AB13" i="23920"/>
  <c r="AG17" i="24103"/>
  <c r="AF17" i="24103"/>
  <c r="AX40" i="24103"/>
  <c r="AX49" i="23920"/>
  <c r="AE13" i="24103"/>
  <c r="AD13" i="24103"/>
  <c r="AE12" i="23920"/>
  <c r="AD12" i="23920"/>
  <c r="AD12" i="24103"/>
  <c r="ES472" i="23916" l="1"/>
  <c r="ES471" i="23916"/>
  <c r="ET388" i="23916"/>
  <c r="ES847" i="23916"/>
  <c r="ET158" i="23916"/>
  <c r="EU135" i="23916"/>
  <c r="EV133" i="23916"/>
  <c r="EW127" i="23916"/>
  <c r="ES469" i="23916"/>
  <c r="ES470" i="23916"/>
  <c r="ET398" i="23916"/>
  <c r="ET147" i="23916"/>
  <c r="EU143" i="23916"/>
  <c r="ES809" i="23916"/>
  <c r="ES155" i="23916"/>
  <c r="ET155" i="23916" s="1"/>
  <c r="EV480" i="23916"/>
  <c r="EU482" i="23916"/>
  <c r="EV482" i="23916" s="1"/>
  <c r="EW480" i="23916"/>
  <c r="EU453" i="23916"/>
  <c r="ES459" i="23916"/>
  <c r="ET459" i="23916" s="1"/>
  <c r="ET458" i="23916"/>
  <c r="DP138" i="23916"/>
  <c r="DX138" i="23916"/>
  <c r="DR38" i="23916"/>
  <c r="DQ58" i="23916"/>
  <c r="DR58" i="23916" s="1"/>
  <c r="DZ38" i="23916"/>
  <c r="DR43" i="23916"/>
  <c r="DZ43" i="23916"/>
  <c r="ES466" i="23916"/>
  <c r="ET466" i="23916" s="1"/>
  <c r="GR789" i="23916"/>
  <c r="GS789" i="23916" s="1"/>
  <c r="GS687" i="23916"/>
  <c r="DL753" i="23916"/>
  <c r="DT753" i="23916"/>
  <c r="DN760" i="23916"/>
  <c r="DV760" i="23916"/>
  <c r="DN761" i="23916"/>
  <c r="DV761" i="23916"/>
  <c r="ES154" i="23916"/>
  <c r="ET146" i="23916"/>
  <c r="DQ397" i="23916"/>
  <c r="DR392" i="23916"/>
  <c r="DQ398" i="23916"/>
  <c r="DZ392" i="23916"/>
  <c r="DN480" i="23916"/>
  <c r="DM482" i="23916"/>
  <c r="DV480" i="23916"/>
  <c r="FM135" i="23916"/>
  <c r="FL170" i="23916"/>
  <c r="FM170" i="23916" s="1"/>
  <c r="FL169" i="23916"/>
  <c r="FL167" i="23916"/>
  <c r="FM167" i="23916" s="1"/>
  <c r="GI734" i="23916"/>
  <c r="GK734" i="23916"/>
  <c r="GH745" i="23916"/>
  <c r="BO809" i="23916"/>
  <c r="BO808" i="23916" s="1"/>
  <c r="BO155" i="23916"/>
  <c r="BP133" i="23916"/>
  <c r="BQ127" i="23916"/>
  <c r="BX133" i="23916"/>
  <c r="DL766" i="23916"/>
  <c r="DT766" i="23916"/>
  <c r="DN148" i="23916"/>
  <c r="DV148" i="23916"/>
  <c r="DM167" i="23916"/>
  <c r="DO143" i="23916"/>
  <c r="DN147" i="23916"/>
  <c r="DV147" i="23916"/>
  <c r="DM155" i="23916"/>
  <c r="DM809" i="23916"/>
  <c r="DM808" i="23916" s="1"/>
  <c r="DR51" i="23916"/>
  <c r="DS46" i="23916"/>
  <c r="EQ476" i="23916"/>
  <c r="ER475" i="23916"/>
  <c r="GG751" i="23916"/>
  <c r="GI751" i="23916"/>
  <c r="GG756" i="23916"/>
  <c r="GI756" i="23916"/>
  <c r="DP431" i="23916"/>
  <c r="DO432" i="23916"/>
  <c r="DX431" i="23916"/>
  <c r="EV131" i="23916"/>
  <c r="EV129" i="23916"/>
  <c r="EQ62" i="23916"/>
  <c r="EQ64" i="23916"/>
  <c r="ER39" i="23916"/>
  <c r="EQ63" i="23916"/>
  <c r="DP133" i="23916"/>
  <c r="DQ127" i="23916"/>
  <c r="DX133" i="23916"/>
  <c r="DP438" i="23916"/>
  <c r="DO449" i="23916"/>
  <c r="DO444" i="23916"/>
  <c r="DO445" i="23916"/>
  <c r="DX438" i="23916"/>
  <c r="CI415" i="23916"/>
  <c r="CJ412" i="23916"/>
  <c r="CR412" i="23916"/>
  <c r="DR39" i="23916"/>
  <c r="DQ73" i="23916"/>
  <c r="DQ72" i="23916"/>
  <c r="DQ70" i="23916"/>
  <c r="DR70" i="23916" s="1"/>
  <c r="DZ39" i="23916"/>
  <c r="AI135" i="23916"/>
  <c r="AJ133" i="23916"/>
  <c r="AK127" i="23916"/>
  <c r="AR133" i="23916"/>
  <c r="GV686" i="23916"/>
  <c r="GT687" i="23916"/>
  <c r="CI434" i="23916"/>
  <c r="CJ411" i="23916"/>
  <c r="CK405" i="23916"/>
  <c r="CR411" i="23916"/>
  <c r="DL751" i="23916"/>
  <c r="DT751" i="23916"/>
  <c r="DL754" i="23916"/>
  <c r="DT754" i="23916"/>
  <c r="DN762" i="23916"/>
  <c r="DV762" i="23916"/>
  <c r="GI482" i="23916"/>
  <c r="GK482" i="23916"/>
  <c r="DP74" i="23916"/>
  <c r="DX74" i="23916"/>
  <c r="DO411" i="23916"/>
  <c r="DX405" i="23916"/>
  <c r="DP405" i="23916"/>
  <c r="DO416" i="23916"/>
  <c r="DO412" i="23916"/>
  <c r="EX43" i="23916"/>
  <c r="DN464" i="23916"/>
  <c r="DV464" i="23916"/>
  <c r="DN478" i="23916"/>
  <c r="DV478" i="23916"/>
  <c r="DN481" i="23916"/>
  <c r="DV481" i="23916"/>
  <c r="BQ143" i="23916"/>
  <c r="BP147" i="23916"/>
  <c r="BX147" i="23916"/>
  <c r="FN133" i="23916"/>
  <c r="FO127" i="23916"/>
  <c r="FN137" i="23916"/>
  <c r="FO137" i="23916" s="1"/>
  <c r="FN138" i="23916"/>
  <c r="FO138" i="23916" s="1"/>
  <c r="GG734" i="23916"/>
  <c r="GF745" i="23916"/>
  <c r="GG745" i="23916" s="1"/>
  <c r="ET384" i="23916"/>
  <c r="ES828" i="23916"/>
  <c r="CK481" i="23916"/>
  <c r="CK480" i="23916"/>
  <c r="CL388" i="23916"/>
  <c r="CT388" i="23916"/>
  <c r="CK478" i="23916"/>
  <c r="BP137" i="23916"/>
  <c r="BX137" i="23916"/>
  <c r="BO169" i="23916"/>
  <c r="BO167" i="23916"/>
  <c r="BO170" i="23916"/>
  <c r="BP135" i="23916"/>
  <c r="BX135" i="23916"/>
  <c r="EX407" i="23916"/>
  <c r="GP407" i="23916"/>
  <c r="GP409" i="23916"/>
  <c r="GP417" i="23916" s="1"/>
  <c r="DQ71" i="23916"/>
  <c r="DR52" i="23916"/>
  <c r="DJ745" i="23916"/>
  <c r="DR745" i="23916"/>
  <c r="ES825" i="23916"/>
  <c r="ET461" i="23916"/>
  <c r="GG735" i="23916"/>
  <c r="GF742" i="23916"/>
  <c r="GG742" i="23916" s="1"/>
  <c r="GF743" i="23916"/>
  <c r="GF744" i="23916"/>
  <c r="GG744" i="23916" s="1"/>
  <c r="GF842" i="23916"/>
  <c r="GG753" i="23916"/>
  <c r="GI753" i="23916"/>
  <c r="DJ742" i="23916"/>
  <c r="DR742" i="23916"/>
  <c r="EU422" i="23916"/>
  <c r="EV420" i="23916"/>
  <c r="EU423" i="23916"/>
  <c r="EV130" i="23916"/>
  <c r="EU140" i="23916"/>
  <c r="AC148" i="23916"/>
  <c r="AD147" i="23916"/>
  <c r="AE143" i="23916"/>
  <c r="AC155" i="23916"/>
  <c r="AD155" i="23916" s="1"/>
  <c r="DO463" i="23916"/>
  <c r="DO459" i="23916"/>
  <c r="DO458" i="23916"/>
  <c r="DP453" i="23916"/>
  <c r="DO462" i="23916"/>
  <c r="DX453" i="23916"/>
  <c r="ET387" i="23916"/>
  <c r="EU381" i="23916"/>
  <c r="GG766" i="23916"/>
  <c r="GI766" i="23916"/>
  <c r="ET394" i="23916"/>
  <c r="DO387" i="23916"/>
  <c r="DP381" i="23916"/>
  <c r="DO388" i="23916"/>
  <c r="DX381" i="23916"/>
  <c r="ET32" i="23916"/>
  <c r="ES34" i="23916"/>
  <c r="ES36" i="23916"/>
  <c r="ES35" i="23916"/>
  <c r="DO169" i="23916"/>
  <c r="DO170" i="23916"/>
  <c r="DP135" i="23916"/>
  <c r="DX135" i="23916"/>
  <c r="DN466" i="23916"/>
  <c r="DV466" i="23916"/>
  <c r="DN171" i="23916"/>
  <c r="DV171" i="23916"/>
  <c r="DR41" i="23916"/>
  <c r="DZ41" i="23916"/>
  <c r="AJ137" i="23916"/>
  <c r="AR137" i="23916"/>
  <c r="EV438" i="23916"/>
  <c r="EU442" i="23916"/>
  <c r="EU441" i="23916"/>
  <c r="EU440" i="23916"/>
  <c r="EU445" i="23916" s="1"/>
  <c r="EV445" i="23916" s="1"/>
  <c r="CJ466" i="23916"/>
  <c r="CR466" i="23916"/>
  <c r="DL752" i="23916"/>
  <c r="DT752" i="23916"/>
  <c r="DL750" i="23916"/>
  <c r="DT750" i="23916"/>
  <c r="DM766" i="23916"/>
  <c r="DM734" i="23916"/>
  <c r="DV731" i="23916"/>
  <c r="DN731" i="23916"/>
  <c r="DO734" i="23916"/>
  <c r="DN727" i="23916"/>
  <c r="DV727" i="23916"/>
  <c r="ET145" i="23916"/>
  <c r="ES151" i="23916"/>
  <c r="ET151" i="23916" s="1"/>
  <c r="ET148" i="23916"/>
  <c r="EW71" i="23916"/>
  <c r="EX71" i="23916" s="1"/>
  <c r="EV71" i="23916"/>
  <c r="BP138" i="23916"/>
  <c r="BX138" i="23916"/>
  <c r="DL734" i="23916"/>
  <c r="DT734" i="23916"/>
  <c r="DK745" i="23916"/>
  <c r="DN150" i="23916"/>
  <c r="DV150" i="23916"/>
  <c r="EX408" i="23916"/>
  <c r="EW414" i="23916"/>
  <c r="GP408" i="23916"/>
  <c r="EW412" i="23916"/>
  <c r="EX412" i="23916" s="1"/>
  <c r="BN171" i="23916"/>
  <c r="BV171" i="23916"/>
  <c r="AG171" i="23916"/>
  <c r="AH169" i="23916"/>
  <c r="AP169" i="23916"/>
  <c r="GG752" i="23916"/>
  <c r="GI752" i="23916"/>
  <c r="GG750" i="23916"/>
  <c r="GI750" i="23916"/>
  <c r="GG754" i="23916"/>
  <c r="GI754" i="23916"/>
  <c r="DP425" i="23916"/>
  <c r="DQ420" i="23916"/>
  <c r="DX425" i="23916"/>
  <c r="GA386" i="23916"/>
  <c r="GC386" i="23916"/>
  <c r="FZ387" i="23916"/>
  <c r="CJ448" i="23916"/>
  <c r="CR448" i="23916"/>
  <c r="DN415" i="23916"/>
  <c r="DV415" i="23916"/>
  <c r="EU74" i="23916"/>
  <c r="EV74" i="23916" s="1"/>
  <c r="EW72" i="23916"/>
  <c r="EV72" i="23916"/>
  <c r="DN401" i="23916"/>
  <c r="DV401" i="23916"/>
  <c r="EV152" i="23916"/>
  <c r="EW152" i="23916"/>
  <c r="EX152" i="23916" s="1"/>
  <c r="DP137" i="23916"/>
  <c r="DX137" i="23916"/>
  <c r="ER175" i="23916"/>
  <c r="EQ598" i="23916"/>
  <c r="EQ174" i="23916"/>
  <c r="EQ177" i="23916"/>
  <c r="ER165" i="23916"/>
  <c r="DR42" i="23916"/>
  <c r="DZ42" i="23916"/>
  <c r="DP479" i="23916"/>
  <c r="DX479" i="23916"/>
  <c r="EX41" i="23916"/>
  <c r="AJ138" i="23916"/>
  <c r="AR138" i="23916"/>
  <c r="CL401" i="23916"/>
  <c r="CT401" i="23916"/>
  <c r="CL438" i="23916"/>
  <c r="CK449" i="23916"/>
  <c r="CK443" i="23916"/>
  <c r="CT438" i="23916"/>
  <c r="DL749" i="23916"/>
  <c r="DT749" i="23916"/>
  <c r="DL735" i="23916"/>
  <c r="DT735" i="23916"/>
  <c r="DK742" i="23916"/>
  <c r="DK743" i="23916"/>
  <c r="DT743" i="23916" s="1"/>
  <c r="DK744" i="23916"/>
  <c r="DK842" i="23916"/>
  <c r="DL756" i="23916"/>
  <c r="DT756" i="23916"/>
  <c r="DM754" i="23916"/>
  <c r="DM753" i="23916"/>
  <c r="DM750" i="23916"/>
  <c r="DM756" i="23916"/>
  <c r="DM735" i="23916"/>
  <c r="DN733" i="23916"/>
  <c r="DM711" i="23916"/>
  <c r="DV733" i="23916"/>
  <c r="DO735" i="23916"/>
  <c r="DM751" i="23916"/>
  <c r="DM749" i="23916"/>
  <c r="DM752" i="23916"/>
  <c r="DN736" i="23916"/>
  <c r="DV736" i="23916"/>
  <c r="EX42" i="23916"/>
  <c r="ES162" i="23916"/>
  <c r="ET162" i="23916" s="1"/>
  <c r="ES161" i="23916"/>
  <c r="ET160" i="23916"/>
  <c r="ES164" i="23916"/>
  <c r="DN434" i="23916"/>
  <c r="DV434" i="23916"/>
  <c r="EW481" i="23916"/>
  <c r="EX481" i="23916" s="1"/>
  <c r="EV481" i="23916"/>
  <c r="GP719" i="23916"/>
  <c r="GQ719" i="23916" s="1"/>
  <c r="GQ718" i="23916"/>
  <c r="GR718" i="23916"/>
  <c r="ET395" i="23916"/>
  <c r="ES400" i="23916"/>
  <c r="ET400" i="23916" s="1"/>
  <c r="BP148" i="23916"/>
  <c r="BX148" i="23916"/>
  <c r="ES397" i="23916"/>
  <c r="DN448" i="23916"/>
  <c r="DV448" i="23916"/>
  <c r="DN151" i="23916"/>
  <c r="DM152" i="23916"/>
  <c r="DV151" i="23916"/>
  <c r="EX411" i="23916"/>
  <c r="DQ56" i="23916"/>
  <c r="DR56" i="23916" s="1"/>
  <c r="DR55" i="23916"/>
  <c r="AH170" i="23916"/>
  <c r="AP170" i="23916"/>
  <c r="GG749" i="23916"/>
  <c r="GI749" i="23916"/>
  <c r="GI735" i="23916"/>
  <c r="GK735" i="23916"/>
  <c r="GH742" i="23916"/>
  <c r="GH842" i="23916"/>
  <c r="GH744" i="23916"/>
  <c r="GH743" i="23916"/>
  <c r="DJ744" i="23916"/>
  <c r="DR744" i="23916"/>
  <c r="DP426" i="23916"/>
  <c r="DX426" i="23916"/>
  <c r="DP430" i="23916"/>
  <c r="DX430" i="23916"/>
  <c r="AB15" i="23920"/>
  <c r="AP12" i="24103"/>
  <c r="AF14" i="23920"/>
  <c r="AF12" i="24103"/>
  <c r="AG12" i="23920"/>
  <c r="AF12" i="23920"/>
  <c r="AE15" i="24103"/>
  <c r="AG14" i="24103"/>
  <c r="AF14" i="24103"/>
  <c r="AP17" i="23920"/>
  <c r="AO17" i="23920"/>
  <c r="AO14" i="23920"/>
  <c r="AP13" i="23920"/>
  <c r="AC15" i="24103"/>
  <c r="AO12" i="24103"/>
  <c r="AG12" i="24103"/>
  <c r="AD15" i="24103"/>
  <c r="AD15" i="23920"/>
  <c r="DP735" i="23916" l="1"/>
  <c r="DX735" i="23916"/>
  <c r="DO742" i="23916"/>
  <c r="DO744" i="23916"/>
  <c r="DO842" i="23916"/>
  <c r="DO743" i="23916"/>
  <c r="DN735" i="23916"/>
  <c r="DV735" i="23916"/>
  <c r="DM742" i="23916"/>
  <c r="DM743" i="23916"/>
  <c r="DM744" i="23916"/>
  <c r="DM842" i="23916"/>
  <c r="DN754" i="23916"/>
  <c r="DV754" i="23916"/>
  <c r="DL744" i="23916"/>
  <c r="DT744" i="23916"/>
  <c r="CT443" i="23916"/>
  <c r="CL443" i="23916"/>
  <c r="FZ443" i="23916"/>
  <c r="ER177" i="23916"/>
  <c r="DO171" i="23916"/>
  <c r="DP169" i="23916"/>
  <c r="DX169" i="23916"/>
  <c r="DO480" i="23916"/>
  <c r="DO481" i="23916"/>
  <c r="DP388" i="23916"/>
  <c r="DX388" i="23916"/>
  <c r="DO478" i="23916"/>
  <c r="EV423" i="23916"/>
  <c r="EU428" i="23916"/>
  <c r="EV428" i="23916" s="1"/>
  <c r="GR417" i="23916"/>
  <c r="GQ417" i="23916"/>
  <c r="BP167" i="23916"/>
  <c r="BX167" i="23916"/>
  <c r="CL478" i="23916"/>
  <c r="CT478" i="23916"/>
  <c r="CL481" i="23916"/>
  <c r="CT481" i="23916"/>
  <c r="BQ147" i="23916"/>
  <c r="BQ151" i="23916"/>
  <c r="BQ152" i="23916" s="1"/>
  <c r="BR143" i="23916"/>
  <c r="BQ150" i="23916"/>
  <c r="BQ148" i="23916"/>
  <c r="BZ143" i="23916"/>
  <c r="CJ434" i="23916"/>
  <c r="CR434" i="23916"/>
  <c r="AK138" i="23916"/>
  <c r="AK137" i="23916"/>
  <c r="AK133" i="23916"/>
  <c r="AL127" i="23916"/>
  <c r="AT127" i="23916"/>
  <c r="ER64" i="23916"/>
  <c r="DP432" i="23916"/>
  <c r="DX432" i="23916"/>
  <c r="DN155" i="23916"/>
  <c r="DV155" i="23916"/>
  <c r="DN167" i="23916"/>
  <c r="DV167" i="23916"/>
  <c r="BO838" i="23916"/>
  <c r="BO839" i="23916" s="1"/>
  <c r="BO840" i="23916" s="1"/>
  <c r="BP155" i="23916"/>
  <c r="BX155" i="23916"/>
  <c r="EV143" i="23916"/>
  <c r="EU148" i="23916"/>
  <c r="EU146" i="23916"/>
  <c r="EU145" i="23916"/>
  <c r="EU147" i="23916" s="1"/>
  <c r="ES846" i="23916"/>
  <c r="ET469" i="23916"/>
  <c r="GI742" i="23916"/>
  <c r="GK742" i="23916"/>
  <c r="DN152" i="23916"/>
  <c r="DV152" i="23916"/>
  <c r="EU392" i="23916"/>
  <c r="ET397" i="23916"/>
  <c r="GR719" i="23916"/>
  <c r="GS719" i="23916" s="1"/>
  <c r="GT718" i="23916"/>
  <c r="GS718" i="23916"/>
  <c r="ET164" i="23916"/>
  <c r="ES165" i="23916"/>
  <c r="DN752" i="23916"/>
  <c r="DV752" i="23916"/>
  <c r="DN756" i="23916"/>
  <c r="DV756" i="23916"/>
  <c r="CK444" i="23916"/>
  <c r="ER174" i="23916"/>
  <c r="EQ176" i="23916"/>
  <c r="FZ401" i="23916"/>
  <c r="GA387" i="23916"/>
  <c r="GC387" i="23916"/>
  <c r="FZ388" i="23916"/>
  <c r="DQ426" i="23916"/>
  <c r="DR420" i="23916"/>
  <c r="DQ430" i="23916"/>
  <c r="DQ425" i="23916"/>
  <c r="DQ431" i="23916"/>
  <c r="DZ420" i="23916"/>
  <c r="DL745" i="23916"/>
  <c r="DT745" i="23916"/>
  <c r="EU385" i="23916"/>
  <c r="ET35" i="23916"/>
  <c r="ES38" i="23916"/>
  <c r="ES401" i="23916"/>
  <c r="ET401" i="23916" s="1"/>
  <c r="DP458" i="23916"/>
  <c r="DQ453" i="23916"/>
  <c r="DX458" i="23916"/>
  <c r="AE151" i="23916"/>
  <c r="AE147" i="23916"/>
  <c r="AN143" i="23916"/>
  <c r="AF143" i="23916"/>
  <c r="AE150" i="23916"/>
  <c r="EU826" i="23916"/>
  <c r="EV140" i="23916"/>
  <c r="BO171" i="23916"/>
  <c r="BP169" i="23916"/>
  <c r="BX169" i="23916"/>
  <c r="FN809" i="23916"/>
  <c r="FN808" i="23916" s="1"/>
  <c r="FN155" i="23916"/>
  <c r="FO155" i="23916" s="1"/>
  <c r="FN135" i="23916"/>
  <c r="FO133" i="23916"/>
  <c r="FP127" i="23916"/>
  <c r="GT789" i="23916"/>
  <c r="GU687" i="23916"/>
  <c r="DP445" i="23916"/>
  <c r="DO448" i="23916"/>
  <c r="DX445" i="23916"/>
  <c r="GJ46" i="23916"/>
  <c r="DS54" i="23916"/>
  <c r="DT54" i="23916" s="1"/>
  <c r="DT46" i="23916"/>
  <c r="DS55" i="23916"/>
  <c r="DS52" i="23916"/>
  <c r="DS51" i="23916"/>
  <c r="DQ479" i="23916"/>
  <c r="DR398" i="23916"/>
  <c r="DZ398" i="23916"/>
  <c r="EX127" i="23916"/>
  <c r="EW130" i="23916"/>
  <c r="EW129" i="23916"/>
  <c r="EW133" i="23916" s="1"/>
  <c r="EW131" i="23916"/>
  <c r="DN749" i="23916"/>
  <c r="DV749" i="23916"/>
  <c r="DN750" i="23916"/>
  <c r="DV750" i="23916"/>
  <c r="DL742" i="23916"/>
  <c r="DT742" i="23916"/>
  <c r="CL449" i="23916"/>
  <c r="CT449" i="23916"/>
  <c r="EQ863" i="23916"/>
  <c r="ER598" i="23916"/>
  <c r="DN734" i="23916"/>
  <c r="DV734" i="23916"/>
  <c r="DM745" i="23916"/>
  <c r="EV440" i="23916"/>
  <c r="EU383" i="23916"/>
  <c r="EU444" i="23916"/>
  <c r="DP170" i="23916"/>
  <c r="DX170" i="23916"/>
  <c r="ET36" i="23916"/>
  <c r="DP387" i="23916"/>
  <c r="DQ381" i="23916"/>
  <c r="DO401" i="23916"/>
  <c r="DX387" i="23916"/>
  <c r="DP459" i="23916"/>
  <c r="DX459" i="23916"/>
  <c r="EU431" i="23916"/>
  <c r="EV431" i="23916" s="1"/>
  <c r="EV422" i="23916"/>
  <c r="GQ407" i="23916"/>
  <c r="GP415" i="23916"/>
  <c r="GP411" i="23916"/>
  <c r="DO415" i="23916"/>
  <c r="DP412" i="23916"/>
  <c r="DX412" i="23916"/>
  <c r="DO434" i="23916"/>
  <c r="DP411" i="23916"/>
  <c r="DQ405" i="23916"/>
  <c r="DX411" i="23916"/>
  <c r="CK416" i="23916"/>
  <c r="CK410" i="23916"/>
  <c r="CL405" i="23916"/>
  <c r="CK411" i="23916"/>
  <c r="CT405" i="23916"/>
  <c r="GX686" i="23916"/>
  <c r="GX687" i="23916" s="1"/>
  <c r="GV687" i="23916"/>
  <c r="AI169" i="23916"/>
  <c r="AI170" i="23916"/>
  <c r="AJ135" i="23916"/>
  <c r="AR135" i="23916"/>
  <c r="DQ74" i="23916"/>
  <c r="DR72" i="23916"/>
  <c r="DZ72" i="23916"/>
  <c r="DP444" i="23916"/>
  <c r="DO466" i="23916"/>
  <c r="DQ438" i="23916"/>
  <c r="DX444" i="23916"/>
  <c r="DQ138" i="23916"/>
  <c r="DQ137" i="23916"/>
  <c r="DQ135" i="23916"/>
  <c r="DQ133" i="23916"/>
  <c r="DR127" i="23916"/>
  <c r="DZ127" i="23916"/>
  <c r="EQ65" i="23916"/>
  <c r="ER65" i="23916" s="1"/>
  <c r="ER63" i="23916"/>
  <c r="EQ592" i="23916"/>
  <c r="ER62" i="23916"/>
  <c r="EQ97" i="23916"/>
  <c r="EQ591" i="23916"/>
  <c r="BQ138" i="23916"/>
  <c r="BQ137" i="23916"/>
  <c r="BQ135" i="23916"/>
  <c r="BQ133" i="23916"/>
  <c r="BR127" i="23916"/>
  <c r="BZ127" i="23916"/>
  <c r="GI745" i="23916"/>
  <c r="GK745" i="23916"/>
  <c r="FL171" i="23916"/>
  <c r="FM171" i="23916" s="1"/>
  <c r="FM169" i="23916"/>
  <c r="DN482" i="23916"/>
  <c r="DV482" i="23916"/>
  <c r="ET154" i="23916"/>
  <c r="ES783" i="23916"/>
  <c r="EU456" i="23916"/>
  <c r="EU395" i="23916" s="1"/>
  <c r="EU455" i="23916"/>
  <c r="EV453" i="23916"/>
  <c r="ES473" i="23916"/>
  <c r="ET473" i="23916" s="1"/>
  <c r="ET471" i="23916"/>
  <c r="ES475" i="23916"/>
  <c r="GI743" i="23916"/>
  <c r="GK743" i="23916"/>
  <c r="GI744" i="23916"/>
  <c r="GK744" i="23916"/>
  <c r="ET161" i="23916"/>
  <c r="ES175" i="23916"/>
  <c r="DN751" i="23916"/>
  <c r="DV751" i="23916"/>
  <c r="DN753" i="23916"/>
  <c r="DV753" i="23916"/>
  <c r="CK445" i="23916"/>
  <c r="EX72" i="23916"/>
  <c r="EW74" i="23916"/>
  <c r="EX74" i="23916" s="1"/>
  <c r="AH171" i="23916"/>
  <c r="AP171" i="23916"/>
  <c r="GP416" i="23916"/>
  <c r="GQ408" i="23916"/>
  <c r="GP414" i="23916"/>
  <c r="DP734" i="23916"/>
  <c r="DX734" i="23916"/>
  <c r="DO745" i="23916"/>
  <c r="DN766" i="23916"/>
  <c r="DV766" i="23916"/>
  <c r="EV441" i="23916"/>
  <c r="EU447" i="23916"/>
  <c r="EU824" i="23916" s="1"/>
  <c r="EU384" i="23916"/>
  <c r="ET34" i="23916"/>
  <c r="EU387" i="23916"/>
  <c r="EV381" i="23916"/>
  <c r="EU388" i="23916"/>
  <c r="DP462" i="23916"/>
  <c r="DX462" i="23916"/>
  <c r="DO464" i="23916"/>
  <c r="DP463" i="23916"/>
  <c r="DX463" i="23916"/>
  <c r="AD148" i="23916"/>
  <c r="AC167" i="23916"/>
  <c r="AD167" i="23916" s="1"/>
  <c r="EU425" i="23916"/>
  <c r="DR71" i="23916"/>
  <c r="DZ71" i="23916"/>
  <c r="BP170" i="23916"/>
  <c r="BX170" i="23916"/>
  <c r="CL480" i="23916"/>
  <c r="CK482" i="23916"/>
  <c r="CT480" i="23916"/>
  <c r="DX416" i="23916"/>
  <c r="DP416" i="23916"/>
  <c r="DR73" i="23916"/>
  <c r="DZ73" i="23916"/>
  <c r="CJ415" i="23916"/>
  <c r="CR415" i="23916"/>
  <c r="DP449" i="23916"/>
  <c r="DX449" i="23916"/>
  <c r="EQ487" i="23916"/>
  <c r="EQ488" i="23916"/>
  <c r="ER476" i="23916"/>
  <c r="DO150" i="23916"/>
  <c r="DO147" i="23916"/>
  <c r="DP143" i="23916"/>
  <c r="DO151" i="23916"/>
  <c r="DO148" i="23916"/>
  <c r="DX143" i="23916"/>
  <c r="DR397" i="23916"/>
  <c r="DZ397" i="23916"/>
  <c r="EW482" i="23916"/>
  <c r="EX482" i="23916" s="1"/>
  <c r="EX480" i="23916"/>
  <c r="ET470" i="23916"/>
  <c r="EU158" i="23916"/>
  <c r="EV135" i="23916"/>
  <c r="EU160" i="23916"/>
  <c r="ET472" i="23916"/>
  <c r="AB10" i="23920"/>
  <c r="AG14" i="23920"/>
  <c r="AO13" i="23920"/>
  <c r="AG15" i="24103"/>
  <c r="AF15" i="24103"/>
  <c r="AW53" i="24103"/>
  <c r="AW62" i="23920"/>
  <c r="AG13" i="23920"/>
  <c r="AF13" i="23920"/>
  <c r="AF15" i="23920" s="1"/>
  <c r="AC10" i="23920"/>
  <c r="AP14" i="23920"/>
  <c r="AG13" i="24103"/>
  <c r="AF13" i="24103"/>
  <c r="AC10" i="24103"/>
  <c r="AP14" i="24103"/>
  <c r="AO14" i="24103"/>
  <c r="AB10" i="24103"/>
  <c r="AP12" i="23920"/>
  <c r="AO12" i="23920"/>
  <c r="EV395" i="23916" l="1"/>
  <c r="EU400" i="23916"/>
  <c r="EV400" i="23916" s="1"/>
  <c r="EV147" i="23916"/>
  <c r="EW143" i="23916"/>
  <c r="EU809" i="23916"/>
  <c r="EU155" i="23916"/>
  <c r="EV155" i="23916" s="1"/>
  <c r="EW135" i="23916"/>
  <c r="EX133" i="23916"/>
  <c r="EV160" i="23916"/>
  <c r="EU162" i="23916"/>
  <c r="EV162" i="23916" s="1"/>
  <c r="EU164" i="23916"/>
  <c r="EU161" i="23916"/>
  <c r="DO152" i="23916"/>
  <c r="DP151" i="23916"/>
  <c r="DX151" i="23916"/>
  <c r="CL482" i="23916"/>
  <c r="CT482" i="23916"/>
  <c r="EV387" i="23916"/>
  <c r="EW381" i="23916"/>
  <c r="EV384" i="23916"/>
  <c r="EU828" i="23916"/>
  <c r="ET475" i="23916"/>
  <c r="ES476" i="23916"/>
  <c r="BR137" i="23916"/>
  <c r="BZ137" i="23916"/>
  <c r="DR133" i="23916"/>
  <c r="DZ133" i="23916"/>
  <c r="GV789" i="23916"/>
  <c r="GW687" i="23916"/>
  <c r="GR415" i="23916"/>
  <c r="GQ415" i="23916"/>
  <c r="EV444" i="23916"/>
  <c r="EW438" i="23916"/>
  <c r="DN745" i="23916"/>
  <c r="DV745" i="23916"/>
  <c r="DT52" i="23916"/>
  <c r="DS70" i="23916"/>
  <c r="DT70" i="23916" s="1"/>
  <c r="GJ55" i="23916"/>
  <c r="GK55" i="23916" s="1"/>
  <c r="GJ51" i="23916"/>
  <c r="GJ52" i="23916" s="1"/>
  <c r="GK46" i="23916"/>
  <c r="GJ54" i="23916"/>
  <c r="GK54" i="23916" s="1"/>
  <c r="DQ458" i="23916"/>
  <c r="DQ462" i="23916"/>
  <c r="DQ463" i="23916"/>
  <c r="DQ459" i="23916"/>
  <c r="DR453" i="23916"/>
  <c r="DZ453" i="23916"/>
  <c r="DR425" i="23916"/>
  <c r="DZ425" i="23916"/>
  <c r="GA388" i="23916"/>
  <c r="FZ481" i="23916"/>
  <c r="FZ480" i="23916"/>
  <c r="GC388" i="23916"/>
  <c r="FZ478" i="23916"/>
  <c r="EQ180" i="23916"/>
  <c r="ER176" i="23916"/>
  <c r="AK135" i="23916"/>
  <c r="AL133" i="23916"/>
  <c r="AM135" i="23916"/>
  <c r="AT133" i="23916"/>
  <c r="DP744" i="23916"/>
  <c r="DX744" i="23916"/>
  <c r="ER488" i="23916"/>
  <c r="DP745" i="23916"/>
  <c r="DX745" i="23916"/>
  <c r="ET175" i="23916"/>
  <c r="EU463" i="23916"/>
  <c r="EV463" i="23916" s="1"/>
  <c r="EV455" i="23916"/>
  <c r="BR138" i="23916"/>
  <c r="BZ138" i="23916"/>
  <c r="DQ170" i="23916"/>
  <c r="DQ169" i="23916"/>
  <c r="GH135" i="23916"/>
  <c r="DR135" i="23916"/>
  <c r="DZ135" i="23916"/>
  <c r="DR438" i="23916"/>
  <c r="DQ445" i="23916"/>
  <c r="DQ449" i="23916"/>
  <c r="DQ444" i="23916"/>
  <c r="DZ438" i="23916"/>
  <c r="AJ170" i="23916"/>
  <c r="AR170" i="23916"/>
  <c r="GX789" i="23916"/>
  <c r="GZ687" i="23916"/>
  <c r="GY687" i="23916"/>
  <c r="CL410" i="23916"/>
  <c r="CT410" i="23916"/>
  <c r="FZ410" i="23916"/>
  <c r="DQ416" i="23916"/>
  <c r="DQ412" i="23916"/>
  <c r="DR405" i="23916"/>
  <c r="DQ411" i="23916"/>
  <c r="DZ405" i="23916"/>
  <c r="EU394" i="23916"/>
  <c r="DP401" i="23916"/>
  <c r="DX401" i="23916"/>
  <c r="EX130" i="23916"/>
  <c r="EW140" i="23916"/>
  <c r="GP130" i="23916"/>
  <c r="DS56" i="23916"/>
  <c r="DT56" i="23916" s="1"/>
  <c r="DT55" i="23916"/>
  <c r="FO135" i="23916"/>
  <c r="FN170" i="23916"/>
  <c r="FO170" i="23916" s="1"/>
  <c r="FN167" i="23916"/>
  <c r="FO167" i="23916" s="1"/>
  <c r="FN169" i="23916"/>
  <c r="AF147" i="23916"/>
  <c r="AE148" i="23916"/>
  <c r="AG143" i="23916"/>
  <c r="AN147" i="23916"/>
  <c r="AE155" i="23916"/>
  <c r="DR430" i="23916"/>
  <c r="DZ430" i="23916"/>
  <c r="ES177" i="23916"/>
  <c r="ET165" i="23916"/>
  <c r="ES174" i="23916"/>
  <c r="EU398" i="23916"/>
  <c r="EU397" i="23916"/>
  <c r="EU401" i="23916" s="1"/>
  <c r="EV401" i="23916" s="1"/>
  <c r="EV392" i="23916"/>
  <c r="EV148" i="23916"/>
  <c r="AL137" i="23916"/>
  <c r="AT137" i="23916"/>
  <c r="GA443" i="23916"/>
  <c r="GC443" i="23916"/>
  <c r="FZ444" i="23916"/>
  <c r="DN744" i="23916"/>
  <c r="DV744" i="23916"/>
  <c r="DP742" i="23916"/>
  <c r="DX742" i="23916"/>
  <c r="EU847" i="23916"/>
  <c r="EV158" i="23916"/>
  <c r="DP147" i="23916"/>
  <c r="DQ143" i="23916"/>
  <c r="DX147" i="23916"/>
  <c r="DO809" i="23916"/>
  <c r="DO808" i="23916" s="1"/>
  <c r="DO155" i="23916"/>
  <c r="EQ496" i="23916"/>
  <c r="ER496" i="23916" s="1"/>
  <c r="ER487" i="23916"/>
  <c r="EQ492" i="23916"/>
  <c r="EW420" i="23916"/>
  <c r="EU426" i="23916"/>
  <c r="EV426" i="23916" s="1"/>
  <c r="EV425" i="23916"/>
  <c r="EU434" i="23916"/>
  <c r="EV434" i="23916" s="1"/>
  <c r="EU471" i="23916"/>
  <c r="EU472" i="23916"/>
  <c r="EV388" i="23916"/>
  <c r="GR416" i="23916"/>
  <c r="GQ416" i="23916"/>
  <c r="EU458" i="23916"/>
  <c r="BQ809" i="23916"/>
  <c r="BQ808" i="23916" s="1"/>
  <c r="BR133" i="23916"/>
  <c r="BS127" i="23916"/>
  <c r="BQ155" i="23916"/>
  <c r="BZ133" i="23916"/>
  <c r="ER591" i="23916"/>
  <c r="EQ862" i="23916"/>
  <c r="EQ864" i="23916" s="1"/>
  <c r="ER592" i="23916"/>
  <c r="DR137" i="23916"/>
  <c r="DZ137" i="23916"/>
  <c r="DP466" i="23916"/>
  <c r="DX466" i="23916"/>
  <c r="DR74" i="23916"/>
  <c r="DZ74" i="23916"/>
  <c r="CK412" i="23916"/>
  <c r="DP415" i="23916"/>
  <c r="DX415" i="23916"/>
  <c r="DQ388" i="23916"/>
  <c r="DR381" i="23916"/>
  <c r="DQ387" i="23916"/>
  <c r="DZ381" i="23916"/>
  <c r="EV383" i="23916"/>
  <c r="EX131" i="23916"/>
  <c r="GP131" i="23916"/>
  <c r="DR479" i="23916"/>
  <c r="DZ479" i="23916"/>
  <c r="DP448" i="23916"/>
  <c r="DX448" i="23916"/>
  <c r="BP171" i="23916"/>
  <c r="BX171" i="23916"/>
  <c r="GT719" i="23916"/>
  <c r="GU719" i="23916" s="1"/>
  <c r="GU718" i="23916"/>
  <c r="GV718" i="23916"/>
  <c r="EV145" i="23916"/>
  <c r="EU151" i="23916"/>
  <c r="EV151" i="23916" s="1"/>
  <c r="AL138" i="23916"/>
  <c r="AT138" i="23916"/>
  <c r="BR148" i="23916"/>
  <c r="BZ148" i="23916"/>
  <c r="BS143" i="23916"/>
  <c r="BR147" i="23916"/>
  <c r="BZ147" i="23916"/>
  <c r="GS417" i="23916"/>
  <c r="GT417" i="23916"/>
  <c r="DP481" i="23916"/>
  <c r="DX481" i="23916"/>
  <c r="DP171" i="23916"/>
  <c r="DX171" i="23916"/>
  <c r="DN743" i="23916"/>
  <c r="DV743" i="23916"/>
  <c r="DP743" i="23916"/>
  <c r="DX743" i="23916"/>
  <c r="DP148" i="23916"/>
  <c r="DX148" i="23916"/>
  <c r="DO167" i="23916"/>
  <c r="DP150" i="23916"/>
  <c r="DX150" i="23916"/>
  <c r="DP464" i="23916"/>
  <c r="DX464" i="23916"/>
  <c r="CL445" i="23916"/>
  <c r="CK448" i="23916"/>
  <c r="CT445" i="23916"/>
  <c r="EV456" i="23916"/>
  <c r="EU461" i="23916"/>
  <c r="BQ170" i="23916"/>
  <c r="BQ169" i="23916"/>
  <c r="BQ167" i="23916"/>
  <c r="BR135" i="23916"/>
  <c r="BZ135" i="23916"/>
  <c r="DR138" i="23916"/>
  <c r="DZ138" i="23916"/>
  <c r="AI171" i="23916"/>
  <c r="AJ169" i="23916"/>
  <c r="AR169" i="23916"/>
  <c r="CL411" i="23916"/>
  <c r="CK434" i="23916"/>
  <c r="CT411" i="23916"/>
  <c r="CL416" i="23916"/>
  <c r="CT416" i="23916"/>
  <c r="DP434" i="23916"/>
  <c r="DX434" i="23916"/>
  <c r="GR405" i="23916"/>
  <c r="GQ411" i="23916"/>
  <c r="GP412" i="23916"/>
  <c r="GQ412" i="23916" s="1"/>
  <c r="EX129" i="23916"/>
  <c r="GP129" i="23916"/>
  <c r="DU46" i="23916"/>
  <c r="DT51" i="23916"/>
  <c r="DS58" i="23916"/>
  <c r="DT58" i="23916" s="1"/>
  <c r="FP133" i="23916"/>
  <c r="FQ127" i="23916"/>
  <c r="FP138" i="23916"/>
  <c r="FP137" i="23916"/>
  <c r="FS127" i="23916"/>
  <c r="ET38" i="23916"/>
  <c r="EU32" i="23916"/>
  <c r="ES39" i="23916"/>
  <c r="DQ432" i="23916"/>
  <c r="DR431" i="23916"/>
  <c r="DZ431" i="23916"/>
  <c r="DR426" i="23916"/>
  <c r="DZ426" i="23916"/>
  <c r="GA401" i="23916"/>
  <c r="GC401" i="23916"/>
  <c r="CL444" i="23916"/>
  <c r="CK466" i="23916"/>
  <c r="CT444" i="23916"/>
  <c r="EV146" i="23916"/>
  <c r="EU154" i="23916"/>
  <c r="DP478" i="23916"/>
  <c r="DX478" i="23916"/>
  <c r="DP480" i="23916"/>
  <c r="DO482" i="23916"/>
  <c r="DX480" i="23916"/>
  <c r="DN742" i="23916"/>
  <c r="DV742" i="23916"/>
  <c r="AO15" i="23920"/>
  <c r="AP13" i="24103"/>
  <c r="AO13" i="24103"/>
  <c r="AW36" i="23920"/>
  <c r="AD10" i="24103"/>
  <c r="AD10" i="23920"/>
  <c r="AA10" i="23920"/>
  <c r="Z10" i="23920"/>
  <c r="AX62" i="23920"/>
  <c r="AX53" i="24103"/>
  <c r="AP15" i="24103"/>
  <c r="AO15" i="24103"/>
  <c r="AF10" i="24103"/>
  <c r="AF10" i="23920"/>
  <c r="AA10" i="24103"/>
  <c r="Z10" i="24103"/>
  <c r="GK52" i="23916" l="1"/>
  <c r="GJ70" i="23916"/>
  <c r="GK70" i="23916" s="1"/>
  <c r="DU55" i="23916"/>
  <c r="DU52" i="23916"/>
  <c r="DU51" i="23916"/>
  <c r="DV46" i="23916"/>
  <c r="DU54" i="23916"/>
  <c r="DV54" i="23916" s="1"/>
  <c r="CL434" i="23916"/>
  <c r="CT434" i="23916"/>
  <c r="AJ171" i="23916"/>
  <c r="AR171" i="23916"/>
  <c r="ES64" i="23916"/>
  <c r="ET39" i="23916"/>
  <c r="ES63" i="23916"/>
  <c r="ES62" i="23916"/>
  <c r="FP809" i="23916"/>
  <c r="FP808" i="23916" s="1"/>
  <c r="FP155" i="23916"/>
  <c r="FQ133" i="23916"/>
  <c r="FP135" i="23916"/>
  <c r="FR135" i="23916"/>
  <c r="FS133" i="23916"/>
  <c r="GQ129" i="23916"/>
  <c r="GP133" i="23916"/>
  <c r="GR411" i="23916"/>
  <c r="GR412" i="23916" s="1"/>
  <c r="GS412" i="23916" s="1"/>
  <c r="GR409" i="23916"/>
  <c r="GR408" i="23916"/>
  <c r="GS405" i="23916"/>
  <c r="CL448" i="23916"/>
  <c r="CT448" i="23916"/>
  <c r="GV719" i="23916"/>
  <c r="GW719" i="23916" s="1"/>
  <c r="GX718" i="23916"/>
  <c r="GW718" i="23916"/>
  <c r="DQ481" i="23916"/>
  <c r="DQ480" i="23916"/>
  <c r="DR388" i="23916"/>
  <c r="DZ388" i="23916"/>
  <c r="DQ478" i="23916"/>
  <c r="BQ838" i="23916"/>
  <c r="BQ839" i="23916" s="1"/>
  <c r="BQ840" i="23916" s="1"/>
  <c r="BR155" i="23916"/>
  <c r="BZ155" i="23916"/>
  <c r="EU459" i="23916"/>
  <c r="EV459" i="23916" s="1"/>
  <c r="EV458" i="23916"/>
  <c r="EW453" i="23916"/>
  <c r="EV472" i="23916"/>
  <c r="EU470" i="23916"/>
  <c r="EU469" i="23916"/>
  <c r="EV398" i="23916"/>
  <c r="AG151" i="23916"/>
  <c r="AG147" i="23916"/>
  <c r="AG150" i="23916"/>
  <c r="AH143" i="23916"/>
  <c r="AP143" i="23916"/>
  <c r="DR416" i="23916"/>
  <c r="DZ416" i="23916"/>
  <c r="DR449" i="23916"/>
  <c r="DZ449" i="23916"/>
  <c r="DR170" i="23916"/>
  <c r="DZ170" i="23916"/>
  <c r="AM169" i="23916"/>
  <c r="AM170" i="23916"/>
  <c r="AN135" i="23916"/>
  <c r="AV135" i="23916"/>
  <c r="GA480" i="23916"/>
  <c r="FZ482" i="23916"/>
  <c r="GC480" i="23916"/>
  <c r="DQ464" i="23916"/>
  <c r="DR463" i="23916"/>
  <c r="DZ463" i="23916"/>
  <c r="EU466" i="23916"/>
  <c r="EV466" i="23916" s="1"/>
  <c r="GS415" i="23916"/>
  <c r="GT415" i="23916"/>
  <c r="GR407" i="23916"/>
  <c r="EX381" i="23916"/>
  <c r="FQ137" i="23916"/>
  <c r="FS137" i="23916"/>
  <c r="BR167" i="23916"/>
  <c r="BZ167" i="23916"/>
  <c r="EU825" i="23916"/>
  <c r="EV461" i="23916"/>
  <c r="GV417" i="23916"/>
  <c r="GU417" i="23916"/>
  <c r="BS151" i="23916"/>
  <c r="BS152" i="23916" s="1"/>
  <c r="BS150" i="23916"/>
  <c r="BS147" i="23916"/>
  <c r="BT143" i="23916"/>
  <c r="BS148" i="23916"/>
  <c r="CB143" i="23916"/>
  <c r="GP138" i="23916"/>
  <c r="GQ131" i="23916"/>
  <c r="BS135" i="23916"/>
  <c r="BT127" i="23916"/>
  <c r="BS133" i="23916"/>
  <c r="BS138" i="23916"/>
  <c r="BS137" i="23916"/>
  <c r="CB127" i="23916"/>
  <c r="EU473" i="23916"/>
  <c r="EV473" i="23916" s="1"/>
  <c r="EV471" i="23916"/>
  <c r="EU475" i="23916"/>
  <c r="EW423" i="23916"/>
  <c r="EW422" i="23916"/>
  <c r="EW425" i="23916" s="1"/>
  <c r="EX420" i="23916"/>
  <c r="ET174" i="23916"/>
  <c r="ES176" i="23916"/>
  <c r="AF148" i="23916"/>
  <c r="AE167" i="23916"/>
  <c r="AF167" i="23916" s="1"/>
  <c r="GP137" i="23916"/>
  <c r="GQ130" i="23916"/>
  <c r="GP140" i="23916"/>
  <c r="DQ434" i="23916"/>
  <c r="DR411" i="23916"/>
  <c r="DZ411" i="23916"/>
  <c r="GA410" i="23916"/>
  <c r="GC410" i="23916"/>
  <c r="FZ411" i="23916"/>
  <c r="DR445" i="23916"/>
  <c r="DQ448" i="23916"/>
  <c r="DZ445" i="23916"/>
  <c r="GI135" i="23916"/>
  <c r="GH170" i="23916"/>
  <c r="GH167" i="23916"/>
  <c r="GH169" i="23916"/>
  <c r="GK135" i="23916"/>
  <c r="ER180" i="23916"/>
  <c r="EQ187" i="23916"/>
  <c r="GA481" i="23916"/>
  <c r="GC481" i="23916"/>
  <c r="DR462" i="23916"/>
  <c r="DZ462" i="23916"/>
  <c r="EW442" i="23916"/>
  <c r="EX438" i="23916"/>
  <c r="EW441" i="23916"/>
  <c r="EW440" i="23916"/>
  <c r="EW444" i="23916" s="1"/>
  <c r="EU175" i="23916"/>
  <c r="EV161" i="23916"/>
  <c r="DP482" i="23916"/>
  <c r="DX482" i="23916"/>
  <c r="CL466" i="23916"/>
  <c r="CT466" i="23916"/>
  <c r="DR432" i="23916"/>
  <c r="DZ432" i="23916"/>
  <c r="EV32" i="23916"/>
  <c r="EU36" i="23916"/>
  <c r="EU35" i="23916"/>
  <c r="EU34" i="23916"/>
  <c r="FQ138" i="23916"/>
  <c r="FS138" i="23916"/>
  <c r="BQ171" i="23916"/>
  <c r="BR169" i="23916"/>
  <c r="BZ169" i="23916"/>
  <c r="DP167" i="23916"/>
  <c r="DX167" i="23916"/>
  <c r="DQ401" i="23916"/>
  <c r="DR387" i="23916"/>
  <c r="DZ387" i="23916"/>
  <c r="GT416" i="23916"/>
  <c r="GS416" i="23916"/>
  <c r="ER492" i="23916"/>
  <c r="EQ500" i="23916"/>
  <c r="DQ147" i="23916"/>
  <c r="DQ151" i="23916"/>
  <c r="DQ150" i="23916"/>
  <c r="DR143" i="23916"/>
  <c r="DQ148" i="23916"/>
  <c r="DZ143" i="23916"/>
  <c r="AF155" i="23916"/>
  <c r="AN155" i="23916"/>
  <c r="EW826" i="23916"/>
  <c r="EX140" i="23916"/>
  <c r="GA478" i="23916"/>
  <c r="GC478" i="23916"/>
  <c r="DR458" i="23916"/>
  <c r="DZ458" i="23916"/>
  <c r="GK51" i="23916"/>
  <c r="GL46" i="23916"/>
  <c r="GJ58" i="23916"/>
  <c r="GK58" i="23916" s="1"/>
  <c r="EU165" i="23916"/>
  <c r="EV164" i="23916"/>
  <c r="GP135" i="23916"/>
  <c r="GQ135" i="23916" s="1"/>
  <c r="EX135" i="23916"/>
  <c r="EW160" i="23916"/>
  <c r="EV154" i="23916"/>
  <c r="EU783" i="23916"/>
  <c r="BR170" i="23916"/>
  <c r="BZ170" i="23916"/>
  <c r="CL412" i="23916"/>
  <c r="CK415" i="23916"/>
  <c r="CT412" i="23916"/>
  <c r="DP155" i="23916"/>
  <c r="DX155" i="23916"/>
  <c r="GA444" i="23916"/>
  <c r="FZ466" i="23916"/>
  <c r="GC444" i="23916"/>
  <c r="FZ445" i="23916"/>
  <c r="EV397" i="23916"/>
  <c r="EW392" i="23916"/>
  <c r="ET177" i="23916"/>
  <c r="FN171" i="23916"/>
  <c r="FO171" i="23916" s="1"/>
  <c r="FO169" i="23916"/>
  <c r="EV394" i="23916"/>
  <c r="DR412" i="23916"/>
  <c r="DQ415" i="23916"/>
  <c r="DZ412" i="23916"/>
  <c r="DR444" i="23916"/>
  <c r="DQ466" i="23916"/>
  <c r="DZ444" i="23916"/>
  <c r="DQ171" i="23916"/>
  <c r="DR169" i="23916"/>
  <c r="DZ169" i="23916"/>
  <c r="AK170" i="23916"/>
  <c r="AK169" i="23916"/>
  <c r="AL135" i="23916"/>
  <c r="AT135" i="23916"/>
  <c r="DR459" i="23916"/>
  <c r="DZ459" i="23916"/>
  <c r="ES488" i="23916"/>
  <c r="ET476" i="23916"/>
  <c r="ES487" i="23916"/>
  <c r="DP152" i="23916"/>
  <c r="DX152" i="23916"/>
  <c r="EW148" i="23916"/>
  <c r="EW158" i="23916" s="1"/>
  <c r="EW147" i="23916"/>
  <c r="EW146" i="23916"/>
  <c r="EX143" i="23916"/>
  <c r="EW145" i="23916"/>
  <c r="AW27" i="24103"/>
  <c r="AG10" i="24103"/>
  <c r="AE10" i="23920"/>
  <c r="AX36" i="23920"/>
  <c r="AX17" i="23920"/>
  <c r="AW17" i="23920"/>
  <c r="AX17" i="24103"/>
  <c r="AW17" i="24103"/>
  <c r="AO10" i="24103"/>
  <c r="AO10" i="23920"/>
  <c r="AE10" i="24103"/>
  <c r="AG10" i="23920"/>
  <c r="EW847" i="23916" l="1"/>
  <c r="EX158" i="23916"/>
  <c r="GP158" i="23916"/>
  <c r="EX444" i="23916"/>
  <c r="EW426" i="23916"/>
  <c r="EX426" i="23916" s="1"/>
  <c r="EX425" i="23916"/>
  <c r="EW434" i="23916"/>
  <c r="EX434" i="23916" s="1"/>
  <c r="ET487" i="23916"/>
  <c r="ES496" i="23916"/>
  <c r="ET496" i="23916" s="1"/>
  <c r="ES492" i="23916"/>
  <c r="EX145" i="23916"/>
  <c r="EW151" i="23916"/>
  <c r="EX151" i="23916" s="1"/>
  <c r="GP145" i="23916"/>
  <c r="AL170" i="23916"/>
  <c r="AT170" i="23916"/>
  <c r="DR415" i="23916"/>
  <c r="DZ415" i="23916"/>
  <c r="EX392" i="23916"/>
  <c r="ET488" i="23916"/>
  <c r="DR466" i="23916"/>
  <c r="DZ466" i="23916"/>
  <c r="CL415" i="23916"/>
  <c r="CT415" i="23916"/>
  <c r="EV165" i="23916"/>
  <c r="EU177" i="23916"/>
  <c r="EU174" i="23916"/>
  <c r="EX146" i="23916"/>
  <c r="EW154" i="23916"/>
  <c r="GP146" i="23916"/>
  <c r="GA445" i="23916"/>
  <c r="FZ448" i="23916"/>
  <c r="GC445" i="23916"/>
  <c r="DR151" i="23916"/>
  <c r="DQ152" i="23916"/>
  <c r="DZ151" i="23916"/>
  <c r="DR401" i="23916"/>
  <c r="DZ401" i="23916"/>
  <c r="EV34" i="23916"/>
  <c r="EU38" i="23916"/>
  <c r="EW385" i="23916"/>
  <c r="GP385" i="23916" s="1"/>
  <c r="GP442" i="23916"/>
  <c r="GP450" i="23916" s="1"/>
  <c r="GH171" i="23916"/>
  <c r="GI169" i="23916"/>
  <c r="GK169" i="23916"/>
  <c r="DR434" i="23916"/>
  <c r="DZ434" i="23916"/>
  <c r="ES180" i="23916"/>
  <c r="ET176" i="23916"/>
  <c r="BT137" i="23916"/>
  <c r="CB137" i="23916"/>
  <c r="BS169" i="23916"/>
  <c r="BS167" i="23916"/>
  <c r="BS170" i="23916"/>
  <c r="FV135" i="23916"/>
  <c r="BT135" i="23916"/>
  <c r="CB135" i="23916"/>
  <c r="BT148" i="23916"/>
  <c r="CB148" i="23916"/>
  <c r="GS407" i="23916"/>
  <c r="GA482" i="23916"/>
  <c r="GC482" i="23916"/>
  <c r="AN170" i="23916"/>
  <c r="AV170" i="23916"/>
  <c r="AG148" i="23916"/>
  <c r="AH147" i="23916"/>
  <c r="AI143" i="23916"/>
  <c r="AP147" i="23916"/>
  <c r="AG155" i="23916"/>
  <c r="EV470" i="23916"/>
  <c r="EW455" i="23916"/>
  <c r="EX453" i="23916"/>
  <c r="EW456" i="23916"/>
  <c r="FQ135" i="23916"/>
  <c r="FP167" i="23916"/>
  <c r="FQ167" i="23916" s="1"/>
  <c r="FP170" i="23916"/>
  <c r="FQ170" i="23916" s="1"/>
  <c r="FP169" i="23916"/>
  <c r="ET64" i="23916"/>
  <c r="ES598" i="23916"/>
  <c r="DV52" i="23916"/>
  <c r="DU70" i="23916"/>
  <c r="DV70" i="23916" s="1"/>
  <c r="AK171" i="23916"/>
  <c r="AL169" i="23916"/>
  <c r="AT169" i="23916"/>
  <c r="DR171" i="23916"/>
  <c r="DZ171" i="23916"/>
  <c r="EW162" i="23916"/>
  <c r="EX162" i="23916" s="1"/>
  <c r="EX160" i="23916"/>
  <c r="EW164" i="23916"/>
  <c r="EW161" i="23916"/>
  <c r="GP160" i="23916"/>
  <c r="GM46" i="23916"/>
  <c r="GL55" i="23916"/>
  <c r="GM55" i="23916" s="1"/>
  <c r="GL51" i="23916"/>
  <c r="GL52" i="23916" s="1"/>
  <c r="GL54" i="23916"/>
  <c r="GM54" i="23916" s="1"/>
  <c r="DR148" i="23916"/>
  <c r="DZ148" i="23916"/>
  <c r="DQ167" i="23916"/>
  <c r="DR147" i="23916"/>
  <c r="DZ147" i="23916"/>
  <c r="DQ809" i="23916"/>
  <c r="DQ808" i="23916" s="1"/>
  <c r="DQ155" i="23916"/>
  <c r="GV416" i="23916"/>
  <c r="GU416" i="23916"/>
  <c r="BR171" i="23916"/>
  <c r="BZ171" i="23916"/>
  <c r="EV35" i="23916"/>
  <c r="EX441" i="23916"/>
  <c r="EW447" i="23916"/>
  <c r="EW824" i="23916" s="1"/>
  <c r="EW384" i="23916"/>
  <c r="GP441" i="23916"/>
  <c r="EQ195" i="23916"/>
  <c r="ER195" i="23916" s="1"/>
  <c r="EQ193" i="23916"/>
  <c r="ER187" i="23916"/>
  <c r="EQ188" i="23916"/>
  <c r="EQ190" i="23916" s="1"/>
  <c r="GI167" i="23916"/>
  <c r="GK167" i="23916"/>
  <c r="DR448" i="23916"/>
  <c r="DZ448" i="23916"/>
  <c r="GP826" i="23916"/>
  <c r="GQ826" i="23916" s="1"/>
  <c r="GQ140" i="23916"/>
  <c r="EX423" i="23916"/>
  <c r="EW395" i="23916"/>
  <c r="EW428" i="23916"/>
  <c r="EX428" i="23916" s="1"/>
  <c r="GP423" i="23916"/>
  <c r="BT138" i="23916"/>
  <c r="CB138" i="23916"/>
  <c r="GV415" i="23916"/>
  <c r="GU415" i="23916"/>
  <c r="DR480" i="23916"/>
  <c r="DQ482" i="23916"/>
  <c r="DZ480" i="23916"/>
  <c r="GP170" i="23916"/>
  <c r="GQ170" i="23916" s="1"/>
  <c r="ET62" i="23916"/>
  <c r="ES97" i="23916"/>
  <c r="ES591" i="23916"/>
  <c r="DU56" i="23916"/>
  <c r="DV56" i="23916" s="1"/>
  <c r="DV55" i="23916"/>
  <c r="EQ506" i="23916"/>
  <c r="EQ503" i="23916"/>
  <c r="ER500" i="23916"/>
  <c r="EQ508" i="23916"/>
  <c r="ER508" i="23916" s="1"/>
  <c r="EQ501" i="23916"/>
  <c r="EV36" i="23916"/>
  <c r="EV175" i="23916"/>
  <c r="EW445" i="23916"/>
  <c r="EX445" i="23916" s="1"/>
  <c r="GI170" i="23916"/>
  <c r="GK170" i="23916"/>
  <c r="BS809" i="23916"/>
  <c r="BS808" i="23916" s="1"/>
  <c r="BS155" i="23916"/>
  <c r="BT133" i="23916"/>
  <c r="CB133" i="23916"/>
  <c r="GR138" i="23916"/>
  <c r="GQ138" i="23916"/>
  <c r="BT147" i="23916"/>
  <c r="CB147" i="23916"/>
  <c r="GW417" i="23916"/>
  <c r="GX417" i="23916"/>
  <c r="GY417" i="23916" s="1"/>
  <c r="DR464" i="23916"/>
  <c r="DZ464" i="23916"/>
  <c r="AM171" i="23916"/>
  <c r="AN169" i="23916"/>
  <c r="AV169" i="23916"/>
  <c r="DR478" i="23916"/>
  <c r="DZ478" i="23916"/>
  <c r="DR481" i="23916"/>
  <c r="DZ481" i="23916"/>
  <c r="GX719" i="23916"/>
  <c r="GY718" i="23916"/>
  <c r="GZ718" i="23916"/>
  <c r="GS411" i="23916"/>
  <c r="GT405" i="23916"/>
  <c r="FQ155" i="23916"/>
  <c r="FS155" i="23916"/>
  <c r="ET63" i="23916"/>
  <c r="ES65" i="23916"/>
  <c r="ET65" i="23916" s="1"/>
  <c r="ES592" i="23916"/>
  <c r="EX147" i="23916"/>
  <c r="EW155" i="23916"/>
  <c r="EX155" i="23916" s="1"/>
  <c r="EW809" i="23916"/>
  <c r="EX148" i="23916"/>
  <c r="GA466" i="23916"/>
  <c r="GC466" i="23916"/>
  <c r="DR150" i="23916"/>
  <c r="DZ150" i="23916"/>
  <c r="EX440" i="23916"/>
  <c r="EW383" i="23916"/>
  <c r="GP440" i="23916"/>
  <c r="FZ434" i="23916"/>
  <c r="GA411" i="23916"/>
  <c r="GC411" i="23916"/>
  <c r="FZ412" i="23916"/>
  <c r="GR137" i="23916"/>
  <c r="GQ137" i="23916"/>
  <c r="EW394" i="23916"/>
  <c r="EW431" i="23916"/>
  <c r="EX431" i="23916" s="1"/>
  <c r="EX422" i="23916"/>
  <c r="GP422" i="23916"/>
  <c r="EU476" i="23916"/>
  <c r="EV475" i="23916"/>
  <c r="EU846" i="23916"/>
  <c r="EV469" i="23916"/>
  <c r="GS408" i="23916"/>
  <c r="GR414" i="23916"/>
  <c r="GQ133" i="23916"/>
  <c r="GR127" i="23916"/>
  <c r="FS135" i="23916"/>
  <c r="FR170" i="23916"/>
  <c r="FR167" i="23916"/>
  <c r="FR169" i="23916"/>
  <c r="FU135" i="23916"/>
  <c r="DV51" i="23916"/>
  <c r="DW46" i="23916"/>
  <c r="DU58" i="23916"/>
  <c r="DV58" i="23916" s="1"/>
  <c r="AX27" i="24103"/>
  <c r="AP10" i="23920"/>
  <c r="AP10" i="24103"/>
  <c r="EQ614" i="23916" l="1"/>
  <c r="EQ196" i="23916"/>
  <c r="ER196" i="23916" s="1"/>
  <c r="EQ192" i="23916"/>
  <c r="EQ8" i="23916"/>
  <c r="ER8" i="23916" s="1"/>
  <c r="ER190" i="23916"/>
  <c r="GM52" i="23916"/>
  <c r="GL70" i="23916"/>
  <c r="GM70" i="23916" s="1"/>
  <c r="FS170" i="23916"/>
  <c r="FU170" i="23916"/>
  <c r="GT137" i="23916"/>
  <c r="GS137" i="23916"/>
  <c r="GA434" i="23916"/>
  <c r="GC434" i="23916"/>
  <c r="FR171" i="23916"/>
  <c r="FS169" i="23916"/>
  <c r="FU169" i="23916"/>
  <c r="GR130" i="23916"/>
  <c r="GS127" i="23916"/>
  <c r="GA412" i="23916"/>
  <c r="FZ415" i="23916"/>
  <c r="GC412" i="23916"/>
  <c r="GP448" i="23916"/>
  <c r="GQ440" i="23916"/>
  <c r="GP444" i="23916"/>
  <c r="ES862" i="23916"/>
  <c r="ET592" i="23916"/>
  <c r="AN171" i="23916"/>
  <c r="AV171" i="23916"/>
  <c r="BS838" i="23916"/>
  <c r="BS839" i="23916" s="1"/>
  <c r="BS840" i="23916" s="1"/>
  <c r="BT155" i="23916"/>
  <c r="CB155" i="23916"/>
  <c r="DR482" i="23916"/>
  <c r="DZ482" i="23916"/>
  <c r="GW415" i="23916"/>
  <c r="GX415" i="23916"/>
  <c r="EX384" i="23916"/>
  <c r="GP384" i="23916"/>
  <c r="EW828" i="23916"/>
  <c r="GX416" i="23916"/>
  <c r="GW416" i="23916"/>
  <c r="FP171" i="23916"/>
  <c r="FQ171" i="23916" s="1"/>
  <c r="FQ169" i="23916"/>
  <c r="EX456" i="23916"/>
  <c r="EW461" i="23916"/>
  <c r="GP456" i="23916"/>
  <c r="BT167" i="23916"/>
  <c r="CB167" i="23916"/>
  <c r="GQ146" i="23916"/>
  <c r="GP150" i="23916"/>
  <c r="GP154" i="23916"/>
  <c r="EV177" i="23916"/>
  <c r="GP151" i="23916"/>
  <c r="GQ151" i="23916" s="1"/>
  <c r="GQ145" i="23916"/>
  <c r="GP147" i="23916"/>
  <c r="ET492" i="23916"/>
  <c r="ES500" i="23916"/>
  <c r="FS167" i="23916"/>
  <c r="FU167" i="23916"/>
  <c r="EU487" i="23916"/>
  <c r="EU488" i="23916"/>
  <c r="EV476" i="23916"/>
  <c r="EX394" i="23916"/>
  <c r="GP394" i="23916"/>
  <c r="EX383" i="23916"/>
  <c r="GP383" i="23916"/>
  <c r="EW387" i="23916"/>
  <c r="GY719" i="23916"/>
  <c r="GZ719" i="23916"/>
  <c r="GS138" i="23916"/>
  <c r="GR131" i="23916"/>
  <c r="GS131" i="23916" s="1"/>
  <c r="GT138" i="23916"/>
  <c r="EQ622" i="23916"/>
  <c r="EQ505" i="23916"/>
  <c r="ER505" i="23916" s="1"/>
  <c r="EQ509" i="23916"/>
  <c r="ER509" i="23916" s="1"/>
  <c r="ER503" i="23916"/>
  <c r="EQ14" i="23916"/>
  <c r="ET591" i="23916"/>
  <c r="EX395" i="23916"/>
  <c r="EW400" i="23916"/>
  <c r="EX400" i="23916" s="1"/>
  <c r="GP395" i="23916"/>
  <c r="EQ800" i="23916"/>
  <c r="EQ808" i="23916"/>
  <c r="ER193" i="23916"/>
  <c r="DR155" i="23916"/>
  <c r="DZ155" i="23916"/>
  <c r="DR167" i="23916"/>
  <c r="DZ167" i="23916"/>
  <c r="GN46" i="23916"/>
  <c r="GM51" i="23916"/>
  <c r="GL58" i="23916"/>
  <c r="GM58" i="23916" s="1"/>
  <c r="GP169" i="23916"/>
  <c r="GQ160" i="23916"/>
  <c r="GP164" i="23916"/>
  <c r="ES863" i="23916"/>
  <c r="ET598" i="23916"/>
  <c r="AJ143" i="23916"/>
  <c r="AI151" i="23916"/>
  <c r="AI147" i="23916"/>
  <c r="AI150" i="23916"/>
  <c r="AR143" i="23916"/>
  <c r="BS171" i="23916"/>
  <c r="BT169" i="23916"/>
  <c r="CB169" i="23916"/>
  <c r="ET180" i="23916"/>
  <c r="ES187" i="23916"/>
  <c r="EV38" i="23916"/>
  <c r="EW32" i="23916"/>
  <c r="EU39" i="23916"/>
  <c r="EX154" i="23916"/>
  <c r="EW783" i="23916"/>
  <c r="EW398" i="23916"/>
  <c r="GP847" i="23916"/>
  <c r="GQ847" i="23916" s="1"/>
  <c r="GQ158" i="23916"/>
  <c r="GP431" i="23916"/>
  <c r="GQ431" i="23916" s="1"/>
  <c r="GQ422" i="23916"/>
  <c r="GP425" i="23916"/>
  <c r="GT409" i="23916"/>
  <c r="GT408" i="23916"/>
  <c r="GU405" i="23916"/>
  <c r="ER501" i="23916"/>
  <c r="EQ799" i="23916"/>
  <c r="EQ797" i="23916"/>
  <c r="ER506" i="23916"/>
  <c r="GT407" i="23916"/>
  <c r="GT411" i="23916" s="1"/>
  <c r="ER188" i="23916"/>
  <c r="EW175" i="23916"/>
  <c r="EX161" i="23916"/>
  <c r="GP161" i="23916"/>
  <c r="AL171" i="23916"/>
  <c r="AT171" i="23916"/>
  <c r="EW463" i="23916"/>
  <c r="EX463" i="23916" s="1"/>
  <c r="EX455" i="23916"/>
  <c r="GP455" i="23916"/>
  <c r="FV169" i="23916"/>
  <c r="FV167" i="23916"/>
  <c r="FW135" i="23916"/>
  <c r="FV170" i="23916"/>
  <c r="FY135" i="23916"/>
  <c r="GI171" i="23916"/>
  <c r="GK171" i="23916"/>
  <c r="GA448" i="23916"/>
  <c r="GC448" i="23916"/>
  <c r="DW55" i="23916"/>
  <c r="DW52" i="23916"/>
  <c r="DW51" i="23916"/>
  <c r="DX46" i="23916"/>
  <c r="DW54" i="23916"/>
  <c r="DX54" i="23916" s="1"/>
  <c r="GQ423" i="23916"/>
  <c r="GP430" i="23916"/>
  <c r="GP428" i="23916"/>
  <c r="GQ428" i="23916" s="1"/>
  <c r="GQ441" i="23916"/>
  <c r="GP449" i="23916"/>
  <c r="GP447" i="23916"/>
  <c r="GP824" i="23916" s="1"/>
  <c r="GQ824" i="23916" s="1"/>
  <c r="EX164" i="23916"/>
  <c r="EW165" i="23916"/>
  <c r="EW458" i="23916"/>
  <c r="AH155" i="23916"/>
  <c r="AP155" i="23916"/>
  <c r="AH148" i="23916"/>
  <c r="AP148" i="23916"/>
  <c r="AG167" i="23916"/>
  <c r="BT170" i="23916"/>
  <c r="CB170" i="23916"/>
  <c r="GQ450" i="23916"/>
  <c r="GR450" i="23916"/>
  <c r="DR152" i="23916"/>
  <c r="DZ152" i="23916"/>
  <c r="EU176" i="23916"/>
  <c r="EV174" i="23916"/>
  <c r="EW397" i="23916"/>
  <c r="EX397" i="23916" s="1"/>
  <c r="GU411" i="23916" l="1"/>
  <c r="GV405" i="23916"/>
  <c r="GT412" i="23916"/>
  <c r="GU412" i="23916" s="1"/>
  <c r="EX165" i="23916"/>
  <c r="EW177" i="23916"/>
  <c r="EW174" i="23916"/>
  <c r="GT450" i="23916"/>
  <c r="GS450" i="23916"/>
  <c r="GR449" i="23916"/>
  <c r="GQ449" i="23916"/>
  <c r="DX51" i="23916"/>
  <c r="DY46" i="23916"/>
  <c r="DW58" i="23916"/>
  <c r="DX58" i="23916" s="1"/>
  <c r="FW170" i="23916"/>
  <c r="FY170" i="23916"/>
  <c r="GP463" i="23916"/>
  <c r="GQ463" i="23916" s="1"/>
  <c r="GQ455" i="23916"/>
  <c r="GP458" i="23916"/>
  <c r="EW470" i="23916"/>
  <c r="EX398" i="23916"/>
  <c r="EX32" i="23916"/>
  <c r="EW34" i="23916"/>
  <c r="EW35" i="23916"/>
  <c r="EW36" i="23916"/>
  <c r="GP165" i="23916"/>
  <c r="GQ165" i="23916" s="1"/>
  <c r="GQ164" i="23916"/>
  <c r="GV138" i="23916"/>
  <c r="GU138" i="23916"/>
  <c r="GQ394" i="23916"/>
  <c r="GP397" i="23916"/>
  <c r="EU496" i="23916"/>
  <c r="EV496" i="23916" s="1"/>
  <c r="EV487" i="23916"/>
  <c r="EU492" i="23916"/>
  <c r="EW825" i="23916"/>
  <c r="EX461" i="23916"/>
  <c r="GQ448" i="23916"/>
  <c r="GR448" i="23916"/>
  <c r="DX52" i="23916"/>
  <c r="DW70" i="23916"/>
  <c r="DX70" i="23916" s="1"/>
  <c r="GP175" i="23916"/>
  <c r="GQ175" i="23916" s="1"/>
  <c r="GP168" i="23916"/>
  <c r="GQ161" i="23916"/>
  <c r="GP162" i="23916"/>
  <c r="GQ162" i="23916" s="1"/>
  <c r="EW401" i="23916"/>
  <c r="EX401" i="23916" s="1"/>
  <c r="EX387" i="23916"/>
  <c r="EW388" i="23916"/>
  <c r="GP148" i="23916"/>
  <c r="GR143" i="23916"/>
  <c r="GQ147" i="23916"/>
  <c r="GP155" i="23916"/>
  <c r="GQ155" i="23916" s="1"/>
  <c r="GP809" i="23916"/>
  <c r="GQ809" i="23916" s="1"/>
  <c r="GZ416" i="23916"/>
  <c r="GY416" i="23916"/>
  <c r="GZ415" i="23916"/>
  <c r="GY415" i="23916"/>
  <c r="ES864" i="23916"/>
  <c r="ER192" i="23916"/>
  <c r="FW167" i="23916"/>
  <c r="FY167" i="23916"/>
  <c r="GU407" i="23916"/>
  <c r="GP426" i="23916"/>
  <c r="GQ426" i="23916" s="1"/>
  <c r="GR420" i="23916"/>
  <c r="GQ425" i="23916"/>
  <c r="GP434" i="23916"/>
  <c r="GQ434" i="23916" s="1"/>
  <c r="AJ147" i="23916"/>
  <c r="AI148" i="23916"/>
  <c r="AK143" i="23916"/>
  <c r="AR147" i="23916"/>
  <c r="AI155" i="23916"/>
  <c r="GN55" i="23916"/>
  <c r="GO55" i="23916" s="1"/>
  <c r="GN51" i="23916"/>
  <c r="GN52" i="23916" s="1"/>
  <c r="GO46" i="23916"/>
  <c r="GN54" i="23916"/>
  <c r="GO54" i="23916" s="1"/>
  <c r="GQ395" i="23916"/>
  <c r="GP400" i="23916"/>
  <c r="GQ400" i="23916" s="1"/>
  <c r="GQ383" i="23916"/>
  <c r="GP387" i="23916"/>
  <c r="GQ154" i="23916"/>
  <c r="GP783" i="23916"/>
  <c r="GQ783" i="23916" s="1"/>
  <c r="GQ444" i="23916"/>
  <c r="GP466" i="23916"/>
  <c r="GQ466" i="23916" s="1"/>
  <c r="GR438" i="23916"/>
  <c r="GP445" i="23916"/>
  <c r="GQ445" i="23916" s="1"/>
  <c r="GA415" i="23916"/>
  <c r="GC415" i="23916"/>
  <c r="GS130" i="23916"/>
  <c r="GR140" i="23916"/>
  <c r="FS171" i="23916"/>
  <c r="FU171" i="23916"/>
  <c r="GV137" i="23916"/>
  <c r="GU137" i="23916"/>
  <c r="AH167" i="23916"/>
  <c r="AP167" i="23916"/>
  <c r="DW56" i="23916"/>
  <c r="DX56" i="23916" s="1"/>
  <c r="DX55" i="23916"/>
  <c r="EU180" i="23916"/>
  <c r="EV176" i="23916"/>
  <c r="EW459" i="23916"/>
  <c r="EX459" i="23916" s="1"/>
  <c r="EX458" i="23916"/>
  <c r="EW466" i="23916"/>
  <c r="EX466" i="23916" s="1"/>
  <c r="GR430" i="23916"/>
  <c r="GQ430" i="23916"/>
  <c r="FV171" i="23916"/>
  <c r="FW169" i="23916"/>
  <c r="FY169" i="23916"/>
  <c r="EX175" i="23916"/>
  <c r="GU408" i="23916"/>
  <c r="GT414" i="23916"/>
  <c r="EU62" i="23916"/>
  <c r="EU64" i="23916"/>
  <c r="EV39" i="23916"/>
  <c r="EU63" i="23916"/>
  <c r="ES193" i="23916"/>
  <c r="ES195" i="23916"/>
  <c r="ET195" i="23916" s="1"/>
  <c r="ES190" i="23916"/>
  <c r="ET187" i="23916"/>
  <c r="ES188" i="23916"/>
  <c r="BT171" i="23916"/>
  <c r="CB171" i="23916"/>
  <c r="GP171" i="23916"/>
  <c r="GR169" i="23916"/>
  <c r="GQ169" i="23916"/>
  <c r="ER622" i="23916"/>
  <c r="EV488" i="23916"/>
  <c r="ES506" i="23916"/>
  <c r="ET500" i="23916"/>
  <c r="ES508" i="23916"/>
  <c r="ET508" i="23916" s="1"/>
  <c r="ES501" i="23916"/>
  <c r="GR150" i="23916"/>
  <c r="GQ150" i="23916"/>
  <c r="GP462" i="23916"/>
  <c r="GQ456" i="23916"/>
  <c r="GP461" i="23916"/>
  <c r="GQ384" i="23916"/>
  <c r="GP828" i="23916"/>
  <c r="GQ828" i="23916" s="1"/>
  <c r="ER614" i="23916"/>
  <c r="AW12" i="24103"/>
  <c r="AW12" i="23920"/>
  <c r="K120" i="24135"/>
  <c r="L116" i="24135"/>
  <c r="K116" i="24135"/>
  <c r="I116" i="24135"/>
  <c r="H116" i="24135"/>
  <c r="G116" i="24135"/>
  <c r="F116" i="24135"/>
  <c r="E116" i="24135"/>
  <c r="D116" i="24135"/>
  <c r="C116" i="24135"/>
  <c r="B116" i="24135"/>
  <c r="L100" i="24135"/>
  <c r="K100" i="24135"/>
  <c r="I100" i="24135"/>
  <c r="H100" i="24135"/>
  <c r="G100" i="24135"/>
  <c r="F100" i="24135"/>
  <c r="E100" i="24135"/>
  <c r="D100" i="24135"/>
  <c r="C100" i="24135"/>
  <c r="B100" i="24135"/>
  <c r="L98" i="24135"/>
  <c r="K98" i="24135"/>
  <c r="I98" i="24135"/>
  <c r="H98" i="24135"/>
  <c r="G98" i="24135"/>
  <c r="F98" i="24135"/>
  <c r="E98" i="24135"/>
  <c r="D98" i="24135"/>
  <c r="C98" i="24135"/>
  <c r="B98" i="24135"/>
  <c r="K22" i="24135"/>
  <c r="GO52" i="23916" l="1"/>
  <c r="GN70" i="23916"/>
  <c r="GO70" i="23916" s="1"/>
  <c r="ET501" i="23916"/>
  <c r="GT169" i="23916"/>
  <c r="GS169" i="23916"/>
  <c r="ET188" i="23916"/>
  <c r="ES808" i="23916"/>
  <c r="ES800" i="23916"/>
  <c r="ET193" i="23916"/>
  <c r="EV180" i="23916"/>
  <c r="EU187" i="23916"/>
  <c r="GR381" i="23916"/>
  <c r="GP401" i="23916"/>
  <c r="GQ401" i="23916" s="1"/>
  <c r="GQ387" i="23916"/>
  <c r="GP388" i="23916"/>
  <c r="GQ388" i="23916" s="1"/>
  <c r="AJ148" i="23916"/>
  <c r="AR148" i="23916"/>
  <c r="AI167" i="23916"/>
  <c r="GR422" i="23916"/>
  <c r="GR425" i="23916" s="1"/>
  <c r="GR423" i="23916"/>
  <c r="GS420" i="23916"/>
  <c r="GQ148" i="23916"/>
  <c r="GP167" i="23916"/>
  <c r="EX35" i="23916"/>
  <c r="GP35" i="23916"/>
  <c r="GU450" i="23916"/>
  <c r="GV450" i="23916"/>
  <c r="GP825" i="23916"/>
  <c r="GQ825" i="23916" s="1"/>
  <c r="GQ461" i="23916"/>
  <c r="GT150" i="23916"/>
  <c r="GS150" i="23916"/>
  <c r="ES503" i="23916"/>
  <c r="GR171" i="23916"/>
  <c r="GR170" i="23916" s="1"/>
  <c r="GQ171" i="23916"/>
  <c r="EU65" i="23916"/>
  <c r="EV65" i="23916" s="1"/>
  <c r="EV63" i="23916"/>
  <c r="EU592" i="23916"/>
  <c r="EV62" i="23916"/>
  <c r="EU97" i="23916"/>
  <c r="EU591" i="23916"/>
  <c r="FW171" i="23916"/>
  <c r="FY171" i="23916"/>
  <c r="GR826" i="23916"/>
  <c r="GS826" i="23916" s="1"/>
  <c r="GS140" i="23916"/>
  <c r="AJ155" i="23916"/>
  <c r="AR155" i="23916"/>
  <c r="EW472" i="23916"/>
  <c r="EW471" i="23916"/>
  <c r="EX388" i="23916"/>
  <c r="EX34" i="23916"/>
  <c r="GP34" i="23916"/>
  <c r="EW469" i="23916"/>
  <c r="GQ458" i="23916"/>
  <c r="GP459" i="23916"/>
  <c r="GQ459" i="23916" s="1"/>
  <c r="GR453" i="23916"/>
  <c r="EX174" i="23916"/>
  <c r="EW176" i="23916"/>
  <c r="GP174" i="23916"/>
  <c r="GV408" i="23916"/>
  <c r="GW405" i="23916"/>
  <c r="GV409" i="23916"/>
  <c r="GV407" i="23916"/>
  <c r="ES614" i="23916"/>
  <c r="ES192" i="23916"/>
  <c r="ES196" i="23916"/>
  <c r="ET196" i="23916" s="1"/>
  <c r="ET190" i="23916"/>
  <c r="ES8" i="23916"/>
  <c r="ET8" i="23916" s="1"/>
  <c r="GX137" i="23916"/>
  <c r="GW137" i="23916"/>
  <c r="GQ168" i="23916"/>
  <c r="GR168" i="23916"/>
  <c r="GT448" i="23916"/>
  <c r="GR440" i="23916"/>
  <c r="GS448" i="23916"/>
  <c r="GW138" i="23916"/>
  <c r="GX138" i="23916"/>
  <c r="GT449" i="23916"/>
  <c r="GS449" i="23916"/>
  <c r="EX177" i="23916"/>
  <c r="GP177" i="23916"/>
  <c r="GQ462" i="23916"/>
  <c r="GR462" i="23916"/>
  <c r="ES797" i="23916"/>
  <c r="ES799" i="23916"/>
  <c r="ET506" i="23916"/>
  <c r="EV64" i="23916"/>
  <c r="EU598" i="23916"/>
  <c r="GS430" i="23916"/>
  <c r="GT430" i="23916"/>
  <c r="GR441" i="23916"/>
  <c r="GS438" i="23916"/>
  <c r="GR442" i="23916"/>
  <c r="GR385" i="23916" s="1"/>
  <c r="GO51" i="23916"/>
  <c r="GP46" i="23916"/>
  <c r="GN58" i="23916"/>
  <c r="GO58" i="23916" s="1"/>
  <c r="AK151" i="23916"/>
  <c r="AK147" i="23916"/>
  <c r="AK150" i="23916"/>
  <c r="AL143" i="23916"/>
  <c r="AT143" i="23916"/>
  <c r="GS143" i="23916"/>
  <c r="GR146" i="23916"/>
  <c r="GR145" i="23916"/>
  <c r="EV492" i="23916"/>
  <c r="EU500" i="23916"/>
  <c r="GQ397" i="23916"/>
  <c r="GP398" i="23916"/>
  <c r="GQ398" i="23916" s="1"/>
  <c r="GR392" i="23916"/>
  <c r="EX36" i="23916"/>
  <c r="GP36" i="23916"/>
  <c r="EW38" i="23916"/>
  <c r="EX470" i="23916"/>
  <c r="GP470" i="23916"/>
  <c r="DY55" i="23916"/>
  <c r="DZ46" i="23916"/>
  <c r="DY52" i="23916"/>
  <c r="DY51" i="23916"/>
  <c r="DY54" i="23916"/>
  <c r="DZ54" i="23916" s="1"/>
  <c r="AX12" i="24103"/>
  <c r="AW15" i="24103"/>
  <c r="AX13" i="23920"/>
  <c r="AW13" i="23920"/>
  <c r="AX13" i="24103"/>
  <c r="AW13" i="24103"/>
  <c r="AX12" i="23920"/>
  <c r="AX14" i="23920"/>
  <c r="AW14" i="23920"/>
  <c r="AX14" i="24103"/>
  <c r="AW14" i="24103"/>
  <c r="I101" i="24135"/>
  <c r="L117" i="24135"/>
  <c r="I117" i="24135"/>
  <c r="F99" i="24135"/>
  <c r="I99" i="24135"/>
  <c r="G117" i="24135"/>
  <c r="L101" i="24135"/>
  <c r="H117" i="24135"/>
  <c r="H99" i="24135"/>
  <c r="F117" i="24135"/>
  <c r="F101" i="24135"/>
  <c r="G101" i="24135"/>
  <c r="G99" i="24135"/>
  <c r="L99" i="24135"/>
  <c r="H101" i="24135"/>
  <c r="GS425" i="23916" l="1"/>
  <c r="GR426" i="23916"/>
  <c r="GS426" i="23916" s="1"/>
  <c r="GT420" i="23916"/>
  <c r="GR434" i="23916"/>
  <c r="GS434" i="23916" s="1"/>
  <c r="GS170" i="23916"/>
  <c r="GR129" i="23916"/>
  <c r="GP479" i="23916"/>
  <c r="GQ470" i="23916"/>
  <c r="GS392" i="23916"/>
  <c r="AK148" i="23916"/>
  <c r="AL147" i="23916"/>
  <c r="AM148" i="23916"/>
  <c r="AT147" i="23916"/>
  <c r="AK155" i="23916"/>
  <c r="GS441" i="23916"/>
  <c r="GR447" i="23916"/>
  <c r="GR824" i="23916" s="1"/>
  <c r="GS824" i="23916" s="1"/>
  <c r="GR384" i="23916"/>
  <c r="EU863" i="23916"/>
  <c r="EV598" i="23916"/>
  <c r="GQ177" i="23916"/>
  <c r="GP184" i="23916"/>
  <c r="GS440" i="23916"/>
  <c r="GR383" i="23916"/>
  <c r="GS383" i="23916" s="1"/>
  <c r="GW408" i="23916"/>
  <c r="GV414" i="23916"/>
  <c r="GR455" i="23916"/>
  <c r="GR456" i="23916"/>
  <c r="GS453" i="23916"/>
  <c r="GQ34" i="23916"/>
  <c r="GP41" i="23916"/>
  <c r="GP38" i="23916"/>
  <c r="EX472" i="23916"/>
  <c r="GP472" i="23916"/>
  <c r="GU150" i="23916"/>
  <c r="GV150" i="23916"/>
  <c r="EU195" i="23916"/>
  <c r="EV195" i="23916" s="1"/>
  <c r="EU193" i="23916"/>
  <c r="EV187" i="23916"/>
  <c r="EU188" i="23916"/>
  <c r="EU190" i="23916" s="1"/>
  <c r="GS145" i="23916"/>
  <c r="GR151" i="23916"/>
  <c r="GS151" i="23916" s="1"/>
  <c r="GZ138" i="23916"/>
  <c r="GY138" i="23916"/>
  <c r="GU448" i="23916"/>
  <c r="GV448" i="23916"/>
  <c r="GZ137" i="23916"/>
  <c r="GY137" i="23916"/>
  <c r="ET192" i="23916"/>
  <c r="GQ174" i="23916"/>
  <c r="GP176" i="23916"/>
  <c r="GP182" i="23916"/>
  <c r="EV591" i="23916"/>
  <c r="EU862" i="23916"/>
  <c r="EU864" i="23916" s="1"/>
  <c r="EV592" i="23916"/>
  <c r="GT171" i="23916"/>
  <c r="GS171" i="23916"/>
  <c r="GP42" i="23916"/>
  <c r="GQ35" i="23916"/>
  <c r="AJ167" i="23916"/>
  <c r="AR167" i="23916"/>
  <c r="EX38" i="23916"/>
  <c r="EW39" i="23916"/>
  <c r="GS146" i="23916"/>
  <c r="GR154" i="23916"/>
  <c r="GT168" i="23916"/>
  <c r="GS168" i="23916"/>
  <c r="ET614" i="23916"/>
  <c r="EW180" i="23916"/>
  <c r="EX176" i="23916"/>
  <c r="ES622" i="23916"/>
  <c r="ES509" i="23916"/>
  <c r="ET509" i="23916" s="1"/>
  <c r="ES505" i="23916"/>
  <c r="ET505" i="23916" s="1"/>
  <c r="ET503" i="23916"/>
  <c r="ES14" i="23916"/>
  <c r="GR395" i="23916"/>
  <c r="GS423" i="23916"/>
  <c r="GR428" i="23916"/>
  <c r="GS428" i="23916" s="1"/>
  <c r="GV169" i="23916"/>
  <c r="GT170" i="23916"/>
  <c r="GU170" i="23916" s="1"/>
  <c r="GU169" i="23916"/>
  <c r="DY56" i="23916"/>
  <c r="DZ56" i="23916" s="1"/>
  <c r="DZ55" i="23916"/>
  <c r="DZ51" i="23916"/>
  <c r="EA46" i="23916"/>
  <c r="DY58" i="23916"/>
  <c r="DZ58" i="23916" s="1"/>
  <c r="GP43" i="23916"/>
  <c r="GQ36" i="23916"/>
  <c r="GR444" i="23916"/>
  <c r="GV430" i="23916"/>
  <c r="GU430" i="23916"/>
  <c r="GS462" i="23916"/>
  <c r="GT462" i="23916"/>
  <c r="DZ52" i="23916"/>
  <c r="DY70" i="23916"/>
  <c r="DZ70" i="23916" s="1"/>
  <c r="EU506" i="23916"/>
  <c r="EU508" i="23916"/>
  <c r="EV508" i="23916" s="1"/>
  <c r="EU501" i="23916"/>
  <c r="EV500" i="23916"/>
  <c r="GR147" i="23916"/>
  <c r="GQ46" i="23916"/>
  <c r="GV449" i="23916"/>
  <c r="GU449" i="23916"/>
  <c r="GW407" i="23916"/>
  <c r="GV411" i="23916"/>
  <c r="EW846" i="23916"/>
  <c r="EX469" i="23916"/>
  <c r="GP469" i="23916"/>
  <c r="EW473" i="23916"/>
  <c r="EX473" i="23916" s="1"/>
  <c r="EX471" i="23916"/>
  <c r="EW475" i="23916"/>
  <c r="GP471" i="23916"/>
  <c r="GX450" i="23916"/>
  <c r="GY450" i="23916" s="1"/>
  <c r="GW450" i="23916"/>
  <c r="GR167" i="23916"/>
  <c r="GQ167" i="23916"/>
  <c r="GR394" i="23916"/>
  <c r="GS394" i="23916" s="1"/>
  <c r="GS422" i="23916"/>
  <c r="GR431" i="23916"/>
  <c r="GS431" i="23916" s="1"/>
  <c r="GR387" i="23916"/>
  <c r="GR388" i="23916"/>
  <c r="GS381" i="23916"/>
  <c r="AW15" i="23920"/>
  <c r="AX15" i="24103"/>
  <c r="EU614" i="23916" l="1"/>
  <c r="EU196" i="23916"/>
  <c r="EV196" i="23916" s="1"/>
  <c r="EU192" i="23916"/>
  <c r="EV190" i="23916"/>
  <c r="EU8" i="23916"/>
  <c r="EV8" i="23916" s="1"/>
  <c r="GS388" i="23916"/>
  <c r="EU799" i="23916"/>
  <c r="EU797" i="23916"/>
  <c r="EV506" i="23916"/>
  <c r="GS154" i="23916"/>
  <c r="GR783" i="23916"/>
  <c r="GS783" i="23916" s="1"/>
  <c r="GR42" i="23916"/>
  <c r="GQ42" i="23916"/>
  <c r="GQ182" i="23916"/>
  <c r="GR182" i="23916"/>
  <c r="EU800" i="23916"/>
  <c r="EU808" i="23916"/>
  <c r="EV193" i="23916"/>
  <c r="GQ38" i="23916"/>
  <c r="GR32" i="23916"/>
  <c r="GP39" i="23916"/>
  <c r="GQ39" i="23916" s="1"/>
  <c r="GS387" i="23916"/>
  <c r="GT381" i="23916"/>
  <c r="GP473" i="23916"/>
  <c r="GQ473" i="23916" s="1"/>
  <c r="GP480" i="23916"/>
  <c r="GQ471" i="23916"/>
  <c r="GP475" i="23916"/>
  <c r="GP180" i="23916"/>
  <c r="GQ176" i="23916"/>
  <c r="GX448" i="23916"/>
  <c r="GW448" i="23916"/>
  <c r="GQ472" i="23916"/>
  <c r="GP481" i="23916"/>
  <c r="GS456" i="23916"/>
  <c r="GR461" i="23916"/>
  <c r="GS184" i="23916"/>
  <c r="GQ184" i="23916"/>
  <c r="AL155" i="23916"/>
  <c r="AT155" i="23916"/>
  <c r="GR479" i="23916"/>
  <c r="GQ479" i="23916"/>
  <c r="GT167" i="23916"/>
  <c r="GS167" i="23916"/>
  <c r="GW411" i="23916"/>
  <c r="GX405" i="23916"/>
  <c r="GV412" i="23916"/>
  <c r="GW412" i="23916" s="1"/>
  <c r="GR148" i="23916"/>
  <c r="GS147" i="23916"/>
  <c r="GT143" i="23916"/>
  <c r="GX430" i="23916"/>
  <c r="GW430" i="23916"/>
  <c r="GX169" i="23916"/>
  <c r="GV170" i="23916"/>
  <c r="GW170" i="23916" s="1"/>
  <c r="GW169" i="23916"/>
  <c r="ET622" i="23916"/>
  <c r="EW64" i="23916"/>
  <c r="EX39" i="23916"/>
  <c r="EW63" i="23916"/>
  <c r="EW62" i="23916"/>
  <c r="GV171" i="23916"/>
  <c r="GU171" i="23916"/>
  <c r="GX150" i="23916"/>
  <c r="GW150" i="23916"/>
  <c r="GR463" i="23916"/>
  <c r="GS463" i="23916" s="1"/>
  <c r="GS455" i="23916"/>
  <c r="GS384" i="23916"/>
  <c r="GR828" i="23916"/>
  <c r="GS828" i="23916" s="1"/>
  <c r="GR397" i="23916"/>
  <c r="GS129" i="23916"/>
  <c r="GR133" i="23916"/>
  <c r="EV501" i="23916"/>
  <c r="GQ43" i="23916"/>
  <c r="GR43" i="23916"/>
  <c r="GS395" i="23916"/>
  <c r="GR400" i="23916"/>
  <c r="GS400" i="23916" s="1"/>
  <c r="EX180" i="23916"/>
  <c r="EW187" i="23916"/>
  <c r="EV188" i="23916"/>
  <c r="GR41" i="23916"/>
  <c r="GQ41" i="23916"/>
  <c r="AL148" i="23916"/>
  <c r="AT148" i="23916"/>
  <c r="AK167" i="23916"/>
  <c r="GT422" i="23916"/>
  <c r="GT423" i="23916"/>
  <c r="GT425" i="23916" s="1"/>
  <c r="GU420" i="23916"/>
  <c r="EX475" i="23916"/>
  <c r="EW476" i="23916"/>
  <c r="GP846" i="23916"/>
  <c r="GQ846" i="23916" s="1"/>
  <c r="GP478" i="23916"/>
  <c r="GQ469" i="23916"/>
  <c r="GX449" i="23916"/>
  <c r="GW449" i="23916"/>
  <c r="EU503" i="23916"/>
  <c r="GU462" i="23916"/>
  <c r="GV462" i="23916"/>
  <c r="GS444" i="23916"/>
  <c r="GT438" i="23916"/>
  <c r="GR445" i="23916"/>
  <c r="GS445" i="23916" s="1"/>
  <c r="EB46" i="23916"/>
  <c r="EA55" i="23916"/>
  <c r="EA52" i="23916"/>
  <c r="EA51" i="23916"/>
  <c r="EA54" i="23916"/>
  <c r="EB54" i="23916" s="1"/>
  <c r="GU168" i="23916"/>
  <c r="GV168" i="23916"/>
  <c r="GR458" i="23916"/>
  <c r="AN148" i="23916"/>
  <c r="AV148" i="23916"/>
  <c r="AM167" i="23916"/>
  <c r="Z53" i="24103"/>
  <c r="Z62" i="23920"/>
  <c r="G114" i="24135"/>
  <c r="E114" i="24135"/>
  <c r="C114" i="24135"/>
  <c r="B114" i="24135"/>
  <c r="D122" i="24135"/>
  <c r="B122" i="24135"/>
  <c r="H122" i="24135"/>
  <c r="H84" i="24135"/>
  <c r="G84" i="24135"/>
  <c r="F84" i="24135"/>
  <c r="E84" i="24135"/>
  <c r="C84" i="24135"/>
  <c r="B84" i="24135"/>
  <c r="G67" i="24135"/>
  <c r="C67" i="24135"/>
  <c r="B67" i="24135"/>
  <c r="I48" i="24135"/>
  <c r="H48" i="24135"/>
  <c r="G48" i="24135"/>
  <c r="E48" i="24135"/>
  <c r="D48" i="24135"/>
  <c r="C48" i="24135"/>
  <c r="GT426" i="23916" l="1"/>
  <c r="GU426" i="23916" s="1"/>
  <c r="GV420" i="23916"/>
  <c r="GU425" i="23916"/>
  <c r="GT434" i="23916"/>
  <c r="GU434" i="23916" s="1"/>
  <c r="GR459" i="23916"/>
  <c r="GS459" i="23916" s="1"/>
  <c r="GT453" i="23916"/>
  <c r="GS458" i="23916"/>
  <c r="GR466" i="23916"/>
  <c r="GS466" i="23916" s="1"/>
  <c r="AL167" i="23916"/>
  <c r="AT167" i="23916"/>
  <c r="GS41" i="23916"/>
  <c r="GT41" i="23916"/>
  <c r="GR809" i="23916"/>
  <c r="GS809" i="23916" s="1"/>
  <c r="GR155" i="23916"/>
  <c r="GS155" i="23916" s="1"/>
  <c r="GS133" i="23916"/>
  <c r="GT127" i="23916"/>
  <c r="GR135" i="23916"/>
  <c r="GZ150" i="23916"/>
  <c r="GY150" i="23916"/>
  <c r="EX64" i="23916"/>
  <c r="GP64" i="23916"/>
  <c r="EW598" i="23916"/>
  <c r="GZ169" i="23916"/>
  <c r="GY169" i="23916"/>
  <c r="GR481" i="23916"/>
  <c r="GQ481" i="23916"/>
  <c r="GP476" i="23916"/>
  <c r="GQ476" i="23916" s="1"/>
  <c r="GQ475" i="23916"/>
  <c r="GU381" i="23916"/>
  <c r="GR34" i="23916"/>
  <c r="GS34" i="23916" s="1"/>
  <c r="GR35" i="23916"/>
  <c r="GS35" i="23916" s="1"/>
  <c r="GS32" i="23916"/>
  <c r="GR36" i="23916"/>
  <c r="GS36" i="23916" s="1"/>
  <c r="AN167" i="23916"/>
  <c r="AV167" i="23916"/>
  <c r="GX168" i="23916"/>
  <c r="GW168" i="23916"/>
  <c r="EC46" i="23916"/>
  <c r="EB51" i="23916"/>
  <c r="EA58" i="23916"/>
  <c r="EB58" i="23916" s="1"/>
  <c r="GX462" i="23916"/>
  <c r="GW462" i="23916"/>
  <c r="GZ449" i="23916"/>
  <c r="GY449" i="23916"/>
  <c r="EX62" i="23916"/>
  <c r="EW97" i="23916"/>
  <c r="GP62" i="23916"/>
  <c r="EW591" i="23916"/>
  <c r="GS148" i="23916"/>
  <c r="GT479" i="23916"/>
  <c r="GS479" i="23916"/>
  <c r="GY448" i="23916"/>
  <c r="GZ448" i="23916"/>
  <c r="EV192" i="23916"/>
  <c r="EB52" i="23916"/>
  <c r="EA70" i="23916"/>
  <c r="EB70" i="23916" s="1"/>
  <c r="GU438" i="23916"/>
  <c r="GT441" i="23916"/>
  <c r="GT442" i="23916"/>
  <c r="GT385" i="23916" s="1"/>
  <c r="GT440" i="23916"/>
  <c r="EW488" i="23916"/>
  <c r="EX476" i="23916"/>
  <c r="EW487" i="23916"/>
  <c r="GU423" i="23916"/>
  <c r="GT428" i="23916"/>
  <c r="GU428" i="23916" s="1"/>
  <c r="GR398" i="23916"/>
  <c r="GT392" i="23916"/>
  <c r="GS397" i="23916"/>
  <c r="EX63" i="23916"/>
  <c r="EW65" i="23916"/>
  <c r="EX65" i="23916" s="1"/>
  <c r="GP63" i="23916"/>
  <c r="EW592" i="23916"/>
  <c r="GZ430" i="23916"/>
  <c r="GY430" i="23916"/>
  <c r="GR825" i="23916"/>
  <c r="GS825" i="23916" s="1"/>
  <c r="GS461" i="23916"/>
  <c r="GQ480" i="23916"/>
  <c r="GP482" i="23916"/>
  <c r="GQ482" i="23916" s="1"/>
  <c r="GR480" i="23916"/>
  <c r="GR401" i="23916"/>
  <c r="GS401" i="23916" s="1"/>
  <c r="GT42" i="23916"/>
  <c r="GS42" i="23916"/>
  <c r="EA56" i="23916"/>
  <c r="EB56" i="23916" s="1"/>
  <c r="EB55" i="23916"/>
  <c r="EU622" i="23916"/>
  <c r="EU505" i="23916"/>
  <c r="EV505" i="23916" s="1"/>
  <c r="EV503" i="23916"/>
  <c r="EU509" i="23916"/>
  <c r="EV509" i="23916" s="1"/>
  <c r="EU14" i="23916"/>
  <c r="GR478" i="23916"/>
  <c r="GQ478" i="23916"/>
  <c r="GT431" i="23916"/>
  <c r="GU431" i="23916" s="1"/>
  <c r="GU422" i="23916"/>
  <c r="EW193" i="23916"/>
  <c r="EW190" i="23916"/>
  <c r="EW188" i="23916"/>
  <c r="EW195" i="23916"/>
  <c r="EX195" i="23916" s="1"/>
  <c r="EX187" i="23916"/>
  <c r="GT43" i="23916"/>
  <c r="GS43" i="23916"/>
  <c r="GX171" i="23916"/>
  <c r="GW171" i="23916"/>
  <c r="GU143" i="23916"/>
  <c r="GT145" i="23916"/>
  <c r="GT147" i="23916" s="1"/>
  <c r="GT146" i="23916"/>
  <c r="GZ405" i="23916"/>
  <c r="GX409" i="23916"/>
  <c r="GY405" i="23916"/>
  <c r="GX408" i="23916"/>
  <c r="GX407" i="23916"/>
  <c r="GX411" i="23916" s="1"/>
  <c r="GV167" i="23916"/>
  <c r="GU167" i="23916"/>
  <c r="GQ180" i="23916"/>
  <c r="GP187" i="23916"/>
  <c r="GT182" i="23916"/>
  <c r="GS182" i="23916"/>
  <c r="GR183" i="23916"/>
  <c r="EV614" i="23916"/>
  <c r="AA53" i="24103"/>
  <c r="AA62" i="23920"/>
  <c r="AB62" i="23920"/>
  <c r="AB53" i="24103"/>
  <c r="Z63" i="23920"/>
  <c r="Z54" i="24103"/>
  <c r="Z23" i="24103"/>
  <c r="Z27" i="23920"/>
  <c r="D34" i="24135"/>
  <c r="D5" i="24135"/>
  <c r="H34" i="24135"/>
  <c r="H5" i="24135"/>
  <c r="B48" i="24135"/>
  <c r="F48" i="24135"/>
  <c r="E67" i="24135"/>
  <c r="I67" i="24135"/>
  <c r="F85" i="24135"/>
  <c r="I122" i="24135"/>
  <c r="I114" i="24135"/>
  <c r="I115" i="24135" s="1"/>
  <c r="E34" i="24135"/>
  <c r="E5" i="24135"/>
  <c r="I34" i="24135"/>
  <c r="I5" i="24135"/>
  <c r="G49" i="24135"/>
  <c r="F67" i="24135"/>
  <c r="F68" i="24135" s="1"/>
  <c r="G85" i="24135"/>
  <c r="C122" i="24135"/>
  <c r="F114" i="24135"/>
  <c r="F115" i="24135" s="1"/>
  <c r="B34" i="24135"/>
  <c r="B5" i="24135"/>
  <c r="F34" i="24135"/>
  <c r="F5" i="24135"/>
  <c r="H49" i="24135"/>
  <c r="G68" i="24135"/>
  <c r="D84" i="24135"/>
  <c r="H85" i="24135" s="1"/>
  <c r="G115" i="24135"/>
  <c r="C34" i="24135"/>
  <c r="C5" i="24135"/>
  <c r="G34" i="24135"/>
  <c r="G5" i="24135"/>
  <c r="I49" i="24135"/>
  <c r="D67" i="24135"/>
  <c r="H67" i="24135"/>
  <c r="I84" i="24135"/>
  <c r="I85" i="24135" s="1"/>
  <c r="G122" i="24135"/>
  <c r="D114" i="24135"/>
  <c r="H114" i="24135"/>
  <c r="L114" i="24135"/>
  <c r="L48" i="24135"/>
  <c r="K84" i="24135"/>
  <c r="L67" i="24135"/>
  <c r="K114" i="24135"/>
  <c r="M98" i="24135"/>
  <c r="M67" i="24135"/>
  <c r="M34" i="24135"/>
  <c r="M48" i="24135"/>
  <c r="L84" i="24135"/>
  <c r="M84" i="24135"/>
  <c r="F122" i="24135"/>
  <c r="E122" i="24135"/>
  <c r="GT148" i="23916" l="1"/>
  <c r="GU147" i="23916"/>
  <c r="GV143" i="23916"/>
  <c r="GZ411" i="23916"/>
  <c r="GY411" i="23916"/>
  <c r="GX412" i="23916"/>
  <c r="GU43" i="23916"/>
  <c r="GV43" i="23916"/>
  <c r="EW614" i="23916"/>
  <c r="EW192" i="23916"/>
  <c r="EX190" i="23916"/>
  <c r="EW8" i="23916"/>
  <c r="EX8" i="23916" s="1"/>
  <c r="EW196" i="23916"/>
  <c r="EX196" i="23916" s="1"/>
  <c r="EW862" i="23916"/>
  <c r="EX592" i="23916"/>
  <c r="GP592" i="23916"/>
  <c r="EX488" i="23916"/>
  <c r="GP488" i="23916"/>
  <c r="EX591" i="23916"/>
  <c r="GP591" i="23916"/>
  <c r="GQ591" i="23916" s="1"/>
  <c r="GU127" i="23916"/>
  <c r="GT130" i="23916"/>
  <c r="GT129" i="23916"/>
  <c r="GU129" i="23916" s="1"/>
  <c r="GT133" i="23916"/>
  <c r="GT131" i="23916"/>
  <c r="GU131" i="23916" s="1"/>
  <c r="GV41" i="23916"/>
  <c r="GU41" i="23916"/>
  <c r="GT183" i="23916"/>
  <c r="GU182" i="23916"/>
  <c r="GV182" i="23916"/>
  <c r="GX167" i="23916"/>
  <c r="GW167" i="23916"/>
  <c r="GU146" i="23916"/>
  <c r="GT154" i="23916"/>
  <c r="GU154" i="23916" s="1"/>
  <c r="EW808" i="23916"/>
  <c r="EW800" i="23916"/>
  <c r="EX193" i="23916"/>
  <c r="GR482" i="23916"/>
  <c r="GS482" i="23916" s="1"/>
  <c r="GT480" i="23916"/>
  <c r="GS480" i="23916"/>
  <c r="GR471" i="23916"/>
  <c r="GQ63" i="23916"/>
  <c r="GP72" i="23916"/>
  <c r="GP65" i="23916"/>
  <c r="GQ65" i="23916" s="1"/>
  <c r="GU392" i="23916"/>
  <c r="GU440" i="23916"/>
  <c r="GT383" i="23916"/>
  <c r="GT444" i="23916"/>
  <c r="GV479" i="23916"/>
  <c r="GU479" i="23916"/>
  <c r="GP71" i="23916"/>
  <c r="GQ62" i="23916"/>
  <c r="GY168" i="23916"/>
  <c r="GZ168" i="23916"/>
  <c r="GR38" i="23916"/>
  <c r="GT481" i="23916"/>
  <c r="GS481" i="23916"/>
  <c r="GR472" i="23916"/>
  <c r="GP193" i="23916"/>
  <c r="GP195" i="23916"/>
  <c r="GQ195" i="23916" s="1"/>
  <c r="GQ187" i="23916"/>
  <c r="GZ407" i="23916"/>
  <c r="GY407" i="23916"/>
  <c r="GT151" i="23916"/>
  <c r="GU151" i="23916" s="1"/>
  <c r="GU145" i="23916"/>
  <c r="GU805" i="23916" s="1"/>
  <c r="GZ171" i="23916"/>
  <c r="GY171" i="23916"/>
  <c r="GS478" i="23916"/>
  <c r="GR469" i="23916"/>
  <c r="GT478" i="23916"/>
  <c r="GR470" i="23916"/>
  <c r="GS398" i="23916"/>
  <c r="EW496" i="23916"/>
  <c r="EX496" i="23916" s="1"/>
  <c r="EX487" i="23916"/>
  <c r="GP487" i="23916"/>
  <c r="EW492" i="23916"/>
  <c r="EC55" i="23916"/>
  <c r="EC52" i="23916"/>
  <c r="EC51" i="23916"/>
  <c r="ED46" i="23916"/>
  <c r="EC54" i="23916"/>
  <c r="ED54" i="23916" s="1"/>
  <c r="EW863" i="23916"/>
  <c r="EX598" i="23916"/>
  <c r="GP598" i="23916"/>
  <c r="GT455" i="23916"/>
  <c r="GT458" i="23916" s="1"/>
  <c r="GT456" i="23916"/>
  <c r="GU453" i="23916"/>
  <c r="GV422" i="23916"/>
  <c r="GV425" i="23916" s="1"/>
  <c r="GV423" i="23916"/>
  <c r="GW420" i="23916"/>
  <c r="GY408" i="23916"/>
  <c r="GZ408" i="23916"/>
  <c r="GX414" i="23916"/>
  <c r="GZ414" i="23916" s="1"/>
  <c r="EX188" i="23916"/>
  <c r="GP188" i="23916"/>
  <c r="EV622" i="23916"/>
  <c r="GV42" i="23916"/>
  <c r="GU42" i="23916"/>
  <c r="GU441" i="23916"/>
  <c r="GT447" i="23916"/>
  <c r="GT824" i="23916" s="1"/>
  <c r="GT384" i="23916"/>
  <c r="GU384" i="23916" s="1"/>
  <c r="GZ462" i="23916"/>
  <c r="GY462" i="23916"/>
  <c r="GX170" i="23916"/>
  <c r="GP73" i="23916"/>
  <c r="GQ64" i="23916"/>
  <c r="GR158" i="23916"/>
  <c r="GS135" i="23916"/>
  <c r="GR160" i="23916"/>
  <c r="AD62" i="23920"/>
  <c r="AD53" i="24103"/>
  <c r="AA54" i="24103"/>
  <c r="AA23" i="24103"/>
  <c r="AA27" i="23920"/>
  <c r="AA63" i="23920"/>
  <c r="AB63" i="23920"/>
  <c r="AB27" i="23920"/>
  <c r="AB23" i="24103"/>
  <c r="AB54" i="24103"/>
  <c r="AC53" i="24103"/>
  <c r="AC62" i="23920"/>
  <c r="M85" i="24135"/>
  <c r="M49" i="24135"/>
  <c r="L85" i="24135"/>
  <c r="G6" i="24135"/>
  <c r="H35" i="24135"/>
  <c r="H115" i="24135"/>
  <c r="H68" i="24135"/>
  <c r="F35" i="24135"/>
  <c r="I35" i="24135"/>
  <c r="I68" i="24135"/>
  <c r="F49" i="24135"/>
  <c r="H6" i="24135"/>
  <c r="K67" i="24135"/>
  <c r="L68" i="24135" s="1"/>
  <c r="I41" i="24135"/>
  <c r="I12" i="24135"/>
  <c r="H41" i="24135"/>
  <c r="H12" i="24135"/>
  <c r="G41" i="24135"/>
  <c r="G12" i="24135"/>
  <c r="M12" i="24135"/>
  <c r="M5" i="24135"/>
  <c r="L34" i="24135"/>
  <c r="M35" i="24135" s="1"/>
  <c r="L5" i="24135"/>
  <c r="B12" i="24135"/>
  <c r="B41" i="24135"/>
  <c r="K48" i="24135"/>
  <c r="L49" i="24135" s="1"/>
  <c r="C41" i="24135"/>
  <c r="C12" i="24135"/>
  <c r="M114" i="24135"/>
  <c r="G35" i="24135"/>
  <c r="D41" i="24135"/>
  <c r="D12" i="24135"/>
  <c r="K34" i="24135"/>
  <c r="K5" i="24135"/>
  <c r="F12" i="24135"/>
  <c r="F41" i="24135"/>
  <c r="M68" i="24135"/>
  <c r="L115" i="24135"/>
  <c r="E41" i="24135"/>
  <c r="E12" i="24135"/>
  <c r="F6" i="24135"/>
  <c r="I6" i="24135"/>
  <c r="L122" i="24135"/>
  <c r="H86" i="24135"/>
  <c r="H135" i="24135"/>
  <c r="G135" i="24135"/>
  <c r="K135" i="24135"/>
  <c r="E86" i="24135"/>
  <c r="F50" i="24135"/>
  <c r="B135" i="24135"/>
  <c r="E135" i="24135"/>
  <c r="D135" i="24135"/>
  <c r="N34" i="24135"/>
  <c r="N35" i="24135" s="1"/>
  <c r="G86" i="24135"/>
  <c r="F135" i="24135"/>
  <c r="GW425" i="23916" l="1"/>
  <c r="GV426" i="23916"/>
  <c r="GW426" i="23916" s="1"/>
  <c r="GX420" i="23916"/>
  <c r="GV434" i="23916"/>
  <c r="GW434" i="23916" s="1"/>
  <c r="GU458" i="23916"/>
  <c r="GT459" i="23916"/>
  <c r="GU459" i="23916" s="1"/>
  <c r="GV453" i="23916"/>
  <c r="GS160" i="23916"/>
  <c r="GR164" i="23916"/>
  <c r="GR161" i="23916"/>
  <c r="GR162" i="23916" s="1"/>
  <c r="GS162" i="23916" s="1"/>
  <c r="GR73" i="23916"/>
  <c r="GQ73" i="23916"/>
  <c r="EC56" i="23916"/>
  <c r="ED56" i="23916" s="1"/>
  <c r="ED55" i="23916"/>
  <c r="GP496" i="23916"/>
  <c r="GQ496" i="23916" s="1"/>
  <c r="GQ487" i="23916"/>
  <c r="GP494" i="23916"/>
  <c r="GP492" i="23916"/>
  <c r="GP808" i="23916"/>
  <c r="GQ808" i="23916" s="1"/>
  <c r="GP800" i="23916"/>
  <c r="GQ800" i="23916" s="1"/>
  <c r="GQ193" i="23916"/>
  <c r="GT32" i="23916"/>
  <c r="GS38" i="23916"/>
  <c r="GR39" i="23916"/>
  <c r="GU444" i="23916"/>
  <c r="GV438" i="23916"/>
  <c r="GT466" i="23916"/>
  <c r="GU466" i="23916" s="1"/>
  <c r="GT445" i="23916"/>
  <c r="GU445" i="23916" s="1"/>
  <c r="GS471" i="23916"/>
  <c r="GR473" i="23916"/>
  <c r="GS473" i="23916" s="1"/>
  <c r="GR475" i="23916"/>
  <c r="GP497" i="23916"/>
  <c r="GQ488" i="23916"/>
  <c r="GZ170" i="23916"/>
  <c r="GY170" i="23916"/>
  <c r="GX42" i="23916"/>
  <c r="GW42" i="23916"/>
  <c r="GP863" i="23916"/>
  <c r="GQ863" i="23916" s="1"/>
  <c r="GQ598" i="23916"/>
  <c r="GS470" i="23916"/>
  <c r="GS472" i="23916"/>
  <c r="GR71" i="23916"/>
  <c r="GQ71" i="23916"/>
  <c r="GU383" i="23916"/>
  <c r="GT387" i="23916"/>
  <c r="GT809" i="23916"/>
  <c r="GT155" i="23916"/>
  <c r="GU155" i="23916" s="1"/>
  <c r="GT135" i="23916"/>
  <c r="GU133" i="23916"/>
  <c r="GV127" i="23916"/>
  <c r="EW864" i="23916"/>
  <c r="EX192" i="23916"/>
  <c r="GZ412" i="23916"/>
  <c r="GY412" i="23916"/>
  <c r="GW143" i="23916"/>
  <c r="GV146" i="23916"/>
  <c r="GV145" i="23916"/>
  <c r="GR847" i="23916"/>
  <c r="GS847" i="23916" s="1"/>
  <c r="GS158" i="23916"/>
  <c r="GP189" i="23916"/>
  <c r="GQ188" i="23916"/>
  <c r="GW423" i="23916"/>
  <c r="GV428" i="23916"/>
  <c r="GW428" i="23916" s="1"/>
  <c r="GU456" i="23916"/>
  <c r="GT461" i="23916"/>
  <c r="GT395" i="23916"/>
  <c r="ED51" i="23916"/>
  <c r="EE46" i="23916"/>
  <c r="EC58" i="23916"/>
  <c r="ED58" i="23916" s="1"/>
  <c r="GV478" i="23916"/>
  <c r="GU478" i="23916"/>
  <c r="GP190" i="23916"/>
  <c r="GP74" i="23916"/>
  <c r="GQ74" i="23916" s="1"/>
  <c r="GR72" i="23916"/>
  <c r="GQ72" i="23916"/>
  <c r="GU480" i="23916"/>
  <c r="GT482" i="23916"/>
  <c r="GU482" i="23916" s="1"/>
  <c r="GV480" i="23916"/>
  <c r="GZ167" i="23916"/>
  <c r="GY167" i="23916"/>
  <c r="EX614" i="23916"/>
  <c r="GV431" i="23916"/>
  <c r="GW431" i="23916" s="1"/>
  <c r="GW422" i="23916"/>
  <c r="GT463" i="23916"/>
  <c r="GU463" i="23916" s="1"/>
  <c r="GU455" i="23916"/>
  <c r="GT394" i="23916"/>
  <c r="ED52" i="23916"/>
  <c r="EC70" i="23916"/>
  <c r="ED70" i="23916" s="1"/>
  <c r="EX492" i="23916"/>
  <c r="EW500" i="23916"/>
  <c r="GR846" i="23916"/>
  <c r="GS846" i="23916" s="1"/>
  <c r="GS469" i="23916"/>
  <c r="GV481" i="23916"/>
  <c r="GU481" i="23916"/>
  <c r="GX479" i="23916"/>
  <c r="GW479" i="23916"/>
  <c r="GV183" i="23916"/>
  <c r="GX182" i="23916"/>
  <c r="GW182" i="23916"/>
  <c r="GW41" i="23916"/>
  <c r="GX41" i="23916"/>
  <c r="GT828" i="23916"/>
  <c r="GU130" i="23916"/>
  <c r="GT140" i="23916"/>
  <c r="GP862" i="23916"/>
  <c r="GQ592" i="23916"/>
  <c r="GX43" i="23916"/>
  <c r="GW43" i="23916"/>
  <c r="GU148" i="23916"/>
  <c r="AF62" i="23920"/>
  <c r="AF53" i="24103"/>
  <c r="AD63" i="23920"/>
  <c r="AD27" i="23920"/>
  <c r="AD54" i="24103"/>
  <c r="AD23" i="24103"/>
  <c r="AC23" i="24103"/>
  <c r="AC63" i="23920"/>
  <c r="AC27" i="23920"/>
  <c r="AC54" i="24103"/>
  <c r="AE53" i="24103"/>
  <c r="AE62" i="23920"/>
  <c r="M6" i="24135"/>
  <c r="L6" i="24135"/>
  <c r="N67" i="24135"/>
  <c r="N68" i="24135" s="1"/>
  <c r="N84" i="24135"/>
  <c r="N85" i="24135" s="1"/>
  <c r="L35" i="24135"/>
  <c r="L41" i="24135"/>
  <c r="L12" i="24135"/>
  <c r="K12" i="24135"/>
  <c r="K41" i="24135"/>
  <c r="K122" i="24135"/>
  <c r="G7" i="24135"/>
  <c r="G36" i="24135"/>
  <c r="N48" i="24135"/>
  <c r="N49" i="24135" s="1"/>
  <c r="N114" i="24135"/>
  <c r="M122" i="24135"/>
  <c r="F69" i="24135"/>
  <c r="I69" i="24135"/>
  <c r="E50" i="24135"/>
  <c r="G50" i="24135"/>
  <c r="B69" i="24135"/>
  <c r="C135" i="24135"/>
  <c r="D69" i="24135"/>
  <c r="C19" i="24135"/>
  <c r="C50" i="24135"/>
  <c r="E69" i="24135"/>
  <c r="C69" i="24135"/>
  <c r="I135" i="24135"/>
  <c r="H50" i="24135"/>
  <c r="G19" i="24135"/>
  <c r="F86" i="24135"/>
  <c r="L135" i="24135"/>
  <c r="GT826" i="23916" l="1"/>
  <c r="GT783" i="23916"/>
  <c r="GU140" i="23916"/>
  <c r="GP614" i="23916"/>
  <c r="GP196" i="23916"/>
  <c r="GQ196" i="23916" s="1"/>
  <c r="GP192" i="23916"/>
  <c r="GQ190" i="23916"/>
  <c r="GP8" i="23916"/>
  <c r="GQ8" i="23916" s="1"/>
  <c r="GT825" i="23916"/>
  <c r="GU461" i="23916"/>
  <c r="GV130" i="23916"/>
  <c r="GV133" i="23916" s="1"/>
  <c r="GV129" i="23916"/>
  <c r="GW129" i="23916" s="1"/>
  <c r="GW127" i="23916"/>
  <c r="GV131" i="23916"/>
  <c r="GW131" i="23916" s="1"/>
  <c r="GW438" i="23916"/>
  <c r="GV442" i="23916"/>
  <c r="GV385" i="23916" s="1"/>
  <c r="GV444" i="23916"/>
  <c r="GV445" i="23916" s="1"/>
  <c r="GW445" i="23916" s="1"/>
  <c r="GV441" i="23916"/>
  <c r="GV440" i="23916"/>
  <c r="GT73" i="23916"/>
  <c r="GS73" i="23916"/>
  <c r="GY43" i="23916"/>
  <c r="GZ43" i="23916"/>
  <c r="GZ479" i="23916"/>
  <c r="GY479" i="23916"/>
  <c r="EE54" i="23916"/>
  <c r="EF54" i="23916" s="1"/>
  <c r="EE55" i="23916"/>
  <c r="EE52" i="23916"/>
  <c r="EE51" i="23916"/>
  <c r="EF46" i="23916"/>
  <c r="GW145" i="23916"/>
  <c r="GV151" i="23916"/>
  <c r="GW151" i="23916" s="1"/>
  <c r="GT71" i="23916"/>
  <c r="GS71" i="23916"/>
  <c r="GZ42" i="23916"/>
  <c r="GY42" i="23916"/>
  <c r="GQ497" i="23916"/>
  <c r="GR497" i="23916"/>
  <c r="GT36" i="23916"/>
  <c r="GU36" i="23916" s="1"/>
  <c r="GT34" i="23916"/>
  <c r="GU34" i="23916" s="1"/>
  <c r="GT35" i="23916"/>
  <c r="GU35" i="23916" s="1"/>
  <c r="GU32" i="23916"/>
  <c r="GQ492" i="23916"/>
  <c r="GP500" i="23916"/>
  <c r="GS161" i="23916"/>
  <c r="GR175" i="23916"/>
  <c r="GV455" i="23916"/>
  <c r="GV456" i="23916"/>
  <c r="GW453" i="23916"/>
  <c r="GX422" i="23916"/>
  <c r="GZ420" i="23916"/>
  <c r="GX423" i="23916"/>
  <c r="GY420" i="23916"/>
  <c r="GX425" i="23916"/>
  <c r="GX183" i="23916"/>
  <c r="GZ182" i="23916"/>
  <c r="GY182" i="23916"/>
  <c r="GV482" i="23916"/>
  <c r="GW482" i="23916" s="1"/>
  <c r="GX480" i="23916"/>
  <c r="GW480" i="23916"/>
  <c r="GS72" i="23916"/>
  <c r="GR74" i="23916"/>
  <c r="GS74" i="23916" s="1"/>
  <c r="GT72" i="23916"/>
  <c r="GW478" i="23916"/>
  <c r="GX478" i="23916"/>
  <c r="GR189" i="23916"/>
  <c r="GQ189" i="23916"/>
  <c r="GW146" i="23916"/>
  <c r="GV154" i="23916"/>
  <c r="GW154" i="23916" s="1"/>
  <c r="GT158" i="23916"/>
  <c r="GU135" i="23916"/>
  <c r="GT160" i="23916"/>
  <c r="GT401" i="23916"/>
  <c r="GU401" i="23916" s="1"/>
  <c r="GU387" i="23916"/>
  <c r="GV381" i="23916"/>
  <c r="GT388" i="23916"/>
  <c r="GR476" i="23916"/>
  <c r="GS475" i="23916"/>
  <c r="GS39" i="23916"/>
  <c r="GR64" i="23916"/>
  <c r="GS64" i="23916" s="1"/>
  <c r="GR63" i="23916"/>
  <c r="GR62" i="23916"/>
  <c r="GR494" i="23916"/>
  <c r="GQ494" i="23916"/>
  <c r="GS164" i="23916"/>
  <c r="GR165" i="23916"/>
  <c r="GP864" i="23916"/>
  <c r="GQ864" i="23916" s="1"/>
  <c r="GQ862" i="23916"/>
  <c r="GZ41" i="23916"/>
  <c r="GY41" i="23916"/>
  <c r="GX481" i="23916"/>
  <c r="GW481" i="23916"/>
  <c r="EW506" i="23916"/>
  <c r="EW503" i="23916"/>
  <c r="EX500" i="23916"/>
  <c r="EW501" i="23916"/>
  <c r="EW508" i="23916"/>
  <c r="EX508" i="23916" s="1"/>
  <c r="GU394" i="23916"/>
  <c r="GT397" i="23916"/>
  <c r="GU395" i="23916"/>
  <c r="GT400" i="23916"/>
  <c r="GU400" i="23916" s="1"/>
  <c r="GV147" i="23916"/>
  <c r="AG62" i="23920"/>
  <c r="AG53" i="24103"/>
  <c r="AF23" i="24103"/>
  <c r="AF27" i="23920"/>
  <c r="AF63" i="23920"/>
  <c r="AF54" i="24103"/>
  <c r="AE63" i="23920"/>
  <c r="AE27" i="23920"/>
  <c r="AE54" i="24103"/>
  <c r="AE23" i="24103"/>
  <c r="G20" i="24135"/>
  <c r="I50" i="24135"/>
  <c r="I51" i="24135" s="1"/>
  <c r="G51" i="24135"/>
  <c r="I70" i="24135"/>
  <c r="F70" i="24135"/>
  <c r="E36" i="24135"/>
  <c r="E7" i="24135"/>
  <c r="D50" i="24135"/>
  <c r="H51" i="24135" s="1"/>
  <c r="C7" i="24135"/>
  <c r="G8" i="24135" s="1"/>
  <c r="C36" i="24135"/>
  <c r="G37" i="24135" s="1"/>
  <c r="I36" i="24135"/>
  <c r="I7" i="24135"/>
  <c r="B36" i="24135"/>
  <c r="B7" i="24135"/>
  <c r="B50" i="24135"/>
  <c r="F51" i="24135" s="1"/>
  <c r="H69" i="24135"/>
  <c r="H70" i="24135" s="1"/>
  <c r="M38" i="24135"/>
  <c r="I19" i="24135"/>
  <c r="G69" i="24135"/>
  <c r="G70" i="24135" s="1"/>
  <c r="D86" i="24135"/>
  <c r="H87" i="24135" s="1"/>
  <c r="B86" i="24135"/>
  <c r="F87" i="24135" s="1"/>
  <c r="M39" i="24135"/>
  <c r="M135" i="24135"/>
  <c r="M7" i="24135"/>
  <c r="M50" i="24135"/>
  <c r="N122" i="24135"/>
  <c r="M36" i="24135"/>
  <c r="GV809" i="23916" l="1"/>
  <c r="GV155" i="23916"/>
  <c r="GW155" i="23916" s="1"/>
  <c r="GW133" i="23916"/>
  <c r="GX127" i="23916"/>
  <c r="GV135" i="23916"/>
  <c r="EW622" i="23916"/>
  <c r="EW509" i="23916"/>
  <c r="EX509" i="23916" s="1"/>
  <c r="EW505" i="23916"/>
  <c r="EX503" i="23916"/>
  <c r="EW14" i="23916"/>
  <c r="GS63" i="23916"/>
  <c r="GR65" i="23916"/>
  <c r="GS65" i="23916" s="1"/>
  <c r="GR592" i="23916"/>
  <c r="GR488" i="23916"/>
  <c r="GS476" i="23916"/>
  <c r="GT847" i="23916"/>
  <c r="GU158" i="23916"/>
  <c r="GS189" i="23916"/>
  <c r="GT189" i="23916"/>
  <c r="GT74" i="23916"/>
  <c r="GU74" i="23916" s="1"/>
  <c r="GV72" i="23916"/>
  <c r="GU72" i="23916"/>
  <c r="GY480" i="23916"/>
  <c r="GX482" i="23916"/>
  <c r="GZ480" i="23916"/>
  <c r="GW456" i="23916"/>
  <c r="GV461" i="23916"/>
  <c r="GV395" i="23916"/>
  <c r="GP508" i="23916"/>
  <c r="GQ508" i="23916" s="1"/>
  <c r="GP506" i="23916"/>
  <c r="GQ500" i="23916"/>
  <c r="GT497" i="23916"/>
  <c r="GR498" i="23916"/>
  <c r="GS497" i="23916"/>
  <c r="GW441" i="23916"/>
  <c r="GV447" i="23916"/>
  <c r="GV824" i="23916" s="1"/>
  <c r="GV384" i="23916"/>
  <c r="GW384" i="23916" s="1"/>
  <c r="GQ614" i="23916"/>
  <c r="EW797" i="23916"/>
  <c r="EW799" i="23916"/>
  <c r="EX506" i="23916"/>
  <c r="GR177" i="23916"/>
  <c r="GS165" i="23916"/>
  <c r="GR174" i="23916"/>
  <c r="GT494" i="23916"/>
  <c r="GR495" i="23916"/>
  <c r="GR487" i="23916" s="1"/>
  <c r="GS494" i="23916"/>
  <c r="GZ478" i="23916"/>
  <c r="GY478" i="23916"/>
  <c r="GX426" i="23916"/>
  <c r="GZ425" i="23916"/>
  <c r="GY425" i="23916"/>
  <c r="GX434" i="23916"/>
  <c r="GX431" i="23916"/>
  <c r="GZ422" i="23916"/>
  <c r="GY422" i="23916"/>
  <c r="GV463" i="23916"/>
  <c r="GW463" i="23916" s="1"/>
  <c r="GW455" i="23916"/>
  <c r="GV394" i="23916"/>
  <c r="GW394" i="23916" s="1"/>
  <c r="GV71" i="23916"/>
  <c r="GU71" i="23916"/>
  <c r="EF51" i="23916"/>
  <c r="EG46" i="23916"/>
  <c r="EE58" i="23916"/>
  <c r="EF58" i="23916" s="1"/>
  <c r="GX438" i="23916"/>
  <c r="GW444" i="23916"/>
  <c r="GV828" i="23916"/>
  <c r="GW130" i="23916"/>
  <c r="GV140" i="23916"/>
  <c r="GU397" i="23916"/>
  <c r="GT398" i="23916"/>
  <c r="GV392" i="23916"/>
  <c r="EX501" i="23916"/>
  <c r="GP501" i="23916"/>
  <c r="GT471" i="23916"/>
  <c r="GT472" i="23916"/>
  <c r="GU388" i="23916"/>
  <c r="GU160" i="23916"/>
  <c r="GT164" i="23916"/>
  <c r="GT161" i="23916"/>
  <c r="GV458" i="23916"/>
  <c r="GS175" i="23916"/>
  <c r="GR598" i="23916"/>
  <c r="GT38" i="23916"/>
  <c r="EF52" i="23916"/>
  <c r="EE70" i="23916"/>
  <c r="EF70" i="23916" s="1"/>
  <c r="GV73" i="23916"/>
  <c r="GU73" i="23916"/>
  <c r="GQ192" i="23916"/>
  <c r="GV148" i="23916"/>
  <c r="GW147" i="23916"/>
  <c r="GX143" i="23916"/>
  <c r="GZ481" i="23916"/>
  <c r="GY481" i="23916"/>
  <c r="GS62" i="23916"/>
  <c r="GR591" i="23916"/>
  <c r="GS591" i="23916" s="1"/>
  <c r="GV387" i="23916"/>
  <c r="GV388" i="23916" s="1"/>
  <c r="GW381" i="23916"/>
  <c r="GY423" i="23916"/>
  <c r="GZ423" i="23916"/>
  <c r="GX428" i="23916"/>
  <c r="EE56" i="23916"/>
  <c r="EF56" i="23916" s="1"/>
  <c r="EF55" i="23916"/>
  <c r="GW440" i="23916"/>
  <c r="GV383" i="23916"/>
  <c r="GW383" i="23916" s="1"/>
  <c r="AG23" i="24103"/>
  <c r="AG63" i="23920"/>
  <c r="AG27" i="23920"/>
  <c r="AG54" i="24103"/>
  <c r="AO23" i="24103"/>
  <c r="AO27" i="23920"/>
  <c r="AO63" i="23920"/>
  <c r="AO54" i="24103"/>
  <c r="AX10" i="23920"/>
  <c r="AW10" i="23920"/>
  <c r="AX10" i="24103"/>
  <c r="AW10" i="24103"/>
  <c r="I86" i="24135"/>
  <c r="I87" i="24135" s="1"/>
  <c r="D36" i="24135"/>
  <c r="D7" i="24135"/>
  <c r="F36" i="24135"/>
  <c r="F37" i="24135" s="1"/>
  <c r="F7" i="24135"/>
  <c r="F8" i="24135" s="1"/>
  <c r="I37" i="24135"/>
  <c r="H36" i="24135"/>
  <c r="H7" i="24135"/>
  <c r="C86" i="24135"/>
  <c r="G87" i="24135" s="1"/>
  <c r="K36" i="24135"/>
  <c r="K7" i="24135"/>
  <c r="E19" i="24135"/>
  <c r="I20" i="24135" s="1"/>
  <c r="I8" i="24135"/>
  <c r="O67" i="24135"/>
  <c r="O68" i="24135" s="1"/>
  <c r="L69" i="24135"/>
  <c r="M116" i="24135"/>
  <c r="F19" i="24135"/>
  <c r="B19" i="24135"/>
  <c r="M19" i="24135"/>
  <c r="L86" i="24135"/>
  <c r="K19" i="24135"/>
  <c r="K69" i="24135"/>
  <c r="K86" i="24135"/>
  <c r="M69" i="24135"/>
  <c r="L19" i="24135"/>
  <c r="M86" i="24135"/>
  <c r="D19" i="24135"/>
  <c r="GS487" i="23916" l="1"/>
  <c r="GR496" i="23916"/>
  <c r="GS496" i="23916" s="1"/>
  <c r="GR492" i="23916"/>
  <c r="GV472" i="23916"/>
  <c r="GV471" i="23916"/>
  <c r="GW388" i="23916"/>
  <c r="GW148" i="23916"/>
  <c r="GV459" i="23916"/>
  <c r="GW459" i="23916" s="1"/>
  <c r="GX453" i="23916"/>
  <c r="GW458" i="23916"/>
  <c r="GQ501" i="23916"/>
  <c r="GP502" i="23916"/>
  <c r="GT470" i="23916"/>
  <c r="GU398" i="23916"/>
  <c r="GT469" i="23916"/>
  <c r="GX71" i="23916"/>
  <c r="GW71" i="23916"/>
  <c r="GZ434" i="23916"/>
  <c r="GY434" i="23916"/>
  <c r="GR888" i="23916"/>
  <c r="GS177" i="23916"/>
  <c r="GV497" i="23916"/>
  <c r="GT498" i="23916"/>
  <c r="GU497" i="23916"/>
  <c r="GP799" i="23916"/>
  <c r="GQ799" i="23916" s="1"/>
  <c r="GP797" i="23916"/>
  <c r="GQ797" i="23916" s="1"/>
  <c r="GQ506" i="23916"/>
  <c r="GV189" i="23916"/>
  <c r="GU189" i="23916"/>
  <c r="EX505" i="23916"/>
  <c r="GX129" i="23916"/>
  <c r="GZ127" i="23916"/>
  <c r="GY127" i="23916"/>
  <c r="GX130" i="23916"/>
  <c r="GX131" i="23916"/>
  <c r="GW387" i="23916"/>
  <c r="GX381" i="23916"/>
  <c r="GU38" i="23916"/>
  <c r="GV32" i="23916"/>
  <c r="GT39" i="23916"/>
  <c r="GT175" i="23916"/>
  <c r="GU161" i="23916"/>
  <c r="EG55" i="23916"/>
  <c r="EH46" i="23916"/>
  <c r="EG52" i="23916"/>
  <c r="EG51" i="23916"/>
  <c r="EG54" i="23916"/>
  <c r="EH54" i="23916" s="1"/>
  <c r="GU494" i="23916"/>
  <c r="GV494" i="23916"/>
  <c r="GT495" i="23916"/>
  <c r="GS488" i="23916"/>
  <c r="GY143" i="23916"/>
  <c r="GX146" i="23916"/>
  <c r="GZ143" i="23916"/>
  <c r="GX145" i="23916"/>
  <c r="GX73" i="23916"/>
  <c r="GW73" i="23916"/>
  <c r="GR863" i="23916"/>
  <c r="GS863" i="23916" s="1"/>
  <c r="GS598" i="23916"/>
  <c r="GT165" i="23916"/>
  <c r="GU164" i="23916"/>
  <c r="GU472" i="23916"/>
  <c r="GV826" i="23916"/>
  <c r="GV783" i="23916"/>
  <c r="GW140" i="23916"/>
  <c r="GX442" i="23916"/>
  <c r="GX385" i="23916" s="1"/>
  <c r="GY438" i="23916"/>
  <c r="GX441" i="23916"/>
  <c r="GZ438" i="23916"/>
  <c r="GX440" i="23916"/>
  <c r="GR883" i="23916"/>
  <c r="GS174" i="23916"/>
  <c r="GR176" i="23916"/>
  <c r="GW395" i="23916"/>
  <c r="GV400" i="23916"/>
  <c r="GW400" i="23916" s="1"/>
  <c r="GW72" i="23916"/>
  <c r="GV74" i="23916"/>
  <c r="GW74" i="23916" s="1"/>
  <c r="GX72" i="23916"/>
  <c r="EX622" i="23916"/>
  <c r="GP622" i="23916"/>
  <c r="GY428" i="23916"/>
  <c r="GZ428" i="23916"/>
  <c r="GT162" i="23916"/>
  <c r="GU162" i="23916" s="1"/>
  <c r="GT473" i="23916"/>
  <c r="GU473" i="23916" s="1"/>
  <c r="GU471" i="23916"/>
  <c r="GT475" i="23916"/>
  <c r="GW392" i="23916"/>
  <c r="GV397" i="23916"/>
  <c r="GV401" i="23916" s="1"/>
  <c r="GW401" i="23916" s="1"/>
  <c r="GV466" i="23916"/>
  <c r="GW466" i="23916" s="1"/>
  <c r="GY431" i="23916"/>
  <c r="GZ431" i="23916"/>
  <c r="GZ426" i="23916"/>
  <c r="GY426" i="23916"/>
  <c r="GP503" i="23916"/>
  <c r="GV825" i="23916"/>
  <c r="GW461" i="23916"/>
  <c r="GZ482" i="23916"/>
  <c r="GY482" i="23916"/>
  <c r="GR862" i="23916"/>
  <c r="GS592" i="23916"/>
  <c r="GV158" i="23916"/>
  <c r="GW135" i="23916"/>
  <c r="GV160" i="23916"/>
  <c r="AP23" i="24103"/>
  <c r="AP27" i="23920"/>
  <c r="AP63" i="23920"/>
  <c r="AP54" i="24103"/>
  <c r="H37" i="24135"/>
  <c r="L20" i="24135"/>
  <c r="M70" i="24135"/>
  <c r="H8" i="24135"/>
  <c r="L70" i="24135"/>
  <c r="F20" i="24135"/>
  <c r="L7" i="24135"/>
  <c r="L36" i="24135"/>
  <c r="L50" i="24135"/>
  <c r="H19" i="24135"/>
  <c r="H20" i="24135" s="1"/>
  <c r="N39" i="24135"/>
  <c r="L87" i="24135"/>
  <c r="N38" i="24135"/>
  <c r="K50" i="24135"/>
  <c r="O84" i="24135"/>
  <c r="O85" i="24135" s="1"/>
  <c r="O48" i="24135"/>
  <c r="O49" i="24135" s="1"/>
  <c r="GW160" i="23916" l="1"/>
  <c r="GV164" i="23916"/>
  <c r="GV161" i="23916"/>
  <c r="GR864" i="23916"/>
  <c r="GS864" i="23916" s="1"/>
  <c r="GS862" i="23916"/>
  <c r="GQ622" i="23916"/>
  <c r="GX74" i="23916"/>
  <c r="GZ72" i="23916"/>
  <c r="GY72" i="23916"/>
  <c r="GY440" i="23916"/>
  <c r="GZ440" i="23916"/>
  <c r="GX383" i="23916"/>
  <c r="GX444" i="23916"/>
  <c r="GU39" i="23916"/>
  <c r="GT64" i="23916"/>
  <c r="GU64" i="23916" s="1"/>
  <c r="GT63" i="23916"/>
  <c r="GT62" i="23916"/>
  <c r="GU62" i="23916" s="1"/>
  <c r="GZ381" i="23916"/>
  <c r="GY381" i="23916"/>
  <c r="GZ130" i="23916"/>
  <c r="GY130" i="23916"/>
  <c r="GX140" i="23916"/>
  <c r="GZ129" i="23916"/>
  <c r="GY129" i="23916"/>
  <c r="GW497" i="23916"/>
  <c r="GX497" i="23916"/>
  <c r="GV498" i="23916"/>
  <c r="GS492" i="23916"/>
  <c r="GR500" i="23916"/>
  <c r="GP505" i="23916"/>
  <c r="GP509" i="23916"/>
  <c r="GQ509" i="23916" s="1"/>
  <c r="GQ503" i="23916"/>
  <c r="GP14" i="23916"/>
  <c r="GT476" i="23916"/>
  <c r="GU475" i="23916"/>
  <c r="GS176" i="23916"/>
  <c r="GR180" i="23916"/>
  <c r="GY146" i="23916"/>
  <c r="GZ146" i="23916"/>
  <c r="GX154" i="23916"/>
  <c r="EG56" i="23916"/>
  <c r="EH56" i="23916" s="1"/>
  <c r="EH55" i="23916"/>
  <c r="GV38" i="23916"/>
  <c r="GV39" i="23916" s="1"/>
  <c r="GV34" i="23916"/>
  <c r="GW34" i="23916" s="1"/>
  <c r="GV35" i="23916"/>
  <c r="GW35" i="23916" s="1"/>
  <c r="GW32" i="23916"/>
  <c r="GV36" i="23916"/>
  <c r="GW36" i="23916" s="1"/>
  <c r="GX133" i="23916"/>
  <c r="GT591" i="23916"/>
  <c r="GU591" i="23916" s="1"/>
  <c r="GU470" i="23916"/>
  <c r="GX455" i="23916"/>
  <c r="GZ453" i="23916"/>
  <c r="GX456" i="23916"/>
  <c r="GX458" i="23916" s="1"/>
  <c r="GY453" i="23916"/>
  <c r="GV847" i="23916"/>
  <c r="GW158" i="23916"/>
  <c r="GT177" i="23916"/>
  <c r="GU165" i="23916"/>
  <c r="GT174" i="23916"/>
  <c r="GZ73" i="23916"/>
  <c r="GY73" i="23916"/>
  <c r="EH51" i="23916"/>
  <c r="EI46" i="23916"/>
  <c r="EG58" i="23916"/>
  <c r="EH58" i="23916" s="1"/>
  <c r="GX189" i="23916"/>
  <c r="GW189" i="23916"/>
  <c r="GZ71" i="23916"/>
  <c r="GY71" i="23916"/>
  <c r="GR502" i="23916"/>
  <c r="GQ502" i="23916"/>
  <c r="GW471" i="23916"/>
  <c r="GV473" i="23916"/>
  <c r="GW473" i="23916" s="1"/>
  <c r="GV398" i="23916"/>
  <c r="GX392" i="23916"/>
  <c r="GW397" i="23916"/>
  <c r="GZ441" i="23916"/>
  <c r="GY441" i="23916"/>
  <c r="GX447" i="23916"/>
  <c r="GX384" i="23916"/>
  <c r="GX387" i="23916" s="1"/>
  <c r="GX151" i="23916"/>
  <c r="GY145" i="23916"/>
  <c r="GZ145" i="23916"/>
  <c r="GX147" i="23916"/>
  <c r="GX494" i="23916"/>
  <c r="GV495" i="23916"/>
  <c r="GW494" i="23916"/>
  <c r="EH52" i="23916"/>
  <c r="EG70" i="23916"/>
  <c r="EH70" i="23916" s="1"/>
  <c r="GU175" i="23916"/>
  <c r="GT598" i="23916"/>
  <c r="GZ131" i="23916"/>
  <c r="GY131" i="23916"/>
  <c r="GT846" i="23916"/>
  <c r="GU469" i="23916"/>
  <c r="GW472" i="23916"/>
  <c r="L37" i="24135"/>
  <c r="M37" i="24135"/>
  <c r="L8" i="24135"/>
  <c r="M8" i="24135"/>
  <c r="L51" i="24135"/>
  <c r="M51" i="24135"/>
  <c r="O114" i="24135"/>
  <c r="O34" i="24135"/>
  <c r="O35" i="24135" s="1"/>
  <c r="L10" i="23920"/>
  <c r="GW39" i="23916" l="1"/>
  <c r="GV64" i="23916"/>
  <c r="GW64" i="23916" s="1"/>
  <c r="GV63" i="23916"/>
  <c r="GV62" i="23916"/>
  <c r="GW62" i="23916" s="1"/>
  <c r="GZ387" i="23916"/>
  <c r="GY387" i="23916"/>
  <c r="GX388" i="23916"/>
  <c r="GY458" i="23916"/>
  <c r="GX459" i="23916"/>
  <c r="GZ458" i="23916"/>
  <c r="GT863" i="23916"/>
  <c r="GU598" i="23916"/>
  <c r="GX824" i="23916"/>
  <c r="GZ447" i="23916"/>
  <c r="GV470" i="23916"/>
  <c r="GW398" i="23916"/>
  <c r="GV469" i="23916"/>
  <c r="EI54" i="23916"/>
  <c r="EJ54" i="23916" s="1"/>
  <c r="EJ46" i="23916"/>
  <c r="EI55" i="23916"/>
  <c r="EI52" i="23916"/>
  <c r="EI51" i="23916"/>
  <c r="GT883" i="23916"/>
  <c r="GU174" i="23916"/>
  <c r="GT176" i="23916"/>
  <c r="GZ455" i="23916"/>
  <c r="GX463" i="23916"/>
  <c r="GY455" i="23916"/>
  <c r="GX394" i="23916"/>
  <c r="GX809" i="23916"/>
  <c r="GX155" i="23916"/>
  <c r="GX135" i="23916"/>
  <c r="GZ133" i="23916"/>
  <c r="GY133" i="23916"/>
  <c r="GS180" i="23916"/>
  <c r="GR187" i="23916"/>
  <c r="GT488" i="23916"/>
  <c r="GU476" i="23916"/>
  <c r="GT487" i="23916"/>
  <c r="GQ505" i="23916"/>
  <c r="GZ497" i="23916"/>
  <c r="GX498" i="23916"/>
  <c r="GY497" i="23916"/>
  <c r="GX826" i="23916"/>
  <c r="GX783" i="23916"/>
  <c r="GZ140" i="23916"/>
  <c r="GY140" i="23916"/>
  <c r="GV175" i="23916"/>
  <c r="GW161" i="23916"/>
  <c r="GX495" i="23916"/>
  <c r="GZ494" i="23916"/>
  <c r="GY494" i="23916"/>
  <c r="GY151" i="23916"/>
  <c r="GZ151" i="23916"/>
  <c r="GZ154" i="23916"/>
  <c r="GY154" i="23916"/>
  <c r="GQ14" i="23916"/>
  <c r="GR508" i="23916"/>
  <c r="GS508" i="23916" s="1"/>
  <c r="GR501" i="23916"/>
  <c r="GS500" i="23916"/>
  <c r="GR506" i="23916"/>
  <c r="GR503" i="23916"/>
  <c r="GY444" i="23916"/>
  <c r="GX466" i="23916"/>
  <c r="GZ444" i="23916"/>
  <c r="GX445" i="23916"/>
  <c r="GV165" i="23916"/>
  <c r="GW164" i="23916"/>
  <c r="GZ147" i="23916"/>
  <c r="GY147" i="23916"/>
  <c r="GX148" i="23916"/>
  <c r="GY384" i="23916"/>
  <c r="GZ384" i="23916"/>
  <c r="GS502" i="23916"/>
  <c r="GT502" i="23916"/>
  <c r="GZ189" i="23916"/>
  <c r="GY189" i="23916"/>
  <c r="GT888" i="23916"/>
  <c r="GU177" i="23916"/>
  <c r="GZ456" i="23916"/>
  <c r="GY456" i="23916"/>
  <c r="GX461" i="23916"/>
  <c r="GX395" i="23916"/>
  <c r="GX32" i="23916"/>
  <c r="GW38" i="23916"/>
  <c r="GU63" i="23916"/>
  <c r="GT65" i="23916"/>
  <c r="GU65" i="23916" s="1"/>
  <c r="GT592" i="23916"/>
  <c r="GZ383" i="23916"/>
  <c r="GY383" i="23916"/>
  <c r="GX397" i="23916"/>
  <c r="GZ392" i="23916"/>
  <c r="GY392" i="23916"/>
  <c r="GX828" i="23916"/>
  <c r="GY74" i="23916"/>
  <c r="GZ74" i="23916"/>
  <c r="GV162" i="23916"/>
  <c r="GW162" i="23916" s="1"/>
  <c r="N86" i="24135"/>
  <c r="N87" i="24135" s="1"/>
  <c r="O39" i="24135"/>
  <c r="N69" i="24135"/>
  <c r="N70" i="24135" s="1"/>
  <c r="N50" i="24135"/>
  <c r="N51" i="24135" s="1"/>
  <c r="N36" i="24135"/>
  <c r="N37" i="24135" s="1"/>
  <c r="N10" i="23920"/>
  <c r="M10" i="23920"/>
  <c r="GY397" i="23916" l="1"/>
  <c r="GX398" i="23916"/>
  <c r="GZ397" i="23916"/>
  <c r="GR622" i="23916"/>
  <c r="GR509" i="23916"/>
  <c r="GS509" i="23916" s="1"/>
  <c r="GR505" i="23916"/>
  <c r="GS505" i="23916" s="1"/>
  <c r="GS503" i="23916"/>
  <c r="GR14" i="23916"/>
  <c r="EK46" i="23916"/>
  <c r="EJ51" i="23916"/>
  <c r="EI58" i="23916"/>
  <c r="EJ58" i="23916" s="1"/>
  <c r="GZ395" i="23916"/>
  <c r="GY395" i="23916"/>
  <c r="GX400" i="23916"/>
  <c r="GV502" i="23916"/>
  <c r="GU502" i="23916"/>
  <c r="GZ148" i="23916"/>
  <c r="GY148" i="23916"/>
  <c r="GZ466" i="23916"/>
  <c r="GY466" i="23916"/>
  <c r="GR799" i="23916"/>
  <c r="GS799" i="23916" s="1"/>
  <c r="GR797" i="23916"/>
  <c r="GS797" i="23916" s="1"/>
  <c r="GS506" i="23916"/>
  <c r="GU488" i="23916"/>
  <c r="GZ394" i="23916"/>
  <c r="GY394" i="23916"/>
  <c r="GT180" i="23916"/>
  <c r="GU176" i="23916"/>
  <c r="EJ52" i="23916"/>
  <c r="EI70" i="23916"/>
  <c r="GV846" i="23916"/>
  <c r="GW469" i="23916"/>
  <c r="GZ459" i="23916"/>
  <c r="GY459" i="23916"/>
  <c r="GX401" i="23916"/>
  <c r="GW63" i="23916"/>
  <c r="GV65" i="23916"/>
  <c r="GW65" i="23916" s="1"/>
  <c r="GV592" i="23916"/>
  <c r="GX36" i="23916"/>
  <c r="GX34" i="23916"/>
  <c r="GZ32" i="23916"/>
  <c r="GX35" i="23916"/>
  <c r="GY32" i="23916"/>
  <c r="GX825" i="23916"/>
  <c r="GY461" i="23916"/>
  <c r="GZ461" i="23916"/>
  <c r="GW165" i="23916"/>
  <c r="GV177" i="23916"/>
  <c r="GV174" i="23916"/>
  <c r="GR195" i="23916"/>
  <c r="GS195" i="23916" s="1"/>
  <c r="GR188" i="23916"/>
  <c r="GS188" i="23916" s="1"/>
  <c r="GS187" i="23916"/>
  <c r="GR193" i="23916"/>
  <c r="GX158" i="23916"/>
  <c r="GY135" i="23916"/>
  <c r="GZ135" i="23916"/>
  <c r="GX160" i="23916"/>
  <c r="EI56" i="23916"/>
  <c r="EJ55" i="23916"/>
  <c r="GT862" i="23916"/>
  <c r="GT864" i="23916" s="1"/>
  <c r="GU592" i="23916"/>
  <c r="GZ445" i="23916"/>
  <c r="GY445" i="23916"/>
  <c r="GS501" i="23916"/>
  <c r="GW175" i="23916"/>
  <c r="GV598" i="23916"/>
  <c r="GT496" i="23916"/>
  <c r="GU496" i="23916" s="1"/>
  <c r="GU487" i="23916"/>
  <c r="GT492" i="23916"/>
  <c r="GZ155" i="23916"/>
  <c r="GY155" i="23916"/>
  <c r="GZ463" i="23916"/>
  <c r="GY463" i="23916"/>
  <c r="GV591" i="23916"/>
  <c r="GW591" i="23916" s="1"/>
  <c r="GW470" i="23916"/>
  <c r="GV475" i="23916"/>
  <c r="GX471" i="23916"/>
  <c r="GX472" i="23916"/>
  <c r="GZ388" i="23916"/>
  <c r="GY388" i="23916"/>
  <c r="AW54" i="24103"/>
  <c r="AW23" i="24103"/>
  <c r="AW63" i="23920"/>
  <c r="AW27" i="23920"/>
  <c r="O122" i="24135"/>
  <c r="M21" i="24135"/>
  <c r="O38" i="24135"/>
  <c r="O10" i="23920"/>
  <c r="K10" i="23920"/>
  <c r="AI10" i="23920"/>
  <c r="ER56" i="23916" l="1"/>
  <c r="EJ56" i="23916"/>
  <c r="GX847" i="23916"/>
  <c r="GZ158" i="23916"/>
  <c r="GY158" i="23916"/>
  <c r="GZ34" i="23916"/>
  <c r="GY34" i="23916"/>
  <c r="EJ70" i="23916"/>
  <c r="ER70" i="23916"/>
  <c r="GS14" i="23916"/>
  <c r="GS622" i="23916"/>
  <c r="GZ160" i="23916"/>
  <c r="GY160" i="23916"/>
  <c r="GX164" i="23916"/>
  <c r="GX161" i="23916"/>
  <c r="GX162" i="23916" s="1"/>
  <c r="GR808" i="23916"/>
  <c r="GS808" i="23916" s="1"/>
  <c r="GR800" i="23916"/>
  <c r="GS800" i="23916" s="1"/>
  <c r="GS193" i="23916"/>
  <c r="GZ35" i="23916"/>
  <c r="GY35" i="23916"/>
  <c r="GX38" i="23916"/>
  <c r="GX502" i="23916"/>
  <c r="GW502" i="23916"/>
  <c r="GV476" i="23916"/>
  <c r="GW475" i="23916"/>
  <c r="GV883" i="23916"/>
  <c r="GV176" i="23916"/>
  <c r="GW174" i="23916"/>
  <c r="GZ36" i="23916"/>
  <c r="GY36" i="23916"/>
  <c r="GZ401" i="23916"/>
  <c r="GY401" i="23916"/>
  <c r="GY400" i="23916"/>
  <c r="GZ400" i="23916"/>
  <c r="GX470" i="23916"/>
  <c r="GZ398" i="23916"/>
  <c r="GY398" i="23916"/>
  <c r="GX469" i="23916"/>
  <c r="GZ472" i="23916"/>
  <c r="GY472" i="23916"/>
  <c r="GX473" i="23916"/>
  <c r="GZ471" i="23916"/>
  <c r="GY471" i="23916"/>
  <c r="GX475" i="23916"/>
  <c r="GU492" i="23916"/>
  <c r="GT500" i="23916"/>
  <c r="GV863" i="23916"/>
  <c r="GW598" i="23916"/>
  <c r="GR190" i="23916"/>
  <c r="GV888" i="23916"/>
  <c r="GW177" i="23916"/>
  <c r="GV862" i="23916"/>
  <c r="GV864" i="23916" s="1"/>
  <c r="GW592" i="23916"/>
  <c r="GU180" i="23916"/>
  <c r="GT187" i="23916"/>
  <c r="EK55" i="23916"/>
  <c r="EK52" i="23916"/>
  <c r="EK51" i="23916"/>
  <c r="EL46" i="23916"/>
  <c r="EK54" i="23916"/>
  <c r="EL54" i="23916" s="1"/>
  <c r="AX23" i="24103"/>
  <c r="AX54" i="24103"/>
  <c r="AX63" i="23920"/>
  <c r="AX27" i="23920"/>
  <c r="N116" i="24135"/>
  <c r="GZ162" i="23916" l="1"/>
  <c r="GY162" i="23916"/>
  <c r="GT508" i="23916"/>
  <c r="GU508" i="23916" s="1"/>
  <c r="GU500" i="23916"/>
  <c r="GT506" i="23916"/>
  <c r="GT501" i="23916"/>
  <c r="GT503" i="23916" s="1"/>
  <c r="GV487" i="23916"/>
  <c r="GV488" i="23916"/>
  <c r="GW476" i="23916"/>
  <c r="GZ38" i="23916"/>
  <c r="GY38" i="23916"/>
  <c r="GX39" i="23916"/>
  <c r="EL51" i="23916"/>
  <c r="EM46" i="23916"/>
  <c r="EK58" i="23916"/>
  <c r="EL58" i="23916" s="1"/>
  <c r="EL52" i="23916"/>
  <c r="EK70" i="23916"/>
  <c r="GR614" i="23916"/>
  <c r="GR192" i="23916"/>
  <c r="GR196" i="23916"/>
  <c r="GS196" i="23916" s="1"/>
  <c r="GS190" i="23916"/>
  <c r="GR8" i="23916"/>
  <c r="GS8" i="23916" s="1"/>
  <c r="GZ473" i="23916"/>
  <c r="GY473" i="23916"/>
  <c r="GZ470" i="23916"/>
  <c r="GY470" i="23916"/>
  <c r="GW176" i="23916"/>
  <c r="GV180" i="23916"/>
  <c r="GZ475" i="23916"/>
  <c r="GX476" i="23916"/>
  <c r="GY475" i="23916"/>
  <c r="GX846" i="23916"/>
  <c r="GZ469" i="23916"/>
  <c r="GY469" i="23916"/>
  <c r="GX175" i="23916"/>
  <c r="GZ161" i="23916"/>
  <c r="GY161" i="23916"/>
  <c r="EK56" i="23916"/>
  <c r="EL55" i="23916"/>
  <c r="GT193" i="23916"/>
  <c r="GT195" i="23916"/>
  <c r="GU195" i="23916" s="1"/>
  <c r="GT190" i="23916"/>
  <c r="GU187" i="23916"/>
  <c r="GT188" i="23916"/>
  <c r="GU188" i="23916" s="1"/>
  <c r="GZ502" i="23916"/>
  <c r="GY502" i="23916"/>
  <c r="GZ164" i="23916"/>
  <c r="GX165" i="23916"/>
  <c r="GY164" i="23916"/>
  <c r="O69" i="24135"/>
  <c r="O70" i="24135" s="1"/>
  <c r="O50" i="24135"/>
  <c r="O51" i="24135" s="1"/>
  <c r="O86" i="24135"/>
  <c r="O87" i="24135" s="1"/>
  <c r="GT622" i="23916" l="1"/>
  <c r="GT505" i="23916"/>
  <c r="GU505" i="23916" s="1"/>
  <c r="GU503" i="23916"/>
  <c r="GT509" i="23916"/>
  <c r="GU509" i="23916" s="1"/>
  <c r="GT14" i="23916"/>
  <c r="GT614" i="23916"/>
  <c r="GT196" i="23916"/>
  <c r="GU196" i="23916" s="1"/>
  <c r="GT192" i="23916"/>
  <c r="GU190" i="23916"/>
  <c r="GT8" i="23916"/>
  <c r="GU8" i="23916" s="1"/>
  <c r="EL56" i="23916"/>
  <c r="ET56" i="23916"/>
  <c r="GW180" i="23916"/>
  <c r="GV187" i="23916"/>
  <c r="EL70" i="23916"/>
  <c r="ET70" i="23916"/>
  <c r="GZ39" i="23916"/>
  <c r="GY39" i="23916"/>
  <c r="GX64" i="23916"/>
  <c r="GX63" i="23916"/>
  <c r="GX62" i="23916"/>
  <c r="GU501" i="23916"/>
  <c r="GY165" i="23916"/>
  <c r="GX177" i="23916"/>
  <c r="GZ165" i="23916"/>
  <c r="GX174" i="23916"/>
  <c r="GT808" i="23916"/>
  <c r="GT800" i="23916"/>
  <c r="GU193" i="23916"/>
  <c r="GX488" i="23916"/>
  <c r="GY476" i="23916"/>
  <c r="GX487" i="23916"/>
  <c r="GZ476" i="23916"/>
  <c r="GS192" i="23916"/>
  <c r="GW488" i="23916"/>
  <c r="GT799" i="23916"/>
  <c r="GT797" i="23916"/>
  <c r="GU506" i="23916"/>
  <c r="GZ175" i="23916"/>
  <c r="GY175" i="23916"/>
  <c r="GX598" i="23916"/>
  <c r="GS614" i="23916"/>
  <c r="EM54" i="23916"/>
  <c r="EN54" i="23916" s="1"/>
  <c r="EM55" i="23916"/>
  <c r="EM52" i="23916"/>
  <c r="EM51" i="23916"/>
  <c r="EN46" i="23916"/>
  <c r="GW487" i="23916"/>
  <c r="GV496" i="23916"/>
  <c r="GW496" i="23916" s="1"/>
  <c r="GV492" i="23916"/>
  <c r="O36" i="24135"/>
  <c r="O37" i="24135" s="1"/>
  <c r="AL59" i="24103"/>
  <c r="AN59" i="24103"/>
  <c r="AR59" i="24103"/>
  <c r="AT59" i="24103"/>
  <c r="AV59" i="24103"/>
  <c r="AY59" i="24103"/>
  <c r="A66" i="24103"/>
  <c r="A67" i="24103"/>
  <c r="A65" i="24103"/>
  <c r="A59" i="24103"/>
  <c r="K59" i="24103"/>
  <c r="M59" i="24103"/>
  <c r="O59" i="24103"/>
  <c r="Q59" i="24103"/>
  <c r="S59" i="24103"/>
  <c r="U59" i="24103"/>
  <c r="W59" i="24103"/>
  <c r="Y59" i="24103"/>
  <c r="A9" i="24103"/>
  <c r="A10" i="24103"/>
  <c r="K10" i="24103"/>
  <c r="M10" i="24103"/>
  <c r="O10" i="24103"/>
  <c r="EM56" i="23916" l="1"/>
  <c r="EN55" i="23916"/>
  <c r="GZ488" i="23916"/>
  <c r="GY488" i="23916"/>
  <c r="GX883" i="23916"/>
  <c r="GZ174" i="23916"/>
  <c r="GY174" i="23916"/>
  <c r="GX176" i="23916"/>
  <c r="GZ63" i="23916"/>
  <c r="GY63" i="23916"/>
  <c r="GX65" i="23916"/>
  <c r="GX592" i="23916"/>
  <c r="GU192" i="23916"/>
  <c r="GX863" i="23916"/>
  <c r="GZ598" i="23916"/>
  <c r="GY598" i="23916"/>
  <c r="GZ64" i="23916"/>
  <c r="GY64" i="23916"/>
  <c r="EN51" i="23916"/>
  <c r="EO46" i="23916"/>
  <c r="EM58" i="23916"/>
  <c r="EN58" i="23916" s="1"/>
  <c r="GX496" i="23916"/>
  <c r="GZ487" i="23916"/>
  <c r="GY487" i="23916"/>
  <c r="GX492" i="23916"/>
  <c r="GX888" i="23916"/>
  <c r="GZ177" i="23916"/>
  <c r="GY177" i="23916"/>
  <c r="GV195" i="23916"/>
  <c r="GW195" i="23916" s="1"/>
  <c r="GW187" i="23916"/>
  <c r="GV190" i="23916"/>
  <c r="GV193" i="23916"/>
  <c r="GV188" i="23916"/>
  <c r="GW188" i="23916" s="1"/>
  <c r="GU614" i="23916"/>
  <c r="GW492" i="23916"/>
  <c r="GV500" i="23916"/>
  <c r="EN52" i="23916"/>
  <c r="EM70" i="23916"/>
  <c r="GZ62" i="23916"/>
  <c r="GY62" i="23916"/>
  <c r="GX591" i="23916"/>
  <c r="GU14" i="23916"/>
  <c r="GU622" i="23916"/>
  <c r="O116" i="24135"/>
  <c r="Q10" i="23920"/>
  <c r="P10" i="23920"/>
  <c r="Q10" i="24103"/>
  <c r="T10" i="23920"/>
  <c r="AY67" i="24103"/>
  <c r="GZ591" i="23916" l="1"/>
  <c r="GY591" i="23916"/>
  <c r="GV614" i="23916"/>
  <c r="GV192" i="23916"/>
  <c r="GW190" i="23916"/>
  <c r="GV196" i="23916"/>
  <c r="GW196" i="23916" s="1"/>
  <c r="GV8" i="23916"/>
  <c r="GW8" i="23916" s="1"/>
  <c r="EO55" i="23916"/>
  <c r="EO52" i="23916"/>
  <c r="EO51" i="23916"/>
  <c r="EP46" i="23916"/>
  <c r="EO54" i="23916"/>
  <c r="GZ65" i="23916"/>
  <c r="GY65" i="23916"/>
  <c r="GV508" i="23916"/>
  <c r="GW508" i="23916" s="1"/>
  <c r="GW500" i="23916"/>
  <c r="GV506" i="23916"/>
  <c r="GV501" i="23916"/>
  <c r="GY492" i="23916"/>
  <c r="GZ492" i="23916"/>
  <c r="GX500" i="23916"/>
  <c r="GY496" i="23916"/>
  <c r="GZ496" i="23916"/>
  <c r="EN70" i="23916"/>
  <c r="EV70" i="23916"/>
  <c r="GV808" i="23916"/>
  <c r="GV800" i="23916"/>
  <c r="GW193" i="23916"/>
  <c r="GX862" i="23916"/>
  <c r="GX864" i="23916" s="1"/>
  <c r="GZ592" i="23916"/>
  <c r="GY592" i="23916"/>
  <c r="GZ176" i="23916"/>
  <c r="GX180" i="23916"/>
  <c r="GY176" i="23916"/>
  <c r="EV56" i="23916"/>
  <c r="EN56" i="23916"/>
  <c r="U10" i="23920"/>
  <c r="AL10" i="24103"/>
  <c r="U10" i="24103"/>
  <c r="AL10" i="23920"/>
  <c r="AK10" i="23920"/>
  <c r="S10" i="24103"/>
  <c r="S10" i="23920"/>
  <c r="R10" i="23920"/>
  <c r="X10" i="23920"/>
  <c r="F9" i="24103"/>
  <c r="D10" i="24103"/>
  <c r="J9" i="24103"/>
  <c r="H10" i="24103"/>
  <c r="EQ54" i="23916" l="1"/>
  <c r="EP54" i="23916"/>
  <c r="EO56" i="23916"/>
  <c r="EP55" i="23916"/>
  <c r="GW192" i="23916"/>
  <c r="GY180" i="23916"/>
  <c r="GZ180" i="23916"/>
  <c r="GX187" i="23916"/>
  <c r="GX508" i="23916"/>
  <c r="GX506" i="23916"/>
  <c r="GX503" i="23916"/>
  <c r="GX501" i="23916"/>
  <c r="GZ500" i="23916"/>
  <c r="GY500" i="23916"/>
  <c r="GW501" i="23916"/>
  <c r="GW614" i="23916"/>
  <c r="GV799" i="23916"/>
  <c r="GV797" i="23916"/>
  <c r="GW506" i="23916"/>
  <c r="EP51" i="23916"/>
  <c r="EQ46" i="23916"/>
  <c r="EO58" i="23916"/>
  <c r="EP58" i="23916" s="1"/>
  <c r="GV503" i="23916"/>
  <c r="EP52" i="23916"/>
  <c r="EO70" i="23916"/>
  <c r="Y10" i="24103"/>
  <c r="Y10" i="23920"/>
  <c r="L9" i="24103"/>
  <c r="B10" i="24103"/>
  <c r="AI10" i="24103"/>
  <c r="L10" i="24103"/>
  <c r="GZ508" i="23916" l="1"/>
  <c r="GY508" i="23916"/>
  <c r="GV622" i="23916"/>
  <c r="GV509" i="23916"/>
  <c r="GW509" i="23916" s="1"/>
  <c r="GV505" i="23916"/>
  <c r="GW503" i="23916"/>
  <c r="GV14" i="23916"/>
  <c r="GZ501" i="23916"/>
  <c r="GY501" i="23916"/>
  <c r="GX193" i="23916"/>
  <c r="GX195" i="23916"/>
  <c r="GX188" i="23916"/>
  <c r="GZ187" i="23916"/>
  <c r="GY187" i="23916"/>
  <c r="EX56" i="23916"/>
  <c r="EP56" i="23916"/>
  <c r="GX622" i="23916"/>
  <c r="GX505" i="23916"/>
  <c r="GZ503" i="23916"/>
  <c r="GY503" i="23916"/>
  <c r="GX509" i="23916"/>
  <c r="GX14" i="23916"/>
  <c r="EP70" i="23916"/>
  <c r="EX70" i="23916"/>
  <c r="EQ49" i="23916"/>
  <c r="EQ48" i="23916"/>
  <c r="ER46" i="23916"/>
  <c r="GX799" i="23916"/>
  <c r="GX797" i="23916"/>
  <c r="GY506" i="23916"/>
  <c r="GZ506" i="23916"/>
  <c r="ER54" i="23916"/>
  <c r="ES54" i="23916"/>
  <c r="Z16" i="23920"/>
  <c r="AA9" i="24103"/>
  <c r="Z9" i="24103"/>
  <c r="AA9" i="23920"/>
  <c r="Z9" i="23920"/>
  <c r="AA16" i="24103"/>
  <c r="Z16" i="24103"/>
  <c r="W10" i="23920"/>
  <c r="V10" i="23920"/>
  <c r="W10" i="24103"/>
  <c r="F10" i="24103"/>
  <c r="J10" i="24103"/>
  <c r="D9" i="24103"/>
  <c r="B9" i="24103"/>
  <c r="H9" i="24103"/>
  <c r="M9" i="24103"/>
  <c r="ER48" i="23916" l="1"/>
  <c r="EQ55" i="23916"/>
  <c r="ER55" i="23916" s="1"/>
  <c r="GZ14" i="23916"/>
  <c r="GY14" i="23916"/>
  <c r="GZ505" i="23916"/>
  <c r="GY505" i="23916"/>
  <c r="GY195" i="23916"/>
  <c r="GZ195" i="23916"/>
  <c r="ER49" i="23916"/>
  <c r="GZ509" i="23916"/>
  <c r="GY509" i="23916"/>
  <c r="GZ622" i="23916"/>
  <c r="GY622" i="23916"/>
  <c r="GX808" i="23916"/>
  <c r="GX800" i="23916"/>
  <c r="GY193" i="23916"/>
  <c r="GZ193" i="23916"/>
  <c r="GW14" i="23916"/>
  <c r="GW622" i="23916"/>
  <c r="EQ51" i="23916"/>
  <c r="GZ188" i="23916"/>
  <c r="GY188" i="23916"/>
  <c r="ET54" i="23916"/>
  <c r="EU54" i="23916"/>
  <c r="GX190" i="23916"/>
  <c r="GW505" i="23916"/>
  <c r="AC16" i="24103"/>
  <c r="AB16" i="24103"/>
  <c r="AB16" i="23920"/>
  <c r="K9" i="24103"/>
  <c r="GX614" i="23916" l="1"/>
  <c r="GX196" i="23916"/>
  <c r="GX192" i="23916"/>
  <c r="GZ190" i="23916"/>
  <c r="GY190" i="23916"/>
  <c r="GX8" i="23916"/>
  <c r="EW54" i="23916"/>
  <c r="EX54" i="23916" s="1"/>
  <c r="EV54" i="23916"/>
  <c r="ER51" i="23916"/>
  <c r="ES46" i="23916"/>
  <c r="EQ58" i="23916"/>
  <c r="ER58" i="23916" s="1"/>
  <c r="EQ52" i="23916"/>
  <c r="B21" i="24135"/>
  <c r="AN10" i="24103"/>
  <c r="AN10" i="23920"/>
  <c r="AM10" i="23920"/>
  <c r="GY192" i="23916" l="1"/>
  <c r="GZ192" i="23916"/>
  <c r="ES49" i="23916"/>
  <c r="ES48" i="23916"/>
  <c r="ET46" i="23916"/>
  <c r="GY8" i="23916"/>
  <c r="GZ8" i="23916"/>
  <c r="GY196" i="23916"/>
  <c r="GZ196" i="23916"/>
  <c r="GZ614" i="23916"/>
  <c r="GY614" i="23916"/>
  <c r="ER52" i="23916"/>
  <c r="EQ700" i="23916"/>
  <c r="EQ61" i="23916"/>
  <c r="AC9" i="23920"/>
  <c r="AB9" i="23920"/>
  <c r="AC9" i="24103"/>
  <c r="AB9" i="24103"/>
  <c r="C21" i="24135"/>
  <c r="N98" i="24135"/>
  <c r="N99" i="24135" s="1"/>
  <c r="ES55" i="23916" l="1"/>
  <c r="ET55" i="23916" s="1"/>
  <c r="ET48" i="23916"/>
  <c r="ER700" i="23916"/>
  <c r="EQ704" i="23916"/>
  <c r="ET49" i="23916"/>
  <c r="EQ851" i="23916"/>
  <c r="ER61" i="23916"/>
  <c r="EQ67" i="23916"/>
  <c r="EQ590" i="23916"/>
  <c r="EQ98" i="23916"/>
  <c r="ES51" i="23916"/>
  <c r="AM18" i="23920"/>
  <c r="ET51" i="23916" l="1"/>
  <c r="EU46" i="23916"/>
  <c r="ES58" i="23916"/>
  <c r="ET58" i="23916" s="1"/>
  <c r="ES52" i="23916"/>
  <c r="ER67" i="23916"/>
  <c r="EQ101" i="23916"/>
  <c r="EQ100" i="23916"/>
  <c r="EQ68" i="23916"/>
  <c r="ER68" i="23916" s="1"/>
  <c r="EQ858" i="23916"/>
  <c r="ER590" i="23916"/>
  <c r="EQ594" i="23916"/>
  <c r="EQ736" i="23916"/>
  <c r="EQ706" i="23916"/>
  <c r="ER704" i="23916"/>
  <c r="AE9" i="24103"/>
  <c r="AD9" i="24103"/>
  <c r="AE16" i="24103"/>
  <c r="AD16" i="24103"/>
  <c r="AE9" i="23920"/>
  <c r="AD9" i="23920"/>
  <c r="AD16" i="23920"/>
  <c r="D21" i="24135"/>
  <c r="N21" i="24135"/>
  <c r="N9" i="24103"/>
  <c r="EQ866" i="23916" l="1"/>
  <c r="EQ867" i="23916" s="1"/>
  <c r="ER594" i="23916"/>
  <c r="ER100" i="23916"/>
  <c r="EQ110" i="23916"/>
  <c r="ER110" i="23916" s="1"/>
  <c r="EQ103" i="23916"/>
  <c r="EQ597" i="23916"/>
  <c r="ET52" i="23916"/>
  <c r="ES700" i="23916"/>
  <c r="ES61" i="23916"/>
  <c r="ER101" i="23916"/>
  <c r="EQ599" i="23916"/>
  <c r="ER736" i="23916"/>
  <c r="EU49" i="23916"/>
  <c r="EU48" i="23916"/>
  <c r="EU51" i="23916"/>
  <c r="EV46" i="23916"/>
  <c r="ER706" i="23916"/>
  <c r="EQ707" i="23916"/>
  <c r="ER707" i="23916" s="1"/>
  <c r="O9" i="24103"/>
  <c r="EV51" i="23916" l="1"/>
  <c r="EW46" i="23916"/>
  <c r="EU58" i="23916"/>
  <c r="EV58" i="23916" s="1"/>
  <c r="ER597" i="23916"/>
  <c r="EQ602" i="23916"/>
  <c r="EU52" i="23916"/>
  <c r="ES851" i="23916"/>
  <c r="ES67" i="23916"/>
  <c r="ET61" i="23916"/>
  <c r="ES590" i="23916"/>
  <c r="ES98" i="23916"/>
  <c r="ER103" i="23916"/>
  <c r="EQ112" i="23916"/>
  <c r="EV48" i="23916"/>
  <c r="EU55" i="23916"/>
  <c r="EV55" i="23916" s="1"/>
  <c r="ER599" i="23916"/>
  <c r="ES704" i="23916"/>
  <c r="ET700" i="23916"/>
  <c r="EV49" i="23916"/>
  <c r="AO16" i="23920"/>
  <c r="AG16" i="24103"/>
  <c r="AF16" i="24103"/>
  <c r="AF16" i="23920"/>
  <c r="E21" i="24135"/>
  <c r="AQ10" i="23920"/>
  <c r="EQ120" i="23916" l="1"/>
  <c r="ER120" i="23916" s="1"/>
  <c r="ER112" i="23916"/>
  <c r="EQ113" i="23916"/>
  <c r="EQ118" i="23916"/>
  <c r="ES858" i="23916"/>
  <c r="ET590" i="23916"/>
  <c r="ES594" i="23916"/>
  <c r="EV52" i="23916"/>
  <c r="EU700" i="23916"/>
  <c r="EU61" i="23916"/>
  <c r="ER602" i="23916"/>
  <c r="EQ604" i="23916"/>
  <c r="EW49" i="23916"/>
  <c r="EW48" i="23916"/>
  <c r="EW51" i="23916"/>
  <c r="EX46" i="23916"/>
  <c r="ES736" i="23916"/>
  <c r="ES706" i="23916"/>
  <c r="ET704" i="23916"/>
  <c r="ET67" i="23916"/>
  <c r="ES101" i="23916"/>
  <c r="ES100" i="23916"/>
  <c r="ES68" i="23916"/>
  <c r="ET68" i="23916" s="1"/>
  <c r="AG9" i="23920"/>
  <c r="AF9" i="23920"/>
  <c r="AP16" i="24103"/>
  <c r="AO16" i="24103"/>
  <c r="AG9" i="24103"/>
  <c r="AF9" i="24103"/>
  <c r="K21" i="24135"/>
  <c r="F21" i="24135"/>
  <c r="AR10" i="24103"/>
  <c r="AR10" i="23920"/>
  <c r="EX49" i="23916" l="1"/>
  <c r="GP49" i="23916"/>
  <c r="EV700" i="23916"/>
  <c r="EU704" i="23916"/>
  <c r="ER113" i="23916"/>
  <c r="EQ605" i="23916"/>
  <c r="ET100" i="23916"/>
  <c r="ES110" i="23916"/>
  <c r="ET110" i="23916" s="1"/>
  <c r="ES103" i="23916"/>
  <c r="ES597" i="23916"/>
  <c r="ET706" i="23916"/>
  <c r="ES707" i="23916"/>
  <c r="ET707" i="23916" s="1"/>
  <c r="EX51" i="23916"/>
  <c r="EW58" i="23916"/>
  <c r="EX58" i="23916" s="1"/>
  <c r="EQ608" i="23916"/>
  <c r="ER608" i="23916" s="1"/>
  <c r="ER604" i="23916"/>
  <c r="ET101" i="23916"/>
  <c r="ES599" i="23916"/>
  <c r="EW52" i="23916"/>
  <c r="EQ115" i="23916"/>
  <c r="ET736" i="23916"/>
  <c r="EW55" i="23916"/>
  <c r="EX55" i="23916" s="1"/>
  <c r="EX48" i="23916"/>
  <c r="GP48" i="23916"/>
  <c r="EU851" i="23916"/>
  <c r="EV61" i="23916"/>
  <c r="EU67" i="23916"/>
  <c r="EU590" i="23916"/>
  <c r="EU98" i="23916"/>
  <c r="ES866" i="23916"/>
  <c r="ES867" i="23916" s="1"/>
  <c r="ET594" i="23916"/>
  <c r="EQ860" i="23916"/>
  <c r="EQ796" i="23916"/>
  <c r="ER118" i="23916"/>
  <c r="AP9" i="23920"/>
  <c r="AO9" i="23920"/>
  <c r="AP9" i="24103"/>
  <c r="AO9" i="24103"/>
  <c r="AS10" i="23920"/>
  <c r="AT10" i="23920"/>
  <c r="AT10" i="24103"/>
  <c r="EU858" i="23916" l="1"/>
  <c r="EV590" i="23916"/>
  <c r="EU594" i="23916"/>
  <c r="GP55" i="23916"/>
  <c r="GQ55" i="23916" s="1"/>
  <c r="GQ48" i="23916"/>
  <c r="GP51" i="23916"/>
  <c r="ET599" i="23916"/>
  <c r="EU736" i="23916"/>
  <c r="EU706" i="23916"/>
  <c r="EV704" i="23916"/>
  <c r="EV67" i="23916"/>
  <c r="EU101" i="23916"/>
  <c r="EU100" i="23916"/>
  <c r="EU68" i="23916"/>
  <c r="EV68" i="23916" s="1"/>
  <c r="EQ613" i="23916"/>
  <c r="EQ121" i="23916"/>
  <c r="ER121" i="23916" s="1"/>
  <c r="EQ7" i="23916"/>
  <c r="EQ117" i="23916"/>
  <c r="ER115" i="23916"/>
  <c r="ES602" i="23916"/>
  <c r="ET597" i="23916"/>
  <c r="EQ606" i="23916"/>
  <c r="ER605" i="23916"/>
  <c r="EX52" i="23916"/>
  <c r="EW700" i="23916"/>
  <c r="EW61" i="23916"/>
  <c r="ET103" i="23916"/>
  <c r="ES112" i="23916"/>
  <c r="GQ49" i="23916"/>
  <c r="GP54" i="23916"/>
  <c r="G21" i="24135"/>
  <c r="AY10" i="23920"/>
  <c r="AV10" i="23920"/>
  <c r="AU10" i="23920"/>
  <c r="AV10" i="24103"/>
  <c r="A69" i="23920"/>
  <c r="EX700" i="23916" l="1"/>
  <c r="GP700" i="23916"/>
  <c r="GQ700" i="23916" s="1"/>
  <c r="EW704" i="23916"/>
  <c r="ER613" i="23916"/>
  <c r="EQ616" i="23916"/>
  <c r="EV706" i="23916"/>
  <c r="EU707" i="23916"/>
  <c r="EV707" i="23916" s="1"/>
  <c r="ER117" i="23916"/>
  <c r="EQ820" i="23916"/>
  <c r="EQ817" i="23916"/>
  <c r="EQ821" i="23916"/>
  <c r="EQ843" i="23916"/>
  <c r="GR46" i="23916"/>
  <c r="GQ51" i="23916"/>
  <c r="GP52" i="23916"/>
  <c r="GQ52" i="23916" s="1"/>
  <c r="GP58" i="23916"/>
  <c r="GQ58" i="23916" s="1"/>
  <c r="ER7" i="23916"/>
  <c r="EQ10" i="23916"/>
  <c r="EV100" i="23916"/>
  <c r="EU110" i="23916"/>
  <c r="EV110" i="23916" s="1"/>
  <c r="EU103" i="23916"/>
  <c r="EU597" i="23916"/>
  <c r="EV736" i="23916"/>
  <c r="ES118" i="23916"/>
  <c r="ET112" i="23916"/>
  <c r="ES120" i="23916"/>
  <c r="ET120" i="23916" s="1"/>
  <c r="ES113" i="23916"/>
  <c r="EU866" i="23916"/>
  <c r="EU867" i="23916" s="1"/>
  <c r="EV594" i="23916"/>
  <c r="GQ54" i="23916"/>
  <c r="GR54" i="23916"/>
  <c r="EW851" i="23916"/>
  <c r="EW67" i="23916"/>
  <c r="EX61" i="23916"/>
  <c r="EW590" i="23916"/>
  <c r="EW98" i="23916"/>
  <c r="GP61" i="23916"/>
  <c r="EQ787" i="23916"/>
  <c r="ER606" i="23916"/>
  <c r="EQ791" i="23916"/>
  <c r="EQ545" i="23916"/>
  <c r="ET602" i="23916"/>
  <c r="ES604" i="23916"/>
  <c r="EV101" i="23916"/>
  <c r="EU599" i="23916"/>
  <c r="N19" i="24135"/>
  <c r="N20" i="24135" s="1"/>
  <c r="O98" i="24135"/>
  <c r="O99" i="24135" s="1"/>
  <c r="H21" i="24135"/>
  <c r="O21" i="24135"/>
  <c r="H10" i="23920"/>
  <c r="D10" i="23920"/>
  <c r="A18" i="24103"/>
  <c r="A16" i="24103"/>
  <c r="A18" i="23920"/>
  <c r="A77" i="23920" s="1"/>
  <c r="A16" i="23920"/>
  <c r="A75" i="23920" s="1"/>
  <c r="EV599" i="23916" l="1"/>
  <c r="EQ804" i="23916"/>
  <c r="EQ805" i="23916" s="1"/>
  <c r="EQ806" i="23916" s="1"/>
  <c r="ER545" i="23916"/>
  <c r="EX67" i="23916"/>
  <c r="EW101" i="23916"/>
  <c r="EW100" i="23916"/>
  <c r="EW68" i="23916"/>
  <c r="EX68" i="23916" s="1"/>
  <c r="ET113" i="23916"/>
  <c r="ES605" i="23916"/>
  <c r="ES860" i="23916"/>
  <c r="ES796" i="23916"/>
  <c r="ET118" i="23916"/>
  <c r="ER10" i="23916"/>
  <c r="EQ17" i="23916"/>
  <c r="EQ813" i="23916"/>
  <c r="EW736" i="23916"/>
  <c r="GP704" i="23916"/>
  <c r="EW706" i="23916"/>
  <c r="EX704" i="23916"/>
  <c r="ET604" i="23916"/>
  <c r="EQ792" i="23916"/>
  <c r="EV103" i="23916"/>
  <c r="EU112" i="23916"/>
  <c r="GR48" i="23916"/>
  <c r="GR49" i="23916"/>
  <c r="GS49" i="23916" s="1"/>
  <c r="GS46" i="23916"/>
  <c r="ER616" i="23916"/>
  <c r="EQ626" i="23916"/>
  <c r="GP851" i="23916"/>
  <c r="GQ851" i="23916" s="1"/>
  <c r="GP70" i="23916"/>
  <c r="GP67" i="23916"/>
  <c r="GQ61" i="23916"/>
  <c r="EV597" i="23916"/>
  <c r="EU602" i="23916"/>
  <c r="EW858" i="23916"/>
  <c r="EX590" i="23916"/>
  <c r="EW594" i="23916"/>
  <c r="GP590" i="23916"/>
  <c r="GT54" i="23916"/>
  <c r="GS54" i="23916"/>
  <c r="ES115" i="23916"/>
  <c r="B10" i="23920"/>
  <c r="J10" i="23920"/>
  <c r="GU54" i="23916" l="1"/>
  <c r="GV54" i="23916"/>
  <c r="EQ755" i="23916"/>
  <c r="ER755" i="23916" s="1"/>
  <c r="EQ689" i="23916"/>
  <c r="ER626" i="23916"/>
  <c r="EQ628" i="23916"/>
  <c r="EQ657" i="23916"/>
  <c r="ER657" i="23916" s="1"/>
  <c r="EQ640" i="23916"/>
  <c r="EQ784" i="23916"/>
  <c r="EQ658" i="23916"/>
  <c r="ER658" i="23916" s="1"/>
  <c r="EQ654" i="23916"/>
  <c r="ER654" i="23916" s="1"/>
  <c r="EQ653" i="23916"/>
  <c r="ER653" i="23916" s="1"/>
  <c r="EQ649" i="23916"/>
  <c r="EQ652" i="23916"/>
  <c r="ER652" i="23916" s="1"/>
  <c r="EQ655" i="23916"/>
  <c r="ER655" i="23916" s="1"/>
  <c r="EQ681" i="23916"/>
  <c r="ER681" i="23916" s="1"/>
  <c r="EQ648" i="23916"/>
  <c r="ER648" i="23916" s="1"/>
  <c r="EQ656" i="23916"/>
  <c r="ER656" i="23916" s="1"/>
  <c r="EQ647" i="23916"/>
  <c r="ER647" i="23916" s="1"/>
  <c r="EU120" i="23916"/>
  <c r="EV120" i="23916" s="1"/>
  <c r="EU118" i="23916"/>
  <c r="EU113" i="23916"/>
  <c r="EU115" i="23916" s="1"/>
  <c r="EV112" i="23916"/>
  <c r="GP858" i="23916"/>
  <c r="GQ858" i="23916" s="1"/>
  <c r="GP594" i="23916"/>
  <c r="GQ590" i="23916"/>
  <c r="ES613" i="23916"/>
  <c r="ES117" i="23916"/>
  <c r="ET115" i="23916"/>
  <c r="ES7" i="23916"/>
  <c r="ES121" i="23916"/>
  <c r="ET121" i="23916" s="1"/>
  <c r="EW866" i="23916"/>
  <c r="EW867" i="23916" s="1"/>
  <c r="EX594" i="23916"/>
  <c r="EV602" i="23916"/>
  <c r="EU604" i="23916"/>
  <c r="GQ70" i="23916"/>
  <c r="GR70" i="23916"/>
  <c r="EQ650" i="23916"/>
  <c r="EX706" i="23916"/>
  <c r="EW707" i="23916"/>
  <c r="EX707" i="23916" s="1"/>
  <c r="EX101" i="23916"/>
  <c r="EW599" i="23916"/>
  <c r="GP101" i="23916"/>
  <c r="GP68" i="23916"/>
  <c r="GQ68" i="23916" s="1"/>
  <c r="GQ67" i="23916"/>
  <c r="GR55" i="23916"/>
  <c r="GS55" i="23916" s="1"/>
  <c r="GS48" i="23916"/>
  <c r="EX736" i="23916"/>
  <c r="ES606" i="23916"/>
  <c r="ET605" i="23916"/>
  <c r="EX100" i="23916"/>
  <c r="EW110" i="23916"/>
  <c r="EX110" i="23916" s="1"/>
  <c r="EW103" i="23916"/>
  <c r="EW597" i="23916"/>
  <c r="GP100" i="23916"/>
  <c r="GR51" i="23916"/>
  <c r="ES608" i="23916"/>
  <c r="ET608" i="23916" s="1"/>
  <c r="GP736" i="23916"/>
  <c r="GQ704" i="23916"/>
  <c r="GP706" i="23916"/>
  <c r="EQ18" i="23916"/>
  <c r="ER17" i="23916"/>
  <c r="I21" i="24135"/>
  <c r="Q9" i="24103"/>
  <c r="P9" i="24103"/>
  <c r="F10" i="23920"/>
  <c r="L18" i="23920"/>
  <c r="L18" i="24103"/>
  <c r="D18" i="23920"/>
  <c r="D18" i="24103"/>
  <c r="H18" i="23920"/>
  <c r="H18" i="24103"/>
  <c r="AV5" i="24103"/>
  <c r="AV50" i="24103" s="1"/>
  <c r="AU5" i="24103"/>
  <c r="AU50" i="24103" s="1"/>
  <c r="AN5" i="24103"/>
  <c r="AN50" i="24103" s="1"/>
  <c r="AM5" i="24103"/>
  <c r="AM50" i="24103" s="1"/>
  <c r="Y5" i="24103"/>
  <c r="Y50" i="24103" s="1"/>
  <c r="X5" i="24103"/>
  <c r="X50" i="24103" s="1"/>
  <c r="W5" i="24103"/>
  <c r="W50" i="24103" s="1"/>
  <c r="V5" i="24103"/>
  <c r="V50" i="24103" s="1"/>
  <c r="U5" i="24103"/>
  <c r="U50" i="24103" s="1"/>
  <c r="T5" i="24103"/>
  <c r="T50" i="24103" s="1"/>
  <c r="S5" i="24103"/>
  <c r="S50" i="24103" s="1"/>
  <c r="R5" i="24103"/>
  <c r="R50" i="24103" s="1"/>
  <c r="AN5" i="23920"/>
  <c r="AN59" i="23920" s="1"/>
  <c r="AM59" i="23920"/>
  <c r="AV11" i="23920"/>
  <c r="AV5" i="23920"/>
  <c r="AV59" i="23920" s="1"/>
  <c r="AU5" i="23920"/>
  <c r="AU59" i="23920" s="1"/>
  <c r="Y11" i="23920"/>
  <c r="W11" i="23920"/>
  <c r="U11" i="23920"/>
  <c r="S11" i="23920"/>
  <c r="Y5" i="23920"/>
  <c r="Y59" i="23920" s="1"/>
  <c r="X5" i="23920"/>
  <c r="X59" i="23920" s="1"/>
  <c r="W5" i="23920"/>
  <c r="W59" i="23920" s="1"/>
  <c r="V5" i="23920"/>
  <c r="V59" i="23920" s="1"/>
  <c r="U5" i="23920"/>
  <c r="U59" i="23920" s="1"/>
  <c r="T5" i="23920"/>
  <c r="T59" i="23920" s="1"/>
  <c r="S5" i="23920"/>
  <c r="S59" i="23920" s="1"/>
  <c r="R5" i="23920"/>
  <c r="R59" i="23920" s="1"/>
  <c r="EU613" i="23916" l="1"/>
  <c r="EU121" i="23916"/>
  <c r="EV121" i="23916" s="1"/>
  <c r="EV115" i="23916"/>
  <c r="EU7" i="23916"/>
  <c r="EU117" i="23916"/>
  <c r="EX103" i="23916"/>
  <c r="EW112" i="23916"/>
  <c r="GQ736" i="23916"/>
  <c r="EW602" i="23916"/>
  <c r="EX597" i="23916"/>
  <c r="GP597" i="23916"/>
  <c r="ER650" i="23916"/>
  <c r="EQ659" i="23916"/>
  <c r="ER659" i="23916" s="1"/>
  <c r="ET613" i="23916"/>
  <c r="ES616" i="23916"/>
  <c r="EQ829" i="23916"/>
  <c r="ER628" i="23916"/>
  <c r="ES10" i="23916"/>
  <c r="ET7" i="23916"/>
  <c r="EQ729" i="23916"/>
  <c r="EQ728" i="23916"/>
  <c r="EQ690" i="23916"/>
  <c r="ER640" i="23916"/>
  <c r="EQ682" i="23916"/>
  <c r="ER682" i="23916" s="1"/>
  <c r="GS51" i="23916"/>
  <c r="GT46" i="23916"/>
  <c r="GR58" i="23916"/>
  <c r="GS58" i="23916" s="1"/>
  <c r="GR52" i="23916"/>
  <c r="ES787" i="23916"/>
  <c r="ET606" i="23916"/>
  <c r="ES791" i="23916"/>
  <c r="ES792" i="23916" s="1"/>
  <c r="ES545" i="23916"/>
  <c r="GQ101" i="23916"/>
  <c r="GP108" i="23916"/>
  <c r="GP866" i="23916"/>
  <c r="GQ594" i="23916"/>
  <c r="EV113" i="23916"/>
  <c r="EU605" i="23916"/>
  <c r="GX54" i="23916"/>
  <c r="GW54" i="23916"/>
  <c r="GP707" i="23916"/>
  <c r="GQ707" i="23916" s="1"/>
  <c r="GQ706" i="23916"/>
  <c r="GT70" i="23916"/>
  <c r="GS70" i="23916"/>
  <c r="GP110" i="23916"/>
  <c r="GQ110" i="23916" s="1"/>
  <c r="GP103" i="23916"/>
  <c r="GQ100" i="23916"/>
  <c r="GP106" i="23916"/>
  <c r="EX599" i="23916"/>
  <c r="GP599" i="23916"/>
  <c r="GQ599" i="23916" s="1"/>
  <c r="EU608" i="23916"/>
  <c r="EV608" i="23916" s="1"/>
  <c r="EV604" i="23916"/>
  <c r="ET117" i="23916"/>
  <c r="ES820" i="23916"/>
  <c r="ES821" i="23916"/>
  <c r="ES817" i="23916"/>
  <c r="ES843" i="23916"/>
  <c r="EU860" i="23916"/>
  <c r="EU796" i="23916"/>
  <c r="EV118" i="23916"/>
  <c r="EQ900" i="23916"/>
  <c r="EQ692" i="23916"/>
  <c r="ER689" i="23916"/>
  <c r="ER900" i="23916" s="1"/>
  <c r="EQ19" i="23916"/>
  <c r="ER19" i="23916" s="1"/>
  <c r="L21" i="24135"/>
  <c r="B18" i="23920"/>
  <c r="M18" i="24103"/>
  <c r="K18" i="23920"/>
  <c r="J18" i="23920"/>
  <c r="B18" i="24103"/>
  <c r="K18" i="24103"/>
  <c r="J18" i="24103"/>
  <c r="F18" i="23920"/>
  <c r="F18" i="24103"/>
  <c r="M18" i="23920"/>
  <c r="AI18" i="24103"/>
  <c r="AI18" i="23920"/>
  <c r="AV3" i="24103"/>
  <c r="AV48" i="24103" s="1"/>
  <c r="AV3" i="23920"/>
  <c r="AV57" i="23920" s="1"/>
  <c r="AV4" i="24103"/>
  <c r="AV49" i="24103" s="1"/>
  <c r="AV4" i="23920"/>
  <c r="AV58" i="23920" s="1"/>
  <c r="AN4" i="24103"/>
  <c r="AN49" i="24103" s="1"/>
  <c r="AN4" i="23920"/>
  <c r="AN58" i="23920" s="1"/>
  <c r="AN3" i="24103"/>
  <c r="AN48" i="24103" s="1"/>
  <c r="AN3" i="23920"/>
  <c r="AN57" i="23920" s="1"/>
  <c r="X23" i="23920"/>
  <c r="V23" i="23920"/>
  <c r="T23" i="23920"/>
  <c r="R23" i="23920"/>
  <c r="GR106" i="23916" l="1"/>
  <c r="GQ106" i="23916"/>
  <c r="GS108" i="23916"/>
  <c r="GQ108" i="23916"/>
  <c r="EU606" i="23916"/>
  <c r="EV605" i="23916"/>
  <c r="GP867" i="23916"/>
  <c r="GQ867" i="23916" s="1"/>
  <c r="GQ866" i="23916"/>
  <c r="ES804" i="23916"/>
  <c r="ES805" i="23916" s="1"/>
  <c r="ES806" i="23916" s="1"/>
  <c r="ET545" i="23916"/>
  <c r="GS52" i="23916"/>
  <c r="GR700" i="23916"/>
  <c r="GR61" i="23916"/>
  <c r="ER728" i="23916"/>
  <c r="GP602" i="23916"/>
  <c r="GQ597" i="23916"/>
  <c r="EV7" i="23916"/>
  <c r="EU10" i="23916"/>
  <c r="ET10" i="23916"/>
  <c r="ES17" i="23916"/>
  <c r="ES813" i="23916"/>
  <c r="GU70" i="23916"/>
  <c r="GV70" i="23916"/>
  <c r="GZ54" i="23916"/>
  <c r="GY54" i="23916"/>
  <c r="GT48" i="23916"/>
  <c r="GT49" i="23916"/>
  <c r="GU49" i="23916" s="1"/>
  <c r="GU46" i="23916"/>
  <c r="EX602" i="23916"/>
  <c r="EW604" i="23916"/>
  <c r="EQ765" i="23916"/>
  <c r="ER765" i="23916" s="1"/>
  <c r="EQ764" i="23916"/>
  <c r="ER764" i="23916" s="1"/>
  <c r="EQ733" i="23916"/>
  <c r="EQ727" i="23916"/>
  <c r="ER727" i="23916" s="1"/>
  <c r="EQ731" i="23916"/>
  <c r="ER729" i="23916"/>
  <c r="EQ761" i="23916"/>
  <c r="ER761" i="23916" s="1"/>
  <c r="EQ762" i="23916"/>
  <c r="ER762" i="23916" s="1"/>
  <c r="EQ763" i="23916"/>
  <c r="ER763" i="23916" s="1"/>
  <c r="EQ760" i="23916"/>
  <c r="ER760" i="23916" s="1"/>
  <c r="EQ721" i="23916"/>
  <c r="EQ724" i="23916"/>
  <c r="ER724" i="23916" s="1"/>
  <c r="EW118" i="23916"/>
  <c r="EW115" i="23916"/>
  <c r="EW120" i="23916"/>
  <c r="EX120" i="23916" s="1"/>
  <c r="EX112" i="23916"/>
  <c r="EW113" i="23916"/>
  <c r="EQ830" i="23916"/>
  <c r="ER692" i="23916"/>
  <c r="EQ694" i="23916"/>
  <c r="EQ20" i="23916"/>
  <c r="ER20" i="23916" s="1"/>
  <c r="GQ103" i="23916"/>
  <c r="GP112" i="23916"/>
  <c r="ER690" i="23916"/>
  <c r="EQ664" i="23916"/>
  <c r="ER664" i="23916" s="1"/>
  <c r="ES650" i="23916"/>
  <c r="ET616" i="23916"/>
  <c r="ES626" i="23916"/>
  <c r="EV117" i="23916"/>
  <c r="EU820" i="23916"/>
  <c r="EU821" i="23916"/>
  <c r="EU817" i="23916"/>
  <c r="EU843" i="23916"/>
  <c r="EV613" i="23916"/>
  <c r="EU616" i="23916"/>
  <c r="Y3" i="24103"/>
  <c r="Y48" i="24103" s="1"/>
  <c r="Y3" i="23920"/>
  <c r="Y57" i="23920" s="1"/>
  <c r="U4" i="24103"/>
  <c r="U49" i="24103" s="1"/>
  <c r="U4" i="23920"/>
  <c r="U58" i="23920" s="1"/>
  <c r="S3" i="24103"/>
  <c r="S48" i="24103" s="1"/>
  <c r="S3" i="23920"/>
  <c r="S57" i="23920" s="1"/>
  <c r="W3" i="24103"/>
  <c r="W48" i="24103" s="1"/>
  <c r="W3" i="23920"/>
  <c r="W57" i="23920" s="1"/>
  <c r="S4" i="24103"/>
  <c r="S49" i="24103" s="1"/>
  <c r="S4" i="23920"/>
  <c r="S58" i="23920" s="1"/>
  <c r="W4" i="24103"/>
  <c r="W49" i="24103" s="1"/>
  <c r="W4" i="23920"/>
  <c r="W58" i="23920" s="1"/>
  <c r="U3" i="24103"/>
  <c r="U48" i="24103" s="1"/>
  <c r="U3" i="23920"/>
  <c r="U57" i="23920" s="1"/>
  <c r="Y4" i="24103"/>
  <c r="Y49" i="24103" s="1"/>
  <c r="Y4" i="23920"/>
  <c r="Y58" i="23920" s="1"/>
  <c r="AM23" i="23920"/>
  <c r="ET650" i="23916" l="1"/>
  <c r="ER721" i="23916"/>
  <c r="EQ722" i="23916"/>
  <c r="ER722" i="23916" s="1"/>
  <c r="EV10" i="23916"/>
  <c r="EU17" i="23916"/>
  <c r="EU813" i="23916"/>
  <c r="EX604" i="23916"/>
  <c r="EV616" i="23916"/>
  <c r="EU626" i="23916"/>
  <c r="ES755" i="23916"/>
  <c r="ET755" i="23916" s="1"/>
  <c r="ES689" i="23916"/>
  <c r="ES628" i="23916"/>
  <c r="ET626" i="23916"/>
  <c r="ES784" i="23916"/>
  <c r="ES657" i="23916"/>
  <c r="ET657" i="23916" s="1"/>
  <c r="ES640" i="23916"/>
  <c r="ES658" i="23916"/>
  <c r="ET658" i="23916" s="1"/>
  <c r="ES654" i="23916"/>
  <c r="ET654" i="23916" s="1"/>
  <c r="ES652" i="23916"/>
  <c r="ET652" i="23916" s="1"/>
  <c r="ES653" i="23916"/>
  <c r="ET653" i="23916" s="1"/>
  <c r="ES649" i="23916"/>
  <c r="ES655" i="23916"/>
  <c r="ET655" i="23916" s="1"/>
  <c r="ES681" i="23916"/>
  <c r="ET681" i="23916" s="1"/>
  <c r="ES648" i="23916"/>
  <c r="ET648" i="23916" s="1"/>
  <c r="ES656" i="23916"/>
  <c r="ET656" i="23916" s="1"/>
  <c r="ES647" i="23916"/>
  <c r="ET647" i="23916" s="1"/>
  <c r="ER694" i="23916"/>
  <c r="EQ21" i="23916"/>
  <c r="ER21" i="23916" s="1"/>
  <c r="EQ630" i="23916"/>
  <c r="EX113" i="23916"/>
  <c r="EW605" i="23916"/>
  <c r="GP113" i="23916"/>
  <c r="EW860" i="23916"/>
  <c r="EW796" i="23916"/>
  <c r="EX118" i="23916"/>
  <c r="EQ756" i="23916"/>
  <c r="ER756" i="23916" s="1"/>
  <c r="EQ754" i="23916"/>
  <c r="ER754" i="23916" s="1"/>
  <c r="EQ753" i="23916"/>
  <c r="ER753" i="23916" s="1"/>
  <c r="EQ735" i="23916"/>
  <c r="ER733" i="23916"/>
  <c r="EQ750" i="23916"/>
  <c r="ER750" i="23916" s="1"/>
  <c r="EQ751" i="23916"/>
  <c r="ER751" i="23916" s="1"/>
  <c r="EQ752" i="23916"/>
  <c r="ER752" i="23916" s="1"/>
  <c r="EQ749" i="23916"/>
  <c r="ER749" i="23916" s="1"/>
  <c r="GT55" i="23916"/>
  <c r="GU55" i="23916" s="1"/>
  <c r="GU48" i="23916"/>
  <c r="GX70" i="23916"/>
  <c r="GW70" i="23916"/>
  <c r="ES18" i="23916"/>
  <c r="ET17" i="23916"/>
  <c r="GR851" i="23916"/>
  <c r="GS851" i="23916" s="1"/>
  <c r="GS61" i="23916"/>
  <c r="GR67" i="23916"/>
  <c r="GR590" i="23916"/>
  <c r="EW613" i="23916"/>
  <c r="EW117" i="23916"/>
  <c r="EW7" i="23916"/>
  <c r="EW121" i="23916"/>
  <c r="EX121" i="23916" s="1"/>
  <c r="EX115" i="23916"/>
  <c r="GQ112" i="23916"/>
  <c r="GP120" i="23916"/>
  <c r="GQ120" i="23916" s="1"/>
  <c r="GP118" i="23916"/>
  <c r="GP115" i="23916"/>
  <c r="EQ766" i="23916"/>
  <c r="ER766" i="23916" s="1"/>
  <c r="ER731" i="23916"/>
  <c r="EQ734" i="23916"/>
  <c r="GT51" i="23916"/>
  <c r="GQ602" i="23916"/>
  <c r="GP604" i="23916"/>
  <c r="GS700" i="23916"/>
  <c r="GR704" i="23916"/>
  <c r="EU787" i="23916"/>
  <c r="EV606" i="23916"/>
  <c r="EU791" i="23916"/>
  <c r="EU792" i="23916" s="1"/>
  <c r="EU545" i="23916"/>
  <c r="GS106" i="23916"/>
  <c r="GT106" i="23916"/>
  <c r="GR107" i="23916"/>
  <c r="S9" i="24103"/>
  <c r="R9" i="24103"/>
  <c r="AU23" i="23920"/>
  <c r="Y23" i="23920"/>
  <c r="W23" i="23920"/>
  <c r="U23" i="23920"/>
  <c r="GR858" i="23916" l="1"/>
  <c r="GS858" i="23916" s="1"/>
  <c r="GR594" i="23916"/>
  <c r="GS590" i="23916"/>
  <c r="ES829" i="23916"/>
  <c r="ET628" i="23916"/>
  <c r="EU755" i="23916"/>
  <c r="EV755" i="23916" s="1"/>
  <c r="EU689" i="23916"/>
  <c r="EV626" i="23916"/>
  <c r="EU628" i="23916"/>
  <c r="EU657" i="23916"/>
  <c r="EV657" i="23916" s="1"/>
  <c r="EU784" i="23916"/>
  <c r="EU640" i="23916"/>
  <c r="EU658" i="23916"/>
  <c r="EV658" i="23916" s="1"/>
  <c r="EU649" i="23916"/>
  <c r="EU654" i="23916"/>
  <c r="EV654" i="23916" s="1"/>
  <c r="EU652" i="23916"/>
  <c r="EV652" i="23916" s="1"/>
  <c r="EU653" i="23916"/>
  <c r="EV653" i="23916" s="1"/>
  <c r="EU655" i="23916"/>
  <c r="EV655" i="23916" s="1"/>
  <c r="EU681" i="23916"/>
  <c r="EV681" i="23916" s="1"/>
  <c r="EU648" i="23916"/>
  <c r="EV648" i="23916" s="1"/>
  <c r="EU656" i="23916"/>
  <c r="EV656" i="23916" s="1"/>
  <c r="EU647" i="23916"/>
  <c r="EV647" i="23916" s="1"/>
  <c r="GP860" i="23916"/>
  <c r="GP796" i="23916"/>
  <c r="GQ118" i="23916"/>
  <c r="GQ860" i="23916" s="1"/>
  <c r="EW10" i="23916"/>
  <c r="EX7" i="23916"/>
  <c r="GR101" i="23916"/>
  <c r="GR100" i="23916"/>
  <c r="GR68" i="23916"/>
  <c r="GS68" i="23916" s="1"/>
  <c r="GS67" i="23916"/>
  <c r="ER630" i="23916"/>
  <c r="EQ631" i="23916"/>
  <c r="EQ642" i="23916"/>
  <c r="ES900" i="23916"/>
  <c r="ET689" i="23916"/>
  <c r="ET900" i="23916" s="1"/>
  <c r="ES692" i="23916"/>
  <c r="ES19" i="23916"/>
  <c r="ET19" i="23916" s="1"/>
  <c r="GQ604" i="23916"/>
  <c r="EU804" i="23916"/>
  <c r="EU805" i="23916" s="1"/>
  <c r="EU806" i="23916" s="1"/>
  <c r="EV545" i="23916"/>
  <c r="GR736" i="23916"/>
  <c r="GR706" i="23916"/>
  <c r="GS704" i="23916"/>
  <c r="GV46" i="23916"/>
  <c r="GU51" i="23916"/>
  <c r="GT58" i="23916"/>
  <c r="GU58" i="23916" s="1"/>
  <c r="GT52" i="23916"/>
  <c r="EX117" i="23916"/>
  <c r="EW820" i="23916"/>
  <c r="EW821" i="23916"/>
  <c r="EW843" i="23916"/>
  <c r="EW817" i="23916"/>
  <c r="GP114" i="23916"/>
  <c r="GQ113" i="23916"/>
  <c r="EU650" i="23916"/>
  <c r="EV17" i="23916"/>
  <c r="EU18" i="23916"/>
  <c r="GV106" i="23916"/>
  <c r="GU106" i="23916"/>
  <c r="GT107" i="23916"/>
  <c r="ER734" i="23916"/>
  <c r="EQ745" i="23916"/>
  <c r="ER745" i="23916" s="1"/>
  <c r="GP613" i="23916"/>
  <c r="GP117" i="23916"/>
  <c r="GP7" i="23916"/>
  <c r="GP121" i="23916"/>
  <c r="GQ121" i="23916" s="1"/>
  <c r="GQ115" i="23916"/>
  <c r="EX613" i="23916"/>
  <c r="EW616" i="23916"/>
  <c r="GY70" i="23916"/>
  <c r="GZ70" i="23916"/>
  <c r="ER735" i="23916"/>
  <c r="EQ742" i="23916"/>
  <c r="ER742" i="23916" s="1"/>
  <c r="EQ842" i="23916"/>
  <c r="EQ744" i="23916"/>
  <c r="ER744" i="23916" s="1"/>
  <c r="EQ743" i="23916"/>
  <c r="ER743" i="23916" s="1"/>
  <c r="EW606" i="23916"/>
  <c r="EX605" i="23916"/>
  <c r="GP605" i="23916"/>
  <c r="ES690" i="23916"/>
  <c r="ET640" i="23916"/>
  <c r="ES682" i="23916"/>
  <c r="ET682" i="23916" s="1"/>
  <c r="ES728" i="23916"/>
  <c r="ES729" i="23916"/>
  <c r="EW608" i="23916"/>
  <c r="EX608" i="23916" s="1"/>
  <c r="ES659" i="23916"/>
  <c r="ET659" i="23916" s="1"/>
  <c r="O19" i="24135"/>
  <c r="O20" i="24135" s="1"/>
  <c r="U9" i="24103"/>
  <c r="T9" i="24103"/>
  <c r="S23" i="23920"/>
  <c r="GP10" i="23916" l="1"/>
  <c r="GQ7" i="23916"/>
  <c r="GX106" i="23916"/>
  <c r="GV107" i="23916"/>
  <c r="GW106" i="23916"/>
  <c r="GR707" i="23916"/>
  <c r="GS707" i="23916" s="1"/>
  <c r="GS706" i="23916"/>
  <c r="ES830" i="23916"/>
  <c r="ES694" i="23916"/>
  <c r="ET692" i="23916"/>
  <c r="ES20" i="23916"/>
  <c r="ET20" i="23916" s="1"/>
  <c r="ER631" i="23916"/>
  <c r="EX10" i="23916"/>
  <c r="EW17" i="23916"/>
  <c r="EW813" i="23916"/>
  <c r="EU900" i="23916"/>
  <c r="EU692" i="23916"/>
  <c r="EV689" i="23916"/>
  <c r="EV900" i="23916" s="1"/>
  <c r="EU19" i="23916"/>
  <c r="EV19" i="23916" s="1"/>
  <c r="ES765" i="23916"/>
  <c r="ET765" i="23916" s="1"/>
  <c r="ES764" i="23916"/>
  <c r="ET764" i="23916" s="1"/>
  <c r="ES733" i="23916"/>
  <c r="EU729" i="23916"/>
  <c r="ES727" i="23916"/>
  <c r="ET727" i="23916" s="1"/>
  <c r="ES731" i="23916"/>
  <c r="ET729" i="23916"/>
  <c r="ES761" i="23916"/>
  <c r="ET761" i="23916" s="1"/>
  <c r="ES762" i="23916"/>
  <c r="ET762" i="23916" s="1"/>
  <c r="ES763" i="23916"/>
  <c r="ET763" i="23916" s="1"/>
  <c r="ES760" i="23916"/>
  <c r="ET760" i="23916" s="1"/>
  <c r="ES721" i="23916"/>
  <c r="ES724" i="23916"/>
  <c r="ET724" i="23916" s="1"/>
  <c r="GQ605" i="23916"/>
  <c r="GP606" i="23916"/>
  <c r="ET690" i="23916"/>
  <c r="ES664" i="23916"/>
  <c r="ET664" i="23916" s="1"/>
  <c r="GQ117" i="23916"/>
  <c r="GP820" i="23916"/>
  <c r="GQ820" i="23916" s="1"/>
  <c r="GP843" i="23916"/>
  <c r="GQ843" i="23916" s="1"/>
  <c r="GP821" i="23916"/>
  <c r="GQ821" i="23916" s="1"/>
  <c r="GP817" i="23916"/>
  <c r="GQ817" i="23916" s="1"/>
  <c r="GR114" i="23916"/>
  <c r="GQ114" i="23916"/>
  <c r="GP608" i="23916"/>
  <c r="GQ608" i="23916" s="1"/>
  <c r="GR110" i="23916"/>
  <c r="GS110" i="23916" s="1"/>
  <c r="GR103" i="23916"/>
  <c r="GS100" i="23916"/>
  <c r="GR597" i="23916"/>
  <c r="ET728" i="23916"/>
  <c r="EU728" i="23916"/>
  <c r="EW787" i="23916"/>
  <c r="EX606" i="23916"/>
  <c r="EW791" i="23916"/>
  <c r="EW792" i="23916" s="1"/>
  <c r="EW545" i="23916"/>
  <c r="GQ613" i="23916"/>
  <c r="GP616" i="23916"/>
  <c r="GV48" i="23916"/>
  <c r="GV49" i="23916"/>
  <c r="GW49" i="23916" s="1"/>
  <c r="GW46" i="23916"/>
  <c r="GS736" i="23916"/>
  <c r="GS101" i="23916"/>
  <c r="GR599" i="23916"/>
  <c r="GS599" i="23916" s="1"/>
  <c r="GQ796" i="23916"/>
  <c r="EU690" i="23916"/>
  <c r="EV640" i="23916"/>
  <c r="EU682" i="23916"/>
  <c r="EV682" i="23916" s="1"/>
  <c r="EU829" i="23916"/>
  <c r="EV628" i="23916"/>
  <c r="GR866" i="23916"/>
  <c r="GS594" i="23916"/>
  <c r="EX616" i="23916"/>
  <c r="EW626" i="23916"/>
  <c r="EV650" i="23916"/>
  <c r="EU659" i="23916"/>
  <c r="EV659" i="23916" s="1"/>
  <c r="GU52" i="23916"/>
  <c r="GT700" i="23916"/>
  <c r="GT61" i="23916"/>
  <c r="ER642" i="23916"/>
  <c r="EQ678" i="23916"/>
  <c r="ER678" i="23916" s="1"/>
  <c r="AN23" i="23920"/>
  <c r="R40" i="24103"/>
  <c r="R49" i="23920"/>
  <c r="S17" i="24103"/>
  <c r="R17" i="24103"/>
  <c r="AV23" i="23920"/>
  <c r="GT851" i="23916" l="1"/>
  <c r="GT67" i="23916"/>
  <c r="GU61" i="23916"/>
  <c r="GT590" i="23916"/>
  <c r="GQ616" i="23916"/>
  <c r="EW804" i="23916"/>
  <c r="EW805" i="23916" s="1"/>
  <c r="EW806" i="23916" s="1"/>
  <c r="EX545" i="23916"/>
  <c r="EV728" i="23916"/>
  <c r="GS103" i="23916"/>
  <c r="GR112" i="23916"/>
  <c r="GT114" i="23916"/>
  <c r="GS114" i="23916"/>
  <c r="GP787" i="23916"/>
  <c r="GQ787" i="23916" s="1"/>
  <c r="GQ606" i="23916"/>
  <c r="GP791" i="23916"/>
  <c r="GP545" i="23916"/>
  <c r="EU765" i="23916"/>
  <c r="EV765" i="23916" s="1"/>
  <c r="EU764" i="23916"/>
  <c r="EV764" i="23916" s="1"/>
  <c r="EU727" i="23916"/>
  <c r="EV727" i="23916" s="1"/>
  <c r="EU733" i="23916"/>
  <c r="EU731" i="23916"/>
  <c r="EV729" i="23916"/>
  <c r="EU761" i="23916"/>
  <c r="EV761" i="23916" s="1"/>
  <c r="EU760" i="23916"/>
  <c r="EV760" i="23916" s="1"/>
  <c r="EU762" i="23916"/>
  <c r="EV762" i="23916" s="1"/>
  <c r="EU763" i="23916"/>
  <c r="EV763" i="23916" s="1"/>
  <c r="EU721" i="23916"/>
  <c r="EU724" i="23916"/>
  <c r="EV724" i="23916" s="1"/>
  <c r="GU700" i="23916"/>
  <c r="GT704" i="23916"/>
  <c r="EW755" i="23916"/>
  <c r="EX755" i="23916" s="1"/>
  <c r="EW689" i="23916"/>
  <c r="EW628" i="23916"/>
  <c r="EX626" i="23916"/>
  <c r="EW657" i="23916"/>
  <c r="EX657" i="23916" s="1"/>
  <c r="EW784" i="23916"/>
  <c r="EW640" i="23916"/>
  <c r="EW652" i="23916"/>
  <c r="EX652" i="23916" s="1"/>
  <c r="EW658" i="23916"/>
  <c r="EX658" i="23916" s="1"/>
  <c r="EW653" i="23916"/>
  <c r="EX653" i="23916" s="1"/>
  <c r="EW654" i="23916"/>
  <c r="EX654" i="23916" s="1"/>
  <c r="EW649" i="23916"/>
  <c r="EW655" i="23916"/>
  <c r="EX655" i="23916" s="1"/>
  <c r="EW681" i="23916"/>
  <c r="EX681" i="23916" s="1"/>
  <c r="EW648" i="23916"/>
  <c r="EX648" i="23916" s="1"/>
  <c r="EW656" i="23916"/>
  <c r="EX656" i="23916" s="1"/>
  <c r="GP626" i="23916"/>
  <c r="EW647" i="23916"/>
  <c r="EX647" i="23916" s="1"/>
  <c r="GV55" i="23916"/>
  <c r="GW55" i="23916" s="1"/>
  <c r="GW48" i="23916"/>
  <c r="ES754" i="23916"/>
  <c r="ET754" i="23916" s="1"/>
  <c r="ES753" i="23916"/>
  <c r="ET753" i="23916" s="1"/>
  <c r="ES756" i="23916"/>
  <c r="ET756" i="23916" s="1"/>
  <c r="ES735" i="23916"/>
  <c r="ET733" i="23916"/>
  <c r="ES750" i="23916"/>
  <c r="ET750" i="23916" s="1"/>
  <c r="ES749" i="23916"/>
  <c r="ET749" i="23916" s="1"/>
  <c r="ES751" i="23916"/>
  <c r="ET751" i="23916" s="1"/>
  <c r="ES752" i="23916"/>
  <c r="ET752" i="23916" s="1"/>
  <c r="EX17" i="23916"/>
  <c r="EW18" i="23916"/>
  <c r="GX107" i="23916"/>
  <c r="GZ106" i="23916"/>
  <c r="GY106" i="23916"/>
  <c r="GR867" i="23916"/>
  <c r="GS867" i="23916" s="1"/>
  <c r="GS866" i="23916"/>
  <c r="EV690" i="23916"/>
  <c r="EU664" i="23916"/>
  <c r="EV664" i="23916" s="1"/>
  <c r="GR602" i="23916"/>
  <c r="GS597" i="23916"/>
  <c r="ES766" i="23916"/>
  <c r="ET766" i="23916" s="1"/>
  <c r="ES734" i="23916"/>
  <c r="ET731" i="23916"/>
  <c r="EU830" i="23916"/>
  <c r="EV692" i="23916"/>
  <c r="EU694" i="23916"/>
  <c r="EU20" i="23916"/>
  <c r="EV20" i="23916" s="1"/>
  <c r="EW650" i="23916"/>
  <c r="GV51" i="23916"/>
  <c r="ET721" i="23916"/>
  <c r="ES722" i="23916"/>
  <c r="ET722" i="23916" s="1"/>
  <c r="ET694" i="23916"/>
  <c r="ES21" i="23916"/>
  <c r="ET21" i="23916" s="1"/>
  <c r="ES630" i="23916"/>
  <c r="GP17" i="23916"/>
  <c r="GQ10" i="23916"/>
  <c r="GP813" i="23916"/>
  <c r="GQ813" i="23916" s="1"/>
  <c r="W9" i="24103"/>
  <c r="V9" i="24103"/>
  <c r="T40" i="24103"/>
  <c r="T49" i="23920"/>
  <c r="U17" i="24103"/>
  <c r="T17" i="24103"/>
  <c r="S40" i="24103"/>
  <c r="S49" i="23920"/>
  <c r="R17" i="23920"/>
  <c r="GS602" i="23916" l="1"/>
  <c r="GR604" i="23916"/>
  <c r="EW690" i="23916"/>
  <c r="EX640" i="23916"/>
  <c r="EW682" i="23916"/>
  <c r="EX682" i="23916" s="1"/>
  <c r="EV721" i="23916"/>
  <c r="EU722" i="23916"/>
  <c r="EV722" i="23916" s="1"/>
  <c r="EU756" i="23916"/>
  <c r="EV756" i="23916" s="1"/>
  <c r="EU754" i="23916"/>
  <c r="EV754" i="23916" s="1"/>
  <c r="EU753" i="23916"/>
  <c r="EV753" i="23916" s="1"/>
  <c r="EV733" i="23916"/>
  <c r="EU735" i="23916"/>
  <c r="EU750" i="23916"/>
  <c r="EV750" i="23916" s="1"/>
  <c r="EU749" i="23916"/>
  <c r="EV749" i="23916" s="1"/>
  <c r="EU751" i="23916"/>
  <c r="EV751" i="23916" s="1"/>
  <c r="EU752" i="23916"/>
  <c r="EV752" i="23916" s="1"/>
  <c r="GR120" i="23916"/>
  <c r="GS120" i="23916" s="1"/>
  <c r="GR118" i="23916"/>
  <c r="GS112" i="23916"/>
  <c r="GR113" i="23916"/>
  <c r="GT858" i="23916"/>
  <c r="GT594" i="23916"/>
  <c r="GU590" i="23916"/>
  <c r="GP18" i="23916"/>
  <c r="GQ18" i="23916" s="1"/>
  <c r="GQ17" i="23916"/>
  <c r="EW829" i="23916"/>
  <c r="EX628" i="23916"/>
  <c r="GP628" i="23916"/>
  <c r="GT736" i="23916"/>
  <c r="GU704" i="23916"/>
  <c r="GT706" i="23916"/>
  <c r="ET630" i="23916"/>
  <c r="ES631" i="23916"/>
  <c r="ES642" i="23916"/>
  <c r="GW51" i="23916"/>
  <c r="GX46" i="23916"/>
  <c r="GV58" i="23916"/>
  <c r="GW58" i="23916" s="1"/>
  <c r="GV52" i="23916"/>
  <c r="GP755" i="23916"/>
  <c r="GQ755" i="23916" s="1"/>
  <c r="GP689" i="23916"/>
  <c r="GQ626" i="23916"/>
  <c r="GP657" i="23916"/>
  <c r="GQ657" i="23916" s="1"/>
  <c r="GP784" i="23916"/>
  <c r="GQ784" i="23916" s="1"/>
  <c r="GP640" i="23916"/>
  <c r="GP681" i="23916"/>
  <c r="GQ681" i="23916" s="1"/>
  <c r="GP652" i="23916"/>
  <c r="GQ652" i="23916" s="1"/>
  <c r="GP658" i="23916"/>
  <c r="GQ658" i="23916" s="1"/>
  <c r="GP653" i="23916"/>
  <c r="GQ653" i="23916" s="1"/>
  <c r="GP654" i="23916"/>
  <c r="GQ654" i="23916" s="1"/>
  <c r="GP655" i="23916"/>
  <c r="GQ655" i="23916" s="1"/>
  <c r="GP649" i="23916"/>
  <c r="GP648" i="23916"/>
  <c r="GQ648" i="23916" s="1"/>
  <c r="GP656" i="23916"/>
  <c r="GQ656" i="23916" s="1"/>
  <c r="GP647" i="23916"/>
  <c r="GQ647" i="23916" s="1"/>
  <c r="EW900" i="23916"/>
  <c r="EX689" i="23916"/>
  <c r="EX900" i="23916" s="1"/>
  <c r="EW692" i="23916"/>
  <c r="EW19" i="23916"/>
  <c r="EX19" i="23916" s="1"/>
  <c r="EW729" i="23916"/>
  <c r="GP804" i="23916"/>
  <c r="GQ545" i="23916"/>
  <c r="GT68" i="23916"/>
  <c r="GU68" i="23916" s="1"/>
  <c r="GU67" i="23916"/>
  <c r="GT101" i="23916"/>
  <c r="GT100" i="23916"/>
  <c r="EV694" i="23916"/>
  <c r="EU21" i="23916"/>
  <c r="EV21" i="23916" s="1"/>
  <c r="EU630" i="23916"/>
  <c r="ET734" i="23916"/>
  <c r="ES745" i="23916"/>
  <c r="ET745" i="23916" s="1"/>
  <c r="EW659" i="23916"/>
  <c r="EX659" i="23916" s="1"/>
  <c r="EX650" i="23916"/>
  <c r="ET735" i="23916"/>
  <c r="ES742" i="23916"/>
  <c r="ET742" i="23916" s="1"/>
  <c r="ES842" i="23916"/>
  <c r="ES744" i="23916"/>
  <c r="ET744" i="23916" s="1"/>
  <c r="ES743" i="23916"/>
  <c r="ET743" i="23916" s="1"/>
  <c r="EU766" i="23916"/>
  <c r="EV766" i="23916" s="1"/>
  <c r="EV731" i="23916"/>
  <c r="EU734" i="23916"/>
  <c r="GP792" i="23916"/>
  <c r="GQ792" i="23916" s="1"/>
  <c r="GQ791" i="23916"/>
  <c r="GV114" i="23916"/>
  <c r="GU114" i="23916"/>
  <c r="EW728" i="23916"/>
  <c r="GP650" i="23916"/>
  <c r="AW16" i="23920"/>
  <c r="AX16" i="24103"/>
  <c r="AW16" i="24103"/>
  <c r="U40" i="24103"/>
  <c r="U49" i="23920"/>
  <c r="V17" i="24103"/>
  <c r="Y17" i="24103"/>
  <c r="X17" i="24103"/>
  <c r="AM17" i="23920"/>
  <c r="V40" i="24103"/>
  <c r="V49" i="23920"/>
  <c r="AM17" i="24103"/>
  <c r="S17" i="23920"/>
  <c r="T17" i="23920"/>
  <c r="GQ650" i="23916" l="1"/>
  <c r="GP659" i="23916"/>
  <c r="GQ659" i="23916" s="1"/>
  <c r="EW765" i="23916"/>
  <c r="EX765" i="23916" s="1"/>
  <c r="EW764" i="23916"/>
  <c r="EX764" i="23916" s="1"/>
  <c r="GP729" i="23916"/>
  <c r="EW727" i="23916"/>
  <c r="EW733" i="23916"/>
  <c r="EW731" i="23916"/>
  <c r="EX729" i="23916"/>
  <c r="EW761" i="23916"/>
  <c r="EX761" i="23916" s="1"/>
  <c r="EW763" i="23916"/>
  <c r="EX763" i="23916" s="1"/>
  <c r="EW760" i="23916"/>
  <c r="EX760" i="23916" s="1"/>
  <c r="EW762" i="23916"/>
  <c r="EX762" i="23916" s="1"/>
  <c r="EW721" i="23916"/>
  <c r="EW724" i="23916"/>
  <c r="EX724" i="23916" s="1"/>
  <c r="GX48" i="23916"/>
  <c r="GZ46" i="23916"/>
  <c r="GX49" i="23916"/>
  <c r="GY46" i="23916"/>
  <c r="GU736" i="23916"/>
  <c r="GS113" i="23916"/>
  <c r="GR605" i="23916"/>
  <c r="GT707" i="23916"/>
  <c r="GU707" i="23916" s="1"/>
  <c r="GU706" i="23916"/>
  <c r="GP829" i="23916"/>
  <c r="GQ829" i="23916" s="1"/>
  <c r="GQ628" i="23916"/>
  <c r="GT866" i="23916"/>
  <c r="GT867" i="23916" s="1"/>
  <c r="GU594" i="23916"/>
  <c r="GR115" i="23916"/>
  <c r="EV735" i="23916"/>
  <c r="EU742" i="23916"/>
  <c r="EV742" i="23916" s="1"/>
  <c r="EU744" i="23916"/>
  <c r="EV744" i="23916" s="1"/>
  <c r="EU842" i="23916"/>
  <c r="EU743" i="23916"/>
  <c r="EV743" i="23916" s="1"/>
  <c r="EV734" i="23916"/>
  <c r="EU745" i="23916"/>
  <c r="EV745" i="23916" s="1"/>
  <c r="EV630" i="23916"/>
  <c r="EU631" i="23916"/>
  <c r="EV631" i="23916" s="1"/>
  <c r="EU642" i="23916"/>
  <c r="GT110" i="23916"/>
  <c r="GU110" i="23916" s="1"/>
  <c r="GT103" i="23916"/>
  <c r="GU100" i="23916"/>
  <c r="GT597" i="23916"/>
  <c r="EW830" i="23916"/>
  <c r="EW694" i="23916"/>
  <c r="EX692" i="23916"/>
  <c r="EW20" i="23916"/>
  <c r="EX20" i="23916" s="1"/>
  <c r="GW52" i="23916"/>
  <c r="GV700" i="23916"/>
  <c r="GV61" i="23916"/>
  <c r="ET642" i="23916"/>
  <c r="ES678" i="23916"/>
  <c r="ET678" i="23916" s="1"/>
  <c r="GR608" i="23916"/>
  <c r="GS608" i="23916" s="1"/>
  <c r="GS604" i="23916"/>
  <c r="EX728" i="23916"/>
  <c r="GP728" i="23916"/>
  <c r="GW114" i="23916"/>
  <c r="GX114" i="23916"/>
  <c r="GU101" i="23916"/>
  <c r="GT599" i="23916"/>
  <c r="GU599" i="23916" s="1"/>
  <c r="GQ804" i="23916"/>
  <c r="GP805" i="23916"/>
  <c r="GP690" i="23916"/>
  <c r="GQ640" i="23916"/>
  <c r="GP682" i="23916"/>
  <c r="GQ682" i="23916" s="1"/>
  <c r="GP900" i="23916"/>
  <c r="GP692" i="23916"/>
  <c r="GQ689" i="23916"/>
  <c r="GP19" i="23916"/>
  <c r="GQ19" i="23916" s="1"/>
  <c r="ET631" i="23916"/>
  <c r="GR860" i="23916"/>
  <c r="GR796" i="23916"/>
  <c r="GS118" i="23916"/>
  <c r="GS860" i="23916" s="1"/>
  <c r="EX690" i="23916"/>
  <c r="EW664" i="23916"/>
  <c r="EX664" i="23916" s="1"/>
  <c r="Y9" i="24103"/>
  <c r="X9" i="24103"/>
  <c r="W40" i="24103"/>
  <c r="W49" i="23920"/>
  <c r="R27" i="24103"/>
  <c r="R36" i="23920"/>
  <c r="X40" i="24103"/>
  <c r="X49" i="23920"/>
  <c r="U17" i="23920"/>
  <c r="V17" i="23920"/>
  <c r="GY49" i="23916" l="1"/>
  <c r="GZ49" i="23916"/>
  <c r="EW766" i="23916"/>
  <c r="EW734" i="23916"/>
  <c r="EX731" i="23916"/>
  <c r="EW756" i="23916"/>
  <c r="EW754" i="23916"/>
  <c r="EX754" i="23916" s="1"/>
  <c r="EW753" i="23916"/>
  <c r="EX753" i="23916" s="1"/>
  <c r="EW735" i="23916"/>
  <c r="EX733" i="23916"/>
  <c r="EW750" i="23916"/>
  <c r="EX750" i="23916" s="1"/>
  <c r="EW752" i="23916"/>
  <c r="EX752" i="23916" s="1"/>
  <c r="EW749" i="23916"/>
  <c r="EX749" i="23916" s="1"/>
  <c r="EW751" i="23916"/>
  <c r="EX751" i="23916" s="1"/>
  <c r="GP830" i="23916"/>
  <c r="GQ830" i="23916" s="1"/>
  <c r="GQ692" i="23916"/>
  <c r="GP20" i="23916"/>
  <c r="GQ20" i="23916" s="1"/>
  <c r="GQ805" i="23916"/>
  <c r="GP806" i="23916"/>
  <c r="GZ114" i="23916"/>
  <c r="GY114" i="23916"/>
  <c r="GV851" i="23916"/>
  <c r="GW61" i="23916"/>
  <c r="GV67" i="23916"/>
  <c r="GV590" i="23916"/>
  <c r="GS605" i="23916"/>
  <c r="GR606" i="23916"/>
  <c r="GX51" i="23916"/>
  <c r="GZ48" i="23916"/>
  <c r="GX55" i="23916"/>
  <c r="GY48" i="23916"/>
  <c r="EX727" i="23916"/>
  <c r="GP727" i="23916"/>
  <c r="GQ727" i="23916" s="1"/>
  <c r="GS796" i="23916"/>
  <c r="GQ728" i="23916"/>
  <c r="GT602" i="23916"/>
  <c r="GU597" i="23916"/>
  <c r="EV642" i="23916"/>
  <c r="EU678" i="23916"/>
  <c r="EV678" i="23916" s="1"/>
  <c r="EX721" i="23916"/>
  <c r="EW722" i="23916"/>
  <c r="EX722" i="23916" s="1"/>
  <c r="GQ690" i="23916"/>
  <c r="GP664" i="23916"/>
  <c r="GQ664" i="23916" s="1"/>
  <c r="GW700" i="23916"/>
  <c r="GV704" i="23916"/>
  <c r="EX694" i="23916"/>
  <c r="EW21" i="23916"/>
  <c r="EX21" i="23916" s="1"/>
  <c r="EW630" i="23916"/>
  <c r="GU103" i="23916"/>
  <c r="GT112" i="23916"/>
  <c r="GR613" i="23916"/>
  <c r="GR117" i="23916"/>
  <c r="GS115" i="23916"/>
  <c r="GR7" i="23916"/>
  <c r="GR121" i="23916"/>
  <c r="GS121" i="23916" s="1"/>
  <c r="GP765" i="23916"/>
  <c r="GQ765" i="23916" s="1"/>
  <c r="GP764" i="23916"/>
  <c r="GQ764" i="23916" s="1"/>
  <c r="GP731" i="23916"/>
  <c r="GP733" i="23916"/>
  <c r="GQ729" i="23916"/>
  <c r="GP761" i="23916"/>
  <c r="GQ761" i="23916" s="1"/>
  <c r="GP762" i="23916"/>
  <c r="GQ762" i="23916" s="1"/>
  <c r="GP760" i="23916"/>
  <c r="GQ760" i="23916" s="1"/>
  <c r="GP763" i="23916"/>
  <c r="GQ763" i="23916" s="1"/>
  <c r="GP721" i="23916"/>
  <c r="GP724" i="23916"/>
  <c r="GQ724" i="23916" s="1"/>
  <c r="AM40" i="24103"/>
  <c r="AM49" i="23920"/>
  <c r="S27" i="24103"/>
  <c r="S36" i="23920"/>
  <c r="T27" i="24103"/>
  <c r="T36" i="23920"/>
  <c r="Y40" i="24103"/>
  <c r="Y49" i="23920"/>
  <c r="X17" i="23920"/>
  <c r="GQ731" i="23916" l="1"/>
  <c r="GR10" i="23916"/>
  <c r="GS7" i="23916"/>
  <c r="GU112" i="23916"/>
  <c r="GT120" i="23916"/>
  <c r="GU120" i="23916" s="1"/>
  <c r="GT113" i="23916"/>
  <c r="GT118" i="23916"/>
  <c r="GZ51" i="23916"/>
  <c r="GY51" i="23916"/>
  <c r="GX58" i="23916"/>
  <c r="GX52" i="23916"/>
  <c r="GV101" i="23916"/>
  <c r="GV100" i="23916"/>
  <c r="GV68" i="23916"/>
  <c r="GW68" i="23916" s="1"/>
  <c r="GW67" i="23916"/>
  <c r="EX734" i="23916"/>
  <c r="GP734" i="23916"/>
  <c r="EW745" i="23916"/>
  <c r="EX745" i="23916" s="1"/>
  <c r="GR787" i="23916"/>
  <c r="GS787" i="23916" s="1"/>
  <c r="GS606" i="23916"/>
  <c r="GR791" i="23916"/>
  <c r="GR545" i="23916"/>
  <c r="EX766" i="23916"/>
  <c r="GP766" i="23916"/>
  <c r="GQ766" i="23916" s="1"/>
  <c r="GS117" i="23916"/>
  <c r="GR820" i="23916"/>
  <c r="GS820" i="23916" s="1"/>
  <c r="GR821" i="23916"/>
  <c r="GS821" i="23916" s="1"/>
  <c r="GR817" i="23916"/>
  <c r="GS817" i="23916" s="1"/>
  <c r="GR843" i="23916"/>
  <c r="GS843" i="23916" s="1"/>
  <c r="EX630" i="23916"/>
  <c r="EW631" i="23916"/>
  <c r="EW642" i="23916"/>
  <c r="GU602" i="23916"/>
  <c r="GT604" i="23916"/>
  <c r="GY55" i="23916"/>
  <c r="GZ55" i="23916"/>
  <c r="EX756" i="23916"/>
  <c r="GP756" i="23916"/>
  <c r="GQ756" i="23916" s="1"/>
  <c r="GV736" i="23916"/>
  <c r="GV706" i="23916"/>
  <c r="GW704" i="23916"/>
  <c r="GQ721" i="23916"/>
  <c r="GP722" i="23916"/>
  <c r="GQ722" i="23916" s="1"/>
  <c r="GP754" i="23916"/>
  <c r="GQ754" i="23916" s="1"/>
  <c r="GP753" i="23916"/>
  <c r="GQ753" i="23916" s="1"/>
  <c r="GP738" i="23916"/>
  <c r="GQ733" i="23916"/>
  <c r="GP750" i="23916"/>
  <c r="GQ750" i="23916" s="1"/>
  <c r="GP749" i="23916"/>
  <c r="GQ749" i="23916" s="1"/>
  <c r="GP752" i="23916"/>
  <c r="GQ752" i="23916" s="1"/>
  <c r="GP751" i="23916"/>
  <c r="GQ751" i="23916" s="1"/>
  <c r="GS613" i="23916"/>
  <c r="GR616" i="23916"/>
  <c r="GV858" i="23916"/>
  <c r="GV594" i="23916"/>
  <c r="GW590" i="23916"/>
  <c r="EX735" i="23916"/>
  <c r="GP735" i="23916"/>
  <c r="EW742" i="23916"/>
  <c r="EX742" i="23916" s="1"/>
  <c r="EW743" i="23916"/>
  <c r="EX743" i="23916" s="1"/>
  <c r="EW744" i="23916"/>
  <c r="EX744" i="23916" s="1"/>
  <c r="EW842" i="23916"/>
  <c r="U27" i="24103"/>
  <c r="U36" i="23920"/>
  <c r="AN40" i="24103"/>
  <c r="AN49" i="23920"/>
  <c r="Y17" i="23920"/>
  <c r="GP757" i="23916" l="1"/>
  <c r="GP739" i="23916"/>
  <c r="GP746" i="23916" s="1"/>
  <c r="GW736" i="23916"/>
  <c r="EX631" i="23916"/>
  <c r="GP631" i="23916"/>
  <c r="GV110" i="23916"/>
  <c r="GW110" i="23916" s="1"/>
  <c r="GV103" i="23916"/>
  <c r="GW100" i="23916"/>
  <c r="GV597" i="23916"/>
  <c r="GU113" i="23916"/>
  <c r="GT605" i="23916"/>
  <c r="GT608" i="23916"/>
  <c r="GU608" i="23916" s="1"/>
  <c r="GU604" i="23916"/>
  <c r="GW101" i="23916"/>
  <c r="GV599" i="23916"/>
  <c r="GW599" i="23916" s="1"/>
  <c r="GS10" i="23916"/>
  <c r="GR17" i="23916"/>
  <c r="GR813" i="23916"/>
  <c r="GS813" i="23916" s="1"/>
  <c r="GV866" i="23916"/>
  <c r="GV867" i="23916" s="1"/>
  <c r="GW594" i="23916"/>
  <c r="GQ735" i="23916"/>
  <c r="GP742" i="23916"/>
  <c r="GQ742" i="23916" s="1"/>
  <c r="GP842" i="23916"/>
  <c r="GQ842" i="23916" s="1"/>
  <c r="GP744" i="23916"/>
  <c r="GQ744" i="23916" s="1"/>
  <c r="GP743" i="23916"/>
  <c r="GQ743" i="23916" s="1"/>
  <c r="GV707" i="23916"/>
  <c r="GW707" i="23916" s="1"/>
  <c r="GW706" i="23916"/>
  <c r="GR804" i="23916"/>
  <c r="GS545" i="23916"/>
  <c r="GZ52" i="23916"/>
  <c r="GY52" i="23916"/>
  <c r="GX700" i="23916"/>
  <c r="GX61" i="23916"/>
  <c r="GT115" i="23916"/>
  <c r="GS616" i="23916"/>
  <c r="GR626" i="23916"/>
  <c r="EX642" i="23916"/>
  <c r="EW678" i="23916"/>
  <c r="EX678" i="23916" s="1"/>
  <c r="GR792" i="23916"/>
  <c r="GS792" i="23916" s="1"/>
  <c r="GS791" i="23916"/>
  <c r="GQ734" i="23916"/>
  <c r="GP745" i="23916"/>
  <c r="GQ745" i="23916" s="1"/>
  <c r="GY58" i="23916"/>
  <c r="GZ58" i="23916"/>
  <c r="GT860" i="23916"/>
  <c r="GT796" i="23916"/>
  <c r="GU118" i="23916"/>
  <c r="AX9" i="23920"/>
  <c r="AW9" i="23920"/>
  <c r="AX9" i="24103"/>
  <c r="AW9" i="24103"/>
  <c r="AU17" i="24103"/>
  <c r="AV17" i="24103"/>
  <c r="AU17" i="23920"/>
  <c r="AV17" i="23920"/>
  <c r="R12" i="24103"/>
  <c r="GR755" i="23916" l="1"/>
  <c r="GS755" i="23916" s="1"/>
  <c r="GR689" i="23916"/>
  <c r="GR628" i="23916"/>
  <c r="GS626" i="23916"/>
  <c r="GR657" i="23916"/>
  <c r="GS657" i="23916" s="1"/>
  <c r="GR784" i="23916"/>
  <c r="GS784" i="23916" s="1"/>
  <c r="GR640" i="23916"/>
  <c r="GR681" i="23916"/>
  <c r="GS681" i="23916" s="1"/>
  <c r="GR658" i="23916"/>
  <c r="GS658" i="23916" s="1"/>
  <c r="GR652" i="23916"/>
  <c r="GS652" i="23916" s="1"/>
  <c r="GR653" i="23916"/>
  <c r="GS653" i="23916" s="1"/>
  <c r="GR655" i="23916"/>
  <c r="GS655" i="23916" s="1"/>
  <c r="GR654" i="23916"/>
  <c r="GS654" i="23916" s="1"/>
  <c r="GR649" i="23916"/>
  <c r="GR656" i="23916"/>
  <c r="GS656" i="23916" s="1"/>
  <c r="GR648" i="23916"/>
  <c r="GS648" i="23916" s="1"/>
  <c r="GR647" i="23916"/>
  <c r="GS647" i="23916" s="1"/>
  <c r="GX851" i="23916"/>
  <c r="GX67" i="23916"/>
  <c r="GZ61" i="23916"/>
  <c r="GY61" i="23916"/>
  <c r="GX590" i="23916"/>
  <c r="GU860" i="23916"/>
  <c r="GU796" i="23916"/>
  <c r="GZ700" i="23916"/>
  <c r="GY700" i="23916"/>
  <c r="GX704" i="23916"/>
  <c r="GS804" i="23916"/>
  <c r="GR805" i="23916"/>
  <c r="GR18" i="23916"/>
  <c r="GS18" i="23916" s="1"/>
  <c r="GS17" i="23916"/>
  <c r="GV602" i="23916"/>
  <c r="GW597" i="23916"/>
  <c r="GP694" i="23916"/>
  <c r="GQ631" i="23916"/>
  <c r="GP630" i="23916"/>
  <c r="GR650" i="23916"/>
  <c r="GT613" i="23916"/>
  <c r="GT117" i="23916"/>
  <c r="GT7" i="23916"/>
  <c r="GT121" i="23916"/>
  <c r="GU121" i="23916" s="1"/>
  <c r="GU115" i="23916"/>
  <c r="GU605" i="23916"/>
  <c r="GT606" i="23916"/>
  <c r="GW103" i="23916"/>
  <c r="GV112" i="23916"/>
  <c r="S13" i="23920"/>
  <c r="R13" i="23920"/>
  <c r="S12" i="23920"/>
  <c r="R12" i="23920"/>
  <c r="AM53" i="24103"/>
  <c r="AM62" i="23920"/>
  <c r="S13" i="24103"/>
  <c r="R13" i="24103"/>
  <c r="R14" i="23920"/>
  <c r="S12" i="24103"/>
  <c r="T14" i="23920"/>
  <c r="T12" i="24103"/>
  <c r="GT787" i="23916" l="1"/>
  <c r="GU606" i="23916"/>
  <c r="GT791" i="23916"/>
  <c r="GT792" i="23916" s="1"/>
  <c r="GT545" i="23916"/>
  <c r="GS805" i="23916"/>
  <c r="GR806" i="23916"/>
  <c r="GV120" i="23916"/>
  <c r="GW120" i="23916" s="1"/>
  <c r="GV118" i="23916"/>
  <c r="GV113" i="23916"/>
  <c r="GV115" i="23916" s="1"/>
  <c r="GW112" i="23916"/>
  <c r="GU613" i="23916"/>
  <c r="GT616" i="23916"/>
  <c r="GX736" i="23916"/>
  <c r="GZ704" i="23916"/>
  <c r="GY704" i="23916"/>
  <c r="GX706" i="23916"/>
  <c r="GX68" i="23916"/>
  <c r="GY67" i="23916"/>
  <c r="GX101" i="23916"/>
  <c r="GX100" i="23916"/>
  <c r="GZ67" i="23916"/>
  <c r="GR690" i="23916"/>
  <c r="GS640" i="23916"/>
  <c r="GR682" i="23916"/>
  <c r="GS682" i="23916" s="1"/>
  <c r="GR728" i="23916"/>
  <c r="GR729" i="23916"/>
  <c r="GR659" i="23916"/>
  <c r="GS659" i="23916" s="1"/>
  <c r="GS650" i="23916"/>
  <c r="GQ694" i="23916"/>
  <c r="GP21" i="23916"/>
  <c r="GQ21" i="23916" s="1"/>
  <c r="GX858" i="23916"/>
  <c r="GX594" i="23916"/>
  <c r="GZ590" i="23916"/>
  <c r="GY590" i="23916"/>
  <c r="GR829" i="23916"/>
  <c r="GS829" i="23916" s="1"/>
  <c r="GR692" i="23916"/>
  <c r="GS628" i="23916"/>
  <c r="GT10" i="23916"/>
  <c r="GU7" i="23916"/>
  <c r="GR900" i="23916"/>
  <c r="GS689" i="23916"/>
  <c r="GR19" i="23916"/>
  <c r="GS19" i="23916" s="1"/>
  <c r="GU117" i="23916"/>
  <c r="GT820" i="23916"/>
  <c r="GT843" i="23916"/>
  <c r="GT821" i="23916"/>
  <c r="GT817" i="23916"/>
  <c r="GQ630" i="23916"/>
  <c r="GP642" i="23916"/>
  <c r="GW602" i="23916"/>
  <c r="GV604" i="23916"/>
  <c r="U13" i="24103"/>
  <c r="T13" i="24103"/>
  <c r="S14" i="24103"/>
  <c r="R14" i="24103"/>
  <c r="AU40" i="24103"/>
  <c r="AU49" i="23920"/>
  <c r="U13" i="23920"/>
  <c r="T13" i="23920"/>
  <c r="R15" i="23920"/>
  <c r="AA15" i="23920" s="1"/>
  <c r="U12" i="23920"/>
  <c r="T12" i="23920"/>
  <c r="U14" i="24103"/>
  <c r="T14" i="24103"/>
  <c r="AN53" i="24103"/>
  <c r="AN62" i="23920"/>
  <c r="V14" i="23920"/>
  <c r="S14" i="23920"/>
  <c r="U12" i="24103"/>
  <c r="U14" i="23920"/>
  <c r="GV613" i="23916" l="1"/>
  <c r="GW115" i="23916"/>
  <c r="GV117" i="23916"/>
  <c r="GV7" i="23916"/>
  <c r="GV121" i="23916"/>
  <c r="GW121" i="23916" s="1"/>
  <c r="GQ642" i="23916"/>
  <c r="GP678" i="23916"/>
  <c r="GQ678" i="23916" s="1"/>
  <c r="GX866" i="23916"/>
  <c r="GX867" i="23916" s="1"/>
  <c r="GZ594" i="23916"/>
  <c r="GY594" i="23916"/>
  <c r="GX110" i="23916"/>
  <c r="GX103" i="23916"/>
  <c r="GZ100" i="23916"/>
  <c r="GY100" i="23916"/>
  <c r="GX597" i="23916"/>
  <c r="GZ706" i="23916"/>
  <c r="GX707" i="23916"/>
  <c r="GY706" i="23916"/>
  <c r="GZ736" i="23916"/>
  <c r="GY736" i="23916"/>
  <c r="GR830" i="23916"/>
  <c r="GS830" i="23916" s="1"/>
  <c r="GR694" i="23916"/>
  <c r="GS692" i="23916"/>
  <c r="GR20" i="23916"/>
  <c r="GS20" i="23916" s="1"/>
  <c r="GZ101" i="23916"/>
  <c r="GY101" i="23916"/>
  <c r="GX599" i="23916"/>
  <c r="GT650" i="23916"/>
  <c r="GU616" i="23916"/>
  <c r="GT626" i="23916"/>
  <c r="GT804" i="23916"/>
  <c r="GT805" i="23916" s="1"/>
  <c r="GT806" i="23916" s="1"/>
  <c r="GU545" i="23916"/>
  <c r="GV608" i="23916"/>
  <c r="GW608" i="23916" s="1"/>
  <c r="GW604" i="23916"/>
  <c r="GR765" i="23916"/>
  <c r="GS765" i="23916" s="1"/>
  <c r="GR764" i="23916"/>
  <c r="GS764" i="23916" s="1"/>
  <c r="GR733" i="23916"/>
  <c r="GR731" i="23916"/>
  <c r="GR727" i="23916"/>
  <c r="GS727" i="23916" s="1"/>
  <c r="GS729" i="23916"/>
  <c r="GR761" i="23916"/>
  <c r="GS761" i="23916" s="1"/>
  <c r="GR763" i="23916"/>
  <c r="GS763" i="23916" s="1"/>
  <c r="GR762" i="23916"/>
  <c r="GS762" i="23916" s="1"/>
  <c r="GR760" i="23916"/>
  <c r="GS760" i="23916" s="1"/>
  <c r="GR721" i="23916"/>
  <c r="GR724" i="23916"/>
  <c r="GS724" i="23916" s="1"/>
  <c r="GW113" i="23916"/>
  <c r="GV605" i="23916"/>
  <c r="GT17" i="23916"/>
  <c r="GU10" i="23916"/>
  <c r="GT813" i="23916"/>
  <c r="GS728" i="23916"/>
  <c r="GS690" i="23916"/>
  <c r="GR664" i="23916"/>
  <c r="GS664" i="23916" s="1"/>
  <c r="GZ68" i="23916"/>
  <c r="GY68" i="23916"/>
  <c r="GV860" i="23916"/>
  <c r="GV796" i="23916"/>
  <c r="GW118" i="23916"/>
  <c r="AA8" i="24103"/>
  <c r="Z8" i="24103"/>
  <c r="AA8" i="23920"/>
  <c r="Z8" i="23920"/>
  <c r="Z11" i="23920" s="1"/>
  <c r="U15" i="24103"/>
  <c r="T15" i="24103"/>
  <c r="W13" i="23920"/>
  <c r="V13" i="23920"/>
  <c r="T15" i="23920"/>
  <c r="AC15" i="23920" s="1"/>
  <c r="S15" i="24103"/>
  <c r="R15" i="24103"/>
  <c r="W14" i="24103"/>
  <c r="V14" i="24103"/>
  <c r="W13" i="24103"/>
  <c r="V13" i="24103"/>
  <c r="AV40" i="24103"/>
  <c r="AV49" i="23920"/>
  <c r="X12" i="24103"/>
  <c r="W14" i="23920"/>
  <c r="V12" i="24103"/>
  <c r="GW860" i="23916" l="1"/>
  <c r="GW796" i="23916"/>
  <c r="GV606" i="23916"/>
  <c r="GW605" i="23916"/>
  <c r="GR766" i="23916"/>
  <c r="GS766" i="23916" s="1"/>
  <c r="GS731" i="23916"/>
  <c r="GR734" i="23916"/>
  <c r="GT755" i="23916"/>
  <c r="GU755" i="23916" s="1"/>
  <c r="GT689" i="23916"/>
  <c r="GU626" i="23916"/>
  <c r="GT628" i="23916"/>
  <c r="GT657" i="23916"/>
  <c r="GU657" i="23916" s="1"/>
  <c r="GT784" i="23916"/>
  <c r="GT640" i="23916"/>
  <c r="GT658" i="23916"/>
  <c r="GU658" i="23916" s="1"/>
  <c r="GT681" i="23916"/>
  <c r="GU681" i="23916" s="1"/>
  <c r="GT652" i="23916"/>
  <c r="GU652" i="23916" s="1"/>
  <c r="GT653" i="23916"/>
  <c r="GU653" i="23916" s="1"/>
  <c r="GT654" i="23916"/>
  <c r="GU654" i="23916" s="1"/>
  <c r="GT655" i="23916"/>
  <c r="GU655" i="23916" s="1"/>
  <c r="GT649" i="23916"/>
  <c r="GT656" i="23916"/>
  <c r="GU656" i="23916" s="1"/>
  <c r="GT648" i="23916"/>
  <c r="GU648" i="23916" s="1"/>
  <c r="GT647" i="23916"/>
  <c r="GU647" i="23916" s="1"/>
  <c r="GS694" i="23916"/>
  <c r="GR21" i="23916"/>
  <c r="GS21" i="23916" s="1"/>
  <c r="GR630" i="23916"/>
  <c r="GX602" i="23916"/>
  <c r="GZ597" i="23916"/>
  <c r="GY597" i="23916"/>
  <c r="GZ110" i="23916"/>
  <c r="GY110" i="23916"/>
  <c r="GW7" i="23916"/>
  <c r="GV10" i="23916"/>
  <c r="GR754" i="23916"/>
  <c r="GS754" i="23916" s="1"/>
  <c r="GR756" i="23916"/>
  <c r="GS756" i="23916" s="1"/>
  <c r="GR738" i="23916"/>
  <c r="GS733" i="23916"/>
  <c r="GR753" i="23916"/>
  <c r="GS753" i="23916" s="1"/>
  <c r="GR750" i="23916"/>
  <c r="GS750" i="23916" s="1"/>
  <c r="GR752" i="23916"/>
  <c r="GS752" i="23916" s="1"/>
  <c r="GR751" i="23916"/>
  <c r="GS751" i="23916" s="1"/>
  <c r="GR749" i="23916"/>
  <c r="GS749" i="23916" s="1"/>
  <c r="GR735" i="23916"/>
  <c r="GW117" i="23916"/>
  <c r="GV820" i="23916"/>
  <c r="GV843" i="23916"/>
  <c r="GV817" i="23916"/>
  <c r="GV821" i="23916"/>
  <c r="GU650" i="23916"/>
  <c r="GT659" i="23916"/>
  <c r="GU659" i="23916" s="1"/>
  <c r="GY707" i="23916"/>
  <c r="GZ707" i="23916"/>
  <c r="GT18" i="23916"/>
  <c r="GU18" i="23916" s="1"/>
  <c r="GU17" i="23916"/>
  <c r="GS721" i="23916"/>
  <c r="GR722" i="23916"/>
  <c r="GS722" i="23916" s="1"/>
  <c r="GZ599" i="23916"/>
  <c r="GY599" i="23916"/>
  <c r="GZ103" i="23916"/>
  <c r="GY103" i="23916"/>
  <c r="GX112" i="23916"/>
  <c r="GW613" i="23916"/>
  <c r="GV616" i="23916"/>
  <c r="AA11" i="24103"/>
  <c r="Z11" i="24103"/>
  <c r="W12" i="23920"/>
  <c r="V12" i="23920"/>
  <c r="V15" i="23920" s="1"/>
  <c r="AE15" i="23920" s="1"/>
  <c r="Y12" i="23920"/>
  <c r="X12" i="23920"/>
  <c r="Y12" i="24103"/>
  <c r="W12" i="24103"/>
  <c r="X14" i="23920"/>
  <c r="GS630" i="23916" l="1"/>
  <c r="GR631" i="23916"/>
  <c r="GS631" i="23916" s="1"/>
  <c r="GR642" i="23916"/>
  <c r="GT829" i="23916"/>
  <c r="GT692" i="23916"/>
  <c r="GU628" i="23916"/>
  <c r="GX115" i="23916"/>
  <c r="GZ112" i="23916"/>
  <c r="GX120" i="23916"/>
  <c r="GX113" i="23916"/>
  <c r="GY112" i="23916"/>
  <c r="GX118" i="23916"/>
  <c r="GW10" i="23916"/>
  <c r="GV17" i="23916"/>
  <c r="GV813" i="23916"/>
  <c r="GT690" i="23916"/>
  <c r="GU640" i="23916"/>
  <c r="GT682" i="23916"/>
  <c r="GU682" i="23916" s="1"/>
  <c r="GT729" i="23916"/>
  <c r="GT728" i="23916"/>
  <c r="GV650" i="23916"/>
  <c r="GW616" i="23916"/>
  <c r="GV626" i="23916"/>
  <c r="GS735" i="23916"/>
  <c r="GR742" i="23916"/>
  <c r="GS742" i="23916" s="1"/>
  <c r="GR842" i="23916"/>
  <c r="GS842" i="23916" s="1"/>
  <c r="GR744" i="23916"/>
  <c r="GS744" i="23916" s="1"/>
  <c r="GR743" i="23916"/>
  <c r="GS743" i="23916" s="1"/>
  <c r="GR757" i="23916"/>
  <c r="GR739" i="23916"/>
  <c r="GR746" i="23916" s="1"/>
  <c r="GS734" i="23916"/>
  <c r="GR745" i="23916"/>
  <c r="GS745" i="23916" s="1"/>
  <c r="GZ602" i="23916"/>
  <c r="GY602" i="23916"/>
  <c r="GX604" i="23916"/>
  <c r="GT900" i="23916"/>
  <c r="GU689" i="23916"/>
  <c r="GT19" i="23916"/>
  <c r="GU19" i="23916" s="1"/>
  <c r="GV787" i="23916"/>
  <c r="GW606" i="23916"/>
  <c r="GV791" i="23916"/>
  <c r="GV545" i="23916"/>
  <c r="Z59" i="24103"/>
  <c r="Z20" i="24103"/>
  <c r="Z21" i="24103" s="1"/>
  <c r="Z24" i="23920"/>
  <c r="AC8" i="23920"/>
  <c r="AB8" i="23920"/>
  <c r="AB11" i="23920" s="1"/>
  <c r="AA60" i="24103"/>
  <c r="Z60" i="24103"/>
  <c r="AC8" i="24103"/>
  <c r="AB8" i="24103"/>
  <c r="N5" i="24135"/>
  <c r="N6" i="24135" s="1"/>
  <c r="W15" i="24103"/>
  <c r="V15" i="24103"/>
  <c r="Y14" i="24103"/>
  <c r="X14" i="24103"/>
  <c r="Y13" i="23920"/>
  <c r="X13" i="23920"/>
  <c r="Y13" i="24103"/>
  <c r="X13" i="24103"/>
  <c r="AU53" i="24103"/>
  <c r="AU62" i="23920"/>
  <c r="Y14" i="23920"/>
  <c r="GW650" i="23916" l="1"/>
  <c r="GZ120" i="23916"/>
  <c r="GY120" i="23916"/>
  <c r="GT830" i="23916"/>
  <c r="GU692" i="23916"/>
  <c r="GT694" i="23916"/>
  <c r="GT20" i="23916"/>
  <c r="GU20" i="23916" s="1"/>
  <c r="GZ604" i="23916"/>
  <c r="GY604" i="23916"/>
  <c r="GU728" i="23916"/>
  <c r="GX860" i="23916"/>
  <c r="GX796" i="23916"/>
  <c r="GZ118" i="23916"/>
  <c r="GY118" i="23916"/>
  <c r="GS642" i="23916"/>
  <c r="GR678" i="23916"/>
  <c r="GS678" i="23916" s="1"/>
  <c r="GV804" i="23916"/>
  <c r="GV805" i="23916" s="1"/>
  <c r="GV806" i="23916" s="1"/>
  <c r="GW545" i="23916"/>
  <c r="GW805" i="23916" s="1"/>
  <c r="GV755" i="23916"/>
  <c r="GW755" i="23916" s="1"/>
  <c r="GV689" i="23916"/>
  <c r="GV628" i="23916"/>
  <c r="GW626" i="23916"/>
  <c r="GV657" i="23916"/>
  <c r="GW657" i="23916" s="1"/>
  <c r="GV784" i="23916"/>
  <c r="GV640" i="23916"/>
  <c r="GV681" i="23916"/>
  <c r="GW681" i="23916" s="1"/>
  <c r="GV658" i="23916"/>
  <c r="GW658" i="23916" s="1"/>
  <c r="GV652" i="23916"/>
  <c r="GW652" i="23916" s="1"/>
  <c r="GV654" i="23916"/>
  <c r="GW654" i="23916" s="1"/>
  <c r="GV653" i="23916"/>
  <c r="GW653" i="23916" s="1"/>
  <c r="GV655" i="23916"/>
  <c r="GW655" i="23916" s="1"/>
  <c r="GV649" i="23916"/>
  <c r="GV648" i="23916"/>
  <c r="GW648" i="23916" s="1"/>
  <c r="GV656" i="23916"/>
  <c r="GW656" i="23916" s="1"/>
  <c r="GV647" i="23916"/>
  <c r="GW647" i="23916" s="1"/>
  <c r="GT765" i="23916"/>
  <c r="GU765" i="23916" s="1"/>
  <c r="GT764" i="23916"/>
  <c r="GU764" i="23916" s="1"/>
  <c r="GT733" i="23916"/>
  <c r="GT731" i="23916"/>
  <c r="GV729" i="23916"/>
  <c r="GT727" i="23916"/>
  <c r="GU727" i="23916" s="1"/>
  <c r="GU729" i="23916"/>
  <c r="GT761" i="23916"/>
  <c r="GU761" i="23916" s="1"/>
  <c r="GT763" i="23916"/>
  <c r="GU763" i="23916" s="1"/>
  <c r="GT760" i="23916"/>
  <c r="GU760" i="23916" s="1"/>
  <c r="GT762" i="23916"/>
  <c r="GU762" i="23916" s="1"/>
  <c r="GT721" i="23916"/>
  <c r="GT724" i="23916"/>
  <c r="GU724" i="23916" s="1"/>
  <c r="GU690" i="23916"/>
  <c r="GT664" i="23916"/>
  <c r="GU664" i="23916" s="1"/>
  <c r="GV18" i="23916"/>
  <c r="GW18" i="23916" s="1"/>
  <c r="GW17" i="23916"/>
  <c r="GX613" i="23916"/>
  <c r="GX117" i="23916"/>
  <c r="GY115" i="23916"/>
  <c r="GX7" i="23916"/>
  <c r="GX121" i="23916"/>
  <c r="GZ115" i="23916"/>
  <c r="GV792" i="23916"/>
  <c r="GY113" i="23916"/>
  <c r="GZ113" i="23916"/>
  <c r="GX605" i="23916"/>
  <c r="AA68" i="24103"/>
  <c r="AA65" i="24103"/>
  <c r="Z65" i="24103"/>
  <c r="AA64" i="24103"/>
  <c r="Z64" i="24103"/>
  <c r="AA67" i="24103"/>
  <c r="Z67" i="24103"/>
  <c r="Z24" i="24103"/>
  <c r="Z25" i="24103" s="1"/>
  <c r="Z33" i="23920"/>
  <c r="Z34" i="23920" s="1"/>
  <c r="AA57" i="24103"/>
  <c r="Z57" i="24103"/>
  <c r="AA58" i="24103"/>
  <c r="Z58" i="24103"/>
  <c r="AA63" i="24103"/>
  <c r="Z63" i="24103"/>
  <c r="Z28" i="24103"/>
  <c r="Z37" i="23920"/>
  <c r="Z38" i="23920" s="1"/>
  <c r="AA20" i="23920"/>
  <c r="Z20" i="23920"/>
  <c r="AC11" i="24103"/>
  <c r="AB11" i="24103"/>
  <c r="AA62" i="24103"/>
  <c r="Z62" i="24103"/>
  <c r="AA20" i="24103"/>
  <c r="AA24" i="23920"/>
  <c r="AA61" i="24103"/>
  <c r="Z61" i="24103"/>
  <c r="AA66" i="24103"/>
  <c r="Z66" i="24103"/>
  <c r="Y15" i="24103"/>
  <c r="X15" i="24103"/>
  <c r="AM12" i="24103"/>
  <c r="AN12" i="24103"/>
  <c r="AM13" i="24103"/>
  <c r="AN13" i="24103"/>
  <c r="AV53" i="24103"/>
  <c r="AV62" i="23920"/>
  <c r="X15" i="23920"/>
  <c r="AG15" i="23920" s="1"/>
  <c r="AM12" i="23920"/>
  <c r="AN12" i="23920"/>
  <c r="AM13" i="23920"/>
  <c r="AN13" i="23920"/>
  <c r="AM14" i="23920"/>
  <c r="AN14" i="23920"/>
  <c r="AM14" i="24103"/>
  <c r="AN14" i="24103"/>
  <c r="GZ605" i="23916" l="1"/>
  <c r="GY605" i="23916"/>
  <c r="GX606" i="23916"/>
  <c r="GZ117" i="23916"/>
  <c r="GY117" i="23916"/>
  <c r="GX820" i="23916"/>
  <c r="GX843" i="23916"/>
  <c r="GX821" i="23916"/>
  <c r="GX817" i="23916"/>
  <c r="GT766" i="23916"/>
  <c r="GU766" i="23916" s="1"/>
  <c r="GU731" i="23916"/>
  <c r="GT734" i="23916"/>
  <c r="GV900" i="23916"/>
  <c r="GW689" i="23916"/>
  <c r="GV19" i="23916"/>
  <c r="GW19" i="23916" s="1"/>
  <c r="GY121" i="23916"/>
  <c r="GZ121" i="23916"/>
  <c r="GZ613" i="23916"/>
  <c r="GY613" i="23916"/>
  <c r="GX616" i="23916"/>
  <c r="GT754" i="23916"/>
  <c r="GU754" i="23916" s="1"/>
  <c r="GT756" i="23916"/>
  <c r="GU756" i="23916" s="1"/>
  <c r="GT753" i="23916"/>
  <c r="GU753" i="23916" s="1"/>
  <c r="GU733" i="23916"/>
  <c r="GT738" i="23916"/>
  <c r="GT750" i="23916"/>
  <c r="GU750" i="23916" s="1"/>
  <c r="GT751" i="23916"/>
  <c r="GU751" i="23916" s="1"/>
  <c r="GT749" i="23916"/>
  <c r="GU749" i="23916" s="1"/>
  <c r="GT752" i="23916"/>
  <c r="GU752" i="23916" s="1"/>
  <c r="GT735" i="23916"/>
  <c r="GX608" i="23916"/>
  <c r="GU694" i="23916"/>
  <c r="GT21" i="23916"/>
  <c r="GU21" i="23916" s="1"/>
  <c r="GT630" i="23916"/>
  <c r="GZ7" i="23916"/>
  <c r="GX10" i="23916"/>
  <c r="GY7" i="23916"/>
  <c r="GV690" i="23916"/>
  <c r="GW640" i="23916"/>
  <c r="GV682" i="23916"/>
  <c r="GW682" i="23916" s="1"/>
  <c r="GU721" i="23916"/>
  <c r="GT722" i="23916"/>
  <c r="GU722" i="23916" s="1"/>
  <c r="GV765" i="23916"/>
  <c r="GW765" i="23916" s="1"/>
  <c r="GV764" i="23916"/>
  <c r="GW764" i="23916" s="1"/>
  <c r="GV731" i="23916"/>
  <c r="GV733" i="23916"/>
  <c r="GV735" i="23916" s="1"/>
  <c r="GV727" i="23916"/>
  <c r="GW727" i="23916" s="1"/>
  <c r="GW729" i="23916"/>
  <c r="GV761" i="23916"/>
  <c r="GW761" i="23916" s="1"/>
  <c r="GV763" i="23916"/>
  <c r="GW763" i="23916" s="1"/>
  <c r="GV762" i="23916"/>
  <c r="GW762" i="23916" s="1"/>
  <c r="GV760" i="23916"/>
  <c r="GW760" i="23916" s="1"/>
  <c r="GV721" i="23916"/>
  <c r="GV724" i="23916"/>
  <c r="GW724" i="23916" s="1"/>
  <c r="GV829" i="23916"/>
  <c r="GV692" i="23916"/>
  <c r="GW628" i="23916"/>
  <c r="GY860" i="23916"/>
  <c r="GY796" i="23916"/>
  <c r="GV728" i="23916"/>
  <c r="GV659" i="23916"/>
  <c r="GW659" i="23916" s="1"/>
  <c r="Z68" i="24103"/>
  <c r="Z69" i="24103" s="1"/>
  <c r="AB59" i="24103"/>
  <c r="AB24" i="23920"/>
  <c r="AB20" i="24103"/>
  <c r="Z31" i="24103"/>
  <c r="Z32" i="24103" s="1"/>
  <c r="Z40" i="23920"/>
  <c r="Z41" i="23920" s="1"/>
  <c r="AA33" i="23920"/>
  <c r="AA24" i="24103"/>
  <c r="AD8" i="24103"/>
  <c r="AD8" i="23920"/>
  <c r="AA28" i="23920"/>
  <c r="Z28" i="23920"/>
  <c r="Z76" i="23920"/>
  <c r="Z74" i="23920"/>
  <c r="Z67" i="23920"/>
  <c r="Z78" i="23920"/>
  <c r="Z72" i="23920"/>
  <c r="Z69" i="23920"/>
  <c r="Z21" i="23920"/>
  <c r="Z77" i="23920"/>
  <c r="Z73" i="23920"/>
  <c r="Z75" i="23920"/>
  <c r="Z70" i="23920"/>
  <c r="Z25" i="23920"/>
  <c r="Z71" i="23920"/>
  <c r="Z68" i="23920"/>
  <c r="Z29" i="24103"/>
  <c r="AA28" i="24103"/>
  <c r="AA37" i="23920"/>
  <c r="N12" i="24135"/>
  <c r="AM15" i="24103"/>
  <c r="AN15" i="24103"/>
  <c r="AM15" i="23920"/>
  <c r="AP15" i="23920" s="1"/>
  <c r="GW735" i="23916" l="1"/>
  <c r="GV742" i="23916"/>
  <c r="GV842" i="23916"/>
  <c r="GV744" i="23916"/>
  <c r="GV743" i="23916"/>
  <c r="GV830" i="23916"/>
  <c r="GV694" i="23916"/>
  <c r="GW692" i="23916"/>
  <c r="GV20" i="23916"/>
  <c r="GW20" i="23916" s="1"/>
  <c r="GV766" i="23916"/>
  <c r="GW766" i="23916" s="1"/>
  <c r="GW731" i="23916"/>
  <c r="GX17" i="23916"/>
  <c r="GY10" i="23916"/>
  <c r="GZ10" i="23916"/>
  <c r="GX813" i="23916"/>
  <c r="GV734" i="23916"/>
  <c r="GZ608" i="23916"/>
  <c r="GY608" i="23916"/>
  <c r="GX787" i="23916"/>
  <c r="GZ606" i="23916"/>
  <c r="GY606" i="23916"/>
  <c r="GX791" i="23916"/>
  <c r="GX792" i="23916" s="1"/>
  <c r="GX545" i="23916"/>
  <c r="GW690" i="23916"/>
  <c r="GV664" i="23916"/>
  <c r="GW664" i="23916" s="1"/>
  <c r="GT757" i="23916"/>
  <c r="GT739" i="23916"/>
  <c r="GT746" i="23916" s="1"/>
  <c r="GW721" i="23916"/>
  <c r="GV722" i="23916"/>
  <c r="GW722" i="23916" s="1"/>
  <c r="GU630" i="23916"/>
  <c r="GT631" i="23916"/>
  <c r="GU631" i="23916" s="1"/>
  <c r="GT642" i="23916"/>
  <c r="GY616" i="23916"/>
  <c r="GZ616" i="23916"/>
  <c r="GX626" i="23916"/>
  <c r="GX650" i="23916" s="1"/>
  <c r="GW728" i="23916"/>
  <c r="GV754" i="23916"/>
  <c r="GW754" i="23916" s="1"/>
  <c r="GV756" i="23916"/>
  <c r="GW756" i="23916" s="1"/>
  <c r="GW733" i="23916"/>
  <c r="GV738" i="23916"/>
  <c r="GV753" i="23916"/>
  <c r="GW753" i="23916" s="1"/>
  <c r="GV750" i="23916"/>
  <c r="GW750" i="23916" s="1"/>
  <c r="GV752" i="23916"/>
  <c r="GW752" i="23916" s="1"/>
  <c r="GV751" i="23916"/>
  <c r="GW751" i="23916" s="1"/>
  <c r="GV749" i="23916"/>
  <c r="GW749" i="23916" s="1"/>
  <c r="GU735" i="23916"/>
  <c r="GT742" i="23916"/>
  <c r="GU742" i="23916" s="1"/>
  <c r="GT744" i="23916"/>
  <c r="GU744" i="23916" s="1"/>
  <c r="GT743" i="23916"/>
  <c r="GU743" i="23916" s="1"/>
  <c r="GT842" i="23916"/>
  <c r="GU734" i="23916"/>
  <c r="GT745" i="23916"/>
  <c r="GU745" i="23916" s="1"/>
  <c r="AA40" i="23920"/>
  <c r="AA31" i="24103"/>
  <c r="AB21" i="24103"/>
  <c r="AC58" i="24103"/>
  <c r="AB58" i="24103"/>
  <c r="AC64" i="24103"/>
  <c r="AB64" i="24103"/>
  <c r="AC67" i="24103"/>
  <c r="AB67" i="24103"/>
  <c r="AC20" i="23920"/>
  <c r="AB20" i="23920"/>
  <c r="Z31" i="23920"/>
  <c r="Z29" i="23920"/>
  <c r="Z82" i="24103"/>
  <c r="Z92" i="23920"/>
  <c r="AE8" i="23920"/>
  <c r="AE8" i="24103"/>
  <c r="AD11" i="24103"/>
  <c r="AC57" i="24103"/>
  <c r="AB57" i="24103"/>
  <c r="AC65" i="24103"/>
  <c r="AB65" i="24103"/>
  <c r="AC62" i="24103"/>
  <c r="AB62" i="24103"/>
  <c r="AB37" i="23920"/>
  <c r="AB38" i="23920" s="1"/>
  <c r="AB28" i="24103"/>
  <c r="AB29" i="24103" s="1"/>
  <c r="AC24" i="23920"/>
  <c r="AC20" i="24103"/>
  <c r="AC60" i="24103"/>
  <c r="AB60" i="24103"/>
  <c r="Z81" i="24103"/>
  <c r="Z91" i="23920"/>
  <c r="Z93" i="23920"/>
  <c r="Z83" i="24103"/>
  <c r="AC61" i="24103"/>
  <c r="AB61" i="24103"/>
  <c r="Z79" i="23920"/>
  <c r="Z80" i="24103"/>
  <c r="Z90" i="23920"/>
  <c r="Z94" i="23920"/>
  <c r="Z84" i="24103"/>
  <c r="Z41" i="24103"/>
  <c r="Z50" i="23920"/>
  <c r="AC63" i="24103"/>
  <c r="AB63" i="24103"/>
  <c r="AC66" i="24103"/>
  <c r="AB66" i="24103"/>
  <c r="AB24" i="24103"/>
  <c r="AB25" i="24103" s="1"/>
  <c r="AB33" i="23920"/>
  <c r="AB34" i="23920" s="1"/>
  <c r="AD11" i="23920"/>
  <c r="A85" i="24103"/>
  <c r="A84" i="24103"/>
  <c r="A83" i="24103"/>
  <c r="A82" i="24103"/>
  <c r="A81" i="24103"/>
  <c r="A80" i="24103"/>
  <c r="A79" i="24103"/>
  <c r="A77" i="24103"/>
  <c r="A76" i="24103"/>
  <c r="A75" i="24103"/>
  <c r="A74" i="24103"/>
  <c r="A73" i="24103"/>
  <c r="A72" i="24103"/>
  <c r="A71" i="24103"/>
  <c r="AY68" i="24103"/>
  <c r="A68" i="24103"/>
  <c r="A64" i="24103"/>
  <c r="A63" i="24103"/>
  <c r="A61" i="24103"/>
  <c r="A62" i="24103"/>
  <c r="A60" i="24103"/>
  <c r="A58" i="24103"/>
  <c r="A57" i="24103"/>
  <c r="A56" i="24103"/>
  <c r="A54" i="24103"/>
  <c r="A53" i="24103"/>
  <c r="A48" i="24103"/>
  <c r="A41" i="24103"/>
  <c r="F40" i="24103"/>
  <c r="D40" i="24103"/>
  <c r="B40" i="24103"/>
  <c r="A40" i="24103"/>
  <c r="A37" i="24103"/>
  <c r="A36" i="24103"/>
  <c r="A35" i="24103"/>
  <c r="A31" i="24103"/>
  <c r="A28" i="24103"/>
  <c r="A24" i="24103"/>
  <c r="A23" i="24103"/>
  <c r="A20" i="24103"/>
  <c r="A17" i="24103"/>
  <c r="A15" i="24103"/>
  <c r="A14" i="24103"/>
  <c r="A12" i="24103"/>
  <c r="A13" i="24103"/>
  <c r="A11" i="24103"/>
  <c r="A8" i="24103"/>
  <c r="AY5" i="24103"/>
  <c r="AY50" i="24103" s="1"/>
  <c r="AT5" i="24103"/>
  <c r="AT50" i="24103" s="1"/>
  <c r="AS5" i="24103"/>
  <c r="AS50" i="24103" s="1"/>
  <c r="AR5" i="24103"/>
  <c r="AR50" i="24103" s="1"/>
  <c r="AQ5" i="24103"/>
  <c r="AQ50" i="24103" s="1"/>
  <c r="AL5" i="24103"/>
  <c r="AL50" i="24103" s="1"/>
  <c r="AK5" i="24103"/>
  <c r="AK50" i="24103" s="1"/>
  <c r="AI5" i="24103"/>
  <c r="AI50" i="24103" s="1"/>
  <c r="Q5" i="24103"/>
  <c r="Q50" i="24103" s="1"/>
  <c r="P5" i="24103"/>
  <c r="P50" i="24103" s="1"/>
  <c r="O5" i="24103"/>
  <c r="O50" i="24103" s="1"/>
  <c r="N5" i="24103"/>
  <c r="N50" i="24103" s="1"/>
  <c r="M5" i="24103"/>
  <c r="M50" i="24103" s="1"/>
  <c r="L5" i="24103"/>
  <c r="L50" i="24103" s="1"/>
  <c r="K5" i="24103"/>
  <c r="K50" i="24103" s="1"/>
  <c r="J5" i="24103"/>
  <c r="J50" i="24103" s="1"/>
  <c r="H5" i="24103"/>
  <c r="H50" i="24103" s="1"/>
  <c r="F5" i="24103"/>
  <c r="F50" i="24103" s="1"/>
  <c r="D5" i="24103"/>
  <c r="D50" i="24103" s="1"/>
  <c r="B5" i="24103"/>
  <c r="B50" i="24103" s="1"/>
  <c r="AY4" i="24103"/>
  <c r="AY49" i="24103" s="1"/>
  <c r="AY3" i="24103"/>
  <c r="AY48" i="24103" s="1"/>
  <c r="A1" i="24103"/>
  <c r="A46" i="24103" s="1"/>
  <c r="A97" i="23920"/>
  <c r="A95" i="23920"/>
  <c r="A94" i="23920"/>
  <c r="A93" i="23920"/>
  <c r="A92" i="23920"/>
  <c r="A91" i="23920"/>
  <c r="A90" i="23920"/>
  <c r="A89" i="23920"/>
  <c r="A87" i="23920"/>
  <c r="A86" i="23920"/>
  <c r="A85" i="23920"/>
  <c r="A84" i="23920"/>
  <c r="A83" i="23920"/>
  <c r="A82" i="23920"/>
  <c r="A81" i="23920"/>
  <c r="A78" i="23920"/>
  <c r="A76" i="23920"/>
  <c r="A63" i="23920"/>
  <c r="A62" i="23920"/>
  <c r="A57" i="23920"/>
  <c r="A50" i="23920"/>
  <c r="F49" i="23920"/>
  <c r="D49" i="23920"/>
  <c r="B49" i="23920"/>
  <c r="A49" i="23920"/>
  <c r="A46" i="23920"/>
  <c r="A45" i="23920"/>
  <c r="A44" i="23920"/>
  <c r="A40" i="23920"/>
  <c r="A37" i="23920"/>
  <c r="A33" i="23920"/>
  <c r="A28" i="23920"/>
  <c r="A27" i="23920"/>
  <c r="A17" i="23920"/>
  <c r="A15" i="23920"/>
  <c r="A74" i="23920" s="1"/>
  <c r="A14" i="23920"/>
  <c r="A73" i="23920" s="1"/>
  <c r="A12" i="23920"/>
  <c r="A71" i="23920" s="1"/>
  <c r="A13" i="23920"/>
  <c r="A72" i="23920" s="1"/>
  <c r="A11" i="23920"/>
  <c r="A70" i="23920" s="1"/>
  <c r="A9" i="23920"/>
  <c r="A68" i="23920" s="1"/>
  <c r="A8" i="23920"/>
  <c r="A67" i="23920" s="1"/>
  <c r="AY11" i="23920"/>
  <c r="AT11" i="23920"/>
  <c r="Q11" i="23920"/>
  <c r="O11" i="23920"/>
  <c r="M11" i="23920"/>
  <c r="K11" i="23920"/>
  <c r="AY5" i="23920"/>
  <c r="AY59" i="23920" s="1"/>
  <c r="AT5" i="23920"/>
  <c r="AT59" i="23920" s="1"/>
  <c r="AS5" i="23920"/>
  <c r="AS59" i="23920" s="1"/>
  <c r="AR5" i="23920"/>
  <c r="AR59" i="23920" s="1"/>
  <c r="AQ5" i="23920"/>
  <c r="AQ59" i="23920" s="1"/>
  <c r="AL5" i="23920"/>
  <c r="AL59" i="23920" s="1"/>
  <c r="AK5" i="23920"/>
  <c r="AK59" i="23920" s="1"/>
  <c r="AI5" i="23920"/>
  <c r="AI59" i="23920" s="1"/>
  <c r="Q5" i="23920"/>
  <c r="Q59" i="23920" s="1"/>
  <c r="P5" i="23920"/>
  <c r="P59" i="23920" s="1"/>
  <c r="O5" i="23920"/>
  <c r="O59" i="23920" s="1"/>
  <c r="N5" i="23920"/>
  <c r="N59" i="23920" s="1"/>
  <c r="M5" i="23920"/>
  <c r="M59" i="23920" s="1"/>
  <c r="L5" i="23920"/>
  <c r="L59" i="23920" s="1"/>
  <c r="K5" i="23920"/>
  <c r="K59" i="23920" s="1"/>
  <c r="J5" i="23920"/>
  <c r="J59" i="23920" s="1"/>
  <c r="H5" i="23920"/>
  <c r="H59" i="23920" s="1"/>
  <c r="F5" i="23920"/>
  <c r="F59" i="23920" s="1"/>
  <c r="D5" i="23920"/>
  <c r="D59" i="23920" s="1"/>
  <c r="B5" i="23920"/>
  <c r="B59" i="23920" s="1"/>
  <c r="AY4" i="23920"/>
  <c r="AY58" i="23920" s="1"/>
  <c r="AY3" i="23920"/>
  <c r="AY57" i="23920" s="1"/>
  <c r="A1" i="23920"/>
  <c r="A55" i="23920" s="1"/>
  <c r="N23" i="23920"/>
  <c r="J23" i="23920"/>
  <c r="H23" i="23920"/>
  <c r="D23" i="23920"/>
  <c r="J17" i="24103"/>
  <c r="H17" i="24103"/>
  <c r="F17" i="24103"/>
  <c r="D17" i="24103"/>
  <c r="B17" i="24103"/>
  <c r="F17" i="23920"/>
  <c r="J17" i="23920"/>
  <c r="H17" i="23920"/>
  <c r="AS23" i="23920"/>
  <c r="AQ23" i="23920"/>
  <c r="AK23" i="23920"/>
  <c r="GZ650" i="23916" l="1"/>
  <c r="GY650" i="23916"/>
  <c r="GX804" i="23916"/>
  <c r="GX805" i="23916" s="1"/>
  <c r="GX806" i="23916" s="1"/>
  <c r="GY545" i="23916"/>
  <c r="GY805" i="23916" s="1"/>
  <c r="GZ545" i="23916"/>
  <c r="GW744" i="23916"/>
  <c r="GX755" i="23916"/>
  <c r="GX689" i="23916"/>
  <c r="GY626" i="23916"/>
  <c r="GX628" i="23916"/>
  <c r="GZ626" i="23916"/>
  <c r="GX657" i="23916"/>
  <c r="GX784" i="23916"/>
  <c r="GX640" i="23916"/>
  <c r="GX681" i="23916"/>
  <c r="GX658" i="23916"/>
  <c r="GY658" i="23916" s="1"/>
  <c r="GX652" i="23916"/>
  <c r="GX653" i="23916"/>
  <c r="GX654" i="23916"/>
  <c r="GX655" i="23916"/>
  <c r="GX649" i="23916"/>
  <c r="GX656" i="23916"/>
  <c r="GX648" i="23916"/>
  <c r="GX647" i="23916"/>
  <c r="GU642" i="23916"/>
  <c r="GT678" i="23916"/>
  <c r="GU678" i="23916" s="1"/>
  <c r="GW694" i="23916"/>
  <c r="GV21" i="23916"/>
  <c r="GW21" i="23916" s="1"/>
  <c r="GV630" i="23916"/>
  <c r="GV757" i="23916"/>
  <c r="GW742" i="23916"/>
  <c r="GV739" i="23916"/>
  <c r="GV746" i="23916" s="1"/>
  <c r="GW734" i="23916"/>
  <c r="GV745" i="23916"/>
  <c r="GW745" i="23916" s="1"/>
  <c r="GX18" i="23916"/>
  <c r="GY18" i="23916" s="1"/>
  <c r="GZ17" i="23916"/>
  <c r="GY17" i="23916"/>
  <c r="GW743" i="23916"/>
  <c r="AC81" i="24103"/>
  <c r="AB92" i="23920"/>
  <c r="AB80" i="24103"/>
  <c r="AC93" i="23920"/>
  <c r="AB94" i="23920"/>
  <c r="AB84" i="24103"/>
  <c r="AC24" i="24103"/>
  <c r="AC33" i="23920"/>
  <c r="AA50" i="23920"/>
  <c r="AA41" i="24103"/>
  <c r="AA80" i="24103"/>
  <c r="AA90" i="23920"/>
  <c r="AC68" i="24103"/>
  <c r="AB68" i="24103"/>
  <c r="AB69" i="24103" s="1"/>
  <c r="Z85" i="24103"/>
  <c r="Z95" i="23920"/>
  <c r="AF8" i="24103"/>
  <c r="Z75" i="24103"/>
  <c r="Z85" i="23920"/>
  <c r="AA91" i="23920"/>
  <c r="AA81" i="24103"/>
  <c r="AC28" i="24103"/>
  <c r="AC37" i="23920"/>
  <c r="AB78" i="23920"/>
  <c r="AB72" i="23920"/>
  <c r="AB69" i="23920"/>
  <c r="AB21" i="23920"/>
  <c r="AB77" i="23920"/>
  <c r="AB73" i="23920"/>
  <c r="AB75" i="23920"/>
  <c r="AB70" i="23920"/>
  <c r="AB25" i="23920"/>
  <c r="AB71" i="23920"/>
  <c r="AB68" i="23920"/>
  <c r="AB76" i="23920"/>
  <c r="AB74" i="23920"/>
  <c r="AB67" i="23920"/>
  <c r="Z72" i="24103"/>
  <c r="Z82" i="23920"/>
  <c r="Z76" i="24103"/>
  <c r="Z86" i="23920"/>
  <c r="AA93" i="23920"/>
  <c r="AA83" i="24103"/>
  <c r="AE11" i="24103"/>
  <c r="AD20" i="24103"/>
  <c r="Z84" i="23920"/>
  <c r="Z74" i="24103"/>
  <c r="Z77" i="24103"/>
  <c r="Z87" i="23920"/>
  <c r="AC28" i="23920"/>
  <c r="AB28" i="23920"/>
  <c r="AA84" i="24103"/>
  <c r="AA94" i="23920"/>
  <c r="AB31" i="24103"/>
  <c r="AB32" i="24103" s="1"/>
  <c r="AB40" i="23920"/>
  <c r="AB41" i="23920" s="1"/>
  <c r="AA82" i="24103"/>
  <c r="AA92" i="23920"/>
  <c r="Z73" i="24103"/>
  <c r="Z83" i="23920"/>
  <c r="AC84" i="24103"/>
  <c r="AC94" i="23920"/>
  <c r="AF8" i="23920"/>
  <c r="R53" i="24103"/>
  <c r="R62" i="23920"/>
  <c r="K3" i="24103"/>
  <c r="K48" i="24103" s="1"/>
  <c r="K3" i="23920"/>
  <c r="K57" i="23920" s="1"/>
  <c r="O3" i="24103"/>
  <c r="O48" i="24103" s="1"/>
  <c r="O3" i="23920"/>
  <c r="O57" i="23920" s="1"/>
  <c r="AL3" i="24103"/>
  <c r="AL48" i="24103" s="1"/>
  <c r="AL3" i="23920"/>
  <c r="AL57" i="23920" s="1"/>
  <c r="AT3" i="24103"/>
  <c r="AT48" i="24103" s="1"/>
  <c r="AT3" i="23920"/>
  <c r="AT57" i="23920" s="1"/>
  <c r="F23" i="23920"/>
  <c r="D17" i="23920"/>
  <c r="AT4" i="24103"/>
  <c r="AT49" i="24103" s="1"/>
  <c r="AT4" i="23920"/>
  <c r="AT58" i="23920" s="1"/>
  <c r="K4" i="24103"/>
  <c r="K49" i="24103" s="1"/>
  <c r="K4" i="23920"/>
  <c r="K58" i="23920" s="1"/>
  <c r="M3" i="24103"/>
  <c r="M48" i="24103" s="1"/>
  <c r="M3" i="23920"/>
  <c r="M57" i="23920" s="1"/>
  <c r="Q3" i="24103"/>
  <c r="Q48" i="24103" s="1"/>
  <c r="Q3" i="23920"/>
  <c r="Q57" i="23920" s="1"/>
  <c r="AR3" i="24103"/>
  <c r="AR48" i="24103" s="1"/>
  <c r="AR3" i="23920"/>
  <c r="AR57" i="23920" s="1"/>
  <c r="O4" i="24103"/>
  <c r="O49" i="24103" s="1"/>
  <c r="O4" i="23920"/>
  <c r="O58" i="23920" s="1"/>
  <c r="AL4" i="24103"/>
  <c r="AL49" i="24103" s="1"/>
  <c r="AL4" i="23920"/>
  <c r="AL58" i="23920" s="1"/>
  <c r="M4" i="24103"/>
  <c r="M49" i="24103" s="1"/>
  <c r="M4" i="23920"/>
  <c r="M58" i="23920" s="1"/>
  <c r="Q4" i="24103"/>
  <c r="Q49" i="24103" s="1"/>
  <c r="Q4" i="23920"/>
  <c r="Q58" i="23920" s="1"/>
  <c r="AR4" i="24103"/>
  <c r="AR49" i="24103" s="1"/>
  <c r="AR4" i="23920"/>
  <c r="AR58" i="23920" s="1"/>
  <c r="B23" i="23920"/>
  <c r="H40" i="24103"/>
  <c r="H49" i="23920"/>
  <c r="B54" i="24103"/>
  <c r="B23" i="24103"/>
  <c r="B63" i="23920"/>
  <c r="B27" i="23920"/>
  <c r="D83" i="24103"/>
  <c r="D93" i="23920"/>
  <c r="D84" i="24103"/>
  <c r="D94" i="23920"/>
  <c r="M23" i="23920"/>
  <c r="L23" i="23920"/>
  <c r="H27" i="24103"/>
  <c r="H36" i="23920"/>
  <c r="D54" i="24103"/>
  <c r="D23" i="24103"/>
  <c r="D63" i="23920"/>
  <c r="D27" i="23920"/>
  <c r="B17" i="23920"/>
  <c r="F54" i="24103"/>
  <c r="F23" i="24103"/>
  <c r="F63" i="23920"/>
  <c r="F27" i="23920"/>
  <c r="F83" i="24103"/>
  <c r="F93" i="23920"/>
  <c r="F84" i="24103"/>
  <c r="F94" i="23920"/>
  <c r="Q23" i="23920"/>
  <c r="P23" i="23920"/>
  <c r="D27" i="24103"/>
  <c r="D36" i="23920"/>
  <c r="B83" i="24103"/>
  <c r="B93" i="23920"/>
  <c r="B84" i="24103"/>
  <c r="B94" i="23920"/>
  <c r="K17" i="24103"/>
  <c r="K17" i="23920"/>
  <c r="AT23" i="23920"/>
  <c r="AR23" i="23920"/>
  <c r="L17" i="24103"/>
  <c r="L17" i="23920"/>
  <c r="O23" i="23920"/>
  <c r="K23" i="23920"/>
  <c r="GW630" i="23916" l="1"/>
  <c r="GV631" i="23916"/>
  <c r="GW631" i="23916" s="1"/>
  <c r="GV642" i="23916"/>
  <c r="GZ652" i="23916"/>
  <c r="GY652" i="23916"/>
  <c r="GZ755" i="23916"/>
  <c r="GY755" i="23916"/>
  <c r="GY647" i="23916"/>
  <c r="GZ647" i="23916"/>
  <c r="GZ655" i="23916"/>
  <c r="GY655" i="23916"/>
  <c r="GZ657" i="23916"/>
  <c r="GY657" i="23916"/>
  <c r="GX659" i="23916"/>
  <c r="GY659" i="23916" s="1"/>
  <c r="GZ648" i="23916"/>
  <c r="GY648" i="23916"/>
  <c r="GY654" i="23916"/>
  <c r="GZ654" i="23916"/>
  <c r="GZ681" i="23916"/>
  <c r="GY681" i="23916"/>
  <c r="GX900" i="23916"/>
  <c r="GZ689" i="23916"/>
  <c r="GY689" i="23916"/>
  <c r="GX19" i="23916"/>
  <c r="GZ656" i="23916"/>
  <c r="GY656" i="23916"/>
  <c r="GZ653" i="23916"/>
  <c r="GY653" i="23916"/>
  <c r="GX690" i="23916"/>
  <c r="GZ640" i="23916"/>
  <c r="GY640" i="23916"/>
  <c r="GX682" i="23916"/>
  <c r="GX729" i="23916"/>
  <c r="GX728" i="23916"/>
  <c r="GX829" i="23916"/>
  <c r="GX692" i="23916"/>
  <c r="GZ628" i="23916"/>
  <c r="GY628" i="23916"/>
  <c r="AC87" i="23920"/>
  <c r="AC91" i="23920"/>
  <c r="AC83" i="24103"/>
  <c r="AC74" i="24103"/>
  <c r="AC85" i="24103"/>
  <c r="AC83" i="23920"/>
  <c r="AC82" i="23920"/>
  <c r="AC85" i="23920"/>
  <c r="AB91" i="23920"/>
  <c r="AB81" i="24103"/>
  <c r="AB93" i="23920"/>
  <c r="AB83" i="24103"/>
  <c r="AB82" i="24103"/>
  <c r="AB90" i="23920"/>
  <c r="AD24" i="23920"/>
  <c r="AB76" i="24103"/>
  <c r="AB86" i="23920"/>
  <c r="AC31" i="24103"/>
  <c r="AC40" i="23920"/>
  <c r="AB31" i="23920"/>
  <c r="AB29" i="23920"/>
  <c r="Z36" i="24103"/>
  <c r="Z45" i="23920"/>
  <c r="AA84" i="23920"/>
  <c r="AA74" i="24103"/>
  <c r="AA86" i="23920"/>
  <c r="AA76" i="24103"/>
  <c r="AA75" i="24103"/>
  <c r="AA85" i="23920"/>
  <c r="AA95" i="23920"/>
  <c r="AA85" i="24103"/>
  <c r="AD24" i="24103"/>
  <c r="AD25" i="24103" s="1"/>
  <c r="AE24" i="23920"/>
  <c r="AD20" i="23920"/>
  <c r="AE66" i="24103"/>
  <c r="AD37" i="23920"/>
  <c r="AE67" i="24103"/>
  <c r="AE61" i="24103"/>
  <c r="AE63" i="24103"/>
  <c r="AE62" i="24103"/>
  <c r="AE64" i="24103"/>
  <c r="AD59" i="24103"/>
  <c r="AE65" i="24103"/>
  <c r="AE58" i="24103"/>
  <c r="AE57" i="24103"/>
  <c r="AG8" i="24103"/>
  <c r="AF11" i="24103"/>
  <c r="AA73" i="24103"/>
  <c r="AA83" i="23920"/>
  <c r="Z37" i="24103"/>
  <c r="Z46" i="23920"/>
  <c r="AG8" i="23920"/>
  <c r="AB50" i="23920"/>
  <c r="AB41" i="24103"/>
  <c r="AA77" i="24103"/>
  <c r="AA87" i="23920"/>
  <c r="Z44" i="23920"/>
  <c r="Z35" i="24103"/>
  <c r="AA72" i="24103"/>
  <c r="AA82" i="23920"/>
  <c r="AB79" i="23920"/>
  <c r="AF11" i="23920"/>
  <c r="AC76" i="24103"/>
  <c r="AC86" i="23920"/>
  <c r="AD21" i="24103"/>
  <c r="R54" i="24103"/>
  <c r="R23" i="24103"/>
  <c r="R63" i="23920"/>
  <c r="R27" i="23920"/>
  <c r="T53" i="24103"/>
  <c r="T62" i="23920"/>
  <c r="S53" i="24103"/>
  <c r="S62" i="23920"/>
  <c r="AU13" i="24103"/>
  <c r="AU13" i="23920"/>
  <c r="AU12" i="24103"/>
  <c r="AU12" i="23920"/>
  <c r="B75" i="24103"/>
  <c r="B85" i="23920"/>
  <c r="F27" i="24103"/>
  <c r="F36" i="23920"/>
  <c r="AI40" i="24103"/>
  <c r="AI49" i="23920"/>
  <c r="B76" i="24103"/>
  <c r="B86" i="23920"/>
  <c r="D76" i="24103"/>
  <c r="D86" i="23920"/>
  <c r="B27" i="24103"/>
  <c r="B36" i="23920"/>
  <c r="F75" i="24103"/>
  <c r="F85" i="23920"/>
  <c r="AI27" i="24103"/>
  <c r="AI36" i="23920"/>
  <c r="J40" i="24103"/>
  <c r="J49" i="23920"/>
  <c r="F76" i="24103"/>
  <c r="F86" i="23920"/>
  <c r="J27" i="24103"/>
  <c r="J36" i="23920"/>
  <c r="D13" i="24103"/>
  <c r="D13" i="23920"/>
  <c r="F14" i="24103"/>
  <c r="F14" i="23920"/>
  <c r="M17" i="23920"/>
  <c r="B12" i="24103"/>
  <c r="B12" i="23920"/>
  <c r="AI23" i="23920"/>
  <c r="M17" i="24103"/>
  <c r="GX765" i="23916" l="1"/>
  <c r="GX764" i="23916"/>
  <c r="GX731" i="23916"/>
  <c r="GX733" i="23916"/>
  <c r="GZ729" i="23916"/>
  <c r="GX727" i="23916"/>
  <c r="GY729" i="23916"/>
  <c r="GX761" i="23916"/>
  <c r="GX763" i="23916"/>
  <c r="GX760" i="23916"/>
  <c r="GX762" i="23916"/>
  <c r="GX721" i="23916"/>
  <c r="GX724" i="23916"/>
  <c r="GY19" i="23916"/>
  <c r="GZ19" i="23916"/>
  <c r="GY682" i="23916"/>
  <c r="GZ682" i="23916"/>
  <c r="GY690" i="23916"/>
  <c r="GZ690" i="23916"/>
  <c r="GX664" i="23916"/>
  <c r="GW642" i="23916"/>
  <c r="GV678" i="23916"/>
  <c r="GW678" i="23916" s="1"/>
  <c r="GX830" i="23916"/>
  <c r="GY692" i="23916"/>
  <c r="GX694" i="23916"/>
  <c r="GZ692" i="23916"/>
  <c r="GX20" i="23916"/>
  <c r="GY728" i="23916"/>
  <c r="GZ728" i="23916"/>
  <c r="AC77" i="24103"/>
  <c r="AB77" i="24103"/>
  <c r="AC73" i="24103"/>
  <c r="AB87" i="23920"/>
  <c r="AB72" i="24103"/>
  <c r="AC95" i="23920"/>
  <c r="AB95" i="23920"/>
  <c r="AB85" i="24103"/>
  <c r="AC75" i="24103"/>
  <c r="AB83" i="23920"/>
  <c r="AC36" i="24103"/>
  <c r="AB85" i="23920"/>
  <c r="AB84" i="23920"/>
  <c r="AC84" i="23920"/>
  <c r="AB74" i="24103"/>
  <c r="AB73" i="24103"/>
  <c r="AC72" i="24103"/>
  <c r="AB82" i="23920"/>
  <c r="AD64" i="24103"/>
  <c r="AB75" i="24103"/>
  <c r="AC35" i="24103"/>
  <c r="AB46" i="23920"/>
  <c r="AD38" i="23920"/>
  <c r="AC80" i="24103"/>
  <c r="AC90" i="23920"/>
  <c r="AC92" i="23920"/>
  <c r="AC82" i="24103"/>
  <c r="AB37" i="24103"/>
  <c r="AE20" i="24103"/>
  <c r="AD28" i="24103"/>
  <c r="AD29" i="24103" s="1"/>
  <c r="AD62" i="24103"/>
  <c r="AD65" i="24103"/>
  <c r="AD67" i="24103"/>
  <c r="AD58" i="24103"/>
  <c r="AD33" i="23920"/>
  <c r="AD34" i="23920" s="1"/>
  <c r="AD63" i="24103"/>
  <c r="AD57" i="24103"/>
  <c r="AD66" i="24103"/>
  <c r="AD61" i="24103"/>
  <c r="AA35" i="24103"/>
  <c r="AA44" i="23920"/>
  <c r="AE68" i="24103"/>
  <c r="AE60" i="24103"/>
  <c r="AD60" i="24103"/>
  <c r="AG11" i="24103"/>
  <c r="AF60" i="24103"/>
  <c r="AD28" i="23920"/>
  <c r="AA36" i="24103"/>
  <c r="AA45" i="23920"/>
  <c r="AC50" i="23920"/>
  <c r="AC41" i="24103"/>
  <c r="AP8" i="23920"/>
  <c r="AO8" i="23920"/>
  <c r="AO11" i="23920" s="1"/>
  <c r="AA37" i="24103"/>
  <c r="AA46" i="23920"/>
  <c r="AP8" i="24103"/>
  <c r="AO8" i="24103"/>
  <c r="AD31" i="24103"/>
  <c r="AE28" i="24103"/>
  <c r="AE20" i="23920"/>
  <c r="AD78" i="23920"/>
  <c r="AD25" i="23920"/>
  <c r="AD77" i="23920"/>
  <c r="AD76" i="23920"/>
  <c r="AD72" i="23920"/>
  <c r="AD73" i="23920"/>
  <c r="AD71" i="23920"/>
  <c r="AD74" i="23920"/>
  <c r="AD69" i="23920"/>
  <c r="AD68" i="23920"/>
  <c r="AD75" i="23920"/>
  <c r="AD21" i="23920"/>
  <c r="AD67" i="23920"/>
  <c r="AD70" i="23920"/>
  <c r="AC37" i="24103"/>
  <c r="AC46" i="23920"/>
  <c r="N7" i="24135"/>
  <c r="N8" i="24135" s="1"/>
  <c r="AU14" i="24103"/>
  <c r="AV14" i="24103"/>
  <c r="AV12" i="23920"/>
  <c r="AV13" i="23920"/>
  <c r="V53" i="24103"/>
  <c r="V62" i="23920"/>
  <c r="U53" i="24103"/>
  <c r="U62" i="23920"/>
  <c r="S54" i="24103"/>
  <c r="S23" i="24103"/>
  <c r="S63" i="23920"/>
  <c r="S27" i="23920"/>
  <c r="T54" i="24103"/>
  <c r="T23" i="24103"/>
  <c r="T63" i="23920"/>
  <c r="T27" i="23920"/>
  <c r="AU14" i="23920"/>
  <c r="AV14" i="23920"/>
  <c r="AV12" i="24103"/>
  <c r="AV13" i="24103"/>
  <c r="K40" i="24103"/>
  <c r="K49" i="23920"/>
  <c r="K27" i="24103"/>
  <c r="K36" i="23920"/>
  <c r="L40" i="24103"/>
  <c r="L49" i="23920"/>
  <c r="B8" i="24103"/>
  <c r="F12" i="24103"/>
  <c r="F12" i="23920"/>
  <c r="F8" i="24103"/>
  <c r="F13" i="24103"/>
  <c r="F13" i="23920"/>
  <c r="D14" i="24103"/>
  <c r="D14" i="23920"/>
  <c r="D8" i="24103"/>
  <c r="B13" i="24103"/>
  <c r="AY23" i="23920"/>
  <c r="AL23" i="23920"/>
  <c r="P17" i="24103"/>
  <c r="P17" i="23920"/>
  <c r="GZ20" i="23916" l="1"/>
  <c r="GY20" i="23916"/>
  <c r="GZ762" i="23916"/>
  <c r="GY762" i="23916"/>
  <c r="GX754" i="23916"/>
  <c r="GX756" i="23916"/>
  <c r="GX753" i="23916"/>
  <c r="GX738" i="23916"/>
  <c r="GY733" i="23916"/>
  <c r="GZ733" i="23916"/>
  <c r="GX750" i="23916"/>
  <c r="GX749" i="23916"/>
  <c r="GX751" i="23916"/>
  <c r="GX752" i="23916"/>
  <c r="GX735" i="23916"/>
  <c r="GY760" i="23916"/>
  <c r="GZ760" i="23916"/>
  <c r="GX766" i="23916"/>
  <c r="GY731" i="23916"/>
  <c r="GZ731" i="23916"/>
  <c r="GX734" i="23916"/>
  <c r="GY694" i="23916"/>
  <c r="GX21" i="23916"/>
  <c r="GX630" i="23916"/>
  <c r="GZ724" i="23916"/>
  <c r="GY724" i="23916"/>
  <c r="GZ763" i="23916"/>
  <c r="GY763" i="23916"/>
  <c r="GZ727" i="23916"/>
  <c r="GY727" i="23916"/>
  <c r="GY764" i="23916"/>
  <c r="GZ764" i="23916"/>
  <c r="GZ664" i="23916"/>
  <c r="GY664" i="23916"/>
  <c r="GY721" i="23916"/>
  <c r="GZ721" i="23916"/>
  <c r="GX722" i="23916"/>
  <c r="GY761" i="23916"/>
  <c r="GZ761" i="23916"/>
  <c r="GZ765" i="23916"/>
  <c r="GY765" i="23916"/>
  <c r="AD68" i="24103"/>
  <c r="AD69" i="24103" s="1"/>
  <c r="AC45" i="23920"/>
  <c r="AB45" i="23920"/>
  <c r="AB36" i="24103"/>
  <c r="AB35" i="24103"/>
  <c r="AC44" i="23920"/>
  <c r="AB44" i="23920"/>
  <c r="AD32" i="24103"/>
  <c r="AD31" i="23920"/>
  <c r="AE24" i="24103"/>
  <c r="AE37" i="23920"/>
  <c r="AF24" i="23920"/>
  <c r="AE33" i="23920"/>
  <c r="AF20" i="24103"/>
  <c r="AF21" i="24103" s="1"/>
  <c r="AE40" i="23920"/>
  <c r="AE28" i="23920"/>
  <c r="AG60" i="24103"/>
  <c r="AD40" i="23920"/>
  <c r="AD41" i="23920" s="1"/>
  <c r="AP11" i="24103"/>
  <c r="AO11" i="24103"/>
  <c r="AF24" i="24103"/>
  <c r="AG20" i="24103"/>
  <c r="AF20" i="23920"/>
  <c r="AG66" i="24103"/>
  <c r="AG67" i="24103"/>
  <c r="AG61" i="24103"/>
  <c r="AG63" i="24103"/>
  <c r="AG62" i="24103"/>
  <c r="AG64" i="24103"/>
  <c r="AF59" i="24103"/>
  <c r="AG65" i="24103"/>
  <c r="AG58" i="24103"/>
  <c r="AG57" i="24103"/>
  <c r="AO20" i="24103"/>
  <c r="AD29" i="23920"/>
  <c r="AD79" i="23920"/>
  <c r="V54" i="24103"/>
  <c r="V23" i="24103"/>
  <c r="V63" i="23920"/>
  <c r="V27" i="23920"/>
  <c r="U54" i="24103"/>
  <c r="U23" i="24103"/>
  <c r="U63" i="23920"/>
  <c r="U27" i="23920"/>
  <c r="X53" i="24103"/>
  <c r="X62" i="23920"/>
  <c r="W53" i="24103"/>
  <c r="W62" i="23920"/>
  <c r="AU15" i="23920"/>
  <c r="AX15" i="23920" s="1"/>
  <c r="AU15" i="24103"/>
  <c r="AV15" i="24103"/>
  <c r="B8" i="23920"/>
  <c r="D75" i="24103"/>
  <c r="D85" i="23920"/>
  <c r="F15" i="23920"/>
  <c r="B14" i="23920"/>
  <c r="F8" i="23920"/>
  <c r="N40" i="24103"/>
  <c r="N49" i="23920"/>
  <c r="B15" i="24103"/>
  <c r="B14" i="24103"/>
  <c r="B13" i="23920"/>
  <c r="D8" i="23920"/>
  <c r="L27" i="24103"/>
  <c r="L36" i="23920"/>
  <c r="M40" i="24103"/>
  <c r="M49" i="23920"/>
  <c r="AI62" i="23920"/>
  <c r="AI53" i="24103"/>
  <c r="F9" i="23920"/>
  <c r="D12" i="24103"/>
  <c r="Q17" i="23920"/>
  <c r="Q17" i="24103"/>
  <c r="F15" i="24103"/>
  <c r="GZ630" i="23916" l="1"/>
  <c r="GY630" i="23916"/>
  <c r="GX631" i="23916"/>
  <c r="GX642" i="23916"/>
  <c r="GY749" i="23916"/>
  <c r="GZ749" i="23916"/>
  <c r="GX757" i="23916"/>
  <c r="GX739" i="23916"/>
  <c r="GX746" i="23916" s="1"/>
  <c r="GY21" i="23916"/>
  <c r="GZ21" i="23916"/>
  <c r="GY735" i="23916"/>
  <c r="GZ735" i="23916"/>
  <c r="GX742" i="23916"/>
  <c r="GX743" i="23916"/>
  <c r="GX744" i="23916"/>
  <c r="GX842" i="23916"/>
  <c r="GZ750" i="23916"/>
  <c r="GY750" i="23916"/>
  <c r="GZ753" i="23916"/>
  <c r="GY753" i="23916"/>
  <c r="GZ766" i="23916"/>
  <c r="GY766" i="23916"/>
  <c r="GY752" i="23916"/>
  <c r="GZ752" i="23916"/>
  <c r="GZ756" i="23916"/>
  <c r="GY756" i="23916"/>
  <c r="GY722" i="23916"/>
  <c r="GZ722" i="23916"/>
  <c r="GZ734" i="23916"/>
  <c r="GY734" i="23916"/>
  <c r="GX745" i="23916"/>
  <c r="GY751" i="23916"/>
  <c r="GZ751" i="23916"/>
  <c r="GZ754" i="23916"/>
  <c r="GY754" i="23916"/>
  <c r="AD84" i="24103"/>
  <c r="AD91" i="23920"/>
  <c r="AE31" i="24103"/>
  <c r="AF67" i="24103"/>
  <c r="AF66" i="24103"/>
  <c r="AF33" i="23920"/>
  <c r="AF34" i="23920" s="1"/>
  <c r="AD81" i="24103"/>
  <c r="AF61" i="24103"/>
  <c r="AF64" i="24103"/>
  <c r="AF58" i="24103"/>
  <c r="AD90" i="23920"/>
  <c r="AD80" i="24103"/>
  <c r="AD94" i="23920"/>
  <c r="AD82" i="24103"/>
  <c r="AO24" i="23920"/>
  <c r="AF37" i="23920"/>
  <c r="AF38" i="23920" s="1"/>
  <c r="AF25" i="24103"/>
  <c r="AG24" i="23920"/>
  <c r="AD50" i="23920"/>
  <c r="AD41" i="24103"/>
  <c r="AF62" i="24103"/>
  <c r="AF28" i="24103"/>
  <c r="AF29" i="24103" s="1"/>
  <c r="AF63" i="24103"/>
  <c r="AF65" i="24103"/>
  <c r="AF57" i="24103"/>
  <c r="AD93" i="23920"/>
  <c r="AD83" i="24103"/>
  <c r="AD92" i="23920"/>
  <c r="AO24" i="24103"/>
  <c r="AO25" i="24103" s="1"/>
  <c r="AP20" i="24103"/>
  <c r="AP66" i="24103"/>
  <c r="AO37" i="23920"/>
  <c r="AP67" i="24103"/>
  <c r="AP61" i="24103"/>
  <c r="AP63" i="24103"/>
  <c r="AP64" i="24103"/>
  <c r="AP62" i="24103"/>
  <c r="AO59" i="24103"/>
  <c r="AP65" i="24103"/>
  <c r="AP58" i="24103"/>
  <c r="AP57" i="24103"/>
  <c r="AG68" i="24103"/>
  <c r="AF28" i="23920"/>
  <c r="AF29" i="23920" s="1"/>
  <c r="AG20" i="23920"/>
  <c r="AO20" i="23920"/>
  <c r="AF31" i="24103"/>
  <c r="AG28" i="24103"/>
  <c r="AO60" i="24103"/>
  <c r="AE83" i="24103"/>
  <c r="AE93" i="23920"/>
  <c r="AE82" i="24103"/>
  <c r="AE92" i="23920"/>
  <c r="AF78" i="23920"/>
  <c r="AF77" i="23920"/>
  <c r="AF25" i="23920"/>
  <c r="AF76" i="23920"/>
  <c r="AF73" i="23920"/>
  <c r="AF71" i="23920"/>
  <c r="AF72" i="23920"/>
  <c r="AF74" i="23920"/>
  <c r="AF69" i="23920"/>
  <c r="AF75" i="23920"/>
  <c r="AF68" i="23920"/>
  <c r="AF67" i="23920"/>
  <c r="AF21" i="23920"/>
  <c r="AF70" i="23920"/>
  <c r="AO21" i="24103"/>
  <c r="AE81" i="24103"/>
  <c r="AE91" i="23920"/>
  <c r="AE84" i="24103"/>
  <c r="AE94" i="23920"/>
  <c r="AE80" i="24103"/>
  <c r="AE90" i="23920"/>
  <c r="AE41" i="24103"/>
  <c r="AE50" i="23920"/>
  <c r="F11" i="23920"/>
  <c r="Y53" i="24103"/>
  <c r="Y62" i="23920"/>
  <c r="X54" i="24103"/>
  <c r="X23" i="24103"/>
  <c r="X63" i="23920"/>
  <c r="X27" i="23920"/>
  <c r="W54" i="24103"/>
  <c r="W23" i="24103"/>
  <c r="W63" i="23920"/>
  <c r="W27" i="23920"/>
  <c r="AK40" i="24103"/>
  <c r="AK49" i="23920"/>
  <c r="D12" i="23920"/>
  <c r="O40" i="24103"/>
  <c r="O49" i="23920"/>
  <c r="N27" i="24103"/>
  <c r="N36" i="23920"/>
  <c r="B11" i="24103"/>
  <c r="B9" i="23920"/>
  <c r="B11" i="23920" s="1"/>
  <c r="B15" i="23920"/>
  <c r="M27" i="24103"/>
  <c r="M36" i="23920"/>
  <c r="P40" i="24103"/>
  <c r="P49" i="23920"/>
  <c r="D15" i="24103"/>
  <c r="H12" i="24103"/>
  <c r="GZ642" i="23916" l="1"/>
  <c r="GY642" i="23916"/>
  <c r="GX678" i="23916"/>
  <c r="GZ745" i="23916"/>
  <c r="GY745" i="23916"/>
  <c r="GY744" i="23916"/>
  <c r="GZ744" i="23916"/>
  <c r="GZ631" i="23916"/>
  <c r="GY631" i="23916"/>
  <c r="GZ743" i="23916"/>
  <c r="GY743" i="23916"/>
  <c r="GZ742" i="23916"/>
  <c r="GY742" i="23916"/>
  <c r="AF32" i="24103"/>
  <c r="AO38" i="23920"/>
  <c r="AO57" i="24103"/>
  <c r="AD72" i="24103"/>
  <c r="AD74" i="24103"/>
  <c r="AD82" i="23920"/>
  <c r="AO61" i="24103"/>
  <c r="AO67" i="24103"/>
  <c r="AO66" i="24103"/>
  <c r="AO62" i="24103"/>
  <c r="AG33" i="23920"/>
  <c r="AD86" i="23920"/>
  <c r="AD83" i="23920"/>
  <c r="AD85" i="24103"/>
  <c r="AP24" i="23920"/>
  <c r="AO33" i="23920"/>
  <c r="AO34" i="23920" s="1"/>
  <c r="AF40" i="23920"/>
  <c r="AF41" i="23920" s="1"/>
  <c r="AD84" i="23920"/>
  <c r="AO63" i="24103"/>
  <c r="AD76" i="24103"/>
  <c r="AG24" i="24103"/>
  <c r="AO65" i="24103"/>
  <c r="AD73" i="24103"/>
  <c r="AD85" i="23920"/>
  <c r="AF68" i="24103"/>
  <c r="AF69" i="24103" s="1"/>
  <c r="AD75" i="24103"/>
  <c r="AD77" i="24103"/>
  <c r="AO28" i="24103"/>
  <c r="AO29" i="24103" s="1"/>
  <c r="AO58" i="24103"/>
  <c r="AO64" i="24103"/>
  <c r="AD87" i="23920"/>
  <c r="AG37" i="23920"/>
  <c r="AD95" i="23920"/>
  <c r="AP68" i="24103"/>
  <c r="AP60" i="24103"/>
  <c r="AG31" i="24103"/>
  <c r="AO31" i="24103"/>
  <c r="AP28" i="24103"/>
  <c r="AP20" i="23920"/>
  <c r="AG28" i="23920"/>
  <c r="AO28" i="23920"/>
  <c r="AP33" i="23920"/>
  <c r="AF31" i="23920"/>
  <c r="AE72" i="24103"/>
  <c r="AE82" i="23920"/>
  <c r="AF83" i="24103"/>
  <c r="AF93" i="23920"/>
  <c r="AE74" i="24103"/>
  <c r="AE84" i="23920"/>
  <c r="AE86" i="23920"/>
  <c r="AE76" i="24103"/>
  <c r="AF79" i="23920"/>
  <c r="AF80" i="24103"/>
  <c r="AF90" i="23920"/>
  <c r="AF84" i="24103"/>
  <c r="AF94" i="23920"/>
  <c r="AE73" i="24103"/>
  <c r="AE83" i="23920"/>
  <c r="AE77" i="24103"/>
  <c r="AE87" i="23920"/>
  <c r="AE85" i="24103"/>
  <c r="AE95" i="23920"/>
  <c r="AE75" i="24103"/>
  <c r="AE85" i="23920"/>
  <c r="AF92" i="23920"/>
  <c r="AF82" i="24103"/>
  <c r="AO25" i="23920"/>
  <c r="AO78" i="23920"/>
  <c r="AO77" i="23920"/>
  <c r="AO76" i="23920"/>
  <c r="AO73" i="23920"/>
  <c r="AO72" i="23920"/>
  <c r="AO71" i="23920"/>
  <c r="AO74" i="23920"/>
  <c r="AO69" i="23920"/>
  <c r="AO75" i="23920"/>
  <c r="AO68" i="23920"/>
  <c r="AO21" i="23920"/>
  <c r="AO67" i="23920"/>
  <c r="AO70" i="23920"/>
  <c r="AF81" i="24103"/>
  <c r="AF91" i="23920"/>
  <c r="Y54" i="24103"/>
  <c r="Y23" i="24103"/>
  <c r="Y63" i="23920"/>
  <c r="Y27" i="23920"/>
  <c r="AM54" i="24103"/>
  <c r="AM23" i="24103"/>
  <c r="AM63" i="23920"/>
  <c r="AM27" i="23920"/>
  <c r="D9" i="23920"/>
  <c r="AL40" i="24103"/>
  <c r="AL49" i="23920"/>
  <c r="O27" i="24103"/>
  <c r="O36" i="23920"/>
  <c r="Q40" i="24103"/>
  <c r="Q49" i="23920"/>
  <c r="P27" i="24103"/>
  <c r="P36" i="23920"/>
  <c r="D15" i="23920"/>
  <c r="H12" i="23920"/>
  <c r="H13" i="24103"/>
  <c r="J13" i="24103"/>
  <c r="D11" i="24103"/>
  <c r="H14" i="23920"/>
  <c r="AQ17" i="24103"/>
  <c r="AQ17" i="23920"/>
  <c r="GY678" i="23916" l="1"/>
  <c r="GZ678" i="23916"/>
  <c r="AO31" i="23920"/>
  <c r="AF50" i="23920"/>
  <c r="AD44" i="23920"/>
  <c r="AP37" i="23920"/>
  <c r="AF41" i="24103"/>
  <c r="AO40" i="23920"/>
  <c r="AO41" i="23920" s="1"/>
  <c r="AG40" i="23920"/>
  <c r="AD35" i="24103"/>
  <c r="AO32" i="24103"/>
  <c r="AP24" i="24103"/>
  <c r="AD45" i="23920"/>
  <c r="AD36" i="24103"/>
  <c r="AO68" i="24103"/>
  <c r="AO69" i="24103" s="1"/>
  <c r="AD46" i="23920"/>
  <c r="AD37" i="24103"/>
  <c r="AR11" i="23920"/>
  <c r="AP28" i="23920"/>
  <c r="AP40" i="23920"/>
  <c r="AO29" i="23920"/>
  <c r="AG81" i="24103"/>
  <c r="AG91" i="23920"/>
  <c r="AE45" i="23920"/>
  <c r="AE36" i="24103"/>
  <c r="AE35" i="24103"/>
  <c r="AE44" i="23920"/>
  <c r="AF74" i="24103"/>
  <c r="AF84" i="23920"/>
  <c r="AF75" i="24103"/>
  <c r="AF85" i="23920"/>
  <c r="AE37" i="24103"/>
  <c r="AE46" i="23920"/>
  <c r="AG83" i="24103"/>
  <c r="AG93" i="23920"/>
  <c r="AO83" i="24103"/>
  <c r="AO93" i="23920"/>
  <c r="AF95" i="23920"/>
  <c r="AF85" i="24103"/>
  <c r="AO79" i="23920"/>
  <c r="AG82" i="24103"/>
  <c r="AG92" i="23920"/>
  <c r="AG84" i="24103"/>
  <c r="AG94" i="23920"/>
  <c r="AF82" i="23920"/>
  <c r="AF72" i="24103"/>
  <c r="AF86" i="23920"/>
  <c r="AF76" i="24103"/>
  <c r="AG90" i="23920"/>
  <c r="AG80" i="24103"/>
  <c r="AO92" i="23920"/>
  <c r="AO82" i="24103"/>
  <c r="AO94" i="23920"/>
  <c r="AO84" i="24103"/>
  <c r="AF83" i="23920"/>
  <c r="AF73" i="24103"/>
  <c r="AF87" i="23920"/>
  <c r="AF77" i="24103"/>
  <c r="AO80" i="24103"/>
  <c r="AO90" i="23920"/>
  <c r="AG41" i="24103"/>
  <c r="AG50" i="23920"/>
  <c r="AO91" i="23920"/>
  <c r="AO81" i="24103"/>
  <c r="O5" i="24135"/>
  <c r="O6" i="24135" s="1"/>
  <c r="D11" i="23920"/>
  <c r="AN54" i="24103"/>
  <c r="AN23" i="24103"/>
  <c r="AN27" i="23920"/>
  <c r="AN63" i="23920"/>
  <c r="H15" i="24103"/>
  <c r="H14" i="24103"/>
  <c r="H13" i="23920"/>
  <c r="H15" i="23920" s="1"/>
  <c r="F11" i="24103"/>
  <c r="AK27" i="24103"/>
  <c r="AK36" i="23920"/>
  <c r="Q27" i="24103"/>
  <c r="Q36" i="23920"/>
  <c r="K13" i="23920"/>
  <c r="J13" i="23920"/>
  <c r="AR17" i="24103"/>
  <c r="AR17" i="23920"/>
  <c r="AS17" i="24103"/>
  <c r="AS17" i="23920"/>
  <c r="J12" i="24103"/>
  <c r="L14" i="24103"/>
  <c r="L14" i="23920"/>
  <c r="K13" i="24103"/>
  <c r="J14" i="24103"/>
  <c r="J14" i="23920"/>
  <c r="AI12" i="24103"/>
  <c r="AI14" i="24103"/>
  <c r="L12" i="24103"/>
  <c r="AP31" i="24103" l="1"/>
  <c r="AO41" i="24103"/>
  <c r="AO50" i="23920"/>
  <c r="AP90" i="23920"/>
  <c r="AP80" i="24103"/>
  <c r="AG86" i="23920"/>
  <c r="AG76" i="24103"/>
  <c r="AO72" i="24103"/>
  <c r="AO82" i="23920"/>
  <c r="AO85" i="23920"/>
  <c r="AO75" i="24103"/>
  <c r="AP91" i="23920"/>
  <c r="AP81" i="24103"/>
  <c r="AO77" i="24103"/>
  <c r="AO87" i="23920"/>
  <c r="AG83" i="23920"/>
  <c r="AG73" i="24103"/>
  <c r="AP82" i="24103"/>
  <c r="AP92" i="23920"/>
  <c r="AG85" i="24103"/>
  <c r="AG95" i="23920"/>
  <c r="AF46" i="23920"/>
  <c r="AF37" i="24103"/>
  <c r="AO73" i="24103"/>
  <c r="AO83" i="23920"/>
  <c r="AO76" i="24103"/>
  <c r="AO86" i="23920"/>
  <c r="AF44" i="23920"/>
  <c r="AF35" i="24103"/>
  <c r="AG77" i="24103"/>
  <c r="AG87" i="23920"/>
  <c r="AP84" i="24103"/>
  <c r="AP94" i="23920"/>
  <c r="AO85" i="24103"/>
  <c r="AO95" i="23920"/>
  <c r="AP50" i="23920"/>
  <c r="AP41" i="24103"/>
  <c r="AG84" i="23920"/>
  <c r="AG74" i="24103"/>
  <c r="AO84" i="23920"/>
  <c r="AO74" i="24103"/>
  <c r="AF36" i="24103"/>
  <c r="AF45" i="23920"/>
  <c r="AG82" i="23920"/>
  <c r="AG72" i="24103"/>
  <c r="AP93" i="23920"/>
  <c r="AP83" i="24103"/>
  <c r="AG75" i="24103"/>
  <c r="AG85" i="23920"/>
  <c r="AL27" i="24103"/>
  <c r="AL36" i="23920"/>
  <c r="AQ40" i="24103"/>
  <c r="AQ49" i="23920"/>
  <c r="AI14" i="23920"/>
  <c r="AK53" i="24103"/>
  <c r="AK62" i="23920"/>
  <c r="AI12" i="23920"/>
  <c r="K12" i="23920"/>
  <c r="J12" i="23920"/>
  <c r="J15" i="23920" s="1"/>
  <c r="M12" i="23920"/>
  <c r="L12" i="23920"/>
  <c r="M14" i="24103"/>
  <c r="K12" i="24103"/>
  <c r="J15" i="24103"/>
  <c r="N13" i="24103"/>
  <c r="M12" i="24103"/>
  <c r="K14" i="23920"/>
  <c r="M14" i="23920"/>
  <c r="AT17" i="23920"/>
  <c r="AT17" i="24103"/>
  <c r="L13" i="24103"/>
  <c r="K14" i="24103"/>
  <c r="AP84" i="23920" l="1"/>
  <c r="AP74" i="24103"/>
  <c r="AP73" i="24103"/>
  <c r="AP83" i="23920"/>
  <c r="AP75" i="24103"/>
  <c r="AP85" i="23920"/>
  <c r="AO46" i="23920"/>
  <c r="AO37" i="24103"/>
  <c r="AP85" i="24103"/>
  <c r="AP95" i="23920"/>
  <c r="AP86" i="23920"/>
  <c r="AP76" i="24103"/>
  <c r="AO45" i="23920"/>
  <c r="AO36" i="24103"/>
  <c r="AG35" i="24103"/>
  <c r="AG44" i="23920"/>
  <c r="AG46" i="23920"/>
  <c r="AG37" i="24103"/>
  <c r="AO44" i="23920"/>
  <c r="AO35" i="24103"/>
  <c r="AG45" i="23920"/>
  <c r="AG36" i="24103"/>
  <c r="AP77" i="24103"/>
  <c r="AP87" i="23920"/>
  <c r="AP72" i="24103"/>
  <c r="AP82" i="23920"/>
  <c r="O12" i="24135"/>
  <c r="AU54" i="24103"/>
  <c r="AU23" i="24103"/>
  <c r="AU63" i="23920"/>
  <c r="AU27" i="23920"/>
  <c r="K15" i="23920"/>
  <c r="S15" i="23920"/>
  <c r="AI15" i="24103"/>
  <c r="AI13" i="24103"/>
  <c r="AS40" i="24103"/>
  <c r="AS49" i="23920"/>
  <c r="AR40" i="24103"/>
  <c r="AR49" i="23920"/>
  <c r="AI13" i="23920"/>
  <c r="AI15" i="23920" s="1"/>
  <c r="AL53" i="24103"/>
  <c r="AL62" i="23920"/>
  <c r="O13" i="23920"/>
  <c r="N13" i="23920"/>
  <c r="M13" i="23920"/>
  <c r="L13" i="23920"/>
  <c r="L15" i="23920" s="1"/>
  <c r="AK13" i="24103"/>
  <c r="M13" i="24103"/>
  <c r="N14" i="24103"/>
  <c r="N14" i="23920"/>
  <c r="P14" i="24103"/>
  <c r="P14" i="23920"/>
  <c r="N12" i="24103"/>
  <c r="P13" i="24103"/>
  <c r="K15" i="24103"/>
  <c r="L15" i="24103"/>
  <c r="O13" i="24103"/>
  <c r="AP37" i="24103" l="1"/>
  <c r="AP46" i="23920"/>
  <c r="AP44" i="23920"/>
  <c r="AP35" i="24103"/>
  <c r="AP36" i="24103"/>
  <c r="AP45" i="23920"/>
  <c r="AV54" i="24103"/>
  <c r="AV23" i="24103"/>
  <c r="AV63" i="23920"/>
  <c r="AV27" i="23920"/>
  <c r="M15" i="23920"/>
  <c r="U15" i="23920"/>
  <c r="AY40" i="24103"/>
  <c r="AY49" i="23920"/>
  <c r="AT40" i="24103"/>
  <c r="AT49" i="23920"/>
  <c r="B53" i="24103"/>
  <c r="B62" i="23920"/>
  <c r="O12" i="23920"/>
  <c r="N12" i="23920"/>
  <c r="N15" i="23920" s="1"/>
  <c r="AL13" i="23920"/>
  <c r="AK13" i="23920"/>
  <c r="Q13" i="23920"/>
  <c r="P13" i="23920"/>
  <c r="M15" i="24103"/>
  <c r="AK14" i="24103"/>
  <c r="Q14" i="23920"/>
  <c r="O14" i="24103"/>
  <c r="N15" i="24103"/>
  <c r="O12" i="24103"/>
  <c r="Q13" i="24103"/>
  <c r="Q14" i="24103"/>
  <c r="O14" i="23920"/>
  <c r="AL13" i="24103"/>
  <c r="O15" i="23920" l="1"/>
  <c r="W15" i="23920"/>
  <c r="D53" i="24103"/>
  <c r="D62" i="23920"/>
  <c r="B77" i="24103"/>
  <c r="B87" i="23920"/>
  <c r="B85" i="24103"/>
  <c r="B95" i="23920"/>
  <c r="AQ62" i="23920"/>
  <c r="AQ53" i="24103"/>
  <c r="AK14" i="23920"/>
  <c r="AL14" i="23920"/>
  <c r="AL14" i="24103"/>
  <c r="O15" i="24103"/>
  <c r="P12" i="24103"/>
  <c r="P12" i="23920"/>
  <c r="P15" i="23920" s="1"/>
  <c r="O7" i="24135" l="1"/>
  <c r="O8" i="24135" s="1"/>
  <c r="Q15" i="23920"/>
  <c r="Y15" i="23920"/>
  <c r="D85" i="24103"/>
  <c r="D95" i="23920"/>
  <c r="D77" i="24103"/>
  <c r="D87" i="23920"/>
  <c r="F53" i="24103"/>
  <c r="F62" i="23920"/>
  <c r="AR62" i="23920"/>
  <c r="AR53" i="24103"/>
  <c r="AS53" i="24103"/>
  <c r="AS62" i="23920"/>
  <c r="P15" i="24103"/>
  <c r="Q12" i="24103"/>
  <c r="Q12" i="23920"/>
  <c r="AK12" i="24103"/>
  <c r="F77" i="24103" l="1"/>
  <c r="F87" i="23920"/>
  <c r="F85" i="24103"/>
  <c r="F95" i="23920"/>
  <c r="H53" i="24103"/>
  <c r="H62" i="23920"/>
  <c r="AY62" i="23920"/>
  <c r="AY53" i="24103"/>
  <c r="AT53" i="24103"/>
  <c r="AT62" i="23920"/>
  <c r="AK12" i="23920"/>
  <c r="AK15" i="23920" s="1"/>
  <c r="AY15" i="23920" s="1"/>
  <c r="Q15" i="24103"/>
  <c r="AK15" i="24103"/>
  <c r="AL12" i="24103"/>
  <c r="AL12" i="23920"/>
  <c r="AX8" i="23920" l="1"/>
  <c r="AW8" i="23920"/>
  <c r="AW11" i="23920" s="1"/>
  <c r="AX8" i="24103"/>
  <c r="AW8" i="24103"/>
  <c r="AL15" i="23920"/>
  <c r="AN15" i="23920"/>
  <c r="J53" i="24103"/>
  <c r="J62" i="23920"/>
  <c r="H63" i="23920"/>
  <c r="H27" i="23920"/>
  <c r="H54" i="24103"/>
  <c r="H23" i="24103"/>
  <c r="AQ13" i="24103"/>
  <c r="AL15" i="24103"/>
  <c r="AX11" i="24103" l="1"/>
  <c r="AW11" i="24103"/>
  <c r="B72" i="24103"/>
  <c r="B82" i="23920"/>
  <c r="K62" i="23920"/>
  <c r="K53" i="24103"/>
  <c r="B73" i="24103"/>
  <c r="B83" i="23920"/>
  <c r="L53" i="24103"/>
  <c r="L62" i="23920"/>
  <c r="B80" i="24103"/>
  <c r="B90" i="23920"/>
  <c r="B74" i="24103"/>
  <c r="B84" i="23920"/>
  <c r="B81" i="24103"/>
  <c r="B91" i="23920"/>
  <c r="AI23" i="24103"/>
  <c r="AI27" i="23920"/>
  <c r="AI63" i="23920"/>
  <c r="AI54" i="24103"/>
  <c r="J54" i="24103"/>
  <c r="J27" i="23920"/>
  <c r="J63" i="23920"/>
  <c r="J23" i="24103"/>
  <c r="B82" i="24103"/>
  <c r="B92" i="23920"/>
  <c r="AQ13" i="23920"/>
  <c r="AR13" i="24103"/>
  <c r="AS13" i="24103"/>
  <c r="AS13" i="23920"/>
  <c r="AX60" i="24103" l="1"/>
  <c r="AW60" i="24103"/>
  <c r="AW59" i="24103"/>
  <c r="AW20" i="24103"/>
  <c r="AW21" i="24103" s="1"/>
  <c r="AW24" i="23920"/>
  <c r="D73" i="24103"/>
  <c r="D83" i="23920"/>
  <c r="D81" i="24103"/>
  <c r="D91" i="23920"/>
  <c r="K27" i="23920"/>
  <c r="K23" i="24103"/>
  <c r="K63" i="23920"/>
  <c r="K54" i="24103"/>
  <c r="L63" i="23920"/>
  <c r="L54" i="24103"/>
  <c r="L23" i="24103"/>
  <c r="L27" i="23920"/>
  <c r="N53" i="24103"/>
  <c r="N62" i="23920"/>
  <c r="D74" i="24103"/>
  <c r="D84" i="23920"/>
  <c r="D82" i="24103"/>
  <c r="D92" i="23920"/>
  <c r="D72" i="24103"/>
  <c r="D82" i="23920"/>
  <c r="M62" i="23920"/>
  <c r="M53" i="24103"/>
  <c r="D80" i="24103"/>
  <c r="D90" i="23920"/>
  <c r="AR13" i="23920"/>
  <c r="AY13" i="23920"/>
  <c r="AT13" i="23920"/>
  <c r="AQ14" i="24103"/>
  <c r="AQ14" i="23920"/>
  <c r="AS12" i="24103"/>
  <c r="AS12" i="23920"/>
  <c r="AT13" i="24103"/>
  <c r="AY13" i="24103"/>
  <c r="AX57" i="24103" l="1"/>
  <c r="AW57" i="24103"/>
  <c r="AX65" i="24103"/>
  <c r="AW65" i="24103"/>
  <c r="AX61" i="24103"/>
  <c r="AW61" i="24103"/>
  <c r="AX62" i="24103"/>
  <c r="AW62" i="24103"/>
  <c r="AX64" i="24103"/>
  <c r="AW64" i="24103"/>
  <c r="AW28" i="24103"/>
  <c r="AW29" i="24103" s="1"/>
  <c r="AW37" i="23920"/>
  <c r="AW38" i="23920" s="1"/>
  <c r="AX66" i="24103"/>
  <c r="AW66" i="24103"/>
  <c r="AX20" i="23920"/>
  <c r="AW20" i="23920"/>
  <c r="AX58" i="24103"/>
  <c r="AW58" i="24103"/>
  <c r="AX63" i="24103"/>
  <c r="AW63" i="24103"/>
  <c r="AX67" i="24103"/>
  <c r="AW67" i="24103"/>
  <c r="AX24" i="23920"/>
  <c r="AX20" i="24103"/>
  <c r="AW24" i="24103"/>
  <c r="AW25" i="24103" s="1"/>
  <c r="AW33" i="23920"/>
  <c r="F73" i="24103"/>
  <c r="F83" i="23920"/>
  <c r="O62" i="23920"/>
  <c r="O53" i="24103"/>
  <c r="M27" i="23920"/>
  <c r="M23" i="24103"/>
  <c r="M54" i="24103"/>
  <c r="M63" i="23920"/>
  <c r="F74" i="24103"/>
  <c r="F84" i="23920"/>
  <c r="F80" i="24103"/>
  <c r="F90" i="23920"/>
  <c r="P53" i="24103"/>
  <c r="P62" i="23920"/>
  <c r="F81" i="24103"/>
  <c r="F91" i="23920"/>
  <c r="F72" i="24103"/>
  <c r="F82" i="23920"/>
  <c r="F82" i="24103"/>
  <c r="F92" i="23920"/>
  <c r="N23" i="24103"/>
  <c r="N63" i="23920"/>
  <c r="N27" i="23920"/>
  <c r="N54" i="24103"/>
  <c r="AR14" i="24103"/>
  <c r="AY12" i="23920"/>
  <c r="AY12" i="24103"/>
  <c r="AS14" i="24103"/>
  <c r="AS14" i="23920"/>
  <c r="AS15" i="23920" s="1"/>
  <c r="AV15" i="23920" s="1"/>
  <c r="AQ12" i="24103"/>
  <c r="AR14" i="23920"/>
  <c r="AX68" i="24103" l="1"/>
  <c r="AW68" i="24103"/>
  <c r="AW69" i="24103" s="1"/>
  <c r="AX33" i="23920"/>
  <c r="AX24" i="24103"/>
  <c r="AW76" i="23920"/>
  <c r="AW74" i="23920"/>
  <c r="AW21" i="23920"/>
  <c r="AW78" i="23920"/>
  <c r="AW72" i="23920"/>
  <c r="AW69" i="23920"/>
  <c r="AW77" i="23920"/>
  <c r="AW73" i="23920"/>
  <c r="AW75" i="23920"/>
  <c r="AW70" i="23920"/>
  <c r="AW67" i="23920"/>
  <c r="AW25" i="23920"/>
  <c r="AW71" i="23920"/>
  <c r="AW68" i="23920"/>
  <c r="AX28" i="24103"/>
  <c r="AX37" i="23920"/>
  <c r="AW82" i="24103"/>
  <c r="AW92" i="23920"/>
  <c r="AW40" i="23920"/>
  <c r="AW41" i="23920" s="1"/>
  <c r="AW31" i="24103"/>
  <c r="AW32" i="24103" s="1"/>
  <c r="AW91" i="23920"/>
  <c r="AW81" i="24103"/>
  <c r="AW83" i="24103"/>
  <c r="AW93" i="23920"/>
  <c r="AW34" i="23920"/>
  <c r="AX28" i="23920"/>
  <c r="AW28" i="23920"/>
  <c r="AW29" i="23920" s="1"/>
  <c r="AW90" i="23920"/>
  <c r="AW80" i="24103"/>
  <c r="AW94" i="23920"/>
  <c r="AW84" i="24103"/>
  <c r="O23" i="24103"/>
  <c r="O63" i="23920"/>
  <c r="O27" i="23920"/>
  <c r="O54" i="24103"/>
  <c r="P54" i="24103"/>
  <c r="P23" i="24103"/>
  <c r="P63" i="23920"/>
  <c r="P27" i="23920"/>
  <c r="Q62" i="23920"/>
  <c r="Q53" i="24103"/>
  <c r="AR12" i="23920"/>
  <c r="AQ12" i="23920"/>
  <c r="AQ15" i="23920" s="1"/>
  <c r="AR12" i="24103"/>
  <c r="AQ15" i="24103"/>
  <c r="AT12" i="24103"/>
  <c r="AT12" i="23920"/>
  <c r="AY14" i="23920"/>
  <c r="AT14" i="23920"/>
  <c r="AT14" i="24103"/>
  <c r="AY14" i="24103"/>
  <c r="AS15" i="24103"/>
  <c r="AX84" i="24103" l="1"/>
  <c r="AX94" i="23920"/>
  <c r="AW72" i="24103"/>
  <c r="AW82" i="23920"/>
  <c r="AW75" i="24103"/>
  <c r="AW85" i="23920"/>
  <c r="AX82" i="24103"/>
  <c r="AX92" i="23920"/>
  <c r="AW79" i="23920"/>
  <c r="AW31" i="23920"/>
  <c r="AX83" i="24103"/>
  <c r="AX93" i="23920"/>
  <c r="AW95" i="23920"/>
  <c r="AW85" i="24103"/>
  <c r="AW36" i="24103"/>
  <c r="AW45" i="23920"/>
  <c r="AW73" i="24103"/>
  <c r="AW83" i="23920"/>
  <c r="AW76" i="24103"/>
  <c r="AW86" i="23920"/>
  <c r="AW50" i="23920"/>
  <c r="AW41" i="24103"/>
  <c r="AX80" i="24103"/>
  <c r="AX90" i="23920"/>
  <c r="AW87" i="23920"/>
  <c r="AW77" i="24103"/>
  <c r="AX81" i="24103"/>
  <c r="AX91" i="23920"/>
  <c r="AX31" i="24103"/>
  <c r="AX40" i="23920"/>
  <c r="AW44" i="23920"/>
  <c r="AW35" i="24103"/>
  <c r="AW46" i="23920"/>
  <c r="AW37" i="24103"/>
  <c r="AW74" i="24103"/>
  <c r="AW84" i="23920"/>
  <c r="AK63" i="23920"/>
  <c r="AK27" i="23920"/>
  <c r="AK54" i="24103"/>
  <c r="AK23" i="24103"/>
  <c r="Q54" i="24103"/>
  <c r="Q27" i="23920"/>
  <c r="Q23" i="24103"/>
  <c r="Q63" i="23920"/>
  <c r="AR15" i="23920"/>
  <c r="AT15" i="23920"/>
  <c r="AT15" i="24103"/>
  <c r="AY15" i="24103"/>
  <c r="AR15" i="24103"/>
  <c r="AX44" i="23920" l="1"/>
  <c r="AX35" i="24103"/>
  <c r="AX84" i="23920"/>
  <c r="AX74" i="24103"/>
  <c r="AX37" i="24103"/>
  <c r="AX46" i="23920"/>
  <c r="AX75" i="24103"/>
  <c r="AX85" i="23920"/>
  <c r="AX82" i="23920"/>
  <c r="AX72" i="24103"/>
  <c r="AX50" i="23920"/>
  <c r="AX41" i="24103"/>
  <c r="AX86" i="23920"/>
  <c r="AX76" i="24103"/>
  <c r="AX36" i="24103"/>
  <c r="AX45" i="23920"/>
  <c r="AX87" i="23920"/>
  <c r="AX77" i="24103"/>
  <c r="AX83" i="23920"/>
  <c r="AX73" i="24103"/>
  <c r="AX95" i="23920"/>
  <c r="AX85" i="24103"/>
  <c r="AL27" i="23920"/>
  <c r="AL54" i="24103"/>
  <c r="AL23" i="24103"/>
  <c r="AL63" i="23920"/>
  <c r="AQ23" i="24103" l="1"/>
  <c r="AQ27" i="23920"/>
  <c r="AQ63" i="23920"/>
  <c r="AQ54" i="24103"/>
  <c r="AS63" i="23920"/>
  <c r="AS27" i="23920"/>
  <c r="AS54" i="24103"/>
  <c r="AS23" i="24103"/>
  <c r="AR54" i="24103" l="1"/>
  <c r="AR23" i="24103"/>
  <c r="AR63" i="23920"/>
  <c r="AR27" i="23920"/>
  <c r="AY63" i="23920"/>
  <c r="AY54" i="24103"/>
  <c r="AY27" i="23920"/>
  <c r="AY23" i="24103"/>
  <c r="AT63" i="23920"/>
  <c r="AT54" i="24103"/>
  <c r="AT27" i="23920"/>
  <c r="AT23" i="24103"/>
  <c r="O18" i="23920" l="1"/>
  <c r="N18" i="23920"/>
  <c r="O18" i="24103"/>
  <c r="N18" i="24103"/>
  <c r="Q18" i="24103" l="1"/>
  <c r="P18" i="24103"/>
  <c r="Q18" i="23920"/>
  <c r="P18" i="23920"/>
  <c r="AL18" i="23920" l="1"/>
  <c r="AK18" i="24103"/>
  <c r="AK18" i="23920" l="1"/>
  <c r="AL18" i="24103"/>
  <c r="S18" i="24103" l="1"/>
  <c r="S18" i="23920"/>
  <c r="R18" i="24103"/>
  <c r="R8" i="24103"/>
  <c r="R18" i="23920" l="1"/>
  <c r="S8" i="23920"/>
  <c r="R8" i="23920"/>
  <c r="S8" i="24103"/>
  <c r="U18" i="24103" l="1"/>
  <c r="U18" i="23920"/>
  <c r="T18" i="23920"/>
  <c r="T18" i="24103"/>
  <c r="T8" i="24103"/>
  <c r="U8" i="23920" l="1"/>
  <c r="T8" i="23920"/>
  <c r="U8" i="24103"/>
  <c r="W18" i="24103" l="1"/>
  <c r="V18" i="24103"/>
  <c r="W18" i="23920"/>
  <c r="V18" i="23920"/>
  <c r="V8" i="24103" l="1"/>
  <c r="W8" i="23920" l="1"/>
  <c r="V8" i="23920"/>
  <c r="W8" i="24103"/>
  <c r="H8" i="24103"/>
  <c r="Y18" i="23920" l="1"/>
  <c r="X18" i="23920"/>
  <c r="Y18" i="24103"/>
  <c r="X18" i="24103"/>
  <c r="H8" i="23920"/>
  <c r="AI8" i="24103"/>
  <c r="AN18" i="23920" l="1"/>
  <c r="AN18" i="24103"/>
  <c r="AM18" i="24103"/>
  <c r="R9" i="23920"/>
  <c r="X8" i="24103"/>
  <c r="AI8" i="23920"/>
  <c r="J8" i="24103"/>
  <c r="Y8" i="23920" l="1"/>
  <c r="X8" i="23920"/>
  <c r="Y8" i="24103"/>
  <c r="S9" i="23920"/>
  <c r="K8" i="23920"/>
  <c r="J8" i="23920"/>
  <c r="K8" i="24103"/>
  <c r="T9" i="23920" l="1"/>
  <c r="AM8" i="23920" l="1"/>
  <c r="AN8" i="23920"/>
  <c r="AM8" i="24103"/>
  <c r="AN8" i="24103"/>
  <c r="U9" i="23920"/>
  <c r="L8" i="24103" l="1"/>
  <c r="V9" i="23920" l="1"/>
  <c r="W9" i="23920"/>
  <c r="M8" i="23920"/>
  <c r="L8" i="23920"/>
  <c r="M8" i="24103"/>
  <c r="AR18" i="24103" l="1"/>
  <c r="AR18" i="23920"/>
  <c r="AQ18" i="24103"/>
  <c r="H9" i="23920"/>
  <c r="N8" i="24103"/>
  <c r="H11" i="23920" l="1"/>
  <c r="AQ18" i="23920"/>
  <c r="X9" i="23920"/>
  <c r="O8" i="23920"/>
  <c r="N8" i="23920"/>
  <c r="O8" i="24103"/>
  <c r="P8" i="24103"/>
  <c r="AI9" i="24103"/>
  <c r="Y9" i="23920" l="1"/>
  <c r="AI9" i="23920"/>
  <c r="Q8" i="23920"/>
  <c r="P8" i="23920"/>
  <c r="J9" i="23920"/>
  <c r="Q8" i="24103"/>
  <c r="AK8" i="24103"/>
  <c r="AI11" i="23920" l="1"/>
  <c r="J11" i="23920"/>
  <c r="AT18" i="23920"/>
  <c r="AT18" i="24103"/>
  <c r="AS18" i="23920"/>
  <c r="AS18" i="24103"/>
  <c r="AM9" i="24103"/>
  <c r="AN9" i="24103"/>
  <c r="AM9" i="23920"/>
  <c r="AN9" i="23920"/>
  <c r="AL8" i="23920"/>
  <c r="AK8" i="23920"/>
  <c r="K9" i="23920"/>
  <c r="AL8" i="24103"/>
  <c r="AY18" i="24103" l="1"/>
  <c r="AV18" i="24103"/>
  <c r="AU18" i="24103"/>
  <c r="AV18" i="23920"/>
  <c r="AY18" i="23920"/>
  <c r="AU18" i="23920"/>
  <c r="L9" i="23920"/>
  <c r="L11" i="23920" l="1"/>
  <c r="AU8" i="23920"/>
  <c r="AV8" i="23920"/>
  <c r="AU8" i="24103"/>
  <c r="AV8" i="24103"/>
  <c r="M9" i="23920"/>
  <c r="N9" i="23920" l="1"/>
  <c r="O9" i="23920" l="1"/>
  <c r="P9" i="23920" l="1"/>
  <c r="Q9" i="23920" l="1"/>
  <c r="AK9" i="24103" l="1"/>
  <c r="AQ8" i="24103"/>
  <c r="AK9" i="23920" l="1"/>
  <c r="AR8" i="23920"/>
  <c r="AQ8" i="23920"/>
  <c r="AL9" i="24103"/>
  <c r="AR8" i="24103"/>
  <c r="AL9" i="23920"/>
  <c r="AU9" i="24103" l="1"/>
  <c r="AV9" i="24103"/>
  <c r="H11" i="24103"/>
  <c r="AS8" i="24103"/>
  <c r="AS8" i="23920"/>
  <c r="AU9" i="23920" l="1"/>
  <c r="AV9" i="23920"/>
  <c r="AY8" i="24103"/>
  <c r="AT8" i="24103"/>
  <c r="AY8" i="23920"/>
  <c r="AT8" i="23920"/>
  <c r="AI11" i="24103"/>
  <c r="J11" i="24103" l="1"/>
  <c r="K11" i="24103" l="1"/>
  <c r="H91" i="23920" l="1"/>
  <c r="H81" i="24103"/>
  <c r="H83" i="24103"/>
  <c r="H93" i="23920"/>
  <c r="H90" i="23920"/>
  <c r="H80" i="24103"/>
  <c r="H94" i="23920"/>
  <c r="H84" i="24103"/>
  <c r="H92" i="23920"/>
  <c r="H82" i="24103"/>
  <c r="AI90" i="23920" l="1"/>
  <c r="AI80" i="24103"/>
  <c r="AI91" i="23920"/>
  <c r="AI81" i="24103"/>
  <c r="AI94" i="23920"/>
  <c r="AI84" i="24103"/>
  <c r="H83" i="23920"/>
  <c r="H73" i="24103"/>
  <c r="AI92" i="23920"/>
  <c r="AI82" i="24103"/>
  <c r="H95" i="23920"/>
  <c r="H85" i="24103"/>
  <c r="H82" i="23920"/>
  <c r="H72" i="24103"/>
  <c r="H86" i="23920"/>
  <c r="H76" i="24103"/>
  <c r="H85" i="23920"/>
  <c r="H75" i="24103"/>
  <c r="AI93" i="23920"/>
  <c r="AI83" i="24103"/>
  <c r="H74" i="24103"/>
  <c r="H84" i="23920"/>
  <c r="H87" i="23920"/>
  <c r="H77" i="24103"/>
  <c r="AI83" i="23920" l="1"/>
  <c r="AI73" i="24103"/>
  <c r="AI86" i="23920"/>
  <c r="AI76" i="24103"/>
  <c r="AI85" i="23920"/>
  <c r="AI75" i="24103"/>
  <c r="AI82" i="23920"/>
  <c r="AI72" i="24103"/>
  <c r="AI87" i="23920"/>
  <c r="AI77" i="24103"/>
  <c r="AI84" i="23920"/>
  <c r="AI74" i="24103"/>
  <c r="AI95" i="23920"/>
  <c r="AI85" i="24103"/>
  <c r="J84" i="24103" l="1"/>
  <c r="J94" i="23920"/>
  <c r="J82" i="24103"/>
  <c r="J92" i="23920"/>
  <c r="J80" i="24103"/>
  <c r="J90" i="23920"/>
  <c r="J81" i="24103"/>
  <c r="J91" i="23920"/>
  <c r="J83" i="24103"/>
  <c r="J93" i="23920"/>
  <c r="AQ9" i="23920" l="1"/>
  <c r="J74" i="24103"/>
  <c r="J84" i="23920"/>
  <c r="J76" i="24103"/>
  <c r="J86" i="23920"/>
  <c r="K81" i="24103"/>
  <c r="K91" i="23920"/>
  <c r="J73" i="24103"/>
  <c r="J83" i="23920"/>
  <c r="J77" i="24103"/>
  <c r="J87" i="23920"/>
  <c r="K83" i="24103"/>
  <c r="K93" i="23920"/>
  <c r="K84" i="24103"/>
  <c r="K94" i="23920"/>
  <c r="J72" i="24103"/>
  <c r="J82" i="23920"/>
  <c r="J75" i="24103"/>
  <c r="J85" i="23920"/>
  <c r="J85" i="24103"/>
  <c r="J95" i="23920"/>
  <c r="K80" i="24103"/>
  <c r="K90" i="23920"/>
  <c r="K82" i="24103"/>
  <c r="K92" i="23920"/>
  <c r="AQ9" i="24103" l="1"/>
  <c r="K85" i="24103"/>
  <c r="K95" i="23920"/>
  <c r="K76" i="24103"/>
  <c r="K86" i="23920"/>
  <c r="K73" i="24103"/>
  <c r="K83" i="23920"/>
  <c r="K72" i="24103"/>
  <c r="K82" i="23920"/>
  <c r="K77" i="24103"/>
  <c r="K87" i="23920"/>
  <c r="K75" i="24103"/>
  <c r="K85" i="23920"/>
  <c r="K74" i="24103"/>
  <c r="K84" i="23920"/>
  <c r="AR9" i="24103"/>
  <c r="AR9" i="23920"/>
  <c r="L80" i="24103" l="1"/>
  <c r="L90" i="23920"/>
  <c r="L81" i="24103"/>
  <c r="L91" i="23920"/>
  <c r="L83" i="24103"/>
  <c r="L93" i="23920"/>
  <c r="L82" i="24103"/>
  <c r="L92" i="23920"/>
  <c r="L84" i="24103"/>
  <c r="L94" i="23920"/>
  <c r="L74" i="24103" l="1"/>
  <c r="L84" i="23920"/>
  <c r="M81" i="24103"/>
  <c r="M91" i="23920"/>
  <c r="L75" i="24103"/>
  <c r="L85" i="23920"/>
  <c r="M80" i="24103"/>
  <c r="M90" i="23920"/>
  <c r="L85" i="24103"/>
  <c r="L95" i="23920"/>
  <c r="L72" i="24103"/>
  <c r="L82" i="23920"/>
  <c r="L76" i="24103"/>
  <c r="L86" i="23920"/>
  <c r="M82" i="24103"/>
  <c r="M92" i="23920"/>
  <c r="M83" i="24103"/>
  <c r="M93" i="23920"/>
  <c r="L73" i="24103"/>
  <c r="L83" i="23920"/>
  <c r="L77" i="24103"/>
  <c r="L87" i="23920"/>
  <c r="M84" i="24103"/>
  <c r="M94" i="23920"/>
  <c r="AS9" i="24103"/>
  <c r="AS9" i="23920"/>
  <c r="M74" i="24103" l="1"/>
  <c r="M84" i="23920"/>
  <c r="M73" i="24103"/>
  <c r="M83" i="23920"/>
  <c r="M85" i="24103"/>
  <c r="M95" i="23920"/>
  <c r="M77" i="24103"/>
  <c r="M87" i="23920"/>
  <c r="M72" i="24103"/>
  <c r="M82" i="23920"/>
  <c r="M75" i="24103"/>
  <c r="M85" i="23920"/>
  <c r="M76" i="24103"/>
  <c r="M86" i="23920"/>
  <c r="AT9" i="23920"/>
  <c r="AY9" i="23920"/>
  <c r="AY9" i="24103"/>
  <c r="AT9" i="24103"/>
  <c r="L11" i="24103" l="1"/>
  <c r="M11" i="24103"/>
  <c r="N10" i="24103" l="1"/>
  <c r="N11" i="24103" l="1"/>
  <c r="O11" i="24103"/>
  <c r="N11" i="23920"/>
  <c r="P10" i="24103" l="1"/>
  <c r="AK10" i="24103" l="1"/>
  <c r="P11" i="23920" l="1"/>
  <c r="Q11" i="24103"/>
  <c r="P11" i="24103"/>
  <c r="AK11" i="23920" l="1"/>
  <c r="AK11" i="24103"/>
  <c r="AL11" i="24103"/>
  <c r="AL11" i="23920" l="1"/>
  <c r="R10" i="24103" l="1"/>
  <c r="R11" i="24103" l="1"/>
  <c r="S11" i="24103"/>
  <c r="R11" i="23920"/>
  <c r="T10" i="24103" l="1"/>
  <c r="U11" i="24103" l="1"/>
  <c r="T11" i="24103"/>
  <c r="T11" i="23920"/>
  <c r="V10" i="24103" l="1"/>
  <c r="V11" i="23920" l="1"/>
  <c r="V11" i="24103"/>
  <c r="W11" i="24103"/>
  <c r="X10" i="24103" l="1"/>
  <c r="AM10" i="24103" l="1"/>
  <c r="X11" i="23920" l="1"/>
  <c r="Y11" i="24103"/>
  <c r="X11" i="24103"/>
  <c r="AM11" i="24103" l="1"/>
  <c r="AN11" i="24103"/>
  <c r="AM11" i="23920"/>
  <c r="AP11" i="23920" s="1"/>
  <c r="AN11" i="23920" l="1"/>
  <c r="AQ11" i="24103" l="1"/>
  <c r="AQ10" i="24103"/>
  <c r="AQ11" i="23920"/>
  <c r="AR11" i="24103"/>
  <c r="AT11" i="24103" l="1"/>
  <c r="AS10" i="24103"/>
  <c r="AY10" i="24103"/>
  <c r="AU10" i="24103"/>
  <c r="AS11" i="23920"/>
  <c r="AS11" i="24103" l="1"/>
  <c r="AU11" i="23920"/>
  <c r="AU11" i="24103"/>
  <c r="AY11" i="24103" s="1"/>
  <c r="AV11" i="24103"/>
  <c r="N17" i="23920" l="1"/>
  <c r="W17" i="23920"/>
  <c r="O17" i="23920"/>
  <c r="N17" i="24103"/>
  <c r="O17" i="24103"/>
  <c r="W17" i="24103"/>
  <c r="AN17" i="24103" l="1"/>
  <c r="AY17" i="24103"/>
  <c r="AK17" i="24103"/>
  <c r="AK17" i="23920"/>
  <c r="AN17" i="23920"/>
  <c r="AY17" i="23920"/>
  <c r="N91" i="23920" l="1"/>
  <c r="N81" i="24103"/>
  <c r="N84" i="24103"/>
  <c r="N94" i="23920"/>
  <c r="N80" i="24103"/>
  <c r="N90" i="23920"/>
  <c r="N92" i="23920"/>
  <c r="N82" i="24103"/>
  <c r="N83" i="24103"/>
  <c r="N93" i="23920"/>
  <c r="N74" i="24103" l="1"/>
  <c r="N84" i="23920"/>
  <c r="N72" i="24103"/>
  <c r="N82" i="23920"/>
  <c r="N75" i="24103"/>
  <c r="N85" i="23920"/>
  <c r="O83" i="24103"/>
  <c r="O93" i="23920"/>
  <c r="O80" i="24103"/>
  <c r="O90" i="23920"/>
  <c r="O91" i="23920"/>
  <c r="O81" i="24103"/>
  <c r="N76" i="24103"/>
  <c r="N86" i="23920"/>
  <c r="O92" i="23920"/>
  <c r="O82" i="24103"/>
  <c r="O94" i="23920"/>
  <c r="O84" i="24103"/>
  <c r="N87" i="23920"/>
  <c r="N77" i="24103"/>
  <c r="N83" i="23920"/>
  <c r="N73" i="24103"/>
  <c r="N85" i="24103"/>
  <c r="N95" i="23920"/>
  <c r="O73" i="24103" l="1"/>
  <c r="O83" i="23920"/>
  <c r="O77" i="24103"/>
  <c r="O87" i="23920"/>
  <c r="O85" i="24103"/>
  <c r="O95" i="23920"/>
  <c r="O75" i="24103"/>
  <c r="O85" i="23920"/>
  <c r="O74" i="24103"/>
  <c r="O84" i="23920"/>
  <c r="O86" i="23920"/>
  <c r="O76" i="24103"/>
  <c r="O72" i="24103"/>
  <c r="O82" i="23920"/>
  <c r="AL17" i="23920" l="1"/>
  <c r="AI17" i="23920"/>
  <c r="AL17" i="24103" l="1"/>
  <c r="AI17" i="24103"/>
  <c r="M100" i="24135" l="1"/>
  <c r="J24" i="23920"/>
  <c r="J20" i="24103"/>
  <c r="J59" i="24103"/>
  <c r="J16" i="24103"/>
  <c r="J21" i="24103" l="1"/>
  <c r="J24" i="24103"/>
  <c r="J25" i="24103" s="1"/>
  <c r="J33" i="23920"/>
  <c r="J34" i="23920" s="1"/>
  <c r="J57" i="24103"/>
  <c r="J67" i="24103"/>
  <c r="AI16" i="23920"/>
  <c r="H16" i="23920"/>
  <c r="J37" i="23920"/>
  <c r="J38" i="23920" s="1"/>
  <c r="J28" i="24103"/>
  <c r="J29" i="24103" s="1"/>
  <c r="J20" i="23920"/>
  <c r="J62" i="24103"/>
  <c r="J65" i="24103"/>
  <c r="J16" i="23920"/>
  <c r="J61" i="24103"/>
  <c r="J60" i="24103"/>
  <c r="J44" i="23920"/>
  <c r="J35" i="24103"/>
  <c r="H16" i="24103"/>
  <c r="J63" i="24103"/>
  <c r="J58" i="24103"/>
  <c r="J64" i="24103"/>
  <c r="J66" i="24103"/>
  <c r="AI16" i="24103"/>
  <c r="H20" i="24103" l="1"/>
  <c r="H21" i="24103" s="1"/>
  <c r="H24" i="23920"/>
  <c r="H59" i="24103"/>
  <c r="J68" i="24103"/>
  <c r="J69" i="24103" s="1"/>
  <c r="J25" i="23920"/>
  <c r="J76" i="23920"/>
  <c r="J74" i="23920"/>
  <c r="J77" i="23920"/>
  <c r="J69" i="23920"/>
  <c r="J68" i="23920"/>
  <c r="J78" i="23920"/>
  <c r="J71" i="23920"/>
  <c r="J70" i="23920"/>
  <c r="J73" i="23920"/>
  <c r="J67" i="23920"/>
  <c r="J72" i="23920"/>
  <c r="J37" i="24103"/>
  <c r="J46" i="23920"/>
  <c r="H65" i="24103"/>
  <c r="J36" i="24103"/>
  <c r="J45" i="23920"/>
  <c r="J28" i="23920"/>
  <c r="J31" i="23920" s="1"/>
  <c r="AI20" i="24103"/>
  <c r="AI21" i="24103" s="1"/>
  <c r="AI59" i="24103"/>
  <c r="AI24" i="23920"/>
  <c r="J21" i="23920"/>
  <c r="J75" i="23920"/>
  <c r="J31" i="24103"/>
  <c r="J32" i="24103" s="1"/>
  <c r="J40" i="23920"/>
  <c r="J41" i="23920" s="1"/>
  <c r="AI63" i="24103" l="1"/>
  <c r="AI66" i="24103"/>
  <c r="AI67" i="24103"/>
  <c r="D16" i="23920"/>
  <c r="B16" i="24103"/>
  <c r="K16" i="24103"/>
  <c r="J79" i="23920"/>
  <c r="H57" i="24103"/>
  <c r="H64" i="24103"/>
  <c r="H63" i="24103"/>
  <c r="AI65" i="24103"/>
  <c r="L16" i="24103"/>
  <c r="M16" i="24103"/>
  <c r="L16" i="23920"/>
  <c r="J50" i="23920"/>
  <c r="J41" i="24103"/>
  <c r="AI20" i="23920"/>
  <c r="AI60" i="24103"/>
  <c r="AI44" i="23920"/>
  <c r="AI35" i="24103"/>
  <c r="AI58" i="24103"/>
  <c r="AI62" i="24103"/>
  <c r="F16" i="23920"/>
  <c r="O16" i="24103"/>
  <c r="N16" i="24103"/>
  <c r="J29" i="23920"/>
  <c r="H20" i="23920"/>
  <c r="H62" i="24103"/>
  <c r="AI57" i="24103"/>
  <c r="AI28" i="24103"/>
  <c r="AI37" i="23920"/>
  <c r="AI61" i="24103"/>
  <c r="F16" i="24103"/>
  <c r="N16" i="23920"/>
  <c r="H24" i="24103"/>
  <c r="H25" i="24103" s="1"/>
  <c r="H33" i="23920"/>
  <c r="H28" i="24103"/>
  <c r="H37" i="23920"/>
  <c r="H38" i="23920" s="1"/>
  <c r="H44" i="23920"/>
  <c r="H35" i="24103"/>
  <c r="H66" i="24103"/>
  <c r="AI24" i="24103"/>
  <c r="AI25" i="24103" s="1"/>
  <c r="AI33" i="23920"/>
  <c r="AI34" i="23920" s="1"/>
  <c r="AI64" i="24103"/>
  <c r="AI29" i="24103"/>
  <c r="D16" i="24103"/>
  <c r="B16" i="23920"/>
  <c r="H60" i="24103"/>
  <c r="H58" i="24103"/>
  <c r="H61" i="24103"/>
  <c r="H67" i="24103"/>
  <c r="D65" i="24103" l="1"/>
  <c r="AI28" i="23920"/>
  <c r="AI29" i="23920" s="1"/>
  <c r="H40" i="23920"/>
  <c r="H41" i="23920" s="1"/>
  <c r="H31" i="24103"/>
  <c r="H32" i="24103" s="1"/>
  <c r="AI76" i="23920"/>
  <c r="AI71" i="23920"/>
  <c r="AI72" i="23920"/>
  <c r="AI74" i="23920"/>
  <c r="AI67" i="23920"/>
  <c r="AI68" i="23920"/>
  <c r="AI70" i="23920"/>
  <c r="AI77" i="23920"/>
  <c r="AI78" i="23920"/>
  <c r="AI25" i="23920"/>
  <c r="AI73" i="23920"/>
  <c r="AI69" i="23920"/>
  <c r="AI21" i="23920"/>
  <c r="AI75" i="23920"/>
  <c r="L65" i="24103"/>
  <c r="M65" i="24103"/>
  <c r="H45" i="23920"/>
  <c r="H36" i="24103"/>
  <c r="AI31" i="24103"/>
  <c r="AI32" i="24103" s="1"/>
  <c r="AI40" i="23920"/>
  <c r="AI41" i="23920" s="1"/>
  <c r="H68" i="23920"/>
  <c r="H77" i="23920"/>
  <c r="H67" i="23920"/>
  <c r="H71" i="23920"/>
  <c r="H74" i="23920"/>
  <c r="H78" i="23920"/>
  <c r="H70" i="23920"/>
  <c r="H76" i="23920"/>
  <c r="H72" i="23920"/>
  <c r="H25" i="23920"/>
  <c r="H73" i="23920"/>
  <c r="H69" i="23920"/>
  <c r="H75" i="23920"/>
  <c r="H21" i="23920"/>
  <c r="N65" i="24103"/>
  <c r="O65" i="24103"/>
  <c r="AI68" i="24103"/>
  <c r="AI69" i="24103" s="1"/>
  <c r="M16" i="23920"/>
  <c r="B65" i="24103"/>
  <c r="K65" i="24103"/>
  <c r="K16" i="23920"/>
  <c r="H37" i="24103"/>
  <c r="H46" i="23920"/>
  <c r="O16" i="23920"/>
  <c r="F20" i="24103"/>
  <c r="F24" i="23920"/>
  <c r="F59" i="24103"/>
  <c r="AI45" i="23920"/>
  <c r="AI36" i="24103"/>
  <c r="H29" i="24103"/>
  <c r="H28" i="23920"/>
  <c r="H31" i="23920" s="1"/>
  <c r="H68" i="24103"/>
  <c r="H69" i="24103" s="1"/>
  <c r="D59" i="24103"/>
  <c r="D20" i="24103"/>
  <c r="D24" i="23920"/>
  <c r="F65" i="24103"/>
  <c r="AI37" i="24103"/>
  <c r="AI46" i="23920"/>
  <c r="N24" i="23920"/>
  <c r="N20" i="24103"/>
  <c r="N21" i="24103" s="1"/>
  <c r="N59" i="24103"/>
  <c r="L20" i="24103"/>
  <c r="L21" i="24103" s="1"/>
  <c r="L24" i="23920"/>
  <c r="L59" i="24103"/>
  <c r="H34" i="23920"/>
  <c r="B59" i="24103"/>
  <c r="B20" i="24103"/>
  <c r="B21" i="24103" s="1"/>
  <c r="B24" i="23920"/>
  <c r="AI38" i="23920"/>
  <c r="AI31" i="23920" l="1"/>
  <c r="H79" i="23920"/>
  <c r="B44" i="23920"/>
  <c r="B35" i="24103"/>
  <c r="L63" i="24103"/>
  <c r="M63" i="24103"/>
  <c r="B20" i="23920"/>
  <c r="K20" i="23920"/>
  <c r="B37" i="23920"/>
  <c r="B38" i="23920" s="1"/>
  <c r="B28" i="24103"/>
  <c r="B29" i="24103" s="1"/>
  <c r="B58" i="24103"/>
  <c r="K58" i="24103"/>
  <c r="B61" i="24103"/>
  <c r="K61" i="24103"/>
  <c r="L64" i="24103"/>
  <c r="M64" i="24103"/>
  <c r="M20" i="23920"/>
  <c r="L20" i="23920"/>
  <c r="L24" i="24103"/>
  <c r="L25" i="24103" s="1"/>
  <c r="L33" i="23920"/>
  <c r="L34" i="23920" s="1"/>
  <c r="O20" i="23920"/>
  <c r="N20" i="23920"/>
  <c r="N63" i="24103"/>
  <c r="O63" i="24103"/>
  <c r="N61" i="24103"/>
  <c r="O61" i="24103"/>
  <c r="D37" i="23920"/>
  <c r="D38" i="23920" s="1"/>
  <c r="D28" i="24103"/>
  <c r="D29" i="24103" s="1"/>
  <c r="D63" i="24103"/>
  <c r="F35" i="24103"/>
  <c r="F44" i="23920"/>
  <c r="H29" i="23920"/>
  <c r="H41" i="24103"/>
  <c r="H50" i="23920"/>
  <c r="B24" i="24103"/>
  <c r="B25" i="24103" s="1"/>
  <c r="B33" i="23920"/>
  <c r="B34" i="23920" s="1"/>
  <c r="B57" i="24103"/>
  <c r="K57" i="24103"/>
  <c r="B67" i="24103"/>
  <c r="K67" i="24103"/>
  <c r="B66" i="24103"/>
  <c r="K66" i="24103"/>
  <c r="M57" i="24103"/>
  <c r="L57" i="24103"/>
  <c r="L62" i="24103"/>
  <c r="M62" i="24103"/>
  <c r="L60" i="24103"/>
  <c r="M60" i="24103"/>
  <c r="M66" i="24103"/>
  <c r="L66" i="24103"/>
  <c r="L67" i="24103"/>
  <c r="M67" i="24103"/>
  <c r="N67" i="24103"/>
  <c r="O67" i="24103"/>
  <c r="N57" i="24103"/>
  <c r="O57" i="24103"/>
  <c r="N60" i="24103"/>
  <c r="O60" i="24103"/>
  <c r="D24" i="24103"/>
  <c r="D25" i="24103" s="1"/>
  <c r="D33" i="23920"/>
  <c r="D62" i="24103"/>
  <c r="D61" i="24103"/>
  <c r="F28" i="24103"/>
  <c r="F29" i="24103" s="1"/>
  <c r="F37" i="23920"/>
  <c r="F38" i="23920" s="1"/>
  <c r="F67" i="24103"/>
  <c r="F63" i="24103"/>
  <c r="F60" i="24103"/>
  <c r="D21" i="24103"/>
  <c r="K20" i="24103"/>
  <c r="K24" i="23920"/>
  <c r="B64" i="24103"/>
  <c r="K64" i="24103"/>
  <c r="B63" i="24103"/>
  <c r="K63" i="24103"/>
  <c r="L61" i="24103"/>
  <c r="M61" i="24103"/>
  <c r="L37" i="23920"/>
  <c r="L38" i="23920" s="1"/>
  <c r="L28" i="24103"/>
  <c r="L29" i="24103" s="1"/>
  <c r="L35" i="24103"/>
  <c r="L44" i="23920"/>
  <c r="N66" i="24103"/>
  <c r="O66" i="24103"/>
  <c r="N28" i="24103"/>
  <c r="N37" i="23920"/>
  <c r="N38" i="23920" s="1"/>
  <c r="N58" i="24103"/>
  <c r="O58" i="24103"/>
  <c r="N62" i="24103"/>
  <c r="O62" i="24103"/>
  <c r="D57" i="24103"/>
  <c r="D60" i="24103"/>
  <c r="D67" i="24103"/>
  <c r="D64" i="24103"/>
  <c r="D58" i="24103"/>
  <c r="F20" i="23920"/>
  <c r="F24" i="24103"/>
  <c r="F25" i="24103" s="1"/>
  <c r="F33" i="23920"/>
  <c r="F62" i="24103"/>
  <c r="F58" i="24103"/>
  <c r="AI41" i="24103"/>
  <c r="AI50" i="23920"/>
  <c r="F21" i="24103"/>
  <c r="B60" i="24103"/>
  <c r="K60" i="24103"/>
  <c r="B62" i="24103"/>
  <c r="K62" i="24103"/>
  <c r="L58" i="24103"/>
  <c r="M58" i="24103"/>
  <c r="M24" i="23920"/>
  <c r="M20" i="24103"/>
  <c r="N64" i="24103"/>
  <c r="O64" i="24103"/>
  <c r="N24" i="24103"/>
  <c r="N25" i="24103" s="1"/>
  <c r="N33" i="23920"/>
  <c r="N34" i="23920" s="1"/>
  <c r="N44" i="23920"/>
  <c r="N35" i="24103"/>
  <c r="O20" i="24103"/>
  <c r="O24" i="23920"/>
  <c r="D20" i="23920"/>
  <c r="D66" i="24103"/>
  <c r="D44" i="23920"/>
  <c r="D35" i="24103"/>
  <c r="F57" i="24103"/>
  <c r="F66" i="24103"/>
  <c r="F64" i="24103"/>
  <c r="F61" i="24103"/>
  <c r="AI79" i="23920"/>
  <c r="P16" i="23920" l="1"/>
  <c r="B68" i="24103"/>
  <c r="B69" i="24103" s="1"/>
  <c r="K68" i="24103"/>
  <c r="N100" i="24135"/>
  <c r="N101" i="24135" s="1"/>
  <c r="O28" i="24103"/>
  <c r="O37" i="23920"/>
  <c r="M44" i="23920"/>
  <c r="M35" i="24103"/>
  <c r="L45" i="23920"/>
  <c r="L36" i="24103"/>
  <c r="F31" i="24103"/>
  <c r="F32" i="24103" s="1"/>
  <c r="F40" i="23920"/>
  <c r="N68" i="24103"/>
  <c r="N69" i="24103" s="1"/>
  <c r="O68" i="24103"/>
  <c r="L68" i="24103"/>
  <c r="L69" i="24103" s="1"/>
  <c r="M68" i="24103"/>
  <c r="N28" i="23920"/>
  <c r="N31" i="23920" s="1"/>
  <c r="O28" i="23920"/>
  <c r="L28" i="23920"/>
  <c r="L31" i="23920" s="1"/>
  <c r="M28" i="23920"/>
  <c r="B37" i="24103"/>
  <c r="B46" i="23920"/>
  <c r="B68" i="23920"/>
  <c r="K68" i="23920" s="1"/>
  <c r="B71" i="23920"/>
  <c r="K71" i="23920" s="1"/>
  <c r="B72" i="23920"/>
  <c r="K72" i="23920" s="1"/>
  <c r="B67" i="23920"/>
  <c r="K67" i="23920" s="1"/>
  <c r="B76" i="23920"/>
  <c r="K76" i="23920" s="1"/>
  <c r="B78" i="23920"/>
  <c r="K78" i="23920" s="1"/>
  <c r="B73" i="23920"/>
  <c r="K73" i="23920" s="1"/>
  <c r="B74" i="23920"/>
  <c r="K74" i="23920" s="1"/>
  <c r="B25" i="23920"/>
  <c r="B69" i="23920"/>
  <c r="B77" i="23920"/>
  <c r="K77" i="23920" s="1"/>
  <c r="B70" i="23920"/>
  <c r="K70" i="23920" s="1"/>
  <c r="B75" i="23920"/>
  <c r="K75" i="23920" s="1"/>
  <c r="B21" i="23920"/>
  <c r="K44" i="23920"/>
  <c r="K35" i="24103"/>
  <c r="D68" i="23920"/>
  <c r="D25" i="23920"/>
  <c r="D71" i="23920"/>
  <c r="D73" i="23920"/>
  <c r="D76" i="23920"/>
  <c r="D78" i="23920"/>
  <c r="D77" i="23920"/>
  <c r="D70" i="23920"/>
  <c r="D74" i="23920"/>
  <c r="D72" i="23920"/>
  <c r="D67" i="23920"/>
  <c r="D69" i="23920"/>
  <c r="D21" i="23920"/>
  <c r="D75" i="23920"/>
  <c r="D68" i="24103"/>
  <c r="D69" i="24103" s="1"/>
  <c r="N46" i="23920"/>
  <c r="N37" i="24103"/>
  <c r="L40" i="23920"/>
  <c r="L41" i="23920" s="1"/>
  <c r="L31" i="24103"/>
  <c r="L32" i="24103" s="1"/>
  <c r="F36" i="24103"/>
  <c r="F45" i="23920"/>
  <c r="F41" i="23920"/>
  <c r="D37" i="24103"/>
  <c r="D46" i="23920"/>
  <c r="D45" i="23920"/>
  <c r="D36" i="24103"/>
  <c r="M24" i="24103"/>
  <c r="M33" i="23920"/>
  <c r="L25" i="23920"/>
  <c r="L74" i="23920"/>
  <c r="L77" i="23920"/>
  <c r="L69" i="23920"/>
  <c r="L73" i="23920"/>
  <c r="L72" i="23920"/>
  <c r="L70" i="23920"/>
  <c r="L68" i="23920"/>
  <c r="L71" i="23920"/>
  <c r="L67" i="23920"/>
  <c r="L78" i="23920"/>
  <c r="L76" i="23920"/>
  <c r="L75" i="23920"/>
  <c r="L21" i="23920"/>
  <c r="B31" i="24103"/>
  <c r="B32" i="24103" s="1"/>
  <c r="B40" i="23920"/>
  <c r="B41" i="23920" s="1"/>
  <c r="B28" i="23920"/>
  <c r="B29" i="23920" s="1"/>
  <c r="K28" i="23920"/>
  <c r="F71" i="23920"/>
  <c r="F74" i="23920"/>
  <c r="F67" i="23920"/>
  <c r="F73" i="23920"/>
  <c r="F25" i="23920"/>
  <c r="F72" i="23920"/>
  <c r="F70" i="23920"/>
  <c r="F76" i="23920"/>
  <c r="F78" i="23920"/>
  <c r="F68" i="23920"/>
  <c r="F77" i="23920"/>
  <c r="F69" i="23920"/>
  <c r="F75" i="23920"/>
  <c r="F21" i="23920"/>
  <c r="F28" i="23920"/>
  <c r="F31" i="23920" s="1"/>
  <c r="N45" i="23920"/>
  <c r="N36" i="24103"/>
  <c r="M37" i="23920"/>
  <c r="M28" i="24103"/>
  <c r="F68" i="24103"/>
  <c r="F69" i="24103" s="1"/>
  <c r="F46" i="23920"/>
  <c r="F37" i="24103"/>
  <c r="D31" i="24103"/>
  <c r="D32" i="24103" s="1"/>
  <c r="D40" i="23920"/>
  <c r="D41" i="23920" s="1"/>
  <c r="D34" i="23920"/>
  <c r="K28" i="24103"/>
  <c r="K37" i="23920"/>
  <c r="O24" i="24103"/>
  <c r="O33" i="23920"/>
  <c r="Q16" i="24103"/>
  <c r="P16" i="24103"/>
  <c r="D28" i="23920"/>
  <c r="D29" i="23920" s="1"/>
  <c r="O35" i="24103"/>
  <c r="O44" i="23920"/>
  <c r="N29" i="24103"/>
  <c r="N40" i="23920"/>
  <c r="N41" i="23920" s="1"/>
  <c r="N31" i="24103"/>
  <c r="N32" i="24103" s="1"/>
  <c r="L46" i="23920"/>
  <c r="L37" i="24103"/>
  <c r="K33" i="23920"/>
  <c r="K24" i="24103"/>
  <c r="F34" i="23920"/>
  <c r="N25" i="23920"/>
  <c r="N69" i="23920"/>
  <c r="N68" i="23920"/>
  <c r="N78" i="23920"/>
  <c r="N73" i="23920"/>
  <c r="N67" i="23920"/>
  <c r="N71" i="23920"/>
  <c r="N70" i="23920"/>
  <c r="N77" i="23920"/>
  <c r="N72" i="23920"/>
  <c r="N74" i="23920"/>
  <c r="N76" i="23920"/>
  <c r="N75" i="23920"/>
  <c r="N21" i="23920"/>
  <c r="B45" i="23920"/>
  <c r="B36" i="24103"/>
  <c r="O74" i="23920" l="1"/>
  <c r="O68" i="23920"/>
  <c r="N29" i="23920"/>
  <c r="M72" i="23920"/>
  <c r="O75" i="23920"/>
  <c r="O78" i="23920"/>
  <c r="L29" i="23920"/>
  <c r="O71" i="23920"/>
  <c r="M76" i="23920"/>
  <c r="O76" i="23920"/>
  <c r="O73" i="23920"/>
  <c r="M70" i="23920"/>
  <c r="M73" i="23920"/>
  <c r="M77" i="23920"/>
  <c r="O67" i="23920"/>
  <c r="M68" i="23920"/>
  <c r="O77" i="23920"/>
  <c r="M67" i="23920"/>
  <c r="O70" i="23920"/>
  <c r="M71" i="23920"/>
  <c r="M78" i="23920"/>
  <c r="O72" i="23920"/>
  <c r="M75" i="23920"/>
  <c r="N135" i="24135"/>
  <c r="M74" i="23920"/>
  <c r="D31" i="23920"/>
  <c r="L79" i="23920"/>
  <c r="M69" i="23920"/>
  <c r="K46" i="23920"/>
  <c r="K37" i="24103"/>
  <c r="M37" i="24103"/>
  <c r="M46" i="23920"/>
  <c r="O69" i="23920"/>
  <c r="N79" i="23920"/>
  <c r="K40" i="23920"/>
  <c r="K31" i="24103"/>
  <c r="B79" i="23920"/>
  <c r="K69" i="23920"/>
  <c r="B31" i="23920"/>
  <c r="F41" i="24103"/>
  <c r="F50" i="23920"/>
  <c r="N41" i="24103"/>
  <c r="N50" i="23920"/>
  <c r="P20" i="24103"/>
  <c r="P24" i="23920"/>
  <c r="P59" i="24103"/>
  <c r="O45" i="23920"/>
  <c r="O36" i="24103"/>
  <c r="F29" i="23920"/>
  <c r="R16" i="24103"/>
  <c r="S16" i="24103"/>
  <c r="L50" i="23920"/>
  <c r="L41" i="24103"/>
  <c r="AK16" i="24103"/>
  <c r="AL16" i="24103"/>
  <c r="K45" i="23920"/>
  <c r="K36" i="24103"/>
  <c r="O31" i="24103"/>
  <c r="O40" i="23920"/>
  <c r="D41" i="24103"/>
  <c r="D50" i="23920"/>
  <c r="F79" i="23920"/>
  <c r="B50" i="23920"/>
  <c r="B41" i="24103"/>
  <c r="R16" i="23920"/>
  <c r="AA16" i="23920" s="1"/>
  <c r="M40" i="23920"/>
  <c r="M31" i="24103"/>
  <c r="O37" i="24103"/>
  <c r="O46" i="23920"/>
  <c r="D79" i="23920"/>
  <c r="M45" i="23920"/>
  <c r="M36" i="24103"/>
  <c r="AK16" i="23920"/>
  <c r="Q16" i="23920"/>
  <c r="K50" i="23920" l="1"/>
  <c r="K41" i="24103"/>
  <c r="P60" i="24103"/>
  <c r="Q60" i="24103"/>
  <c r="Q20" i="23920"/>
  <c r="P20" i="23920"/>
  <c r="Q24" i="23920"/>
  <c r="Q20" i="24103"/>
  <c r="P63" i="24103"/>
  <c r="Q63" i="24103"/>
  <c r="Q65" i="24103"/>
  <c r="P65" i="24103"/>
  <c r="R20" i="24103"/>
  <c r="R21" i="24103" s="1"/>
  <c r="R24" i="23920"/>
  <c r="R59" i="24103"/>
  <c r="Q67" i="24103"/>
  <c r="P67" i="24103"/>
  <c r="P57" i="24103"/>
  <c r="Q57" i="24103"/>
  <c r="P66" i="24103"/>
  <c r="Q66" i="24103"/>
  <c r="P58" i="24103"/>
  <c r="Q58" i="24103"/>
  <c r="P21" i="24103"/>
  <c r="AL16" i="23920"/>
  <c r="AK20" i="24103"/>
  <c r="AK21" i="24103" s="1"/>
  <c r="AK24" i="23920"/>
  <c r="AK59" i="24103"/>
  <c r="M50" i="23920"/>
  <c r="M41" i="24103"/>
  <c r="P28" i="24103"/>
  <c r="P37" i="23920"/>
  <c r="P38" i="23920" s="1"/>
  <c r="P24" i="24103"/>
  <c r="P25" i="24103" s="1"/>
  <c r="P33" i="23920"/>
  <c r="O50" i="23920"/>
  <c r="O41" i="24103"/>
  <c r="T16" i="24103"/>
  <c r="U16" i="24103"/>
  <c r="S16" i="23920"/>
  <c r="Q61" i="24103"/>
  <c r="P61" i="24103"/>
  <c r="P64" i="24103"/>
  <c r="Q64" i="24103"/>
  <c r="P62" i="24103"/>
  <c r="Q62" i="24103"/>
  <c r="T16" i="23920"/>
  <c r="AC16" i="23920" s="1"/>
  <c r="U65" i="24103" l="1"/>
  <c r="T65" i="24103"/>
  <c r="P28" i="23920"/>
  <c r="P31" i="23920" s="1"/>
  <c r="Q28" i="23920"/>
  <c r="P40" i="23920"/>
  <c r="P41" i="23920" s="1"/>
  <c r="P31" i="24103"/>
  <c r="P32" i="24103" s="1"/>
  <c r="AK60" i="24103"/>
  <c r="AL60" i="24103"/>
  <c r="AK62" i="24103"/>
  <c r="AL62" i="24103"/>
  <c r="AK63" i="24103"/>
  <c r="AL63" i="24103"/>
  <c r="R28" i="24103"/>
  <c r="R29" i="24103" s="1"/>
  <c r="R37" i="23920"/>
  <c r="R38" i="23920" s="1"/>
  <c r="R60" i="24103"/>
  <c r="S60" i="24103"/>
  <c r="R57" i="24103"/>
  <c r="S57" i="24103"/>
  <c r="S67" i="24103"/>
  <c r="R67" i="24103"/>
  <c r="P29" i="24103"/>
  <c r="Q68" i="24103"/>
  <c r="P68" i="24103"/>
  <c r="P69" i="24103" s="1"/>
  <c r="U16" i="23920"/>
  <c r="R65" i="24103"/>
  <c r="S65" i="24103"/>
  <c r="P34" i="23920"/>
  <c r="AK64" i="24103"/>
  <c r="AL64" i="24103"/>
  <c r="AK61" i="24103"/>
  <c r="AL61" i="24103"/>
  <c r="AL66" i="24103"/>
  <c r="AK66" i="24103"/>
  <c r="S63" i="24103"/>
  <c r="R63" i="24103"/>
  <c r="S62" i="24103"/>
  <c r="R62" i="24103"/>
  <c r="S64" i="24103"/>
  <c r="R64" i="24103"/>
  <c r="AK65" i="24103"/>
  <c r="AL65" i="24103"/>
  <c r="V16" i="24103"/>
  <c r="W16" i="24103"/>
  <c r="Q37" i="23920"/>
  <c r="Q28" i="24103"/>
  <c r="AL20" i="23920"/>
  <c r="AK20" i="23920"/>
  <c r="AK58" i="24103"/>
  <c r="AL58" i="24103"/>
  <c r="AK67" i="24103"/>
  <c r="AL67" i="24103"/>
  <c r="AK57" i="24103"/>
  <c r="AL57" i="24103"/>
  <c r="R20" i="23920"/>
  <c r="S20" i="23920"/>
  <c r="R61" i="24103"/>
  <c r="S61" i="24103"/>
  <c r="R24" i="24103"/>
  <c r="R25" i="24103" s="1"/>
  <c r="R33" i="23920"/>
  <c r="P25" i="23920"/>
  <c r="P69" i="23920"/>
  <c r="P76" i="23920"/>
  <c r="Q76" i="23920" s="1"/>
  <c r="P67" i="23920"/>
  <c r="Q67" i="23920" s="1"/>
  <c r="P77" i="23920"/>
  <c r="Q77" i="23920" s="1"/>
  <c r="P70" i="23920"/>
  <c r="Q70" i="23920" s="1"/>
  <c r="P71" i="23920"/>
  <c r="Q71" i="23920" s="1"/>
  <c r="P78" i="23920"/>
  <c r="Q78" i="23920" s="1"/>
  <c r="P72" i="23920"/>
  <c r="Q72" i="23920" s="1"/>
  <c r="P74" i="23920"/>
  <c r="Q74" i="23920" s="1"/>
  <c r="P68" i="23920"/>
  <c r="Q68" i="23920" s="1"/>
  <c r="P73" i="23920"/>
  <c r="Q73" i="23920" s="1"/>
  <c r="P75" i="23920"/>
  <c r="Q75" i="23920" s="1"/>
  <c r="P21" i="23920"/>
  <c r="V16" i="23920"/>
  <c r="AE16" i="23920" s="1"/>
  <c r="T20" i="24103"/>
  <c r="T24" i="23920"/>
  <c r="T59" i="24103"/>
  <c r="Q24" i="24103"/>
  <c r="Q33" i="23920"/>
  <c r="AK37" i="23920"/>
  <c r="AK28" i="24103"/>
  <c r="AK24" i="24103"/>
  <c r="AK25" i="24103" s="1"/>
  <c r="AK33" i="23920"/>
  <c r="AK34" i="23920" s="1"/>
  <c r="AL24" i="23920"/>
  <c r="AL20" i="24103"/>
  <c r="R66" i="24103"/>
  <c r="S66" i="24103"/>
  <c r="S24" i="23920"/>
  <c r="S20" i="24103"/>
  <c r="S58" i="24103"/>
  <c r="R58" i="24103"/>
  <c r="P29" i="23920" l="1"/>
  <c r="O135" i="24135"/>
  <c r="P91" i="23920"/>
  <c r="P81" i="24103"/>
  <c r="T57" i="24103"/>
  <c r="U57" i="24103"/>
  <c r="T60" i="24103"/>
  <c r="U60" i="24103"/>
  <c r="W16" i="23920"/>
  <c r="R28" i="23920"/>
  <c r="R29" i="23920" s="1"/>
  <c r="S28" i="23920"/>
  <c r="R25" i="23920"/>
  <c r="R71" i="23920"/>
  <c r="R78" i="23920"/>
  <c r="R67" i="23920"/>
  <c r="R72" i="23920"/>
  <c r="R74" i="23920"/>
  <c r="R76" i="23920"/>
  <c r="R69" i="23920"/>
  <c r="AA69" i="23920" s="1"/>
  <c r="R68" i="23920"/>
  <c r="R77" i="23920"/>
  <c r="R73" i="23920"/>
  <c r="R70" i="23920"/>
  <c r="R75" i="23920"/>
  <c r="R21" i="23920"/>
  <c r="V65" i="24103"/>
  <c r="W65" i="24103"/>
  <c r="O100" i="24135"/>
  <c r="O101" i="24135" s="1"/>
  <c r="R68" i="24103"/>
  <c r="R69" i="24103" s="1"/>
  <c r="S68" i="24103"/>
  <c r="AK68" i="24103"/>
  <c r="AK69" i="24103" s="1"/>
  <c r="AL68" i="24103"/>
  <c r="Q40" i="23920"/>
  <c r="Q31" i="24103"/>
  <c r="AK28" i="23920"/>
  <c r="AK29" i="23920" s="1"/>
  <c r="AL28" i="23920"/>
  <c r="AL28" i="24103"/>
  <c r="AL37" i="23920"/>
  <c r="P92" i="23920"/>
  <c r="P82" i="24103"/>
  <c r="T20" i="23920"/>
  <c r="U20" i="23920"/>
  <c r="U58" i="24103"/>
  <c r="T58" i="24103"/>
  <c r="U66" i="24103"/>
  <c r="T66" i="24103"/>
  <c r="U62" i="24103"/>
  <c r="T62" i="24103"/>
  <c r="S33" i="23920"/>
  <c r="S24" i="24103"/>
  <c r="Y16" i="24103"/>
  <c r="X16" i="24103"/>
  <c r="S28" i="24103"/>
  <c r="S37" i="23920"/>
  <c r="AL33" i="23920"/>
  <c r="AL24" i="24103"/>
  <c r="AK40" i="23920"/>
  <c r="AK41" i="23920" s="1"/>
  <c r="AK31" i="24103"/>
  <c r="AK32" i="24103" s="1"/>
  <c r="P84" i="24103"/>
  <c r="P94" i="23920"/>
  <c r="T24" i="24103"/>
  <c r="T25" i="24103" s="1"/>
  <c r="T33" i="23920"/>
  <c r="T34" i="23920" s="1"/>
  <c r="T63" i="24103"/>
  <c r="U63" i="24103"/>
  <c r="T67" i="24103"/>
  <c r="U67" i="24103"/>
  <c r="Q69" i="23920"/>
  <c r="P79" i="23920"/>
  <c r="AK25" i="23920"/>
  <c r="AK76" i="23920"/>
  <c r="AL76" i="23920" s="1"/>
  <c r="AK77" i="23920"/>
  <c r="AL77" i="23920" s="1"/>
  <c r="AK70" i="23920"/>
  <c r="AL70" i="23920" s="1"/>
  <c r="AK78" i="23920"/>
  <c r="AL78" i="23920" s="1"/>
  <c r="AK67" i="23920"/>
  <c r="AL67" i="23920" s="1"/>
  <c r="AK69" i="23920"/>
  <c r="AK71" i="23920"/>
  <c r="AL71" i="23920" s="1"/>
  <c r="AK74" i="23920"/>
  <c r="AL74" i="23920" s="1"/>
  <c r="AK72" i="23920"/>
  <c r="AL72" i="23920" s="1"/>
  <c r="AK73" i="23920"/>
  <c r="AL73" i="23920" s="1"/>
  <c r="AK68" i="23920"/>
  <c r="AL68" i="23920" s="1"/>
  <c r="AK21" i="23920"/>
  <c r="AK75" i="23920"/>
  <c r="AL75" i="23920" s="1"/>
  <c r="T21" i="24103"/>
  <c r="X16" i="23920"/>
  <c r="AG16" i="23920" s="1"/>
  <c r="AK29" i="24103"/>
  <c r="R31" i="24103"/>
  <c r="R32" i="24103" s="1"/>
  <c r="R40" i="23920"/>
  <c r="R41" i="23920" s="1"/>
  <c r="P83" i="24103"/>
  <c r="P93" i="23920"/>
  <c r="P80" i="24103"/>
  <c r="P90" i="23920"/>
  <c r="T37" i="23920"/>
  <c r="T38" i="23920" s="1"/>
  <c r="T28" i="24103"/>
  <c r="T64" i="24103"/>
  <c r="U64" i="24103"/>
  <c r="U24" i="23920"/>
  <c r="U20" i="24103"/>
  <c r="T61" i="24103"/>
  <c r="U61" i="24103"/>
  <c r="V24" i="23920"/>
  <c r="V20" i="24103"/>
  <c r="V21" i="24103" s="1"/>
  <c r="V59" i="24103"/>
  <c r="AK38" i="23920"/>
  <c r="R34" i="23920"/>
  <c r="P41" i="24103"/>
  <c r="P50" i="23920"/>
  <c r="S75" i="23920" l="1"/>
  <c r="AA75" i="23920"/>
  <c r="S73" i="23920"/>
  <c r="AA73" i="23920"/>
  <c r="S68" i="23920"/>
  <c r="AA68" i="23920"/>
  <c r="S76" i="23920"/>
  <c r="AA76" i="23920"/>
  <c r="S72" i="23920"/>
  <c r="AA72" i="23920"/>
  <c r="S78" i="23920"/>
  <c r="AA78" i="23920"/>
  <c r="S70" i="23920"/>
  <c r="AA70" i="23920"/>
  <c r="S77" i="23920"/>
  <c r="AA77" i="23920"/>
  <c r="S74" i="23920"/>
  <c r="AA74" i="23920"/>
  <c r="S67" i="23920"/>
  <c r="AA67" i="23920"/>
  <c r="S71" i="23920"/>
  <c r="AA71" i="23920"/>
  <c r="R31" i="23920"/>
  <c r="AK31" i="23920"/>
  <c r="V24" i="24103"/>
  <c r="V25" i="24103" s="1"/>
  <c r="V33" i="23920"/>
  <c r="V64" i="24103"/>
  <c r="W64" i="24103"/>
  <c r="W20" i="23920"/>
  <c r="V20" i="23920"/>
  <c r="W62" i="24103"/>
  <c r="V62" i="24103"/>
  <c r="Q90" i="23920"/>
  <c r="Q80" i="24103"/>
  <c r="T28" i="23920"/>
  <c r="T29" i="23920" s="1"/>
  <c r="U28" i="23920"/>
  <c r="P82" i="23920"/>
  <c r="P72" i="24103"/>
  <c r="X65" i="24103"/>
  <c r="Y65" i="24103"/>
  <c r="AK90" i="23920"/>
  <c r="AK80" i="24103"/>
  <c r="AK94" i="23920"/>
  <c r="AK84" i="24103"/>
  <c r="Q92" i="23920"/>
  <c r="Q82" i="24103"/>
  <c r="R81" i="24103"/>
  <c r="R91" i="23920"/>
  <c r="AM16" i="23920"/>
  <c r="AP16" i="23920" s="1"/>
  <c r="R79" i="23920"/>
  <c r="S69" i="23920"/>
  <c r="Q91" i="23920"/>
  <c r="Q81" i="24103"/>
  <c r="Q50" i="23920"/>
  <c r="Q41" i="24103"/>
  <c r="V58" i="24103"/>
  <c r="W58" i="24103"/>
  <c r="V61" i="24103"/>
  <c r="W61" i="24103"/>
  <c r="V63" i="24103"/>
  <c r="W63" i="24103"/>
  <c r="Q83" i="24103"/>
  <c r="Q93" i="23920"/>
  <c r="S31" i="24103"/>
  <c r="S40" i="23920"/>
  <c r="AL69" i="23920"/>
  <c r="AK79" i="23920"/>
  <c r="P86" i="23920"/>
  <c r="P76" i="24103"/>
  <c r="AK41" i="24103"/>
  <c r="AK50" i="23920"/>
  <c r="AK91" i="23920"/>
  <c r="AK81" i="24103"/>
  <c r="R83" i="24103"/>
  <c r="R93" i="23920"/>
  <c r="V60" i="24103"/>
  <c r="W60" i="24103"/>
  <c r="R41" i="24103"/>
  <c r="R50" i="23920"/>
  <c r="P74" i="24103"/>
  <c r="P84" i="23920"/>
  <c r="P87" i="23920"/>
  <c r="P77" i="24103"/>
  <c r="AL40" i="23920"/>
  <c r="AL31" i="24103"/>
  <c r="T77" i="23920"/>
  <c r="T76" i="23920"/>
  <c r="T73" i="23920"/>
  <c r="T70" i="23920"/>
  <c r="T67" i="23920"/>
  <c r="T25" i="23920"/>
  <c r="T74" i="23920"/>
  <c r="T72" i="23920"/>
  <c r="T68" i="23920"/>
  <c r="T69" i="23920"/>
  <c r="AC69" i="23920" s="1"/>
  <c r="T78" i="23920"/>
  <c r="T71" i="23920"/>
  <c r="T21" i="23920"/>
  <c r="T75" i="23920"/>
  <c r="AK92" i="23920"/>
  <c r="AK82" i="24103"/>
  <c r="R82" i="24103"/>
  <c r="R92" i="23920"/>
  <c r="R94" i="23920"/>
  <c r="R84" i="24103"/>
  <c r="T29" i="24103"/>
  <c r="W20" i="24103"/>
  <c r="W24" i="23920"/>
  <c r="T40" i="23920"/>
  <c r="T41" i="23920" s="1"/>
  <c r="T31" i="24103"/>
  <c r="T32" i="24103" s="1"/>
  <c r="V57" i="24103"/>
  <c r="W57" i="24103"/>
  <c r="W66" i="24103"/>
  <c r="V66" i="24103"/>
  <c r="W67" i="24103"/>
  <c r="V67" i="24103"/>
  <c r="U28" i="24103"/>
  <c r="U37" i="23920"/>
  <c r="Y16" i="23920"/>
  <c r="U33" i="23920"/>
  <c r="U24" i="24103"/>
  <c r="Q84" i="24103"/>
  <c r="Q94" i="23920"/>
  <c r="P85" i="23920"/>
  <c r="P75" i="24103"/>
  <c r="P73" i="24103"/>
  <c r="P83" i="23920"/>
  <c r="X24" i="23920"/>
  <c r="X20" i="24103"/>
  <c r="X21" i="24103" s="1"/>
  <c r="X59" i="24103"/>
  <c r="AK83" i="24103"/>
  <c r="AK93" i="23920"/>
  <c r="R80" i="24103"/>
  <c r="R90" i="23920"/>
  <c r="AM16" i="24103"/>
  <c r="AN16" i="24103"/>
  <c r="U68" i="24103"/>
  <c r="T68" i="24103"/>
  <c r="T69" i="24103" s="1"/>
  <c r="P95" i="23920"/>
  <c r="P85" i="24103"/>
  <c r="U78" i="23920" l="1"/>
  <c r="AC78" i="23920"/>
  <c r="U68" i="23920"/>
  <c r="AC68" i="23920"/>
  <c r="U74" i="23920"/>
  <c r="AC74" i="23920"/>
  <c r="U67" i="23920"/>
  <c r="AC67" i="23920"/>
  <c r="U73" i="23920"/>
  <c r="AC73" i="23920"/>
  <c r="U77" i="23920"/>
  <c r="AC77" i="23920"/>
  <c r="U75" i="23920"/>
  <c r="AC75" i="23920"/>
  <c r="U71" i="23920"/>
  <c r="AC71" i="23920"/>
  <c r="U72" i="23920"/>
  <c r="AC72" i="23920"/>
  <c r="U70" i="23920"/>
  <c r="AC70" i="23920"/>
  <c r="U76" i="23920"/>
  <c r="AC76" i="23920"/>
  <c r="T31" i="23920"/>
  <c r="S90" i="23920"/>
  <c r="S80" i="24103"/>
  <c r="T81" i="24103"/>
  <c r="T91" i="23920"/>
  <c r="X24" i="24103"/>
  <c r="X25" i="24103" s="1"/>
  <c r="X33" i="23920"/>
  <c r="X34" i="23920" s="1"/>
  <c r="X63" i="24103"/>
  <c r="Y63" i="24103"/>
  <c r="Y66" i="24103"/>
  <c r="X66" i="24103"/>
  <c r="U31" i="24103"/>
  <c r="U40" i="23920"/>
  <c r="U69" i="23920"/>
  <c r="T79" i="23920"/>
  <c r="S50" i="23920"/>
  <c r="S41" i="24103"/>
  <c r="R72" i="24103"/>
  <c r="R82" i="23920"/>
  <c r="AK86" i="23920"/>
  <c r="AK76" i="24103"/>
  <c r="Q76" i="24103"/>
  <c r="Q86" i="23920"/>
  <c r="AN16" i="23920"/>
  <c r="R95" i="23920"/>
  <c r="R85" i="24103"/>
  <c r="AM24" i="23920"/>
  <c r="AM20" i="24103"/>
  <c r="AM21" i="24103" s="1"/>
  <c r="AM59" i="24103"/>
  <c r="AK95" i="23920"/>
  <c r="AK85" i="24103"/>
  <c r="T84" i="24103"/>
  <c r="T94" i="23920"/>
  <c r="T92" i="23920"/>
  <c r="T82" i="24103"/>
  <c r="AL83" i="24103"/>
  <c r="AL93" i="23920"/>
  <c r="Y57" i="24103"/>
  <c r="X57" i="24103"/>
  <c r="Y20" i="23920"/>
  <c r="X20" i="23920"/>
  <c r="X67" i="24103"/>
  <c r="Y67" i="24103"/>
  <c r="Q85" i="23920"/>
  <c r="Q75" i="24103"/>
  <c r="S94" i="23920"/>
  <c r="S84" i="24103"/>
  <c r="AL82" i="24103"/>
  <c r="AL92" i="23920"/>
  <c r="Q77" i="24103"/>
  <c r="Q87" i="23920"/>
  <c r="Q84" i="23920"/>
  <c r="Q74" i="24103"/>
  <c r="R87" i="23920"/>
  <c r="R77" i="24103"/>
  <c r="R85" i="23920"/>
  <c r="R75" i="24103"/>
  <c r="AK75" i="24103"/>
  <c r="AK85" i="23920"/>
  <c r="AK82" i="23920"/>
  <c r="AK72" i="24103"/>
  <c r="AL80" i="24103"/>
  <c r="AL90" i="23920"/>
  <c r="P35" i="24103"/>
  <c r="P44" i="23920"/>
  <c r="T83" i="24103"/>
  <c r="T93" i="23920"/>
  <c r="Y24" i="23920"/>
  <c r="Y20" i="24103"/>
  <c r="Q83" i="23920"/>
  <c r="Q73" i="24103"/>
  <c r="AK87" i="23920"/>
  <c r="AK77" i="24103"/>
  <c r="V68" i="24103"/>
  <c r="V69" i="24103" s="1"/>
  <c r="W68" i="24103"/>
  <c r="R73" i="24103"/>
  <c r="R83" i="23920"/>
  <c r="R74" i="24103"/>
  <c r="R84" i="23920"/>
  <c r="AL91" i="23920"/>
  <c r="AL81" i="24103"/>
  <c r="AK84" i="23920"/>
  <c r="AK74" i="24103"/>
  <c r="AL50" i="23920"/>
  <c r="AL41" i="24103"/>
  <c r="P46" i="23920"/>
  <c r="P37" i="24103"/>
  <c r="S81" i="24103"/>
  <c r="S91" i="23920"/>
  <c r="AL84" i="24103"/>
  <c r="AL94" i="23920"/>
  <c r="P45" i="23920"/>
  <c r="P36" i="24103"/>
  <c r="V34" i="23920"/>
  <c r="W24" i="24103"/>
  <c r="W33" i="23920"/>
  <c r="X64" i="24103"/>
  <c r="Y64" i="24103"/>
  <c r="X61" i="24103"/>
  <c r="Y61" i="24103"/>
  <c r="Q95" i="23920"/>
  <c r="Q85" i="24103"/>
  <c r="T80" i="24103"/>
  <c r="T90" i="23920"/>
  <c r="X60" i="24103"/>
  <c r="Y60" i="24103"/>
  <c r="X58" i="24103"/>
  <c r="Y58" i="24103"/>
  <c r="Y62" i="24103"/>
  <c r="X62" i="24103"/>
  <c r="T41" i="24103"/>
  <c r="T50" i="23920"/>
  <c r="S92" i="23920"/>
  <c r="S82" i="24103"/>
  <c r="R86" i="23920"/>
  <c r="R76" i="24103"/>
  <c r="S83" i="24103"/>
  <c r="S93" i="23920"/>
  <c r="AK83" i="23920"/>
  <c r="AK73" i="24103"/>
  <c r="Q72" i="24103"/>
  <c r="Q82" i="23920"/>
  <c r="V25" i="23920"/>
  <c r="V68" i="23920"/>
  <c r="V70" i="23920"/>
  <c r="V67" i="23920"/>
  <c r="V74" i="23920"/>
  <c r="V69" i="23920"/>
  <c r="AE69" i="23920" s="1"/>
  <c r="V72" i="23920"/>
  <c r="V76" i="23920"/>
  <c r="V78" i="23920"/>
  <c r="V73" i="23920"/>
  <c r="V77" i="23920"/>
  <c r="V71" i="23920"/>
  <c r="V75" i="23920"/>
  <c r="V21" i="23920"/>
  <c r="V28" i="23920"/>
  <c r="V31" i="23920" s="1"/>
  <c r="W28" i="23920"/>
  <c r="W73" i="23920" l="1"/>
  <c r="AE73" i="23920"/>
  <c r="W67" i="23920"/>
  <c r="AE67" i="23920"/>
  <c r="W68" i="23920"/>
  <c r="AE68" i="23920"/>
  <c r="W71" i="23920"/>
  <c r="AE71" i="23920"/>
  <c r="W76" i="23920"/>
  <c r="AE76" i="23920"/>
  <c r="W75" i="23920"/>
  <c r="AE75" i="23920"/>
  <c r="W77" i="23920"/>
  <c r="AE77" i="23920"/>
  <c r="W78" i="23920"/>
  <c r="AE78" i="23920"/>
  <c r="W72" i="23920"/>
  <c r="AE72" i="23920"/>
  <c r="W74" i="23920"/>
  <c r="AE74" i="23920"/>
  <c r="W70" i="23920"/>
  <c r="AE70" i="23920"/>
  <c r="V29" i="23920"/>
  <c r="U50" i="23920"/>
  <c r="U41" i="24103"/>
  <c r="U80" i="24103"/>
  <c r="U90" i="23920"/>
  <c r="AM57" i="24103"/>
  <c r="AN57" i="24103"/>
  <c r="AN20" i="23920"/>
  <c r="AM20" i="23920"/>
  <c r="AM63" i="24103"/>
  <c r="AN63" i="24103"/>
  <c r="S85" i="24103"/>
  <c r="S95" i="23920"/>
  <c r="T83" i="23920"/>
  <c r="T73" i="24103"/>
  <c r="T85" i="23920"/>
  <c r="T75" i="24103"/>
  <c r="S76" i="24103"/>
  <c r="S86" i="23920"/>
  <c r="X68" i="24103"/>
  <c r="X69" i="24103" s="1"/>
  <c r="Y68" i="24103"/>
  <c r="Q37" i="24103"/>
  <c r="Q46" i="23920"/>
  <c r="AL74" i="24103"/>
  <c r="AL84" i="23920"/>
  <c r="S73" i="24103"/>
  <c r="S83" i="23920"/>
  <c r="S75" i="24103"/>
  <c r="S85" i="23920"/>
  <c r="S87" i="23920"/>
  <c r="S77" i="24103"/>
  <c r="U84" i="24103"/>
  <c r="U94" i="23920"/>
  <c r="AL85" i="24103"/>
  <c r="AL95" i="23920"/>
  <c r="AM61" i="24103"/>
  <c r="AN61" i="24103"/>
  <c r="AM67" i="24103"/>
  <c r="AN67" i="24103"/>
  <c r="AM64" i="24103"/>
  <c r="AN64" i="24103"/>
  <c r="T72" i="24103"/>
  <c r="T82" i="23920"/>
  <c r="T87" i="23920"/>
  <c r="T77" i="24103"/>
  <c r="V79" i="23920"/>
  <c r="W69" i="23920"/>
  <c r="R35" i="24103"/>
  <c r="R44" i="23920"/>
  <c r="Q45" i="23920"/>
  <c r="Q36" i="24103"/>
  <c r="AK45" i="23920"/>
  <c r="AK36" i="24103"/>
  <c r="S74" i="24103"/>
  <c r="S84" i="23920"/>
  <c r="U93" i="23920"/>
  <c r="U83" i="24103"/>
  <c r="U92" i="23920"/>
  <c r="U82" i="24103"/>
  <c r="AM60" i="24103"/>
  <c r="AN60" i="24103"/>
  <c r="AM62" i="24103"/>
  <c r="AN62" i="24103"/>
  <c r="AM58" i="24103"/>
  <c r="AN58" i="24103"/>
  <c r="X28" i="23920"/>
  <c r="X31" i="23920" s="1"/>
  <c r="Y28" i="23920"/>
  <c r="U81" i="24103"/>
  <c r="U91" i="23920"/>
  <c r="T84" i="23920"/>
  <c r="T74" i="24103"/>
  <c r="T37" i="24103"/>
  <c r="T46" i="23920"/>
  <c r="AL83" i="23920"/>
  <c r="AL73" i="24103"/>
  <c r="R36" i="24103"/>
  <c r="R45" i="23920"/>
  <c r="T95" i="23920"/>
  <c r="T85" i="24103"/>
  <c r="AM65" i="24103"/>
  <c r="AN65" i="24103"/>
  <c r="R37" i="24103"/>
  <c r="R46" i="23920"/>
  <c r="AK44" i="23920"/>
  <c r="AK35" i="24103"/>
  <c r="AL87" i="23920"/>
  <c r="AL77" i="24103"/>
  <c r="Q35" i="24103"/>
  <c r="Q44" i="23920"/>
  <c r="AL82" i="23920"/>
  <c r="AL72" i="24103"/>
  <c r="AL75" i="24103"/>
  <c r="AL85" i="23920"/>
  <c r="X25" i="23920"/>
  <c r="X67" i="23920"/>
  <c r="X77" i="23920"/>
  <c r="X73" i="23920"/>
  <c r="X78" i="23920"/>
  <c r="X72" i="23920"/>
  <c r="X70" i="23920"/>
  <c r="X69" i="23920"/>
  <c r="AG69" i="23920" s="1"/>
  <c r="X68" i="23920"/>
  <c r="X71" i="23920"/>
  <c r="X74" i="23920"/>
  <c r="X76" i="23920"/>
  <c r="X21" i="23920"/>
  <c r="X75" i="23920"/>
  <c r="AM66" i="24103"/>
  <c r="AN66" i="24103"/>
  <c r="AM24" i="24103"/>
  <c r="AM25" i="24103" s="1"/>
  <c r="AM33" i="23920"/>
  <c r="AN24" i="23920"/>
  <c r="AN20" i="24103"/>
  <c r="AL86" i="23920"/>
  <c r="AL76" i="24103"/>
  <c r="S82" i="23920"/>
  <c r="S72" i="24103"/>
  <c r="Y24" i="24103"/>
  <c r="Y33" i="23920"/>
  <c r="AK37" i="24103"/>
  <c r="AK46" i="23920"/>
  <c r="T76" i="24103"/>
  <c r="T86" i="23920"/>
  <c r="Y68" i="23920" l="1"/>
  <c r="AG68" i="23920"/>
  <c r="Y77" i="23920"/>
  <c r="AG77" i="23920"/>
  <c r="Y74" i="23920"/>
  <c r="AG74" i="23920"/>
  <c r="Y70" i="23920"/>
  <c r="AG70" i="23920"/>
  <c r="Y78" i="23920"/>
  <c r="AG78" i="23920"/>
  <c r="Y75" i="23920"/>
  <c r="AG75" i="23920"/>
  <c r="Y76" i="23920"/>
  <c r="AG76" i="23920"/>
  <c r="Y71" i="23920"/>
  <c r="AG71" i="23920"/>
  <c r="Y72" i="23920"/>
  <c r="AG72" i="23920"/>
  <c r="Y73" i="23920"/>
  <c r="AG73" i="23920"/>
  <c r="Y67" i="23920"/>
  <c r="AG67" i="23920"/>
  <c r="X29" i="23920"/>
  <c r="AL46" i="23920"/>
  <c r="AL37" i="24103"/>
  <c r="AL45" i="23920"/>
  <c r="AL36" i="24103"/>
  <c r="U87" i="23920"/>
  <c r="U77" i="24103"/>
  <c r="S46" i="23920"/>
  <c r="S37" i="24103"/>
  <c r="U82" i="23920"/>
  <c r="U72" i="24103"/>
  <c r="Y69" i="23920"/>
  <c r="X79" i="23920"/>
  <c r="AL35" i="24103"/>
  <c r="AL44" i="23920"/>
  <c r="U85" i="24103"/>
  <c r="U95" i="23920"/>
  <c r="U84" i="23920"/>
  <c r="U74" i="24103"/>
  <c r="T44" i="23920"/>
  <c r="T35" i="24103"/>
  <c r="S35" i="24103"/>
  <c r="S44" i="23920"/>
  <c r="U73" i="24103"/>
  <c r="U83" i="23920"/>
  <c r="U76" i="24103"/>
  <c r="U86" i="23920"/>
  <c r="AN24" i="24103"/>
  <c r="AN33" i="23920"/>
  <c r="AM28" i="23920"/>
  <c r="AM31" i="23920" s="1"/>
  <c r="AN28" i="23920"/>
  <c r="S36" i="24103"/>
  <c r="S45" i="23920"/>
  <c r="U37" i="24103"/>
  <c r="U46" i="23920"/>
  <c r="T36" i="24103"/>
  <c r="T45" i="23920"/>
  <c r="AM68" i="24103"/>
  <c r="AM69" i="24103" s="1"/>
  <c r="AN68" i="24103"/>
  <c r="U75" i="24103"/>
  <c r="U85" i="23920"/>
  <c r="AM34" i="23920"/>
  <c r="AM78" i="23920"/>
  <c r="AM74" i="23920"/>
  <c r="AM25" i="23920"/>
  <c r="AM69" i="23920"/>
  <c r="AP69" i="23920" s="1"/>
  <c r="AM70" i="23920"/>
  <c r="AM72" i="23920"/>
  <c r="AM73" i="23920"/>
  <c r="AM77" i="23920"/>
  <c r="AM71" i="23920"/>
  <c r="AM68" i="23920"/>
  <c r="AM67" i="23920"/>
  <c r="AM76" i="23920"/>
  <c r="AM75" i="23920"/>
  <c r="AM21" i="23920"/>
  <c r="AN76" i="23920" l="1"/>
  <c r="AP76" i="23920"/>
  <c r="AN68" i="23920"/>
  <c r="AP68" i="23920"/>
  <c r="AN77" i="23920"/>
  <c r="AP77" i="23920"/>
  <c r="AN72" i="23920"/>
  <c r="AP72" i="23920"/>
  <c r="AN74" i="23920"/>
  <c r="AP74" i="23920"/>
  <c r="AN75" i="23920"/>
  <c r="AP75" i="23920"/>
  <c r="AN67" i="23920"/>
  <c r="AP67" i="23920"/>
  <c r="AN71" i="23920"/>
  <c r="AP71" i="23920"/>
  <c r="AN73" i="23920"/>
  <c r="AP73" i="23920"/>
  <c r="AN70" i="23920"/>
  <c r="AP70" i="23920"/>
  <c r="AN78" i="23920"/>
  <c r="AP78" i="23920"/>
  <c r="AM29" i="23920"/>
  <c r="AQ16" i="23920"/>
  <c r="AN69" i="23920"/>
  <c r="AM79" i="23920"/>
  <c r="U45" i="23920"/>
  <c r="U36" i="24103"/>
  <c r="U44" i="23920"/>
  <c r="U35" i="24103"/>
  <c r="AQ16" i="24103"/>
  <c r="AR16" i="24103"/>
  <c r="AS16" i="24103" l="1"/>
  <c r="AT16" i="24103"/>
  <c r="AR16" i="23920"/>
  <c r="AS16" i="23920"/>
  <c r="AQ20" i="24103"/>
  <c r="AQ24" i="23920"/>
  <c r="AQ59" i="24103"/>
  <c r="AQ61" i="24103" l="1"/>
  <c r="AR61" i="24103"/>
  <c r="AT16" i="23920"/>
  <c r="AU16" i="23920"/>
  <c r="AX16" i="23920" s="1"/>
  <c r="AY16" i="23920"/>
  <c r="AQ57" i="24103"/>
  <c r="AR57" i="24103"/>
  <c r="AQ67" i="24103"/>
  <c r="AR67" i="24103"/>
  <c r="AQ24" i="24103"/>
  <c r="AQ25" i="24103" s="1"/>
  <c r="AQ33" i="23920"/>
  <c r="AS20" i="24103"/>
  <c r="AS21" i="24103" s="1"/>
  <c r="AS24" i="23920"/>
  <c r="AS59" i="24103"/>
  <c r="AR20" i="23920"/>
  <c r="AQ20" i="23920"/>
  <c r="AR58" i="24103"/>
  <c r="AQ58" i="24103"/>
  <c r="AR65" i="24103"/>
  <c r="AQ65" i="24103"/>
  <c r="AR66" i="24103"/>
  <c r="AQ66" i="24103"/>
  <c r="AR20" i="24103"/>
  <c r="AR24" i="23920"/>
  <c r="AR62" i="24103"/>
  <c r="AQ62" i="24103"/>
  <c r="AU16" i="24103"/>
  <c r="AY16" i="24103"/>
  <c r="AV16" i="24103"/>
  <c r="AR64" i="24103"/>
  <c r="AQ64" i="24103"/>
  <c r="AQ60" i="24103"/>
  <c r="AR60" i="24103"/>
  <c r="AQ63" i="24103"/>
  <c r="AR63" i="24103"/>
  <c r="AQ21" i="24103"/>
  <c r="AV65" i="24103" l="1"/>
  <c r="AU65" i="24103"/>
  <c r="AY65" i="24103"/>
  <c r="AS24" i="24103"/>
  <c r="AS25" i="24103" s="1"/>
  <c r="AS33" i="23920"/>
  <c r="AS34" i="23920" s="1"/>
  <c r="AS60" i="24103"/>
  <c r="AT60" i="24103"/>
  <c r="AS66" i="24103"/>
  <c r="AT66" i="24103"/>
  <c r="AQ71" i="23920"/>
  <c r="AR71" i="23920" s="1"/>
  <c r="AQ74" i="23920"/>
  <c r="AR74" i="23920" s="1"/>
  <c r="AQ76" i="23920"/>
  <c r="AR76" i="23920" s="1"/>
  <c r="AQ78" i="23920"/>
  <c r="AR78" i="23920" s="1"/>
  <c r="AQ73" i="23920"/>
  <c r="AR73" i="23920" s="1"/>
  <c r="AQ67" i="23920"/>
  <c r="AR67" i="23920" s="1"/>
  <c r="AQ69" i="23920"/>
  <c r="AQ25" i="23920"/>
  <c r="AQ68" i="23920"/>
  <c r="AR68" i="23920" s="1"/>
  <c r="AQ72" i="23920"/>
  <c r="AR72" i="23920" s="1"/>
  <c r="AQ77" i="23920"/>
  <c r="AR77" i="23920" s="1"/>
  <c r="AQ70" i="23920"/>
  <c r="AR70" i="23920" s="1"/>
  <c r="AQ75" i="23920"/>
  <c r="AR75" i="23920" s="1"/>
  <c r="AQ21" i="23920"/>
  <c r="AT63" i="24103"/>
  <c r="AS63" i="24103"/>
  <c r="AR24" i="24103"/>
  <c r="AR33" i="23920"/>
  <c r="AQ68" i="24103"/>
  <c r="AQ69" i="24103" s="1"/>
  <c r="AR68" i="24103"/>
  <c r="AT57" i="24103"/>
  <c r="AS57" i="24103"/>
  <c r="AS62" i="24103"/>
  <c r="AT62" i="24103"/>
  <c r="AS58" i="24103"/>
  <c r="AT58" i="24103"/>
  <c r="AT61" i="24103"/>
  <c r="AS61" i="24103"/>
  <c r="AV16" i="23920"/>
  <c r="AT65" i="24103"/>
  <c r="AS65" i="24103"/>
  <c r="AU20" i="24103"/>
  <c r="AU59" i="24103"/>
  <c r="AU24" i="23920"/>
  <c r="AQ34" i="23920"/>
  <c r="AQ28" i="23920"/>
  <c r="AQ31" i="23920" s="1"/>
  <c r="AR28" i="23920"/>
  <c r="AT20" i="23920"/>
  <c r="AS20" i="23920"/>
  <c r="AS67" i="24103"/>
  <c r="AT67" i="24103"/>
  <c r="AT24" i="23920"/>
  <c r="AT20" i="24103"/>
  <c r="AS64" i="24103"/>
  <c r="AT64" i="24103"/>
  <c r="AS28" i="23920" l="1"/>
  <c r="AS29" i="23920" s="1"/>
  <c r="AT28" i="23920"/>
  <c r="AU58" i="24103"/>
  <c r="AV58" i="24103"/>
  <c r="AY58" i="24103"/>
  <c r="AV20" i="24103"/>
  <c r="AV24" i="23920"/>
  <c r="AU62" i="24103"/>
  <c r="AV62" i="24103"/>
  <c r="AY62" i="24103"/>
  <c r="AQ79" i="23920"/>
  <c r="AR69" i="23920"/>
  <c r="AY20" i="24103"/>
  <c r="AY24" i="23920"/>
  <c r="AU24" i="24103"/>
  <c r="AU25" i="24103" s="1"/>
  <c r="AU33" i="23920"/>
  <c r="AU34" i="23920" s="1"/>
  <c r="AU66" i="24103"/>
  <c r="AV66" i="24103"/>
  <c r="AY66" i="24103"/>
  <c r="AU57" i="24103"/>
  <c r="AY57" i="24103"/>
  <c r="AV57" i="24103"/>
  <c r="AU67" i="24103"/>
  <c r="AV67" i="24103"/>
  <c r="AY64" i="24103"/>
  <c r="AU64" i="24103"/>
  <c r="AV64" i="24103"/>
  <c r="AU21" i="24103"/>
  <c r="AQ29" i="23920"/>
  <c r="AS69" i="23920"/>
  <c r="AS70" i="23920"/>
  <c r="AT70" i="23920" s="1"/>
  <c r="AS67" i="23920"/>
  <c r="AT67" i="23920" s="1"/>
  <c r="AS25" i="23920"/>
  <c r="AS76" i="23920"/>
  <c r="AT76" i="23920" s="1"/>
  <c r="AS68" i="23920"/>
  <c r="AT68" i="23920" s="1"/>
  <c r="AS73" i="23920"/>
  <c r="AT73" i="23920" s="1"/>
  <c r="AS78" i="23920"/>
  <c r="AT78" i="23920" s="1"/>
  <c r="AS71" i="23920"/>
  <c r="AT71" i="23920" s="1"/>
  <c r="AS72" i="23920"/>
  <c r="AT72" i="23920" s="1"/>
  <c r="AS74" i="23920"/>
  <c r="AT74" i="23920" s="1"/>
  <c r="AS77" i="23920"/>
  <c r="AT77" i="23920" s="1"/>
  <c r="AS75" i="23920"/>
  <c r="AT75" i="23920" s="1"/>
  <c r="AS21" i="23920"/>
  <c r="AV20" i="23920"/>
  <c r="AU20" i="23920"/>
  <c r="AY20" i="23920"/>
  <c r="AU60" i="24103"/>
  <c r="AV60" i="24103"/>
  <c r="AY60" i="24103"/>
  <c r="AY63" i="24103"/>
  <c r="AU63" i="24103"/>
  <c r="AV63" i="24103"/>
  <c r="AV61" i="24103"/>
  <c r="AU61" i="24103"/>
  <c r="AY61" i="24103"/>
  <c r="AS68" i="24103"/>
  <c r="AS69" i="24103" s="1"/>
  <c r="AT68" i="24103"/>
  <c r="AT33" i="23920"/>
  <c r="AT24" i="24103"/>
  <c r="AS31" i="23920" l="1"/>
  <c r="AU28" i="23920"/>
  <c r="AU31" i="23920" s="1"/>
  <c r="AV28" i="23920"/>
  <c r="AY28" i="23920"/>
  <c r="AV68" i="24103"/>
  <c r="AU68" i="24103"/>
  <c r="AU69" i="24103" s="1"/>
  <c r="AU76" i="23920"/>
  <c r="AX76" i="23920" s="1"/>
  <c r="AU77" i="23920"/>
  <c r="AX77" i="23920" s="1"/>
  <c r="AU68" i="23920"/>
  <c r="AX68" i="23920" s="1"/>
  <c r="AU70" i="23920"/>
  <c r="AX70" i="23920" s="1"/>
  <c r="AU71" i="23920"/>
  <c r="AX71" i="23920" s="1"/>
  <c r="AU69" i="23920"/>
  <c r="AX69" i="23920" s="1"/>
  <c r="AU73" i="23920"/>
  <c r="AX73" i="23920" s="1"/>
  <c r="AU25" i="23920"/>
  <c r="AU72" i="23920"/>
  <c r="AX72" i="23920" s="1"/>
  <c r="AU78" i="23920"/>
  <c r="AX78" i="23920" s="1"/>
  <c r="AU74" i="23920"/>
  <c r="AX74" i="23920" s="1"/>
  <c r="AU67" i="23920"/>
  <c r="AX67" i="23920" s="1"/>
  <c r="AU75" i="23920"/>
  <c r="AX75" i="23920" s="1"/>
  <c r="AU21" i="23920"/>
  <c r="AV33" i="23920"/>
  <c r="AV24" i="24103"/>
  <c r="AT69" i="23920"/>
  <c r="AS79" i="23920"/>
  <c r="AY24" i="24103"/>
  <c r="AY33" i="23920"/>
  <c r="AU29" i="23920" l="1"/>
  <c r="AV78" i="23920"/>
  <c r="AY78" i="23920"/>
  <c r="AY69" i="23920"/>
  <c r="AU79" i="23920"/>
  <c r="AV69" i="23920"/>
  <c r="AY68" i="23920"/>
  <c r="AV68" i="23920"/>
  <c r="AV75" i="23920"/>
  <c r="AY75" i="23920"/>
  <c r="AY72" i="23920"/>
  <c r="AV72" i="23920"/>
  <c r="AY71" i="23920"/>
  <c r="AV71" i="23920"/>
  <c r="AY77" i="23920"/>
  <c r="AV77" i="23920"/>
  <c r="AY67" i="23920"/>
  <c r="AV67" i="23920"/>
  <c r="AV76" i="23920"/>
  <c r="AY76" i="23920"/>
  <c r="AV74" i="23920"/>
  <c r="AY74" i="23920"/>
  <c r="AY73" i="23920"/>
  <c r="AV73" i="23920"/>
  <c r="AY70" i="23920"/>
  <c r="AV70" i="23920"/>
  <c r="V27" i="24103" l="1"/>
  <c r="V36" i="23920"/>
  <c r="V28" i="24103" l="1"/>
  <c r="V29" i="24103" s="1"/>
  <c r="V37" i="23920"/>
  <c r="V38" i="23920" s="1"/>
  <c r="W36" i="23920"/>
  <c r="W27" i="24103"/>
  <c r="W28" i="24103" l="1"/>
  <c r="W37" i="23920"/>
  <c r="V40" i="23920"/>
  <c r="V41" i="23920" s="1"/>
  <c r="V31" i="24103"/>
  <c r="V32" i="24103" s="1"/>
  <c r="V84" i="24103" l="1"/>
  <c r="V94" i="23920"/>
  <c r="V83" i="24103"/>
  <c r="V93" i="23920"/>
  <c r="W40" i="23920"/>
  <c r="W31" i="24103"/>
  <c r="V50" i="23920"/>
  <c r="V41" i="24103"/>
  <c r="V91" i="23920"/>
  <c r="V81" i="24103"/>
  <c r="V92" i="23920"/>
  <c r="V82" i="24103"/>
  <c r="V80" i="24103"/>
  <c r="V90" i="23920"/>
  <c r="V84" i="23920" l="1"/>
  <c r="V74" i="24103"/>
  <c r="W91" i="23920"/>
  <c r="W81" i="24103"/>
  <c r="X36" i="23920"/>
  <c r="X27" i="24103"/>
  <c r="W93" i="23920"/>
  <c r="W83" i="24103"/>
  <c r="V85" i="23920"/>
  <c r="V75" i="24103"/>
  <c r="W92" i="23920"/>
  <c r="W82" i="24103"/>
  <c r="V82" i="23920"/>
  <c r="V72" i="24103"/>
  <c r="V87" i="23920"/>
  <c r="V77" i="24103"/>
  <c r="V85" i="24103"/>
  <c r="V95" i="23920"/>
  <c r="W80" i="24103"/>
  <c r="W90" i="23920"/>
  <c r="V86" i="23920"/>
  <c r="V76" i="24103"/>
  <c r="V83" i="23920"/>
  <c r="V73" i="24103"/>
  <c r="W41" i="24103"/>
  <c r="W50" i="23920"/>
  <c r="W94" i="23920"/>
  <c r="W84" i="24103"/>
  <c r="W73" i="24103" l="1"/>
  <c r="W83" i="23920"/>
  <c r="W95" i="23920"/>
  <c r="W85" i="24103"/>
  <c r="W75" i="24103"/>
  <c r="W85" i="23920"/>
  <c r="V45" i="23920"/>
  <c r="V36" i="24103"/>
  <c r="W72" i="24103"/>
  <c r="W82" i="23920"/>
  <c r="Y36" i="23920"/>
  <c r="Y27" i="24103"/>
  <c r="W86" i="23920"/>
  <c r="W76" i="24103"/>
  <c r="W87" i="23920"/>
  <c r="W77" i="24103"/>
  <c r="AM36" i="23920"/>
  <c r="AM27" i="24103"/>
  <c r="V37" i="24103"/>
  <c r="V46" i="23920"/>
  <c r="V44" i="23920"/>
  <c r="V35" i="24103"/>
  <c r="X28" i="24103"/>
  <c r="X29" i="24103" s="1"/>
  <c r="X37" i="23920"/>
  <c r="X38" i="23920" s="1"/>
  <c r="W84" i="23920"/>
  <c r="W74" i="24103"/>
  <c r="W46" i="23920" l="1"/>
  <c r="W37" i="24103"/>
  <c r="AN36" i="23920"/>
  <c r="AN27" i="24103"/>
  <c r="W36" i="24103"/>
  <c r="W45" i="23920"/>
  <c r="Y37" i="23920"/>
  <c r="Y28" i="24103"/>
  <c r="W44" i="23920"/>
  <c r="W35" i="24103"/>
  <c r="AM28" i="24103"/>
  <c r="AM29" i="24103" s="1"/>
  <c r="AM37" i="23920"/>
  <c r="AM38" i="23920" s="1"/>
  <c r="X40" i="23920"/>
  <c r="X41" i="23920" s="1"/>
  <c r="X31" i="24103"/>
  <c r="X32" i="24103" s="1"/>
  <c r="X41" i="24103" l="1"/>
  <c r="X50" i="23920"/>
  <c r="X83" i="24103"/>
  <c r="X93" i="23920"/>
  <c r="X94" i="23920"/>
  <c r="X84" i="24103"/>
  <c r="Y31" i="24103"/>
  <c r="Y40" i="23920"/>
  <c r="X92" i="23920"/>
  <c r="X82" i="24103"/>
  <c r="X91" i="23920"/>
  <c r="X81" i="24103"/>
  <c r="X80" i="24103"/>
  <c r="X90" i="23920"/>
  <c r="AN28" i="24103"/>
  <c r="AN37" i="23920"/>
  <c r="AM31" i="24103"/>
  <c r="AM32" i="24103" s="1"/>
  <c r="AM40" i="23920"/>
  <c r="AM41" i="23920" s="1"/>
  <c r="AM41" i="24103" l="1"/>
  <c r="AM50" i="23920"/>
  <c r="X82" i="23920"/>
  <c r="X72" i="24103"/>
  <c r="X76" i="24103"/>
  <c r="X86" i="23920"/>
  <c r="Y82" i="24103"/>
  <c r="Y92" i="23920"/>
  <c r="AM80" i="24103"/>
  <c r="AM90" i="23920"/>
  <c r="AM83" i="24103"/>
  <c r="AM93" i="23920"/>
  <c r="AN31" i="24103"/>
  <c r="AN40" i="23920"/>
  <c r="X75" i="24103"/>
  <c r="X85" i="23920"/>
  <c r="X85" i="24103"/>
  <c r="X95" i="23920"/>
  <c r="Y91" i="23920"/>
  <c r="Y81" i="24103"/>
  <c r="AM94" i="23920"/>
  <c r="AM84" i="24103"/>
  <c r="AM92" i="23920"/>
  <c r="AM82" i="24103"/>
  <c r="X73" i="24103"/>
  <c r="X83" i="23920"/>
  <c r="X84" i="23920"/>
  <c r="X74" i="24103"/>
  <c r="Y90" i="23920"/>
  <c r="Y80" i="24103"/>
  <c r="AM91" i="23920"/>
  <c r="AM81" i="24103"/>
  <c r="Y83" i="24103"/>
  <c r="Y93" i="23920"/>
  <c r="X77" i="24103"/>
  <c r="X87" i="23920"/>
  <c r="Y94" i="23920"/>
  <c r="Y84" i="24103"/>
  <c r="Y50" i="23920"/>
  <c r="Y41" i="24103"/>
  <c r="X46" i="23920" l="1"/>
  <c r="X37" i="24103"/>
  <c r="X44" i="23920"/>
  <c r="X35" i="24103"/>
  <c r="AM87" i="23920"/>
  <c r="AM77" i="24103"/>
  <c r="AM72" i="24103"/>
  <c r="AM82" i="23920"/>
  <c r="AN82" i="24103"/>
  <c r="AN92" i="23920"/>
  <c r="AM85" i="24103"/>
  <c r="AM95" i="23920"/>
  <c r="Y75" i="24103"/>
  <c r="Y85" i="23920"/>
  <c r="AN90" i="23920"/>
  <c r="AN80" i="24103"/>
  <c r="Y82" i="23920"/>
  <c r="Y72" i="24103"/>
  <c r="AN81" i="24103"/>
  <c r="AN91" i="23920"/>
  <c r="AM73" i="24103"/>
  <c r="AM83" i="23920"/>
  <c r="AM76" i="24103"/>
  <c r="AM86" i="23920"/>
  <c r="Y73" i="24103"/>
  <c r="Y83" i="23920"/>
  <c r="Y95" i="23920"/>
  <c r="Y85" i="24103"/>
  <c r="AN93" i="23920"/>
  <c r="AN83" i="24103"/>
  <c r="Y76" i="24103"/>
  <c r="Y86" i="23920"/>
  <c r="AM84" i="23920"/>
  <c r="AM74" i="24103"/>
  <c r="Y84" i="23920"/>
  <c r="Y74" i="24103"/>
  <c r="X36" i="24103"/>
  <c r="X45" i="23920"/>
  <c r="Y87" i="23920"/>
  <c r="Y77" i="24103"/>
  <c r="AM75" i="24103"/>
  <c r="AM85" i="23920"/>
  <c r="AN84" i="24103"/>
  <c r="AN94" i="23920"/>
  <c r="AN41" i="24103"/>
  <c r="AN50" i="23920"/>
  <c r="AQ36" i="23920"/>
  <c r="AQ27" i="24103"/>
  <c r="AM45" i="23920" l="1"/>
  <c r="AM36" i="24103"/>
  <c r="AN82" i="23920"/>
  <c r="AN72" i="24103"/>
  <c r="Y44" i="23920"/>
  <c r="Y35" i="24103"/>
  <c r="AN85" i="23920"/>
  <c r="AN75" i="24103"/>
  <c r="AM37" i="24103"/>
  <c r="AM46" i="23920"/>
  <c r="AN77" i="24103"/>
  <c r="AN87" i="23920"/>
  <c r="Y36" i="24103"/>
  <c r="Y45" i="23920"/>
  <c r="AM35" i="24103"/>
  <c r="AM44" i="23920"/>
  <c r="AN73" i="24103"/>
  <c r="AN83" i="23920"/>
  <c r="AN74" i="24103"/>
  <c r="AN84" i="23920"/>
  <c r="AN76" i="24103"/>
  <c r="AN86" i="23920"/>
  <c r="AN95" i="23920"/>
  <c r="AN85" i="24103"/>
  <c r="Y37" i="24103"/>
  <c r="Y46" i="23920"/>
  <c r="AR36" i="23920"/>
  <c r="AR27" i="24103"/>
  <c r="AQ37" i="23920"/>
  <c r="AQ38" i="23920" s="1"/>
  <c r="AQ28" i="24103"/>
  <c r="AQ29" i="24103" s="1"/>
  <c r="AN46" i="23920" l="1"/>
  <c r="AN37" i="24103"/>
  <c r="AN44" i="23920"/>
  <c r="AN35" i="24103"/>
  <c r="AN36" i="24103"/>
  <c r="AN45" i="23920"/>
  <c r="AQ40" i="23920"/>
  <c r="AQ41" i="23920" s="1"/>
  <c r="AQ31" i="24103"/>
  <c r="AQ32" i="24103" s="1"/>
  <c r="AR28" i="24103"/>
  <c r="AR37" i="23920"/>
  <c r="AQ90" i="23920" l="1"/>
  <c r="AQ80" i="24103"/>
  <c r="AQ93" i="23920"/>
  <c r="AQ83" i="24103"/>
  <c r="AR40" i="23920"/>
  <c r="AR31" i="24103"/>
  <c r="AQ82" i="24103"/>
  <c r="AQ92" i="23920"/>
  <c r="AQ94" i="23920"/>
  <c r="AQ84" i="24103"/>
  <c r="AQ81" i="24103"/>
  <c r="AQ91" i="23920"/>
  <c r="AQ50" i="23920"/>
  <c r="AQ41" i="24103"/>
  <c r="AR41" i="24103" l="1"/>
  <c r="AR50" i="23920"/>
  <c r="AQ84" i="23920"/>
  <c r="AQ74" i="24103"/>
  <c r="AQ82" i="23920"/>
  <c r="AQ72" i="24103"/>
  <c r="AR90" i="23920"/>
  <c r="AR80" i="24103"/>
  <c r="AQ35" i="24103"/>
  <c r="AQ44" i="23920"/>
  <c r="AQ77" i="24103"/>
  <c r="AQ87" i="23920"/>
  <c r="AR83" i="24103"/>
  <c r="AR93" i="23920"/>
  <c r="AQ85" i="24103"/>
  <c r="AQ95" i="23920"/>
  <c r="AR82" i="24103"/>
  <c r="AR92" i="23920"/>
  <c r="AQ83" i="23920"/>
  <c r="AQ73" i="24103"/>
  <c r="AR91" i="23920"/>
  <c r="AR81" i="24103"/>
  <c r="AR84" i="24103"/>
  <c r="AR94" i="23920"/>
  <c r="AQ75" i="24103"/>
  <c r="AQ85" i="23920"/>
  <c r="AQ76" i="24103"/>
  <c r="AQ86" i="23920"/>
  <c r="AQ45" i="23920"/>
  <c r="AQ36" i="24103"/>
  <c r="AR83" i="23920" l="1"/>
  <c r="AR73" i="24103"/>
  <c r="AS27" i="24103"/>
  <c r="AS36" i="23920"/>
  <c r="AR75" i="24103"/>
  <c r="AR85" i="23920"/>
  <c r="AR95" i="23920"/>
  <c r="AR85" i="24103"/>
  <c r="AR84" i="23920"/>
  <c r="AR74" i="24103"/>
  <c r="AR76" i="24103"/>
  <c r="AR86" i="23920"/>
  <c r="AQ37" i="24103"/>
  <c r="AQ46" i="23920"/>
  <c r="AR87" i="23920"/>
  <c r="AR77" i="24103"/>
  <c r="AR44" i="23920"/>
  <c r="AR35" i="24103"/>
  <c r="AR82" i="23920"/>
  <c r="AR72" i="24103"/>
  <c r="AR45" i="23920"/>
  <c r="AR36" i="24103"/>
  <c r="AR46" i="23920" l="1"/>
  <c r="AR37" i="24103"/>
  <c r="AS28" i="24103"/>
  <c r="AS29" i="24103" s="1"/>
  <c r="AS37" i="23920"/>
  <c r="AS38" i="23920" s="1"/>
  <c r="AT36" i="23920"/>
  <c r="AT27" i="24103"/>
  <c r="AS40" i="23920" l="1"/>
  <c r="AS41" i="23920" s="1"/>
  <c r="AS31" i="24103"/>
  <c r="AS32" i="24103" s="1"/>
  <c r="AT37" i="23920"/>
  <c r="AT28" i="24103"/>
  <c r="AS80" i="24103" l="1"/>
  <c r="AS90" i="23920"/>
  <c r="AS83" i="24103"/>
  <c r="AS93" i="23920"/>
  <c r="AS94" i="23920"/>
  <c r="AS84" i="24103"/>
  <c r="AS82" i="24103"/>
  <c r="AS92" i="23920"/>
  <c r="AS91" i="23920"/>
  <c r="AS81" i="24103"/>
  <c r="AT40" i="23920"/>
  <c r="AT31" i="24103"/>
  <c r="AU27" i="24103"/>
  <c r="AU36" i="23920"/>
  <c r="AS50" i="23920"/>
  <c r="AS41" i="24103"/>
  <c r="AS85" i="23920" l="1"/>
  <c r="AS75" i="24103"/>
  <c r="AS84" i="23920"/>
  <c r="AS74" i="24103"/>
  <c r="AT83" i="24103"/>
  <c r="AT93" i="23920"/>
  <c r="AT50" i="23920"/>
  <c r="AT41" i="24103"/>
  <c r="AV27" i="24103"/>
  <c r="AV36" i="23920"/>
  <c r="AS76" i="24103"/>
  <c r="AS86" i="23920"/>
  <c r="AT81" i="24103"/>
  <c r="AT91" i="23920"/>
  <c r="AT84" i="24103"/>
  <c r="AT94" i="23920"/>
  <c r="AU28" i="24103"/>
  <c r="AU29" i="24103" s="1"/>
  <c r="AU37" i="23920"/>
  <c r="AU38" i="23920" s="1"/>
  <c r="AY27" i="24103"/>
  <c r="AY36" i="23920"/>
  <c r="AS82" i="23920"/>
  <c r="AS72" i="24103"/>
  <c r="AS87" i="23920"/>
  <c r="AS77" i="24103"/>
  <c r="AT82" i="24103"/>
  <c r="AT92" i="23920"/>
  <c r="AS95" i="23920"/>
  <c r="AS85" i="24103"/>
  <c r="AS83" i="23920"/>
  <c r="AS73" i="24103"/>
  <c r="AT90" i="23920"/>
  <c r="AT80" i="24103"/>
  <c r="AS36" i="24103" l="1"/>
  <c r="AS45" i="23920"/>
  <c r="AY37" i="23920"/>
  <c r="AY28" i="24103"/>
  <c r="AT77" i="24103"/>
  <c r="AT87" i="23920"/>
  <c r="AU31" i="24103"/>
  <c r="AU32" i="24103" s="1"/>
  <c r="AU40" i="23920"/>
  <c r="AU41" i="23920" s="1"/>
  <c r="AS37" i="24103"/>
  <c r="AS46" i="23920"/>
  <c r="AT83" i="23920"/>
  <c r="AT73" i="24103"/>
  <c r="AS44" i="23920"/>
  <c r="AS35" i="24103"/>
  <c r="AT95" i="23920"/>
  <c r="AT85" i="24103"/>
  <c r="AT72" i="24103"/>
  <c r="AT82" i="23920"/>
  <c r="AV37" i="23920"/>
  <c r="AV28" i="24103"/>
  <c r="AT76" i="24103"/>
  <c r="AT86" i="23920"/>
  <c r="AT84" i="23920"/>
  <c r="AT74" i="24103"/>
  <c r="AT85" i="23920"/>
  <c r="AT75" i="24103"/>
  <c r="AT35" i="24103" l="1"/>
  <c r="AT44" i="23920"/>
  <c r="AU41" i="24103"/>
  <c r="AU50" i="23920"/>
  <c r="AT46" i="23920"/>
  <c r="AT37" i="24103"/>
  <c r="AY31" i="24103"/>
  <c r="AY40" i="23920"/>
  <c r="AU92" i="23920"/>
  <c r="AU82" i="24103"/>
  <c r="AU90" i="23920"/>
  <c r="AU80" i="24103"/>
  <c r="AV40" i="23920"/>
  <c r="AV31" i="24103"/>
  <c r="AU81" i="24103"/>
  <c r="AU91" i="23920"/>
  <c r="AU84" i="24103"/>
  <c r="AU94" i="23920"/>
  <c r="AU83" i="24103"/>
  <c r="AU93" i="23920"/>
  <c r="AT36" i="24103"/>
  <c r="AT45" i="23920"/>
  <c r="AV84" i="24103" l="1"/>
  <c r="AV94" i="23920"/>
  <c r="AV83" i="24103"/>
  <c r="AV93" i="23920"/>
  <c r="AY84" i="24103"/>
  <c r="AY94" i="23920"/>
  <c r="AY80" i="24103"/>
  <c r="AY90" i="23920"/>
  <c r="AU75" i="24103"/>
  <c r="AU85" i="23920"/>
  <c r="AU87" i="23920"/>
  <c r="AU77" i="24103"/>
  <c r="AV41" i="24103"/>
  <c r="AV50" i="23920"/>
  <c r="AY83" i="24103"/>
  <c r="AY93" i="23920"/>
  <c r="AV80" i="24103"/>
  <c r="AV90" i="23920"/>
  <c r="AY50" i="23920"/>
  <c r="AY41" i="24103"/>
  <c r="AU95" i="23920"/>
  <c r="AU85" i="24103"/>
  <c r="AV91" i="23920"/>
  <c r="AV81" i="24103"/>
  <c r="AY92" i="23920"/>
  <c r="AY82" i="24103"/>
  <c r="AU73" i="24103"/>
  <c r="AU83" i="23920"/>
  <c r="AU72" i="24103"/>
  <c r="AU82" i="23920"/>
  <c r="AU76" i="24103"/>
  <c r="AU86" i="23920"/>
  <c r="AY81" i="24103"/>
  <c r="AY91" i="23920"/>
  <c r="AV82" i="24103"/>
  <c r="AV92" i="23920"/>
  <c r="AU74" i="24103"/>
  <c r="AU84" i="23920"/>
  <c r="AY72" i="24103" l="1"/>
  <c r="AY82" i="23920"/>
  <c r="AV83" i="23920"/>
  <c r="AV73" i="24103"/>
  <c r="AU44" i="23920"/>
  <c r="AU35" i="24103"/>
  <c r="AV77" i="24103"/>
  <c r="AV87" i="23920"/>
  <c r="AY85" i="23920"/>
  <c r="AY75" i="24103"/>
  <c r="AV86" i="23920"/>
  <c r="AV76" i="24103"/>
  <c r="AV82" i="23920"/>
  <c r="AV72" i="24103"/>
  <c r="AY95" i="23920"/>
  <c r="AY85" i="24103"/>
  <c r="AV84" i="23920"/>
  <c r="AV74" i="24103"/>
  <c r="AU37" i="24103"/>
  <c r="AU46" i="23920"/>
  <c r="AV95" i="23920"/>
  <c r="AV85" i="24103"/>
  <c r="AY74" i="24103"/>
  <c r="AY84" i="23920"/>
  <c r="AY83" i="23920"/>
  <c r="AY73" i="24103"/>
  <c r="AU36" i="24103"/>
  <c r="AU45" i="23920"/>
  <c r="AY77" i="24103"/>
  <c r="AY87" i="23920"/>
  <c r="AV75" i="24103"/>
  <c r="AV85" i="23920"/>
  <c r="AY76" i="24103"/>
  <c r="AY86" i="23920"/>
  <c r="AY36" i="24103" l="1"/>
  <c r="AY45" i="23920"/>
  <c r="AV36" i="24103"/>
  <c r="AV45" i="23920"/>
  <c r="AV46" i="23920"/>
  <c r="AV37" i="24103"/>
  <c r="AY35" i="24103"/>
  <c r="AY44" i="23920"/>
  <c r="AY37" i="24103"/>
  <c r="AY46" i="23920"/>
  <c r="AV35" i="24103"/>
  <c r="AV44" i="23920"/>
</calcChain>
</file>

<file path=xl/comments1.xml><?xml version="1.0" encoding="utf-8"?>
<comments xmlns="http://schemas.openxmlformats.org/spreadsheetml/2006/main">
  <authors>
    <author>sanclaur</author>
    <author>Huang, Bob (Research)</author>
    <author>Zamora, Diana (Research)</author>
    <author>dianaz</author>
    <author>Zheng, Chaodan (Research)</author>
    <author>haybuse</author>
    <author>Laura Sanchez</author>
    <author>Sanchez Bolanos, Laura (Research)</author>
    <author>Gupta, Tanmay (Research)</author>
    <author>zerbeken</author>
    <author>Test</author>
    <author>Caleb Piper</author>
    <author>Ken Zerbe</author>
    <author>dallyn</author>
    <author>wongalan</author>
    <author>Alan Wong</author>
    <author>bhoanir</author>
    <author>Rojas, Isabel (Research)</author>
    <author>hayleyl</author>
    <author>mawjik</author>
    <author>mlipton</author>
    <author>Dally, Nigel (Research)</author>
    <author>bajpais</author>
    <author>Aerin Lim</author>
  </authors>
  <commentList>
    <comment ref="B26" authorId="0">
      <text>
        <r>
          <rPr>
            <b/>
            <sz val="9"/>
            <color indexed="81"/>
            <rFont val="Calibri"/>
            <family val="2"/>
          </rPr>
          <t>sanclaur:</t>
        </r>
        <r>
          <rPr>
            <sz val="9"/>
            <color indexed="81"/>
            <rFont val="Calibri"/>
            <family val="2"/>
          </rPr>
          <t xml:space="preserve">
=TF(".SPX-UT","TF.PR.PricePchg(sdate=20120101,edate=20120331)")*100</t>
        </r>
      </text>
    </comment>
    <comment ref="B62" authorId="1">
      <text>
        <r>
          <rPr>
            <b/>
            <sz val="9"/>
            <color indexed="81"/>
            <rFont val="Tahoma"/>
            <family val="2"/>
          </rPr>
          <t>Huang, Bob (Research):</t>
        </r>
        <r>
          <rPr>
            <sz val="9"/>
            <color indexed="81"/>
            <rFont val="Tahoma"/>
            <family val="2"/>
          </rPr>
          <t xml:space="preserve">
Universal life and investment-type product policy fees</t>
        </r>
      </text>
    </comment>
    <comment ref="B63" authorId="1">
      <text>
        <r>
          <rPr>
            <b/>
            <sz val="9"/>
            <color indexed="81"/>
            <rFont val="Tahoma"/>
            <family val="2"/>
          </rPr>
          <t>Huang, Bob (Research):</t>
        </r>
        <r>
          <rPr>
            <sz val="9"/>
            <color indexed="81"/>
            <rFont val="Tahoma"/>
            <family val="2"/>
          </rPr>
          <t xml:space="preserve">
net investment income</t>
        </r>
      </text>
    </comment>
    <comment ref="DK63" authorId="2">
      <text>
        <r>
          <rPr>
            <b/>
            <sz val="9"/>
            <color indexed="81"/>
            <rFont val="Calibri"/>
            <family val="2"/>
          </rPr>
          <t>Zamora, Diana (Research):</t>
        </r>
        <r>
          <rPr>
            <sz val="9"/>
            <color indexed="81"/>
            <rFont val="Calibri"/>
            <family val="2"/>
          </rPr>
          <t xml:space="preserve">
Restated with 4/24/2015 8-K</t>
        </r>
      </text>
    </comment>
    <comment ref="DM63" authorId="2">
      <text>
        <r>
          <rPr>
            <b/>
            <sz val="9"/>
            <color indexed="81"/>
            <rFont val="Calibri"/>
            <family val="2"/>
          </rPr>
          <t>Zamora, Diana (Research):</t>
        </r>
        <r>
          <rPr>
            <sz val="9"/>
            <color indexed="81"/>
            <rFont val="Calibri"/>
            <family val="2"/>
          </rPr>
          <t xml:space="preserve">
Restated with 4/24/2015 8-K</t>
        </r>
      </text>
    </comment>
    <comment ref="DO63" authorId="2">
      <text>
        <r>
          <rPr>
            <b/>
            <sz val="9"/>
            <color indexed="81"/>
            <rFont val="Calibri"/>
            <family val="2"/>
          </rPr>
          <t>Zamora, Diana (Research):</t>
        </r>
        <r>
          <rPr>
            <sz val="9"/>
            <color indexed="81"/>
            <rFont val="Calibri"/>
            <family val="2"/>
          </rPr>
          <t xml:space="preserve">
Restated with 4/24/2015 8-K</t>
        </r>
      </text>
    </comment>
    <comment ref="DQ63" authorId="2">
      <text>
        <r>
          <rPr>
            <b/>
            <sz val="9"/>
            <color indexed="81"/>
            <rFont val="Calibri"/>
            <family val="2"/>
          </rPr>
          <t>Zamora, Diana (Research):</t>
        </r>
        <r>
          <rPr>
            <sz val="9"/>
            <color indexed="81"/>
            <rFont val="Calibri"/>
            <family val="2"/>
          </rPr>
          <t xml:space="preserve">
Restated with 4/24/2015 8-K</t>
        </r>
      </text>
    </comment>
    <comment ref="GH67" authorId="3">
      <text>
        <r>
          <rPr>
            <b/>
            <sz val="9"/>
            <color indexed="81"/>
            <rFont val="Calibri"/>
            <family val="2"/>
          </rPr>
          <t>dianaz:</t>
        </r>
        <r>
          <rPr>
            <sz val="9"/>
            <color indexed="81"/>
            <rFont val="Calibri"/>
            <family val="2"/>
          </rPr>
          <t xml:space="preserve">
Inv Day (12/12/2013): to grow Mid single digits with acceleration in 2015-2016</t>
        </r>
      </text>
    </comment>
    <comment ref="GJ67" authorId="3">
      <text>
        <r>
          <rPr>
            <b/>
            <sz val="9"/>
            <color indexed="81"/>
            <rFont val="Calibri"/>
            <family val="2"/>
          </rPr>
          <t>dianaz:</t>
        </r>
        <r>
          <rPr>
            <sz val="9"/>
            <color indexed="81"/>
            <rFont val="Calibri"/>
            <family val="2"/>
          </rPr>
          <t xml:space="preserve">
Inv Day (12/12/2014): to grow 2-4%
Inv Day (12/12/2013): to grow Mid single digits with acceleration in 2015-2016</t>
        </r>
      </text>
    </comment>
    <comment ref="GL67" authorId="3">
      <text>
        <r>
          <rPr>
            <b/>
            <sz val="9"/>
            <color indexed="81"/>
            <rFont val="Calibri"/>
            <family val="2"/>
          </rPr>
          <t>dianaz:</t>
        </r>
        <r>
          <rPr>
            <sz val="9"/>
            <color indexed="81"/>
            <rFont val="Calibri"/>
            <family val="2"/>
          </rPr>
          <t xml:space="preserve">
Inv Day (12/12/2014): to accelarate
Inv Day (12/12/2013): to grow Mid single digits with acceleration in 2015-2016</t>
        </r>
      </text>
    </comment>
    <comment ref="GN67" authorId="1">
      <text>
        <r>
          <rPr>
            <b/>
            <sz val="9"/>
            <color indexed="81"/>
            <rFont val="Tahoma"/>
            <family val="2"/>
          </rPr>
          <t>Huang, Bob (Research):</t>
        </r>
        <r>
          <rPr>
            <sz val="9"/>
            <color indexed="81"/>
            <rFont val="Tahoma"/>
            <family val="2"/>
          </rPr>
          <t xml:space="preserve">
4Q16: Expect PFO growth towards higher end of 3-5% range in 2017
outlook 2017: 3-5%
</t>
        </r>
      </text>
    </comment>
    <comment ref="GP67" authorId="3">
      <text>
        <r>
          <rPr>
            <b/>
            <sz val="9"/>
            <color indexed="81"/>
            <rFont val="Calibri"/>
            <family val="2"/>
          </rPr>
          <t>dianaz:</t>
        </r>
        <r>
          <rPr>
            <sz val="9"/>
            <color indexed="81"/>
            <rFont val="Calibri"/>
            <family val="2"/>
          </rPr>
          <t xml:space="preserve">
2018 outlook (12/15/17): PFO growth 3-5%
</t>
        </r>
      </text>
    </comment>
    <comment ref="B100" authorId="1">
      <text>
        <r>
          <rPr>
            <b/>
            <sz val="9"/>
            <color indexed="81"/>
            <rFont val="Tahoma"/>
            <family val="2"/>
          </rPr>
          <t>Huang, Bob (Research):</t>
        </r>
        <r>
          <rPr>
            <sz val="9"/>
            <color indexed="81"/>
            <rFont val="Tahoma"/>
            <family val="2"/>
          </rPr>
          <t xml:space="preserve">
Policyholder benefits and claims and policyholder dividends</t>
        </r>
      </text>
    </comment>
    <comment ref="B101" authorId="1">
      <text>
        <r>
          <rPr>
            <b/>
            <sz val="9"/>
            <color indexed="81"/>
            <rFont val="Tahoma"/>
            <family val="2"/>
          </rPr>
          <t>Huang, Bob (Research):</t>
        </r>
        <r>
          <rPr>
            <sz val="9"/>
            <color indexed="81"/>
            <rFont val="Tahoma"/>
            <family val="2"/>
          </rPr>
          <t xml:space="preserve">
Other operating expenses</t>
        </r>
      </text>
    </comment>
    <comment ref="DQ101" authorId="2">
      <text>
        <r>
          <rPr>
            <b/>
            <sz val="9"/>
            <color indexed="81"/>
            <rFont val="Calibri"/>
            <family val="2"/>
          </rPr>
          <t>Zamora, Diana (Research):</t>
        </r>
        <r>
          <rPr>
            <sz val="9"/>
            <color indexed="81"/>
            <rFont val="Calibri"/>
            <family val="2"/>
          </rPr>
          <t xml:space="preserve">
Restated with 4/24/2015 8-K</t>
        </r>
      </text>
    </comment>
    <comment ref="B102" authorId="1">
      <text>
        <r>
          <rPr>
            <b/>
            <sz val="9"/>
            <color indexed="81"/>
            <rFont val="Tahoma"/>
            <family val="2"/>
          </rPr>
          <t>Huang, Bob (Research):</t>
        </r>
        <r>
          <rPr>
            <sz val="9"/>
            <color indexed="81"/>
            <rFont val="Tahoma"/>
            <family val="2"/>
          </rPr>
          <t xml:space="preserve">
Capitalization of DAC-Amortization of DAC and VOBA</t>
        </r>
      </text>
    </comment>
    <comment ref="B113" authorId="1">
      <text>
        <r>
          <rPr>
            <b/>
            <sz val="9"/>
            <color indexed="81"/>
            <rFont val="Tahoma"/>
            <family val="2"/>
          </rPr>
          <t>Huang, Bob (Research):</t>
        </r>
        <r>
          <rPr>
            <sz val="9"/>
            <color indexed="81"/>
            <rFont val="Tahoma"/>
            <family val="2"/>
          </rPr>
          <t xml:space="preserve">
Provision for income tax expense (benefit)</t>
        </r>
      </text>
    </comment>
    <comment ref="DK113" authorId="2">
      <text>
        <r>
          <rPr>
            <b/>
            <sz val="9"/>
            <color indexed="81"/>
            <rFont val="Calibri"/>
            <family val="2"/>
          </rPr>
          <t>Zamora, Diana (Research):</t>
        </r>
        <r>
          <rPr>
            <sz val="9"/>
            <color indexed="81"/>
            <rFont val="Calibri"/>
            <family val="2"/>
          </rPr>
          <t xml:space="preserve">
Restated with 4/24/2015 8-K</t>
        </r>
      </text>
    </comment>
    <comment ref="DM113" authorId="2">
      <text>
        <r>
          <rPr>
            <b/>
            <sz val="9"/>
            <color indexed="81"/>
            <rFont val="Calibri"/>
            <family val="2"/>
          </rPr>
          <t>Zamora, Diana (Research):</t>
        </r>
        <r>
          <rPr>
            <sz val="9"/>
            <color indexed="81"/>
            <rFont val="Calibri"/>
            <family val="2"/>
          </rPr>
          <t xml:space="preserve">
Restated with 4/24/2015 8-K</t>
        </r>
      </text>
    </comment>
    <comment ref="DO113" authorId="2">
      <text>
        <r>
          <rPr>
            <b/>
            <sz val="9"/>
            <color indexed="81"/>
            <rFont val="Calibri"/>
            <family val="2"/>
          </rPr>
          <t>Zamora, Diana (Research):</t>
        </r>
        <r>
          <rPr>
            <sz val="9"/>
            <color indexed="81"/>
            <rFont val="Calibri"/>
            <family val="2"/>
          </rPr>
          <t xml:space="preserve">
Restated with 4/24/2015 8-K</t>
        </r>
      </text>
    </comment>
    <comment ref="DQ113" authorId="2">
      <text>
        <r>
          <rPr>
            <b/>
            <sz val="9"/>
            <color indexed="81"/>
            <rFont val="Calibri"/>
            <family val="2"/>
          </rPr>
          <t>Zamora, Diana (Research):</t>
        </r>
        <r>
          <rPr>
            <sz val="9"/>
            <color indexed="81"/>
            <rFont val="Calibri"/>
            <family val="2"/>
          </rPr>
          <t xml:space="preserve">
Restated with 4/24/2015 8-K</t>
        </r>
      </text>
    </comment>
    <comment ref="EA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C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E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G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I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K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EM115" authorId="4">
      <text>
        <r>
          <rPr>
            <b/>
            <sz val="9"/>
            <color indexed="81"/>
            <rFont val="Calibri"/>
            <family val="2"/>
          </rPr>
          <t>Zheng, Chaodan (Research):</t>
        </r>
        <r>
          <rPr>
            <sz val="9"/>
            <color indexed="81"/>
            <rFont val="Calibri"/>
            <family val="2"/>
          </rPr>
          <t xml:space="preserve">
call with mgmt:
- very good severity across all product lines in group life
- dental and disability were seasonally weak in 1Q
- last year had favorable LTC, was close to in-line this quarter</t>
        </r>
      </text>
    </comment>
    <comment ref="CY116" authorId="5">
      <text>
        <r>
          <rPr>
            <b/>
            <sz val="9"/>
            <color indexed="81"/>
            <rFont val="Calibri"/>
            <family val="2"/>
          </rPr>
          <t>haybuse:</t>
        </r>
        <r>
          <rPr>
            <sz val="9"/>
            <color indexed="81"/>
            <rFont val="Calibri"/>
            <family val="2"/>
          </rPr>
          <t xml:space="preserve">
PY development: 6
CATs: 11</t>
        </r>
      </text>
    </comment>
    <comment ref="DA116" authorId="6">
      <text>
        <r>
          <rPr>
            <b/>
            <sz val="9"/>
            <color indexed="81"/>
            <rFont val="Calibri"/>
            <family val="2"/>
          </rPr>
          <t>Laura Sanchez:</t>
        </r>
        <r>
          <rPr>
            <sz val="9"/>
            <color indexed="81"/>
            <rFont val="Calibri"/>
            <family val="2"/>
          </rPr>
          <t xml:space="preserve">
VII: +7M
PY Development: +5M
CATs: -33M
Assumptions Review: +24M
Intangible Write-down: -50M</t>
        </r>
      </text>
    </comment>
    <comment ref="DC116" authorId="6">
      <text>
        <r>
          <rPr>
            <b/>
            <sz val="9"/>
            <color indexed="81"/>
            <rFont val="Calibri"/>
            <family val="2"/>
          </rPr>
          <t>Laura Sanchez:</t>
        </r>
        <r>
          <rPr>
            <sz val="9"/>
            <color indexed="81"/>
            <rFont val="Calibri"/>
            <family val="2"/>
          </rPr>
          <t xml:space="preserve">
VII</t>
        </r>
      </text>
    </comment>
    <comment ref="DE116" authorId="6">
      <text>
        <r>
          <rPr>
            <b/>
            <sz val="9"/>
            <color indexed="81"/>
            <rFont val="Calibri"/>
            <family val="2"/>
          </rPr>
          <t>Laura Sanchez:</t>
        </r>
        <r>
          <rPr>
            <sz val="9"/>
            <color indexed="81"/>
            <rFont val="Calibri"/>
            <family val="2"/>
          </rPr>
          <t xml:space="preserve">
+2 BII
+1 PY
+5 CATs
+4 Other</t>
        </r>
      </text>
    </comment>
    <comment ref="DG116" authorId="6">
      <text>
        <r>
          <rPr>
            <b/>
            <sz val="9"/>
            <color indexed="81"/>
            <rFont val="Calibri"/>
            <family val="2"/>
          </rPr>
          <t>Laura Sanchez:</t>
        </r>
        <r>
          <rPr>
            <sz val="9"/>
            <color indexed="81"/>
            <rFont val="Calibri"/>
            <family val="2"/>
          </rPr>
          <t xml:space="preserve">
+5 PY
+6 CATs</t>
        </r>
      </text>
    </comment>
    <comment ref="DI116" authorId="6">
      <text>
        <r>
          <rPr>
            <b/>
            <sz val="9"/>
            <color indexed="81"/>
            <rFont val="Calibri"/>
            <family val="2"/>
          </rPr>
          <t>Laura Sanchez:</t>
        </r>
        <r>
          <rPr>
            <sz val="9"/>
            <color indexed="81"/>
            <rFont val="Calibri"/>
            <family val="2"/>
          </rPr>
          <t xml:space="preserve">
+7mn VII
+9mn CATs &amp; PY</t>
        </r>
      </text>
    </comment>
    <comment ref="DK116" authorId="6">
      <text>
        <r>
          <rPr>
            <b/>
            <sz val="9"/>
            <color indexed="81"/>
            <rFont val="Calibri"/>
            <family val="2"/>
          </rPr>
          <t>Laura Sanchez:</t>
        </r>
        <r>
          <rPr>
            <sz val="9"/>
            <color indexed="81"/>
            <rFont val="Calibri"/>
            <family val="2"/>
          </rPr>
          <t xml:space="preserve">
VII</t>
        </r>
      </text>
    </comment>
    <comment ref="DM116" authorId="7">
      <text>
        <r>
          <rPr>
            <b/>
            <sz val="9"/>
            <color indexed="81"/>
            <rFont val="Calibri"/>
            <family val="2"/>
          </rPr>
          <t>Sanchez Bolanos, Laura (Research):</t>
        </r>
        <r>
          <rPr>
            <sz val="9"/>
            <color indexed="81"/>
            <rFont val="Calibri"/>
            <family val="2"/>
          </rPr>
          <t xml:space="preserve">
-1 VII
-1 PY CAT</t>
        </r>
      </text>
    </comment>
    <comment ref="DO116" authorId="7">
      <text>
        <r>
          <rPr>
            <b/>
            <sz val="9"/>
            <color indexed="81"/>
            <rFont val="Calibri"/>
            <family val="2"/>
          </rPr>
          <t>Sanchez Bolanos, Laura (Research):</t>
        </r>
        <r>
          <rPr>
            <sz val="9"/>
            <color indexed="81"/>
            <rFont val="Calibri"/>
            <family val="2"/>
          </rPr>
          <t xml:space="preserve">
+8 VII
+15 PY CATs</t>
        </r>
      </text>
    </comment>
    <comment ref="DQ116" authorId="2">
      <text>
        <r>
          <rPr>
            <b/>
            <sz val="9"/>
            <color indexed="81"/>
            <rFont val="Calibri"/>
            <family val="2"/>
          </rPr>
          <t>Zamora, Diana (Research):</t>
        </r>
        <r>
          <rPr>
            <sz val="9"/>
            <color indexed="81"/>
            <rFont val="Calibri"/>
            <family val="2"/>
          </rPr>
          <t xml:space="preserve">
$10mn cats experience and PYD
$-9mn actuarial review</t>
        </r>
      </text>
    </comment>
    <comment ref="DS116" authorId="8">
      <text>
        <r>
          <rPr>
            <b/>
            <sz val="9"/>
            <color indexed="81"/>
            <rFont val="Calibri"/>
            <family val="2"/>
          </rPr>
          <t>Gupta, Tanmay (Research):</t>
        </r>
        <r>
          <rPr>
            <sz val="9"/>
            <color indexed="81"/>
            <rFont val="Calibri"/>
            <family val="2"/>
          </rPr>
          <t xml:space="preserve">
VII
</t>
        </r>
      </text>
    </comment>
    <comment ref="DU116" authorId="8">
      <text>
        <r>
          <rPr>
            <b/>
            <sz val="9"/>
            <color indexed="81"/>
            <rFont val="Calibri"/>
            <family val="2"/>
          </rPr>
          <t>Gupta, Tanmay (Research):</t>
        </r>
        <r>
          <rPr>
            <sz val="9"/>
            <color indexed="81"/>
            <rFont val="Calibri"/>
            <family val="2"/>
          </rPr>
          <t xml:space="preserve">
VII
</t>
        </r>
      </text>
    </comment>
    <comment ref="DV116" authorId="8">
      <text>
        <r>
          <rPr>
            <b/>
            <sz val="9"/>
            <color indexed="81"/>
            <rFont val="Calibri"/>
            <family val="2"/>
          </rPr>
          <t>Gupta, Tanmay (Research):</t>
        </r>
        <r>
          <rPr>
            <sz val="9"/>
            <color indexed="81"/>
            <rFont val="Calibri"/>
            <family val="2"/>
          </rPr>
          <t xml:space="preserve">
VII
</t>
        </r>
      </text>
    </comment>
    <comment ref="DW116" authorId="8">
      <text>
        <r>
          <rPr>
            <b/>
            <sz val="9"/>
            <color indexed="81"/>
            <rFont val="Calibri"/>
            <family val="2"/>
          </rPr>
          <t>Gupta, Tanmay (Research):</t>
        </r>
        <r>
          <rPr>
            <sz val="9"/>
            <color indexed="81"/>
            <rFont val="Calibri"/>
            <family val="2"/>
          </rPr>
          <t xml:space="preserve">
VII
</t>
        </r>
      </text>
    </comment>
    <comment ref="DX116" authorId="8">
      <text>
        <r>
          <rPr>
            <b/>
            <sz val="9"/>
            <color indexed="81"/>
            <rFont val="Calibri"/>
            <family val="2"/>
          </rPr>
          <t>Gupta, Tanmay (Research):</t>
        </r>
        <r>
          <rPr>
            <sz val="9"/>
            <color indexed="81"/>
            <rFont val="Calibri"/>
            <family val="2"/>
          </rPr>
          <t xml:space="preserve">
VII
</t>
        </r>
      </text>
    </comment>
    <comment ref="DY116" authorId="8">
      <text>
        <r>
          <rPr>
            <b/>
            <sz val="9"/>
            <color indexed="81"/>
            <rFont val="Calibri"/>
            <family val="2"/>
          </rPr>
          <t>Gupta, Tanmay (Research):</t>
        </r>
        <r>
          <rPr>
            <sz val="9"/>
            <color indexed="81"/>
            <rFont val="Calibri"/>
            <family val="2"/>
          </rPr>
          <t xml:space="preserve">
VII
</t>
        </r>
      </text>
    </comment>
    <comment ref="DZ116" authorId="8">
      <text>
        <r>
          <rPr>
            <b/>
            <sz val="9"/>
            <color indexed="81"/>
            <rFont val="Calibri"/>
            <family val="2"/>
          </rPr>
          <t>Gupta, Tanmay (Research):</t>
        </r>
        <r>
          <rPr>
            <sz val="9"/>
            <color indexed="81"/>
            <rFont val="Calibri"/>
            <family val="2"/>
          </rPr>
          <t xml:space="preserve">
VII
</t>
        </r>
      </text>
    </comment>
    <comment ref="EA116" authorId="8">
      <text>
        <r>
          <rPr>
            <b/>
            <sz val="9"/>
            <color indexed="81"/>
            <rFont val="Calibri"/>
            <family val="2"/>
          </rPr>
          <t>Gupta, Tanmay (Research):</t>
        </r>
        <r>
          <rPr>
            <sz val="9"/>
            <color indexed="81"/>
            <rFont val="Calibri"/>
            <family val="2"/>
          </rPr>
          <t xml:space="preserve">
VII
</t>
        </r>
      </text>
    </comment>
    <comment ref="EB116" authorId="8">
      <text>
        <r>
          <rPr>
            <b/>
            <sz val="9"/>
            <color indexed="81"/>
            <rFont val="Calibri"/>
            <family val="2"/>
          </rPr>
          <t>Gupta, Tanmay (Research):</t>
        </r>
        <r>
          <rPr>
            <sz val="9"/>
            <color indexed="81"/>
            <rFont val="Calibri"/>
            <family val="2"/>
          </rPr>
          <t xml:space="preserve">
VII
</t>
        </r>
      </text>
    </comment>
    <comment ref="EC116" authorId="8">
      <text>
        <r>
          <rPr>
            <b/>
            <sz val="9"/>
            <color indexed="81"/>
            <rFont val="Calibri"/>
            <family val="2"/>
          </rPr>
          <t>Gupta, Tanmay (Research):</t>
        </r>
        <r>
          <rPr>
            <sz val="9"/>
            <color indexed="81"/>
            <rFont val="Calibri"/>
            <family val="2"/>
          </rPr>
          <t xml:space="preserve">
VII
</t>
        </r>
      </text>
    </comment>
    <comment ref="EE116" authorId="8">
      <text>
        <r>
          <rPr>
            <b/>
            <sz val="9"/>
            <color indexed="81"/>
            <rFont val="Calibri"/>
            <family val="2"/>
          </rPr>
          <t>Gupta, Tanmay (Research):</t>
        </r>
        <r>
          <rPr>
            <sz val="9"/>
            <color indexed="81"/>
            <rFont val="Calibri"/>
            <family val="2"/>
          </rPr>
          <t xml:space="preserve">
VII: $12mn
</t>
        </r>
      </text>
    </comment>
    <comment ref="EI116" authorId="8">
      <text>
        <r>
          <rPr>
            <b/>
            <sz val="9"/>
            <color indexed="81"/>
            <rFont val="Tahoma"/>
            <family val="2"/>
          </rPr>
          <t>Gupta, Tanmay (Research):</t>
        </r>
        <r>
          <rPr>
            <sz val="9"/>
            <color indexed="81"/>
            <rFont val="Tahoma"/>
            <family val="2"/>
          </rPr>
          <t xml:space="preserve">
VII: $3mn
</t>
        </r>
      </text>
    </comment>
    <comment ref="EK116" authorId="8">
      <text>
        <r>
          <rPr>
            <b/>
            <sz val="9"/>
            <color indexed="81"/>
            <rFont val="Tahoma"/>
            <family val="2"/>
          </rPr>
          <t>Gupta, Tanmay (Research):</t>
        </r>
        <r>
          <rPr>
            <sz val="9"/>
            <color indexed="81"/>
            <rFont val="Tahoma"/>
            <family val="2"/>
          </rPr>
          <t xml:space="preserve">
VII: $3mn
</t>
        </r>
      </text>
    </comment>
    <comment ref="EM116" authorId="8">
      <text>
        <r>
          <rPr>
            <b/>
            <sz val="9"/>
            <color indexed="81"/>
            <rFont val="Tahoma"/>
            <family val="2"/>
          </rPr>
          <t>Gupta, Tanmay (Research):</t>
        </r>
        <r>
          <rPr>
            <sz val="9"/>
            <color indexed="81"/>
            <rFont val="Tahoma"/>
            <family val="2"/>
          </rPr>
          <t xml:space="preserve">
VII: $3mn
</t>
        </r>
      </text>
    </comment>
    <comment ref="B129" authorId="1">
      <text>
        <r>
          <rPr>
            <b/>
            <sz val="9"/>
            <color indexed="81"/>
            <rFont val="Tahoma"/>
            <family val="2"/>
          </rPr>
          <t>Huang, Bob (Research):</t>
        </r>
        <r>
          <rPr>
            <sz val="9"/>
            <color indexed="81"/>
            <rFont val="Tahoma"/>
            <family val="2"/>
          </rPr>
          <t xml:space="preserve">
nterest+Net transfers from (to) separate account</t>
        </r>
      </text>
    </comment>
    <comment ref="B132" authorId="1">
      <text>
        <r>
          <rPr>
            <b/>
            <sz val="9"/>
            <color indexed="81"/>
            <rFont val="Tahoma"/>
            <family val="2"/>
          </rPr>
          <t>Huang, Bob (Research):</t>
        </r>
        <r>
          <rPr>
            <sz val="9"/>
            <color indexed="81"/>
            <rFont val="Tahoma"/>
            <family val="2"/>
          </rPr>
          <t xml:space="preserve">
policy charges+other</t>
        </r>
      </text>
    </comment>
    <comment ref="GN133" authorId="8">
      <text>
        <r>
          <rPr>
            <b/>
            <sz val="9"/>
            <color indexed="81"/>
            <rFont val="Calibri"/>
            <family val="2"/>
          </rPr>
          <t>Gupta, Tanmay (Research):</t>
        </r>
        <r>
          <rPr>
            <sz val="9"/>
            <color indexed="81"/>
            <rFont val="Calibri"/>
            <family val="2"/>
          </rPr>
          <t xml:space="preserve">
2017 Outlook: GA liabilities to grow 0-2% annually</t>
        </r>
      </text>
    </comment>
    <comment ref="GP133" authorId="1">
      <text>
        <r>
          <rPr>
            <b/>
            <sz val="9"/>
            <color indexed="81"/>
            <rFont val="Tahoma"/>
            <family val="2"/>
          </rPr>
          <t>Huang, Bob (Research):</t>
        </r>
        <r>
          <rPr>
            <sz val="9"/>
            <color indexed="81"/>
            <rFont val="Tahoma"/>
            <family val="2"/>
          </rPr>
          <t xml:space="preserve">
2018 Outlook: GA liabilities to grow 1-3% annually</t>
        </r>
      </text>
    </comment>
    <comment ref="B144" authorId="1">
      <text>
        <r>
          <rPr>
            <b/>
            <sz val="9"/>
            <color indexed="81"/>
            <rFont val="Tahoma"/>
            <family val="2"/>
          </rPr>
          <t>Huang, Bob (Research):</t>
        </r>
        <r>
          <rPr>
            <sz val="9"/>
            <color indexed="81"/>
            <rFont val="Tahoma"/>
            <family val="2"/>
          </rPr>
          <t xml:space="preserve">
Premiums and deposits</t>
        </r>
      </text>
    </comment>
    <comment ref="B146" authorId="1">
      <text>
        <r>
          <rPr>
            <b/>
            <sz val="9"/>
            <color indexed="81"/>
            <rFont val="Tahoma"/>
            <family val="2"/>
          </rPr>
          <t>Huang, Bob (Research):</t>
        </r>
        <r>
          <rPr>
            <sz val="9"/>
            <color indexed="81"/>
            <rFont val="Tahoma"/>
            <family val="2"/>
          </rPr>
          <t xml:space="preserve">
Surrenders and withdrawals+Benefit payments-Net transfers from (to) general account-Policy charges-Other</t>
        </r>
      </text>
    </comment>
    <comment ref="CU148" authorId="0">
      <text>
        <r>
          <rPr>
            <b/>
            <sz val="9"/>
            <color indexed="81"/>
            <rFont val="Calibri"/>
            <family val="2"/>
          </rPr>
          <t>sanclaur:</t>
        </r>
        <r>
          <rPr>
            <sz val="9"/>
            <color indexed="81"/>
            <rFont val="Calibri"/>
            <family val="2"/>
          </rPr>
          <t xml:space="preserve">
Formula differs from estimated Qs and from annuals; changing it impacts estimated assets</t>
        </r>
      </text>
    </comment>
    <comment ref="B159" authorId="1">
      <text>
        <r>
          <rPr>
            <b/>
            <sz val="9"/>
            <color indexed="81"/>
            <rFont val="Tahoma"/>
            <family val="2"/>
          </rPr>
          <t>Huang, Bob (Research):</t>
        </r>
        <r>
          <rPr>
            <sz val="9"/>
            <color indexed="81"/>
            <rFont val="Tahoma"/>
            <family val="2"/>
          </rPr>
          <t xml:space="preserve">
Universal life and investment-type product policy fees</t>
        </r>
      </text>
    </comment>
    <comment ref="B160" authorId="1">
      <text>
        <r>
          <rPr>
            <b/>
            <sz val="9"/>
            <color indexed="81"/>
            <rFont val="Tahoma"/>
            <family val="2"/>
          </rPr>
          <t>Huang, Bob (Research):</t>
        </r>
        <r>
          <rPr>
            <sz val="9"/>
            <color indexed="81"/>
            <rFont val="Tahoma"/>
            <family val="2"/>
          </rPr>
          <t xml:space="preserve">
Net investment income</t>
        </r>
      </text>
    </comment>
    <comment ref="AK160" authorId="9">
      <text>
        <r>
          <rPr>
            <sz val="9"/>
            <color indexed="81"/>
            <rFont val="Calibri"/>
            <family val="2"/>
          </rPr>
          <t>Spreads were more favorable than normal.</t>
        </r>
      </text>
    </comment>
    <comment ref="DK160" authorId="2">
      <text>
        <r>
          <rPr>
            <b/>
            <sz val="9"/>
            <color indexed="81"/>
            <rFont val="Calibri"/>
            <family val="2"/>
          </rPr>
          <t>Zamora, Diana (Research):</t>
        </r>
        <r>
          <rPr>
            <sz val="9"/>
            <color indexed="81"/>
            <rFont val="Calibri"/>
            <family val="2"/>
          </rPr>
          <t xml:space="preserve">
Restated with 4/24/2015 8-K</t>
        </r>
      </text>
    </comment>
    <comment ref="DM160" authorId="2">
      <text>
        <r>
          <rPr>
            <b/>
            <sz val="9"/>
            <color indexed="81"/>
            <rFont val="Calibri"/>
            <family val="2"/>
          </rPr>
          <t>Zamora, Diana (Research):</t>
        </r>
        <r>
          <rPr>
            <sz val="9"/>
            <color indexed="81"/>
            <rFont val="Calibri"/>
            <family val="2"/>
          </rPr>
          <t xml:space="preserve">
Restated with 4/24/2015 8-K</t>
        </r>
      </text>
    </comment>
    <comment ref="DO160" authorId="2">
      <text>
        <r>
          <rPr>
            <b/>
            <sz val="9"/>
            <color indexed="81"/>
            <rFont val="Calibri"/>
            <family val="2"/>
          </rPr>
          <t>Zamora, Diana (Research):</t>
        </r>
        <r>
          <rPr>
            <sz val="9"/>
            <color indexed="81"/>
            <rFont val="Calibri"/>
            <family val="2"/>
          </rPr>
          <t xml:space="preserve">
Restated with 4/24/2015 8-K</t>
        </r>
      </text>
    </comment>
    <comment ref="DQ160" authorId="2">
      <text>
        <r>
          <rPr>
            <b/>
            <sz val="9"/>
            <color indexed="81"/>
            <rFont val="Calibri"/>
            <family val="2"/>
          </rPr>
          <t>Zamora, Diana (Research):</t>
        </r>
        <r>
          <rPr>
            <sz val="9"/>
            <color indexed="81"/>
            <rFont val="Calibri"/>
            <family val="2"/>
          </rPr>
          <t xml:space="preserve">
Restated with 4/24/2015 8-K</t>
        </r>
      </text>
    </comment>
    <comment ref="B161" authorId="1">
      <text>
        <r>
          <rPr>
            <b/>
            <sz val="9"/>
            <color indexed="81"/>
            <rFont val="Tahoma"/>
            <family val="2"/>
          </rPr>
          <t>Huang, Bob (Research):</t>
        </r>
        <r>
          <rPr>
            <sz val="9"/>
            <color indexed="81"/>
            <rFont val="Tahoma"/>
            <family val="2"/>
          </rPr>
          <t xml:space="preserve">
Interest credited to policyholder account balances</t>
        </r>
      </text>
    </comment>
    <comment ref="FP171" authorId="10">
      <text>
        <r>
          <rPr>
            <b/>
            <sz val="9"/>
            <color indexed="81"/>
            <rFont val="Calibri"/>
            <family val="2"/>
          </rPr>
          <t xml:space="preserve">12/04 Investor Day: 
</t>
        </r>
        <r>
          <rPr>
            <sz val="9"/>
            <color indexed="81"/>
            <rFont val="Calibri"/>
            <family val="2"/>
          </rPr>
          <t>Target spread is 1.44%, or 35 bps below avg of first 3 quarters of 2004</t>
        </r>
      </text>
    </comment>
    <comment ref="GH171" authorId="3">
      <text>
        <r>
          <rPr>
            <b/>
            <sz val="9"/>
            <color indexed="81"/>
            <rFont val="Calibri"/>
            <family val="2"/>
          </rPr>
          <t>dianaz:</t>
        </r>
        <r>
          <rPr>
            <sz val="9"/>
            <color indexed="81"/>
            <rFont val="Calibri"/>
            <family val="2"/>
          </rPr>
          <t xml:space="preserve">
Inv Day (12/12/2013): 150-170bps </t>
        </r>
      </text>
    </comment>
    <comment ref="GJ171" authorId="3">
      <text>
        <r>
          <rPr>
            <b/>
            <sz val="9"/>
            <color indexed="81"/>
            <rFont val="Calibri"/>
            <family val="2"/>
          </rPr>
          <t>dianaz:</t>
        </r>
        <r>
          <rPr>
            <sz val="9"/>
            <color indexed="81"/>
            <rFont val="Calibri"/>
            <family val="2"/>
          </rPr>
          <t xml:space="preserve">
Inv Day (12/12/2014): 150-170bps
Inv Day (12/12/2013): Spread compression in 2015-2016</t>
        </r>
      </text>
    </comment>
    <comment ref="GL171" authorId="3">
      <text>
        <r>
          <rPr>
            <b/>
            <sz val="9"/>
            <color indexed="81"/>
            <rFont val="Calibri"/>
            <family val="2"/>
          </rPr>
          <t>dianaz:</t>
        </r>
        <r>
          <rPr>
            <sz val="9"/>
            <color indexed="81"/>
            <rFont val="Calibri"/>
            <family val="2"/>
          </rPr>
          <t xml:space="preserve">
Inv Day (12/12/2013): Spread compression in 2015-2016</t>
        </r>
      </text>
    </comment>
    <comment ref="GN171" authorId="8">
      <text>
        <r>
          <rPr>
            <b/>
            <sz val="9"/>
            <color indexed="81"/>
            <rFont val="Calibri"/>
            <family val="2"/>
          </rPr>
          <t>Gupta, Tanmay (Research):</t>
        </r>
        <r>
          <rPr>
            <sz val="9"/>
            <color indexed="81"/>
            <rFont val="Calibri"/>
            <family val="2"/>
          </rPr>
          <t xml:space="preserve">
2017 Outlook: Spread compression in 2017. Inv Income Spread ~ 115-140bps with VII contribution ~ 15-30bps</t>
        </r>
      </text>
    </comment>
    <comment ref="GP171" authorId="1">
      <text>
        <r>
          <rPr>
            <b/>
            <sz val="9"/>
            <color indexed="81"/>
            <rFont val="Tahoma"/>
            <family val="2"/>
          </rPr>
          <t>Huang, Bob (Research):</t>
        </r>
        <r>
          <rPr>
            <sz val="9"/>
            <color indexed="81"/>
            <rFont val="Tahoma"/>
            <family val="2"/>
          </rPr>
          <t xml:space="preserve">
2018 outlook:
Investment Income Spread: 110-135bps
VII: 10-25bps</t>
        </r>
      </text>
    </comment>
    <comment ref="B174" authorId="1">
      <text>
        <r>
          <rPr>
            <b/>
            <sz val="9"/>
            <color indexed="81"/>
            <rFont val="Tahoma"/>
            <family val="2"/>
          </rPr>
          <t>Huang, Bob (Research):</t>
        </r>
        <r>
          <rPr>
            <sz val="9"/>
            <color indexed="81"/>
            <rFont val="Tahoma"/>
            <family val="2"/>
          </rPr>
          <t xml:space="preserve">
Policyholder benefits and claims and policyholder dividends</t>
        </r>
      </text>
    </comment>
    <comment ref="Q174" authorId="11">
      <text>
        <r>
          <rPr>
            <sz val="9"/>
            <color indexed="81"/>
            <rFont val="Calibri"/>
            <family val="2"/>
          </rPr>
          <t>$215m pretax charge</t>
        </r>
      </text>
    </comment>
    <comment ref="Y174" authorId="12">
      <text>
        <r>
          <rPr>
            <sz val="9"/>
            <color indexed="81"/>
            <rFont val="Calibri"/>
            <family val="2"/>
          </rPr>
          <t>Excludes a $20M positive benefit due to reserve releases related to "business realignment initiatives."</t>
        </r>
      </text>
    </comment>
    <comment ref="B175" authorId="1">
      <text>
        <r>
          <rPr>
            <b/>
            <sz val="9"/>
            <color indexed="81"/>
            <rFont val="Tahoma"/>
            <family val="2"/>
          </rPr>
          <t>Huang, Bob (Research):</t>
        </r>
        <r>
          <rPr>
            <sz val="9"/>
            <color indexed="81"/>
            <rFont val="Tahoma"/>
            <family val="2"/>
          </rPr>
          <t xml:space="preserve">
Interest credited to policyholder account balances</t>
        </r>
      </text>
    </comment>
    <comment ref="B177" authorId="1">
      <text>
        <r>
          <rPr>
            <b/>
            <sz val="9"/>
            <color indexed="81"/>
            <rFont val="Tahoma"/>
            <family val="2"/>
          </rPr>
          <t>Huang, Bob (Research):</t>
        </r>
        <r>
          <rPr>
            <sz val="9"/>
            <color indexed="81"/>
            <rFont val="Tahoma"/>
            <family val="2"/>
          </rPr>
          <t xml:space="preserve">
Other operating expenses</t>
        </r>
      </text>
    </comment>
    <comment ref="Q177" authorId="11">
      <text>
        <r>
          <rPr>
            <sz val="9"/>
            <color indexed="81"/>
            <rFont val="Calibri"/>
            <family val="2"/>
          </rPr>
          <t>$188m pretax charge</t>
        </r>
      </text>
    </comment>
    <comment ref="DK177" authorId="2">
      <text>
        <r>
          <rPr>
            <b/>
            <sz val="9"/>
            <color indexed="81"/>
            <rFont val="Calibri"/>
            <family val="2"/>
          </rPr>
          <t>Zamora, Diana (Research):</t>
        </r>
        <r>
          <rPr>
            <sz val="9"/>
            <color indexed="81"/>
            <rFont val="Calibri"/>
            <family val="2"/>
          </rPr>
          <t xml:space="preserve">
Restated with 4/24/2015 8-K</t>
        </r>
      </text>
    </comment>
    <comment ref="DM177" authorId="2">
      <text>
        <r>
          <rPr>
            <b/>
            <sz val="9"/>
            <color indexed="81"/>
            <rFont val="Calibri"/>
            <family val="2"/>
          </rPr>
          <t>Zamora, Diana (Research):</t>
        </r>
        <r>
          <rPr>
            <sz val="9"/>
            <color indexed="81"/>
            <rFont val="Calibri"/>
            <family val="2"/>
          </rPr>
          <t xml:space="preserve">
Restated with 4/24/2015 8-K</t>
        </r>
      </text>
    </comment>
    <comment ref="DO177" authorId="2">
      <text>
        <r>
          <rPr>
            <b/>
            <sz val="9"/>
            <color indexed="81"/>
            <rFont val="Calibri"/>
            <family val="2"/>
          </rPr>
          <t>Zamora, Diana (Research):</t>
        </r>
        <r>
          <rPr>
            <sz val="9"/>
            <color indexed="81"/>
            <rFont val="Calibri"/>
            <family val="2"/>
          </rPr>
          <t xml:space="preserve">
Restated with 4/24/2015 8-K</t>
        </r>
      </text>
    </comment>
    <comment ref="DQ177" authorId="2">
      <text>
        <r>
          <rPr>
            <b/>
            <sz val="9"/>
            <color indexed="81"/>
            <rFont val="Calibri"/>
            <family val="2"/>
          </rPr>
          <t>Zamora, Diana (Research):</t>
        </r>
        <r>
          <rPr>
            <sz val="9"/>
            <color indexed="81"/>
            <rFont val="Calibri"/>
            <family val="2"/>
          </rPr>
          <t xml:space="preserve">
Restated with 4/24/2015 8-K</t>
        </r>
      </text>
    </comment>
    <comment ref="EQ184" authorId="8">
      <text>
        <r>
          <rPr>
            <b/>
            <sz val="9"/>
            <color indexed="81"/>
            <rFont val="Tahoma"/>
            <family val="2"/>
          </rPr>
          <t>Gupta, Tanmay (Research):</t>
        </r>
        <r>
          <rPr>
            <sz val="9"/>
            <color indexed="81"/>
            <rFont val="Tahoma"/>
            <family val="2"/>
          </rPr>
          <t xml:space="preserve">
4Q17 guid: expect in-quarter activity related to group annuity to be recurring ~ $(13)mn PT</t>
        </r>
      </text>
    </comment>
    <comment ref="AO187" authorId="13">
      <text>
        <r>
          <rPr>
            <b/>
            <sz val="9"/>
            <color indexed="81"/>
            <rFont val="Calibri"/>
            <family val="2"/>
          </rPr>
          <t>dallyn:</t>
        </r>
        <r>
          <rPr>
            <sz val="9"/>
            <color indexed="81"/>
            <rFont val="Calibri"/>
            <family val="2"/>
          </rPr>
          <t xml:space="preserve">
incl $55 from cjv
run-rate $180</t>
        </r>
      </text>
    </comment>
    <comment ref="B188" authorId="1">
      <text>
        <r>
          <rPr>
            <b/>
            <sz val="9"/>
            <color indexed="81"/>
            <rFont val="Tahoma"/>
            <family val="2"/>
          </rPr>
          <t>Huang, Bob (Research):</t>
        </r>
        <r>
          <rPr>
            <sz val="9"/>
            <color indexed="81"/>
            <rFont val="Tahoma"/>
            <family val="2"/>
          </rPr>
          <t xml:space="preserve">
Provision for income tax expense (benefit)</t>
        </r>
      </text>
    </comment>
    <comment ref="Q188" authorId="12">
      <text>
        <r>
          <rPr>
            <sz val="9"/>
            <color indexed="81"/>
            <rFont val="Calibri"/>
            <family val="2"/>
          </rPr>
          <t>Adjusts the tax rate for the $264 million AT charge.</t>
        </r>
      </text>
    </comment>
    <comment ref="DK188" authorId="2">
      <text>
        <r>
          <rPr>
            <b/>
            <sz val="9"/>
            <color indexed="81"/>
            <rFont val="Calibri"/>
            <family val="2"/>
          </rPr>
          <t>Zamora, Diana (Research):</t>
        </r>
        <r>
          <rPr>
            <sz val="9"/>
            <color indexed="81"/>
            <rFont val="Calibri"/>
            <family val="2"/>
          </rPr>
          <t xml:space="preserve">
Restated with 4/24/2015 8-K</t>
        </r>
      </text>
    </comment>
    <comment ref="DM188" authorId="2">
      <text>
        <r>
          <rPr>
            <b/>
            <sz val="9"/>
            <color indexed="81"/>
            <rFont val="Calibri"/>
            <family val="2"/>
          </rPr>
          <t>Zamora, Diana (Research):</t>
        </r>
        <r>
          <rPr>
            <sz val="9"/>
            <color indexed="81"/>
            <rFont val="Calibri"/>
            <family val="2"/>
          </rPr>
          <t xml:space="preserve">
Restated with 4/24/2015 8-K</t>
        </r>
      </text>
    </comment>
    <comment ref="DO188" authorId="2">
      <text>
        <r>
          <rPr>
            <b/>
            <sz val="9"/>
            <color indexed="81"/>
            <rFont val="Calibri"/>
            <family val="2"/>
          </rPr>
          <t>Zamora, Diana (Research):</t>
        </r>
        <r>
          <rPr>
            <sz val="9"/>
            <color indexed="81"/>
            <rFont val="Calibri"/>
            <family val="2"/>
          </rPr>
          <t xml:space="preserve">
Restated with 4/24/2015 8-K</t>
        </r>
      </text>
    </comment>
    <comment ref="DQ188" authorId="2">
      <text>
        <r>
          <rPr>
            <b/>
            <sz val="9"/>
            <color indexed="81"/>
            <rFont val="Calibri"/>
            <family val="2"/>
          </rPr>
          <t>Zamora, Diana (Research):</t>
        </r>
        <r>
          <rPr>
            <sz val="9"/>
            <color indexed="81"/>
            <rFont val="Calibri"/>
            <family val="2"/>
          </rPr>
          <t xml:space="preserve">
Restated with 4/24/2015 8-K</t>
        </r>
      </text>
    </comment>
    <comment ref="Y190" authorId="12">
      <text>
        <r>
          <rPr>
            <sz val="9"/>
            <color indexed="81"/>
            <rFont val="Calibri"/>
            <family val="2"/>
          </rPr>
          <t>Earnings would be $120 million, if the $20M reserve release were included.</t>
        </r>
      </text>
    </comment>
    <comment ref="AM190" authorId="10">
      <text>
        <r>
          <rPr>
            <sz val="9"/>
            <color indexed="81"/>
            <rFont val="Calibri"/>
            <family val="2"/>
          </rPr>
          <t>Inclueds $8MM of prepayment gains</t>
        </r>
      </text>
    </comment>
    <comment ref="AQ190" authorId="14">
      <text>
        <r>
          <rPr>
            <sz val="9"/>
            <color indexed="81"/>
            <rFont val="Calibri"/>
            <family val="2"/>
          </rPr>
          <t>Includes roughly $18 million of favorable underwriting gains and Corp JV income</t>
        </r>
      </text>
    </comment>
    <comment ref="AS190" authorId="14">
      <text>
        <r>
          <rPr>
            <sz val="9"/>
            <color indexed="81"/>
            <rFont val="Calibri"/>
            <family val="2"/>
          </rPr>
          <t>$144MM run rate.  Includes $65 MM in excess investment income</t>
        </r>
      </text>
    </comment>
    <comment ref="AU190" authorId="14">
      <text>
        <r>
          <rPr>
            <sz val="9"/>
            <color indexed="81"/>
            <rFont val="Calibri"/>
            <family val="2"/>
          </rPr>
          <t>$180MM run rate.  $39MM excess inv inc, $4MM stale liab release, ($7MM) TLA exp.</t>
        </r>
      </text>
    </comment>
    <comment ref="EA190" authorId="4">
      <text>
        <r>
          <rPr>
            <b/>
            <sz val="9"/>
            <color indexed="81"/>
            <rFont val="Calibri"/>
            <family val="2"/>
          </rPr>
          <t>Zheng, Chaodan (Research):</t>
        </r>
        <r>
          <rPr>
            <sz val="9"/>
            <color indexed="81"/>
            <rFont val="Calibri"/>
            <family val="2"/>
          </rPr>
          <t xml:space="preserve">
call with mgmt:
- close to their expectations after taking out VII</t>
        </r>
      </text>
    </comment>
    <comment ref="EC190" authorId="4">
      <text>
        <r>
          <rPr>
            <b/>
            <sz val="9"/>
            <color indexed="81"/>
            <rFont val="Calibri"/>
            <family val="2"/>
          </rPr>
          <t>Zheng, Chaodan (Research):</t>
        </r>
        <r>
          <rPr>
            <sz val="9"/>
            <color indexed="81"/>
            <rFont val="Calibri"/>
            <family val="2"/>
          </rPr>
          <t xml:space="preserve">
call with mgmt:
- close to their expectations after taking out VII</t>
        </r>
      </text>
    </comment>
    <comment ref="EE190" authorId="4">
      <text>
        <r>
          <rPr>
            <b/>
            <sz val="9"/>
            <color indexed="81"/>
            <rFont val="Calibri"/>
            <family val="2"/>
          </rPr>
          <t>Zheng, Chaodan (Research):</t>
        </r>
        <r>
          <rPr>
            <sz val="9"/>
            <color indexed="81"/>
            <rFont val="Calibri"/>
            <family val="2"/>
          </rPr>
          <t xml:space="preserve">
call with mgmt:
- close to their expectations after taking out VII</t>
        </r>
      </text>
    </comment>
    <comment ref="FP190" authorId="10">
      <text>
        <r>
          <rPr>
            <b/>
            <sz val="9"/>
            <color indexed="81"/>
            <rFont val="Calibri"/>
            <family val="2"/>
          </rPr>
          <t xml:space="preserve">12/04 Investor Day: 
</t>
        </r>
        <r>
          <rPr>
            <sz val="9"/>
            <color indexed="81"/>
            <rFont val="Calibri"/>
            <family val="2"/>
          </rPr>
          <t>Oper Earns down by ~10% Y/Y, due mostly to spreads.</t>
        </r>
      </text>
    </comment>
    <comment ref="GH190" authorId="3">
      <text>
        <r>
          <rPr>
            <b/>
            <sz val="9"/>
            <color indexed="81"/>
            <rFont val="Calibri"/>
            <family val="2"/>
          </rPr>
          <t>dianaz:</t>
        </r>
        <r>
          <rPr>
            <sz val="9"/>
            <color indexed="81"/>
            <rFont val="Calibri"/>
            <family val="2"/>
          </rPr>
          <t xml:space="preserve">
Inv Day (12/12/2013): moderate growth</t>
        </r>
      </text>
    </comment>
    <comment ref="GP190" authorId="3">
      <text>
        <r>
          <rPr>
            <b/>
            <sz val="9"/>
            <color indexed="81"/>
            <rFont val="Calibri"/>
            <family val="2"/>
          </rPr>
          <t>dianaz:</t>
        </r>
        <r>
          <rPr>
            <sz val="9"/>
            <color indexed="81"/>
            <rFont val="Calibri"/>
            <family val="2"/>
          </rPr>
          <t xml:space="preserve">
Inv Day (12/12/2013): 3-5% growth</t>
        </r>
      </text>
    </comment>
    <comment ref="AW191" authorId="15">
      <text>
        <r>
          <rPr>
            <sz val="9"/>
            <color indexed="81"/>
            <rFont val="Calibri"/>
            <family val="2"/>
          </rPr>
          <t>$23 million of excess investment income</t>
        </r>
      </text>
    </comment>
    <comment ref="AY191" authorId="15">
      <text>
        <r>
          <rPr>
            <sz val="9"/>
            <color indexed="81"/>
            <rFont val="Calibri"/>
            <family val="2"/>
          </rPr>
          <t>+$13MM Excess variable income, -$3MM options expense, +$17MM stale liability writeoff, +$17MM Travelers error involving interest rates</t>
        </r>
      </text>
    </comment>
    <comment ref="BA191" authorId="16">
      <text>
        <r>
          <rPr>
            <sz val="9"/>
            <color indexed="81"/>
            <rFont val="Calibri"/>
            <family val="2"/>
          </rPr>
          <t>+$23MM excess variable income
-$11 MM cost of sale recordkeeping
+$11 MM one time reserve adjustment</t>
        </r>
      </text>
    </comment>
    <comment ref="BC191" authorId="16">
      <text>
        <r>
          <rPr>
            <sz val="9"/>
            <color indexed="81"/>
            <rFont val="Calibri"/>
            <family val="2"/>
          </rPr>
          <t>+$4M Excess Variable Income</t>
        </r>
      </text>
    </comment>
    <comment ref="BE191" authorId="15">
      <text>
        <r>
          <rPr>
            <sz val="9"/>
            <color indexed="81"/>
            <rFont val="Calibri"/>
            <family val="2"/>
          </rPr>
          <t>+$60M Excess Variable Income
-$8M Intercompany reinsurance capture</t>
        </r>
      </text>
    </comment>
    <comment ref="BG191" authorId="15">
      <text>
        <r>
          <rPr>
            <sz val="9"/>
            <color indexed="81"/>
            <rFont val="Calibri"/>
            <family val="2"/>
          </rPr>
          <t>+$22M Excess Variable Income</t>
        </r>
      </text>
    </comment>
    <comment ref="BK191" authorId="5">
      <text>
        <r>
          <rPr>
            <b/>
            <sz val="9"/>
            <color indexed="81"/>
            <rFont val="Calibri"/>
            <family val="2"/>
          </rPr>
          <t>haybuse:</t>
        </r>
        <r>
          <rPr>
            <sz val="9"/>
            <color indexed="81"/>
            <rFont val="Calibri"/>
            <family val="2"/>
          </rPr>
          <t xml:space="preserve">
1. Excess var</t>
        </r>
      </text>
    </comment>
    <comment ref="BM191" authorId="5">
      <text>
        <r>
          <rPr>
            <b/>
            <sz val="9"/>
            <color indexed="81"/>
            <rFont val="Calibri"/>
            <family val="2"/>
          </rPr>
          <t>Details:</t>
        </r>
        <r>
          <rPr>
            <sz val="9"/>
            <color indexed="81"/>
            <rFont val="Calibri"/>
            <family val="2"/>
          </rPr>
          <t xml:space="preserve">
1. Excess var</t>
        </r>
      </text>
    </comment>
    <comment ref="BO191" authorId="5">
      <text>
        <r>
          <rPr>
            <b/>
            <sz val="9"/>
            <color indexed="81"/>
            <rFont val="Calibri"/>
            <family val="2"/>
          </rPr>
          <t>Details:</t>
        </r>
        <r>
          <rPr>
            <sz val="9"/>
            <color indexed="81"/>
            <rFont val="Calibri"/>
            <family val="2"/>
          </rPr>
          <t xml:space="preserve">
1. Excess var fav: -2</t>
        </r>
      </text>
    </comment>
    <comment ref="BQ191" authorId="5">
      <text>
        <r>
          <rPr>
            <sz val="9"/>
            <color indexed="81"/>
            <rFont val="Calibri"/>
            <family val="2"/>
          </rPr>
          <t xml:space="preserve">
-16 Excess Var income
-42 Inst VA True-up</t>
        </r>
      </text>
    </comment>
    <comment ref="BS191" authorId="5">
      <text>
        <r>
          <rPr>
            <sz val="9"/>
            <color indexed="81"/>
            <rFont val="Calibri"/>
            <family val="2"/>
          </rPr>
          <t>-44: Excess var income
-33 Data true-up
28: GIC surrender Fee</t>
        </r>
      </text>
    </comment>
    <comment ref="BU191" authorId="5">
      <text>
        <r>
          <rPr>
            <sz val="9"/>
            <color indexed="81"/>
            <rFont val="Calibri"/>
            <family val="2"/>
          </rPr>
          <t>-44: Excess var income
-33 Data true-up
28: GIC surrender Fee</t>
        </r>
      </text>
    </comment>
    <comment ref="BW191" authorId="5">
      <text>
        <r>
          <rPr>
            <sz val="9"/>
            <color indexed="81"/>
            <rFont val="Calibri"/>
            <family val="2"/>
          </rPr>
          <t>Var Income: -141
Pension data correction: +3</t>
        </r>
      </text>
    </comment>
    <comment ref="BY191" authorId="5">
      <text>
        <r>
          <rPr>
            <sz val="9"/>
            <color indexed="81"/>
            <rFont val="Calibri"/>
            <family val="2"/>
          </rPr>
          <t>Var income below: -74
Positive reserve release: 21</t>
        </r>
      </text>
    </comment>
    <comment ref="CA191" authorId="5">
      <text>
        <r>
          <rPr>
            <b/>
            <sz val="9"/>
            <color indexed="81"/>
            <rFont val="Calibri"/>
            <family val="2"/>
          </rPr>
          <t>haybuse:</t>
        </r>
        <r>
          <rPr>
            <sz val="9"/>
            <color indexed="81"/>
            <rFont val="Calibri"/>
            <family val="2"/>
          </rPr>
          <t xml:space="preserve">
reinsurance true-up: -20
var income below: -42</t>
        </r>
      </text>
    </comment>
    <comment ref="CC191" authorId="5">
      <text>
        <r>
          <rPr>
            <b/>
            <sz val="9"/>
            <color indexed="81"/>
            <rFont val="Calibri"/>
            <family val="2"/>
          </rPr>
          <t>haybuse:</t>
        </r>
        <r>
          <rPr>
            <sz val="9"/>
            <color indexed="81"/>
            <rFont val="Calibri"/>
            <family val="2"/>
          </rPr>
          <t xml:space="preserve">
variable income: +9</t>
        </r>
      </text>
    </comment>
    <comment ref="CE191" authorId="5">
      <text>
        <r>
          <rPr>
            <b/>
            <sz val="9"/>
            <color indexed="81"/>
            <rFont val="Calibri"/>
            <family val="2"/>
          </rPr>
          <t>haybuse:</t>
        </r>
        <r>
          <rPr>
            <sz val="9"/>
            <color indexed="81"/>
            <rFont val="Calibri"/>
            <family val="2"/>
          </rPr>
          <t xml:space="preserve">
variable income: 37</t>
        </r>
      </text>
    </comment>
    <comment ref="CG191" authorId="5">
      <text>
        <r>
          <rPr>
            <b/>
            <sz val="9"/>
            <color indexed="81"/>
            <rFont val="Calibri"/>
            <family val="2"/>
          </rPr>
          <t>haybuse:</t>
        </r>
        <r>
          <rPr>
            <sz val="9"/>
            <color indexed="81"/>
            <rFont val="Calibri"/>
            <family val="2"/>
          </rPr>
          <t xml:space="preserve">
variable income: 48
</t>
        </r>
      </text>
    </comment>
    <comment ref="CI191" authorId="5">
      <text>
        <r>
          <rPr>
            <b/>
            <sz val="9"/>
            <color indexed="81"/>
            <rFont val="Calibri"/>
            <family val="2"/>
          </rPr>
          <t>haybuse:</t>
        </r>
        <r>
          <rPr>
            <sz val="9"/>
            <color indexed="81"/>
            <rFont val="Calibri"/>
            <family val="2"/>
          </rPr>
          <t xml:space="preserve">
variable income above $25M
Reserving $10M
</t>
        </r>
      </text>
    </comment>
    <comment ref="CK191" authorId="5">
      <text>
        <r>
          <rPr>
            <b/>
            <sz val="9"/>
            <color indexed="81"/>
            <rFont val="Calibri"/>
            <family val="2"/>
          </rPr>
          <t>haybuse:</t>
        </r>
        <r>
          <rPr>
            <sz val="9"/>
            <color indexed="81"/>
            <rFont val="Calibri"/>
            <family val="2"/>
          </rPr>
          <t xml:space="preserve">
excess variable income</t>
        </r>
      </text>
    </comment>
    <comment ref="CM191" authorId="5">
      <text>
        <r>
          <rPr>
            <b/>
            <sz val="9"/>
            <color indexed="81"/>
            <rFont val="Calibri"/>
            <family val="2"/>
          </rPr>
          <t>haybuse:</t>
        </r>
        <r>
          <rPr>
            <sz val="9"/>
            <color indexed="81"/>
            <rFont val="Calibri"/>
            <family val="2"/>
          </rPr>
          <t xml:space="preserve">
excess variable income</t>
        </r>
      </text>
    </comment>
    <comment ref="CO191" authorId="5">
      <text>
        <r>
          <rPr>
            <b/>
            <sz val="9"/>
            <color indexed="81"/>
            <rFont val="Calibri"/>
            <family val="2"/>
          </rPr>
          <t>haybuse:</t>
        </r>
        <r>
          <rPr>
            <sz val="9"/>
            <color indexed="81"/>
            <rFont val="Calibri"/>
            <family val="2"/>
          </rPr>
          <t xml:space="preserve">
excess variable income</t>
        </r>
      </text>
    </comment>
    <comment ref="CQ191" authorId="5">
      <text>
        <r>
          <rPr>
            <b/>
            <sz val="9"/>
            <color indexed="81"/>
            <rFont val="Calibri"/>
            <family val="2"/>
          </rPr>
          <t>haybuse:</t>
        </r>
        <r>
          <rPr>
            <sz val="9"/>
            <color indexed="81"/>
            <rFont val="Calibri"/>
            <family val="2"/>
          </rPr>
          <t xml:space="preserve">
VII</t>
        </r>
      </text>
    </comment>
    <comment ref="CW191" authorId="0">
      <text>
        <r>
          <rPr>
            <b/>
            <sz val="9"/>
            <color indexed="81"/>
            <rFont val="Calibri"/>
            <family val="2"/>
          </rPr>
          <t>sanclaur:</t>
        </r>
        <r>
          <rPr>
            <sz val="9"/>
            <color indexed="81"/>
            <rFont val="Calibri"/>
            <family val="2"/>
          </rPr>
          <t xml:space="preserve">
VII: +18M</t>
        </r>
      </text>
    </comment>
    <comment ref="DA191" authorId="6">
      <text>
        <r>
          <rPr>
            <b/>
            <sz val="9"/>
            <color indexed="81"/>
            <rFont val="Calibri"/>
            <family val="2"/>
          </rPr>
          <t>Laura Sanchez:</t>
        </r>
        <r>
          <rPr>
            <sz val="9"/>
            <color indexed="81"/>
            <rFont val="Calibri"/>
            <family val="2"/>
          </rPr>
          <t xml:space="preserve">
VII: +32M</t>
        </r>
      </text>
    </comment>
    <comment ref="DE191" authorId="6">
      <text>
        <r>
          <rPr>
            <b/>
            <sz val="9"/>
            <color indexed="81"/>
            <rFont val="Calibri"/>
            <family val="2"/>
          </rPr>
          <t>Laura Sanchez:</t>
        </r>
        <r>
          <rPr>
            <sz val="9"/>
            <color indexed="81"/>
            <rFont val="Calibri"/>
            <family val="2"/>
          </rPr>
          <t xml:space="preserve">
VII</t>
        </r>
      </text>
    </comment>
    <comment ref="DI191" authorId="6">
      <text>
        <r>
          <rPr>
            <b/>
            <sz val="9"/>
            <color indexed="81"/>
            <rFont val="Calibri"/>
            <family val="2"/>
          </rPr>
          <t>Laura Sanchez:</t>
        </r>
        <r>
          <rPr>
            <sz val="9"/>
            <color indexed="81"/>
            <rFont val="Calibri"/>
            <family val="2"/>
          </rPr>
          <t xml:space="preserve">
+27mn VII
-10mn Litigation-related Reserves</t>
        </r>
      </text>
    </comment>
    <comment ref="DK191" authorId="6">
      <text>
        <r>
          <rPr>
            <b/>
            <sz val="9"/>
            <color indexed="81"/>
            <rFont val="Calibri"/>
            <family val="2"/>
          </rPr>
          <t>Laura Sanchez:</t>
        </r>
        <r>
          <rPr>
            <sz val="9"/>
            <color indexed="81"/>
            <rFont val="Calibri"/>
            <family val="2"/>
          </rPr>
          <t xml:space="preserve">
VII</t>
        </r>
      </text>
    </comment>
    <comment ref="DM191" authorId="7">
      <text>
        <r>
          <rPr>
            <b/>
            <sz val="9"/>
            <color indexed="81"/>
            <rFont val="Calibri"/>
            <family val="2"/>
          </rPr>
          <t>Sanchez Bolanos, Laura (Research):</t>
        </r>
        <r>
          <rPr>
            <sz val="9"/>
            <color indexed="81"/>
            <rFont val="Calibri"/>
            <family val="2"/>
          </rPr>
          <t xml:space="preserve">
+21 VII</t>
        </r>
      </text>
    </comment>
    <comment ref="DO191" authorId="2">
      <text>
        <r>
          <rPr>
            <b/>
            <sz val="9"/>
            <color indexed="81"/>
            <rFont val="Calibri"/>
            <family val="2"/>
          </rPr>
          <t>Zamora, Diana (Research):</t>
        </r>
        <r>
          <rPr>
            <sz val="9"/>
            <color indexed="81"/>
            <rFont val="Calibri"/>
            <family val="2"/>
          </rPr>
          <t xml:space="preserve">
VII</t>
        </r>
      </text>
    </comment>
    <comment ref="DW191" authorId="8">
      <text>
        <r>
          <rPr>
            <b/>
            <sz val="9"/>
            <color indexed="81"/>
            <rFont val="Calibri"/>
            <family val="2"/>
          </rPr>
          <t>Gupta, Tanmay (Research):</t>
        </r>
        <r>
          <rPr>
            <sz val="9"/>
            <color indexed="81"/>
            <rFont val="Calibri"/>
            <family val="2"/>
          </rPr>
          <t xml:space="preserve">
VII: $12mn
Tax Adj: $(1)mn</t>
        </r>
      </text>
    </comment>
    <comment ref="DY191" authorId="8">
      <text>
        <r>
          <rPr>
            <b/>
            <sz val="9"/>
            <color indexed="81"/>
            <rFont val="Calibri"/>
            <family val="2"/>
          </rPr>
          <t>Gupta, Tanmay (Research):</t>
        </r>
        <r>
          <rPr>
            <sz val="9"/>
            <color indexed="81"/>
            <rFont val="Calibri"/>
            <family val="2"/>
          </rPr>
          <t xml:space="preserve">
VII: $(9)mn
</t>
        </r>
      </text>
    </comment>
    <comment ref="EA191" authorId="8">
      <text>
        <r>
          <rPr>
            <b/>
            <sz val="9"/>
            <color indexed="81"/>
            <rFont val="Calibri"/>
            <family val="2"/>
          </rPr>
          <t>Gupta, Tanmay (Research):</t>
        </r>
        <r>
          <rPr>
            <sz val="9"/>
            <color indexed="81"/>
            <rFont val="Calibri"/>
            <family val="2"/>
          </rPr>
          <t xml:space="preserve">
VII: $(30)mn
</t>
        </r>
      </text>
    </comment>
    <comment ref="EC191" authorId="8">
      <text>
        <r>
          <rPr>
            <b/>
            <sz val="9"/>
            <color indexed="81"/>
            <rFont val="Calibri"/>
            <family val="2"/>
          </rPr>
          <t>Gupta, Tanmay (Research):</t>
        </r>
        <r>
          <rPr>
            <sz val="9"/>
            <color indexed="81"/>
            <rFont val="Calibri"/>
            <family val="2"/>
          </rPr>
          <t xml:space="preserve">
VII: $(2)mn
Act Review: $(27)mn
</t>
        </r>
      </text>
    </comment>
    <comment ref="EE191" authorId="8">
      <text>
        <r>
          <rPr>
            <b/>
            <sz val="9"/>
            <color indexed="81"/>
            <rFont val="Calibri"/>
            <family val="2"/>
          </rPr>
          <t>Gupta, Tanmay (Research):</t>
        </r>
        <r>
          <rPr>
            <sz val="9"/>
            <color indexed="81"/>
            <rFont val="Calibri"/>
            <family val="2"/>
          </rPr>
          <t xml:space="preserve">
VII: $(11)mn
</t>
        </r>
      </text>
    </comment>
    <comment ref="EI191" authorId="8">
      <text>
        <r>
          <rPr>
            <b/>
            <sz val="9"/>
            <color indexed="81"/>
            <rFont val="Tahoma"/>
            <family val="2"/>
          </rPr>
          <t>Gupta, Tanmay (Research):</t>
        </r>
        <r>
          <rPr>
            <sz val="9"/>
            <color indexed="81"/>
            <rFont val="Tahoma"/>
            <family val="2"/>
          </rPr>
          <t xml:space="preserve">
VII: $17mn
</t>
        </r>
      </text>
    </comment>
    <comment ref="EK191" authorId="8">
      <text>
        <r>
          <rPr>
            <b/>
            <sz val="9"/>
            <color indexed="81"/>
            <rFont val="Tahoma"/>
            <family val="2"/>
          </rPr>
          <t>Gupta, Tanmay (Research):</t>
        </r>
        <r>
          <rPr>
            <sz val="9"/>
            <color indexed="81"/>
            <rFont val="Tahoma"/>
            <family val="2"/>
          </rPr>
          <t xml:space="preserve">
VII: $17mn
</t>
        </r>
      </text>
    </comment>
    <comment ref="EO191" authorId="8">
      <text>
        <r>
          <rPr>
            <b/>
            <sz val="9"/>
            <color indexed="81"/>
            <rFont val="Tahoma"/>
            <family val="2"/>
          </rPr>
          <t>Gupta, Tanmay (Research):</t>
        </r>
        <r>
          <rPr>
            <sz val="9"/>
            <color indexed="81"/>
            <rFont val="Tahoma"/>
            <family val="2"/>
          </rPr>
          <t xml:space="preserve">
charge in relation to increasing certain RIS policy reserves</t>
        </r>
      </text>
    </comment>
    <comment ref="B201" authorId="1">
      <text>
        <r>
          <rPr>
            <b/>
            <sz val="9"/>
            <color indexed="81"/>
            <rFont val="Tahoma"/>
            <family val="2"/>
          </rPr>
          <t>Huang, Bob (Research):</t>
        </r>
        <r>
          <rPr>
            <sz val="9"/>
            <color indexed="81"/>
            <rFont val="Tahoma"/>
            <family val="2"/>
          </rPr>
          <t xml:space="preserve">
Net earned premium</t>
        </r>
      </text>
    </comment>
    <comment ref="GN222" authorId="8">
      <text>
        <r>
          <rPr>
            <b/>
            <sz val="9"/>
            <color indexed="81"/>
            <rFont val="Calibri"/>
            <family val="2"/>
          </rPr>
          <t>Gupta, Tanmay (Research):</t>
        </r>
        <r>
          <rPr>
            <sz val="9"/>
            <color indexed="81"/>
            <rFont val="Calibri"/>
            <family val="2"/>
          </rPr>
          <t xml:space="preserve">
2017 Outlook: Target 95-100%
• Expect P&amp;C CR at the upper end of range in 2017, with further improvement in 2018</t>
        </r>
      </text>
    </comment>
    <comment ref="GP222" authorId="1">
      <text>
        <r>
          <rPr>
            <b/>
            <sz val="9"/>
            <color indexed="81"/>
            <rFont val="Tahoma"/>
            <family val="2"/>
          </rPr>
          <t>Huang, Bob (Research):</t>
        </r>
        <r>
          <rPr>
            <sz val="9"/>
            <color indexed="81"/>
            <rFont val="Tahoma"/>
            <family val="2"/>
          </rPr>
          <t xml:space="preserve">
2018 Outlook: Target 94-99%
</t>
        </r>
      </text>
    </comment>
    <comment ref="EQ227" authorId="8">
      <text>
        <r>
          <rPr>
            <b/>
            <sz val="9"/>
            <color indexed="81"/>
            <rFont val="Tahoma"/>
            <family val="2"/>
          </rPr>
          <t>Gupta, Tanmay (Research):</t>
        </r>
        <r>
          <rPr>
            <sz val="9"/>
            <color indexed="81"/>
            <rFont val="Tahoma"/>
            <family val="2"/>
          </rPr>
          <t xml:space="preserve">
1Q18: MET has 2.9% homeowners market share in the Northeast. CB has 7.1% and preannounced $195m winter storm losses in January and March. Assuming $80mn in CAT losses</t>
        </r>
      </text>
    </comment>
    <comment ref="GN246" authorId="8">
      <text>
        <r>
          <rPr>
            <b/>
            <sz val="9"/>
            <color indexed="81"/>
            <rFont val="Calibri"/>
            <family val="2"/>
          </rPr>
          <t>Gupta, Tanmay (Research):</t>
        </r>
        <r>
          <rPr>
            <sz val="9"/>
            <color indexed="81"/>
            <rFont val="Calibri"/>
            <family val="2"/>
          </rPr>
          <t xml:space="preserve">
2017 Outlook: Target 88-93%. 
• Expect P&amp;C CR at the upper end of range in 2017, with further improvement in 2018</t>
        </r>
      </text>
    </comment>
    <comment ref="GP246" authorId="1">
      <text>
        <r>
          <rPr>
            <b/>
            <sz val="9"/>
            <color indexed="81"/>
            <rFont val="Tahoma"/>
            <family val="2"/>
          </rPr>
          <t>Huang, Bob (Research):</t>
        </r>
        <r>
          <rPr>
            <sz val="9"/>
            <color indexed="81"/>
            <rFont val="Tahoma"/>
            <family val="2"/>
          </rPr>
          <t xml:space="preserve">
2018 Outlook: Target 88-93%. </t>
        </r>
      </text>
    </comment>
    <comment ref="GN251" authorId="8">
      <text>
        <r>
          <rPr>
            <b/>
            <sz val="9"/>
            <color indexed="81"/>
            <rFont val="Calibri"/>
            <family val="2"/>
          </rPr>
          <t>Gupta, Tanmay (Research):</t>
        </r>
        <r>
          <rPr>
            <sz val="9"/>
            <color indexed="81"/>
            <rFont val="Calibri"/>
            <family val="2"/>
          </rPr>
          <t xml:space="preserve">
2017 Outlook: PFO Growth ~ 2-3%</t>
        </r>
      </text>
    </comment>
    <comment ref="GP251" authorId="1">
      <text>
        <r>
          <rPr>
            <b/>
            <sz val="9"/>
            <color indexed="81"/>
            <rFont val="Tahoma"/>
            <family val="2"/>
          </rPr>
          <t>Huang, Bob (Research):</t>
        </r>
        <r>
          <rPr>
            <sz val="9"/>
            <color indexed="81"/>
            <rFont val="Tahoma"/>
            <family val="2"/>
          </rPr>
          <t xml:space="preserve">
2018 Outlook: PFO Growth
1-2% in 2018 
5-7% in 2019/20</t>
        </r>
      </text>
    </comment>
    <comment ref="GR251" authorId="1">
      <text>
        <r>
          <rPr>
            <b/>
            <sz val="9"/>
            <color indexed="81"/>
            <rFont val="Tahoma"/>
            <family val="2"/>
          </rPr>
          <t>Huang, Bob (Research):</t>
        </r>
        <r>
          <rPr>
            <sz val="9"/>
            <color indexed="81"/>
            <rFont val="Tahoma"/>
            <family val="2"/>
          </rPr>
          <t xml:space="preserve">
5-7%</t>
        </r>
      </text>
    </comment>
    <comment ref="AK252" authorId="9">
      <text>
        <r>
          <rPr>
            <sz val="9"/>
            <color indexed="81"/>
            <rFont val="Calibri"/>
            <family val="2"/>
          </rPr>
          <t>Spreads were more favorable than normal.</t>
        </r>
      </text>
    </comment>
    <comment ref="DK252" authorId="2">
      <text>
        <r>
          <rPr>
            <b/>
            <sz val="9"/>
            <color indexed="81"/>
            <rFont val="Calibri"/>
            <family val="2"/>
          </rPr>
          <t>Zamora, Diana (Research):</t>
        </r>
        <r>
          <rPr>
            <sz val="9"/>
            <color indexed="81"/>
            <rFont val="Calibri"/>
            <family val="2"/>
          </rPr>
          <t xml:space="preserve">
Restated with 4/24/2015 8-K</t>
        </r>
      </text>
    </comment>
    <comment ref="DM252" authorId="2">
      <text>
        <r>
          <rPr>
            <b/>
            <sz val="9"/>
            <color indexed="81"/>
            <rFont val="Calibri"/>
            <family val="2"/>
          </rPr>
          <t>Zamora, Diana (Research):</t>
        </r>
        <r>
          <rPr>
            <sz val="9"/>
            <color indexed="81"/>
            <rFont val="Calibri"/>
            <family val="2"/>
          </rPr>
          <t xml:space="preserve">
Restated with 4/24/2015 8-K</t>
        </r>
      </text>
    </comment>
    <comment ref="DO252" authorId="2">
      <text>
        <r>
          <rPr>
            <b/>
            <sz val="9"/>
            <color indexed="81"/>
            <rFont val="Calibri"/>
            <family val="2"/>
          </rPr>
          <t>Zamora, Diana (Research):</t>
        </r>
        <r>
          <rPr>
            <sz val="9"/>
            <color indexed="81"/>
            <rFont val="Calibri"/>
            <family val="2"/>
          </rPr>
          <t xml:space="preserve">
Restated with 4/24/2015 8-K</t>
        </r>
      </text>
    </comment>
    <comment ref="DQ252" authorId="2">
      <text>
        <r>
          <rPr>
            <b/>
            <sz val="9"/>
            <color indexed="81"/>
            <rFont val="Calibri"/>
            <family val="2"/>
          </rPr>
          <t>Zamora, Diana (Research):</t>
        </r>
        <r>
          <rPr>
            <sz val="9"/>
            <color indexed="81"/>
            <rFont val="Calibri"/>
            <family val="2"/>
          </rPr>
          <t xml:space="preserve">
Restated with 4/24/2015 8-K</t>
        </r>
      </text>
    </comment>
    <comment ref="GN254" authorId="1">
      <text>
        <r>
          <rPr>
            <b/>
            <sz val="9"/>
            <color indexed="81"/>
            <rFont val="Tahoma"/>
            <family val="2"/>
          </rPr>
          <t>Huang, Bob (Research):</t>
        </r>
        <r>
          <rPr>
            <sz val="9"/>
            <color indexed="81"/>
            <rFont val="Tahoma"/>
            <family val="2"/>
          </rPr>
          <t xml:space="preserve">
outlook 2017: 2-3%</t>
        </r>
      </text>
    </comment>
    <comment ref="Q257" authorId="11">
      <text>
        <r>
          <rPr>
            <sz val="9"/>
            <color indexed="81"/>
            <rFont val="Calibri"/>
            <family val="2"/>
          </rPr>
          <t>$215m pretax charge</t>
        </r>
      </text>
    </comment>
    <comment ref="Y257" authorId="12">
      <text>
        <r>
          <rPr>
            <sz val="9"/>
            <color indexed="81"/>
            <rFont val="Calibri"/>
            <family val="2"/>
          </rPr>
          <t>Excludes a $20M positive benefit due to reserve releases related to "business realignment initiatives."</t>
        </r>
      </text>
    </comment>
    <comment ref="Q258" authorId="11">
      <text>
        <r>
          <rPr>
            <sz val="9"/>
            <color indexed="81"/>
            <rFont val="Calibri"/>
            <family val="2"/>
          </rPr>
          <t>$188m pretax charge</t>
        </r>
      </text>
    </comment>
    <comment ref="DK258" authorId="2">
      <text>
        <r>
          <rPr>
            <b/>
            <sz val="9"/>
            <color indexed="81"/>
            <rFont val="Calibri"/>
            <family val="2"/>
          </rPr>
          <t>Zamora, Diana (Research):</t>
        </r>
        <r>
          <rPr>
            <sz val="9"/>
            <color indexed="81"/>
            <rFont val="Calibri"/>
            <family val="2"/>
          </rPr>
          <t xml:space="preserve">
Restated with 4/24/2015 8-K</t>
        </r>
      </text>
    </comment>
    <comment ref="DM258" authorId="2">
      <text>
        <r>
          <rPr>
            <b/>
            <sz val="9"/>
            <color indexed="81"/>
            <rFont val="Calibri"/>
            <family val="2"/>
          </rPr>
          <t>Zamora, Diana (Research):</t>
        </r>
        <r>
          <rPr>
            <sz val="9"/>
            <color indexed="81"/>
            <rFont val="Calibri"/>
            <family val="2"/>
          </rPr>
          <t xml:space="preserve">
Restated with 4/24/2015 8-K</t>
        </r>
      </text>
    </comment>
    <comment ref="DO258" authorId="2">
      <text>
        <r>
          <rPr>
            <b/>
            <sz val="9"/>
            <color indexed="81"/>
            <rFont val="Calibri"/>
            <family val="2"/>
          </rPr>
          <t>Zamora, Diana (Research):</t>
        </r>
        <r>
          <rPr>
            <sz val="9"/>
            <color indexed="81"/>
            <rFont val="Calibri"/>
            <family val="2"/>
          </rPr>
          <t xml:space="preserve">
Restated with 4/24/2015 8-K</t>
        </r>
      </text>
    </comment>
    <comment ref="DQ258" authorId="2">
      <text>
        <r>
          <rPr>
            <b/>
            <sz val="9"/>
            <color indexed="81"/>
            <rFont val="Calibri"/>
            <family val="2"/>
          </rPr>
          <t>Zamora, Diana (Research):</t>
        </r>
        <r>
          <rPr>
            <sz val="9"/>
            <color indexed="81"/>
            <rFont val="Calibri"/>
            <family val="2"/>
          </rPr>
          <t xml:space="preserve">
Restated with 4/24/2015 8-K</t>
        </r>
      </text>
    </comment>
    <comment ref="AO266" authorId="13">
      <text>
        <r>
          <rPr>
            <b/>
            <sz val="9"/>
            <color indexed="81"/>
            <rFont val="Calibri"/>
            <family val="2"/>
          </rPr>
          <t>dallyn:</t>
        </r>
        <r>
          <rPr>
            <sz val="9"/>
            <color indexed="81"/>
            <rFont val="Calibri"/>
            <family val="2"/>
          </rPr>
          <t xml:space="preserve">
incl $55 from cjv
run-rate $180</t>
        </r>
      </text>
    </comment>
    <comment ref="Q267" authorId="12">
      <text>
        <r>
          <rPr>
            <sz val="9"/>
            <color indexed="81"/>
            <rFont val="Calibri"/>
            <family val="2"/>
          </rPr>
          <t>Adjusts the tax rate for the $264 million AT charge.</t>
        </r>
      </text>
    </comment>
    <comment ref="DK267" authorId="2">
      <text>
        <r>
          <rPr>
            <b/>
            <sz val="9"/>
            <color indexed="81"/>
            <rFont val="Calibri"/>
            <family val="2"/>
          </rPr>
          <t>Zamora, Diana (Research):</t>
        </r>
        <r>
          <rPr>
            <sz val="9"/>
            <color indexed="81"/>
            <rFont val="Calibri"/>
            <family val="2"/>
          </rPr>
          <t xml:space="preserve">
Restated with 4/24/2015 8-K</t>
        </r>
      </text>
    </comment>
    <comment ref="DM267" authorId="2">
      <text>
        <r>
          <rPr>
            <b/>
            <sz val="9"/>
            <color indexed="81"/>
            <rFont val="Calibri"/>
            <family val="2"/>
          </rPr>
          <t>Zamora, Diana (Research):</t>
        </r>
        <r>
          <rPr>
            <sz val="9"/>
            <color indexed="81"/>
            <rFont val="Calibri"/>
            <family val="2"/>
          </rPr>
          <t xml:space="preserve">
Restated with 4/24/2015 8-K</t>
        </r>
      </text>
    </comment>
    <comment ref="DO267" authorId="2">
      <text>
        <r>
          <rPr>
            <b/>
            <sz val="9"/>
            <color indexed="81"/>
            <rFont val="Calibri"/>
            <family val="2"/>
          </rPr>
          <t>Zamora, Diana (Research):</t>
        </r>
        <r>
          <rPr>
            <sz val="9"/>
            <color indexed="81"/>
            <rFont val="Calibri"/>
            <family val="2"/>
          </rPr>
          <t xml:space="preserve">
Restated with 4/24/2015 8-K</t>
        </r>
      </text>
    </comment>
    <comment ref="DQ267" authorId="2">
      <text>
        <r>
          <rPr>
            <b/>
            <sz val="9"/>
            <color indexed="81"/>
            <rFont val="Calibri"/>
            <family val="2"/>
          </rPr>
          <t>Zamora, Diana (Research):</t>
        </r>
        <r>
          <rPr>
            <sz val="9"/>
            <color indexed="81"/>
            <rFont val="Calibri"/>
            <family val="2"/>
          </rPr>
          <t xml:space="preserve">
Restated with 4/24/2015 8-K</t>
        </r>
      </text>
    </comment>
    <comment ref="Y269" authorId="12">
      <text>
        <r>
          <rPr>
            <sz val="9"/>
            <color indexed="81"/>
            <rFont val="Calibri"/>
            <family val="2"/>
          </rPr>
          <t>Earnings would be $120 million, if the $20M reserve release were included.</t>
        </r>
      </text>
    </comment>
    <comment ref="AM269" authorId="10">
      <text>
        <r>
          <rPr>
            <sz val="9"/>
            <color indexed="81"/>
            <rFont val="Calibri"/>
            <family val="2"/>
          </rPr>
          <t>Inclueds $8MM of prepayment gains</t>
        </r>
      </text>
    </comment>
    <comment ref="AQ269" authorId="14">
      <text>
        <r>
          <rPr>
            <sz val="9"/>
            <color indexed="81"/>
            <rFont val="Calibri"/>
            <family val="2"/>
          </rPr>
          <t>Includes roughly $18 million of favorable underwriting gains and Corp JV income</t>
        </r>
      </text>
    </comment>
    <comment ref="AS269" authorId="14">
      <text>
        <r>
          <rPr>
            <sz val="9"/>
            <color indexed="81"/>
            <rFont val="Calibri"/>
            <family val="2"/>
          </rPr>
          <t>$144MM run rate.  Includes $65 MM in excess investment income</t>
        </r>
      </text>
    </comment>
    <comment ref="AU269" authorId="14">
      <text>
        <r>
          <rPr>
            <sz val="9"/>
            <color indexed="81"/>
            <rFont val="Calibri"/>
            <family val="2"/>
          </rPr>
          <t>$180MM run rate.  $39MM excess inv inc, $4MM stale liab release, ($7MM) TLA exp.</t>
        </r>
      </text>
    </comment>
    <comment ref="FP269" authorId="10">
      <text>
        <r>
          <rPr>
            <b/>
            <sz val="9"/>
            <color indexed="81"/>
            <rFont val="Calibri"/>
            <family val="2"/>
          </rPr>
          <t xml:space="preserve">12/04 Investor Day: 
</t>
        </r>
        <r>
          <rPr>
            <sz val="9"/>
            <color indexed="81"/>
            <rFont val="Calibri"/>
            <family val="2"/>
          </rPr>
          <t>Oper Earns down by ~10% Y/Y, due mostly to spreads.</t>
        </r>
      </text>
    </comment>
    <comment ref="GH269" authorId="3">
      <text>
        <r>
          <rPr>
            <b/>
            <sz val="9"/>
            <color indexed="81"/>
            <rFont val="Calibri"/>
            <family val="2"/>
          </rPr>
          <t>dianaz:</t>
        </r>
        <r>
          <rPr>
            <sz val="9"/>
            <color indexed="81"/>
            <rFont val="Calibri"/>
            <family val="2"/>
          </rPr>
          <t xml:space="preserve">
Inv Day (12/12/2013): moderate growth</t>
        </r>
      </text>
    </comment>
    <comment ref="AW270" authorId="15">
      <text>
        <r>
          <rPr>
            <sz val="9"/>
            <color indexed="81"/>
            <rFont val="Calibri"/>
            <family val="2"/>
          </rPr>
          <t>$23 million of excess investment income</t>
        </r>
      </text>
    </comment>
    <comment ref="AY270" authorId="15">
      <text>
        <r>
          <rPr>
            <sz val="9"/>
            <color indexed="81"/>
            <rFont val="Calibri"/>
            <family val="2"/>
          </rPr>
          <t>+$13MM Excess variable income, -$3MM options expense, +$17MM stale liability writeoff, +$17MM Travelers error involving interest rates</t>
        </r>
      </text>
    </comment>
    <comment ref="BA270" authorId="16">
      <text>
        <r>
          <rPr>
            <sz val="9"/>
            <color indexed="81"/>
            <rFont val="Calibri"/>
            <family val="2"/>
          </rPr>
          <t>+$23MM excess variable income
-$11 MM cost of sale recordkeeping
+$11 MM one time reserve adjustment</t>
        </r>
      </text>
    </comment>
    <comment ref="BC270" authorId="16">
      <text>
        <r>
          <rPr>
            <sz val="9"/>
            <color indexed="81"/>
            <rFont val="Calibri"/>
            <family val="2"/>
          </rPr>
          <t>+$4M Excess Variable Income</t>
        </r>
      </text>
    </comment>
    <comment ref="BE270" authorId="15">
      <text>
        <r>
          <rPr>
            <sz val="9"/>
            <color indexed="81"/>
            <rFont val="Calibri"/>
            <family val="2"/>
          </rPr>
          <t>+$60M Excess Variable Income
-$8M Intercompany reinsurance capture</t>
        </r>
      </text>
    </comment>
    <comment ref="BG270" authorId="15">
      <text>
        <r>
          <rPr>
            <sz val="9"/>
            <color indexed="81"/>
            <rFont val="Calibri"/>
            <family val="2"/>
          </rPr>
          <t>+$22M Excess Variable Income</t>
        </r>
      </text>
    </comment>
    <comment ref="BK270" authorId="5">
      <text>
        <r>
          <rPr>
            <b/>
            <sz val="9"/>
            <color indexed="81"/>
            <rFont val="Calibri"/>
            <family val="2"/>
          </rPr>
          <t>haybuse:</t>
        </r>
        <r>
          <rPr>
            <sz val="9"/>
            <color indexed="81"/>
            <rFont val="Calibri"/>
            <family val="2"/>
          </rPr>
          <t xml:space="preserve">
1. Excess var</t>
        </r>
      </text>
    </comment>
    <comment ref="BM270" authorId="5">
      <text>
        <r>
          <rPr>
            <b/>
            <sz val="9"/>
            <color indexed="81"/>
            <rFont val="Calibri"/>
            <family val="2"/>
          </rPr>
          <t>Details:</t>
        </r>
        <r>
          <rPr>
            <sz val="9"/>
            <color indexed="81"/>
            <rFont val="Calibri"/>
            <family val="2"/>
          </rPr>
          <t xml:space="preserve">
1. Excess var</t>
        </r>
      </text>
    </comment>
    <comment ref="BO270" authorId="5">
      <text>
        <r>
          <rPr>
            <b/>
            <sz val="9"/>
            <color indexed="81"/>
            <rFont val="Calibri"/>
            <family val="2"/>
          </rPr>
          <t>Details:</t>
        </r>
        <r>
          <rPr>
            <sz val="9"/>
            <color indexed="81"/>
            <rFont val="Calibri"/>
            <family val="2"/>
          </rPr>
          <t xml:space="preserve">
1. Excess var fav: -2</t>
        </r>
      </text>
    </comment>
    <comment ref="BQ270" authorId="5">
      <text>
        <r>
          <rPr>
            <sz val="9"/>
            <color indexed="81"/>
            <rFont val="Calibri"/>
            <family val="2"/>
          </rPr>
          <t xml:space="preserve">
-16 Excess Var income
-42 Inst VA True-up</t>
        </r>
      </text>
    </comment>
    <comment ref="BS270" authorId="5">
      <text>
        <r>
          <rPr>
            <sz val="9"/>
            <color indexed="81"/>
            <rFont val="Calibri"/>
            <family val="2"/>
          </rPr>
          <t>-44: Excess var income
-33 Data true-up
28: GIC surrender Fee</t>
        </r>
      </text>
    </comment>
    <comment ref="BU270" authorId="5">
      <text>
        <r>
          <rPr>
            <sz val="9"/>
            <color indexed="81"/>
            <rFont val="Calibri"/>
            <family val="2"/>
          </rPr>
          <t>-44: Excess var income
-33 Data true-up
28: GIC surrender Fee</t>
        </r>
      </text>
    </comment>
    <comment ref="BW270" authorId="5">
      <text>
        <r>
          <rPr>
            <sz val="9"/>
            <color indexed="81"/>
            <rFont val="Calibri"/>
            <family val="2"/>
          </rPr>
          <t>Var Income: -141
Pension data correction: +3</t>
        </r>
      </text>
    </comment>
    <comment ref="BY270" authorId="5">
      <text>
        <r>
          <rPr>
            <sz val="9"/>
            <color indexed="81"/>
            <rFont val="Calibri"/>
            <family val="2"/>
          </rPr>
          <t>Var income below: -74
Positive reserve release: 21</t>
        </r>
      </text>
    </comment>
    <comment ref="CA270" authorId="5">
      <text>
        <r>
          <rPr>
            <b/>
            <sz val="9"/>
            <color indexed="81"/>
            <rFont val="Calibri"/>
            <family val="2"/>
          </rPr>
          <t>haybuse:</t>
        </r>
        <r>
          <rPr>
            <sz val="9"/>
            <color indexed="81"/>
            <rFont val="Calibri"/>
            <family val="2"/>
          </rPr>
          <t xml:space="preserve">
reinsurance true-up: -20
var income below: -42</t>
        </r>
      </text>
    </comment>
    <comment ref="CC270" authorId="5">
      <text>
        <r>
          <rPr>
            <b/>
            <sz val="9"/>
            <color indexed="81"/>
            <rFont val="Calibri"/>
            <family val="2"/>
          </rPr>
          <t>haybuse:</t>
        </r>
        <r>
          <rPr>
            <sz val="9"/>
            <color indexed="81"/>
            <rFont val="Calibri"/>
            <family val="2"/>
          </rPr>
          <t xml:space="preserve">
variable income: +9</t>
        </r>
      </text>
    </comment>
    <comment ref="CE270" authorId="5">
      <text>
        <r>
          <rPr>
            <b/>
            <sz val="9"/>
            <color indexed="81"/>
            <rFont val="Calibri"/>
            <family val="2"/>
          </rPr>
          <t>haybuse:</t>
        </r>
        <r>
          <rPr>
            <sz val="9"/>
            <color indexed="81"/>
            <rFont val="Calibri"/>
            <family val="2"/>
          </rPr>
          <t xml:space="preserve">
variable income: 37</t>
        </r>
      </text>
    </comment>
    <comment ref="CG270" authorId="5">
      <text>
        <r>
          <rPr>
            <b/>
            <sz val="9"/>
            <color indexed="81"/>
            <rFont val="Calibri"/>
            <family val="2"/>
          </rPr>
          <t>haybuse:</t>
        </r>
        <r>
          <rPr>
            <sz val="9"/>
            <color indexed="81"/>
            <rFont val="Calibri"/>
            <family val="2"/>
          </rPr>
          <t xml:space="preserve">
variable income: 48
</t>
        </r>
      </text>
    </comment>
    <comment ref="CI270" authorId="5">
      <text>
        <r>
          <rPr>
            <b/>
            <sz val="9"/>
            <color indexed="81"/>
            <rFont val="Calibri"/>
            <family val="2"/>
          </rPr>
          <t>haybuse:</t>
        </r>
        <r>
          <rPr>
            <sz val="9"/>
            <color indexed="81"/>
            <rFont val="Calibri"/>
            <family val="2"/>
          </rPr>
          <t xml:space="preserve">
variable income above $25M
Reserving $10M
</t>
        </r>
      </text>
    </comment>
    <comment ref="CK270" authorId="5">
      <text>
        <r>
          <rPr>
            <b/>
            <sz val="9"/>
            <color indexed="81"/>
            <rFont val="Calibri"/>
            <family val="2"/>
          </rPr>
          <t>haybuse:</t>
        </r>
        <r>
          <rPr>
            <sz val="9"/>
            <color indexed="81"/>
            <rFont val="Calibri"/>
            <family val="2"/>
          </rPr>
          <t xml:space="preserve">
excess variable income</t>
        </r>
      </text>
    </comment>
    <comment ref="CM270" authorId="5">
      <text>
        <r>
          <rPr>
            <b/>
            <sz val="9"/>
            <color indexed="81"/>
            <rFont val="Calibri"/>
            <family val="2"/>
          </rPr>
          <t>haybuse:</t>
        </r>
        <r>
          <rPr>
            <sz val="9"/>
            <color indexed="81"/>
            <rFont val="Calibri"/>
            <family val="2"/>
          </rPr>
          <t xml:space="preserve">
excess variable income</t>
        </r>
      </text>
    </comment>
    <comment ref="CO270" authorId="5">
      <text>
        <r>
          <rPr>
            <b/>
            <sz val="9"/>
            <color indexed="81"/>
            <rFont val="Calibri"/>
            <family val="2"/>
          </rPr>
          <t>haybuse:</t>
        </r>
        <r>
          <rPr>
            <sz val="9"/>
            <color indexed="81"/>
            <rFont val="Calibri"/>
            <family val="2"/>
          </rPr>
          <t xml:space="preserve">
excess variable income</t>
        </r>
      </text>
    </comment>
    <comment ref="CQ270" authorId="5">
      <text>
        <r>
          <rPr>
            <b/>
            <sz val="9"/>
            <color indexed="81"/>
            <rFont val="Calibri"/>
            <family val="2"/>
          </rPr>
          <t>haybuse:</t>
        </r>
        <r>
          <rPr>
            <sz val="9"/>
            <color indexed="81"/>
            <rFont val="Calibri"/>
            <family val="2"/>
          </rPr>
          <t xml:space="preserve">
VII</t>
        </r>
      </text>
    </comment>
    <comment ref="CW270" authorId="0">
      <text>
        <r>
          <rPr>
            <b/>
            <sz val="9"/>
            <color indexed="81"/>
            <rFont val="Calibri"/>
            <family val="2"/>
          </rPr>
          <t>sanclaur:</t>
        </r>
        <r>
          <rPr>
            <sz val="9"/>
            <color indexed="81"/>
            <rFont val="Calibri"/>
            <family val="2"/>
          </rPr>
          <t xml:space="preserve">
VII: +18M</t>
        </r>
      </text>
    </comment>
    <comment ref="DA270" authorId="6">
      <text>
        <r>
          <rPr>
            <b/>
            <sz val="9"/>
            <color indexed="81"/>
            <rFont val="Calibri"/>
            <family val="2"/>
          </rPr>
          <t>Laura Sanchez:</t>
        </r>
        <r>
          <rPr>
            <sz val="9"/>
            <color indexed="81"/>
            <rFont val="Calibri"/>
            <family val="2"/>
          </rPr>
          <t xml:space="preserve">
VII: +32M</t>
        </r>
      </text>
    </comment>
    <comment ref="DE270" authorId="6">
      <text>
        <r>
          <rPr>
            <b/>
            <sz val="9"/>
            <color indexed="81"/>
            <rFont val="Calibri"/>
            <family val="2"/>
          </rPr>
          <t>Laura Sanchez:</t>
        </r>
        <r>
          <rPr>
            <sz val="9"/>
            <color indexed="81"/>
            <rFont val="Calibri"/>
            <family val="2"/>
          </rPr>
          <t xml:space="preserve">
VII</t>
        </r>
      </text>
    </comment>
    <comment ref="DI270" authorId="6">
      <text>
        <r>
          <rPr>
            <b/>
            <sz val="9"/>
            <color indexed="81"/>
            <rFont val="Calibri"/>
            <family val="2"/>
          </rPr>
          <t>Laura Sanchez:</t>
        </r>
        <r>
          <rPr>
            <sz val="9"/>
            <color indexed="81"/>
            <rFont val="Calibri"/>
            <family val="2"/>
          </rPr>
          <t xml:space="preserve">
+27mn VII
-10mn Litigation-related Reserves</t>
        </r>
      </text>
    </comment>
    <comment ref="DK270" authorId="6">
      <text>
        <r>
          <rPr>
            <b/>
            <sz val="9"/>
            <color indexed="81"/>
            <rFont val="Calibri"/>
            <family val="2"/>
          </rPr>
          <t>Laura Sanchez:</t>
        </r>
        <r>
          <rPr>
            <sz val="9"/>
            <color indexed="81"/>
            <rFont val="Calibri"/>
            <family val="2"/>
          </rPr>
          <t xml:space="preserve">
VII</t>
        </r>
      </text>
    </comment>
    <comment ref="DM270" authorId="7">
      <text>
        <r>
          <rPr>
            <b/>
            <sz val="9"/>
            <color indexed="81"/>
            <rFont val="Calibri"/>
            <family val="2"/>
          </rPr>
          <t>Sanchez Bolanos, Laura (Research):</t>
        </r>
        <r>
          <rPr>
            <sz val="9"/>
            <color indexed="81"/>
            <rFont val="Calibri"/>
            <family val="2"/>
          </rPr>
          <t xml:space="preserve">
+21 VII</t>
        </r>
      </text>
    </comment>
    <comment ref="DO270" authorId="2">
      <text>
        <r>
          <rPr>
            <b/>
            <sz val="9"/>
            <color indexed="81"/>
            <rFont val="Calibri"/>
            <family val="2"/>
          </rPr>
          <t>Zamora, Diana (Research):</t>
        </r>
        <r>
          <rPr>
            <sz val="9"/>
            <color indexed="81"/>
            <rFont val="Calibri"/>
            <family val="2"/>
          </rPr>
          <t xml:space="preserve">
VII</t>
        </r>
      </text>
    </comment>
    <comment ref="DS270" authorId="8">
      <text>
        <r>
          <rPr>
            <b/>
            <sz val="9"/>
            <color indexed="81"/>
            <rFont val="Calibri"/>
            <family val="2"/>
          </rPr>
          <t>Gupta, Tanmay (Research):</t>
        </r>
        <r>
          <rPr>
            <sz val="9"/>
            <color indexed="81"/>
            <rFont val="Calibri"/>
            <family val="2"/>
          </rPr>
          <t xml:space="preserve">
CATS</t>
        </r>
      </text>
    </comment>
    <comment ref="DU270" authorId="8">
      <text>
        <r>
          <rPr>
            <b/>
            <sz val="9"/>
            <color indexed="81"/>
            <rFont val="Calibri"/>
            <family val="2"/>
          </rPr>
          <t>Gupta, Tanmay (Research):</t>
        </r>
        <r>
          <rPr>
            <sz val="9"/>
            <color indexed="81"/>
            <rFont val="Calibri"/>
            <family val="2"/>
          </rPr>
          <t xml:space="preserve">
CATS</t>
        </r>
      </text>
    </comment>
    <comment ref="DV270" authorId="8">
      <text>
        <r>
          <rPr>
            <b/>
            <sz val="9"/>
            <color indexed="81"/>
            <rFont val="Calibri"/>
            <family val="2"/>
          </rPr>
          <t>Gupta, Tanmay (Research):</t>
        </r>
        <r>
          <rPr>
            <sz val="9"/>
            <color indexed="81"/>
            <rFont val="Calibri"/>
            <family val="2"/>
          </rPr>
          <t xml:space="preserve">
CATS</t>
        </r>
      </text>
    </comment>
    <comment ref="DW270" authorId="8">
      <text>
        <r>
          <rPr>
            <b/>
            <sz val="9"/>
            <color indexed="81"/>
            <rFont val="Calibri"/>
            <family val="2"/>
          </rPr>
          <t>Gupta, Tanmay (Research):</t>
        </r>
        <r>
          <rPr>
            <sz val="9"/>
            <color indexed="81"/>
            <rFont val="Calibri"/>
            <family val="2"/>
          </rPr>
          <t xml:space="preserve">
CATS</t>
        </r>
      </text>
    </comment>
    <comment ref="DX270" authorId="8">
      <text>
        <r>
          <rPr>
            <b/>
            <sz val="9"/>
            <color indexed="81"/>
            <rFont val="Calibri"/>
            <family val="2"/>
          </rPr>
          <t>Gupta, Tanmay (Research):</t>
        </r>
        <r>
          <rPr>
            <sz val="9"/>
            <color indexed="81"/>
            <rFont val="Calibri"/>
            <family val="2"/>
          </rPr>
          <t xml:space="preserve">
CATS</t>
        </r>
      </text>
    </comment>
    <comment ref="DY270" authorId="8">
      <text>
        <r>
          <rPr>
            <b/>
            <sz val="9"/>
            <color indexed="81"/>
            <rFont val="Calibri"/>
            <family val="2"/>
          </rPr>
          <t>Gupta, Tanmay (Research):</t>
        </r>
        <r>
          <rPr>
            <sz val="9"/>
            <color indexed="81"/>
            <rFont val="Calibri"/>
            <family val="2"/>
          </rPr>
          <t xml:space="preserve">
CATS</t>
        </r>
      </text>
    </comment>
    <comment ref="DZ270" authorId="8">
      <text>
        <r>
          <rPr>
            <b/>
            <sz val="9"/>
            <color indexed="81"/>
            <rFont val="Calibri"/>
            <family val="2"/>
          </rPr>
          <t>Gupta, Tanmay (Research):</t>
        </r>
        <r>
          <rPr>
            <sz val="9"/>
            <color indexed="81"/>
            <rFont val="Calibri"/>
            <family val="2"/>
          </rPr>
          <t xml:space="preserve">
CATS</t>
        </r>
      </text>
    </comment>
    <comment ref="EA270" authorId="8">
      <text>
        <r>
          <rPr>
            <b/>
            <sz val="9"/>
            <color indexed="81"/>
            <rFont val="Calibri"/>
            <family val="2"/>
          </rPr>
          <t>Gupta, Tanmay (Research):</t>
        </r>
        <r>
          <rPr>
            <sz val="9"/>
            <color indexed="81"/>
            <rFont val="Calibri"/>
            <family val="2"/>
          </rPr>
          <t xml:space="preserve">
CATS</t>
        </r>
      </text>
    </comment>
    <comment ref="EB270" authorId="8">
      <text>
        <r>
          <rPr>
            <b/>
            <sz val="9"/>
            <color indexed="81"/>
            <rFont val="Calibri"/>
            <family val="2"/>
          </rPr>
          <t>Gupta, Tanmay (Research):</t>
        </r>
        <r>
          <rPr>
            <sz val="9"/>
            <color indexed="81"/>
            <rFont val="Calibri"/>
            <family val="2"/>
          </rPr>
          <t xml:space="preserve">
CATS</t>
        </r>
      </text>
    </comment>
    <comment ref="EC270" authorId="8">
      <text>
        <r>
          <rPr>
            <b/>
            <sz val="9"/>
            <color indexed="81"/>
            <rFont val="Calibri"/>
            <family val="2"/>
          </rPr>
          <t>Gupta, Tanmay (Research):</t>
        </r>
        <r>
          <rPr>
            <sz val="9"/>
            <color indexed="81"/>
            <rFont val="Calibri"/>
            <family val="2"/>
          </rPr>
          <t xml:space="preserve">
CATS</t>
        </r>
      </text>
    </comment>
    <comment ref="EE270" authorId="8">
      <text>
        <r>
          <rPr>
            <b/>
            <sz val="9"/>
            <color indexed="81"/>
            <rFont val="Calibri"/>
            <family val="2"/>
          </rPr>
          <t>Gupta, Tanmay (Research):</t>
        </r>
        <r>
          <rPr>
            <sz val="9"/>
            <color indexed="81"/>
            <rFont val="Calibri"/>
            <family val="2"/>
          </rPr>
          <t xml:space="preserve">
Fav CATs: $16mn
</t>
        </r>
      </text>
    </comment>
    <comment ref="EI270" authorId="8">
      <text>
        <r>
          <rPr>
            <b/>
            <sz val="9"/>
            <color indexed="81"/>
            <rFont val="Tahoma"/>
            <family val="2"/>
          </rPr>
          <t>Gupta, Tanmay (Research):</t>
        </r>
        <r>
          <rPr>
            <sz val="9"/>
            <color indexed="81"/>
            <rFont val="Tahoma"/>
            <family val="2"/>
          </rPr>
          <t xml:space="preserve">
VII: $2mn
CATs: $(45)mn
</t>
        </r>
      </text>
    </comment>
    <comment ref="EO270" authorId="8">
      <text>
        <r>
          <rPr>
            <b/>
            <sz val="9"/>
            <color indexed="81"/>
            <rFont val="Tahoma"/>
            <family val="2"/>
          </rPr>
          <t>Gupta, Tanmay (Research):</t>
        </r>
        <r>
          <rPr>
            <sz val="9"/>
            <color indexed="81"/>
            <rFont val="Tahoma"/>
            <family val="2"/>
          </rPr>
          <t xml:space="preserve">
$7mn of favorable PYD excluded from core</t>
        </r>
      </text>
    </comment>
    <comment ref="EA280" authorId="4">
      <text>
        <r>
          <rPr>
            <b/>
            <sz val="9"/>
            <color indexed="81"/>
            <rFont val="Calibri"/>
            <family val="2"/>
          </rPr>
          <t>Zheng, Chaodan (Research):</t>
        </r>
        <r>
          <rPr>
            <sz val="9"/>
            <color indexed="81"/>
            <rFont val="Calibri"/>
            <family val="2"/>
          </rPr>
          <t xml:space="preserve">
call with mgmt:
- sales has been a continuation of shift in focus
- want to avoid interest-sensitive products, accelerated value initiative drove several changes
- large declines in yen life, single premium A&amp;H, products which were challenging from a cash return standpoint even when rates were positive
- Korea is also driven by value initiatives</t>
        </r>
      </text>
    </comment>
    <comment ref="EC280" authorId="4">
      <text>
        <r>
          <rPr>
            <b/>
            <sz val="9"/>
            <color indexed="81"/>
            <rFont val="Calibri"/>
            <family val="2"/>
          </rPr>
          <t>Zheng, Chaodan (Research):</t>
        </r>
        <r>
          <rPr>
            <sz val="9"/>
            <color indexed="81"/>
            <rFont val="Calibri"/>
            <family val="2"/>
          </rPr>
          <t xml:space="preserve">
call with mgmt:
- sales has been a continuation of shift in focus
- want to avoid interest-sensitive products, accelerated value initiative drove several changes
- large declines in yen life, single premium A&amp;H, products which were challenging from a cash return standpoint even when rates were positive
- Korea is also driven by value initiatives</t>
        </r>
      </text>
    </comment>
    <comment ref="GN280" authorId="8">
      <text>
        <r>
          <rPr>
            <b/>
            <sz val="9"/>
            <color indexed="81"/>
            <rFont val="Calibri"/>
            <family val="2"/>
          </rPr>
          <t>Gupta, Tanmay (Research):</t>
        </r>
        <r>
          <rPr>
            <sz val="9"/>
            <color indexed="81"/>
            <rFont val="Calibri"/>
            <family val="2"/>
          </rPr>
          <t xml:space="preserve">
2017 Outlook: Low single-digit operating PFO growth on a constant currency basis</t>
        </r>
      </text>
    </comment>
    <comment ref="GP280" authorId="1">
      <text>
        <r>
          <rPr>
            <b/>
            <sz val="9"/>
            <color indexed="81"/>
            <rFont val="Tahoma"/>
            <family val="2"/>
          </rPr>
          <t>Huang, Bob (Research):</t>
        </r>
        <r>
          <rPr>
            <sz val="9"/>
            <color indexed="81"/>
            <rFont val="Tahoma"/>
            <family val="2"/>
          </rPr>
          <t xml:space="preserve">
2018 Outlook: Low single-digit operating PFO growth on a constant currency basis</t>
        </r>
      </text>
    </comment>
    <comment ref="DK282" authorId="2">
      <text>
        <r>
          <rPr>
            <b/>
            <sz val="9"/>
            <color indexed="81"/>
            <rFont val="Calibri"/>
            <family val="2"/>
          </rPr>
          <t>Zamora, Diana (Research):</t>
        </r>
        <r>
          <rPr>
            <sz val="9"/>
            <color indexed="81"/>
            <rFont val="Calibri"/>
            <family val="2"/>
          </rPr>
          <t xml:space="preserve">
Restated with 4/24/2015 8-K</t>
        </r>
      </text>
    </comment>
    <comment ref="DM282" authorId="2">
      <text>
        <r>
          <rPr>
            <b/>
            <sz val="9"/>
            <color indexed="81"/>
            <rFont val="Calibri"/>
            <family val="2"/>
          </rPr>
          <t>Zamora, Diana (Research):</t>
        </r>
        <r>
          <rPr>
            <sz val="9"/>
            <color indexed="81"/>
            <rFont val="Calibri"/>
            <family val="2"/>
          </rPr>
          <t xml:space="preserve">
Restated with 4/24/2015 8-K</t>
        </r>
      </text>
    </comment>
    <comment ref="DO282" authorId="2">
      <text>
        <r>
          <rPr>
            <b/>
            <sz val="9"/>
            <color indexed="81"/>
            <rFont val="Calibri"/>
            <family val="2"/>
          </rPr>
          <t>Zamora, Diana (Research):</t>
        </r>
        <r>
          <rPr>
            <sz val="9"/>
            <color indexed="81"/>
            <rFont val="Calibri"/>
            <family val="2"/>
          </rPr>
          <t xml:space="preserve">
Restated with 4/24/2015 8-K</t>
        </r>
      </text>
    </comment>
    <comment ref="DQ282" authorId="2">
      <text>
        <r>
          <rPr>
            <b/>
            <sz val="9"/>
            <color indexed="81"/>
            <rFont val="Calibri"/>
            <family val="2"/>
          </rPr>
          <t>Zamora, Diana (Research):</t>
        </r>
        <r>
          <rPr>
            <sz val="9"/>
            <color indexed="81"/>
            <rFont val="Calibri"/>
            <family val="2"/>
          </rPr>
          <t xml:space="preserve">
Restated with 4/24/2015 8-K</t>
        </r>
      </text>
    </comment>
    <comment ref="GH284" authorId="3">
      <text>
        <r>
          <rPr>
            <b/>
            <sz val="9"/>
            <color indexed="81"/>
            <rFont val="Calibri"/>
            <family val="2"/>
          </rPr>
          <t>dianaz:</t>
        </r>
        <r>
          <rPr>
            <sz val="9"/>
            <color indexed="81"/>
            <rFont val="Calibri"/>
            <family val="2"/>
          </rPr>
          <t xml:space="preserve">
Inv Day (12/12/2013): low end of 5-10% in 2014</t>
        </r>
      </text>
    </comment>
    <comment ref="GJ284" authorId="3">
      <text>
        <r>
          <rPr>
            <b/>
            <sz val="9"/>
            <color indexed="81"/>
            <rFont val="Calibri"/>
            <family val="2"/>
          </rPr>
          <t>dianaz:</t>
        </r>
        <r>
          <rPr>
            <sz val="9"/>
            <color indexed="81"/>
            <rFont val="Calibri"/>
            <family val="2"/>
          </rPr>
          <t xml:space="preserve">
Inv Day (12/12/2014): lower end
Inv Day (12/12/2013): 5-10% growth</t>
        </r>
      </text>
    </comment>
    <comment ref="GL284" authorId="3">
      <text>
        <r>
          <rPr>
            <b/>
            <sz val="9"/>
            <color indexed="81"/>
            <rFont val="Calibri"/>
            <family val="2"/>
          </rPr>
          <t>dianaz:</t>
        </r>
        <r>
          <rPr>
            <sz val="9"/>
            <color indexed="81"/>
            <rFont val="Calibri"/>
            <family val="2"/>
          </rPr>
          <t xml:space="preserve">
Inv Day (12/12/2014): unchanged
Inv Day (12/12/2013): 5-10% growth</t>
        </r>
      </text>
    </comment>
    <comment ref="GN284" authorId="1">
      <text>
        <r>
          <rPr>
            <b/>
            <sz val="9"/>
            <color indexed="81"/>
            <rFont val="Tahoma"/>
            <family val="2"/>
          </rPr>
          <t>Huang, Bob (Research):</t>
        </r>
        <r>
          <rPr>
            <sz val="9"/>
            <color indexed="81"/>
            <rFont val="Tahoma"/>
            <family val="2"/>
          </rPr>
          <t xml:space="preserve">
2017 outlook: low single digit constant assumption basis
</t>
        </r>
      </text>
    </comment>
    <comment ref="DK290" authorId="2">
      <text>
        <r>
          <rPr>
            <b/>
            <sz val="9"/>
            <color indexed="81"/>
            <rFont val="Calibri"/>
            <family val="2"/>
          </rPr>
          <t>Zamora, Diana (Research):</t>
        </r>
        <r>
          <rPr>
            <sz val="9"/>
            <color indexed="81"/>
            <rFont val="Calibri"/>
            <family val="2"/>
          </rPr>
          <t xml:space="preserve">
Restated with 4/24/2015 8-K</t>
        </r>
      </text>
    </comment>
    <comment ref="DM290" authorId="2">
      <text>
        <r>
          <rPr>
            <b/>
            <sz val="9"/>
            <color indexed="81"/>
            <rFont val="Calibri"/>
            <family val="2"/>
          </rPr>
          <t>Zamora, Diana (Research):</t>
        </r>
        <r>
          <rPr>
            <sz val="9"/>
            <color indexed="81"/>
            <rFont val="Calibri"/>
            <family val="2"/>
          </rPr>
          <t xml:space="preserve">
Restated with 4/24/2015 8-K</t>
        </r>
      </text>
    </comment>
    <comment ref="DO290" authorId="2">
      <text>
        <r>
          <rPr>
            <b/>
            <sz val="9"/>
            <color indexed="81"/>
            <rFont val="Calibri"/>
            <family val="2"/>
          </rPr>
          <t>Zamora, Diana (Research):</t>
        </r>
        <r>
          <rPr>
            <sz val="9"/>
            <color indexed="81"/>
            <rFont val="Calibri"/>
            <family val="2"/>
          </rPr>
          <t xml:space="preserve">
Restated with 4/24/2015 8-K</t>
        </r>
      </text>
    </comment>
    <comment ref="DQ290" authorId="2">
      <text>
        <r>
          <rPr>
            <b/>
            <sz val="9"/>
            <color indexed="81"/>
            <rFont val="Calibri"/>
            <family val="2"/>
          </rPr>
          <t>Zamora, Diana (Research):</t>
        </r>
        <r>
          <rPr>
            <sz val="9"/>
            <color indexed="81"/>
            <rFont val="Calibri"/>
            <family val="2"/>
          </rPr>
          <t xml:space="preserve">
Restated with 4/24/2015 8-K</t>
        </r>
      </text>
    </comment>
    <comment ref="GH290" authorId="2">
      <text>
        <r>
          <rPr>
            <b/>
            <sz val="9"/>
            <color indexed="81"/>
            <rFont val="Calibri"/>
            <family val="2"/>
          </rPr>
          <t>Zamora, Diana (Research):</t>
        </r>
        <r>
          <rPr>
            <sz val="9"/>
            <color indexed="81"/>
            <rFont val="Calibri"/>
            <family val="2"/>
          </rPr>
          <t xml:space="preserve">
2014 Japan investor ppt: Expense management is in-line expectations; expect continued improvement in efficiency in the next years</t>
        </r>
      </text>
    </comment>
    <comment ref="GL290" authorId="17">
      <text>
        <r>
          <rPr>
            <b/>
            <sz val="9"/>
            <color indexed="81"/>
            <rFont val="Calibri"/>
            <family val="2"/>
          </rPr>
          <t>Rojas, Isabel (Research):</t>
        </r>
        <r>
          <rPr>
            <sz val="9"/>
            <color indexed="81"/>
            <rFont val="Calibri"/>
            <family val="2"/>
          </rPr>
          <t xml:space="preserve">
Inv day (12/12/2014): growth in operating expenses no more than half of growth in operating PFOs</t>
        </r>
      </text>
    </comment>
    <comment ref="GP298" authorId="1">
      <text>
        <r>
          <rPr>
            <b/>
            <sz val="9"/>
            <color indexed="81"/>
            <rFont val="Tahoma"/>
            <family val="2"/>
          </rPr>
          <t>Huang, Bob (Research):</t>
        </r>
        <r>
          <rPr>
            <sz val="9"/>
            <color indexed="81"/>
            <rFont val="Tahoma"/>
            <family val="2"/>
          </rPr>
          <t xml:space="preserve">
2018 outlook: low single digit op earning growth</t>
        </r>
      </text>
    </comment>
    <comment ref="DK299" authorId="2">
      <text>
        <r>
          <rPr>
            <b/>
            <sz val="9"/>
            <color indexed="81"/>
            <rFont val="Calibri"/>
            <family val="2"/>
          </rPr>
          <t>Zamora, Diana (Research):</t>
        </r>
        <r>
          <rPr>
            <sz val="9"/>
            <color indexed="81"/>
            <rFont val="Calibri"/>
            <family val="2"/>
          </rPr>
          <t xml:space="preserve">
Restated with 4/24/2015 8-K</t>
        </r>
      </text>
    </comment>
    <comment ref="DM299" authorId="2">
      <text>
        <r>
          <rPr>
            <b/>
            <sz val="9"/>
            <color indexed="81"/>
            <rFont val="Calibri"/>
            <family val="2"/>
          </rPr>
          <t>Zamora, Diana (Research):</t>
        </r>
        <r>
          <rPr>
            <sz val="9"/>
            <color indexed="81"/>
            <rFont val="Calibri"/>
            <family val="2"/>
          </rPr>
          <t xml:space="preserve">
Restated with 4/24/2015 8-K</t>
        </r>
      </text>
    </comment>
    <comment ref="DO299" authorId="2">
      <text>
        <r>
          <rPr>
            <b/>
            <sz val="9"/>
            <color indexed="81"/>
            <rFont val="Calibri"/>
            <family val="2"/>
          </rPr>
          <t>Zamora, Diana (Research):</t>
        </r>
        <r>
          <rPr>
            <sz val="9"/>
            <color indexed="81"/>
            <rFont val="Calibri"/>
            <family val="2"/>
          </rPr>
          <t xml:space="preserve">
Restated with 4/24/2015 8-K</t>
        </r>
      </text>
    </comment>
    <comment ref="DQ299" authorId="2">
      <text>
        <r>
          <rPr>
            <b/>
            <sz val="9"/>
            <color indexed="81"/>
            <rFont val="Calibri"/>
            <family val="2"/>
          </rPr>
          <t>Zamora, Diana (Research):</t>
        </r>
        <r>
          <rPr>
            <sz val="9"/>
            <color indexed="81"/>
            <rFont val="Calibri"/>
            <family val="2"/>
          </rPr>
          <t xml:space="preserve">
Restated with 4/24/2015 8-K</t>
        </r>
      </text>
    </comment>
    <comment ref="GN300" authorId="8">
      <text>
        <r>
          <rPr>
            <b/>
            <sz val="9"/>
            <color indexed="81"/>
            <rFont val="Calibri"/>
            <family val="2"/>
          </rPr>
          <t>Gupta, Tanmay (Research):</t>
        </r>
        <r>
          <rPr>
            <sz val="9"/>
            <color indexed="81"/>
            <rFont val="Calibri"/>
            <family val="2"/>
          </rPr>
          <t xml:space="preserve">
2017 Outlook: Higher tax rate in Japan ~ 35%. 
• Out of tax loss carryforwards in Japan. Expect to start accruing at the full 35 corporate tax rate in 2017.
• Assume 100% of Japan earnings are repatriated to the US overtime and that's why have to pay the 35% US tax rate.
</t>
        </r>
      </text>
    </comment>
    <comment ref="GF301" authorId="3">
      <text>
        <r>
          <rPr>
            <b/>
            <sz val="9"/>
            <color indexed="81"/>
            <rFont val="Calibri"/>
            <family val="2"/>
          </rPr>
          <t>dianaz:</t>
        </r>
        <r>
          <rPr>
            <sz val="9"/>
            <color indexed="81"/>
            <rFont val="Calibri"/>
            <family val="2"/>
          </rPr>
          <t xml:space="preserve">
2Q13 guidance: given elevated surrenders in 1H13, expects a reduction of slightly $15mn annually </t>
        </r>
      </text>
    </comment>
    <comment ref="GH301" authorId="3">
      <text>
        <r>
          <rPr>
            <b/>
            <sz val="9"/>
            <color indexed="81"/>
            <rFont val="Calibri"/>
            <family val="2"/>
          </rPr>
          <t>dianaz:</t>
        </r>
        <r>
          <rPr>
            <sz val="9"/>
            <color indexed="81"/>
            <rFont val="Calibri"/>
            <family val="2"/>
          </rPr>
          <t xml:space="preserve">
Japan Inv Day: Op. earnings in 2H14 expected to be slightly lower given some non-recurring items  
Inv Day (12/12/2013): 
high single to low double digit on a constant exchange rate basis</t>
        </r>
      </text>
    </comment>
    <comment ref="GJ301" authorId="3">
      <text>
        <r>
          <rPr>
            <b/>
            <sz val="9"/>
            <color indexed="81"/>
            <rFont val="Calibri"/>
            <family val="2"/>
          </rPr>
          <t>dianaz:</t>
        </r>
        <r>
          <rPr>
            <sz val="9"/>
            <color indexed="81"/>
            <rFont val="Calibri"/>
            <family val="2"/>
          </rPr>
          <t xml:space="preserve">
Inv Day (12/12/2014): unchanged
Inv Day (12/12/2013): 
high single to low double digit on a constant exchange rate basis</t>
        </r>
      </text>
    </comment>
    <comment ref="GL301" authorId="3">
      <text>
        <r>
          <rPr>
            <b/>
            <sz val="9"/>
            <color indexed="81"/>
            <rFont val="Calibri"/>
            <family val="2"/>
          </rPr>
          <t>dianaz:</t>
        </r>
        <r>
          <rPr>
            <sz val="9"/>
            <color indexed="81"/>
            <rFont val="Calibri"/>
            <family val="2"/>
          </rPr>
          <t xml:space="preserve">
Inv Day (12/12/2014): unchanged
Inv Day (12/12/2013): 
high single to low double digit on a constant exchange rate basis</t>
        </r>
      </text>
    </comment>
    <comment ref="GN301" authorId="8">
      <text>
        <r>
          <rPr>
            <b/>
            <sz val="9"/>
            <color indexed="81"/>
            <rFont val="Calibri"/>
            <family val="2"/>
          </rPr>
          <t>Gupta, Tanmay (Research):</t>
        </r>
        <r>
          <rPr>
            <sz val="9"/>
            <color indexed="81"/>
            <rFont val="Calibri"/>
            <family val="2"/>
          </rPr>
          <t xml:space="preserve">
2017 Outlook: negatively impacted by the change in Japan’s tax rate and other items totaling $100 million before returning to high single-digit earnings growth</t>
        </r>
      </text>
    </comment>
    <comment ref="CK303" authorId="5">
      <text>
        <r>
          <rPr>
            <b/>
            <sz val="9"/>
            <color indexed="81"/>
            <rFont val="Calibri"/>
            <family val="2"/>
          </rPr>
          <t>haybuse:</t>
        </r>
        <r>
          <rPr>
            <sz val="9"/>
            <color indexed="81"/>
            <rFont val="Calibri"/>
            <family val="2"/>
          </rPr>
          <t xml:space="preserve">
various one-time costs associated with integration</t>
        </r>
      </text>
    </comment>
    <comment ref="CO303" authorId="5">
      <text>
        <r>
          <rPr>
            <b/>
            <sz val="9"/>
            <color indexed="81"/>
            <rFont val="Calibri"/>
            <family val="2"/>
          </rPr>
          <t>haybuse:</t>
        </r>
        <r>
          <rPr>
            <sz val="9"/>
            <color indexed="81"/>
            <rFont val="Calibri"/>
            <family val="2"/>
          </rPr>
          <t xml:space="preserve">
quake related costs</t>
        </r>
      </text>
    </comment>
    <comment ref="CQ303" authorId="5">
      <text>
        <r>
          <rPr>
            <b/>
            <sz val="9"/>
            <color indexed="81"/>
            <rFont val="Calibri"/>
            <family val="2"/>
          </rPr>
          <t>haybuse:</t>
        </r>
        <r>
          <rPr>
            <sz val="9"/>
            <color indexed="81"/>
            <rFont val="Calibri"/>
            <family val="2"/>
          </rPr>
          <t xml:space="preserve">
quake claim adj</t>
        </r>
      </text>
    </comment>
    <comment ref="CU303" authorId="5">
      <text>
        <r>
          <rPr>
            <b/>
            <sz val="9"/>
            <color indexed="81"/>
            <rFont val="Calibri"/>
            <family val="2"/>
          </rPr>
          <t>haybuse:</t>
        </r>
        <r>
          <rPr>
            <sz val="9"/>
            <color indexed="81"/>
            <rFont val="Calibri"/>
            <family val="2"/>
          </rPr>
          <t xml:space="preserve">
japan reserve release</t>
        </r>
      </text>
    </comment>
    <comment ref="CW303" authorId="0">
      <text>
        <r>
          <rPr>
            <b/>
            <sz val="9"/>
            <color indexed="81"/>
            <rFont val="Calibri"/>
            <family val="2"/>
          </rPr>
          <t>sanclaur:</t>
        </r>
        <r>
          <rPr>
            <sz val="9"/>
            <color indexed="81"/>
            <rFont val="Calibri"/>
            <family val="2"/>
          </rPr>
          <t xml:space="preserve">
VII: +24M
Japan DAC: -17M</t>
        </r>
      </text>
    </comment>
    <comment ref="DA303" authorId="6">
      <text>
        <r>
          <rPr>
            <b/>
            <sz val="9"/>
            <color indexed="81"/>
            <rFont val="Calibri"/>
            <family val="2"/>
          </rPr>
          <t>Laura Sanchez:</t>
        </r>
        <r>
          <rPr>
            <sz val="9"/>
            <color indexed="81"/>
            <rFont val="Calibri"/>
            <family val="2"/>
          </rPr>
          <t xml:space="preserve">
Assumptions Review: -62M</t>
        </r>
      </text>
    </comment>
    <comment ref="DC303" authorId="6">
      <text>
        <r>
          <rPr>
            <b/>
            <sz val="9"/>
            <color indexed="81"/>
            <rFont val="Calibri"/>
            <family val="2"/>
          </rPr>
          <t>Laura Sanchez:</t>
        </r>
        <r>
          <rPr>
            <sz val="9"/>
            <color indexed="81"/>
            <rFont val="Calibri"/>
            <family val="2"/>
          </rPr>
          <t xml:space="preserve">
VII</t>
        </r>
      </text>
    </comment>
    <comment ref="DE303" authorId="6">
      <text>
        <r>
          <rPr>
            <b/>
            <sz val="9"/>
            <color indexed="81"/>
            <rFont val="Calibri"/>
            <family val="2"/>
          </rPr>
          <t>Laura Sanchez:</t>
        </r>
        <r>
          <rPr>
            <sz val="9"/>
            <color indexed="81"/>
            <rFont val="Calibri"/>
            <family val="2"/>
          </rPr>
          <t xml:space="preserve">
VII</t>
        </r>
      </text>
    </comment>
    <comment ref="DG303" authorId="6">
      <text>
        <r>
          <rPr>
            <b/>
            <sz val="9"/>
            <color indexed="81"/>
            <rFont val="Calibri"/>
            <family val="2"/>
          </rPr>
          <t>Laura Sanchez:</t>
        </r>
        <r>
          <rPr>
            <sz val="9"/>
            <color indexed="81"/>
            <rFont val="Calibri"/>
            <family val="2"/>
          </rPr>
          <t xml:space="preserve">
-57 reserve development in AUD
-13 DAC</t>
        </r>
      </text>
    </comment>
    <comment ref="DI303" authorId="6">
      <text>
        <r>
          <rPr>
            <b/>
            <sz val="9"/>
            <color indexed="81"/>
            <rFont val="Calibri"/>
            <family val="2"/>
          </rPr>
          <t>Laura Sanchez:</t>
        </r>
        <r>
          <rPr>
            <sz val="9"/>
            <color indexed="81"/>
            <rFont val="Calibri"/>
            <family val="2"/>
          </rPr>
          <t xml:space="preserve">
VII</t>
        </r>
      </text>
    </comment>
    <comment ref="DO303" authorId="2">
      <text>
        <r>
          <rPr>
            <b/>
            <sz val="9"/>
            <color indexed="81"/>
            <rFont val="Calibri"/>
            <family val="2"/>
          </rPr>
          <t>Zamora, Diana (Research):</t>
        </r>
        <r>
          <rPr>
            <sz val="9"/>
            <color indexed="81"/>
            <rFont val="Calibri"/>
            <family val="2"/>
          </rPr>
          <t xml:space="preserve">
-13 Actuarial Review
+3 VII</t>
        </r>
      </text>
    </comment>
    <comment ref="DQ303" authorId="2">
      <text>
        <r>
          <rPr>
            <b/>
            <sz val="9"/>
            <color indexed="81"/>
            <rFont val="Calibri"/>
            <family val="2"/>
          </rPr>
          <t>Zamora, Diana (Research):</t>
        </r>
        <r>
          <rPr>
            <sz val="9"/>
            <color indexed="81"/>
            <rFont val="Calibri"/>
            <family val="2"/>
          </rPr>
          <t xml:space="preserve">
actuarial review</t>
        </r>
      </text>
    </comment>
    <comment ref="DW303" authorId="7">
      <text>
        <r>
          <rPr>
            <b/>
            <sz val="9"/>
            <color indexed="81"/>
            <rFont val="Calibri"/>
            <family val="2"/>
          </rPr>
          <t>Sanchez Bolanos, Laura (Research):</t>
        </r>
        <r>
          <rPr>
            <sz val="9"/>
            <color indexed="81"/>
            <rFont val="Calibri"/>
            <family val="2"/>
          </rPr>
          <t xml:space="preserve">
VII: $(10)mn
Actuarial ass: $9mn</t>
        </r>
      </text>
    </comment>
    <comment ref="DY303" authorId="7">
      <text>
        <r>
          <rPr>
            <b/>
            <sz val="9"/>
            <color indexed="81"/>
            <rFont val="Calibri"/>
            <family val="2"/>
          </rPr>
          <t>Sanchez Bolanos, Laura (Research):</t>
        </r>
        <r>
          <rPr>
            <sz val="9"/>
            <color indexed="81"/>
            <rFont val="Calibri"/>
            <family val="2"/>
          </rPr>
          <t xml:space="preserve">
VII: $(24)mn
</t>
        </r>
      </text>
    </comment>
    <comment ref="EA303" authorId="7">
      <text>
        <r>
          <rPr>
            <b/>
            <sz val="9"/>
            <color indexed="81"/>
            <rFont val="Calibri"/>
            <family val="2"/>
          </rPr>
          <t>Sanchez Bolanos, Laura (Research):</t>
        </r>
        <r>
          <rPr>
            <sz val="9"/>
            <color indexed="81"/>
            <rFont val="Calibri"/>
            <family val="2"/>
          </rPr>
          <t xml:space="preserve">
VII: $(20)mn
Tax Adj: $20mn</t>
        </r>
      </text>
    </comment>
    <comment ref="EC303" authorId="7">
      <text>
        <r>
          <rPr>
            <b/>
            <sz val="9"/>
            <color indexed="81"/>
            <rFont val="Calibri"/>
            <family val="2"/>
          </rPr>
          <t>Sanchez Bolanos, Laura (Research):</t>
        </r>
        <r>
          <rPr>
            <sz val="9"/>
            <color indexed="81"/>
            <rFont val="Calibri"/>
            <family val="2"/>
          </rPr>
          <t xml:space="preserve">
VII: $(10)mn
Act Review: $(44)mn</t>
        </r>
      </text>
    </comment>
    <comment ref="EE303" authorId="7">
      <text>
        <r>
          <rPr>
            <b/>
            <sz val="9"/>
            <color indexed="81"/>
            <rFont val="Calibri"/>
            <family val="2"/>
          </rPr>
          <t>Sanchez Bolanos, Laura (Research):</t>
        </r>
        <r>
          <rPr>
            <sz val="9"/>
            <color indexed="81"/>
            <rFont val="Calibri"/>
            <family val="2"/>
          </rPr>
          <t xml:space="preserve">
VII: $(11)mn
Act Ass Adj: $(14)mn</t>
        </r>
      </text>
    </comment>
    <comment ref="EI303" authorId="7">
      <text>
        <r>
          <rPr>
            <b/>
            <sz val="9"/>
            <color indexed="81"/>
            <rFont val="Tahoma"/>
            <family val="2"/>
          </rPr>
          <t>Sanchez Bolanos, Laura (Research):</t>
        </r>
        <r>
          <rPr>
            <sz val="9"/>
            <color indexed="81"/>
            <rFont val="Tahoma"/>
            <family val="2"/>
          </rPr>
          <t xml:space="preserve">
VII: $(3)mn
</t>
        </r>
      </text>
    </comment>
    <comment ref="EK303" authorId="7">
      <text>
        <r>
          <rPr>
            <b/>
            <sz val="9"/>
            <color indexed="81"/>
            <rFont val="Tahoma"/>
            <family val="2"/>
          </rPr>
          <t>Sanchez Bolanos, Laura (Research):</t>
        </r>
        <r>
          <rPr>
            <sz val="9"/>
            <color indexed="81"/>
            <rFont val="Tahoma"/>
            <family val="2"/>
          </rPr>
          <t xml:space="preserve">
Act Review: $12mn
</t>
        </r>
      </text>
    </comment>
    <comment ref="EM303" authorId="7">
      <text>
        <r>
          <rPr>
            <b/>
            <sz val="9"/>
            <color indexed="81"/>
            <rFont val="Tahoma"/>
            <family val="2"/>
          </rPr>
          <t>Sanchez Bolanos, Laura (Research):</t>
        </r>
        <r>
          <rPr>
            <sz val="9"/>
            <color indexed="81"/>
            <rFont val="Tahoma"/>
            <family val="2"/>
          </rPr>
          <t xml:space="preserve">
Act Review: $12mn
</t>
        </r>
      </text>
    </comment>
    <comment ref="CK304" authorId="5">
      <text>
        <r>
          <rPr>
            <b/>
            <sz val="9"/>
            <color indexed="81"/>
            <rFont val="Calibri"/>
            <family val="2"/>
          </rPr>
          <t>haybuse:</t>
        </r>
        <r>
          <rPr>
            <sz val="9"/>
            <color indexed="81"/>
            <rFont val="Calibri"/>
            <family val="2"/>
          </rPr>
          <t xml:space="preserve">
includes only 1 month of earnings</t>
        </r>
      </text>
    </comment>
    <comment ref="GN304" authorId="1">
      <text>
        <r>
          <rPr>
            <b/>
            <sz val="9"/>
            <color indexed="81"/>
            <rFont val="Tahoma"/>
            <family val="2"/>
          </rPr>
          <t>Huang, Bob (Research):</t>
        </r>
        <r>
          <rPr>
            <sz val="9"/>
            <color indexed="81"/>
            <rFont val="Tahoma"/>
            <family val="2"/>
          </rPr>
          <t xml:space="preserve">
2017 outlook: negatively impacted by tx rate and other
</t>
        </r>
      </text>
    </comment>
    <comment ref="DK313" authorId="2">
      <text>
        <r>
          <rPr>
            <b/>
            <sz val="9"/>
            <color indexed="81"/>
            <rFont val="Calibri"/>
            <family val="2"/>
          </rPr>
          <t>Zamora, Diana (Research):</t>
        </r>
        <r>
          <rPr>
            <sz val="9"/>
            <color indexed="81"/>
            <rFont val="Calibri"/>
            <family val="2"/>
          </rPr>
          <t xml:space="preserve">
Restated with 4/24/2015 8-K</t>
        </r>
      </text>
    </comment>
    <comment ref="DM313" authorId="2">
      <text>
        <r>
          <rPr>
            <b/>
            <sz val="9"/>
            <color indexed="81"/>
            <rFont val="Calibri"/>
            <family val="2"/>
          </rPr>
          <t>Zamora, Diana (Research):</t>
        </r>
        <r>
          <rPr>
            <sz val="9"/>
            <color indexed="81"/>
            <rFont val="Calibri"/>
            <family val="2"/>
          </rPr>
          <t xml:space="preserve">
Restated with 4/24/2015 8-K</t>
        </r>
      </text>
    </comment>
    <comment ref="DO313" authorId="2">
      <text>
        <r>
          <rPr>
            <b/>
            <sz val="9"/>
            <color indexed="81"/>
            <rFont val="Calibri"/>
            <family val="2"/>
          </rPr>
          <t>Zamora, Diana (Research):</t>
        </r>
        <r>
          <rPr>
            <sz val="9"/>
            <color indexed="81"/>
            <rFont val="Calibri"/>
            <family val="2"/>
          </rPr>
          <t xml:space="preserve">
Restated with 4/24/2015 8-K</t>
        </r>
      </text>
    </comment>
    <comment ref="DQ313" authorId="2">
      <text>
        <r>
          <rPr>
            <b/>
            <sz val="9"/>
            <color indexed="81"/>
            <rFont val="Calibri"/>
            <family val="2"/>
          </rPr>
          <t>Zamora, Diana (Research):</t>
        </r>
        <r>
          <rPr>
            <sz val="9"/>
            <color indexed="81"/>
            <rFont val="Calibri"/>
            <family val="2"/>
          </rPr>
          <t xml:space="preserve">
Restated with 4/24/2015 8-K</t>
        </r>
      </text>
    </comment>
    <comment ref="EA313" authorId="4">
      <text>
        <r>
          <rPr>
            <b/>
            <sz val="9"/>
            <color indexed="81"/>
            <rFont val="Calibri"/>
            <family val="2"/>
          </rPr>
          <t>Zheng, Chaodan (Research):</t>
        </r>
        <r>
          <rPr>
            <sz val="9"/>
            <color indexed="81"/>
            <rFont val="Calibri"/>
            <family val="2"/>
          </rPr>
          <t xml:space="preserve">
call with mgmt:
- sales: reflects US direct were down 20%; excluding-US direct up 3%; excluding Afore in Mexico, up 8%, impacted by regulatory change which affected churn in the industry
</t>
        </r>
      </text>
    </comment>
    <comment ref="EC313" authorId="4">
      <text>
        <r>
          <rPr>
            <b/>
            <sz val="9"/>
            <color indexed="81"/>
            <rFont val="Calibri"/>
            <family val="2"/>
          </rPr>
          <t>Zheng, Chaodan (Research):</t>
        </r>
        <r>
          <rPr>
            <sz val="9"/>
            <color indexed="81"/>
            <rFont val="Calibri"/>
            <family val="2"/>
          </rPr>
          <t xml:space="preserve">
call with mgmt:
- sales: reflects US direct were down 20%; excluding-US direct up 3%; excluding Afore in Mexico, up 8%, impacted by regulatory change which affected churn in the industry
</t>
        </r>
      </text>
    </comment>
    <comment ref="GN313" authorId="8">
      <text>
        <r>
          <rPr>
            <b/>
            <sz val="9"/>
            <color indexed="81"/>
            <rFont val="Calibri"/>
            <family val="2"/>
          </rPr>
          <t>Gupta, Tanmay (Research):</t>
        </r>
        <r>
          <rPr>
            <sz val="9"/>
            <color indexed="81"/>
            <rFont val="Calibri"/>
            <family val="2"/>
          </rPr>
          <t xml:space="preserve">
2017 Outlook: high single-digit annual growth in operating PFOs</t>
        </r>
      </text>
    </comment>
    <comment ref="GP313" authorId="1">
      <text>
        <r>
          <rPr>
            <b/>
            <sz val="9"/>
            <color indexed="81"/>
            <rFont val="Tahoma"/>
            <family val="2"/>
          </rPr>
          <t>Huang, Bob (Research):</t>
        </r>
        <r>
          <rPr>
            <sz val="9"/>
            <color indexed="81"/>
            <rFont val="Tahoma"/>
            <family val="2"/>
          </rPr>
          <t xml:space="preserve">
2017 Outlook: high single-digit annual growth in operating PFOs</t>
        </r>
      </text>
    </comment>
    <comment ref="GH317" authorId="3">
      <text>
        <r>
          <rPr>
            <b/>
            <sz val="9"/>
            <color indexed="81"/>
            <rFont val="Calibri"/>
            <family val="2"/>
          </rPr>
          <t>dianaz:</t>
        </r>
        <r>
          <rPr>
            <sz val="9"/>
            <color indexed="81"/>
            <rFont val="Calibri"/>
            <family val="2"/>
          </rPr>
          <t xml:space="preserve">
Inv Day (12/12/2013): low double-digit avg annual growth, ex-Provida</t>
        </r>
      </text>
    </comment>
    <comment ref="GJ317" authorId="3">
      <text>
        <r>
          <rPr>
            <b/>
            <sz val="9"/>
            <color indexed="81"/>
            <rFont val="Calibri"/>
            <family val="2"/>
          </rPr>
          <t>dianaz:</t>
        </r>
        <r>
          <rPr>
            <sz val="9"/>
            <color indexed="81"/>
            <rFont val="Calibri"/>
            <family val="2"/>
          </rPr>
          <t xml:space="preserve">
Inv Day (12/12/2014): low double-digit annual growth
Inv Day (12/12/2013): low double-digit avg annual growth, ex-Provida</t>
        </r>
      </text>
    </comment>
    <comment ref="GL317" authorId="3">
      <text>
        <r>
          <rPr>
            <b/>
            <sz val="9"/>
            <color indexed="81"/>
            <rFont val="Calibri"/>
            <family val="2"/>
          </rPr>
          <t>dianaz:</t>
        </r>
        <r>
          <rPr>
            <sz val="9"/>
            <color indexed="81"/>
            <rFont val="Calibri"/>
            <family val="2"/>
          </rPr>
          <t xml:space="preserve">
Inv Day (12/12/2014): low double-digit annual growth
Inv Day (12/12/2013): low double-digit avg annual growth, ex-Provida</t>
        </r>
      </text>
    </comment>
    <comment ref="GN317" authorId="1">
      <text>
        <r>
          <rPr>
            <b/>
            <sz val="9"/>
            <color indexed="81"/>
            <rFont val="Tahoma"/>
            <family val="2"/>
          </rPr>
          <t>Huang, Bob (Research):</t>
        </r>
        <r>
          <rPr>
            <sz val="9"/>
            <color indexed="81"/>
            <rFont val="Tahoma"/>
            <family val="2"/>
          </rPr>
          <t xml:space="preserve">
2017 outlook: high single digit</t>
        </r>
      </text>
    </comment>
    <comment ref="GH334" authorId="6">
      <text>
        <r>
          <rPr>
            <b/>
            <sz val="9"/>
            <color indexed="81"/>
            <rFont val="Calibri"/>
            <family val="2"/>
          </rPr>
          <t>Laura Sanchez:</t>
        </r>
        <r>
          <rPr>
            <sz val="9"/>
            <color indexed="81"/>
            <rFont val="Calibri"/>
            <family val="2"/>
          </rPr>
          <t xml:space="preserve">
Inv Day (12/12/2013): consistent with PFOs growth, ex-Provida</t>
        </r>
      </text>
    </comment>
    <comment ref="GJ334" authorId="6">
      <text>
        <r>
          <rPr>
            <b/>
            <sz val="9"/>
            <color indexed="81"/>
            <rFont val="Calibri"/>
            <family val="2"/>
          </rPr>
          <t>Laura Sanchez:</t>
        </r>
        <r>
          <rPr>
            <sz val="9"/>
            <color indexed="81"/>
            <rFont val="Calibri"/>
            <family val="2"/>
          </rPr>
          <t xml:space="preserve">
Inv Day (12/12/2014): unchanged
Inv Day (12/12/2013): consistent with PFOs growth, ex-Provida</t>
        </r>
      </text>
    </comment>
    <comment ref="GL334" authorId="6">
      <text>
        <r>
          <rPr>
            <b/>
            <sz val="9"/>
            <color indexed="81"/>
            <rFont val="Calibri"/>
            <family val="2"/>
          </rPr>
          <t>Laura Sanchez:</t>
        </r>
        <r>
          <rPr>
            <sz val="9"/>
            <color indexed="81"/>
            <rFont val="Calibri"/>
            <family val="2"/>
          </rPr>
          <t xml:space="preserve">
Inv Day (12/12/2014): unchanged
Inv Day (12/12/2013): consistent with PFOs growth, ex-Provida</t>
        </r>
      </text>
    </comment>
    <comment ref="GN334" authorId="8">
      <text>
        <r>
          <rPr>
            <b/>
            <sz val="9"/>
            <color indexed="81"/>
            <rFont val="Calibri"/>
            <family val="2"/>
          </rPr>
          <t>Gupta, Tanmay (Research):</t>
        </r>
        <r>
          <rPr>
            <sz val="9"/>
            <color indexed="81"/>
            <rFont val="Calibri"/>
            <family val="2"/>
          </rPr>
          <t xml:space="preserve">
2017 Outlook: 
- Uncertainty around potential changes to our pension business in Chile could adversely impact Latin America operating earnings by up to 5%
- Baseline operating earnings at current exchange rates would be approximately 10% lower primarily due to Mexican peso deterioration</t>
        </r>
      </text>
    </comment>
    <comment ref="CO336" authorId="5">
      <text>
        <r>
          <rPr>
            <b/>
            <sz val="9"/>
            <color indexed="81"/>
            <rFont val="Calibri"/>
            <family val="2"/>
          </rPr>
          <t>haybuse:</t>
        </r>
        <r>
          <rPr>
            <sz val="9"/>
            <color indexed="81"/>
            <rFont val="Calibri"/>
            <family val="2"/>
          </rPr>
          <t xml:space="preserve">
Mkt Impact: -6
</t>
        </r>
      </text>
    </comment>
    <comment ref="CQ336" authorId="5">
      <text>
        <r>
          <rPr>
            <b/>
            <sz val="9"/>
            <color indexed="81"/>
            <rFont val="Calibri"/>
            <family val="2"/>
          </rPr>
          <t>haybuse:</t>
        </r>
        <r>
          <rPr>
            <sz val="9"/>
            <color indexed="81"/>
            <rFont val="Calibri"/>
            <family val="2"/>
          </rPr>
          <t xml:space="preserve">
Mkt Impact: -26
</t>
        </r>
      </text>
    </comment>
    <comment ref="DG336" authorId="6">
      <text>
        <r>
          <rPr>
            <b/>
            <sz val="9"/>
            <color indexed="81"/>
            <rFont val="Calibri"/>
            <family val="2"/>
          </rPr>
          <t>Laura Sanchez:</t>
        </r>
        <r>
          <rPr>
            <sz val="9"/>
            <color indexed="81"/>
            <rFont val="Calibri"/>
            <family val="2"/>
          </rPr>
          <t xml:space="preserve">
DAC</t>
        </r>
      </text>
    </comment>
    <comment ref="DO336" authorId="2">
      <text>
        <r>
          <rPr>
            <b/>
            <sz val="9"/>
            <color indexed="81"/>
            <rFont val="Calibri"/>
            <family val="2"/>
          </rPr>
          <t>Zamora, Diana (Research):</t>
        </r>
        <r>
          <rPr>
            <sz val="9"/>
            <color indexed="81"/>
            <rFont val="Calibri"/>
            <family val="2"/>
          </rPr>
          <t xml:space="preserve">
Tax adjustments</t>
        </r>
      </text>
    </comment>
    <comment ref="DQ336" authorId="2">
      <text>
        <r>
          <rPr>
            <b/>
            <sz val="9"/>
            <color indexed="81"/>
            <rFont val="Calibri"/>
            <family val="2"/>
          </rPr>
          <t>Zamora, Diana (Research):</t>
        </r>
        <r>
          <rPr>
            <sz val="9"/>
            <color indexed="81"/>
            <rFont val="Calibri"/>
            <family val="2"/>
          </rPr>
          <t xml:space="preserve">
tax adjustments</t>
        </r>
      </text>
    </comment>
    <comment ref="DW336" authorId="8">
      <text>
        <r>
          <rPr>
            <b/>
            <sz val="9"/>
            <color indexed="81"/>
            <rFont val="Calibri"/>
            <family val="2"/>
          </rPr>
          <t>Gupta, Tanmay (Research):</t>
        </r>
        <r>
          <rPr>
            <sz val="9"/>
            <color indexed="81"/>
            <rFont val="Calibri"/>
            <family val="2"/>
          </rPr>
          <t xml:space="preserve">
VII: $(2)mn
Tax Adj: $60mn</t>
        </r>
      </text>
    </comment>
    <comment ref="DY336" authorId="8">
      <text>
        <r>
          <rPr>
            <b/>
            <sz val="9"/>
            <color indexed="81"/>
            <rFont val="Calibri"/>
            <family val="2"/>
          </rPr>
          <t>Gupta, Tanmay (Research):</t>
        </r>
        <r>
          <rPr>
            <sz val="9"/>
            <color indexed="81"/>
            <rFont val="Calibri"/>
            <family val="2"/>
          </rPr>
          <t xml:space="preserve">
VII: $(3)mn
Tax Adj: $31mn</t>
        </r>
      </text>
    </comment>
    <comment ref="EC336" authorId="8">
      <text>
        <r>
          <rPr>
            <b/>
            <sz val="9"/>
            <color indexed="81"/>
            <rFont val="Calibri"/>
            <family val="2"/>
          </rPr>
          <t>Gupta, Tanmay (Research):</t>
        </r>
        <r>
          <rPr>
            <sz val="9"/>
            <color indexed="81"/>
            <rFont val="Calibri"/>
            <family val="2"/>
          </rPr>
          <t xml:space="preserve">
VII: $(2)mn
</t>
        </r>
      </text>
    </comment>
    <comment ref="EE336" authorId="8">
      <text>
        <r>
          <rPr>
            <b/>
            <sz val="9"/>
            <color indexed="81"/>
            <rFont val="Calibri"/>
            <family val="2"/>
          </rPr>
          <t>Gupta, Tanmay (Research):</t>
        </r>
        <r>
          <rPr>
            <sz val="9"/>
            <color indexed="81"/>
            <rFont val="Calibri"/>
            <family val="2"/>
          </rPr>
          <t xml:space="preserve">
VII: $(1)mn
Act Ass: $8mn</t>
        </r>
      </text>
    </comment>
    <comment ref="EI336" authorId="8">
      <text>
        <r>
          <rPr>
            <b/>
            <sz val="9"/>
            <color indexed="81"/>
            <rFont val="Tahoma"/>
            <family val="2"/>
          </rPr>
          <t>Gupta, Tanmay (Research):</t>
        </r>
        <r>
          <rPr>
            <sz val="9"/>
            <color indexed="81"/>
            <rFont val="Tahoma"/>
            <family val="2"/>
          </rPr>
          <t xml:space="preserve">
VII: $(1)mn
</t>
        </r>
      </text>
    </comment>
    <comment ref="EO337" authorId="8">
      <text>
        <r>
          <rPr>
            <b/>
            <sz val="9"/>
            <color indexed="81"/>
            <rFont val="Tahoma"/>
            <family val="2"/>
          </rPr>
          <t>Gupta, Tanmay (Research):</t>
        </r>
        <r>
          <rPr>
            <sz val="9"/>
            <color indexed="81"/>
            <rFont val="Tahoma"/>
            <family val="2"/>
          </rPr>
          <t xml:space="preserve">
Seasonality in 4Q. Growth initiative type of spending. Higher costs.</t>
        </r>
      </text>
    </comment>
    <comment ref="EW337" authorId="8">
      <text>
        <r>
          <rPr>
            <b/>
            <sz val="9"/>
            <color indexed="81"/>
            <rFont val="Tahoma"/>
            <family val="2"/>
          </rPr>
          <t>Gupta, Tanmay (Research):</t>
        </r>
        <r>
          <rPr>
            <sz val="9"/>
            <color indexed="81"/>
            <rFont val="Tahoma"/>
            <family val="2"/>
          </rPr>
          <t xml:space="preserve">
Seasonality in 4Q. Growth initiative type of spending. Higher costs.</t>
        </r>
      </text>
    </comment>
    <comment ref="GF343" authorId="18">
      <text>
        <r>
          <rPr>
            <b/>
            <sz val="9"/>
            <color indexed="81"/>
            <rFont val="Calibri"/>
            <family val="2"/>
          </rPr>
          <t>hayleyl:</t>
        </r>
        <r>
          <rPr>
            <sz val="9"/>
            <color indexed="81"/>
            <rFont val="Calibri"/>
            <family val="2"/>
          </rPr>
          <t xml:space="preserve">
per presentation</t>
        </r>
      </text>
    </comment>
    <comment ref="EA349" authorId="4">
      <text>
        <r>
          <rPr>
            <b/>
            <sz val="9"/>
            <color indexed="81"/>
            <rFont val="Calibri"/>
            <family val="2"/>
          </rPr>
          <t>Zheng, Chaodan (Research):</t>
        </r>
        <r>
          <rPr>
            <sz val="9"/>
            <color indexed="81"/>
            <rFont val="Calibri"/>
            <family val="2"/>
          </rPr>
          <t xml:space="preserve">
call with mgmt:
- sales up 3%, but adjusted for lag elimination in prior quarter, would have been 7% </t>
        </r>
      </text>
    </comment>
    <comment ref="EC349" authorId="4">
      <text>
        <r>
          <rPr>
            <b/>
            <sz val="9"/>
            <color indexed="81"/>
            <rFont val="Calibri"/>
            <family val="2"/>
          </rPr>
          <t>Zheng, Chaodan (Research):</t>
        </r>
        <r>
          <rPr>
            <sz val="9"/>
            <color indexed="81"/>
            <rFont val="Calibri"/>
            <family val="2"/>
          </rPr>
          <t xml:space="preserve">
call with mgmt:
- sales up 3%, but adjusted for lag elimination in prior quarter, would have been 7% </t>
        </r>
      </text>
    </comment>
    <comment ref="FQ349" authorId="10">
      <text>
        <r>
          <rPr>
            <b/>
            <sz val="9"/>
            <color indexed="81"/>
            <rFont val="Calibri"/>
            <family val="2"/>
          </rPr>
          <t xml:space="preserve">12/04 Investor Day: 
</t>
        </r>
        <r>
          <rPr>
            <sz val="9"/>
            <color indexed="81"/>
            <rFont val="Calibri"/>
            <family val="2"/>
          </rPr>
          <t xml:space="preserve">Prem&amp;Fee&amp;Other 11% growth
</t>
        </r>
      </text>
    </comment>
    <comment ref="GN349" authorId="8">
      <text>
        <r>
          <rPr>
            <b/>
            <sz val="9"/>
            <color indexed="81"/>
            <rFont val="Calibri"/>
            <family val="2"/>
          </rPr>
          <t>Gupta, Tanmay (Research):</t>
        </r>
        <r>
          <rPr>
            <sz val="9"/>
            <color indexed="81"/>
            <rFont val="Calibri"/>
            <family val="2"/>
          </rPr>
          <t xml:space="preserve">
2017 Outlook: Operating PFO growth mid single-digits in 2017 on a constant currency basis, moving to high single-digit growth</t>
        </r>
      </text>
    </comment>
    <comment ref="GP349" authorId="1">
      <text>
        <r>
          <rPr>
            <b/>
            <sz val="9"/>
            <color indexed="81"/>
            <rFont val="Tahoma"/>
            <family val="2"/>
          </rPr>
          <t>Huang, Bob (Research):</t>
        </r>
        <r>
          <rPr>
            <sz val="9"/>
            <color indexed="81"/>
            <rFont val="Tahoma"/>
            <family val="2"/>
          </rPr>
          <t xml:space="preserve">
2018 outlook: PFO high-single digits</t>
        </r>
      </text>
    </comment>
    <comment ref="FQ350" authorId="10">
      <text>
        <r>
          <rPr>
            <b/>
            <sz val="9"/>
            <color indexed="81"/>
            <rFont val="Calibri"/>
            <family val="2"/>
          </rPr>
          <t xml:space="preserve">12/04 Investor Day: 
</t>
        </r>
        <r>
          <rPr>
            <sz val="9"/>
            <color indexed="81"/>
            <rFont val="Calibri"/>
            <family val="2"/>
          </rPr>
          <t xml:space="preserve">Prem&amp;Fee&amp;Other 11% growth
</t>
        </r>
      </text>
    </comment>
    <comment ref="DK351" authorId="2">
      <text>
        <r>
          <rPr>
            <b/>
            <sz val="9"/>
            <color indexed="81"/>
            <rFont val="Calibri"/>
            <family val="2"/>
          </rPr>
          <t>Zamora, Diana (Research):</t>
        </r>
        <r>
          <rPr>
            <sz val="9"/>
            <color indexed="81"/>
            <rFont val="Calibri"/>
            <family val="2"/>
          </rPr>
          <t xml:space="preserve">
Restated with 4/24/2015 8-K</t>
        </r>
      </text>
    </comment>
    <comment ref="DM351" authorId="2">
      <text>
        <r>
          <rPr>
            <b/>
            <sz val="9"/>
            <color indexed="81"/>
            <rFont val="Calibri"/>
            <family val="2"/>
          </rPr>
          <t>Zamora, Diana (Research):</t>
        </r>
        <r>
          <rPr>
            <sz val="9"/>
            <color indexed="81"/>
            <rFont val="Calibri"/>
            <family val="2"/>
          </rPr>
          <t xml:space="preserve">
Restated with 4/24/2015 8-K</t>
        </r>
      </text>
    </comment>
    <comment ref="DO351" authorId="2">
      <text>
        <r>
          <rPr>
            <b/>
            <sz val="9"/>
            <color indexed="81"/>
            <rFont val="Calibri"/>
            <family val="2"/>
          </rPr>
          <t>Zamora, Diana (Research):</t>
        </r>
        <r>
          <rPr>
            <sz val="9"/>
            <color indexed="81"/>
            <rFont val="Calibri"/>
            <family val="2"/>
          </rPr>
          <t xml:space="preserve">
Restated with 4/24/2015 8-K</t>
        </r>
      </text>
    </comment>
    <comment ref="DQ351" authorId="2">
      <text>
        <r>
          <rPr>
            <b/>
            <sz val="9"/>
            <color indexed="81"/>
            <rFont val="Calibri"/>
            <family val="2"/>
          </rPr>
          <t>Zamora, Diana (Research):</t>
        </r>
        <r>
          <rPr>
            <sz val="9"/>
            <color indexed="81"/>
            <rFont val="Calibri"/>
            <family val="2"/>
          </rPr>
          <t xml:space="preserve">
Restated with 4/24/2015 8-K</t>
        </r>
      </text>
    </comment>
    <comment ref="FQ352" authorId="10">
      <text>
        <r>
          <rPr>
            <b/>
            <sz val="9"/>
            <color indexed="81"/>
            <rFont val="Calibri"/>
            <family val="2"/>
          </rPr>
          <t xml:space="preserve">12/04 Investor Day: 
</t>
        </r>
        <r>
          <rPr>
            <sz val="9"/>
            <color indexed="81"/>
            <rFont val="Calibri"/>
            <family val="2"/>
          </rPr>
          <t xml:space="preserve">Prem&amp;Fee&amp;Other 11% growth
</t>
        </r>
      </text>
    </comment>
    <comment ref="GH353" authorId="3">
      <text>
        <r>
          <rPr>
            <b/>
            <sz val="9"/>
            <color indexed="81"/>
            <rFont val="Calibri"/>
            <family val="2"/>
          </rPr>
          <t>dianaz:</t>
        </r>
        <r>
          <rPr>
            <sz val="9"/>
            <color indexed="81"/>
            <rFont val="Calibri"/>
            <family val="2"/>
          </rPr>
          <t xml:space="preserve">
Inv Day (12/12/2013): MSD moving to mid-teens growth</t>
        </r>
      </text>
    </comment>
    <comment ref="GJ353" authorId="3">
      <text>
        <r>
          <rPr>
            <b/>
            <sz val="9"/>
            <color indexed="81"/>
            <rFont val="Calibri"/>
            <family val="2"/>
          </rPr>
          <t>dianaz:</t>
        </r>
        <r>
          <rPr>
            <sz val="9"/>
            <color indexed="81"/>
            <rFont val="Calibri"/>
            <family val="2"/>
          </rPr>
          <t xml:space="preserve">
Inv Day (12/12/2014): Flat to down due to FX
Inv Day (12/12/2013): MSD moving to mid-teens growth</t>
        </r>
      </text>
    </comment>
    <comment ref="GL353" authorId="3">
      <text>
        <r>
          <rPr>
            <b/>
            <sz val="9"/>
            <color indexed="81"/>
            <rFont val="Calibri"/>
            <family val="2"/>
          </rPr>
          <t>dianaz:</t>
        </r>
        <r>
          <rPr>
            <sz val="9"/>
            <color indexed="81"/>
            <rFont val="Calibri"/>
            <family val="2"/>
          </rPr>
          <t xml:space="preserve">
Inv Day (12/12/2014): mid- to high single digit growth in operating PFOs in 2016-2017
Inv Day (12/12/2013): MSD moving to mid-teens growth</t>
        </r>
      </text>
    </comment>
    <comment ref="GN353" authorId="1">
      <text>
        <r>
          <rPr>
            <b/>
            <sz val="9"/>
            <color indexed="81"/>
            <rFont val="Tahoma"/>
            <family val="2"/>
          </rPr>
          <t>Huang, Bob (Research):</t>
        </r>
        <r>
          <rPr>
            <sz val="9"/>
            <color indexed="81"/>
            <rFont val="Tahoma"/>
            <family val="2"/>
          </rPr>
          <t xml:space="preserve">
2017 outlook: mid single digits</t>
        </r>
      </text>
    </comment>
    <comment ref="DK359" authorId="2">
      <text>
        <r>
          <rPr>
            <b/>
            <sz val="9"/>
            <color indexed="81"/>
            <rFont val="Calibri"/>
            <family val="2"/>
          </rPr>
          <t>Zamora, Diana (Research):</t>
        </r>
        <r>
          <rPr>
            <sz val="9"/>
            <color indexed="81"/>
            <rFont val="Calibri"/>
            <family val="2"/>
          </rPr>
          <t xml:space="preserve">
Restated with 4/24/2015 8-K</t>
        </r>
      </text>
    </comment>
    <comment ref="DM359" authorId="2">
      <text>
        <r>
          <rPr>
            <b/>
            <sz val="9"/>
            <color indexed="81"/>
            <rFont val="Calibri"/>
            <family val="2"/>
          </rPr>
          <t>Zamora, Diana (Research):</t>
        </r>
        <r>
          <rPr>
            <sz val="9"/>
            <color indexed="81"/>
            <rFont val="Calibri"/>
            <family val="2"/>
          </rPr>
          <t xml:space="preserve">
Restated with 4/24/2015 8-K</t>
        </r>
      </text>
    </comment>
    <comment ref="DO359" authorId="2">
      <text>
        <r>
          <rPr>
            <b/>
            <sz val="9"/>
            <color indexed="81"/>
            <rFont val="Calibri"/>
            <family val="2"/>
          </rPr>
          <t>Zamora, Diana (Research):</t>
        </r>
        <r>
          <rPr>
            <sz val="9"/>
            <color indexed="81"/>
            <rFont val="Calibri"/>
            <family val="2"/>
          </rPr>
          <t xml:space="preserve">
Restated with 4/24/2015 8-K</t>
        </r>
      </text>
    </comment>
    <comment ref="DQ359" authorId="2">
      <text>
        <r>
          <rPr>
            <b/>
            <sz val="9"/>
            <color indexed="81"/>
            <rFont val="Calibri"/>
            <family val="2"/>
          </rPr>
          <t>Zamora, Diana (Research):</t>
        </r>
        <r>
          <rPr>
            <sz val="9"/>
            <color indexed="81"/>
            <rFont val="Calibri"/>
            <family val="2"/>
          </rPr>
          <t xml:space="preserve">
Restated with 4/24/2015 8-K</t>
        </r>
      </text>
    </comment>
    <comment ref="GP359" authorId="17">
      <text>
        <r>
          <rPr>
            <b/>
            <sz val="9"/>
            <color indexed="81"/>
            <rFont val="Calibri"/>
            <family val="2"/>
          </rPr>
          <t>Rojas, Isabel (Research):</t>
        </r>
        <r>
          <rPr>
            <sz val="9"/>
            <color indexed="81"/>
            <rFont val="Calibri"/>
            <family val="2"/>
          </rPr>
          <t xml:space="preserve">
Inv Day (12/12/2014): Long term: mid- to high single digits growth as more countries reach scale </t>
        </r>
      </text>
    </comment>
    <comment ref="DK368" authorId="2">
      <text>
        <r>
          <rPr>
            <b/>
            <sz val="9"/>
            <color indexed="81"/>
            <rFont val="Calibri"/>
            <family val="2"/>
          </rPr>
          <t>Zamora, Diana (Research):</t>
        </r>
        <r>
          <rPr>
            <sz val="9"/>
            <color indexed="81"/>
            <rFont val="Calibri"/>
            <family val="2"/>
          </rPr>
          <t xml:space="preserve">
Restated with 4/24/2015 8-K</t>
        </r>
      </text>
    </comment>
    <comment ref="DM368" authorId="2">
      <text>
        <r>
          <rPr>
            <b/>
            <sz val="9"/>
            <color indexed="81"/>
            <rFont val="Calibri"/>
            <family val="2"/>
          </rPr>
          <t>Zamora, Diana (Research):</t>
        </r>
        <r>
          <rPr>
            <sz val="9"/>
            <color indexed="81"/>
            <rFont val="Calibri"/>
            <family val="2"/>
          </rPr>
          <t xml:space="preserve">
Restated with 4/24/2015 8-K</t>
        </r>
      </text>
    </comment>
    <comment ref="DO368" authorId="2">
      <text>
        <r>
          <rPr>
            <b/>
            <sz val="9"/>
            <color indexed="81"/>
            <rFont val="Calibri"/>
            <family val="2"/>
          </rPr>
          <t>Zamora, Diana (Research):</t>
        </r>
        <r>
          <rPr>
            <sz val="9"/>
            <color indexed="81"/>
            <rFont val="Calibri"/>
            <family val="2"/>
          </rPr>
          <t xml:space="preserve">
Restated with 4/24/2015 8-K</t>
        </r>
      </text>
    </comment>
    <comment ref="DQ368" authorId="2">
      <text>
        <r>
          <rPr>
            <b/>
            <sz val="9"/>
            <color indexed="81"/>
            <rFont val="Calibri"/>
            <family val="2"/>
          </rPr>
          <t>Zamora, Diana (Research):</t>
        </r>
        <r>
          <rPr>
            <sz val="9"/>
            <color indexed="81"/>
            <rFont val="Calibri"/>
            <family val="2"/>
          </rPr>
          <t xml:space="preserve">
Restated with 4/24/2015 8-K</t>
        </r>
      </text>
    </comment>
    <comment ref="AM370" authorId="10">
      <text>
        <r>
          <rPr>
            <sz val="9"/>
            <color indexed="81"/>
            <rFont val="Calibri"/>
            <family val="2"/>
          </rPr>
          <t xml:space="preserve">Includes $8mm of dividend accural release
</t>
        </r>
      </text>
    </comment>
    <comment ref="AQ370" authorId="14">
      <text>
        <r>
          <rPr>
            <sz val="9"/>
            <color indexed="81"/>
            <rFont val="Calibri"/>
            <family val="2"/>
          </rPr>
          <t>Various one time items including litigation expense release, favorable Fx, and prepayments added a total of $17M AT to earnings.  Run rate = 51M.</t>
        </r>
      </text>
    </comment>
    <comment ref="AU370" authorId="15">
      <text>
        <r>
          <rPr>
            <sz val="9"/>
            <color indexed="81"/>
            <rFont val="Calibri"/>
            <family val="2"/>
          </rPr>
          <t>$58MM run rate.  $15MM tax benefit, ($5MM) TLA exp, ($2MM) Canada reserve adj</t>
        </r>
      </text>
    </comment>
    <comment ref="FP370" authorId="10">
      <text>
        <r>
          <rPr>
            <b/>
            <sz val="9"/>
            <color indexed="81"/>
            <rFont val="Calibri"/>
            <family val="2"/>
          </rPr>
          <t xml:space="preserve">12/04 Investor Day: 
</t>
        </r>
        <r>
          <rPr>
            <sz val="9"/>
            <color indexed="81"/>
            <rFont val="Calibri"/>
            <family val="2"/>
          </rPr>
          <t xml:space="preserve">OperEarns = $145-165
</t>
        </r>
      </text>
    </comment>
    <comment ref="GH370" authorId="3">
      <text>
        <r>
          <rPr>
            <b/>
            <sz val="9"/>
            <color indexed="81"/>
            <rFont val="Calibri"/>
            <family val="2"/>
          </rPr>
          <t>dianaz:</t>
        </r>
        <r>
          <rPr>
            <sz val="9"/>
            <color indexed="81"/>
            <rFont val="Calibri"/>
            <family val="2"/>
          </rPr>
          <t xml:space="preserve">
2Q13 guidance: expects that Polish pension system change will reduce EMEA operating earnings going forward by $15-30mn annually
Inv Day (12/12/2013):  mid-teens growth</t>
        </r>
      </text>
    </comment>
    <comment ref="GJ370" authorId="3">
      <text>
        <r>
          <rPr>
            <b/>
            <sz val="9"/>
            <color indexed="81"/>
            <rFont val="Calibri"/>
            <family val="2"/>
          </rPr>
          <t>dianaz:</t>
        </r>
        <r>
          <rPr>
            <sz val="9"/>
            <color indexed="81"/>
            <rFont val="Calibri"/>
            <family val="2"/>
          </rPr>
          <t xml:space="preserve">
Inv Day (12/12/2014): unchanged
Inv Day (12/12/2013):  mid-teens growth</t>
        </r>
      </text>
    </comment>
    <comment ref="GL370" authorId="3">
      <text>
        <r>
          <rPr>
            <b/>
            <sz val="9"/>
            <color indexed="81"/>
            <rFont val="Calibri"/>
            <family val="2"/>
          </rPr>
          <t>dianaz:</t>
        </r>
        <r>
          <rPr>
            <sz val="9"/>
            <color indexed="81"/>
            <rFont val="Calibri"/>
            <family val="2"/>
          </rPr>
          <t xml:space="preserve">
Inv Day (12/12/2014): unchanged
Inv Day (12/12/2013):  
mid-teens growth </t>
        </r>
      </text>
    </comment>
    <comment ref="GN370" authorId="8">
      <text>
        <r>
          <rPr>
            <b/>
            <sz val="9"/>
            <color indexed="81"/>
            <rFont val="Calibri"/>
            <family val="2"/>
          </rPr>
          <t>Gupta, Tanmay (Research):</t>
        </r>
        <r>
          <rPr>
            <sz val="9"/>
            <color indexed="81"/>
            <rFont val="Calibri"/>
            <family val="2"/>
          </rPr>
          <t xml:space="preserve">
2017 Outlook: high single-digits on a constant currency basis in 2017, moving to mid-teens</t>
        </r>
      </text>
    </comment>
    <comment ref="GP370" authorId="1">
      <text>
        <r>
          <rPr>
            <b/>
            <sz val="9"/>
            <color indexed="81"/>
            <rFont val="Tahoma"/>
            <family val="2"/>
          </rPr>
          <t>Huang, Bob (Research):</t>
        </r>
        <r>
          <rPr>
            <sz val="9"/>
            <color indexed="81"/>
            <rFont val="Tahoma"/>
            <family val="2"/>
          </rPr>
          <t xml:space="preserve">
2018 outlook call:
baseline op earnings growth: high-single digits in 2018</t>
        </r>
      </text>
    </comment>
    <comment ref="AW371" authorId="15">
      <text>
        <r>
          <rPr>
            <sz val="9"/>
            <color indexed="81"/>
            <rFont val="Calibri"/>
            <family val="2"/>
          </rPr>
          <t>Abnormal expenses $5 million</t>
        </r>
      </text>
    </comment>
    <comment ref="AY371" authorId="15">
      <text>
        <r>
          <rPr>
            <sz val="9"/>
            <color indexed="81"/>
            <rFont val="Calibri"/>
            <family val="2"/>
          </rPr>
          <t>+$12MM Favorable mortality in Mexico</t>
        </r>
      </text>
    </comment>
    <comment ref="BA371" authorId="16">
      <text>
        <r>
          <rPr>
            <sz val="9"/>
            <color indexed="81"/>
            <rFont val="Calibri"/>
            <family val="2"/>
          </rPr>
          <t>-$9 MM various changes in International</t>
        </r>
      </text>
    </comment>
    <comment ref="BC371" authorId="16">
      <text>
        <r>
          <rPr>
            <sz val="9"/>
            <color indexed="81"/>
            <rFont val="Calibri"/>
            <family val="2"/>
          </rPr>
          <t>-$9M High Taxes
+$5M Mexico IBNR Release</t>
        </r>
      </text>
    </comment>
    <comment ref="BE371" authorId="15">
      <text>
        <r>
          <rPr>
            <sz val="9"/>
            <color indexed="81"/>
            <rFont val="Calibri"/>
            <family val="2"/>
          </rPr>
          <t>-$16M UK VA biz startup costs
-$61M loss in Taiwan due to effects of low interest rates and closing of distribution channel
-$9M Tax Item
+$38M Korea</t>
        </r>
      </text>
    </comment>
    <comment ref="BG371" authorId="15">
      <text>
        <r>
          <rPr>
            <sz val="9"/>
            <color indexed="81"/>
            <rFont val="Calibri"/>
            <family val="2"/>
          </rPr>
          <t>+$9M Argentina and Ireland Tax benefit
+$8M Conversion from Non-par to Participating Business</t>
        </r>
      </text>
    </comment>
    <comment ref="BK371" authorId="5">
      <text>
        <r>
          <rPr>
            <b/>
            <sz val="9"/>
            <color indexed="81"/>
            <rFont val="Calibri"/>
            <family val="2"/>
          </rPr>
          <t>haybuse:</t>
        </r>
        <r>
          <rPr>
            <sz val="9"/>
            <color indexed="81"/>
            <rFont val="Calibri"/>
            <family val="2"/>
          </rPr>
          <t xml:space="preserve">
1. Mexico VOVA unlcok: +10
2. Argentina IBNR: +8
3. Intersegment adj: +7</t>
        </r>
      </text>
    </comment>
    <comment ref="BM371" authorId="5">
      <text>
        <r>
          <rPr>
            <b/>
            <sz val="9"/>
            <color indexed="81"/>
            <rFont val="Calibri"/>
            <family val="2"/>
          </rPr>
          <t>Details:
Reserve changes related to Argentine Pension reform fav: -51
Tax adjustments related to establishment of new reserve for changes in regualation fav: -54</t>
        </r>
      </text>
    </comment>
    <comment ref="BO371" authorId="5">
      <text>
        <r>
          <rPr>
            <b/>
            <sz val="9"/>
            <color indexed="81"/>
            <rFont val="Calibri"/>
            <family val="2"/>
          </rPr>
          <t>Details:
DAC and VOBA adj unfav: -25
Mexican Premium Timing Adjustmen favt: -15
Refined Argentine reserve release fav: -24</t>
        </r>
      </text>
    </comment>
    <comment ref="BS371" authorId="5">
      <text>
        <r>
          <rPr>
            <b/>
            <sz val="9"/>
            <color indexed="81"/>
            <rFont val="Calibri"/>
            <family val="2"/>
          </rPr>
          <t>haybuse:</t>
        </r>
        <r>
          <rPr>
            <sz val="9"/>
            <color indexed="81"/>
            <rFont val="Calibri"/>
            <family val="2"/>
          </rPr>
          <t xml:space="preserve">
24: Lower Maint Expenses in Japan, Mexico and Korea
-7: Distribution exp - primarily in Japan Post and UK Annuity</t>
        </r>
      </text>
    </comment>
    <comment ref="BU371" authorId="5">
      <text>
        <r>
          <rPr>
            <b/>
            <sz val="9"/>
            <color indexed="81"/>
            <rFont val="Calibri"/>
            <family val="2"/>
          </rPr>
          <t>haybuse:</t>
        </r>
        <r>
          <rPr>
            <sz val="9"/>
            <color indexed="81"/>
            <rFont val="Calibri"/>
            <family val="2"/>
          </rPr>
          <t xml:space="preserve">
24: Lower Maint Expenses in Japan, Mexico and Korea
-7: Distribution exp - primarily in Japan Post and UK Annuity</t>
        </r>
      </text>
    </comment>
    <comment ref="BW371" authorId="5">
      <text>
        <r>
          <rPr>
            <b/>
            <sz val="9"/>
            <color indexed="81"/>
            <rFont val="Calibri"/>
            <family val="2"/>
          </rPr>
          <t>haybuse:</t>
        </r>
        <r>
          <rPr>
            <sz val="9"/>
            <color indexed="81"/>
            <rFont val="Calibri"/>
            <family val="2"/>
          </rPr>
          <t xml:space="preserve">
Argentina Reserve release: +95
tax resturcture in Mexico: -34
FX impact: -28</t>
        </r>
      </text>
    </comment>
    <comment ref="BY371" authorId="5">
      <text>
        <r>
          <rPr>
            <b/>
            <sz val="9"/>
            <color indexed="81"/>
            <rFont val="Calibri"/>
            <family val="2"/>
          </rPr>
          <t>haybuse:</t>
        </r>
        <r>
          <rPr>
            <sz val="9"/>
            <color indexed="81"/>
            <rFont val="Calibri"/>
            <family val="2"/>
          </rPr>
          <t xml:space="preserve">
Mrkt impact &amp; japan reserves: +25
LatAm Reserves: +10
FX impact: -18</t>
        </r>
      </text>
    </comment>
    <comment ref="CA371" authorId="5">
      <text>
        <r>
          <rPr>
            <b/>
            <sz val="9"/>
            <color indexed="81"/>
            <rFont val="Calibri"/>
            <family val="2"/>
          </rPr>
          <t>haybuse:</t>
        </r>
        <r>
          <rPr>
            <sz val="9"/>
            <color indexed="81"/>
            <rFont val="Calibri"/>
            <family val="2"/>
          </rPr>
          <t xml:space="preserve">
Mrkt impact: 15
Reserve adj: +6
DTL reset: +7
FX impact: -14</t>
        </r>
      </text>
    </comment>
    <comment ref="CC371" authorId="5">
      <text>
        <r>
          <rPr>
            <b/>
            <sz val="9"/>
            <color indexed="81"/>
            <rFont val="Calibri"/>
            <family val="2"/>
          </rPr>
          <t>haybuse:</t>
        </r>
        <r>
          <rPr>
            <sz val="9"/>
            <color indexed="81"/>
            <rFont val="Calibri"/>
            <family val="2"/>
          </rPr>
          <t xml:space="preserve">
Accounting change related to inflation linked products in LatAm: -104
FX impact: +9</t>
        </r>
      </text>
    </comment>
    <comment ref="CE371" authorId="5">
      <text>
        <r>
          <rPr>
            <b/>
            <sz val="9"/>
            <color indexed="81"/>
            <rFont val="Calibri"/>
            <family val="2"/>
          </rPr>
          <t>haybuse:</t>
        </r>
        <r>
          <rPr>
            <sz val="9"/>
            <color indexed="81"/>
            <rFont val="Calibri"/>
            <family val="2"/>
          </rPr>
          <t xml:space="preserve">
Non-renewal foreign corprate tax provision
potentially recurring charge</t>
        </r>
      </text>
    </comment>
    <comment ref="CG371" authorId="5">
      <text>
        <r>
          <rPr>
            <b/>
            <sz val="9"/>
            <color indexed="81"/>
            <rFont val="Calibri"/>
            <family val="2"/>
          </rPr>
          <t>haybuse:</t>
        </r>
        <r>
          <rPr>
            <sz val="9"/>
            <color indexed="81"/>
            <rFont val="Calibri"/>
            <family val="2"/>
          </rPr>
          <t xml:space="preserve">
Mrkt Impact - Japan: -15
CFC Tax not extended: -11
FIN 48 reserve realease: 11
FX: 4</t>
        </r>
      </text>
    </comment>
    <comment ref="CI371" authorId="5">
      <text>
        <r>
          <rPr>
            <b/>
            <sz val="9"/>
            <color indexed="81"/>
            <rFont val="Calibri"/>
            <family val="2"/>
          </rPr>
          <t>haybuse:</t>
        </r>
        <r>
          <rPr>
            <sz val="9"/>
            <color indexed="81"/>
            <rFont val="Calibri"/>
            <family val="2"/>
          </rPr>
          <t xml:space="preserve">
Mrkt Impact $7M
Taxadjustment $38M
Per 10Q: Reversal of CFC tax charges taken in prior quarters inlcuding $15M in AsiaPac, $21M in LatAM, and $5M in EMEI
FX: +5
Model/Assumption changes: -4M</t>
        </r>
      </text>
    </comment>
    <comment ref="CK371" authorId="5">
      <text>
        <r>
          <rPr>
            <b/>
            <sz val="9"/>
            <color indexed="81"/>
            <rFont val="Calibri"/>
            <family val="2"/>
          </rPr>
          <t>haybuse:</t>
        </r>
        <r>
          <rPr>
            <sz val="9"/>
            <color indexed="81"/>
            <rFont val="Calibri"/>
            <family val="2"/>
          </rPr>
          <t xml:space="preserve">
$15M tax break
$22M inflation indexed securities
-$3M integration costs</t>
        </r>
      </text>
    </comment>
    <comment ref="CW371" authorId="0">
      <text>
        <r>
          <rPr>
            <b/>
            <sz val="9"/>
            <color indexed="81"/>
            <rFont val="Calibri"/>
            <family val="2"/>
          </rPr>
          <t>sanclaur:</t>
        </r>
        <r>
          <rPr>
            <sz val="9"/>
            <color indexed="81"/>
            <rFont val="Calibri"/>
            <family val="2"/>
          </rPr>
          <t xml:space="preserve">
Greece Negative VOBA: +12M</t>
        </r>
      </text>
    </comment>
    <comment ref="DE371" authorId="6">
      <text>
        <r>
          <rPr>
            <b/>
            <sz val="9"/>
            <color indexed="81"/>
            <rFont val="Calibri"/>
            <family val="2"/>
          </rPr>
          <t>Laura Sanchez:</t>
        </r>
        <r>
          <rPr>
            <sz val="9"/>
            <color indexed="81"/>
            <rFont val="Calibri"/>
            <family val="2"/>
          </rPr>
          <t xml:space="preserve">
-26M DAC Write Down/Other
+22M tax benefit</t>
        </r>
      </text>
    </comment>
    <comment ref="DG371" authorId="6">
      <text>
        <r>
          <rPr>
            <b/>
            <sz val="9"/>
            <color indexed="81"/>
            <rFont val="Calibri"/>
            <family val="2"/>
          </rPr>
          <t>Laura Sanchez:</t>
        </r>
        <r>
          <rPr>
            <sz val="9"/>
            <color indexed="81"/>
            <rFont val="Calibri"/>
            <family val="2"/>
          </rPr>
          <t xml:space="preserve">
DAC</t>
        </r>
      </text>
    </comment>
    <comment ref="DI371" authorId="6">
      <text>
        <r>
          <rPr>
            <b/>
            <sz val="9"/>
            <color indexed="81"/>
            <rFont val="Calibri"/>
            <family val="2"/>
          </rPr>
          <t>Laura Sanchez:</t>
        </r>
        <r>
          <rPr>
            <sz val="9"/>
            <color indexed="81"/>
            <rFont val="Calibri"/>
            <family val="2"/>
          </rPr>
          <t xml:space="preserve">
TAX BENEFIT</t>
        </r>
      </text>
    </comment>
    <comment ref="DO371" authorId="2">
      <text>
        <r>
          <rPr>
            <b/>
            <sz val="9"/>
            <color indexed="81"/>
            <rFont val="Calibri"/>
            <family val="2"/>
          </rPr>
          <t>Zamora, Diana (Research):</t>
        </r>
        <r>
          <rPr>
            <sz val="9"/>
            <color indexed="81"/>
            <rFont val="Calibri"/>
            <family val="2"/>
          </rPr>
          <t xml:space="preserve">
Actuarial Review</t>
        </r>
      </text>
    </comment>
    <comment ref="DQ371" authorId="2">
      <text>
        <r>
          <rPr>
            <b/>
            <sz val="9"/>
            <color indexed="81"/>
            <rFont val="Calibri"/>
            <family val="2"/>
          </rPr>
          <t>Zamora, Diana (Research):</t>
        </r>
        <r>
          <rPr>
            <sz val="9"/>
            <color indexed="81"/>
            <rFont val="Calibri"/>
            <family val="2"/>
          </rPr>
          <t xml:space="preserve">
tax adjustments</t>
        </r>
      </text>
    </comment>
    <comment ref="DW371" authorId="8">
      <text>
        <r>
          <rPr>
            <b/>
            <sz val="9"/>
            <color indexed="81"/>
            <rFont val="Calibri"/>
            <family val="2"/>
          </rPr>
          <t>Gupta, Tanmay (Research):</t>
        </r>
        <r>
          <rPr>
            <sz val="9"/>
            <color indexed="81"/>
            <rFont val="Calibri"/>
            <family val="2"/>
          </rPr>
          <t xml:space="preserve">
Actuarial ass: $6mn</t>
        </r>
      </text>
    </comment>
    <comment ref="DY371" authorId="8">
      <text>
        <r>
          <rPr>
            <b/>
            <sz val="9"/>
            <color indexed="81"/>
            <rFont val="Calibri"/>
            <family val="2"/>
          </rPr>
          <t>Gupta, Tanmay (Research):</t>
        </r>
        <r>
          <rPr>
            <sz val="9"/>
            <color indexed="81"/>
            <rFont val="Calibri"/>
            <family val="2"/>
          </rPr>
          <t xml:space="preserve">
Actuarial ass: $6mn</t>
        </r>
      </text>
    </comment>
    <comment ref="EA371" authorId="8">
      <text>
        <r>
          <rPr>
            <b/>
            <sz val="9"/>
            <color indexed="81"/>
            <rFont val="Calibri"/>
            <family val="2"/>
          </rPr>
          <t>Gupta, Tanmay (Research):</t>
        </r>
        <r>
          <rPr>
            <sz val="9"/>
            <color indexed="81"/>
            <rFont val="Calibri"/>
            <family val="2"/>
          </rPr>
          <t xml:space="preserve">
Actuarial ass: $6mn</t>
        </r>
      </text>
    </comment>
    <comment ref="EC371" authorId="8">
      <text>
        <r>
          <rPr>
            <b/>
            <sz val="9"/>
            <color indexed="81"/>
            <rFont val="Calibri"/>
            <family val="2"/>
          </rPr>
          <t>Gupta, Tanmay (Research):</t>
        </r>
        <r>
          <rPr>
            <sz val="9"/>
            <color indexed="81"/>
            <rFont val="Calibri"/>
            <family val="2"/>
          </rPr>
          <t xml:space="preserve">
Actuarial ass: $6mn</t>
        </r>
      </text>
    </comment>
    <comment ref="EE371" authorId="8">
      <text>
        <r>
          <rPr>
            <b/>
            <sz val="9"/>
            <color indexed="81"/>
            <rFont val="Calibri"/>
            <family val="2"/>
          </rPr>
          <t>Gupta, Tanmay (Research):</t>
        </r>
        <r>
          <rPr>
            <sz val="9"/>
            <color indexed="81"/>
            <rFont val="Calibri"/>
            <family val="2"/>
          </rPr>
          <t xml:space="preserve">
Act Ass: $16mn</t>
        </r>
      </text>
    </comment>
    <comment ref="GF393" authorId="3">
      <text>
        <r>
          <rPr>
            <b/>
            <sz val="9"/>
            <color indexed="81"/>
            <rFont val="Calibri"/>
            <family val="2"/>
          </rPr>
          <t>dianaz:</t>
        </r>
        <r>
          <rPr>
            <sz val="9"/>
            <color indexed="81"/>
            <rFont val="Calibri"/>
            <family val="2"/>
          </rPr>
          <t xml:space="preserve">
VA sales of $10-11bn by 2013</t>
        </r>
      </text>
    </comment>
    <comment ref="GF421" authorId="3">
      <text>
        <r>
          <rPr>
            <b/>
            <sz val="9"/>
            <color indexed="81"/>
            <rFont val="Calibri"/>
            <family val="2"/>
          </rPr>
          <t>dianaz:</t>
        </r>
        <r>
          <rPr>
            <sz val="9"/>
            <color indexed="81"/>
            <rFont val="Calibri"/>
            <family val="2"/>
          </rPr>
          <t xml:space="preserve">
VA sales of $10-11bn by 2013</t>
        </r>
      </text>
    </comment>
    <comment ref="GF454" authorId="3">
      <text>
        <r>
          <rPr>
            <b/>
            <sz val="9"/>
            <color indexed="81"/>
            <rFont val="Calibri"/>
            <family val="2"/>
          </rPr>
          <t>dianaz:</t>
        </r>
        <r>
          <rPr>
            <sz val="9"/>
            <color indexed="81"/>
            <rFont val="Calibri"/>
            <family val="2"/>
          </rPr>
          <t xml:space="preserve">
VA sales of $10-11bn by 2013</t>
        </r>
      </text>
    </comment>
    <comment ref="EA469" authorId="4">
      <text>
        <r>
          <rPr>
            <b/>
            <sz val="9"/>
            <color indexed="81"/>
            <rFont val="Calibri"/>
            <family val="2"/>
          </rPr>
          <t>Zheng, Chaodan (Research):</t>
        </r>
        <r>
          <rPr>
            <sz val="9"/>
            <color indexed="81"/>
            <rFont val="Calibri"/>
            <family val="2"/>
          </rPr>
          <t xml:space="preserve">
call with mgmt:
- annuities sales: yoy relatively flat rather than not up as expected due to separation</t>
        </r>
      </text>
    </comment>
    <comment ref="EC469" authorId="4">
      <text>
        <r>
          <rPr>
            <b/>
            <sz val="9"/>
            <color indexed="81"/>
            <rFont val="Calibri"/>
            <family val="2"/>
          </rPr>
          <t>Zheng, Chaodan (Research):</t>
        </r>
        <r>
          <rPr>
            <sz val="9"/>
            <color indexed="81"/>
            <rFont val="Calibri"/>
            <family val="2"/>
          </rPr>
          <t xml:space="preserve">
call with mgmt:
- annuities sales: yoy relatively flat rather than not up as expected due to separation</t>
        </r>
      </text>
    </comment>
    <comment ref="GN469" authorId="8">
      <text>
        <r>
          <rPr>
            <b/>
            <sz val="9"/>
            <color indexed="81"/>
            <rFont val="Calibri"/>
            <family val="2"/>
          </rPr>
          <t>Gupta, Tanmay (Research):</t>
        </r>
        <r>
          <rPr>
            <sz val="9"/>
            <color indexed="81"/>
            <rFont val="Calibri"/>
            <family val="2"/>
          </rPr>
          <t xml:space="preserve">
2016 Analyst Day: Expect PFO's to decline by 5% annually. To estimate 2017 PFO, reduce 2016 PFO by $500mn to account for sale of retail salesforce to Massmutual, and then 5% roll-ff.</t>
        </r>
      </text>
    </comment>
    <comment ref="GP469" authorId="1">
      <text>
        <r>
          <rPr>
            <b/>
            <sz val="9"/>
            <color indexed="81"/>
            <rFont val="Tahoma"/>
            <family val="2"/>
          </rPr>
          <t>Huang, Bob (Research):</t>
        </r>
        <r>
          <rPr>
            <sz val="9"/>
            <color indexed="81"/>
            <rFont val="Tahoma"/>
            <family val="2"/>
          </rPr>
          <t xml:space="preserve">
2018 outlook: PFO decline 5% per year</t>
        </r>
      </text>
    </comment>
    <comment ref="DK471" authorId="2">
      <text>
        <r>
          <rPr>
            <b/>
            <sz val="9"/>
            <color indexed="81"/>
            <rFont val="Calibri"/>
            <family val="2"/>
          </rPr>
          <t>Zamora, Diana (Research):</t>
        </r>
        <r>
          <rPr>
            <sz val="9"/>
            <color indexed="81"/>
            <rFont val="Calibri"/>
            <family val="2"/>
          </rPr>
          <t xml:space="preserve">
Restated with 4/24/2015 8-K</t>
        </r>
      </text>
    </comment>
    <comment ref="DM471" authorId="2">
      <text>
        <r>
          <rPr>
            <b/>
            <sz val="9"/>
            <color indexed="81"/>
            <rFont val="Calibri"/>
            <family val="2"/>
          </rPr>
          <t>Zamora, Diana (Research):</t>
        </r>
        <r>
          <rPr>
            <sz val="9"/>
            <color indexed="81"/>
            <rFont val="Calibri"/>
            <family val="2"/>
          </rPr>
          <t xml:space="preserve">
Restated with 4/24/2015 8-K</t>
        </r>
      </text>
    </comment>
    <comment ref="DO471" authorId="2">
      <text>
        <r>
          <rPr>
            <b/>
            <sz val="9"/>
            <color indexed="81"/>
            <rFont val="Calibri"/>
            <family val="2"/>
          </rPr>
          <t>Zamora, Diana (Research):</t>
        </r>
        <r>
          <rPr>
            <sz val="9"/>
            <color indexed="81"/>
            <rFont val="Calibri"/>
            <family val="2"/>
          </rPr>
          <t xml:space="preserve">
Restated with 4/24/2015 8-K</t>
        </r>
      </text>
    </comment>
    <comment ref="DQ471" authorId="2">
      <text>
        <r>
          <rPr>
            <b/>
            <sz val="9"/>
            <color indexed="81"/>
            <rFont val="Calibri"/>
            <family val="2"/>
          </rPr>
          <t>Zamora, Diana (Research):</t>
        </r>
        <r>
          <rPr>
            <sz val="9"/>
            <color indexed="81"/>
            <rFont val="Calibri"/>
            <family val="2"/>
          </rPr>
          <t xml:space="preserve">
Restated with 4/24/2015 8-K</t>
        </r>
      </text>
    </comment>
    <comment ref="GN475" authorId="1">
      <text>
        <r>
          <rPr>
            <b/>
            <sz val="9"/>
            <color indexed="81"/>
            <rFont val="Tahoma"/>
            <family val="2"/>
          </rPr>
          <t>Huang, Bob (Research):</t>
        </r>
        <r>
          <rPr>
            <sz val="9"/>
            <color indexed="81"/>
            <rFont val="Tahoma"/>
            <family val="2"/>
          </rPr>
          <t xml:space="preserve">
outlook 2017: decline of 5% annually 2017-2019</t>
        </r>
      </text>
    </comment>
    <comment ref="GP475" authorId="1">
      <text>
        <r>
          <rPr>
            <b/>
            <sz val="9"/>
            <color indexed="81"/>
            <rFont val="Tahoma"/>
            <family val="2"/>
          </rPr>
          <t>Huang, Bob (Research):</t>
        </r>
        <r>
          <rPr>
            <sz val="9"/>
            <color indexed="81"/>
            <rFont val="Tahoma"/>
            <family val="2"/>
          </rPr>
          <t xml:space="preserve">
2018 outlook: PFO decline 5% per year</t>
        </r>
      </text>
    </comment>
    <comment ref="Q488" authorId="11">
      <text>
        <r>
          <rPr>
            <sz val="9"/>
            <color indexed="81"/>
            <rFont val="Calibri"/>
            <family val="2"/>
          </rPr>
          <t>$22m AT Charge</t>
        </r>
      </text>
    </comment>
    <comment ref="DK488" authorId="2">
      <text>
        <r>
          <rPr>
            <b/>
            <sz val="9"/>
            <color indexed="81"/>
            <rFont val="Calibri"/>
            <family val="2"/>
          </rPr>
          <t>Zamora, Diana (Research):</t>
        </r>
        <r>
          <rPr>
            <sz val="9"/>
            <color indexed="81"/>
            <rFont val="Calibri"/>
            <family val="2"/>
          </rPr>
          <t xml:space="preserve">
Restated with 4/24/2015 8-K</t>
        </r>
      </text>
    </comment>
    <comment ref="DM488" authorId="2">
      <text>
        <r>
          <rPr>
            <b/>
            <sz val="9"/>
            <color indexed="81"/>
            <rFont val="Calibri"/>
            <family val="2"/>
          </rPr>
          <t>Zamora, Diana (Research):</t>
        </r>
        <r>
          <rPr>
            <sz val="9"/>
            <color indexed="81"/>
            <rFont val="Calibri"/>
            <family val="2"/>
          </rPr>
          <t xml:space="preserve">
Restated with 4/24/2015 8-K</t>
        </r>
      </text>
    </comment>
    <comment ref="DO488" authorId="2">
      <text>
        <r>
          <rPr>
            <b/>
            <sz val="9"/>
            <color indexed="81"/>
            <rFont val="Calibri"/>
            <family val="2"/>
          </rPr>
          <t>Zamora, Diana (Research):</t>
        </r>
        <r>
          <rPr>
            <sz val="9"/>
            <color indexed="81"/>
            <rFont val="Calibri"/>
            <family val="2"/>
          </rPr>
          <t xml:space="preserve">
Restated with 4/24/2015 8-K</t>
        </r>
      </text>
    </comment>
    <comment ref="DQ488" authorId="2">
      <text>
        <r>
          <rPr>
            <b/>
            <sz val="9"/>
            <color indexed="81"/>
            <rFont val="Calibri"/>
            <family val="2"/>
          </rPr>
          <t>Zamora, Diana (Research):</t>
        </r>
        <r>
          <rPr>
            <sz val="9"/>
            <color indexed="81"/>
            <rFont val="Calibri"/>
            <family val="2"/>
          </rPr>
          <t xml:space="preserve">
Restated with 4/24/2015 8-K</t>
        </r>
      </text>
    </comment>
    <comment ref="GN491" authorId="8">
      <text>
        <r>
          <rPr>
            <b/>
            <sz val="9"/>
            <color indexed="81"/>
            <rFont val="Calibri"/>
            <family val="2"/>
            <scheme val="minor"/>
          </rPr>
          <t>Gupta, Tanmay (Research):</t>
        </r>
        <r>
          <rPr>
            <sz val="9"/>
            <color indexed="81"/>
            <rFont val="Calibri"/>
            <family val="2"/>
            <scheme val="minor"/>
          </rPr>
          <t xml:space="preserve">
Stranded Overhead ~ $200mn PT</t>
        </r>
      </text>
    </comment>
    <comment ref="GP491" authorId="8">
      <text>
        <r>
          <rPr>
            <b/>
            <sz val="9"/>
            <color indexed="81"/>
            <rFont val="Calibri"/>
            <family val="2"/>
            <scheme val="minor"/>
          </rPr>
          <t>Gupta, Tanmay (Research):</t>
        </r>
        <r>
          <rPr>
            <sz val="9"/>
            <color indexed="81"/>
            <rFont val="Calibri"/>
            <family val="2"/>
            <scheme val="minor"/>
          </rPr>
          <t xml:space="preserve">
Stranded Overhead ~ $200mn PT</t>
        </r>
      </text>
    </comment>
    <comment ref="GR491" authorId="8">
      <text>
        <r>
          <rPr>
            <b/>
            <sz val="9"/>
            <color indexed="81"/>
            <rFont val="Calibri"/>
            <family val="2"/>
            <scheme val="minor"/>
          </rPr>
          <t>Gupta, Tanmay (Research):</t>
        </r>
        <r>
          <rPr>
            <sz val="9"/>
            <color indexed="81"/>
            <rFont val="Calibri"/>
            <family val="2"/>
            <scheme val="minor"/>
          </rPr>
          <t xml:space="preserve">
2016 Analyst Day: Stranded overhead increases to $250 by 2019. Increase expense save initiative to $1.05B </t>
        </r>
      </text>
    </comment>
    <comment ref="GT491" authorId="8">
      <text>
        <r>
          <rPr>
            <b/>
            <sz val="9"/>
            <color indexed="81"/>
            <rFont val="Calibri"/>
            <family val="2"/>
            <scheme val="minor"/>
          </rPr>
          <t>Gupta, Tanmay (Research):</t>
        </r>
        <r>
          <rPr>
            <sz val="9"/>
            <color indexed="81"/>
            <rFont val="Calibri"/>
            <family val="2"/>
            <scheme val="minor"/>
          </rPr>
          <t xml:space="preserve">
2016 Analyst Day: Stranded overhead increases to $250 by 2019. Increase expense save initiative to $1.05B </t>
        </r>
      </text>
    </comment>
    <comment ref="GV491" authorId="8">
      <text>
        <r>
          <rPr>
            <b/>
            <sz val="9"/>
            <color indexed="81"/>
            <rFont val="Calibri"/>
            <family val="2"/>
            <scheme val="minor"/>
          </rPr>
          <t>Gupta, Tanmay (Research):</t>
        </r>
        <r>
          <rPr>
            <sz val="9"/>
            <color indexed="81"/>
            <rFont val="Calibri"/>
            <family val="2"/>
            <scheme val="minor"/>
          </rPr>
          <t xml:space="preserve">
2016 Analyst Day: Stranded overhead increases to $250 by 2019. Increase expense save initiative to $1.05B </t>
        </r>
      </text>
    </comment>
    <comment ref="GX491" authorId="8">
      <text>
        <r>
          <rPr>
            <b/>
            <sz val="9"/>
            <color indexed="81"/>
            <rFont val="Calibri"/>
            <family val="2"/>
            <scheme val="minor"/>
          </rPr>
          <t>Gupta, Tanmay (Research):</t>
        </r>
        <r>
          <rPr>
            <sz val="9"/>
            <color indexed="81"/>
            <rFont val="Calibri"/>
            <family val="2"/>
            <scheme val="minor"/>
          </rPr>
          <t xml:space="preserve">
2016 Analyst Day: Stranded overhead increases to $250 by 2019. Increase expense save initiative to $1.05B </t>
        </r>
      </text>
    </comment>
    <comment ref="AO500" authorId="13">
      <text>
        <r>
          <rPr>
            <b/>
            <sz val="9"/>
            <color indexed="81"/>
            <rFont val="Calibri"/>
            <family val="2"/>
          </rPr>
          <t>Incl $40 pp, ($8) add exp, +19 DAC:
run rate $131</t>
        </r>
        <r>
          <rPr>
            <sz val="9"/>
            <color indexed="81"/>
            <rFont val="Calibri"/>
            <family val="2"/>
          </rPr>
          <t xml:space="preserve">
</t>
        </r>
      </text>
    </comment>
    <comment ref="Q501" authorId="12">
      <text>
        <r>
          <rPr>
            <sz val="9"/>
            <color indexed="81"/>
            <rFont val="Calibri"/>
            <family val="2"/>
          </rPr>
          <t>Adjusts the tax rate for the $22 million AT charge.</t>
        </r>
      </text>
    </comment>
    <comment ref="DK501" authorId="2">
      <text>
        <r>
          <rPr>
            <b/>
            <sz val="9"/>
            <color indexed="81"/>
            <rFont val="Calibri"/>
            <family val="2"/>
          </rPr>
          <t>Zamora, Diana (Research):</t>
        </r>
        <r>
          <rPr>
            <sz val="9"/>
            <color indexed="81"/>
            <rFont val="Calibri"/>
            <family val="2"/>
          </rPr>
          <t xml:space="preserve">
Restated with 4/24/2015 8-K</t>
        </r>
      </text>
    </comment>
    <comment ref="DM501" authorId="2">
      <text>
        <r>
          <rPr>
            <b/>
            <sz val="9"/>
            <color indexed="81"/>
            <rFont val="Calibri"/>
            <family val="2"/>
          </rPr>
          <t>Zamora, Diana (Research):</t>
        </r>
        <r>
          <rPr>
            <sz val="9"/>
            <color indexed="81"/>
            <rFont val="Calibri"/>
            <family val="2"/>
          </rPr>
          <t xml:space="preserve">
Restated with 4/24/2015 8-K</t>
        </r>
      </text>
    </comment>
    <comment ref="DO501" authorId="2">
      <text>
        <r>
          <rPr>
            <b/>
            <sz val="9"/>
            <color indexed="81"/>
            <rFont val="Calibri"/>
            <family val="2"/>
          </rPr>
          <t>Zamora, Diana (Research):</t>
        </r>
        <r>
          <rPr>
            <sz val="9"/>
            <color indexed="81"/>
            <rFont val="Calibri"/>
            <family val="2"/>
          </rPr>
          <t xml:space="preserve">
Restated with 4/24/2015 8-K</t>
        </r>
      </text>
    </comment>
    <comment ref="DQ501" authorId="2">
      <text>
        <r>
          <rPr>
            <b/>
            <sz val="9"/>
            <color indexed="81"/>
            <rFont val="Calibri"/>
            <family val="2"/>
          </rPr>
          <t>Zamora, Diana (Research):</t>
        </r>
        <r>
          <rPr>
            <sz val="9"/>
            <color indexed="81"/>
            <rFont val="Calibri"/>
            <family val="2"/>
          </rPr>
          <t xml:space="preserve">
Restated with 4/24/2015 8-K</t>
        </r>
      </text>
    </comment>
    <comment ref="AM503" authorId="10">
      <text>
        <r>
          <rPr>
            <sz val="9"/>
            <color indexed="81"/>
            <rFont val="Calibri"/>
            <family val="2"/>
          </rPr>
          <t>Includes $8M AT of prepayment income.</t>
        </r>
      </text>
    </comment>
    <comment ref="AQ503" authorId="14">
      <text>
        <r>
          <rPr>
            <sz val="9"/>
            <color indexed="81"/>
            <rFont val="Calibri"/>
            <family val="2"/>
          </rPr>
          <t>Results include roughly $21 million in excess corporate joint venture and prepay income and $11 million of unusually low expenses — for a run-rate of closer to $115M.</t>
        </r>
      </text>
    </comment>
    <comment ref="AS503" authorId="15">
      <text>
        <r>
          <rPr>
            <sz val="9"/>
            <color indexed="81"/>
            <rFont val="Calibri"/>
            <family val="2"/>
          </rPr>
          <t>$113MM run rate.
Includes $35 MM of excess investment income, and $27 MM DAC unlocking.</t>
        </r>
      </text>
    </comment>
    <comment ref="AU503" authorId="15">
      <text>
        <r>
          <rPr>
            <sz val="9"/>
            <color indexed="81"/>
            <rFont val="Calibri"/>
            <family val="2"/>
          </rPr>
          <t>$194 MM run rate.  $19 million excess inv income, $5 MM stale liability release, ($19) MM TLA expenses, ($16) MM reconciliation of account balances, ($10) DAC writedown</t>
        </r>
      </text>
    </comment>
    <comment ref="FP503" authorId="10">
      <text>
        <r>
          <rPr>
            <b/>
            <sz val="9"/>
            <color indexed="81"/>
            <rFont val="Calibri"/>
            <family val="2"/>
          </rPr>
          <t xml:space="preserve">12/04 Investor Day: 
</t>
        </r>
        <r>
          <rPr>
            <sz val="9"/>
            <color indexed="81"/>
            <rFont val="Calibri"/>
            <family val="2"/>
          </rPr>
          <t xml:space="preserve">OperEarns &gt; $370-390
</t>
        </r>
      </text>
    </comment>
    <comment ref="GN503" authorId="8">
      <text>
        <r>
          <rPr>
            <b/>
            <sz val="9"/>
            <color indexed="81"/>
            <rFont val="Calibri"/>
            <family val="2"/>
          </rPr>
          <t>Gupta, Tanmay (Research):</t>
        </r>
        <r>
          <rPr>
            <sz val="9"/>
            <color indexed="81"/>
            <rFont val="Calibri"/>
            <family val="2"/>
          </rPr>
          <t xml:space="preserve">
2017 Outlook: Op Earnings decline at 5% annually</t>
        </r>
      </text>
    </comment>
    <comment ref="GP503" authorId="1">
      <text>
        <r>
          <rPr>
            <b/>
            <sz val="9"/>
            <color indexed="81"/>
            <rFont val="Tahoma"/>
            <family val="2"/>
          </rPr>
          <t>Huang, Bob (Research):</t>
        </r>
        <r>
          <rPr>
            <sz val="9"/>
            <color indexed="81"/>
            <rFont val="Tahoma"/>
            <family val="2"/>
          </rPr>
          <t xml:space="preserve">
2018 outlook:
Op Earnings decline 10% in 2018, 
and 5% thereafter</t>
        </r>
      </text>
    </comment>
    <comment ref="GR503" authorId="8">
      <text>
        <r>
          <rPr>
            <b/>
            <sz val="9"/>
            <color indexed="81"/>
            <rFont val="Calibri"/>
            <family val="2"/>
          </rPr>
          <t>Gupta, Tanmay (Research):</t>
        </r>
        <r>
          <rPr>
            <sz val="9"/>
            <color indexed="81"/>
            <rFont val="Calibri"/>
            <family val="2"/>
          </rPr>
          <t xml:space="preserve">
2017 Outlook: Op Earnings decline at 5% annually</t>
        </r>
      </text>
    </comment>
    <comment ref="AW504" authorId="15">
      <text>
        <r>
          <rPr>
            <sz val="9"/>
            <color indexed="81"/>
            <rFont val="Calibri"/>
            <family val="2"/>
          </rPr>
          <t>Excess investment income of $19 million</t>
        </r>
      </text>
    </comment>
    <comment ref="AY504" authorId="15">
      <text>
        <r>
          <rPr>
            <sz val="9"/>
            <color indexed="81"/>
            <rFont val="Calibri"/>
            <family val="2"/>
          </rPr>
          <t>+$10MM Excess Variable Income, -$3MM options</t>
        </r>
      </text>
    </comment>
    <comment ref="BA504" authorId="16">
      <text>
        <r>
          <rPr>
            <sz val="9"/>
            <color indexed="81"/>
            <rFont val="Calibri"/>
            <family val="2"/>
          </rPr>
          <t>+$8 MM mortality adjustment</t>
        </r>
      </text>
    </comment>
    <comment ref="BC504" authorId="16">
      <text>
        <r>
          <rPr>
            <sz val="9"/>
            <color indexed="81"/>
            <rFont val="Calibri"/>
            <family val="2"/>
          </rPr>
          <t>-$2M Reserve Adj
-$2M Stale Liability Writeoff</t>
        </r>
      </text>
    </comment>
    <comment ref="BE504" authorId="15">
      <text>
        <r>
          <rPr>
            <sz val="9"/>
            <color indexed="81"/>
            <rFont val="Calibri"/>
            <family val="2"/>
          </rPr>
          <t>+$22M Excess Variable Income
+$13M DAC unlock</t>
        </r>
      </text>
    </comment>
    <comment ref="BG504" authorId="15">
      <text>
        <r>
          <rPr>
            <sz val="9"/>
            <color indexed="81"/>
            <rFont val="Calibri"/>
            <family val="2"/>
          </rPr>
          <t>+$11M Variable Invt Income
-$11M DAC
-$2M IT Writeoff</t>
        </r>
      </text>
    </comment>
    <comment ref="BK504" authorId="5">
      <text>
        <r>
          <rPr>
            <b/>
            <sz val="9"/>
            <color indexed="81"/>
            <rFont val="Calibri"/>
            <family val="2"/>
          </rPr>
          <t>haybuse:</t>
        </r>
        <r>
          <rPr>
            <sz val="9"/>
            <color indexed="81"/>
            <rFont val="Calibri"/>
            <family val="2"/>
          </rPr>
          <t xml:space="preserve">
1. Exess var income: +7
2. hedge fund peroform: -3
3. Reserve release: +11</t>
        </r>
      </text>
    </comment>
    <comment ref="BM504" authorId="5">
      <text>
        <r>
          <rPr>
            <b/>
            <sz val="9"/>
            <color indexed="81"/>
            <rFont val="Calibri"/>
            <family val="2"/>
          </rPr>
          <t>Details:
Excess var income fav: -29
DAC adjustment unfav: 41
Misc expense unFav: 6</t>
        </r>
      </text>
    </comment>
    <comment ref="BO504" authorId="5">
      <text>
        <r>
          <rPr>
            <b/>
            <sz val="9"/>
            <color indexed="81"/>
            <rFont val="Calibri"/>
            <family val="2"/>
          </rPr>
          <t>Details:
Excess var income fav: -7</t>
        </r>
      </text>
    </comment>
    <comment ref="BQ504" authorId="5">
      <text>
        <r>
          <rPr>
            <sz val="9"/>
            <color indexed="81"/>
            <rFont val="Calibri"/>
            <family val="2"/>
          </rPr>
          <t xml:space="preserve">
-11 excess var income
-14 DAC catch-up</t>
        </r>
      </text>
    </comment>
    <comment ref="BS504" authorId="5">
      <text>
        <r>
          <rPr>
            <b/>
            <sz val="9"/>
            <color indexed="81"/>
            <rFont val="Calibri"/>
            <family val="2"/>
          </rPr>
          <t>haybuse:</t>
        </r>
        <r>
          <rPr>
            <sz val="9"/>
            <color indexed="81"/>
            <rFont val="Calibri"/>
            <family val="2"/>
          </rPr>
          <t xml:space="preserve">
Excess Var Income</t>
        </r>
      </text>
    </comment>
    <comment ref="BW504" authorId="5">
      <text>
        <r>
          <rPr>
            <b/>
            <sz val="9"/>
            <color indexed="81"/>
            <rFont val="Calibri"/>
            <family val="2"/>
          </rPr>
          <t>haybuse:</t>
        </r>
        <r>
          <rPr>
            <sz val="9"/>
            <color indexed="81"/>
            <rFont val="Calibri"/>
            <family val="2"/>
          </rPr>
          <t xml:space="preserve">
Market impact on DAC: -183
Var Income: -21</t>
        </r>
      </text>
    </comment>
    <comment ref="BY504" authorId="5">
      <text>
        <r>
          <rPr>
            <b/>
            <sz val="9"/>
            <color indexed="81"/>
            <rFont val="Calibri"/>
            <family val="2"/>
          </rPr>
          <t>haybuse:</t>
        </r>
        <r>
          <rPr>
            <sz val="9"/>
            <color indexed="81"/>
            <rFont val="Calibri"/>
            <family val="2"/>
          </rPr>
          <t xml:space="preserve">
Market impact: +58
Var income above: +7</t>
        </r>
      </text>
    </comment>
    <comment ref="CA504" authorId="5">
      <text>
        <r>
          <rPr>
            <b/>
            <sz val="9"/>
            <color indexed="81"/>
            <rFont val="Calibri"/>
            <family val="2"/>
          </rPr>
          <t>haybuse:</t>
        </r>
        <r>
          <rPr>
            <sz val="9"/>
            <color indexed="81"/>
            <rFont val="Calibri"/>
            <family val="2"/>
          </rPr>
          <t xml:space="preserve">
higher equitymrkt: 22
lower interest rates on GMIB: -68
var income above: 7
legal: 13
</t>
        </r>
      </text>
    </comment>
    <comment ref="CC504" authorId="5">
      <text>
        <r>
          <rPr>
            <b/>
            <sz val="9"/>
            <color indexed="81"/>
            <rFont val="Calibri"/>
            <family val="2"/>
          </rPr>
          <t>haybuse:</t>
        </r>
        <r>
          <rPr>
            <sz val="9"/>
            <color indexed="81"/>
            <rFont val="Calibri"/>
            <family val="2"/>
          </rPr>
          <t xml:space="preserve">
variable income: +6
DAC unlock: 67
</t>
        </r>
      </text>
    </comment>
    <comment ref="CE504" authorId="5">
      <text>
        <r>
          <rPr>
            <b/>
            <sz val="9"/>
            <color indexed="81"/>
            <rFont val="Calibri"/>
            <family val="2"/>
          </rPr>
          <t>haybuse:</t>
        </r>
        <r>
          <rPr>
            <sz val="9"/>
            <color indexed="81"/>
            <rFont val="Calibri"/>
            <family val="2"/>
          </rPr>
          <t xml:space="preserve">
excess variable income
</t>
        </r>
      </text>
    </comment>
    <comment ref="CG504" authorId="5">
      <text>
        <r>
          <rPr>
            <b/>
            <sz val="9"/>
            <color indexed="81"/>
            <rFont val="Calibri"/>
            <family val="2"/>
          </rPr>
          <t>mlipton:</t>
        </r>
        <r>
          <rPr>
            <sz val="9"/>
            <color indexed="81"/>
            <rFont val="Calibri"/>
            <family val="2"/>
          </rPr>
          <t xml:space="preserve">
Variable Income Above: 2
Market Impact/Hedge Gain: 65
</t>
        </r>
      </text>
    </comment>
    <comment ref="CI504" authorId="5">
      <text>
        <r>
          <rPr>
            <b/>
            <sz val="9"/>
            <color indexed="81"/>
            <rFont val="Calibri"/>
            <family val="2"/>
          </rPr>
          <t>mlipton:</t>
        </r>
        <r>
          <rPr>
            <sz val="9"/>
            <color indexed="81"/>
            <rFont val="Calibri"/>
            <family val="2"/>
          </rPr>
          <t xml:space="preserve">
Variable Income Above: $5M
Market Impact/Hedge Loss: $43
</t>
        </r>
      </text>
    </comment>
    <comment ref="CK504" authorId="5">
      <text>
        <r>
          <rPr>
            <b/>
            <sz val="9"/>
            <color indexed="81"/>
            <rFont val="Calibri"/>
            <family val="2"/>
          </rPr>
          <t>haybuse:</t>
        </r>
        <r>
          <rPr>
            <sz val="9"/>
            <color indexed="81"/>
            <rFont val="Calibri"/>
            <family val="2"/>
          </rPr>
          <t xml:space="preserve">
Var Income: +17
DAC: +17
Hedge Impact: -48</t>
        </r>
      </text>
    </comment>
    <comment ref="CM504" authorId="5">
      <text>
        <r>
          <rPr>
            <b/>
            <sz val="9"/>
            <color indexed="81"/>
            <rFont val="Calibri"/>
            <family val="2"/>
          </rPr>
          <t>haybuse:</t>
        </r>
        <r>
          <rPr>
            <sz val="9"/>
            <color indexed="81"/>
            <rFont val="Calibri"/>
            <family val="2"/>
          </rPr>
          <t xml:space="preserve">
Var Income: +1
</t>
        </r>
      </text>
    </comment>
    <comment ref="CO504" authorId="5">
      <text>
        <r>
          <rPr>
            <b/>
            <sz val="9"/>
            <color indexed="81"/>
            <rFont val="Calibri"/>
            <family val="2"/>
          </rPr>
          <t>haybuse:</t>
        </r>
        <r>
          <rPr>
            <sz val="9"/>
            <color indexed="81"/>
            <rFont val="Calibri"/>
            <family val="2"/>
          </rPr>
          <t xml:space="preserve">
Var Income
</t>
        </r>
      </text>
    </comment>
    <comment ref="CQ504" authorId="5">
      <text>
        <r>
          <rPr>
            <b/>
            <sz val="9"/>
            <color indexed="81"/>
            <rFont val="Calibri"/>
            <family val="2"/>
          </rPr>
          <t>haybuse:</t>
        </r>
        <r>
          <rPr>
            <sz val="9"/>
            <color indexed="81"/>
            <rFont val="Calibri"/>
            <family val="2"/>
          </rPr>
          <t xml:space="preserve">
VII: +2
Mkt DAC: -90
</t>
        </r>
      </text>
    </comment>
    <comment ref="CS504" authorId="5">
      <text>
        <r>
          <rPr>
            <b/>
            <sz val="9"/>
            <color indexed="81"/>
            <rFont val="Calibri"/>
            <family val="2"/>
          </rPr>
          <t>haybuse:</t>
        </r>
        <r>
          <rPr>
            <sz val="9"/>
            <color indexed="81"/>
            <rFont val="Calibri"/>
            <family val="2"/>
          </rPr>
          <t xml:space="preserve">
DAC: -38
Market: +25</t>
        </r>
      </text>
    </comment>
    <comment ref="CU504" authorId="5">
      <text>
        <r>
          <rPr>
            <b/>
            <sz val="9"/>
            <color indexed="81"/>
            <rFont val="Calibri"/>
            <family val="2"/>
          </rPr>
          <t>haybuse:</t>
        </r>
        <r>
          <rPr>
            <sz val="9"/>
            <color indexed="81"/>
            <rFont val="Calibri"/>
            <family val="2"/>
          </rPr>
          <t xml:space="preserve">
mkt impact 38</t>
        </r>
      </text>
    </comment>
    <comment ref="CY504" authorId="5">
      <text>
        <r>
          <rPr>
            <b/>
            <sz val="9"/>
            <color indexed="81"/>
            <rFont val="Calibri"/>
            <family val="2"/>
          </rPr>
          <t>haybuse:</t>
        </r>
        <r>
          <rPr>
            <sz val="9"/>
            <color indexed="81"/>
            <rFont val="Calibri"/>
            <family val="2"/>
          </rPr>
          <t xml:space="preserve">
not normalized for 30M mkt impact</t>
        </r>
      </text>
    </comment>
    <comment ref="DA504" authorId="6">
      <text>
        <r>
          <rPr>
            <b/>
            <sz val="9"/>
            <color indexed="81"/>
            <rFont val="Calibri"/>
            <family val="2"/>
          </rPr>
          <t>Laura Sanchez:</t>
        </r>
        <r>
          <rPr>
            <sz val="9"/>
            <color indexed="81"/>
            <rFont val="Calibri"/>
            <family val="2"/>
          </rPr>
          <t xml:space="preserve">
VII: +9M
Assumptions Review: +133M</t>
        </r>
      </text>
    </comment>
    <comment ref="DC504" authorId="6">
      <text>
        <r>
          <rPr>
            <b/>
            <sz val="9"/>
            <color indexed="81"/>
            <rFont val="Calibri"/>
            <family val="2"/>
          </rPr>
          <t>Laura Sanchez:</t>
        </r>
        <r>
          <rPr>
            <sz val="9"/>
            <color indexed="81"/>
            <rFont val="Calibri"/>
            <family val="2"/>
          </rPr>
          <t xml:space="preserve">
VII: +3M
Assumptions Review: +29M</t>
        </r>
      </text>
    </comment>
    <comment ref="DE504" authorId="6">
      <text>
        <r>
          <rPr>
            <b/>
            <sz val="9"/>
            <color indexed="81"/>
            <rFont val="Calibri"/>
            <family val="2"/>
          </rPr>
          <t>Laura Sanchez:</t>
        </r>
        <r>
          <rPr>
            <sz val="9"/>
            <color indexed="81"/>
            <rFont val="Calibri"/>
            <family val="2"/>
          </rPr>
          <t xml:space="preserve">
VII: +3M</t>
        </r>
      </text>
    </comment>
    <comment ref="DG504" authorId="6">
      <text>
        <r>
          <rPr>
            <b/>
            <sz val="9"/>
            <color indexed="81"/>
            <rFont val="Calibri"/>
            <family val="2"/>
          </rPr>
          <t>Laura Sanchez:</t>
        </r>
        <r>
          <rPr>
            <sz val="9"/>
            <color indexed="81"/>
            <rFont val="Calibri"/>
            <family val="2"/>
          </rPr>
          <t xml:space="preserve">
DAC</t>
        </r>
      </text>
    </comment>
    <comment ref="DI504" authorId="6">
      <text>
        <r>
          <rPr>
            <b/>
            <sz val="9"/>
            <color indexed="81"/>
            <rFont val="Calibri"/>
            <family val="2"/>
          </rPr>
          <t>Laura Sanchez:</t>
        </r>
        <r>
          <rPr>
            <sz val="9"/>
            <color indexed="81"/>
            <rFont val="Calibri"/>
            <family val="2"/>
          </rPr>
          <t xml:space="preserve">
VII</t>
        </r>
      </text>
    </comment>
    <comment ref="DK504" authorId="6">
      <text>
        <r>
          <rPr>
            <b/>
            <sz val="9"/>
            <color indexed="81"/>
            <rFont val="Calibri"/>
            <family val="2"/>
          </rPr>
          <t>Laura Sanchez:</t>
        </r>
        <r>
          <rPr>
            <sz val="9"/>
            <color indexed="81"/>
            <rFont val="Calibri"/>
            <family val="2"/>
          </rPr>
          <t xml:space="preserve">
VII</t>
        </r>
      </text>
    </comment>
    <comment ref="DM504" authorId="7">
      <text>
        <r>
          <rPr>
            <b/>
            <sz val="9"/>
            <color indexed="81"/>
            <rFont val="Calibri"/>
            <family val="2"/>
          </rPr>
          <t>Sanchez Bolanos, Laura (Research):</t>
        </r>
        <r>
          <rPr>
            <sz val="9"/>
            <color indexed="81"/>
            <rFont val="Calibri"/>
            <family val="2"/>
          </rPr>
          <t xml:space="preserve">
+3 VII</t>
        </r>
      </text>
    </comment>
    <comment ref="DO504" authorId="7">
      <text>
        <r>
          <rPr>
            <b/>
            <sz val="9"/>
            <color indexed="81"/>
            <rFont val="Calibri"/>
            <family val="2"/>
          </rPr>
          <t>Sanchez Bolanos, Laura (Research):</t>
        </r>
        <r>
          <rPr>
            <sz val="9"/>
            <color indexed="81"/>
            <rFont val="Calibri"/>
            <family val="2"/>
          </rPr>
          <t xml:space="preserve">
-18 actuarial review
+8 VII
+33 tax adjustments</t>
        </r>
      </text>
    </comment>
    <comment ref="DW504" authorId="8">
      <text>
        <r>
          <rPr>
            <b/>
            <sz val="9"/>
            <color indexed="81"/>
            <rFont val="Calibri"/>
            <family val="2"/>
          </rPr>
          <t>Gupta, Tanmay (Research):</t>
        </r>
        <r>
          <rPr>
            <sz val="9"/>
            <color indexed="81"/>
            <rFont val="Calibri"/>
            <family val="2"/>
          </rPr>
          <t xml:space="preserve">
VII: $(5)mn
Actuarial ass: $(50)mn
Tax adj: $3mn</t>
        </r>
      </text>
    </comment>
    <comment ref="DY504" authorId="8">
      <text>
        <r>
          <rPr>
            <b/>
            <sz val="9"/>
            <color indexed="81"/>
            <rFont val="Calibri"/>
            <family val="2"/>
          </rPr>
          <t>Gupta, Tanmay (Research):</t>
        </r>
        <r>
          <rPr>
            <sz val="9"/>
            <color indexed="81"/>
            <rFont val="Calibri"/>
            <family val="2"/>
          </rPr>
          <t xml:space="preserve">
VII: $(10)mn
</t>
        </r>
      </text>
    </comment>
    <comment ref="EA504" authorId="8">
      <text>
        <r>
          <rPr>
            <b/>
            <sz val="9"/>
            <color indexed="81"/>
            <rFont val="Calibri"/>
            <family val="2"/>
          </rPr>
          <t>Gupta, Tanmay (Research):</t>
        </r>
        <r>
          <rPr>
            <sz val="9"/>
            <color indexed="81"/>
            <rFont val="Calibri"/>
            <family val="2"/>
          </rPr>
          <t xml:space="preserve">
VII: $(5)mn
</t>
        </r>
      </text>
    </comment>
    <comment ref="EC504" authorId="8">
      <text>
        <r>
          <rPr>
            <b/>
            <sz val="9"/>
            <color indexed="81"/>
            <rFont val="Calibri"/>
            <family val="2"/>
          </rPr>
          <t>Gupta, Tanmay (Research):</t>
        </r>
        <r>
          <rPr>
            <sz val="9"/>
            <color indexed="81"/>
            <rFont val="Calibri"/>
            <family val="2"/>
          </rPr>
          <t xml:space="preserve">
VII: $11mn
Act Review: $(315)mn
</t>
        </r>
      </text>
    </comment>
    <comment ref="EE504" authorId="8">
      <text>
        <r>
          <rPr>
            <b/>
            <sz val="9"/>
            <color indexed="81"/>
            <rFont val="Calibri"/>
            <family val="2"/>
          </rPr>
          <t>Gupta, Tanmay (Research):</t>
        </r>
        <r>
          <rPr>
            <sz val="9"/>
            <color indexed="81"/>
            <rFont val="Calibri"/>
            <family val="2"/>
          </rPr>
          <t xml:space="preserve">
VII: $22mn
Act Ass: $(52)mn
</t>
        </r>
      </text>
    </comment>
    <comment ref="EG504" authorId="8">
      <text>
        <r>
          <rPr>
            <b/>
            <sz val="9"/>
            <color indexed="81"/>
            <rFont val="Tahoma"/>
            <family val="2"/>
          </rPr>
          <t>Gupta, Tanmay (Research):</t>
        </r>
        <r>
          <rPr>
            <sz val="9"/>
            <color indexed="81"/>
            <rFont val="Tahoma"/>
            <family val="2"/>
          </rPr>
          <t xml:space="preserve">
Insurance Adj: $(91)mn
</t>
        </r>
      </text>
    </comment>
    <comment ref="EI504" authorId="8">
      <text>
        <r>
          <rPr>
            <b/>
            <sz val="9"/>
            <color indexed="81"/>
            <rFont val="Tahoma"/>
            <family val="2"/>
          </rPr>
          <t>Gupta, Tanmay (Research):</t>
        </r>
        <r>
          <rPr>
            <sz val="9"/>
            <color indexed="81"/>
            <rFont val="Tahoma"/>
            <family val="2"/>
          </rPr>
          <t xml:space="preserve">
VII: $1mn
Act Ass: $76mn
</t>
        </r>
      </text>
    </comment>
    <comment ref="EK504" authorId="8">
      <text>
        <r>
          <rPr>
            <b/>
            <sz val="9"/>
            <color indexed="81"/>
            <rFont val="Tahoma"/>
            <family val="2"/>
          </rPr>
          <t>Gupta, Tanmay (Research):</t>
        </r>
        <r>
          <rPr>
            <sz val="9"/>
            <color indexed="81"/>
            <rFont val="Tahoma"/>
            <family val="2"/>
          </rPr>
          <t xml:space="preserve">
Act Ass: $(40)mn
</t>
        </r>
      </text>
    </comment>
    <comment ref="EM504" authorId="8">
      <text>
        <r>
          <rPr>
            <b/>
            <sz val="9"/>
            <color indexed="81"/>
            <rFont val="Tahoma"/>
            <family val="2"/>
          </rPr>
          <t>Gupta, Tanmay (Research):</t>
        </r>
        <r>
          <rPr>
            <sz val="9"/>
            <color indexed="81"/>
            <rFont val="Tahoma"/>
            <family val="2"/>
          </rPr>
          <t xml:space="preserve">
Act Ass: $(40)mn
</t>
        </r>
      </text>
    </comment>
    <comment ref="EO504" authorId="8">
      <text>
        <r>
          <rPr>
            <b/>
            <sz val="9"/>
            <color indexed="81"/>
            <rFont val="Tahoma"/>
            <family val="2"/>
          </rPr>
          <t>Gupta, Tanmay (Research):</t>
        </r>
        <r>
          <rPr>
            <sz val="9"/>
            <color indexed="81"/>
            <rFont val="Tahoma"/>
            <family val="2"/>
          </rPr>
          <t xml:space="preserve">
Act Ass update
</t>
        </r>
      </text>
    </comment>
    <comment ref="B512" authorId="0">
      <text>
        <r>
          <rPr>
            <b/>
            <sz val="9"/>
            <color indexed="81"/>
            <rFont val="Calibri"/>
            <family val="2"/>
          </rPr>
          <t>sanclaur:</t>
        </r>
        <r>
          <rPr>
            <sz val="9"/>
            <color indexed="81"/>
            <rFont val="Calibri"/>
            <family val="2"/>
          </rPr>
          <t xml:space="preserve">
Lapse Ratio</t>
        </r>
      </text>
    </comment>
    <comment ref="GT529" authorId="8">
      <text>
        <r>
          <rPr>
            <b/>
            <sz val="9"/>
            <color indexed="81"/>
            <rFont val="Tahoma"/>
            <family val="2"/>
          </rPr>
          <t>Gupta, Tanmay (Research):</t>
        </r>
        <r>
          <rPr>
            <sz val="9"/>
            <color indexed="81"/>
            <rFont val="Tahoma"/>
            <family val="2"/>
          </rPr>
          <t xml:space="preserve">
Restructuring costs go away</t>
        </r>
      </text>
    </comment>
    <comment ref="GP531" authorId="1">
      <text>
        <r>
          <rPr>
            <b/>
            <sz val="9"/>
            <color indexed="81"/>
            <rFont val="Tahoma"/>
            <family val="2"/>
          </rPr>
          <t>Huang, Bob (Research):</t>
        </r>
        <r>
          <rPr>
            <sz val="9"/>
            <color indexed="81"/>
            <rFont val="Tahoma"/>
            <family val="2"/>
          </rPr>
          <t xml:space="preserve">
2018 outlook:
expensive initiative cost: $330mn pre-tax</t>
        </r>
      </text>
    </comment>
    <comment ref="EG538" authorId="8">
      <text>
        <r>
          <rPr>
            <b/>
            <sz val="9"/>
            <color indexed="81"/>
            <rFont val="Tahoma"/>
            <family val="2"/>
          </rPr>
          <t>Gupta, Tanmay (Research):</t>
        </r>
        <r>
          <rPr>
            <sz val="9"/>
            <color indexed="81"/>
            <rFont val="Tahoma"/>
            <family val="2"/>
          </rPr>
          <t xml:space="preserve">
Resturcturing expense of $28mn in 4Q16</t>
        </r>
      </text>
    </comment>
    <comment ref="GN539" authorId="8">
      <text>
        <r>
          <rPr>
            <b/>
            <sz val="9"/>
            <color indexed="81"/>
            <rFont val="Calibri"/>
            <family val="2"/>
          </rPr>
          <t>Gupta, Tanmay (Research):</t>
        </r>
        <r>
          <rPr>
            <sz val="9"/>
            <color indexed="81"/>
            <rFont val="Calibri"/>
            <family val="2"/>
          </rPr>
          <t xml:space="preserve">
2017 Outlook: Corp Expenses ~ $450-$650mn ex expense initiative.</t>
        </r>
      </text>
    </comment>
    <comment ref="GP539" authorId="1">
      <text>
        <r>
          <rPr>
            <b/>
            <sz val="9"/>
            <color indexed="81"/>
            <rFont val="Tahoma"/>
            <family val="2"/>
          </rPr>
          <t>Huang, Bob (Research):</t>
        </r>
        <r>
          <rPr>
            <sz val="9"/>
            <color indexed="81"/>
            <rFont val="Tahoma"/>
            <family val="2"/>
          </rPr>
          <t xml:space="preserve">
2018 Outlook: Corp Expenses ~ $650-$850mn ex expense initiative.</t>
        </r>
      </text>
    </comment>
    <comment ref="DW543" authorId="8">
      <text>
        <r>
          <rPr>
            <b/>
            <sz val="9"/>
            <color indexed="81"/>
            <rFont val="Calibri"/>
            <family val="2"/>
          </rPr>
          <t>Gupta, Tanmay (Research):</t>
        </r>
        <r>
          <rPr>
            <sz val="9"/>
            <color indexed="81"/>
            <rFont val="Calibri"/>
            <family val="2"/>
          </rPr>
          <t xml:space="preserve">
VII: $(42)mn
Tax Adj: $(792)mn</t>
        </r>
      </text>
    </comment>
    <comment ref="DY543" authorId="8">
      <text>
        <r>
          <rPr>
            <b/>
            <sz val="9"/>
            <color indexed="81"/>
            <rFont val="Calibri"/>
            <family val="2"/>
          </rPr>
          <t>Gupta, Tanmay (Research):</t>
        </r>
        <r>
          <rPr>
            <sz val="9"/>
            <color indexed="81"/>
            <rFont val="Calibri"/>
            <family val="2"/>
          </rPr>
          <t xml:space="preserve">
VII: $(34)mn
</t>
        </r>
      </text>
    </comment>
    <comment ref="EA543" authorId="8">
      <text>
        <r>
          <rPr>
            <b/>
            <sz val="9"/>
            <color indexed="81"/>
            <rFont val="Calibri"/>
            <family val="2"/>
          </rPr>
          <t>Gupta, Tanmay (Research):</t>
        </r>
        <r>
          <rPr>
            <sz val="9"/>
            <color indexed="81"/>
            <rFont val="Calibri"/>
            <family val="2"/>
          </rPr>
          <t xml:space="preserve">
VII: $(5)mn
</t>
        </r>
      </text>
    </comment>
    <comment ref="EC543" authorId="8">
      <text>
        <r>
          <rPr>
            <b/>
            <sz val="9"/>
            <color indexed="81"/>
            <rFont val="Calibri"/>
            <family val="2"/>
          </rPr>
          <t>Gupta, Tanmay (Research):</t>
        </r>
        <r>
          <rPr>
            <sz val="9"/>
            <color indexed="81"/>
            <rFont val="Calibri"/>
            <family val="2"/>
          </rPr>
          <t xml:space="preserve">
VII: $(1)mn
</t>
        </r>
      </text>
    </comment>
    <comment ref="EE543" authorId="8">
      <text>
        <r>
          <rPr>
            <b/>
            <sz val="9"/>
            <color indexed="81"/>
            <rFont val="Calibri"/>
            <family val="2"/>
          </rPr>
          <t>Gupta, Tanmay (Research):</t>
        </r>
        <r>
          <rPr>
            <sz val="9"/>
            <color indexed="81"/>
            <rFont val="Calibri"/>
            <family val="2"/>
          </rPr>
          <t xml:space="preserve">
VII: $(6)mn
</t>
        </r>
      </text>
    </comment>
    <comment ref="EG543" authorId="8">
      <text>
        <r>
          <rPr>
            <b/>
            <sz val="9"/>
            <color indexed="81"/>
            <rFont val="Tahoma"/>
            <family val="2"/>
          </rPr>
          <t>Gupta, Tanmay (Research):</t>
        </r>
        <r>
          <rPr>
            <sz val="9"/>
            <color indexed="81"/>
            <rFont val="Tahoma"/>
            <family val="2"/>
          </rPr>
          <t xml:space="preserve">
Expense initiative costs: $(28)mn. Already included in earnings so excluded from core.
</t>
        </r>
      </text>
    </comment>
    <comment ref="EI543" authorId="8">
      <text>
        <r>
          <rPr>
            <b/>
            <sz val="9"/>
            <color indexed="81"/>
            <rFont val="Tahoma"/>
            <family val="2"/>
          </rPr>
          <t>Gupta, Tanmay (Research):</t>
        </r>
        <r>
          <rPr>
            <sz val="9"/>
            <color indexed="81"/>
            <rFont val="Tahoma"/>
            <family val="2"/>
          </rPr>
          <t xml:space="preserve">
Expense initiative costs: $(21)mn. Already included in earnings so excluded from core.
VII: $(4)mn
Litigation reserves: $(44)mn</t>
        </r>
      </text>
    </comment>
    <comment ref="EK543" authorId="8">
      <text>
        <r>
          <rPr>
            <b/>
            <sz val="9"/>
            <color indexed="81"/>
            <rFont val="Tahoma"/>
            <family val="2"/>
          </rPr>
          <t>Gupta, Tanmay (Research):</t>
        </r>
        <r>
          <rPr>
            <sz val="9"/>
            <color indexed="81"/>
            <rFont val="Tahoma"/>
            <family val="2"/>
          </rPr>
          <t xml:space="preserve">
Expense initiative costs: $(22)mn. Already included in earnings so excluded from core.
Expense related items: $(36)mn
Tax Adj: $27</t>
        </r>
      </text>
    </comment>
    <comment ref="EM543" authorId="8">
      <text>
        <r>
          <rPr>
            <b/>
            <sz val="9"/>
            <color indexed="81"/>
            <rFont val="Tahoma"/>
            <family val="2"/>
          </rPr>
          <t>Gupta, Tanmay (Research):</t>
        </r>
        <r>
          <rPr>
            <sz val="9"/>
            <color indexed="81"/>
            <rFont val="Tahoma"/>
            <family val="2"/>
          </rPr>
          <t xml:space="preserve">
Expense initiative costs: $(17)mn. 
Tax Adj: $(167)mn
Already included in earnings so excluded from core.
</t>
        </r>
      </text>
    </comment>
    <comment ref="EO543" authorId="8">
      <text>
        <r>
          <rPr>
            <b/>
            <sz val="9"/>
            <color indexed="81"/>
            <rFont val="Tahoma"/>
            <family val="2"/>
          </rPr>
          <t>Gupta, Tanmay (Research):</t>
        </r>
        <r>
          <rPr>
            <sz val="9"/>
            <color indexed="81"/>
            <rFont val="Tahoma"/>
            <family val="2"/>
          </rPr>
          <t xml:space="preserve">
Expense initiative costs: $(42)mn. 
Tax Adj: $(298)mn
Already included in earnings so excluded from core.
</t>
        </r>
      </text>
    </comment>
    <comment ref="EA544" authorId="4">
      <text>
        <r>
          <rPr>
            <b/>
            <sz val="9"/>
            <color indexed="81"/>
            <rFont val="Calibri"/>
            <family val="2"/>
          </rPr>
          <t>Zheng, Chaodan (Research):</t>
        </r>
        <r>
          <rPr>
            <sz val="9"/>
            <color indexed="81"/>
            <rFont val="Calibri"/>
            <family val="2"/>
          </rPr>
          <t xml:space="preserve">
call with mgmt:
- probably a couple of cents which included reinsurance write-off from taking Japan off the lag
- not large enough to really call out</t>
        </r>
      </text>
    </comment>
    <comment ref="EC544" authorId="4">
      <text>
        <r>
          <rPr>
            <b/>
            <sz val="9"/>
            <color indexed="81"/>
            <rFont val="Calibri"/>
            <family val="2"/>
          </rPr>
          <t>Zheng, Chaodan (Research):</t>
        </r>
        <r>
          <rPr>
            <sz val="9"/>
            <color indexed="81"/>
            <rFont val="Calibri"/>
            <family val="2"/>
          </rPr>
          <t xml:space="preserve">
call with mgmt:
- probably a couple of cents which included reinsurance write-off from taking Japan off the lag
- not large enough to really call out</t>
        </r>
      </text>
    </comment>
    <comment ref="EE544" authorId="4">
      <text>
        <r>
          <rPr>
            <b/>
            <sz val="9"/>
            <color indexed="81"/>
            <rFont val="Calibri"/>
            <family val="2"/>
          </rPr>
          <t>Zheng, Chaodan (Research):</t>
        </r>
        <r>
          <rPr>
            <sz val="9"/>
            <color indexed="81"/>
            <rFont val="Calibri"/>
            <family val="2"/>
          </rPr>
          <t xml:space="preserve">
call with mgmt:
- probably a couple of cents which included reinsurance write-off from taking Japan off the lag
- not large enough to really call out</t>
        </r>
      </text>
    </comment>
    <comment ref="I551" authorId="12">
      <text>
        <r>
          <rPr>
            <sz val="9"/>
            <color indexed="81"/>
            <rFont val="Calibri"/>
            <family val="2"/>
          </rPr>
          <t>Includes both C&amp;O and the consolidating entries.</t>
        </r>
      </text>
    </comment>
    <comment ref="O551" authorId="19">
      <text>
        <r>
          <rPr>
            <sz val="9"/>
            <color indexed="81"/>
            <rFont val="Calibri"/>
            <family val="2"/>
          </rPr>
          <t>Includes $310m wtc claims</t>
        </r>
      </text>
    </comment>
    <comment ref="Q551" authorId="11">
      <text>
        <r>
          <rPr>
            <sz val="9"/>
            <color indexed="81"/>
            <rFont val="Calibri"/>
            <family val="2"/>
          </rPr>
          <t>Excludes $159m race-based underwriting AT charge</t>
        </r>
      </text>
    </comment>
    <comment ref="S551" authorId="12">
      <text>
        <r>
          <rPr>
            <sz val="9"/>
            <color indexed="81"/>
            <rFont val="Calibri"/>
            <family val="2"/>
          </rPr>
          <t>This includes a $48 million after-tax charge relating to its General American Life ops in connection with its former Medicare business.</t>
        </r>
      </text>
    </comment>
    <comment ref="Y551" authorId="11">
      <text>
        <r>
          <rPr>
            <sz val="9"/>
            <color indexed="81"/>
            <rFont val="Calibri"/>
            <family val="2"/>
          </rPr>
          <t>Includes $169M AT asbestos litigation-related charge.  This line also includes the $20M and $17M of reserve releases from the "retirement and savings" and "non-medical health" segments.  We allocated these charges to corporate to make earnings trends consistent in the operating segments.</t>
        </r>
      </text>
    </comment>
    <comment ref="AK551" authorId="10">
      <text>
        <r>
          <rPr>
            <sz val="9"/>
            <color indexed="81"/>
            <rFont val="Calibri"/>
            <family val="2"/>
          </rPr>
          <t>Includes $105MM from favorable IRS Audit</t>
        </r>
      </text>
    </comment>
    <comment ref="AM551" authorId="10">
      <text>
        <r>
          <rPr>
            <sz val="9"/>
            <color indexed="81"/>
            <rFont val="Calibri"/>
            <family val="2"/>
          </rPr>
          <t>Includes $9MM from revision of est. of income taxes for 2003</t>
        </r>
      </text>
    </comment>
    <comment ref="AO551" authorId="13">
      <text>
        <r>
          <rPr>
            <b/>
            <sz val="9"/>
            <color indexed="81"/>
            <rFont val="Calibri"/>
            <family val="2"/>
          </rPr>
          <t>dallyn:</t>
        </r>
        <r>
          <rPr>
            <sz val="9"/>
            <color indexed="81"/>
            <rFont val="Calibri"/>
            <family val="2"/>
          </rPr>
          <t xml:space="preserve">
Results include $45 million of CJV offset by $30 million higher expenses</t>
        </r>
      </text>
    </comment>
    <comment ref="AQ551" authorId="13">
      <text>
        <r>
          <rPr>
            <sz val="9"/>
            <color indexed="81"/>
            <rFont val="Calibri"/>
            <family val="2"/>
          </rPr>
          <t>Included $20 million AT of abnormally high corporate joint venture income</t>
        </r>
      </text>
    </comment>
    <comment ref="AS551" authorId="13">
      <text>
        <r>
          <rPr>
            <sz val="9"/>
            <color indexed="81"/>
            <rFont val="Calibri"/>
            <family val="2"/>
          </rPr>
          <t>Run Rate $8MM.  Includes $31MM of abnormal investment income, -$10MM in TLA expenses, and $48MM in reserve releases related to prior sales practice issues</t>
        </r>
      </text>
    </comment>
    <comment ref="AU551" authorId="15">
      <text>
        <r>
          <rPr>
            <sz val="9"/>
            <color indexed="81"/>
            <rFont val="Calibri"/>
            <family val="2"/>
          </rPr>
          <t>Run Rate ($58MM).  $20MM excess inv inc, $31MM Tax release, $9MM legal reserve release, $7MM Stale liab release, ($15MM) TLA expenses</t>
        </r>
      </text>
    </comment>
    <comment ref="AW551" authorId="15">
      <text>
        <r>
          <rPr>
            <sz val="9"/>
            <color indexed="81"/>
            <rFont val="Calibri"/>
            <family val="2"/>
          </rPr>
          <t>Run Rate ($58MM).  $20MM excess inv inc, $31MM Tax release, $9MM legal reserve release, $7MM Stale liab release, ($15MM) TLA expenses</t>
        </r>
      </text>
    </comment>
    <comment ref="DK551" authorId="2">
      <text>
        <r>
          <rPr>
            <b/>
            <sz val="9"/>
            <color indexed="81"/>
            <rFont val="Calibri"/>
            <family val="2"/>
          </rPr>
          <t>Zamora, Diana (Research):</t>
        </r>
        <r>
          <rPr>
            <sz val="9"/>
            <color indexed="81"/>
            <rFont val="Calibri"/>
            <family val="2"/>
          </rPr>
          <t xml:space="preserve">
Restated with 4/24/2015 8-K</t>
        </r>
      </text>
    </comment>
    <comment ref="DM551" authorId="2">
      <text>
        <r>
          <rPr>
            <b/>
            <sz val="9"/>
            <color indexed="81"/>
            <rFont val="Calibri"/>
            <family val="2"/>
          </rPr>
          <t>Zamora, Diana (Research):</t>
        </r>
        <r>
          <rPr>
            <sz val="9"/>
            <color indexed="81"/>
            <rFont val="Calibri"/>
            <family val="2"/>
          </rPr>
          <t xml:space="preserve">
Restated with 4/24/2015 8-K</t>
        </r>
      </text>
    </comment>
    <comment ref="DO551" authorId="2">
      <text>
        <r>
          <rPr>
            <b/>
            <sz val="9"/>
            <color indexed="81"/>
            <rFont val="Calibri"/>
            <family val="2"/>
          </rPr>
          <t>Zamora, Diana (Research):</t>
        </r>
        <r>
          <rPr>
            <sz val="9"/>
            <color indexed="81"/>
            <rFont val="Calibri"/>
            <family val="2"/>
          </rPr>
          <t xml:space="preserve">
Restated with 4/24/2015 8-K</t>
        </r>
      </text>
    </comment>
    <comment ref="DQ551" authorId="2">
      <text>
        <r>
          <rPr>
            <b/>
            <sz val="9"/>
            <color indexed="81"/>
            <rFont val="Calibri"/>
            <family val="2"/>
          </rPr>
          <t>Zamora, Diana (Research):</t>
        </r>
        <r>
          <rPr>
            <sz val="9"/>
            <color indexed="81"/>
            <rFont val="Calibri"/>
            <family val="2"/>
          </rPr>
          <t xml:space="preserve">
Restated with 4/24/2015 8-K</t>
        </r>
      </text>
    </comment>
    <comment ref="FD551" authorId="12">
      <text>
        <r>
          <rPr>
            <sz val="9"/>
            <color indexed="81"/>
            <rFont val="Calibri"/>
            <family val="2"/>
          </rPr>
          <t>Includes a $317 million global settlement</t>
        </r>
      </text>
    </comment>
    <comment ref="FP551" authorId="10">
      <text>
        <r>
          <rPr>
            <b/>
            <sz val="9"/>
            <color indexed="81"/>
            <rFont val="Calibri"/>
            <family val="2"/>
          </rPr>
          <t xml:space="preserve">12/04 Investor Day: 
</t>
        </r>
        <r>
          <rPr>
            <sz val="9"/>
            <color indexed="81"/>
            <rFont val="Calibri"/>
            <family val="2"/>
          </rPr>
          <t>OperEarns = $(70)-(60)</t>
        </r>
      </text>
    </comment>
    <comment ref="GB551" authorId="20">
      <text>
        <r>
          <rPr>
            <b/>
            <sz val="9"/>
            <color indexed="81"/>
            <rFont val="Calibri"/>
            <family val="2"/>
          </rPr>
          <t>hbusell:</t>
        </r>
        <r>
          <rPr>
            <sz val="9"/>
            <color indexed="81"/>
            <rFont val="Calibri"/>
            <family val="2"/>
          </rPr>
          <t xml:space="preserve">
ncl 5% coupon of equity units, coupon on $3.1B senior debt</t>
        </r>
      </text>
    </comment>
    <comment ref="GH551" authorId="18">
      <text>
        <r>
          <rPr>
            <b/>
            <sz val="9"/>
            <color indexed="81"/>
            <rFont val="Calibri"/>
            <family val="2"/>
          </rPr>
          <t>hayleyl:</t>
        </r>
        <r>
          <rPr>
            <sz val="9"/>
            <color indexed="81"/>
            <rFont val="Calibri"/>
            <family val="2"/>
          </rPr>
          <t xml:space="preserve">
3Q14 call: unchanged
guidance (550)-(750)
incl $160-200M of enterprise initiative costs</t>
        </r>
      </text>
    </comment>
    <comment ref="DK552" authorId="2">
      <text>
        <r>
          <rPr>
            <b/>
            <sz val="9"/>
            <color indexed="81"/>
            <rFont val="Calibri"/>
            <family val="2"/>
          </rPr>
          <t>Zamora, Diana (Research):</t>
        </r>
        <r>
          <rPr>
            <sz val="9"/>
            <color indexed="81"/>
            <rFont val="Calibri"/>
            <family val="2"/>
          </rPr>
          <t xml:space="preserve">
Restated with 4/24/2015 8-K</t>
        </r>
      </text>
    </comment>
    <comment ref="DM552" authorId="2">
      <text>
        <r>
          <rPr>
            <b/>
            <sz val="9"/>
            <color indexed="81"/>
            <rFont val="Calibri"/>
            <family val="2"/>
          </rPr>
          <t>Zamora, Diana (Research):</t>
        </r>
        <r>
          <rPr>
            <sz val="9"/>
            <color indexed="81"/>
            <rFont val="Calibri"/>
            <family val="2"/>
          </rPr>
          <t xml:space="preserve">
Restated with 4/24/2015 8-K</t>
        </r>
      </text>
    </comment>
    <comment ref="DO552" authorId="2">
      <text>
        <r>
          <rPr>
            <b/>
            <sz val="9"/>
            <color indexed="81"/>
            <rFont val="Calibri"/>
            <family val="2"/>
          </rPr>
          <t>Zamora, Diana (Research):</t>
        </r>
        <r>
          <rPr>
            <sz val="9"/>
            <color indexed="81"/>
            <rFont val="Calibri"/>
            <family val="2"/>
          </rPr>
          <t xml:space="preserve">
Restated with 4/24/2015 8-K</t>
        </r>
      </text>
    </comment>
    <comment ref="DQ552" authorId="2">
      <text>
        <r>
          <rPr>
            <b/>
            <sz val="9"/>
            <color indexed="81"/>
            <rFont val="Calibri"/>
            <family val="2"/>
          </rPr>
          <t>Zamora, Diana (Research):</t>
        </r>
        <r>
          <rPr>
            <sz val="9"/>
            <color indexed="81"/>
            <rFont val="Calibri"/>
            <family val="2"/>
          </rPr>
          <t xml:space="preserve">
Restated with 4/24/2015 8-K</t>
        </r>
      </text>
    </comment>
    <comment ref="AW553" authorId="15">
      <text>
        <r>
          <rPr>
            <sz val="9"/>
            <color indexed="81"/>
            <rFont val="Calibri"/>
            <family val="2"/>
          </rPr>
          <t>$42 million excess investment income, -$14 million legal</t>
        </r>
      </text>
    </comment>
    <comment ref="AY553" authorId="15">
      <text>
        <r>
          <rPr>
            <sz val="9"/>
            <color indexed="81"/>
            <rFont val="Calibri"/>
            <family val="2"/>
          </rPr>
          <t>-$2MM options expense, +$65MM Excess variable income</t>
        </r>
      </text>
    </comment>
    <comment ref="BA553" authorId="16">
      <text>
        <r>
          <rPr>
            <sz val="9"/>
            <color indexed="81"/>
            <rFont val="Calibri"/>
            <family val="2"/>
          </rPr>
          <t>+$42 MM excess variable income in Corporate
-$10 MM travellers expenses</t>
        </r>
      </text>
    </comment>
    <comment ref="BC553" authorId="16">
      <text>
        <r>
          <rPr>
            <sz val="9"/>
            <color indexed="81"/>
            <rFont val="Calibri"/>
            <family val="2"/>
          </rPr>
          <t>-$7M Travelers Exp
+$18M Tax True Up</t>
        </r>
      </text>
    </comment>
    <comment ref="BE553" authorId="15">
      <text>
        <r>
          <rPr>
            <sz val="9"/>
            <color indexed="81"/>
            <rFont val="Calibri"/>
            <family val="2"/>
          </rPr>
          <t>+$23M Excess Variable Income
-$20M MetLife Foundation
+$28M DRD</t>
        </r>
      </text>
    </comment>
    <comment ref="BG553" authorId="15">
      <text>
        <r>
          <rPr>
            <sz val="9"/>
            <color indexed="81"/>
            <rFont val="Calibri"/>
            <family val="2"/>
          </rPr>
          <t>+$37M Variable Investment Income
-$7M Litigation Reserve Adjustment</t>
        </r>
      </text>
    </comment>
    <comment ref="BK553" authorId="5">
      <text>
        <r>
          <rPr>
            <b/>
            <sz val="9"/>
            <color indexed="81"/>
            <rFont val="Calibri"/>
            <family val="2"/>
          </rPr>
          <t>haybuse:</t>
        </r>
        <r>
          <rPr>
            <sz val="9"/>
            <color indexed="81"/>
            <rFont val="Calibri"/>
            <family val="2"/>
          </rPr>
          <t xml:space="preserve">
1. Excess variable income: -70
2. Hedge fund perform: -30
3. International Intersegment adj: -7</t>
        </r>
      </text>
    </comment>
    <comment ref="BM553" authorId="5">
      <text>
        <r>
          <rPr>
            <b/>
            <sz val="9"/>
            <color indexed="81"/>
            <rFont val="Calibri"/>
            <family val="2"/>
          </rPr>
          <t>Details:
Excess Var income fav: -26
Contribution to MetLife Foundation unfav: 8
Debt redemption unfav: 7
Reserve setup unfav: 12
Tax items unfav: 35
Miscellaneous unfav: 12</t>
        </r>
      </text>
    </comment>
    <comment ref="BO553" authorId="5">
      <text>
        <r>
          <rPr>
            <b/>
            <sz val="9"/>
            <color indexed="81"/>
            <rFont val="Calibri"/>
            <family val="2"/>
          </rPr>
          <t xml:space="preserve">Details:
Excess Var income fav: 4
Leverage Lease Valuation Adj unfav: -16 
Deferred Compensation Adj fav: 15
Deferred State tax release fav: 20
</t>
        </r>
      </text>
    </comment>
    <comment ref="BQ553" authorId="5">
      <text>
        <r>
          <rPr>
            <sz val="9"/>
            <color indexed="81"/>
            <rFont val="Calibri"/>
            <family val="2"/>
          </rPr>
          <t xml:space="preserve">
-1 Excess Var Inc
-12 Abnormal expenses (e.g. relocation exp)</t>
        </r>
      </text>
    </comment>
    <comment ref="BS553" authorId="5">
      <text>
        <r>
          <rPr>
            <sz val="9"/>
            <color indexed="81"/>
            <rFont val="Calibri"/>
            <family val="2"/>
          </rPr>
          <t xml:space="preserve">
-47: Excess Var Income
-51: Operation Excellence
-23: Asbestos charges
+3: Legal Reserves</t>
        </r>
      </text>
    </comment>
    <comment ref="BU553" authorId="5">
      <text>
        <r>
          <rPr>
            <sz val="9"/>
            <color indexed="81"/>
            <rFont val="Calibri"/>
            <family val="2"/>
          </rPr>
          <t xml:space="preserve">
-47: Excess Var Income
-51: Operation Excellence
-23: Asbestos charges
+3: Legal Reserves</t>
        </r>
      </text>
    </comment>
    <comment ref="BW553" authorId="5">
      <text>
        <r>
          <rPr>
            <sz val="9"/>
            <color indexed="81"/>
            <rFont val="Calibri"/>
            <family val="2"/>
          </rPr>
          <t>Var Income: -79
Severance: -23</t>
        </r>
      </text>
    </comment>
    <comment ref="BY553" authorId="5">
      <text>
        <r>
          <rPr>
            <sz val="9"/>
            <color indexed="81"/>
            <rFont val="Calibri"/>
            <family val="2"/>
          </rPr>
          <t>var income below plan: 23
op expenses: -21</t>
        </r>
      </text>
    </comment>
    <comment ref="CA553" authorId="5">
      <text>
        <r>
          <rPr>
            <b/>
            <sz val="9"/>
            <color indexed="81"/>
            <rFont val="Calibri"/>
            <family val="2"/>
          </rPr>
          <t>haybuse:</t>
        </r>
        <r>
          <rPr>
            <sz val="9"/>
            <color indexed="81"/>
            <rFont val="Calibri"/>
            <family val="2"/>
          </rPr>
          <t xml:space="preserve">
severance other: -28
var income above; +5</t>
        </r>
      </text>
    </comment>
    <comment ref="CC553" authorId="5">
      <text>
        <r>
          <rPr>
            <b/>
            <sz val="9"/>
            <color indexed="81"/>
            <rFont val="Calibri"/>
            <family val="2"/>
          </rPr>
          <t>haybuse:</t>
        </r>
        <r>
          <rPr>
            <sz val="9"/>
            <color indexed="81"/>
            <rFont val="Calibri"/>
            <family val="2"/>
          </rPr>
          <t xml:space="preserve">
Var income: +17
Operation Excellence: -18
Lease Termination: -18
Canada pension curtailment: -12
Legal Settlement: -14</t>
        </r>
      </text>
    </comment>
    <comment ref="CE553" authorId="5">
      <text>
        <r>
          <rPr>
            <b/>
            <sz val="9"/>
            <color indexed="81"/>
            <rFont val="Calibri"/>
            <family val="2"/>
          </rPr>
          <t>haybuse:</t>
        </r>
        <r>
          <rPr>
            <sz val="9"/>
            <color indexed="81"/>
            <rFont val="Calibri"/>
            <family val="2"/>
          </rPr>
          <t xml:space="preserve">
Med Part D tax chrg: -75
Operation excellence: -20
Exces Variable: 19</t>
        </r>
      </text>
    </comment>
    <comment ref="CG553" authorId="20">
      <text>
        <r>
          <rPr>
            <b/>
            <sz val="9"/>
            <color indexed="81"/>
            <rFont val="Calibri"/>
            <family val="2"/>
          </rPr>
          <t>mlipton:</t>
        </r>
        <r>
          <rPr>
            <sz val="9"/>
            <color indexed="81"/>
            <rFont val="Calibri"/>
            <family val="2"/>
          </rPr>
          <t xml:space="preserve">
Med Part D Charge: -6
Variable Income Above: 2
OpEx: -4</t>
        </r>
      </text>
    </comment>
    <comment ref="CI553" authorId="20">
      <text>
        <r>
          <rPr>
            <b/>
            <sz val="9"/>
            <color indexed="81"/>
            <rFont val="Calibri"/>
            <family val="2"/>
          </rPr>
          <t>mlipton:</t>
        </r>
        <r>
          <rPr>
            <sz val="9"/>
            <color indexed="81"/>
            <rFont val="Calibri"/>
            <family val="2"/>
          </rPr>
          <t xml:space="preserve">
Variable Income Above Plan $18M
Higher Other items (legal settlements) $15M
Tax True up: $57M</t>
        </r>
      </text>
    </comment>
    <comment ref="CK553" authorId="5">
      <text>
        <r>
          <rPr>
            <b/>
            <sz val="9"/>
            <color indexed="81"/>
            <rFont val="Calibri"/>
            <family val="2"/>
          </rPr>
          <t>haybuse:</t>
        </r>
        <r>
          <rPr>
            <sz val="9"/>
            <color indexed="81"/>
            <rFont val="Calibri"/>
            <family val="2"/>
          </rPr>
          <t xml:space="preserve">
var income: 25
legal: 27
tax break: 20</t>
        </r>
      </text>
    </comment>
    <comment ref="CM553" authorId="5">
      <text>
        <r>
          <rPr>
            <b/>
            <sz val="9"/>
            <color indexed="81"/>
            <rFont val="Calibri"/>
            <family val="2"/>
          </rPr>
          <t>haybuse:</t>
        </r>
        <r>
          <rPr>
            <sz val="9"/>
            <color indexed="81"/>
            <rFont val="Calibri"/>
            <family val="2"/>
          </rPr>
          <t xml:space="preserve">
var income: 17
legal: 10
integration: -11
</t>
        </r>
      </text>
    </comment>
    <comment ref="CO553" authorId="5">
      <text>
        <r>
          <rPr>
            <b/>
            <sz val="9"/>
            <color indexed="81"/>
            <rFont val="Calibri"/>
            <family val="2"/>
          </rPr>
          <t>haybuse:</t>
        </r>
        <r>
          <rPr>
            <sz val="9"/>
            <color indexed="81"/>
            <rFont val="Calibri"/>
            <family val="2"/>
          </rPr>
          <t xml:space="preserve">
var income: -2
integration: -12
</t>
        </r>
      </text>
    </comment>
    <comment ref="CQ553" authorId="5">
      <text>
        <r>
          <rPr>
            <b/>
            <sz val="9"/>
            <color indexed="81"/>
            <rFont val="Calibri"/>
            <family val="2"/>
          </rPr>
          <t>haybuse:</t>
        </r>
        <r>
          <rPr>
            <sz val="9"/>
            <color indexed="81"/>
            <rFont val="Calibri"/>
            <family val="2"/>
          </rPr>
          <t xml:space="preserve">
var income: 2
integration: -12
ELNY: -40
</t>
        </r>
      </text>
    </comment>
    <comment ref="CS553" authorId="5">
      <text>
        <r>
          <rPr>
            <b/>
            <sz val="9"/>
            <color indexed="81"/>
            <rFont val="Calibri"/>
            <family val="2"/>
          </rPr>
          <t>haybuse:</t>
        </r>
        <r>
          <rPr>
            <sz val="9"/>
            <color indexed="81"/>
            <rFont val="Calibri"/>
            <family val="2"/>
          </rPr>
          <t xml:space="preserve">
Alico integration: -20
</t>
        </r>
      </text>
    </comment>
    <comment ref="CU553" authorId="5">
      <text>
        <r>
          <rPr>
            <b/>
            <sz val="9"/>
            <color indexed="81"/>
            <rFont val="Calibri"/>
            <family val="2"/>
          </rPr>
          <t>haybuse:</t>
        </r>
        <r>
          <rPr>
            <sz val="9"/>
            <color indexed="81"/>
            <rFont val="Calibri"/>
            <family val="2"/>
          </rPr>
          <t xml:space="preserve">
Japan Re Mkt Impact: +5
Legal: +16
Death Mater File: -26
Alico Integration: -18</t>
        </r>
      </text>
    </comment>
    <comment ref="CW553" authorId="0">
      <text>
        <r>
          <rPr>
            <b/>
            <sz val="9"/>
            <color indexed="81"/>
            <rFont val="Calibri"/>
            <family val="2"/>
          </rPr>
          <t>sanclaur:</t>
        </r>
        <r>
          <rPr>
            <sz val="9"/>
            <color indexed="81"/>
            <rFont val="Calibri"/>
            <family val="2"/>
          </rPr>
          <t xml:space="preserve">
VII: +42M
Japan Re: -16M
Reorg Costs: -13M</t>
        </r>
      </text>
    </comment>
    <comment ref="CY553" authorId="5">
      <text>
        <r>
          <rPr>
            <b/>
            <sz val="9"/>
            <color indexed="81"/>
            <rFont val="Calibri"/>
            <family val="2"/>
          </rPr>
          <t>haybuse:</t>
        </r>
        <r>
          <rPr>
            <sz val="9"/>
            <color indexed="81"/>
            <rFont val="Calibri"/>
            <family val="2"/>
          </rPr>
          <t xml:space="preserve">
reorganization costs</t>
        </r>
      </text>
    </comment>
    <comment ref="DA553" authorId="6">
      <text>
        <r>
          <rPr>
            <b/>
            <sz val="9"/>
            <color indexed="81"/>
            <rFont val="Calibri"/>
            <family val="2"/>
          </rPr>
          <t>Laura Sanchez:</t>
        </r>
        <r>
          <rPr>
            <sz val="9"/>
            <color indexed="81"/>
            <rFont val="Calibri"/>
            <family val="2"/>
          </rPr>
          <t xml:space="preserve">
VII: +15M
Reorganization Costs: -23M</t>
        </r>
      </text>
    </comment>
    <comment ref="DI553" authorId="6">
      <text>
        <r>
          <rPr>
            <b/>
            <sz val="9"/>
            <color indexed="81"/>
            <rFont val="Calibri"/>
            <family val="2"/>
          </rPr>
          <t>Laura Sanchez:</t>
        </r>
        <r>
          <rPr>
            <sz val="9"/>
            <color indexed="81"/>
            <rFont val="Calibri"/>
            <family val="2"/>
          </rPr>
          <t xml:space="preserve">
VII
-101M asbestos charge</t>
        </r>
      </text>
    </comment>
    <comment ref="DK553" authorId="6">
      <text>
        <r>
          <rPr>
            <b/>
            <sz val="9"/>
            <color indexed="81"/>
            <rFont val="Calibri"/>
            <family val="2"/>
          </rPr>
          <t>Laura Sanchez:</t>
        </r>
        <r>
          <rPr>
            <sz val="9"/>
            <color indexed="81"/>
            <rFont val="Calibri"/>
            <family val="2"/>
          </rPr>
          <t xml:space="preserve">
+21M VII
-57M NY settlement
</t>
        </r>
      </text>
    </comment>
    <comment ref="DO553" authorId="2">
      <text>
        <r>
          <rPr>
            <b/>
            <sz val="9"/>
            <color indexed="81"/>
            <rFont val="Calibri"/>
            <family val="2"/>
          </rPr>
          <t>Zamora, Diana (Research):</t>
        </r>
        <r>
          <rPr>
            <sz val="9"/>
            <color indexed="81"/>
            <rFont val="Calibri"/>
            <family val="2"/>
          </rPr>
          <t xml:space="preserve">
-7 VII
-6 Tax</t>
        </r>
      </text>
    </comment>
    <comment ref="DQ553" authorId="2">
      <text>
        <r>
          <rPr>
            <b/>
            <sz val="9"/>
            <color indexed="81"/>
            <rFont val="Calibri"/>
            <family val="2"/>
          </rPr>
          <t>Zamora, Diana (Research):</t>
        </r>
        <r>
          <rPr>
            <sz val="9"/>
            <color indexed="81"/>
            <rFont val="Calibri"/>
            <family val="2"/>
          </rPr>
          <t xml:space="preserve">
litigation reserves &amp; settlement costs </t>
        </r>
      </text>
    </comment>
    <comment ref="Q561" authorId="11">
      <text>
        <r>
          <rPr>
            <sz val="9"/>
            <color indexed="81"/>
            <rFont val="Calibri"/>
            <family val="2"/>
          </rPr>
          <t>$22m AT Charge</t>
        </r>
      </text>
    </comment>
    <comment ref="DK561" authorId="2">
      <text>
        <r>
          <rPr>
            <b/>
            <sz val="9"/>
            <color indexed="81"/>
            <rFont val="Calibri"/>
            <family val="2"/>
          </rPr>
          <t>Zamora, Diana (Research):</t>
        </r>
        <r>
          <rPr>
            <sz val="9"/>
            <color indexed="81"/>
            <rFont val="Calibri"/>
            <family val="2"/>
          </rPr>
          <t xml:space="preserve">
Restated with 4/24/2015 8-K</t>
        </r>
      </text>
    </comment>
    <comment ref="DM561" authorId="2">
      <text>
        <r>
          <rPr>
            <b/>
            <sz val="9"/>
            <color indexed="81"/>
            <rFont val="Calibri"/>
            <family val="2"/>
          </rPr>
          <t>Zamora, Diana (Research):</t>
        </r>
        <r>
          <rPr>
            <sz val="9"/>
            <color indexed="81"/>
            <rFont val="Calibri"/>
            <family val="2"/>
          </rPr>
          <t xml:space="preserve">
Restated with 4/24/2015 8-K</t>
        </r>
      </text>
    </comment>
    <comment ref="DO561" authorId="2">
      <text>
        <r>
          <rPr>
            <b/>
            <sz val="9"/>
            <color indexed="81"/>
            <rFont val="Calibri"/>
            <family val="2"/>
          </rPr>
          <t>Zamora, Diana (Research):</t>
        </r>
        <r>
          <rPr>
            <sz val="9"/>
            <color indexed="81"/>
            <rFont val="Calibri"/>
            <family val="2"/>
          </rPr>
          <t xml:space="preserve">
Restated with 4/24/2015 8-K</t>
        </r>
      </text>
    </comment>
    <comment ref="DQ561" authorId="2">
      <text>
        <r>
          <rPr>
            <b/>
            <sz val="9"/>
            <color indexed="81"/>
            <rFont val="Calibri"/>
            <family val="2"/>
          </rPr>
          <t>Zamora, Diana (Research):</t>
        </r>
        <r>
          <rPr>
            <sz val="9"/>
            <color indexed="81"/>
            <rFont val="Calibri"/>
            <family val="2"/>
          </rPr>
          <t xml:space="preserve">
Restated with 4/24/2015 8-K</t>
        </r>
      </text>
    </comment>
    <comment ref="GP564" authorId="8">
      <text>
        <r>
          <rPr>
            <b/>
            <sz val="9"/>
            <color indexed="81"/>
            <rFont val="Calibri"/>
            <family val="2"/>
          </rPr>
          <t>Gupta, Tanmay (Research):</t>
        </r>
        <r>
          <rPr>
            <sz val="9"/>
            <color indexed="81"/>
            <rFont val="Calibri"/>
            <family val="2"/>
          </rPr>
          <t xml:space="preserve">
3Q16:
- Loss of aggregation benefit ~ $40mn/Q</t>
        </r>
      </text>
    </comment>
    <comment ref="AO574" authorId="13">
      <text>
        <r>
          <rPr>
            <b/>
            <sz val="9"/>
            <color indexed="81"/>
            <rFont val="Calibri"/>
            <family val="2"/>
          </rPr>
          <t>Incl $40 pp, ($8) add exp, +19 DAC:
run rate $131</t>
        </r>
        <r>
          <rPr>
            <sz val="9"/>
            <color indexed="81"/>
            <rFont val="Calibri"/>
            <family val="2"/>
          </rPr>
          <t xml:space="preserve">
</t>
        </r>
      </text>
    </comment>
    <comment ref="Q575" authorId="12">
      <text>
        <r>
          <rPr>
            <sz val="9"/>
            <color indexed="81"/>
            <rFont val="Calibri"/>
            <family val="2"/>
          </rPr>
          <t>Adjusts the tax rate for the $22 million AT charge.</t>
        </r>
      </text>
    </comment>
    <comment ref="DK575" authorId="2">
      <text>
        <r>
          <rPr>
            <b/>
            <sz val="9"/>
            <color indexed="81"/>
            <rFont val="Calibri"/>
            <family val="2"/>
          </rPr>
          <t>Zamora, Diana (Research):</t>
        </r>
        <r>
          <rPr>
            <sz val="9"/>
            <color indexed="81"/>
            <rFont val="Calibri"/>
            <family val="2"/>
          </rPr>
          <t xml:space="preserve">
Restated with 4/24/2015 8-K</t>
        </r>
      </text>
    </comment>
    <comment ref="DM575" authorId="2">
      <text>
        <r>
          <rPr>
            <b/>
            <sz val="9"/>
            <color indexed="81"/>
            <rFont val="Calibri"/>
            <family val="2"/>
          </rPr>
          <t>Zamora, Diana (Research):</t>
        </r>
        <r>
          <rPr>
            <sz val="9"/>
            <color indexed="81"/>
            <rFont val="Calibri"/>
            <family val="2"/>
          </rPr>
          <t xml:space="preserve">
Restated with 4/24/2015 8-K</t>
        </r>
      </text>
    </comment>
    <comment ref="DO575" authorId="2">
      <text>
        <r>
          <rPr>
            <b/>
            <sz val="9"/>
            <color indexed="81"/>
            <rFont val="Calibri"/>
            <family val="2"/>
          </rPr>
          <t>Zamora, Diana (Research):</t>
        </r>
        <r>
          <rPr>
            <sz val="9"/>
            <color indexed="81"/>
            <rFont val="Calibri"/>
            <family val="2"/>
          </rPr>
          <t xml:space="preserve">
Restated with 4/24/2015 8-K</t>
        </r>
      </text>
    </comment>
    <comment ref="DQ575" authorId="2">
      <text>
        <r>
          <rPr>
            <b/>
            <sz val="9"/>
            <color indexed="81"/>
            <rFont val="Calibri"/>
            <family val="2"/>
          </rPr>
          <t>Zamora, Diana (Research):</t>
        </r>
        <r>
          <rPr>
            <sz val="9"/>
            <color indexed="81"/>
            <rFont val="Calibri"/>
            <family val="2"/>
          </rPr>
          <t xml:space="preserve">
Restated with 4/24/2015 8-K</t>
        </r>
      </text>
    </comment>
    <comment ref="AM577" authorId="10">
      <text>
        <r>
          <rPr>
            <sz val="9"/>
            <color indexed="81"/>
            <rFont val="Calibri"/>
            <family val="2"/>
          </rPr>
          <t>Includes $8M AT of prepayment income.</t>
        </r>
      </text>
    </comment>
    <comment ref="AQ577" authorId="14">
      <text>
        <r>
          <rPr>
            <sz val="9"/>
            <color indexed="81"/>
            <rFont val="Calibri"/>
            <family val="2"/>
          </rPr>
          <t>Results include roughly $21 million in excess corporate joint venture and prepay income and $11 million of unusually low expenses — for a run-rate of closer to $115M.</t>
        </r>
      </text>
    </comment>
    <comment ref="AS577" authorId="15">
      <text>
        <r>
          <rPr>
            <sz val="9"/>
            <color indexed="81"/>
            <rFont val="Calibri"/>
            <family val="2"/>
          </rPr>
          <t>$113MM run rate.
Includes $35 MM of excess investment income, and $27 MM DAC unlocking.</t>
        </r>
      </text>
    </comment>
    <comment ref="AU577" authorId="15">
      <text>
        <r>
          <rPr>
            <sz val="9"/>
            <color indexed="81"/>
            <rFont val="Calibri"/>
            <family val="2"/>
          </rPr>
          <t>$194 MM run rate.  $19 million excess inv income, $5 MM stale liability release, ($19) MM TLA expenses, ($16) MM reconciliation of account balances, ($10) DAC writedown</t>
        </r>
      </text>
    </comment>
    <comment ref="FP577" authorId="10">
      <text>
        <r>
          <rPr>
            <b/>
            <sz val="9"/>
            <color indexed="81"/>
            <rFont val="Calibri"/>
            <family val="2"/>
          </rPr>
          <t xml:space="preserve">12/04 Investor Day: 
</t>
        </r>
        <r>
          <rPr>
            <sz val="9"/>
            <color indexed="81"/>
            <rFont val="Calibri"/>
            <family val="2"/>
          </rPr>
          <t xml:space="preserve">OperEarns &gt; $370-390
</t>
        </r>
      </text>
    </comment>
    <comment ref="EQ578" authorId="8">
      <text>
        <r>
          <rPr>
            <b/>
            <sz val="9"/>
            <color indexed="81"/>
            <rFont val="Calibri"/>
            <family val="2"/>
          </rPr>
          <t>Gupta, Tanmay (Research):</t>
        </r>
        <r>
          <rPr>
            <sz val="9"/>
            <color indexed="81"/>
            <rFont val="Calibri"/>
            <family val="2"/>
          </rPr>
          <t xml:space="preserve">
Expect spin off in 1Q17</t>
        </r>
      </text>
    </comment>
    <comment ref="ES578" authorId="8">
      <text>
        <r>
          <rPr>
            <b/>
            <sz val="9"/>
            <color indexed="81"/>
            <rFont val="Calibri"/>
            <family val="2"/>
          </rPr>
          <t>Gupta, Tanmay (Research):</t>
        </r>
        <r>
          <rPr>
            <sz val="9"/>
            <color indexed="81"/>
            <rFont val="Calibri"/>
            <family val="2"/>
          </rPr>
          <t xml:space="preserve">
Expect spin off in 1Q17</t>
        </r>
      </text>
    </comment>
    <comment ref="EU578" authorId="8">
      <text>
        <r>
          <rPr>
            <b/>
            <sz val="9"/>
            <color indexed="81"/>
            <rFont val="Calibri"/>
            <family val="2"/>
          </rPr>
          <t>Gupta, Tanmay (Research):</t>
        </r>
        <r>
          <rPr>
            <sz val="9"/>
            <color indexed="81"/>
            <rFont val="Calibri"/>
            <family val="2"/>
          </rPr>
          <t xml:space="preserve">
Expect spin off in 1Q17</t>
        </r>
      </text>
    </comment>
    <comment ref="EW578" authorId="8">
      <text>
        <r>
          <rPr>
            <b/>
            <sz val="9"/>
            <color indexed="81"/>
            <rFont val="Calibri"/>
            <family val="2"/>
          </rPr>
          <t>Gupta, Tanmay (Research):</t>
        </r>
        <r>
          <rPr>
            <sz val="9"/>
            <color indexed="81"/>
            <rFont val="Calibri"/>
            <family val="2"/>
          </rPr>
          <t xml:space="preserve">
Expect spin off in 1Q17</t>
        </r>
      </text>
    </comment>
    <comment ref="AW580" authorId="15">
      <text>
        <r>
          <rPr>
            <sz val="9"/>
            <color indexed="81"/>
            <rFont val="Calibri"/>
            <family val="2"/>
          </rPr>
          <t>Excess investment income of $19 million</t>
        </r>
      </text>
    </comment>
    <comment ref="AY580" authorId="15">
      <text>
        <r>
          <rPr>
            <sz val="9"/>
            <color indexed="81"/>
            <rFont val="Calibri"/>
            <family val="2"/>
          </rPr>
          <t>+$10MM Excess Variable Income, -$3MM options</t>
        </r>
      </text>
    </comment>
    <comment ref="BA580" authorId="16">
      <text>
        <r>
          <rPr>
            <sz val="9"/>
            <color indexed="81"/>
            <rFont val="Calibri"/>
            <family val="2"/>
          </rPr>
          <t>+$8 MM mortality adjustment</t>
        </r>
      </text>
    </comment>
    <comment ref="BC580" authorId="16">
      <text>
        <r>
          <rPr>
            <sz val="9"/>
            <color indexed="81"/>
            <rFont val="Calibri"/>
            <family val="2"/>
          </rPr>
          <t>-$2M Reserve Adj
-$2M Stale Liability Writeoff</t>
        </r>
      </text>
    </comment>
    <comment ref="BE580" authorId="15">
      <text>
        <r>
          <rPr>
            <sz val="9"/>
            <color indexed="81"/>
            <rFont val="Calibri"/>
            <family val="2"/>
          </rPr>
          <t>+$22M Excess Variable Income
+$13M DAC unlock</t>
        </r>
      </text>
    </comment>
    <comment ref="BG580" authorId="15">
      <text>
        <r>
          <rPr>
            <sz val="9"/>
            <color indexed="81"/>
            <rFont val="Calibri"/>
            <family val="2"/>
          </rPr>
          <t>+$11M Variable Invt Income
-$11M DAC
-$2M IT Writeoff</t>
        </r>
      </text>
    </comment>
    <comment ref="BK580" authorId="5">
      <text>
        <r>
          <rPr>
            <b/>
            <sz val="9"/>
            <color indexed="81"/>
            <rFont val="Calibri"/>
            <family val="2"/>
          </rPr>
          <t>haybuse:</t>
        </r>
        <r>
          <rPr>
            <sz val="9"/>
            <color indexed="81"/>
            <rFont val="Calibri"/>
            <family val="2"/>
          </rPr>
          <t xml:space="preserve">
1. Exess var income: +7
2. hedge fund peroform: -3
3. Reserve release: +11</t>
        </r>
      </text>
    </comment>
    <comment ref="BM580" authorId="5">
      <text>
        <r>
          <rPr>
            <b/>
            <sz val="9"/>
            <color indexed="81"/>
            <rFont val="Calibri"/>
            <family val="2"/>
          </rPr>
          <t>Details:
Excess var income fav: -29
DAC adjustment unfav: 41
Misc expense unFav: 6</t>
        </r>
      </text>
    </comment>
    <comment ref="BO580" authorId="5">
      <text>
        <r>
          <rPr>
            <b/>
            <sz val="9"/>
            <color indexed="81"/>
            <rFont val="Calibri"/>
            <family val="2"/>
          </rPr>
          <t>Details:
Excess var income fav: -7</t>
        </r>
      </text>
    </comment>
    <comment ref="BQ580" authorId="5">
      <text>
        <r>
          <rPr>
            <sz val="9"/>
            <color indexed="81"/>
            <rFont val="Calibri"/>
            <family val="2"/>
          </rPr>
          <t xml:space="preserve">
-11 excess var income
-14 DAC catch-up</t>
        </r>
      </text>
    </comment>
    <comment ref="BS580" authorId="5">
      <text>
        <r>
          <rPr>
            <b/>
            <sz val="9"/>
            <color indexed="81"/>
            <rFont val="Calibri"/>
            <family val="2"/>
          </rPr>
          <t>haybuse:</t>
        </r>
        <r>
          <rPr>
            <sz val="9"/>
            <color indexed="81"/>
            <rFont val="Calibri"/>
            <family val="2"/>
          </rPr>
          <t xml:space="preserve">
Excess Var Income</t>
        </r>
      </text>
    </comment>
    <comment ref="BW580" authorId="5">
      <text>
        <r>
          <rPr>
            <b/>
            <sz val="9"/>
            <color indexed="81"/>
            <rFont val="Calibri"/>
            <family val="2"/>
          </rPr>
          <t>haybuse:</t>
        </r>
        <r>
          <rPr>
            <sz val="9"/>
            <color indexed="81"/>
            <rFont val="Calibri"/>
            <family val="2"/>
          </rPr>
          <t xml:space="preserve">
Market impact on DAC: -183
Var Income: -21</t>
        </r>
      </text>
    </comment>
    <comment ref="BY580" authorId="5">
      <text>
        <r>
          <rPr>
            <b/>
            <sz val="9"/>
            <color indexed="81"/>
            <rFont val="Calibri"/>
            <family val="2"/>
          </rPr>
          <t>haybuse:</t>
        </r>
        <r>
          <rPr>
            <sz val="9"/>
            <color indexed="81"/>
            <rFont val="Calibri"/>
            <family val="2"/>
          </rPr>
          <t xml:space="preserve">
Market impact: +58
Var income above: +7</t>
        </r>
      </text>
    </comment>
    <comment ref="CA580" authorId="5">
      <text>
        <r>
          <rPr>
            <b/>
            <sz val="9"/>
            <color indexed="81"/>
            <rFont val="Calibri"/>
            <family val="2"/>
          </rPr>
          <t>haybuse:</t>
        </r>
        <r>
          <rPr>
            <sz val="9"/>
            <color indexed="81"/>
            <rFont val="Calibri"/>
            <family val="2"/>
          </rPr>
          <t xml:space="preserve">
higher equitymrkt: 22
lower interest rates on GMIB: -68
var income above: 7
legal: 13
</t>
        </r>
      </text>
    </comment>
    <comment ref="CC580" authorId="5">
      <text>
        <r>
          <rPr>
            <b/>
            <sz val="9"/>
            <color indexed="81"/>
            <rFont val="Calibri"/>
            <family val="2"/>
          </rPr>
          <t>haybuse:</t>
        </r>
        <r>
          <rPr>
            <sz val="9"/>
            <color indexed="81"/>
            <rFont val="Calibri"/>
            <family val="2"/>
          </rPr>
          <t xml:space="preserve">
variable income: +6
DAC unlock: 67
</t>
        </r>
      </text>
    </comment>
    <comment ref="CE580" authorId="5">
      <text>
        <r>
          <rPr>
            <b/>
            <sz val="9"/>
            <color indexed="81"/>
            <rFont val="Calibri"/>
            <family val="2"/>
          </rPr>
          <t>haybuse:</t>
        </r>
        <r>
          <rPr>
            <sz val="9"/>
            <color indexed="81"/>
            <rFont val="Calibri"/>
            <family val="2"/>
          </rPr>
          <t xml:space="preserve">
excess variable income
</t>
        </r>
      </text>
    </comment>
    <comment ref="CG580" authorId="5">
      <text>
        <r>
          <rPr>
            <b/>
            <sz val="9"/>
            <color indexed="81"/>
            <rFont val="Calibri"/>
            <family val="2"/>
          </rPr>
          <t>mlipton:</t>
        </r>
        <r>
          <rPr>
            <sz val="9"/>
            <color indexed="81"/>
            <rFont val="Calibri"/>
            <family val="2"/>
          </rPr>
          <t xml:space="preserve">
Variable Income Above: 2
Market Impact/Hedge Gain: 65
</t>
        </r>
      </text>
    </comment>
    <comment ref="CI580" authorId="5">
      <text>
        <r>
          <rPr>
            <b/>
            <sz val="9"/>
            <color indexed="81"/>
            <rFont val="Calibri"/>
            <family val="2"/>
          </rPr>
          <t>mlipton:</t>
        </r>
        <r>
          <rPr>
            <sz val="9"/>
            <color indexed="81"/>
            <rFont val="Calibri"/>
            <family val="2"/>
          </rPr>
          <t xml:space="preserve">
Variable Income Above: $5M
Market Impact/Hedge Loss: $43
</t>
        </r>
      </text>
    </comment>
    <comment ref="CK580" authorId="5">
      <text>
        <r>
          <rPr>
            <b/>
            <sz val="9"/>
            <color indexed="81"/>
            <rFont val="Calibri"/>
            <family val="2"/>
          </rPr>
          <t>haybuse:</t>
        </r>
        <r>
          <rPr>
            <sz val="9"/>
            <color indexed="81"/>
            <rFont val="Calibri"/>
            <family val="2"/>
          </rPr>
          <t xml:space="preserve">
Var Income: +17
DAC: +17
Hedge Impact: -48</t>
        </r>
      </text>
    </comment>
    <comment ref="CM580" authorId="5">
      <text>
        <r>
          <rPr>
            <b/>
            <sz val="9"/>
            <color indexed="81"/>
            <rFont val="Calibri"/>
            <family val="2"/>
          </rPr>
          <t>haybuse:</t>
        </r>
        <r>
          <rPr>
            <sz val="9"/>
            <color indexed="81"/>
            <rFont val="Calibri"/>
            <family val="2"/>
          </rPr>
          <t xml:space="preserve">
Var Income: +1
</t>
        </r>
      </text>
    </comment>
    <comment ref="CO580" authorId="5">
      <text>
        <r>
          <rPr>
            <b/>
            <sz val="9"/>
            <color indexed="81"/>
            <rFont val="Calibri"/>
            <family val="2"/>
          </rPr>
          <t>haybuse:</t>
        </r>
        <r>
          <rPr>
            <sz val="9"/>
            <color indexed="81"/>
            <rFont val="Calibri"/>
            <family val="2"/>
          </rPr>
          <t xml:space="preserve">
Var Income
</t>
        </r>
      </text>
    </comment>
    <comment ref="CQ580" authorId="5">
      <text>
        <r>
          <rPr>
            <b/>
            <sz val="9"/>
            <color indexed="81"/>
            <rFont val="Calibri"/>
            <family val="2"/>
          </rPr>
          <t>haybuse:</t>
        </r>
        <r>
          <rPr>
            <sz val="9"/>
            <color indexed="81"/>
            <rFont val="Calibri"/>
            <family val="2"/>
          </rPr>
          <t xml:space="preserve">
VII: +2
Mkt DAC: -90
</t>
        </r>
      </text>
    </comment>
    <comment ref="CS580" authorId="5">
      <text>
        <r>
          <rPr>
            <b/>
            <sz val="9"/>
            <color indexed="81"/>
            <rFont val="Calibri"/>
            <family val="2"/>
          </rPr>
          <t>haybuse:</t>
        </r>
        <r>
          <rPr>
            <sz val="9"/>
            <color indexed="81"/>
            <rFont val="Calibri"/>
            <family val="2"/>
          </rPr>
          <t xml:space="preserve">
DAC: -38
Market: +25</t>
        </r>
      </text>
    </comment>
    <comment ref="CU580" authorId="5">
      <text>
        <r>
          <rPr>
            <b/>
            <sz val="9"/>
            <color indexed="81"/>
            <rFont val="Calibri"/>
            <family val="2"/>
          </rPr>
          <t>haybuse:</t>
        </r>
        <r>
          <rPr>
            <sz val="9"/>
            <color indexed="81"/>
            <rFont val="Calibri"/>
            <family val="2"/>
          </rPr>
          <t xml:space="preserve">
mkt impact 38</t>
        </r>
      </text>
    </comment>
    <comment ref="CY580" authorId="5">
      <text>
        <r>
          <rPr>
            <b/>
            <sz val="9"/>
            <color indexed="81"/>
            <rFont val="Calibri"/>
            <family val="2"/>
          </rPr>
          <t>haybuse:</t>
        </r>
        <r>
          <rPr>
            <sz val="9"/>
            <color indexed="81"/>
            <rFont val="Calibri"/>
            <family val="2"/>
          </rPr>
          <t xml:space="preserve">
not normalized for 30M mkt impact</t>
        </r>
      </text>
    </comment>
    <comment ref="DA580" authorId="6">
      <text>
        <r>
          <rPr>
            <b/>
            <sz val="9"/>
            <color indexed="81"/>
            <rFont val="Calibri"/>
            <family val="2"/>
          </rPr>
          <t>Laura Sanchez:</t>
        </r>
        <r>
          <rPr>
            <sz val="9"/>
            <color indexed="81"/>
            <rFont val="Calibri"/>
            <family val="2"/>
          </rPr>
          <t xml:space="preserve">
VII: +9M
Assumptions Review: +133M</t>
        </r>
      </text>
    </comment>
    <comment ref="DC580" authorId="6">
      <text>
        <r>
          <rPr>
            <b/>
            <sz val="9"/>
            <color indexed="81"/>
            <rFont val="Calibri"/>
            <family val="2"/>
          </rPr>
          <t>Laura Sanchez:</t>
        </r>
        <r>
          <rPr>
            <sz val="9"/>
            <color indexed="81"/>
            <rFont val="Calibri"/>
            <family val="2"/>
          </rPr>
          <t xml:space="preserve">
VII: +3M
Assumptions Review: +29M</t>
        </r>
      </text>
    </comment>
    <comment ref="DE580" authorId="6">
      <text>
        <r>
          <rPr>
            <b/>
            <sz val="9"/>
            <color indexed="81"/>
            <rFont val="Calibri"/>
            <family val="2"/>
          </rPr>
          <t>Laura Sanchez:</t>
        </r>
        <r>
          <rPr>
            <sz val="9"/>
            <color indexed="81"/>
            <rFont val="Calibri"/>
            <family val="2"/>
          </rPr>
          <t xml:space="preserve">
VII: +3M</t>
        </r>
      </text>
    </comment>
    <comment ref="DG580" authorId="6">
      <text>
        <r>
          <rPr>
            <b/>
            <sz val="9"/>
            <color indexed="81"/>
            <rFont val="Calibri"/>
            <family val="2"/>
          </rPr>
          <t>Laura Sanchez:</t>
        </r>
        <r>
          <rPr>
            <sz val="9"/>
            <color indexed="81"/>
            <rFont val="Calibri"/>
            <family val="2"/>
          </rPr>
          <t xml:space="preserve">
DAC</t>
        </r>
      </text>
    </comment>
    <comment ref="DI580" authorId="6">
      <text>
        <r>
          <rPr>
            <b/>
            <sz val="9"/>
            <color indexed="81"/>
            <rFont val="Calibri"/>
            <family val="2"/>
          </rPr>
          <t>Laura Sanchez:</t>
        </r>
        <r>
          <rPr>
            <sz val="9"/>
            <color indexed="81"/>
            <rFont val="Calibri"/>
            <family val="2"/>
          </rPr>
          <t xml:space="preserve">
VII</t>
        </r>
      </text>
    </comment>
    <comment ref="DK580" authorId="6">
      <text>
        <r>
          <rPr>
            <b/>
            <sz val="9"/>
            <color indexed="81"/>
            <rFont val="Calibri"/>
            <family val="2"/>
          </rPr>
          <t>Laura Sanchez:</t>
        </r>
        <r>
          <rPr>
            <sz val="9"/>
            <color indexed="81"/>
            <rFont val="Calibri"/>
            <family val="2"/>
          </rPr>
          <t xml:space="preserve">
VII</t>
        </r>
      </text>
    </comment>
    <comment ref="DM580" authorId="7">
      <text>
        <r>
          <rPr>
            <b/>
            <sz val="9"/>
            <color indexed="81"/>
            <rFont val="Calibri"/>
            <family val="2"/>
          </rPr>
          <t>Sanchez Bolanos, Laura (Research):</t>
        </r>
        <r>
          <rPr>
            <sz val="9"/>
            <color indexed="81"/>
            <rFont val="Calibri"/>
            <family val="2"/>
          </rPr>
          <t xml:space="preserve">
+3 VII</t>
        </r>
      </text>
    </comment>
    <comment ref="DO580" authorId="7">
      <text>
        <r>
          <rPr>
            <b/>
            <sz val="9"/>
            <color indexed="81"/>
            <rFont val="Calibri"/>
            <family val="2"/>
          </rPr>
          <t>Sanchez Bolanos, Laura (Research):</t>
        </r>
        <r>
          <rPr>
            <sz val="9"/>
            <color indexed="81"/>
            <rFont val="Calibri"/>
            <family val="2"/>
          </rPr>
          <t xml:space="preserve">
-18 actuarial review
+8 VII
+33 tax adjustments</t>
        </r>
      </text>
    </comment>
    <comment ref="DW580" authorId="8">
      <text>
        <r>
          <rPr>
            <b/>
            <sz val="9"/>
            <color indexed="81"/>
            <rFont val="Calibri"/>
            <family val="2"/>
          </rPr>
          <t>Gupta, Tanmay (Research):</t>
        </r>
        <r>
          <rPr>
            <sz val="9"/>
            <color indexed="81"/>
            <rFont val="Calibri"/>
            <family val="2"/>
          </rPr>
          <t xml:space="preserve">
VII: $(2)mn
Actuarial ass: $(38)mn
Tax adj: $14mn</t>
        </r>
      </text>
    </comment>
    <comment ref="DY580" authorId="8">
      <text>
        <r>
          <rPr>
            <b/>
            <sz val="9"/>
            <color indexed="81"/>
            <rFont val="Calibri"/>
            <family val="2"/>
          </rPr>
          <t>Gupta, Tanmay (Research):</t>
        </r>
        <r>
          <rPr>
            <sz val="9"/>
            <color indexed="81"/>
            <rFont val="Calibri"/>
            <family val="2"/>
          </rPr>
          <t xml:space="preserve">
VII: $(10)mn
</t>
        </r>
      </text>
    </comment>
    <comment ref="EA580" authorId="8">
      <text>
        <r>
          <rPr>
            <b/>
            <sz val="9"/>
            <color indexed="81"/>
            <rFont val="Calibri"/>
            <family val="2"/>
          </rPr>
          <t>Gupta, Tanmay (Research):</t>
        </r>
        <r>
          <rPr>
            <sz val="9"/>
            <color indexed="81"/>
            <rFont val="Calibri"/>
            <family val="2"/>
          </rPr>
          <t xml:space="preserve">
VII: $(5)mn
</t>
        </r>
      </text>
    </comment>
    <comment ref="EC580" authorId="8">
      <text>
        <r>
          <rPr>
            <b/>
            <sz val="9"/>
            <color indexed="81"/>
            <rFont val="Calibri"/>
            <family val="2"/>
          </rPr>
          <t>Gupta, Tanmay (Research):</t>
        </r>
        <r>
          <rPr>
            <sz val="9"/>
            <color indexed="81"/>
            <rFont val="Calibri"/>
            <family val="2"/>
          </rPr>
          <t xml:space="preserve">
VII: $(1)mn
Act Review: $(181)mn
</t>
        </r>
      </text>
    </comment>
    <comment ref="EE580" authorId="8">
      <text>
        <r>
          <rPr>
            <b/>
            <sz val="9"/>
            <color indexed="81"/>
            <rFont val="Calibri"/>
            <family val="2"/>
          </rPr>
          <t>Gupta, Tanmay (Research):</t>
        </r>
        <r>
          <rPr>
            <sz val="9"/>
            <color indexed="81"/>
            <rFont val="Calibri"/>
            <family val="2"/>
          </rPr>
          <t xml:space="preserve">
VII: $17mn
Act Ass: $(254)mn
</t>
        </r>
      </text>
    </comment>
    <comment ref="EG580" authorId="8">
      <text>
        <r>
          <rPr>
            <b/>
            <sz val="9"/>
            <color indexed="81"/>
            <rFont val="Tahoma"/>
            <family val="2"/>
          </rPr>
          <t>Gupta, Tanmay (Research):</t>
        </r>
        <r>
          <rPr>
            <sz val="9"/>
            <color indexed="81"/>
            <rFont val="Tahoma"/>
            <family val="2"/>
          </rPr>
          <t xml:space="preserve">
Ins Adj: $33mn
</t>
        </r>
      </text>
    </comment>
    <comment ref="EI580" authorId="8">
      <text>
        <r>
          <rPr>
            <b/>
            <sz val="9"/>
            <color indexed="81"/>
            <rFont val="Tahoma"/>
            <family val="2"/>
          </rPr>
          <t>Gupta, Tanmay (Research):</t>
        </r>
        <r>
          <rPr>
            <sz val="9"/>
            <color indexed="81"/>
            <rFont val="Tahoma"/>
            <family val="2"/>
          </rPr>
          <t xml:space="preserve">
Act Ass: $(42)mn
</t>
        </r>
      </text>
    </comment>
    <comment ref="EK580" authorId="8">
      <text>
        <r>
          <rPr>
            <b/>
            <sz val="9"/>
            <color indexed="81"/>
            <rFont val="Tahoma"/>
            <family val="2"/>
          </rPr>
          <t>Gupta, Tanmay (Research):</t>
        </r>
        <r>
          <rPr>
            <sz val="9"/>
            <color indexed="81"/>
            <rFont val="Tahoma"/>
            <family val="2"/>
          </rPr>
          <t xml:space="preserve">
Act Ass: $40mn
Expense items related to separation: $(22)mn
</t>
        </r>
      </text>
    </comment>
    <comment ref="EM580" authorId="8">
      <text>
        <r>
          <rPr>
            <b/>
            <sz val="9"/>
            <color indexed="81"/>
            <rFont val="Tahoma"/>
            <family val="2"/>
          </rPr>
          <t>Gupta, Tanmay (Research):</t>
        </r>
        <r>
          <rPr>
            <sz val="9"/>
            <color indexed="81"/>
            <rFont val="Tahoma"/>
            <family val="2"/>
          </rPr>
          <t xml:space="preserve">
Act Ass: $40mn
Expense items related to separation: $(22)mn
</t>
        </r>
      </text>
    </comment>
    <comment ref="EO580" authorId="8">
      <text>
        <r>
          <rPr>
            <b/>
            <sz val="9"/>
            <color indexed="81"/>
            <rFont val="Tahoma"/>
            <family val="2"/>
          </rPr>
          <t>Gupta, Tanmay (Research):</t>
        </r>
        <r>
          <rPr>
            <sz val="9"/>
            <color indexed="81"/>
            <rFont val="Tahoma"/>
            <family val="2"/>
          </rPr>
          <t xml:space="preserve">
Act Ass: $40mn
Expense items related to separation: $(22)mn
</t>
        </r>
      </text>
    </comment>
    <comment ref="K602" authorId="0">
      <text>
        <r>
          <rPr>
            <b/>
            <sz val="9"/>
            <color indexed="81"/>
            <rFont val="Calibri"/>
            <family val="2"/>
          </rPr>
          <t>sanclaur:</t>
        </r>
        <r>
          <rPr>
            <sz val="9"/>
            <color indexed="81"/>
            <rFont val="Calibri"/>
            <family val="2"/>
          </rPr>
          <t xml:space="preserve">
Different formulas</t>
        </r>
      </text>
    </comment>
    <comment ref="M602" authorId="0">
      <text>
        <r>
          <rPr>
            <b/>
            <sz val="9"/>
            <color indexed="81"/>
            <rFont val="Calibri"/>
            <family val="2"/>
          </rPr>
          <t>sanclaur:</t>
        </r>
        <r>
          <rPr>
            <sz val="9"/>
            <color indexed="81"/>
            <rFont val="Calibri"/>
            <family val="2"/>
          </rPr>
          <t xml:space="preserve">
Different formulas</t>
        </r>
      </text>
    </comment>
    <comment ref="O602" authorId="0">
      <text>
        <r>
          <rPr>
            <b/>
            <sz val="9"/>
            <color indexed="81"/>
            <rFont val="Calibri"/>
            <family val="2"/>
          </rPr>
          <t>sanclaur:</t>
        </r>
        <r>
          <rPr>
            <sz val="9"/>
            <color indexed="81"/>
            <rFont val="Calibri"/>
            <family val="2"/>
          </rPr>
          <t xml:space="preserve">
Different formulas</t>
        </r>
      </text>
    </comment>
    <comment ref="Q602" authorId="0">
      <text>
        <r>
          <rPr>
            <b/>
            <sz val="9"/>
            <color indexed="81"/>
            <rFont val="Calibri"/>
            <family val="2"/>
          </rPr>
          <t>sanclaur:</t>
        </r>
        <r>
          <rPr>
            <sz val="9"/>
            <color indexed="81"/>
            <rFont val="Calibri"/>
            <family val="2"/>
          </rPr>
          <t xml:space="preserve">
Different formulas</t>
        </r>
      </text>
    </comment>
    <comment ref="Y602" authorId="0">
      <text>
        <r>
          <rPr>
            <b/>
            <sz val="9"/>
            <color indexed="81"/>
            <rFont val="Calibri"/>
            <family val="2"/>
          </rPr>
          <t>sanclaur:</t>
        </r>
        <r>
          <rPr>
            <sz val="9"/>
            <color indexed="81"/>
            <rFont val="Calibri"/>
            <family val="2"/>
          </rPr>
          <t xml:space="preserve">
Different fromula</t>
        </r>
      </text>
    </comment>
    <comment ref="FV605" authorId="0">
      <text>
        <r>
          <rPr>
            <b/>
            <sz val="9"/>
            <color indexed="81"/>
            <rFont val="Calibri"/>
            <family val="2"/>
          </rPr>
          <t>sanclaur:</t>
        </r>
        <r>
          <rPr>
            <sz val="9"/>
            <color indexed="81"/>
            <rFont val="Calibri"/>
            <family val="2"/>
          </rPr>
          <t xml:space="preserve">
Not linked to Qs since 2008 was restated</t>
        </r>
      </text>
    </comment>
    <comment ref="GH606" authorId="3">
      <text>
        <r>
          <rPr>
            <b/>
            <sz val="9"/>
            <color indexed="81"/>
            <rFont val="Calibri"/>
            <family val="2"/>
          </rPr>
          <t>dianaz:</t>
        </r>
        <r>
          <rPr>
            <sz val="9"/>
            <color indexed="81"/>
            <rFont val="Calibri"/>
            <family val="2"/>
          </rPr>
          <t xml:space="preserve">
Inv Day (12/12/2013):  27.5% in 2014</t>
        </r>
      </text>
    </comment>
    <comment ref="GN606" authorId="8">
      <text>
        <r>
          <rPr>
            <b/>
            <sz val="9"/>
            <color indexed="81"/>
            <rFont val="Calibri"/>
            <family val="2"/>
          </rPr>
          <t>Gupta, Tanmay (Research):</t>
        </r>
        <r>
          <rPr>
            <sz val="9"/>
            <color indexed="81"/>
            <rFont val="Calibri"/>
            <family val="2"/>
          </rPr>
          <t xml:space="preserve">
2Q17: 21-22%
2017 Outlook: Effective tax rate ~ 23%</t>
        </r>
      </text>
    </comment>
    <comment ref="GP606" authorId="1">
      <text>
        <r>
          <rPr>
            <b/>
            <sz val="9"/>
            <color indexed="81"/>
            <rFont val="Tahoma"/>
            <family val="2"/>
          </rPr>
          <t>Huang, Bob (Research):</t>
        </r>
        <r>
          <rPr>
            <sz val="9"/>
            <color indexed="81"/>
            <rFont val="Tahoma"/>
            <family val="2"/>
          </rPr>
          <t xml:space="preserve">
2018 Outlook: Effective tax rate 18-20%</t>
        </r>
      </text>
    </comment>
    <comment ref="FX616" authorId="0">
      <text>
        <r>
          <rPr>
            <b/>
            <sz val="9"/>
            <color indexed="81"/>
            <rFont val="Calibri"/>
            <family val="2"/>
          </rPr>
          <t>sanclaur:</t>
        </r>
        <r>
          <rPr>
            <sz val="9"/>
            <color indexed="81"/>
            <rFont val="Calibri"/>
            <family val="2"/>
          </rPr>
          <t xml:space="preserve">
This cell was originally double counting row 664</t>
        </r>
      </text>
    </comment>
    <comment ref="CK625" authorId="0">
      <text>
        <r>
          <rPr>
            <b/>
            <sz val="9"/>
            <color indexed="81"/>
            <rFont val="Calibri"/>
            <family val="2"/>
          </rPr>
          <t>sanclaur:</t>
        </r>
        <r>
          <rPr>
            <sz val="9"/>
            <color indexed="81"/>
            <rFont val="Calibri"/>
            <family val="2"/>
          </rPr>
          <t xml:space="preserve">
No longer included according to 4Q11 Supplement</t>
        </r>
      </text>
    </comment>
    <comment ref="FZ625" authorId="0">
      <text>
        <r>
          <rPr>
            <b/>
            <sz val="9"/>
            <color indexed="81"/>
            <rFont val="Calibri"/>
            <family val="2"/>
          </rPr>
          <t>sanclaur:</t>
        </r>
        <r>
          <rPr>
            <sz val="9"/>
            <color indexed="81"/>
            <rFont val="Calibri"/>
            <family val="2"/>
          </rPr>
          <t xml:space="preserve">
Linked to Qs to exclude 4Q10 MetLife Bank</t>
        </r>
      </text>
    </comment>
    <comment ref="FF626" authorId="0">
      <text>
        <r>
          <rPr>
            <b/>
            <sz val="9"/>
            <color indexed="81"/>
            <rFont val="Calibri"/>
            <family val="2"/>
          </rPr>
          <t>sanclaur:</t>
        </r>
        <r>
          <rPr>
            <sz val="9"/>
            <color indexed="81"/>
            <rFont val="Calibri"/>
            <family val="2"/>
          </rPr>
          <t xml:space="preserve">
Linked to Qs to show reported Op. Earnings</t>
        </r>
      </text>
    </comment>
    <comment ref="FH626" authorId="0">
      <text>
        <r>
          <rPr>
            <b/>
            <sz val="9"/>
            <color indexed="81"/>
            <rFont val="Calibri"/>
            <family val="2"/>
          </rPr>
          <t>sanclaur:</t>
        </r>
        <r>
          <rPr>
            <sz val="9"/>
            <color indexed="81"/>
            <rFont val="Calibri"/>
            <family val="2"/>
          </rPr>
          <t xml:space="preserve">
Linked to Qs to show reported Op. Earnings</t>
        </r>
      </text>
    </comment>
    <comment ref="FJ626" authorId="0">
      <text>
        <r>
          <rPr>
            <b/>
            <sz val="9"/>
            <color indexed="81"/>
            <rFont val="Calibri"/>
            <family val="2"/>
          </rPr>
          <t>sanclaur:</t>
        </r>
        <r>
          <rPr>
            <sz val="9"/>
            <color indexed="81"/>
            <rFont val="Calibri"/>
            <family val="2"/>
          </rPr>
          <t xml:space="preserve">
Linked to Qs to show reported Op. Earnings</t>
        </r>
      </text>
    </comment>
    <comment ref="FL626" authorId="0">
      <text>
        <r>
          <rPr>
            <b/>
            <sz val="9"/>
            <color indexed="81"/>
            <rFont val="Calibri"/>
            <family val="2"/>
          </rPr>
          <t>sanclaur:</t>
        </r>
        <r>
          <rPr>
            <sz val="9"/>
            <color indexed="81"/>
            <rFont val="Calibri"/>
            <family val="2"/>
          </rPr>
          <t xml:space="preserve">
Linked to Qs to show reported Op. Earnings</t>
        </r>
      </text>
    </comment>
    <comment ref="FN626" authorId="0">
      <text>
        <r>
          <rPr>
            <b/>
            <sz val="9"/>
            <color indexed="81"/>
            <rFont val="Calibri"/>
            <family val="2"/>
          </rPr>
          <t>sanclaur:</t>
        </r>
        <r>
          <rPr>
            <sz val="9"/>
            <color indexed="81"/>
            <rFont val="Calibri"/>
            <family val="2"/>
          </rPr>
          <t xml:space="preserve">
Linked to Qs to show reported Op. Earnings</t>
        </r>
      </text>
    </comment>
    <comment ref="FP626" authorId="0">
      <text>
        <r>
          <rPr>
            <b/>
            <sz val="9"/>
            <color indexed="81"/>
            <rFont val="Calibri"/>
            <family val="2"/>
          </rPr>
          <t>sanclaur:</t>
        </r>
        <r>
          <rPr>
            <sz val="9"/>
            <color indexed="81"/>
            <rFont val="Calibri"/>
            <family val="2"/>
          </rPr>
          <t xml:space="preserve">
Linked to Qs to show reported Op. Earnings</t>
        </r>
      </text>
    </comment>
    <comment ref="FR626" authorId="0">
      <text>
        <r>
          <rPr>
            <b/>
            <sz val="9"/>
            <color indexed="81"/>
            <rFont val="Calibri"/>
            <family val="2"/>
          </rPr>
          <t>sanclaur:</t>
        </r>
        <r>
          <rPr>
            <sz val="9"/>
            <color indexed="81"/>
            <rFont val="Calibri"/>
            <family val="2"/>
          </rPr>
          <t xml:space="preserve">
Linked to Qs to show reported Op. Earnings</t>
        </r>
      </text>
    </comment>
    <comment ref="FT626" authorId="0">
      <text>
        <r>
          <rPr>
            <b/>
            <sz val="9"/>
            <color indexed="81"/>
            <rFont val="Calibri"/>
            <family val="2"/>
          </rPr>
          <t>sanclaur:</t>
        </r>
        <r>
          <rPr>
            <sz val="9"/>
            <color indexed="81"/>
            <rFont val="Calibri"/>
            <family val="2"/>
          </rPr>
          <t xml:space="preserve">
Linked to Qs to show reported Op. Earnings</t>
        </r>
      </text>
    </comment>
    <comment ref="FV626" authorId="7">
      <text>
        <r>
          <rPr>
            <b/>
            <sz val="9"/>
            <color indexed="81"/>
            <rFont val="Calibri"/>
            <family val="2"/>
          </rPr>
          <t>Sanchez Bolanos, Laura (Research):</t>
        </r>
        <r>
          <rPr>
            <sz val="9"/>
            <color indexed="81"/>
            <rFont val="Calibri"/>
            <family val="2"/>
          </rPr>
          <t xml:space="preserve">
linked to Qs</t>
        </r>
      </text>
    </comment>
    <comment ref="AM627" authorId="0">
      <text>
        <r>
          <rPr>
            <b/>
            <sz val="9"/>
            <color indexed="81"/>
            <rFont val="Calibri"/>
            <family val="2"/>
          </rPr>
          <t>sanclaur:</t>
        </r>
        <r>
          <rPr>
            <sz val="9"/>
            <color indexed="81"/>
            <rFont val="Calibri"/>
            <family val="2"/>
          </rPr>
          <t xml:space="preserve">
From this period on, Reinsurance abnormals are excluded</t>
        </r>
      </text>
    </comment>
    <comment ref="FP627" authorId="0">
      <text>
        <r>
          <rPr>
            <b/>
            <sz val="9"/>
            <color indexed="81"/>
            <rFont val="Calibri"/>
            <family val="2"/>
          </rPr>
          <t>sanclaur:</t>
        </r>
        <r>
          <rPr>
            <sz val="9"/>
            <color indexed="81"/>
            <rFont val="Calibri"/>
            <family val="2"/>
          </rPr>
          <t xml:space="preserve">
From this period on, Reinsurance abnormals are excluded</t>
        </r>
      </text>
    </comment>
    <comment ref="B633" authorId="6">
      <text>
        <r>
          <rPr>
            <b/>
            <sz val="9"/>
            <color indexed="81"/>
            <rFont val="Calibri"/>
            <family val="2"/>
          </rPr>
          <t>Laura Sanchez:</t>
        </r>
        <r>
          <rPr>
            <sz val="9"/>
            <color indexed="81"/>
            <rFont val="Calibri"/>
            <family val="2"/>
          </rPr>
          <t xml:space="preserve">
Corporate Overviw section</t>
        </r>
      </text>
    </comment>
    <comment ref="B636" authorId="5">
      <text>
        <r>
          <rPr>
            <b/>
            <sz val="9"/>
            <color indexed="81"/>
            <rFont val="Calibri"/>
            <family val="2"/>
          </rPr>
          <t>haybuse:</t>
        </r>
        <r>
          <rPr>
            <sz val="9"/>
            <color indexed="81"/>
            <rFont val="Calibri"/>
            <family val="2"/>
          </rPr>
          <t xml:space="preserve">
add all items from income reconcilaition excl investment gains and adjust for differnce in investment taxes between income reconciliation and taxes shown on investment schedule in back of supplement.
Add controlling interest</t>
        </r>
      </text>
    </comment>
    <comment ref="S636" authorId="12">
      <text>
        <r>
          <rPr>
            <sz val="9"/>
            <color indexed="81"/>
            <rFont val="Calibri"/>
            <family val="2"/>
          </rPr>
          <t>Relates to the cumulative effect of adopting FAS 142.</t>
        </r>
      </text>
    </comment>
    <comment ref="AI636" authorId="0">
      <text>
        <r>
          <rPr>
            <b/>
            <sz val="9"/>
            <color indexed="81"/>
            <rFont val="Calibri"/>
            <family val="2"/>
          </rPr>
          <t>sanclaur:</t>
        </r>
        <r>
          <rPr>
            <sz val="9"/>
            <color indexed="81"/>
            <rFont val="Calibri"/>
            <family val="2"/>
          </rPr>
          <t xml:space="preserve">
Includes -$86M cumulative net effect of a change in accounting</t>
        </r>
      </text>
    </comment>
    <comment ref="CW636" authorId="6">
      <text>
        <r>
          <rPr>
            <b/>
            <sz val="9"/>
            <color indexed="81"/>
            <rFont val="Calibri"/>
            <family val="2"/>
          </rPr>
          <t>Laura Sanchez:</t>
        </r>
        <r>
          <rPr>
            <sz val="9"/>
            <color indexed="81"/>
            <rFont val="Calibri"/>
            <family val="2"/>
          </rPr>
          <t xml:space="preserve">
Other adjustments to continuing operations - noncontrolling int</t>
        </r>
      </text>
    </comment>
    <comment ref="CY636" authorId="6">
      <text>
        <r>
          <rPr>
            <b/>
            <sz val="9"/>
            <color indexed="81"/>
            <rFont val="Calibri"/>
            <family val="2"/>
          </rPr>
          <t>Laura Sanchez:</t>
        </r>
        <r>
          <rPr>
            <sz val="9"/>
            <color indexed="81"/>
            <rFont val="Calibri"/>
            <family val="2"/>
          </rPr>
          <t xml:space="preserve">
includes goodwill impairment</t>
        </r>
      </text>
    </comment>
    <comment ref="DU636" authorId="8">
      <text>
        <r>
          <rPr>
            <b/>
            <sz val="9"/>
            <color indexed="81"/>
            <rFont val="Calibri"/>
            <family val="2"/>
          </rPr>
          <t>Gupta, Tanmay (Research):</t>
        </r>
        <r>
          <rPr>
            <sz val="9"/>
            <color indexed="81"/>
            <rFont val="Calibri"/>
            <family val="2"/>
          </rPr>
          <t xml:space="preserve">
includes preferred stock repurchase premium</t>
        </r>
      </text>
    </comment>
    <comment ref="DW636" authorId="8">
      <text>
        <r>
          <rPr>
            <b/>
            <sz val="9"/>
            <color indexed="81"/>
            <rFont val="Calibri"/>
            <family val="2"/>
          </rPr>
          <t>Gupta, Tanmay (Research):</t>
        </r>
        <r>
          <rPr>
            <sz val="9"/>
            <color indexed="81"/>
            <rFont val="Calibri"/>
            <family val="2"/>
          </rPr>
          <t xml:space="preserve">
includes preferred stock repurchase premium</t>
        </r>
      </text>
    </comment>
    <comment ref="DY636" authorId="8">
      <text>
        <r>
          <rPr>
            <b/>
            <sz val="9"/>
            <color indexed="81"/>
            <rFont val="Calibri"/>
            <family val="2"/>
          </rPr>
          <t>Gupta, Tanmay (Research):</t>
        </r>
        <r>
          <rPr>
            <sz val="9"/>
            <color indexed="81"/>
            <rFont val="Calibri"/>
            <family val="2"/>
          </rPr>
          <t xml:space="preserve">
includes preferred stock repurchase premium</t>
        </r>
      </text>
    </comment>
    <comment ref="EA636" authorId="8">
      <text>
        <r>
          <rPr>
            <b/>
            <sz val="9"/>
            <color indexed="81"/>
            <rFont val="Calibri"/>
            <family val="2"/>
          </rPr>
          <t>Gupta, Tanmay (Research):</t>
        </r>
        <r>
          <rPr>
            <sz val="9"/>
            <color indexed="81"/>
            <rFont val="Calibri"/>
            <family val="2"/>
          </rPr>
          <t xml:space="preserve">
includes preferred stock repurchase premium</t>
        </r>
      </text>
    </comment>
    <comment ref="EC636" authorId="8">
      <text>
        <r>
          <rPr>
            <b/>
            <sz val="9"/>
            <color indexed="81"/>
            <rFont val="Calibri"/>
            <family val="2"/>
          </rPr>
          <t>Gupta, Tanmay (Research):</t>
        </r>
        <r>
          <rPr>
            <sz val="9"/>
            <color indexed="81"/>
            <rFont val="Calibri"/>
            <family val="2"/>
          </rPr>
          <t xml:space="preserve">
includes preferred stock repurchase premium</t>
        </r>
      </text>
    </comment>
    <comment ref="EE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G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I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K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M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O636" authorId="8">
      <text>
        <r>
          <rPr>
            <b/>
            <sz val="9"/>
            <color indexed="81"/>
            <rFont val="Calibri"/>
            <family val="2"/>
          </rPr>
          <t>Gupta, Tanmay (Research):</t>
        </r>
        <r>
          <rPr>
            <sz val="9"/>
            <color indexed="81"/>
            <rFont val="Calibri"/>
            <family val="2"/>
          </rPr>
          <t xml:space="preserve">
includes preferred stock repurchase premium
includes adjustments for restatement
</t>
        </r>
      </text>
    </comment>
    <comment ref="EQ636" authorId="8">
      <text>
        <r>
          <rPr>
            <b/>
            <sz val="9"/>
            <color indexed="81"/>
            <rFont val="Tahoma"/>
            <family val="2"/>
          </rPr>
          <t>Gupta, Tanmay (Research):</t>
        </r>
        <r>
          <rPr>
            <sz val="9"/>
            <color indexed="81"/>
            <rFont val="Tahoma"/>
            <family val="2"/>
          </rPr>
          <t xml:space="preserve">
As of January 1, 2018, we expect the book value to decrease by approximately 2% reflecting the adoption of certain new accounting pronouncements, primarily relating to the impact of U.S. Tax Reform</t>
        </r>
      </text>
    </comment>
    <comment ref="GF636" authorId="5">
      <text>
        <r>
          <rPr>
            <b/>
            <sz val="9"/>
            <color indexed="81"/>
            <rFont val="Calibri"/>
            <family val="2"/>
          </rPr>
          <t>haybuse:</t>
        </r>
        <r>
          <rPr>
            <sz val="9"/>
            <color indexed="81"/>
            <rFont val="Calibri"/>
            <family val="2"/>
          </rPr>
          <t xml:space="preserve">
alico</t>
        </r>
      </text>
    </comment>
    <comment ref="GH636" authorId="5">
      <text>
        <r>
          <rPr>
            <b/>
            <sz val="9"/>
            <color indexed="81"/>
            <rFont val="Calibri"/>
            <family val="2"/>
          </rPr>
          <t>haybuse:</t>
        </r>
        <r>
          <rPr>
            <sz val="9"/>
            <color indexed="81"/>
            <rFont val="Calibri"/>
            <family val="2"/>
          </rPr>
          <t xml:space="preserve">
alico</t>
        </r>
      </text>
    </comment>
    <comment ref="B637" authorId="5">
      <text>
        <r>
          <rPr>
            <b/>
            <sz val="9"/>
            <color indexed="81"/>
            <rFont val="Calibri"/>
            <family val="2"/>
          </rPr>
          <t>haybuse:</t>
        </r>
        <r>
          <rPr>
            <sz val="9"/>
            <color indexed="81"/>
            <rFont val="Calibri"/>
            <family val="2"/>
          </rPr>
          <t xml:space="preserve">
back of supplement - investment results by asset category - bottom of page</t>
        </r>
      </text>
    </comment>
    <comment ref="AS637" authorId="15">
      <text>
        <r>
          <rPr>
            <sz val="9"/>
            <color indexed="81"/>
            <rFont val="Calibri"/>
            <family val="2"/>
          </rPr>
          <t xml:space="preserve">Gains from real estate sales </t>
        </r>
      </text>
    </comment>
    <comment ref="GN655" authorId="8">
      <text>
        <r>
          <rPr>
            <b/>
            <sz val="9"/>
            <color indexed="81"/>
            <rFont val="Calibri"/>
            <family val="2"/>
          </rPr>
          <t>Gupta, Tanmay (Research):</t>
        </r>
        <r>
          <rPr>
            <sz val="9"/>
            <color indexed="81"/>
            <rFont val="Calibri"/>
            <family val="2"/>
          </rPr>
          <t xml:space="preserve">
2016 Analyst Day: Greater proportion of operating earnings from International &gt; 40%</t>
        </r>
      </text>
    </comment>
    <comment ref="EG663" authorId="8">
      <text>
        <r>
          <rPr>
            <b/>
            <sz val="9"/>
            <color indexed="81"/>
            <rFont val="Calibri"/>
            <family val="2"/>
          </rPr>
          <t>Gupta, Tanmay (Research):</t>
        </r>
        <r>
          <rPr>
            <sz val="9"/>
            <color indexed="81"/>
            <rFont val="Calibri"/>
            <family val="2"/>
          </rPr>
          <t xml:space="preserve">
Common dividend of $0.40/sh 4Q16</t>
        </r>
      </text>
    </comment>
    <comment ref="GN663" authorId="8">
      <text>
        <r>
          <rPr>
            <b/>
            <sz val="9"/>
            <color indexed="81"/>
            <rFont val="Calibri"/>
            <family val="2"/>
          </rPr>
          <t>Gupta, Tanmay (Research):</t>
        </r>
        <r>
          <rPr>
            <sz val="9"/>
            <color indexed="81"/>
            <rFont val="Calibri"/>
            <family val="2"/>
          </rPr>
          <t xml:space="preserve">
2016 Analyst Day: Expect annual dividend of $1.60 post separation.</t>
        </r>
      </text>
    </comment>
    <comment ref="GN664" authorId="8">
      <text>
        <r>
          <rPr>
            <b/>
            <sz val="9"/>
            <color indexed="81"/>
            <rFont val="Calibri"/>
            <family val="2"/>
          </rPr>
          <t>Gupta, Tanmay (Research):</t>
        </r>
        <r>
          <rPr>
            <sz val="9"/>
            <color indexed="81"/>
            <rFont val="Calibri"/>
            <family val="2"/>
          </rPr>
          <t xml:space="preserve">
2016 Analyst Day: The dividend payout ratio will increase post separation. But then the payout ratio will grow at a slower pace than earnings until it catches up, and then normalize.</t>
        </r>
      </text>
    </comment>
    <comment ref="BS668" authorId="7">
      <text>
        <r>
          <rPr>
            <b/>
            <sz val="9"/>
            <color indexed="81"/>
            <rFont val="Calibri"/>
            <family val="2"/>
          </rPr>
          <t>Sanchez Bolanos, Laura (Research):</t>
        </r>
        <r>
          <rPr>
            <sz val="9"/>
            <color indexed="81"/>
            <rFont val="Calibri"/>
            <family val="2"/>
          </rPr>
          <t xml:space="preserve">
"On October 15, 2008, MetLife completed its public offering of 75 million shares of common stock and issued an additional 11.25 million shares of common stock pursuant to the exercise in full by the underwriters of their over-allotment option. The total offering of 86.25 million shares produced gross proceeds of approximately $2.3 billion. MetLife expects to use the net proceeds from the sale of the common stock for general corporate purposes and potential strategic initiatives.”</t>
        </r>
      </text>
    </comment>
    <comment ref="CI668" authorId="7">
      <text>
        <r>
          <rPr>
            <b/>
            <sz val="9"/>
            <color indexed="81"/>
            <rFont val="Calibri"/>
            <family val="2"/>
          </rPr>
          <t>Sanchez Bolanos, Laura (Research):</t>
        </r>
        <r>
          <rPr>
            <sz val="9"/>
            <color indexed="81"/>
            <rFont val="Calibri"/>
            <family val="2"/>
          </rPr>
          <t xml:space="preserve">
transcript: "This quarter’s results
include a dilutive impact of $0.08 per share resulting from the Alico equity and debt issuance completed in early August."</t>
        </r>
      </text>
    </comment>
    <comment ref="DA668" authorId="2">
      <text>
        <r>
          <rPr>
            <b/>
            <sz val="9"/>
            <color indexed="81"/>
            <rFont val="Calibri"/>
            <family val="2"/>
          </rPr>
          <t>Zamora, Diana (Research):</t>
        </r>
        <r>
          <rPr>
            <sz val="9"/>
            <color indexed="81"/>
            <rFont val="Calibri"/>
            <family val="2"/>
          </rPr>
          <t xml:space="preserve">
28,231,956 related to the acquisition of Alico</t>
        </r>
      </text>
    </comment>
    <comment ref="DG668" authorId="2">
      <text>
        <r>
          <rPr>
            <b/>
            <sz val="9"/>
            <color indexed="81"/>
            <rFont val="Calibri"/>
            <family val="2"/>
          </rPr>
          <t>Zamora, Diana (Research):</t>
        </r>
        <r>
          <rPr>
            <sz val="9"/>
            <color indexed="81"/>
            <rFont val="Calibri"/>
            <family val="2"/>
          </rPr>
          <t xml:space="preserve">
22,679,955 related to the acquisition of Alico</t>
        </r>
      </text>
    </comment>
    <comment ref="DG671" authorId="2">
      <text>
        <r>
          <rPr>
            <b/>
            <sz val="9"/>
            <color indexed="81"/>
            <rFont val="Calibri"/>
            <family val="2"/>
          </rPr>
          <t>Zamora, Diana (Research):</t>
        </r>
        <r>
          <rPr>
            <sz val="9"/>
            <color indexed="81"/>
            <rFont val="Calibri"/>
            <family val="2"/>
          </rPr>
          <t xml:space="preserve">
As part of the consideration paid for the ALICO Acquisition, MetLife, Inc. issued $3.0 billion aggregate stated amount of common equity units, which
initially consist of (x) purchase contracts obligating the holder to purchase a variable number of shares of MetLife, Inc.’s common stock on each of three
specified future settlement dates (the first settlement date was in October 2012, the second settlement date was in September 2013 and the third is expected to occur in October 2014, subject to deferral under certain circumstances) for a fixed amount per purchase contract (an aggregate of $1.0 billion on each settlement date) and (y) an interest in each of three series of debt securities of MetLife, Inc. On the first and second settlement dates, MetLife issued an aggregate of 50,911,911 shares. After settlement of the remaining purchase contracts, MetLife, Inc. will receive proceeds of $1 billion and issue between 22.8 million and 28.5 million shares of its common stock, subject to certain adjustments including as a result of the payment, if any, of dividends in excess of $0.185 per share during the second and/or third quarters of 2014, in addition to the proceeds received and shares issued on the first and second settlement dates in October 2012 and September 2013. 
</t>
        </r>
      </text>
    </comment>
    <comment ref="BG673" authorId="7">
      <text>
        <r>
          <rPr>
            <b/>
            <sz val="9"/>
            <color indexed="81"/>
            <rFont val="Calibri"/>
            <family val="2"/>
          </rPr>
          <t>Sanchez Bolanos, Laura (Research):</t>
        </r>
        <r>
          <rPr>
            <sz val="9"/>
            <color indexed="81"/>
            <rFont val="Calibri"/>
            <family val="2"/>
          </rPr>
          <t xml:space="preserve">
release</t>
        </r>
      </text>
    </comment>
    <comment ref="BK673" authorId="7">
      <text>
        <r>
          <rPr>
            <b/>
            <sz val="9"/>
            <color indexed="81"/>
            <rFont val="Calibri"/>
            <family val="2"/>
          </rPr>
          <t>Sanchez Bolanos, Laura (Research):</t>
        </r>
        <r>
          <rPr>
            <sz val="9"/>
            <color indexed="81"/>
            <rFont val="Calibri"/>
            <family val="2"/>
          </rPr>
          <t xml:space="preserve">
release</t>
        </r>
      </text>
    </comment>
    <comment ref="BM673" authorId="7">
      <text>
        <r>
          <rPr>
            <b/>
            <sz val="9"/>
            <color indexed="81"/>
            <rFont val="Calibri"/>
            <family val="2"/>
          </rPr>
          <t>Sanchez Bolanos, Laura (Research):</t>
        </r>
        <r>
          <rPr>
            <sz val="9"/>
            <color indexed="81"/>
            <rFont val="Calibri"/>
            <family val="2"/>
          </rPr>
          <t xml:space="preserve">
release</t>
        </r>
      </text>
    </comment>
    <comment ref="BO673" authorId="7">
      <text>
        <r>
          <rPr>
            <b/>
            <sz val="9"/>
            <color indexed="81"/>
            <rFont val="Calibri"/>
            <family val="2"/>
          </rPr>
          <t>Sanchez Bolanos, Laura (Research):</t>
        </r>
        <r>
          <rPr>
            <sz val="9"/>
            <color indexed="81"/>
            <rFont val="Calibri"/>
            <family val="2"/>
          </rPr>
          <t xml:space="preserve">
Release</t>
        </r>
      </text>
    </comment>
    <comment ref="BQ673" authorId="7">
      <text>
        <r>
          <rPr>
            <b/>
            <sz val="9"/>
            <color indexed="81"/>
            <rFont val="Calibri"/>
            <family val="2"/>
          </rPr>
          <t>Sanchez Bolanos, Laura (Research):</t>
        </r>
        <r>
          <rPr>
            <sz val="9"/>
            <color indexed="81"/>
            <rFont val="Calibri"/>
            <family val="2"/>
          </rPr>
          <t xml:space="preserve">
release</t>
        </r>
      </text>
    </comment>
    <comment ref="DE674" authorId="6">
      <text>
        <r>
          <rPr>
            <b/>
            <sz val="9"/>
            <color indexed="81"/>
            <rFont val="Calibri"/>
            <family val="2"/>
          </rPr>
          <t>Laura Sanchez:</t>
        </r>
        <r>
          <rPr>
            <sz val="9"/>
            <color indexed="81"/>
            <rFont val="Calibri"/>
            <family val="2"/>
          </rPr>
          <t xml:space="preserve">
avg price from MSLLII</t>
        </r>
      </text>
    </comment>
    <comment ref="DG674" authorId="6">
      <text>
        <r>
          <rPr>
            <b/>
            <sz val="9"/>
            <color indexed="81"/>
            <rFont val="Calibri"/>
            <family val="2"/>
          </rPr>
          <t>Laura Sanchez:</t>
        </r>
        <r>
          <rPr>
            <sz val="9"/>
            <color indexed="81"/>
            <rFont val="Calibri"/>
            <family val="2"/>
          </rPr>
          <t xml:space="preserve">
avg price from MSLLII</t>
        </r>
      </text>
    </comment>
    <comment ref="DI674" authorId="6">
      <text>
        <r>
          <rPr>
            <b/>
            <sz val="9"/>
            <color indexed="81"/>
            <rFont val="Calibri"/>
            <family val="2"/>
          </rPr>
          <t>Laura Sanchez:</t>
        </r>
        <r>
          <rPr>
            <sz val="9"/>
            <color indexed="81"/>
            <rFont val="Calibri"/>
            <family val="2"/>
          </rPr>
          <t xml:space="preserve">
avg price from MSLLII</t>
        </r>
      </text>
    </comment>
    <comment ref="DK674" authorId="6">
      <text>
        <r>
          <rPr>
            <b/>
            <sz val="9"/>
            <color indexed="81"/>
            <rFont val="Calibri"/>
            <family val="2"/>
          </rPr>
          <t>Laura Sanchez:</t>
        </r>
        <r>
          <rPr>
            <sz val="9"/>
            <color indexed="81"/>
            <rFont val="Calibri"/>
            <family val="2"/>
          </rPr>
          <t xml:space="preserve">
avg price from MSLLII</t>
        </r>
      </text>
    </comment>
    <comment ref="DM674" authorId="6">
      <text>
        <r>
          <rPr>
            <b/>
            <sz val="9"/>
            <color indexed="81"/>
            <rFont val="Calibri"/>
            <family val="2"/>
          </rPr>
          <t>Laura Sanchez:</t>
        </r>
        <r>
          <rPr>
            <sz val="9"/>
            <color indexed="81"/>
            <rFont val="Calibri"/>
            <family val="2"/>
          </rPr>
          <t xml:space="preserve">
avg price from MSLLII</t>
        </r>
      </text>
    </comment>
    <comment ref="DS675" authorId="21">
      <text>
        <r>
          <rPr>
            <b/>
            <sz val="9"/>
            <color indexed="81"/>
            <rFont val="Calibri"/>
            <family val="2"/>
          </rPr>
          <t>Dally, Nigel (Research):</t>
        </r>
        <r>
          <rPr>
            <sz val="9"/>
            <color indexed="81"/>
            <rFont val="Calibri"/>
            <family val="2"/>
          </rPr>
          <t xml:space="preserve">
</t>
        </r>
      </text>
    </comment>
    <comment ref="S676" authorId="12">
      <text>
        <r>
          <rPr>
            <sz val="9"/>
            <color indexed="81"/>
            <rFont val="Calibri"/>
            <family val="2"/>
          </rPr>
          <t>Approx. $1.04 billion remains on its existing share repurchase authorization, as of end of quarter.</t>
        </r>
      </text>
    </comment>
    <comment ref="BG676" authorId="7">
      <text>
        <r>
          <rPr>
            <b/>
            <sz val="9"/>
            <color indexed="81"/>
            <rFont val="Calibri"/>
            <family val="2"/>
          </rPr>
          <t>Sanchez Bolanos, Laura (Research):</t>
        </r>
        <r>
          <rPr>
            <sz val="9"/>
            <color indexed="81"/>
            <rFont val="Calibri"/>
            <family val="2"/>
          </rPr>
          <t xml:space="preserve">
release</t>
        </r>
      </text>
    </comment>
    <comment ref="BK676" authorId="7">
      <text>
        <r>
          <rPr>
            <b/>
            <sz val="9"/>
            <color indexed="81"/>
            <rFont val="Calibri"/>
            <family val="2"/>
          </rPr>
          <t>Sanchez Bolanos, Laura (Research):</t>
        </r>
        <r>
          <rPr>
            <sz val="9"/>
            <color indexed="81"/>
            <rFont val="Calibri"/>
            <family val="2"/>
          </rPr>
          <t xml:space="preserve">
release</t>
        </r>
      </text>
    </comment>
    <comment ref="BM676" authorId="7">
      <text>
        <r>
          <rPr>
            <b/>
            <sz val="9"/>
            <color indexed="81"/>
            <rFont val="Calibri"/>
            <family val="2"/>
          </rPr>
          <t>Sanchez Bolanos, Laura (Research):</t>
        </r>
        <r>
          <rPr>
            <sz val="9"/>
            <color indexed="81"/>
            <rFont val="Calibri"/>
            <family val="2"/>
          </rPr>
          <t xml:space="preserve">
release</t>
        </r>
      </text>
    </comment>
    <comment ref="BO676" authorId="7">
      <text>
        <r>
          <rPr>
            <b/>
            <sz val="9"/>
            <color indexed="81"/>
            <rFont val="Calibri"/>
            <family val="2"/>
          </rPr>
          <t>Sanchez Bolanos, Laura (Research):</t>
        </r>
        <r>
          <rPr>
            <sz val="9"/>
            <color indexed="81"/>
            <rFont val="Calibri"/>
            <family val="2"/>
          </rPr>
          <t xml:space="preserve">
Release</t>
        </r>
      </text>
    </comment>
    <comment ref="BQ676" authorId="7">
      <text>
        <r>
          <rPr>
            <b/>
            <sz val="9"/>
            <color indexed="81"/>
            <rFont val="Calibri"/>
            <family val="2"/>
          </rPr>
          <t>Sanchez Bolanos, Laura (Research):</t>
        </r>
        <r>
          <rPr>
            <sz val="9"/>
            <color indexed="81"/>
            <rFont val="Calibri"/>
            <family val="2"/>
          </rPr>
          <t xml:space="preserve">
release</t>
        </r>
      </text>
    </comment>
    <comment ref="DO676" authorId="2">
      <text>
        <r>
          <rPr>
            <b/>
            <sz val="9"/>
            <color indexed="81"/>
            <rFont val="Calibri"/>
            <family val="2"/>
          </rPr>
          <t>Zamora, Diana (Research):</t>
        </r>
        <r>
          <rPr>
            <sz val="9"/>
            <color indexed="81"/>
            <rFont val="Calibri"/>
            <family val="2"/>
          </rPr>
          <t xml:space="preserve">
Per IR call </t>
        </r>
      </text>
    </comment>
    <comment ref="DQ676" authorId="7">
      <text>
        <r>
          <rPr>
            <b/>
            <sz val="9"/>
            <color indexed="81"/>
            <rFont val="Calibri"/>
            <family val="2"/>
          </rPr>
          <t>Sanchez Bolanos, Laura (Research):</t>
        </r>
        <r>
          <rPr>
            <sz val="9"/>
            <color indexed="81"/>
            <rFont val="Calibri"/>
            <family val="2"/>
          </rPr>
          <t xml:space="preserve">
call</t>
        </r>
      </text>
    </comment>
    <comment ref="GN676" authorId="8">
      <text>
        <r>
          <rPr>
            <b/>
            <sz val="9"/>
            <color indexed="81"/>
            <rFont val="Calibri"/>
            <family val="2"/>
          </rPr>
          <t>Gupta, Tanmay (Research):</t>
        </r>
        <r>
          <rPr>
            <sz val="9"/>
            <color indexed="81"/>
            <rFont val="Calibri"/>
            <family val="2"/>
          </rPr>
          <t xml:space="preserve">
2016 Analyst Day: $3B share repurchase authorization</t>
        </r>
      </text>
    </comment>
    <comment ref="GP676" authorId="8">
      <text>
        <r>
          <rPr>
            <b/>
            <sz val="9"/>
            <color indexed="81"/>
            <rFont val="Tahoma"/>
            <family val="2"/>
          </rPr>
          <t>Gupta, Tanmay (Research):</t>
        </r>
        <r>
          <rPr>
            <sz val="9"/>
            <color indexed="81"/>
            <rFont val="Tahoma"/>
            <family val="2"/>
          </rPr>
          <t xml:space="preserve">
3Q17 guid: $3.4B of share repurchase</t>
        </r>
      </text>
    </comment>
    <comment ref="AC689" authorId="12">
      <text>
        <r>
          <rPr>
            <sz val="9"/>
            <color indexed="81"/>
            <rFont val="Calibri"/>
            <family val="2"/>
          </rPr>
          <t xml:space="preserve">Per MET, this really should be $0.85, if calculated correctly.  </t>
        </r>
        <r>
          <rPr>
            <b/>
            <sz val="9"/>
            <color indexed="81"/>
            <rFont val="Calibri"/>
            <family val="2"/>
          </rPr>
          <t xml:space="preserve">However, </t>
        </r>
        <r>
          <rPr>
            <sz val="9"/>
            <color indexed="81"/>
            <rFont val="Calibri"/>
            <family val="2"/>
          </rPr>
          <t xml:space="preserve">the company chose to add $0.05 to Net Income of $0.79, per Reg G, which means it totals to $0.84 (the wrong number).  Met will use </t>
        </r>
        <r>
          <rPr>
            <b/>
            <sz val="9"/>
            <color indexed="81"/>
            <rFont val="Calibri"/>
            <family val="2"/>
          </rPr>
          <t>$0.84</t>
        </r>
        <r>
          <rPr>
            <sz val="9"/>
            <color indexed="81"/>
            <rFont val="Calibri"/>
            <family val="2"/>
          </rPr>
          <t xml:space="preserve"> going forward.</t>
        </r>
      </text>
    </comment>
    <comment ref="Q690" authorId="11">
      <text>
        <r>
          <rPr>
            <sz val="9"/>
            <color indexed="81"/>
            <rFont val="Calibri"/>
            <family val="2"/>
          </rPr>
          <t>Must use basic shares because of loss</t>
        </r>
      </text>
    </comment>
    <comment ref="AA690" authorId="0">
      <text>
        <r>
          <rPr>
            <b/>
            <sz val="9"/>
            <color indexed="81"/>
            <rFont val="Calibri"/>
            <family val="2"/>
          </rPr>
          <t>sanclaur:</t>
        </r>
        <r>
          <rPr>
            <sz val="9"/>
            <color indexed="81"/>
            <rFont val="Calibri"/>
            <family val="2"/>
          </rPr>
          <t xml:space="preserve">
"Accounting standards require gains or losses resulting from the redemption of a subsidiary's redeemable preferred stock be excluded from the income statement. Rather, such gains or losses are recorded in capital in excess of par value on the balance sheet. However, such gains or losses are included in the calculation of net income per share. During the first quarter of 2003, net income per share includes a $21 million charge, net of income taxes ($0.03 per diluted share), associated with the Company's redemption of MetLife Capital Trust I's mandatorily redeemable capital securities."
Source: 4Q04 10Q</t>
        </r>
      </text>
    </comment>
    <comment ref="EG690" authorId="8">
      <text>
        <r>
          <rPr>
            <b/>
            <sz val="9"/>
            <color indexed="81"/>
            <rFont val="Tahoma"/>
            <family val="2"/>
          </rPr>
          <t>Gupta, Tanmay (Research):</t>
        </r>
        <r>
          <rPr>
            <sz val="9"/>
            <color indexed="81"/>
            <rFont val="Tahoma"/>
            <family val="2"/>
          </rPr>
          <t xml:space="preserve">
For the three months ended December 31, 2016, 9.2 million shares related to the assumed exercise or issuance of stock-based awards have been excluded from the weighted average common shares outstanding - diluted, as to include these assumed shares would be anti-dilutive to net income (loss) available to common shareholders per common share - diluted.</t>
        </r>
      </text>
    </comment>
    <comment ref="DS692" authorId="2">
      <text>
        <r>
          <rPr>
            <b/>
            <sz val="9"/>
            <color indexed="81"/>
            <rFont val="Calibri"/>
            <family val="2"/>
          </rPr>
          <t>Zamora, Diana (Research):</t>
        </r>
        <r>
          <rPr>
            <sz val="9"/>
            <color indexed="81"/>
            <rFont val="Calibri"/>
            <family val="2"/>
          </rPr>
          <t xml:space="preserve">
hardcoded to match supplement </t>
        </r>
      </text>
    </comment>
    <comment ref="GL694" authorId="7">
      <text>
        <r>
          <rPr>
            <b/>
            <sz val="9"/>
            <color indexed="81"/>
            <rFont val="Calibri"/>
            <family val="2"/>
          </rPr>
          <t>Sanchez Bolanos, Laura (Research):</t>
        </r>
        <r>
          <rPr>
            <sz val="9"/>
            <color indexed="81"/>
            <rFont val="Calibri"/>
            <family val="2"/>
          </rPr>
          <t xml:space="preserve">
linked to Qs</t>
        </r>
      </text>
    </comment>
    <comment ref="GN694" authorId="7">
      <text>
        <r>
          <rPr>
            <b/>
            <sz val="9"/>
            <color indexed="81"/>
            <rFont val="Calibri"/>
            <family val="2"/>
          </rPr>
          <t>Sanchez Bolanos, Laura (Research):</t>
        </r>
        <r>
          <rPr>
            <sz val="9"/>
            <color indexed="81"/>
            <rFont val="Calibri"/>
            <family val="2"/>
          </rPr>
          <t xml:space="preserve">
linked to Qs</t>
        </r>
      </text>
    </comment>
    <comment ref="GP694" authorId="7">
      <text>
        <r>
          <rPr>
            <b/>
            <sz val="9"/>
            <color indexed="81"/>
            <rFont val="Calibri"/>
            <family val="2"/>
          </rPr>
          <t>Sanchez Bolanos, Laura (Research):</t>
        </r>
        <r>
          <rPr>
            <sz val="9"/>
            <color indexed="81"/>
            <rFont val="Calibri"/>
            <family val="2"/>
          </rPr>
          <t xml:space="preserve">
linked to Qs</t>
        </r>
      </text>
    </comment>
    <comment ref="GR694" authorId="7">
      <text>
        <r>
          <rPr>
            <b/>
            <sz val="9"/>
            <color indexed="81"/>
            <rFont val="Calibri"/>
            <family val="2"/>
          </rPr>
          <t>Sanchez Bolanos, Laura (Research):</t>
        </r>
        <r>
          <rPr>
            <sz val="9"/>
            <color indexed="81"/>
            <rFont val="Calibri"/>
            <family val="2"/>
          </rPr>
          <t xml:space="preserve">
linked to Qs</t>
        </r>
      </text>
    </comment>
    <comment ref="GT694" authorId="7">
      <text>
        <r>
          <rPr>
            <b/>
            <sz val="9"/>
            <color indexed="81"/>
            <rFont val="Calibri"/>
            <family val="2"/>
          </rPr>
          <t>Sanchez Bolanos, Laura (Research):</t>
        </r>
        <r>
          <rPr>
            <sz val="9"/>
            <color indexed="81"/>
            <rFont val="Calibri"/>
            <family val="2"/>
          </rPr>
          <t xml:space="preserve">
linked to Qs</t>
        </r>
      </text>
    </comment>
    <comment ref="EK699" authorId="8">
      <text>
        <r>
          <rPr>
            <b/>
            <sz val="9"/>
            <color indexed="81"/>
            <rFont val="Tahoma"/>
            <family val="2"/>
          </rPr>
          <t>Gupta, Tanmay (Research):</t>
        </r>
        <r>
          <rPr>
            <sz val="9"/>
            <color indexed="81"/>
            <rFont val="Tahoma"/>
            <family val="2"/>
          </rPr>
          <t xml:space="preserve">
Pro-forma for separation</t>
        </r>
      </text>
    </comment>
    <comment ref="B709" authorId="5">
      <text>
        <r>
          <rPr>
            <b/>
            <sz val="9"/>
            <color indexed="81"/>
            <rFont val="Calibri"/>
            <family val="2"/>
          </rPr>
          <t>haybuse:</t>
        </r>
        <r>
          <rPr>
            <sz val="9"/>
            <color indexed="81"/>
            <rFont val="Calibri"/>
            <family val="2"/>
          </rPr>
          <t xml:space="preserve">
fair value</t>
        </r>
      </text>
    </comment>
    <comment ref="CS718" authorId="5">
      <text>
        <r>
          <rPr>
            <b/>
            <sz val="9"/>
            <color indexed="81"/>
            <rFont val="Calibri"/>
            <family val="2"/>
          </rPr>
          <t>haybuse:</t>
        </r>
        <r>
          <rPr>
            <sz val="9"/>
            <color indexed="81"/>
            <rFont val="Calibri"/>
            <family val="2"/>
          </rPr>
          <t xml:space="preserve">
leave unchanged</t>
        </r>
      </text>
    </comment>
    <comment ref="CU718" authorId="5">
      <text>
        <r>
          <rPr>
            <b/>
            <sz val="9"/>
            <color indexed="81"/>
            <rFont val="Calibri"/>
            <family val="2"/>
          </rPr>
          <t>haybuse:</t>
        </r>
        <r>
          <rPr>
            <sz val="9"/>
            <color indexed="81"/>
            <rFont val="Calibri"/>
            <family val="2"/>
          </rPr>
          <t xml:space="preserve">
leave unchanged</t>
        </r>
      </text>
    </comment>
    <comment ref="AS730" authorId="15">
      <text>
        <r>
          <rPr>
            <sz val="9"/>
            <color indexed="81"/>
            <rFont val="Calibri"/>
            <family val="2"/>
          </rPr>
          <t>Refers to Perpetual preferred securities, leave at $2.1bn</t>
        </r>
      </text>
    </comment>
    <comment ref="AU730" authorId="15">
      <text>
        <r>
          <rPr>
            <sz val="9"/>
            <color indexed="81"/>
            <rFont val="Calibri"/>
            <family val="2"/>
          </rPr>
          <t>Refers to Perpetual preferred securities, leave at $2.1bn</t>
        </r>
      </text>
    </comment>
    <comment ref="AW730" authorId="15">
      <text>
        <r>
          <rPr>
            <sz val="9"/>
            <color indexed="81"/>
            <rFont val="Calibri"/>
            <family val="2"/>
          </rPr>
          <t>Refers to Perpetual preferred securities, leave at $2.1bn</t>
        </r>
      </text>
    </comment>
    <comment ref="AY730" authorId="15">
      <text>
        <r>
          <rPr>
            <sz val="9"/>
            <color indexed="81"/>
            <rFont val="Calibri"/>
            <family val="2"/>
          </rPr>
          <t>Refers to Perpetual preferred securities, leave at $2.1bn</t>
        </r>
      </text>
    </comment>
    <comment ref="BA730" authorId="15">
      <text>
        <r>
          <rPr>
            <sz val="9"/>
            <color indexed="81"/>
            <rFont val="Calibri"/>
            <family val="2"/>
          </rPr>
          <t>Refers to Perpetual preferred securities, leave at $2.1bn</t>
        </r>
      </text>
    </comment>
    <comment ref="BC730" authorId="15">
      <text>
        <r>
          <rPr>
            <sz val="9"/>
            <color indexed="81"/>
            <rFont val="Calibri"/>
            <family val="2"/>
          </rPr>
          <t>Refers to Perpetual preferred securities, leave at $2.1bn</t>
        </r>
      </text>
    </comment>
    <comment ref="BE730" authorId="15">
      <text>
        <r>
          <rPr>
            <sz val="9"/>
            <color indexed="81"/>
            <rFont val="Calibri"/>
            <family val="2"/>
          </rPr>
          <t>Refers to Perpetual preferred securities, leave at $2.1bn</t>
        </r>
      </text>
    </comment>
    <comment ref="BG730" authorId="15">
      <text>
        <r>
          <rPr>
            <sz val="9"/>
            <color indexed="81"/>
            <rFont val="Calibri"/>
            <family val="2"/>
          </rPr>
          <t>Refers to Perpetual preferred securities, leave at $2.1bn</t>
        </r>
      </text>
    </comment>
    <comment ref="BI730" authorId="22">
      <text>
        <r>
          <rPr>
            <b/>
            <sz val="9"/>
            <color indexed="81"/>
            <rFont val="Calibri"/>
            <family val="2"/>
          </rPr>
          <t>Refers to Perpetual preferred securities, leave at $2.1bn. Make sure it has been substracted out of Paid in Capital. If not it will give an error in Modelware</t>
        </r>
      </text>
    </comment>
    <comment ref="BK730" authorId="22">
      <text>
        <r>
          <rPr>
            <b/>
            <sz val="9"/>
            <color indexed="81"/>
            <rFont val="Calibri"/>
            <family val="2"/>
          </rPr>
          <t>Refers to Perpetual preferred securities, leave at $2.1bn. Make sure it has been substracted out of Paid in Capital. If not it will give an error in Modelware</t>
        </r>
      </text>
    </comment>
    <comment ref="BM730" authorId="22">
      <text>
        <r>
          <rPr>
            <b/>
            <sz val="9"/>
            <color indexed="81"/>
            <rFont val="Calibri"/>
            <family val="2"/>
          </rPr>
          <t>Refers to Perpetual preferred securities, leave at $2.1bn. Make sure it has been substracted out of Paid in Capital. If not it will give an error in Modelware</t>
        </r>
      </text>
    </comment>
    <comment ref="BO730" authorId="22">
      <text>
        <r>
          <rPr>
            <b/>
            <sz val="9"/>
            <color indexed="81"/>
            <rFont val="Calibri"/>
            <family val="2"/>
          </rPr>
          <t>Refers to Perpetual preferred securities, leave at $2.1bn. Make sure it has been substracted out of Paid in Capital. If not it will give an error in Modelware</t>
        </r>
      </text>
    </comment>
    <comment ref="BQ730" authorId="22">
      <text>
        <r>
          <rPr>
            <b/>
            <sz val="9"/>
            <color indexed="81"/>
            <rFont val="Calibri"/>
            <family val="2"/>
          </rPr>
          <t>Refers to Perpetual preferred securities, leave at $2.1bn. Make sure it has been substracted out of Paid in Capital. If not it will give an error in Modelware</t>
        </r>
      </text>
    </comment>
    <comment ref="BS730" authorId="22">
      <text>
        <r>
          <rPr>
            <b/>
            <sz val="9"/>
            <color indexed="81"/>
            <rFont val="Calibri"/>
            <family val="2"/>
          </rPr>
          <t>Refers to Perpetual preferred securities, leave at $2.1bn. Make sure it has been substracted out of Paid in Capital. If not it will give an error in Modelware</t>
        </r>
      </text>
    </comment>
    <comment ref="BU730" authorId="22">
      <text>
        <r>
          <rPr>
            <b/>
            <sz val="9"/>
            <color indexed="81"/>
            <rFont val="Calibri"/>
            <family val="2"/>
          </rPr>
          <t>Refers to Perpetual preferred securities, leave at $2.1bn. Make sure it has been substracted out of Paid in Capital. If not it will give an error in Modelware</t>
        </r>
      </text>
    </comment>
    <comment ref="BW730" authorId="22">
      <text>
        <r>
          <rPr>
            <b/>
            <sz val="9"/>
            <color indexed="81"/>
            <rFont val="Calibri"/>
            <family val="2"/>
          </rPr>
          <t>Refers to Perpetual preferred securities, leave at $2.1bn. Make sure it has been substracted out of Paid in Capital. If not it will give an error in Modelware</t>
        </r>
      </text>
    </comment>
    <comment ref="BY730" authorId="22">
      <text>
        <r>
          <rPr>
            <b/>
            <sz val="9"/>
            <color indexed="81"/>
            <rFont val="Calibri"/>
            <family val="2"/>
          </rPr>
          <t>Refers to Perpetual preferred securities, leave at $2.1bn. Make sure it has been substracted out of Paid in Capital. If not it will give an error in Modelware</t>
        </r>
      </text>
    </comment>
    <comment ref="GR742" authorId="8">
      <text>
        <r>
          <rPr>
            <b/>
            <sz val="9"/>
            <color indexed="81"/>
            <rFont val="Calibri"/>
            <family val="2"/>
          </rPr>
          <t>Gupta, Tanmay (Research):</t>
        </r>
        <r>
          <rPr>
            <sz val="9"/>
            <color indexed="81"/>
            <rFont val="Calibri"/>
            <family val="2"/>
          </rPr>
          <t xml:space="preserve">
2016 Analyst Day: 11-12% ROE by 2020</t>
        </r>
      </text>
    </comment>
    <comment ref="GT742" authorId="8">
      <text>
        <r>
          <rPr>
            <b/>
            <sz val="9"/>
            <color indexed="81"/>
            <rFont val="Calibri"/>
            <family val="2"/>
          </rPr>
          <t>Gupta, Tanmay (Research):</t>
        </r>
        <r>
          <rPr>
            <sz val="9"/>
            <color indexed="81"/>
            <rFont val="Calibri"/>
            <family val="2"/>
          </rPr>
          <t xml:space="preserve">
2016 Analyst Day: 11-12% ROE by 2020</t>
        </r>
      </text>
    </comment>
    <comment ref="EQ756" authorId="8">
      <text>
        <r>
          <rPr>
            <b/>
            <sz val="9"/>
            <color indexed="81"/>
            <rFont val="Tahoma"/>
            <family val="2"/>
          </rPr>
          <t>Gupta, Tanmay (Research):</t>
        </r>
        <r>
          <rPr>
            <sz val="9"/>
            <color indexed="81"/>
            <rFont val="Tahoma"/>
            <family val="2"/>
          </rPr>
          <t xml:space="preserve">
As of January 1, 2018, we expect this amount to decrease by approximately 2% reflecting the adoption of certain new accounting pronouncements, primarily relating to the impact of U.S. Tax Reform</t>
        </r>
      </text>
    </comment>
    <comment ref="B768" authorId="23">
      <text>
        <r>
          <rPr>
            <b/>
            <sz val="9"/>
            <color indexed="81"/>
            <rFont val="Calibri"/>
            <family val="2"/>
          </rPr>
          <t>Aerin Lim:</t>
        </r>
        <r>
          <rPr>
            <sz val="9"/>
            <color indexed="81"/>
            <rFont val="Calibri"/>
            <family val="2"/>
          </rPr>
          <t xml:space="preserve">
p16</t>
        </r>
      </text>
    </comment>
    <comment ref="EE769" authorId="8">
      <text>
        <r>
          <rPr>
            <b/>
            <sz val="9"/>
            <color indexed="81"/>
            <rFont val="Calibri"/>
            <family val="2"/>
          </rPr>
          <t>Gupta, Tanmay (Research):</t>
        </r>
        <r>
          <rPr>
            <sz val="9"/>
            <color indexed="81"/>
            <rFont val="Calibri"/>
            <family val="2"/>
          </rPr>
          <t xml:space="preserve">
discontinued giving numbers in 3Q16</t>
        </r>
      </text>
    </comment>
    <comment ref="EG769" authorId="8">
      <text>
        <r>
          <rPr>
            <b/>
            <sz val="9"/>
            <color indexed="81"/>
            <rFont val="Calibri"/>
            <family val="2"/>
          </rPr>
          <t>Gupta, Tanmay (Research):</t>
        </r>
        <r>
          <rPr>
            <sz val="9"/>
            <color indexed="81"/>
            <rFont val="Calibri"/>
            <family val="2"/>
          </rPr>
          <t xml:space="preserve">
discontinued giving numbers in 3Q16</t>
        </r>
      </text>
    </comment>
    <comment ref="EI769" authorId="8">
      <text>
        <r>
          <rPr>
            <b/>
            <sz val="9"/>
            <color indexed="81"/>
            <rFont val="Calibri"/>
            <family val="2"/>
          </rPr>
          <t>Gupta, Tanmay (Research):</t>
        </r>
        <r>
          <rPr>
            <sz val="9"/>
            <color indexed="81"/>
            <rFont val="Calibri"/>
            <family val="2"/>
          </rPr>
          <t xml:space="preserve">
discontinued giving numbers in 3Q16</t>
        </r>
      </text>
    </comment>
    <comment ref="EK769" authorId="8">
      <text>
        <r>
          <rPr>
            <b/>
            <sz val="9"/>
            <color indexed="81"/>
            <rFont val="Calibri"/>
            <family val="2"/>
          </rPr>
          <t>Gupta, Tanmay (Research):</t>
        </r>
        <r>
          <rPr>
            <sz val="9"/>
            <color indexed="81"/>
            <rFont val="Calibri"/>
            <family val="2"/>
          </rPr>
          <t xml:space="preserve">
discontinued giving numbers in 3Q16</t>
        </r>
      </text>
    </comment>
    <comment ref="EM769" authorId="8">
      <text>
        <r>
          <rPr>
            <b/>
            <sz val="9"/>
            <color indexed="81"/>
            <rFont val="Calibri"/>
            <family val="2"/>
          </rPr>
          <t>Gupta, Tanmay (Research):</t>
        </r>
        <r>
          <rPr>
            <sz val="9"/>
            <color indexed="81"/>
            <rFont val="Calibri"/>
            <family val="2"/>
          </rPr>
          <t xml:space="preserve">
discontinued giving numbers in 3Q16</t>
        </r>
      </text>
    </comment>
    <comment ref="EO769" authorId="8">
      <text>
        <r>
          <rPr>
            <b/>
            <sz val="9"/>
            <color indexed="81"/>
            <rFont val="Calibri"/>
            <family val="2"/>
          </rPr>
          <t>Gupta, Tanmay (Research):</t>
        </r>
        <r>
          <rPr>
            <sz val="9"/>
            <color indexed="81"/>
            <rFont val="Calibri"/>
            <family val="2"/>
          </rPr>
          <t xml:space="preserve">
discontinued giving numbers in 3Q16</t>
        </r>
      </text>
    </comment>
    <comment ref="C770" authorId="12">
      <text>
        <r>
          <rPr>
            <sz val="9"/>
            <color indexed="81"/>
            <rFont val="Calibri"/>
            <family val="2"/>
          </rPr>
          <t>MET has not broken out VL and UL prior to 1Q02.  This is my best guess for lack of any other information, but should not be taken as correct.</t>
        </r>
      </text>
    </comment>
    <comment ref="E770" authorId="12">
      <text>
        <r>
          <rPr>
            <sz val="9"/>
            <color indexed="81"/>
            <rFont val="Calibri"/>
            <family val="2"/>
          </rPr>
          <t>MET has not broken out VL and UL prior to 1Q02.  This is my best guess for lack of any other information, but should not be taken as correct.</t>
        </r>
      </text>
    </comment>
    <comment ref="G770" authorId="12">
      <text>
        <r>
          <rPr>
            <sz val="9"/>
            <color indexed="81"/>
            <rFont val="Calibri"/>
            <family val="2"/>
          </rPr>
          <t>MET has not broken out VL and UL prior to 1Q02.  This is my best guess for lack of any other information, but should not be taken as correct.</t>
        </r>
      </text>
    </comment>
    <comment ref="I770" authorId="12">
      <text>
        <r>
          <rPr>
            <sz val="9"/>
            <color indexed="81"/>
            <rFont val="Calibri"/>
            <family val="2"/>
          </rPr>
          <t>MET has not broken out VL and UL prior to 1Q02.  This is my best guess for lack of any other information, but should not be taken as correct.</t>
        </r>
      </text>
    </comment>
    <comment ref="K770" authorId="12">
      <text>
        <r>
          <rPr>
            <sz val="9"/>
            <color indexed="81"/>
            <rFont val="Calibri"/>
            <family val="2"/>
          </rPr>
          <t>MET has not broken out VL and UL prior to 1Q02.  This is my best guess for lack of any other information, but should not be taken as correct.</t>
        </r>
      </text>
    </comment>
    <comment ref="M770" authorId="12">
      <text>
        <r>
          <rPr>
            <sz val="9"/>
            <color indexed="81"/>
            <rFont val="Calibri"/>
            <family val="2"/>
          </rPr>
          <t>MET has not broken out VL and UL prior to 1Q02.  This is my best guess for lack of any other information, but should not be taken as correct.</t>
        </r>
      </text>
    </comment>
    <comment ref="O770" authorId="12">
      <text>
        <r>
          <rPr>
            <sz val="9"/>
            <color indexed="81"/>
            <rFont val="Calibri"/>
            <family val="2"/>
          </rPr>
          <t>MET has not broken out VL and UL prior to 1Q02.  This is my best guess for lack of any other information, but should not be taken as correct.</t>
        </r>
      </text>
    </comment>
    <comment ref="Q770" authorId="12">
      <text>
        <r>
          <rPr>
            <sz val="9"/>
            <color indexed="81"/>
            <rFont val="Calibri"/>
            <family val="2"/>
          </rPr>
          <t>MET has not broken out VL and UL prior to 1Q02.  This is my best guess for lack of any other information, but should not be taken as correct.</t>
        </r>
      </text>
    </comment>
    <comment ref="C771" authorId="12">
      <text>
        <r>
          <rPr>
            <sz val="9"/>
            <color indexed="81"/>
            <rFont val="Calibri"/>
            <family val="2"/>
          </rPr>
          <t>MET won't provide.  So I estimated to help the Y/Y comps in SOI be a little more accurate.</t>
        </r>
      </text>
    </comment>
    <comment ref="E771" authorId="12">
      <text>
        <r>
          <rPr>
            <sz val="9"/>
            <color indexed="81"/>
            <rFont val="Calibri"/>
            <family val="2"/>
          </rPr>
          <t>MET won't provide.  So I estimated to help the Y/Y comps in SOI be a little more accurate.</t>
        </r>
      </text>
    </comment>
    <comment ref="G771" authorId="12">
      <text>
        <r>
          <rPr>
            <sz val="9"/>
            <color indexed="81"/>
            <rFont val="Calibri"/>
            <family val="2"/>
          </rPr>
          <t>MET won't provide.  So I estimated to help the Y/Y comps in SOI be a little more accurate.</t>
        </r>
      </text>
    </comment>
    <comment ref="I771" authorId="12">
      <text>
        <r>
          <rPr>
            <sz val="9"/>
            <color indexed="81"/>
            <rFont val="Calibri"/>
            <family val="2"/>
          </rPr>
          <t>MET won't provide.  So I estimated to help the Y/Y comps in SOI be a little more accurate.</t>
        </r>
      </text>
    </comment>
    <comment ref="K771" authorId="12">
      <text>
        <r>
          <rPr>
            <sz val="9"/>
            <color indexed="81"/>
            <rFont val="Calibri"/>
            <family val="2"/>
          </rPr>
          <t>MET won't provide.  So I estimated to help the Y/Y comps in SOI be a little more accurate.</t>
        </r>
      </text>
    </comment>
    <comment ref="M771" authorId="12">
      <text>
        <r>
          <rPr>
            <sz val="9"/>
            <color indexed="81"/>
            <rFont val="Calibri"/>
            <family val="2"/>
          </rPr>
          <t>MET won't provide.  So I estimated to help the Y/Y comps in SOI be a little more accurate.</t>
        </r>
      </text>
    </comment>
    <comment ref="O771" authorId="12">
      <text>
        <r>
          <rPr>
            <sz val="9"/>
            <color indexed="81"/>
            <rFont val="Calibri"/>
            <family val="2"/>
          </rPr>
          <t>MET won't provide.  So I estimated to help the Y/Y comps in SOI be a little more accurate.</t>
        </r>
      </text>
    </comment>
    <comment ref="Q771" authorId="12">
      <text>
        <r>
          <rPr>
            <sz val="9"/>
            <color indexed="81"/>
            <rFont val="Calibri"/>
            <family val="2"/>
          </rPr>
          <t>MET won't provide.  So I estimated to help the Y/Y comps in SOI be a little more accurate.</t>
        </r>
      </text>
    </comment>
    <comment ref="Q774" authorId="12">
      <text>
        <r>
          <rPr>
            <sz val="9"/>
            <color indexed="81"/>
            <rFont val="Calibri"/>
            <family val="2"/>
          </rPr>
          <t>MET has not broken out VL and UL prior to 1Q02.</t>
        </r>
      </text>
    </comment>
    <comment ref="EE778" authorId="8">
      <text>
        <r>
          <rPr>
            <b/>
            <sz val="9"/>
            <color indexed="81"/>
            <rFont val="Calibri"/>
            <family val="2"/>
          </rPr>
          <t>Gupta, Tanmay (Research):</t>
        </r>
        <r>
          <rPr>
            <sz val="9"/>
            <color indexed="81"/>
            <rFont val="Calibri"/>
            <family val="2"/>
          </rPr>
          <t xml:space="preserve">
discontinued giving numbers in 3Q16</t>
        </r>
      </text>
    </comment>
    <comment ref="EG778" authorId="8">
      <text>
        <r>
          <rPr>
            <b/>
            <sz val="9"/>
            <color indexed="81"/>
            <rFont val="Calibri"/>
            <family val="2"/>
          </rPr>
          <t>Gupta, Tanmay (Research):</t>
        </r>
        <r>
          <rPr>
            <sz val="9"/>
            <color indexed="81"/>
            <rFont val="Calibri"/>
            <family val="2"/>
          </rPr>
          <t xml:space="preserve">
discontinued giving numbers in 3Q16</t>
        </r>
      </text>
    </comment>
    <comment ref="EI778" authorId="8">
      <text>
        <r>
          <rPr>
            <b/>
            <sz val="9"/>
            <color indexed="81"/>
            <rFont val="Calibri"/>
            <family val="2"/>
          </rPr>
          <t>Gupta, Tanmay (Research):</t>
        </r>
        <r>
          <rPr>
            <sz val="9"/>
            <color indexed="81"/>
            <rFont val="Calibri"/>
            <family val="2"/>
          </rPr>
          <t xml:space="preserve">
discontinued giving numbers in 3Q16</t>
        </r>
      </text>
    </comment>
    <comment ref="EK778" authorId="8">
      <text>
        <r>
          <rPr>
            <b/>
            <sz val="9"/>
            <color indexed="81"/>
            <rFont val="Calibri"/>
            <family val="2"/>
          </rPr>
          <t>Gupta, Tanmay (Research):</t>
        </r>
        <r>
          <rPr>
            <sz val="9"/>
            <color indexed="81"/>
            <rFont val="Calibri"/>
            <family val="2"/>
          </rPr>
          <t xml:space="preserve">
discontinued giving numbers in 3Q16</t>
        </r>
      </text>
    </comment>
    <comment ref="EM778" authorId="8">
      <text>
        <r>
          <rPr>
            <b/>
            <sz val="9"/>
            <color indexed="81"/>
            <rFont val="Calibri"/>
            <family val="2"/>
          </rPr>
          <t>Gupta, Tanmay (Research):</t>
        </r>
        <r>
          <rPr>
            <sz val="9"/>
            <color indexed="81"/>
            <rFont val="Calibri"/>
            <family val="2"/>
          </rPr>
          <t xml:space="preserve">
discontinued giving numbers in 3Q16</t>
        </r>
      </text>
    </comment>
    <comment ref="EO778" authorId="8">
      <text>
        <r>
          <rPr>
            <b/>
            <sz val="9"/>
            <color indexed="81"/>
            <rFont val="Calibri"/>
            <family val="2"/>
          </rPr>
          <t>Gupta, Tanmay (Research):</t>
        </r>
        <r>
          <rPr>
            <sz val="9"/>
            <color indexed="81"/>
            <rFont val="Calibri"/>
            <family val="2"/>
          </rPr>
          <t xml:space="preserve">
discontinued giving numbers in 3Q16</t>
        </r>
      </text>
    </comment>
    <comment ref="EE797" authorId="8">
      <text>
        <r>
          <rPr>
            <b/>
            <sz val="9"/>
            <color indexed="81"/>
            <rFont val="Calibri"/>
            <family val="2"/>
          </rPr>
          <t>Gupta, Tanmay (Research):</t>
        </r>
        <r>
          <rPr>
            <sz val="9"/>
            <color indexed="81"/>
            <rFont val="Calibri"/>
            <family val="2"/>
          </rPr>
          <t xml:space="preserve">
BHF: Revenue breakdown from Form 10 (1H16)</t>
        </r>
      </text>
    </comment>
    <comment ref="EG797" authorId="8">
      <text>
        <r>
          <rPr>
            <b/>
            <sz val="9"/>
            <color indexed="81"/>
            <rFont val="Calibri"/>
            <family val="2"/>
          </rPr>
          <t>Gupta, Tanmay (Research):</t>
        </r>
        <r>
          <rPr>
            <sz val="9"/>
            <color indexed="81"/>
            <rFont val="Calibri"/>
            <family val="2"/>
          </rPr>
          <t xml:space="preserve">
BHF: Revenue breakdown from Form 10 (1H16)</t>
        </r>
      </text>
    </comment>
    <comment ref="EI797" authorId="8">
      <text>
        <r>
          <rPr>
            <b/>
            <sz val="9"/>
            <color indexed="81"/>
            <rFont val="Calibri"/>
            <family val="2"/>
          </rPr>
          <t>Gupta, Tanmay (Research):</t>
        </r>
        <r>
          <rPr>
            <sz val="9"/>
            <color indexed="81"/>
            <rFont val="Calibri"/>
            <family val="2"/>
          </rPr>
          <t xml:space="preserve">
BHF: Revenue breakdown from Form 10 (1H16)</t>
        </r>
      </text>
    </comment>
    <comment ref="EK797" authorId="8">
      <text>
        <r>
          <rPr>
            <b/>
            <sz val="9"/>
            <color indexed="81"/>
            <rFont val="Calibri"/>
            <family val="2"/>
          </rPr>
          <t>Gupta, Tanmay (Research):</t>
        </r>
        <r>
          <rPr>
            <sz val="9"/>
            <color indexed="81"/>
            <rFont val="Calibri"/>
            <family val="2"/>
          </rPr>
          <t xml:space="preserve">
BHF: Revenue breakdown from Form 10 (1H16)</t>
        </r>
      </text>
    </comment>
    <comment ref="EM797" authorId="8">
      <text>
        <r>
          <rPr>
            <b/>
            <sz val="9"/>
            <color indexed="81"/>
            <rFont val="Calibri"/>
            <family val="2"/>
          </rPr>
          <t>Gupta, Tanmay (Research):</t>
        </r>
        <r>
          <rPr>
            <sz val="9"/>
            <color indexed="81"/>
            <rFont val="Calibri"/>
            <family val="2"/>
          </rPr>
          <t xml:space="preserve">
BHF: Revenue breakdown from Form 10 (1H16)</t>
        </r>
      </text>
    </comment>
    <comment ref="EO797" authorId="8">
      <text>
        <r>
          <rPr>
            <b/>
            <sz val="9"/>
            <color indexed="81"/>
            <rFont val="Calibri"/>
            <family val="2"/>
          </rPr>
          <t>Gupta, Tanmay (Research):</t>
        </r>
        <r>
          <rPr>
            <sz val="9"/>
            <color indexed="81"/>
            <rFont val="Calibri"/>
            <family val="2"/>
          </rPr>
          <t xml:space="preserve">
BHF: Revenue breakdown from Form 10 (1H16)</t>
        </r>
      </text>
    </comment>
    <comment ref="EQ797" authorId="8">
      <text>
        <r>
          <rPr>
            <b/>
            <sz val="9"/>
            <color indexed="81"/>
            <rFont val="Calibri"/>
            <family val="2"/>
          </rPr>
          <t>Gupta, Tanmay (Research):</t>
        </r>
        <r>
          <rPr>
            <sz val="9"/>
            <color indexed="81"/>
            <rFont val="Calibri"/>
            <family val="2"/>
          </rPr>
          <t xml:space="preserve">
BHF: Revenue breakdown from Form 10 (1H16)</t>
        </r>
      </text>
    </comment>
    <comment ref="ES797" authorId="8">
      <text>
        <r>
          <rPr>
            <b/>
            <sz val="9"/>
            <color indexed="81"/>
            <rFont val="Calibri"/>
            <family val="2"/>
          </rPr>
          <t>Gupta, Tanmay (Research):</t>
        </r>
        <r>
          <rPr>
            <sz val="9"/>
            <color indexed="81"/>
            <rFont val="Calibri"/>
            <family val="2"/>
          </rPr>
          <t xml:space="preserve">
BHF: Revenue breakdown from Form 10 (1H16)</t>
        </r>
      </text>
    </comment>
    <comment ref="EU797" authorId="8">
      <text>
        <r>
          <rPr>
            <b/>
            <sz val="9"/>
            <color indexed="81"/>
            <rFont val="Calibri"/>
            <family val="2"/>
          </rPr>
          <t>Gupta, Tanmay (Research):</t>
        </r>
        <r>
          <rPr>
            <sz val="9"/>
            <color indexed="81"/>
            <rFont val="Calibri"/>
            <family val="2"/>
          </rPr>
          <t xml:space="preserve">
BHF: Revenue breakdown from Form 10 (1H16)</t>
        </r>
      </text>
    </comment>
    <comment ref="EW797" authorId="8">
      <text>
        <r>
          <rPr>
            <b/>
            <sz val="9"/>
            <color indexed="81"/>
            <rFont val="Calibri"/>
            <family val="2"/>
          </rPr>
          <t>Gupta, Tanmay (Research):</t>
        </r>
        <r>
          <rPr>
            <sz val="9"/>
            <color indexed="81"/>
            <rFont val="Calibri"/>
            <family val="2"/>
          </rPr>
          <t xml:space="preserve">
BHF: Revenue breakdown from Form 10 (1H16)</t>
        </r>
      </text>
    </comment>
    <comment ref="GJ797" authorId="8">
      <text>
        <r>
          <rPr>
            <b/>
            <sz val="9"/>
            <color indexed="81"/>
            <rFont val="Calibri"/>
            <family val="2"/>
          </rPr>
          <t>Gupta, Tanmay (Research):</t>
        </r>
        <r>
          <rPr>
            <sz val="9"/>
            <color indexed="81"/>
            <rFont val="Calibri"/>
            <family val="2"/>
          </rPr>
          <t xml:space="preserve">
BHF: Revenue breakdown from Form 10 (1H16)</t>
        </r>
      </text>
    </comment>
    <comment ref="GL797" authorId="8">
      <text>
        <r>
          <rPr>
            <b/>
            <sz val="9"/>
            <color indexed="81"/>
            <rFont val="Calibri"/>
            <family val="2"/>
          </rPr>
          <t>Gupta, Tanmay (Research):</t>
        </r>
        <r>
          <rPr>
            <sz val="9"/>
            <color indexed="81"/>
            <rFont val="Calibri"/>
            <family val="2"/>
          </rPr>
          <t xml:space="preserve">
BHF: Revenue breakdown from Form 10 (1H16)</t>
        </r>
      </text>
    </comment>
    <comment ref="GN797" authorId="8">
      <text>
        <r>
          <rPr>
            <b/>
            <sz val="9"/>
            <color indexed="81"/>
            <rFont val="Calibri"/>
            <family val="2"/>
          </rPr>
          <t>Gupta, Tanmay (Research):</t>
        </r>
        <r>
          <rPr>
            <sz val="9"/>
            <color indexed="81"/>
            <rFont val="Calibri"/>
            <family val="2"/>
          </rPr>
          <t xml:space="preserve">
BHF: Revenue breakdown from Form 10 (1H16)</t>
        </r>
      </text>
    </comment>
    <comment ref="GP797" authorId="8">
      <text>
        <r>
          <rPr>
            <b/>
            <sz val="9"/>
            <color indexed="81"/>
            <rFont val="Calibri"/>
            <family val="2"/>
          </rPr>
          <t>Gupta, Tanmay (Research):</t>
        </r>
        <r>
          <rPr>
            <sz val="9"/>
            <color indexed="81"/>
            <rFont val="Calibri"/>
            <family val="2"/>
          </rPr>
          <t xml:space="preserve">
BHF: Revenue breakdown from Form 10 (1H16)</t>
        </r>
      </text>
    </comment>
    <comment ref="GR797" authorId="8">
      <text>
        <r>
          <rPr>
            <b/>
            <sz val="9"/>
            <color indexed="81"/>
            <rFont val="Calibri"/>
            <family val="2"/>
          </rPr>
          <t>Gupta, Tanmay (Research):</t>
        </r>
        <r>
          <rPr>
            <sz val="9"/>
            <color indexed="81"/>
            <rFont val="Calibri"/>
            <family val="2"/>
          </rPr>
          <t xml:space="preserve">
BHF: Revenue breakdown from Form 10 (1H16)</t>
        </r>
      </text>
    </comment>
    <comment ref="GT797" authorId="8">
      <text>
        <r>
          <rPr>
            <b/>
            <sz val="9"/>
            <color indexed="81"/>
            <rFont val="Calibri"/>
            <family val="2"/>
          </rPr>
          <t>Gupta, Tanmay (Research):</t>
        </r>
        <r>
          <rPr>
            <sz val="9"/>
            <color indexed="81"/>
            <rFont val="Calibri"/>
            <family val="2"/>
          </rPr>
          <t xml:space="preserve">
BHF: Revenue breakdown from Form 10 (1H16)</t>
        </r>
      </text>
    </comment>
    <comment ref="GV797" authorId="8">
      <text>
        <r>
          <rPr>
            <b/>
            <sz val="9"/>
            <color indexed="81"/>
            <rFont val="Calibri"/>
            <family val="2"/>
          </rPr>
          <t>Gupta, Tanmay (Research):</t>
        </r>
        <r>
          <rPr>
            <sz val="9"/>
            <color indexed="81"/>
            <rFont val="Calibri"/>
            <family val="2"/>
          </rPr>
          <t xml:space="preserve">
BHF: Revenue breakdown from Form 10 (1H16)</t>
        </r>
      </text>
    </comment>
    <comment ref="GX797" authorId="8">
      <text>
        <r>
          <rPr>
            <b/>
            <sz val="9"/>
            <color indexed="81"/>
            <rFont val="Calibri"/>
            <family val="2"/>
          </rPr>
          <t>Gupta, Tanmay (Research):</t>
        </r>
        <r>
          <rPr>
            <sz val="9"/>
            <color indexed="81"/>
            <rFont val="Calibri"/>
            <family val="2"/>
          </rPr>
          <t xml:space="preserve">
BHF: Revenue breakdown from Form 10 (1H16)</t>
        </r>
      </text>
    </comment>
    <comment ref="EE799" authorId="8">
      <text>
        <r>
          <rPr>
            <b/>
            <sz val="9"/>
            <color indexed="81"/>
            <rFont val="Calibri"/>
            <family val="2"/>
          </rPr>
          <t>Gupta, Tanmay (Research):</t>
        </r>
        <r>
          <rPr>
            <sz val="9"/>
            <color indexed="81"/>
            <rFont val="Calibri"/>
            <family val="2"/>
          </rPr>
          <t xml:space="preserve">
BHF: Revenue breakdown from Form 10 (1H16)</t>
        </r>
      </text>
    </comment>
    <comment ref="EG799" authorId="8">
      <text>
        <r>
          <rPr>
            <b/>
            <sz val="9"/>
            <color indexed="81"/>
            <rFont val="Calibri"/>
            <family val="2"/>
          </rPr>
          <t>Gupta, Tanmay (Research):</t>
        </r>
        <r>
          <rPr>
            <sz val="9"/>
            <color indexed="81"/>
            <rFont val="Calibri"/>
            <family val="2"/>
          </rPr>
          <t xml:space="preserve">
BHF: Revenue breakdown from Form 10 (1H16)</t>
        </r>
      </text>
    </comment>
    <comment ref="EI799" authorId="8">
      <text>
        <r>
          <rPr>
            <b/>
            <sz val="9"/>
            <color indexed="81"/>
            <rFont val="Calibri"/>
            <family val="2"/>
          </rPr>
          <t>Gupta, Tanmay (Research):</t>
        </r>
        <r>
          <rPr>
            <sz val="9"/>
            <color indexed="81"/>
            <rFont val="Calibri"/>
            <family val="2"/>
          </rPr>
          <t xml:space="preserve">
BHF: Revenue breakdown from Form 10 (1H16)</t>
        </r>
      </text>
    </comment>
    <comment ref="EK799" authorId="8">
      <text>
        <r>
          <rPr>
            <b/>
            <sz val="9"/>
            <color indexed="81"/>
            <rFont val="Calibri"/>
            <family val="2"/>
          </rPr>
          <t>Gupta, Tanmay (Research):</t>
        </r>
        <r>
          <rPr>
            <sz val="9"/>
            <color indexed="81"/>
            <rFont val="Calibri"/>
            <family val="2"/>
          </rPr>
          <t xml:space="preserve">
BHF: Revenue breakdown from Form 10 (1H16)</t>
        </r>
      </text>
    </comment>
    <comment ref="EM799" authorId="8">
      <text>
        <r>
          <rPr>
            <b/>
            <sz val="9"/>
            <color indexed="81"/>
            <rFont val="Calibri"/>
            <family val="2"/>
          </rPr>
          <t>Gupta, Tanmay (Research):</t>
        </r>
        <r>
          <rPr>
            <sz val="9"/>
            <color indexed="81"/>
            <rFont val="Calibri"/>
            <family val="2"/>
          </rPr>
          <t xml:space="preserve">
BHF: Revenue breakdown from Form 10 (1H16)</t>
        </r>
      </text>
    </comment>
    <comment ref="EO799" authorId="8">
      <text>
        <r>
          <rPr>
            <b/>
            <sz val="9"/>
            <color indexed="81"/>
            <rFont val="Calibri"/>
            <family val="2"/>
          </rPr>
          <t>Gupta, Tanmay (Research):</t>
        </r>
        <r>
          <rPr>
            <sz val="9"/>
            <color indexed="81"/>
            <rFont val="Calibri"/>
            <family val="2"/>
          </rPr>
          <t xml:space="preserve">
BHF: Revenue breakdown from Form 10 (1H16)</t>
        </r>
      </text>
    </comment>
    <comment ref="EQ799" authorId="8">
      <text>
        <r>
          <rPr>
            <b/>
            <sz val="9"/>
            <color indexed="81"/>
            <rFont val="Calibri"/>
            <family val="2"/>
          </rPr>
          <t>Gupta, Tanmay (Research):</t>
        </r>
        <r>
          <rPr>
            <sz val="9"/>
            <color indexed="81"/>
            <rFont val="Calibri"/>
            <family val="2"/>
          </rPr>
          <t xml:space="preserve">
BHF: Revenue breakdown from Form 10 (1H16)</t>
        </r>
      </text>
    </comment>
    <comment ref="ES799" authorId="8">
      <text>
        <r>
          <rPr>
            <b/>
            <sz val="9"/>
            <color indexed="81"/>
            <rFont val="Calibri"/>
            <family val="2"/>
          </rPr>
          <t>Gupta, Tanmay (Research):</t>
        </r>
        <r>
          <rPr>
            <sz val="9"/>
            <color indexed="81"/>
            <rFont val="Calibri"/>
            <family val="2"/>
          </rPr>
          <t xml:space="preserve">
BHF: Revenue breakdown from Form 10 (1H16)</t>
        </r>
      </text>
    </comment>
    <comment ref="EU799" authorId="8">
      <text>
        <r>
          <rPr>
            <b/>
            <sz val="9"/>
            <color indexed="81"/>
            <rFont val="Calibri"/>
            <family val="2"/>
          </rPr>
          <t>Gupta, Tanmay (Research):</t>
        </r>
        <r>
          <rPr>
            <sz val="9"/>
            <color indexed="81"/>
            <rFont val="Calibri"/>
            <family val="2"/>
          </rPr>
          <t xml:space="preserve">
BHF: Revenue breakdown from Form 10 (1H16)</t>
        </r>
      </text>
    </comment>
    <comment ref="EW799" authorId="8">
      <text>
        <r>
          <rPr>
            <b/>
            <sz val="9"/>
            <color indexed="81"/>
            <rFont val="Calibri"/>
            <family val="2"/>
          </rPr>
          <t>Gupta, Tanmay (Research):</t>
        </r>
        <r>
          <rPr>
            <sz val="9"/>
            <color indexed="81"/>
            <rFont val="Calibri"/>
            <family val="2"/>
          </rPr>
          <t xml:space="preserve">
BHF: Revenue breakdown from Form 10 (1H16)</t>
        </r>
      </text>
    </comment>
    <comment ref="GJ799" authorId="8">
      <text>
        <r>
          <rPr>
            <b/>
            <sz val="9"/>
            <color indexed="81"/>
            <rFont val="Calibri"/>
            <family val="2"/>
          </rPr>
          <t>Gupta, Tanmay (Research):</t>
        </r>
        <r>
          <rPr>
            <sz val="9"/>
            <color indexed="81"/>
            <rFont val="Calibri"/>
            <family val="2"/>
          </rPr>
          <t xml:space="preserve">
BHF: Revenue breakdown from Form 10 (1H16)</t>
        </r>
      </text>
    </comment>
    <comment ref="GL799" authorId="8">
      <text>
        <r>
          <rPr>
            <b/>
            <sz val="9"/>
            <color indexed="81"/>
            <rFont val="Calibri"/>
            <family val="2"/>
          </rPr>
          <t>Gupta, Tanmay (Research):</t>
        </r>
        <r>
          <rPr>
            <sz val="9"/>
            <color indexed="81"/>
            <rFont val="Calibri"/>
            <family val="2"/>
          </rPr>
          <t xml:space="preserve">
BHF: Revenue breakdown from Form 10 (1H16)</t>
        </r>
      </text>
    </comment>
    <comment ref="GN799" authorId="8">
      <text>
        <r>
          <rPr>
            <b/>
            <sz val="9"/>
            <color indexed="81"/>
            <rFont val="Calibri"/>
            <family val="2"/>
          </rPr>
          <t>Gupta, Tanmay (Research):</t>
        </r>
        <r>
          <rPr>
            <sz val="9"/>
            <color indexed="81"/>
            <rFont val="Calibri"/>
            <family val="2"/>
          </rPr>
          <t xml:space="preserve">
BHF: Revenue breakdown from Form 10 (1H16)</t>
        </r>
      </text>
    </comment>
    <comment ref="GP799" authorId="8">
      <text>
        <r>
          <rPr>
            <b/>
            <sz val="9"/>
            <color indexed="81"/>
            <rFont val="Calibri"/>
            <family val="2"/>
          </rPr>
          <t>Gupta, Tanmay (Research):</t>
        </r>
        <r>
          <rPr>
            <sz val="9"/>
            <color indexed="81"/>
            <rFont val="Calibri"/>
            <family val="2"/>
          </rPr>
          <t xml:space="preserve">
BHF: Revenue breakdown from Form 10 (1H16)</t>
        </r>
      </text>
    </comment>
    <comment ref="GR799" authorId="8">
      <text>
        <r>
          <rPr>
            <b/>
            <sz val="9"/>
            <color indexed="81"/>
            <rFont val="Calibri"/>
            <family val="2"/>
          </rPr>
          <t>Gupta, Tanmay (Research):</t>
        </r>
        <r>
          <rPr>
            <sz val="9"/>
            <color indexed="81"/>
            <rFont val="Calibri"/>
            <family val="2"/>
          </rPr>
          <t xml:space="preserve">
BHF: Revenue breakdown from Form 10 (1H16)</t>
        </r>
      </text>
    </comment>
    <comment ref="GT799" authorId="8">
      <text>
        <r>
          <rPr>
            <b/>
            <sz val="9"/>
            <color indexed="81"/>
            <rFont val="Calibri"/>
            <family val="2"/>
          </rPr>
          <t>Gupta, Tanmay (Research):</t>
        </r>
        <r>
          <rPr>
            <sz val="9"/>
            <color indexed="81"/>
            <rFont val="Calibri"/>
            <family val="2"/>
          </rPr>
          <t xml:space="preserve">
BHF: Revenue breakdown from Form 10 (1H16)</t>
        </r>
      </text>
    </comment>
    <comment ref="GV799" authorId="8">
      <text>
        <r>
          <rPr>
            <b/>
            <sz val="9"/>
            <color indexed="81"/>
            <rFont val="Calibri"/>
            <family val="2"/>
          </rPr>
          <t>Gupta, Tanmay (Research):</t>
        </r>
        <r>
          <rPr>
            <sz val="9"/>
            <color indexed="81"/>
            <rFont val="Calibri"/>
            <family val="2"/>
          </rPr>
          <t xml:space="preserve">
BHF: Revenue breakdown from Form 10 (1H16)</t>
        </r>
      </text>
    </comment>
    <comment ref="GX799" authorId="8">
      <text>
        <r>
          <rPr>
            <b/>
            <sz val="9"/>
            <color indexed="81"/>
            <rFont val="Calibri"/>
            <family val="2"/>
          </rPr>
          <t>Gupta, Tanmay (Research):</t>
        </r>
        <r>
          <rPr>
            <sz val="9"/>
            <color indexed="81"/>
            <rFont val="Calibri"/>
            <family val="2"/>
          </rPr>
          <t xml:space="preserve">
BHF: Revenue breakdown from Form 10 (1H16)</t>
        </r>
      </text>
    </comment>
    <comment ref="B801" authorId="4">
      <text>
        <r>
          <rPr>
            <b/>
            <sz val="9"/>
            <color indexed="81"/>
            <rFont val="Calibri"/>
            <family val="2"/>
          </rPr>
          <t>Zheng, Chaodan (Research):</t>
        </r>
        <r>
          <rPr>
            <sz val="9"/>
            <color indexed="81"/>
            <rFont val="Calibri"/>
            <family val="2"/>
          </rPr>
          <t xml:space="preserve">
part of worksite benefits but MET does not break out earnings for this segment - it's tiny</t>
        </r>
      </text>
    </comment>
    <comment ref="EE804" authorId="8">
      <text>
        <r>
          <rPr>
            <b/>
            <sz val="9"/>
            <color indexed="81"/>
            <rFont val="Calibri"/>
            <family val="2"/>
          </rPr>
          <t>Gupta, Tanmay (Research):</t>
        </r>
        <r>
          <rPr>
            <sz val="9"/>
            <color indexed="81"/>
            <rFont val="Calibri"/>
            <family val="2"/>
          </rPr>
          <t xml:space="preserve">
BHF: Revenue breakdown from Form 10 (1H16)</t>
        </r>
      </text>
    </comment>
    <comment ref="EG804" authorId="8">
      <text>
        <r>
          <rPr>
            <b/>
            <sz val="9"/>
            <color indexed="81"/>
            <rFont val="Calibri"/>
            <family val="2"/>
          </rPr>
          <t>Gupta, Tanmay (Research):</t>
        </r>
        <r>
          <rPr>
            <sz val="9"/>
            <color indexed="81"/>
            <rFont val="Calibri"/>
            <family val="2"/>
          </rPr>
          <t xml:space="preserve">
BHF: Revenue breakdown from Form 10 (1H16)</t>
        </r>
      </text>
    </comment>
    <comment ref="EI804" authorId="8">
      <text>
        <r>
          <rPr>
            <b/>
            <sz val="9"/>
            <color indexed="81"/>
            <rFont val="Calibri"/>
            <family val="2"/>
          </rPr>
          <t>Gupta, Tanmay (Research):</t>
        </r>
        <r>
          <rPr>
            <sz val="9"/>
            <color indexed="81"/>
            <rFont val="Calibri"/>
            <family val="2"/>
          </rPr>
          <t xml:space="preserve">
BHF: Revenue breakdown from Form 10 (1H16)</t>
        </r>
      </text>
    </comment>
    <comment ref="EK804" authorId="8">
      <text>
        <r>
          <rPr>
            <b/>
            <sz val="9"/>
            <color indexed="81"/>
            <rFont val="Calibri"/>
            <family val="2"/>
          </rPr>
          <t>Gupta, Tanmay (Research):</t>
        </r>
        <r>
          <rPr>
            <sz val="9"/>
            <color indexed="81"/>
            <rFont val="Calibri"/>
            <family val="2"/>
          </rPr>
          <t xml:space="preserve">
BHF: Revenue breakdown from Form 10 (1H16)</t>
        </r>
      </text>
    </comment>
    <comment ref="EM804" authorId="8">
      <text>
        <r>
          <rPr>
            <b/>
            <sz val="9"/>
            <color indexed="81"/>
            <rFont val="Calibri"/>
            <family val="2"/>
          </rPr>
          <t>Gupta, Tanmay (Research):</t>
        </r>
        <r>
          <rPr>
            <sz val="9"/>
            <color indexed="81"/>
            <rFont val="Calibri"/>
            <family val="2"/>
          </rPr>
          <t xml:space="preserve">
BHF: Revenue breakdown from Form 10 (1H16)</t>
        </r>
      </text>
    </comment>
    <comment ref="EO804" authorId="8">
      <text>
        <r>
          <rPr>
            <b/>
            <sz val="9"/>
            <color indexed="81"/>
            <rFont val="Calibri"/>
            <family val="2"/>
          </rPr>
          <t>Gupta, Tanmay (Research):</t>
        </r>
        <r>
          <rPr>
            <sz val="9"/>
            <color indexed="81"/>
            <rFont val="Calibri"/>
            <family val="2"/>
          </rPr>
          <t xml:space="preserve">
BHF: Revenue breakdown from Form 10 (1H16)</t>
        </r>
      </text>
    </comment>
    <comment ref="EQ804" authorId="8">
      <text>
        <r>
          <rPr>
            <b/>
            <sz val="9"/>
            <color indexed="81"/>
            <rFont val="Calibri"/>
            <family val="2"/>
          </rPr>
          <t>Gupta, Tanmay (Research):</t>
        </r>
        <r>
          <rPr>
            <sz val="9"/>
            <color indexed="81"/>
            <rFont val="Calibri"/>
            <family val="2"/>
          </rPr>
          <t xml:space="preserve">
BHF: Revenue breakdown from Form 10 (1H16)</t>
        </r>
      </text>
    </comment>
    <comment ref="ES804" authorId="8">
      <text>
        <r>
          <rPr>
            <b/>
            <sz val="9"/>
            <color indexed="81"/>
            <rFont val="Calibri"/>
            <family val="2"/>
          </rPr>
          <t>Gupta, Tanmay (Research):</t>
        </r>
        <r>
          <rPr>
            <sz val="9"/>
            <color indexed="81"/>
            <rFont val="Calibri"/>
            <family val="2"/>
          </rPr>
          <t xml:space="preserve">
BHF: Revenue breakdown from Form 10 (1H16)</t>
        </r>
      </text>
    </comment>
    <comment ref="EU804" authorId="8">
      <text>
        <r>
          <rPr>
            <b/>
            <sz val="9"/>
            <color indexed="81"/>
            <rFont val="Calibri"/>
            <family val="2"/>
          </rPr>
          <t>Gupta, Tanmay (Research):</t>
        </r>
        <r>
          <rPr>
            <sz val="9"/>
            <color indexed="81"/>
            <rFont val="Calibri"/>
            <family val="2"/>
          </rPr>
          <t xml:space="preserve">
BHF: Revenue breakdown from Form 10 (1H16)</t>
        </r>
      </text>
    </comment>
    <comment ref="EW804" authorId="8">
      <text>
        <r>
          <rPr>
            <b/>
            <sz val="9"/>
            <color indexed="81"/>
            <rFont val="Calibri"/>
            <family val="2"/>
          </rPr>
          <t>Gupta, Tanmay (Research):</t>
        </r>
        <r>
          <rPr>
            <sz val="9"/>
            <color indexed="81"/>
            <rFont val="Calibri"/>
            <family val="2"/>
          </rPr>
          <t xml:space="preserve">
BHF: Revenue breakdown from Form 10 (1H16)</t>
        </r>
      </text>
    </comment>
    <comment ref="GJ804" authorId="8">
      <text>
        <r>
          <rPr>
            <b/>
            <sz val="9"/>
            <color indexed="81"/>
            <rFont val="Calibri"/>
            <family val="2"/>
          </rPr>
          <t>Gupta, Tanmay (Research):</t>
        </r>
        <r>
          <rPr>
            <sz val="9"/>
            <color indexed="81"/>
            <rFont val="Calibri"/>
            <family val="2"/>
          </rPr>
          <t xml:space="preserve">
BHF: Revenue breakdown from Form 10 (1H16)</t>
        </r>
      </text>
    </comment>
    <comment ref="GL804" authorId="8">
      <text>
        <r>
          <rPr>
            <b/>
            <sz val="9"/>
            <color indexed="81"/>
            <rFont val="Calibri"/>
            <family val="2"/>
          </rPr>
          <t>Gupta, Tanmay (Research):</t>
        </r>
        <r>
          <rPr>
            <sz val="9"/>
            <color indexed="81"/>
            <rFont val="Calibri"/>
            <family val="2"/>
          </rPr>
          <t xml:space="preserve">
BHF: Revenue breakdown from Form 10 (1H16)</t>
        </r>
      </text>
    </comment>
    <comment ref="GN804" authorId="8">
      <text>
        <r>
          <rPr>
            <b/>
            <sz val="9"/>
            <color indexed="81"/>
            <rFont val="Calibri"/>
            <family val="2"/>
          </rPr>
          <t>Gupta, Tanmay (Research):</t>
        </r>
        <r>
          <rPr>
            <sz val="9"/>
            <color indexed="81"/>
            <rFont val="Calibri"/>
            <family val="2"/>
          </rPr>
          <t xml:space="preserve">
BHF: Revenue breakdown from Form 10 (1H16)</t>
        </r>
      </text>
    </comment>
    <comment ref="GP804" authorId="8">
      <text>
        <r>
          <rPr>
            <b/>
            <sz val="9"/>
            <color indexed="81"/>
            <rFont val="Calibri"/>
            <family val="2"/>
          </rPr>
          <t>Gupta, Tanmay (Research):</t>
        </r>
        <r>
          <rPr>
            <sz val="9"/>
            <color indexed="81"/>
            <rFont val="Calibri"/>
            <family val="2"/>
          </rPr>
          <t xml:space="preserve">
BHF: Revenue breakdown from Form 10 (1H16)</t>
        </r>
      </text>
    </comment>
    <comment ref="GR804" authorId="8">
      <text>
        <r>
          <rPr>
            <b/>
            <sz val="9"/>
            <color indexed="81"/>
            <rFont val="Calibri"/>
            <family val="2"/>
          </rPr>
          <t>Gupta, Tanmay (Research):</t>
        </r>
        <r>
          <rPr>
            <sz val="9"/>
            <color indexed="81"/>
            <rFont val="Calibri"/>
            <family val="2"/>
          </rPr>
          <t xml:space="preserve">
BHF: Revenue breakdown from Form 10 (1H16)</t>
        </r>
      </text>
    </comment>
    <comment ref="GT804" authorId="8">
      <text>
        <r>
          <rPr>
            <b/>
            <sz val="9"/>
            <color indexed="81"/>
            <rFont val="Calibri"/>
            <family val="2"/>
          </rPr>
          <t>Gupta, Tanmay (Research):</t>
        </r>
        <r>
          <rPr>
            <sz val="9"/>
            <color indexed="81"/>
            <rFont val="Calibri"/>
            <family val="2"/>
          </rPr>
          <t xml:space="preserve">
BHF: Revenue breakdown from Form 10 (1H16)</t>
        </r>
      </text>
    </comment>
    <comment ref="GV804" authorId="8">
      <text>
        <r>
          <rPr>
            <b/>
            <sz val="9"/>
            <color indexed="81"/>
            <rFont val="Calibri"/>
            <family val="2"/>
          </rPr>
          <t>Gupta, Tanmay (Research):</t>
        </r>
        <r>
          <rPr>
            <sz val="9"/>
            <color indexed="81"/>
            <rFont val="Calibri"/>
            <family val="2"/>
          </rPr>
          <t xml:space="preserve">
BHF: Revenue breakdown from Form 10 (1H16)</t>
        </r>
      </text>
    </comment>
    <comment ref="GX804" authorId="8">
      <text>
        <r>
          <rPr>
            <b/>
            <sz val="9"/>
            <color indexed="81"/>
            <rFont val="Calibri"/>
            <family val="2"/>
          </rPr>
          <t>Gupta, Tanmay (Research):</t>
        </r>
        <r>
          <rPr>
            <sz val="9"/>
            <color indexed="81"/>
            <rFont val="Calibri"/>
            <family val="2"/>
          </rPr>
          <t xml:space="preserve">
BHF: Revenue breakdown from Form 10 (1H16)</t>
        </r>
      </text>
    </comment>
  </commentList>
</comments>
</file>

<file path=xl/comments2.xml><?xml version="1.0" encoding="utf-8"?>
<comments xmlns="http://schemas.openxmlformats.org/spreadsheetml/2006/main">
  <authors>
    <author>Sanchez Bolanos, Laura (Research)</author>
    <author>dianaz</author>
    <author>Laura Sanchez</author>
    <author>Rojas, Isabel (Research)</author>
    <author>Gupta, Tanmay (Research)</author>
    <author>Zamora, Diana (Research)</author>
    <author>Huang, Bob (Research)</author>
    <author>Zheng, Chaodan (Research)</author>
  </authors>
  <commentList>
    <comment ref="Y3" authorId="0">
      <text>
        <r>
          <rPr>
            <b/>
            <sz val="9"/>
            <color indexed="81"/>
            <rFont val="Tahoma"/>
            <family val="2"/>
          </rPr>
          <t>Sanchez Bolanos, Laura (Research):</t>
        </r>
        <r>
          <rPr>
            <sz val="9"/>
            <color indexed="81"/>
            <rFont val="Tahoma"/>
            <family val="2"/>
          </rPr>
          <t xml:space="preserve">
beyond 2018
</t>
        </r>
      </text>
    </comment>
    <comment ref="R6" authorId="1">
      <text>
        <r>
          <rPr>
            <b/>
            <sz val="8"/>
            <color indexed="81"/>
            <rFont val="Tahoma"/>
            <family val="2"/>
          </rPr>
          <t>dianaz:</t>
        </r>
        <r>
          <rPr>
            <sz val="8"/>
            <color indexed="81"/>
            <rFont val="Tahoma"/>
            <family val="2"/>
          </rPr>
          <t xml:space="preserve">
Inv Day (12/12/2013): MSD with acceleration in 2015-2016</t>
        </r>
      </text>
    </comment>
    <comment ref="S6" authorId="1">
      <text>
        <r>
          <rPr>
            <b/>
            <sz val="8"/>
            <color indexed="81"/>
            <rFont val="Tahoma"/>
            <family val="2"/>
          </rPr>
          <t>dianaz:</t>
        </r>
        <r>
          <rPr>
            <sz val="8"/>
            <color indexed="81"/>
            <rFont val="Tahoma"/>
            <family val="2"/>
          </rPr>
          <t xml:space="preserve">
Inv Day (12/12/2013): MSD with acceleration in 2015-2016</t>
        </r>
      </text>
    </comment>
    <comment ref="T6" authorId="1">
      <text>
        <r>
          <rPr>
            <b/>
            <sz val="8"/>
            <color indexed="81"/>
            <rFont val="Tahoma"/>
            <family val="2"/>
          </rPr>
          <t>dianaz:</t>
        </r>
        <r>
          <rPr>
            <sz val="8"/>
            <color indexed="81"/>
            <rFont val="Tahoma"/>
            <family val="2"/>
          </rPr>
          <t xml:space="preserve">
Inv Day (12/12/2013): 4-7%</t>
        </r>
      </text>
    </comment>
    <comment ref="T8" authorId="1">
      <text>
        <r>
          <rPr>
            <b/>
            <sz val="8"/>
            <color indexed="81"/>
            <rFont val="Tahoma"/>
            <family val="2"/>
          </rPr>
          <t>dianaz:</t>
        </r>
        <r>
          <rPr>
            <sz val="8"/>
            <color indexed="81"/>
            <rFont val="Tahoma"/>
            <family val="2"/>
          </rPr>
          <t xml:space="preserve">
Inv Day (12/12/2013): 6-8%</t>
        </r>
      </text>
    </comment>
    <comment ref="T9" authorId="1">
      <text>
        <r>
          <rPr>
            <b/>
            <sz val="8"/>
            <color indexed="81"/>
            <rFont val="Tahoma"/>
            <family val="2"/>
          </rPr>
          <t>dianaz:</t>
        </r>
        <r>
          <rPr>
            <sz val="8"/>
            <color indexed="81"/>
            <rFont val="Tahoma"/>
            <family val="2"/>
          </rPr>
          <t xml:space="preserve">
Inv Day (12/12/2013): mkt growth of 2-4%</t>
        </r>
      </text>
    </comment>
    <comment ref="R10" authorId="1">
      <text>
        <r>
          <rPr>
            <b/>
            <sz val="8"/>
            <color indexed="81"/>
            <rFont val="Tahoma"/>
            <family val="2"/>
          </rPr>
          <t>dianaz:</t>
        </r>
        <r>
          <rPr>
            <sz val="8"/>
            <color indexed="81"/>
            <rFont val="Tahoma"/>
            <family val="2"/>
          </rPr>
          <t xml:space="preserve">
3Q14 guidance: unchanged
Inv Day (12/12/2013): Midpoint of 85-90% </t>
        </r>
      </text>
    </comment>
    <comment ref="S10" authorId="1">
      <text>
        <r>
          <rPr>
            <b/>
            <sz val="8"/>
            <color indexed="81"/>
            <rFont val="Tahoma"/>
            <family val="2"/>
          </rPr>
          <t>dianaz:</t>
        </r>
        <r>
          <rPr>
            <sz val="8"/>
            <color indexed="81"/>
            <rFont val="Tahoma"/>
            <family val="2"/>
          </rPr>
          <t xml:space="preserve">
Inv Day (12/12/2013): Midpoint of 85-90% </t>
        </r>
      </text>
    </comment>
    <comment ref="R12" authorId="1">
      <text>
        <r>
          <rPr>
            <b/>
            <sz val="8"/>
            <color indexed="81"/>
            <rFont val="Tahoma"/>
            <family val="2"/>
          </rPr>
          <t>dianaz:</t>
        </r>
        <r>
          <rPr>
            <sz val="8"/>
            <color indexed="81"/>
            <rFont val="Tahoma"/>
            <family val="2"/>
          </rPr>
          <t xml:space="preserve">
Inv Day (12/12/2013): improve</t>
        </r>
      </text>
    </comment>
    <comment ref="S12" authorId="1">
      <text>
        <r>
          <rPr>
            <b/>
            <sz val="8"/>
            <color indexed="81"/>
            <rFont val="Tahoma"/>
            <family val="2"/>
          </rPr>
          <t>dianaz:</t>
        </r>
        <r>
          <rPr>
            <sz val="8"/>
            <color indexed="81"/>
            <rFont val="Tahoma"/>
            <family val="2"/>
          </rPr>
          <t xml:space="preserve">
Inv Day (12/12/2013): improve</t>
        </r>
      </text>
    </comment>
    <comment ref="V12" authorId="0">
      <text>
        <r>
          <rPr>
            <b/>
            <sz val="9"/>
            <color indexed="81"/>
            <rFont val="Tahoma"/>
            <family val="2"/>
          </rPr>
          <t>Sanchez Bolanos, Laura (Research):</t>
        </r>
        <r>
          <rPr>
            <sz val="9"/>
            <color indexed="81"/>
            <rFont val="Tahoma"/>
            <family val="2"/>
          </rPr>
          <t xml:space="preserve">
modest decrease</t>
        </r>
      </text>
    </comment>
    <comment ref="X12" authorId="0">
      <text>
        <r>
          <rPr>
            <b/>
            <sz val="9"/>
            <color indexed="81"/>
            <rFont val="Tahoma"/>
            <family val="2"/>
          </rPr>
          <t>Sanchez Bolanos, Laura (Research):</t>
        </r>
        <r>
          <rPr>
            <sz val="9"/>
            <color indexed="81"/>
            <rFont val="Tahoma"/>
            <family val="2"/>
          </rPr>
          <t xml:space="preserve">
modest decrease</t>
        </r>
      </text>
    </comment>
    <comment ref="R20" authorId="1">
      <text>
        <r>
          <rPr>
            <b/>
            <sz val="8"/>
            <color indexed="81"/>
            <rFont val="Tahoma"/>
            <family val="2"/>
          </rPr>
          <t>dianaz:</t>
        </r>
        <r>
          <rPr>
            <sz val="8"/>
            <color indexed="81"/>
            <rFont val="Tahoma"/>
            <family val="2"/>
          </rPr>
          <t xml:space="preserve">
Inv Day (12/12/2013): moderate</t>
        </r>
      </text>
    </comment>
    <comment ref="S20" authorId="1">
      <text>
        <r>
          <rPr>
            <b/>
            <sz val="8"/>
            <color indexed="81"/>
            <rFont val="Tahoma"/>
            <family val="2"/>
          </rPr>
          <t>dianaz:</t>
        </r>
        <r>
          <rPr>
            <sz val="8"/>
            <color indexed="81"/>
            <rFont val="Tahoma"/>
            <family val="2"/>
          </rPr>
          <t xml:space="preserve">
Inv Day (12/12/2013): moderate</t>
        </r>
      </text>
    </comment>
    <comment ref="T20" authorId="1">
      <text>
        <r>
          <rPr>
            <b/>
            <sz val="8"/>
            <color indexed="81"/>
            <rFont val="Tahoma"/>
            <family val="2"/>
          </rPr>
          <t>dianaz:</t>
        </r>
        <r>
          <rPr>
            <sz val="8"/>
            <color indexed="81"/>
            <rFont val="Tahoma"/>
            <family val="2"/>
          </rPr>
          <t xml:space="preserve">
Inv Day (12/12/2013): 3-5%</t>
        </r>
      </text>
    </comment>
    <comment ref="V20" authorId="0">
      <text>
        <r>
          <rPr>
            <b/>
            <sz val="9"/>
            <color indexed="81"/>
            <rFont val="Tahoma"/>
            <family val="2"/>
          </rPr>
          <t>Sanchez Bolanos, Laura (Research):</t>
        </r>
        <r>
          <rPr>
            <sz val="9"/>
            <color indexed="81"/>
            <rFont val="Tahoma"/>
            <family val="2"/>
          </rPr>
          <t xml:space="preserve">
call: to decline given spread compression</t>
        </r>
      </text>
    </comment>
    <comment ref="X20" authorId="0">
      <text>
        <r>
          <rPr>
            <b/>
            <sz val="9"/>
            <color indexed="81"/>
            <rFont val="Tahoma"/>
            <family val="2"/>
          </rPr>
          <t>Sanchez Bolanos, Laura (Research):</t>
        </r>
        <r>
          <rPr>
            <sz val="9"/>
            <color indexed="81"/>
            <rFont val="Tahoma"/>
            <family val="2"/>
          </rPr>
          <t xml:space="preserve">
call: to decline given spread compression</t>
        </r>
      </text>
    </comment>
    <comment ref="R21" authorId="1">
      <text>
        <r>
          <rPr>
            <b/>
            <sz val="8"/>
            <color indexed="81"/>
            <rFont val="Tahoma"/>
            <family val="2"/>
          </rPr>
          <t>dianaz:</t>
        </r>
        <r>
          <rPr>
            <sz val="8"/>
            <color indexed="81"/>
            <rFont val="Tahoma"/>
            <family val="2"/>
          </rPr>
          <t xml:space="preserve">
Inv Day (12/12/2013): 150-170bps </t>
        </r>
      </text>
    </comment>
    <comment ref="S21" authorId="1">
      <text>
        <r>
          <rPr>
            <b/>
            <sz val="8"/>
            <color indexed="81"/>
            <rFont val="Tahoma"/>
            <family val="2"/>
          </rPr>
          <t>dianaz:</t>
        </r>
        <r>
          <rPr>
            <sz val="8"/>
            <color indexed="81"/>
            <rFont val="Tahoma"/>
            <family val="2"/>
          </rPr>
          <t xml:space="preserve">
Inv Day (12/12/2013) spread compression in 2015-2016</t>
        </r>
      </text>
    </comment>
    <comment ref="X21" authorId="0">
      <text>
        <r>
          <rPr>
            <b/>
            <sz val="9"/>
            <color indexed="81"/>
            <rFont val="Tahoma"/>
            <family val="2"/>
          </rPr>
          <t>Sanchez Bolanos, Laura (Research):</t>
        </r>
        <r>
          <rPr>
            <sz val="9"/>
            <color indexed="81"/>
            <rFont val="Tahoma"/>
            <family val="2"/>
          </rPr>
          <t xml:space="preserve">
Flattening yield curve expected to pressure 2016 &amp; 2017 spreads</t>
        </r>
      </text>
    </comment>
    <comment ref="B22" authorId="2">
      <text>
        <r>
          <rPr>
            <b/>
            <sz val="8"/>
            <color indexed="81"/>
            <rFont val="Tahoma"/>
            <family val="2"/>
          </rPr>
          <t>Laura Sanchez:</t>
        </r>
        <r>
          <rPr>
            <sz val="8"/>
            <color indexed="81"/>
            <rFont val="Tahoma"/>
            <family val="2"/>
          </rPr>
          <t xml:space="preserve">
adjustnewdivisions tab</t>
        </r>
      </text>
    </comment>
    <comment ref="C22" authorId="2">
      <text>
        <r>
          <rPr>
            <b/>
            <sz val="8"/>
            <color indexed="81"/>
            <rFont val="Tahoma"/>
            <family val="2"/>
          </rPr>
          <t>Laura Sanchez:</t>
        </r>
        <r>
          <rPr>
            <sz val="8"/>
            <color indexed="81"/>
            <rFont val="Tahoma"/>
            <family val="2"/>
          </rPr>
          <t xml:space="preserve">
adjustnewdivisions tab</t>
        </r>
      </text>
    </comment>
    <comment ref="E22" authorId="2">
      <text>
        <r>
          <rPr>
            <b/>
            <sz val="8"/>
            <color indexed="81"/>
            <rFont val="Tahoma"/>
            <family val="2"/>
          </rPr>
          <t>Laura Sanchez:</t>
        </r>
        <r>
          <rPr>
            <sz val="8"/>
            <color indexed="81"/>
            <rFont val="Tahoma"/>
            <family val="2"/>
          </rPr>
          <t xml:space="preserve">
adjustnewdivisions tab</t>
        </r>
      </text>
    </comment>
    <comment ref="R22" authorId="1">
      <text>
        <r>
          <rPr>
            <b/>
            <sz val="8"/>
            <color indexed="81"/>
            <rFont val="Tahoma"/>
            <family val="2"/>
          </rPr>
          <t>dianaz:</t>
        </r>
        <r>
          <rPr>
            <sz val="8"/>
            <color indexed="81"/>
            <rFont val="Tahoma"/>
            <family val="2"/>
          </rPr>
          <t xml:space="preserve">
Inv Day (12/12/2013): VII to contribute 30-40bps of 2014 investment income spread </t>
        </r>
      </text>
    </comment>
    <comment ref="A23" authorId="3">
      <text>
        <r>
          <rPr>
            <b/>
            <sz val="9"/>
            <color indexed="81"/>
            <rFont val="Tahoma"/>
            <family val="2"/>
          </rPr>
          <t>Rojas, Isabel (Research):</t>
        </r>
        <r>
          <rPr>
            <sz val="9"/>
            <color indexed="81"/>
            <rFont val="Tahoma"/>
            <family val="2"/>
          </rPr>
          <t xml:space="preserve">
2015 outlook: Upside in CBF in PRT</t>
        </r>
      </text>
    </comment>
    <comment ref="R35" authorId="1">
      <text>
        <r>
          <rPr>
            <b/>
            <sz val="8"/>
            <color indexed="81"/>
            <rFont val="Tahoma"/>
            <family val="2"/>
          </rPr>
          <t>dianaz:</t>
        </r>
        <r>
          <rPr>
            <sz val="8"/>
            <color indexed="81"/>
            <rFont val="Tahoma"/>
            <family val="2"/>
          </rPr>
          <t xml:space="preserve">
Inv Day (12/12/2013): MSD with acceleration in 2015-2016</t>
        </r>
      </text>
    </comment>
    <comment ref="S35" authorId="1">
      <text>
        <r>
          <rPr>
            <b/>
            <sz val="8"/>
            <color indexed="81"/>
            <rFont val="Tahoma"/>
            <family val="2"/>
          </rPr>
          <t>dianaz:</t>
        </r>
        <r>
          <rPr>
            <sz val="8"/>
            <color indexed="81"/>
            <rFont val="Tahoma"/>
            <family val="2"/>
          </rPr>
          <t xml:space="preserve">
Inv Day (12/12/2013): MSD with acceleration in 2015-2016</t>
        </r>
      </text>
    </comment>
    <comment ref="T35" authorId="1">
      <text>
        <r>
          <rPr>
            <b/>
            <sz val="8"/>
            <color indexed="81"/>
            <rFont val="Tahoma"/>
            <family val="2"/>
          </rPr>
          <t>dianaz:</t>
        </r>
        <r>
          <rPr>
            <sz val="8"/>
            <color indexed="81"/>
            <rFont val="Tahoma"/>
            <family val="2"/>
          </rPr>
          <t xml:space="preserve">
Inv Day (12/12/2013): 4-7%</t>
        </r>
      </text>
    </comment>
    <comment ref="T37" authorId="1">
      <text>
        <r>
          <rPr>
            <b/>
            <sz val="8"/>
            <color indexed="81"/>
            <rFont val="Tahoma"/>
            <family val="2"/>
          </rPr>
          <t>dianaz:</t>
        </r>
        <r>
          <rPr>
            <sz val="8"/>
            <color indexed="81"/>
            <rFont val="Tahoma"/>
            <family val="2"/>
          </rPr>
          <t xml:space="preserve">
Inv Day (12/12/2013): 6-8%</t>
        </r>
      </text>
    </comment>
    <comment ref="R38" authorId="1">
      <text>
        <r>
          <rPr>
            <b/>
            <sz val="8"/>
            <color indexed="81"/>
            <rFont val="Tahoma"/>
            <family val="2"/>
          </rPr>
          <t>dianaz:</t>
        </r>
        <r>
          <rPr>
            <sz val="8"/>
            <color indexed="81"/>
            <rFont val="Tahoma"/>
            <family val="2"/>
          </rPr>
          <t xml:space="preserve">
Inv Day (12/12/2013): Range of 94-98% </t>
        </r>
      </text>
    </comment>
    <comment ref="S38" authorId="1">
      <text>
        <r>
          <rPr>
            <b/>
            <sz val="8"/>
            <color indexed="81"/>
            <rFont val="Tahoma"/>
            <family val="2"/>
          </rPr>
          <t>dianaz:</t>
        </r>
        <r>
          <rPr>
            <sz val="8"/>
            <color indexed="81"/>
            <rFont val="Tahoma"/>
            <family val="2"/>
          </rPr>
          <t xml:space="preserve">
Inv Day (12/12/2013): Range of 94-98% </t>
        </r>
      </text>
    </comment>
    <comment ref="V38" authorId="4">
      <text>
        <r>
          <rPr>
            <b/>
            <sz val="9"/>
            <color indexed="81"/>
            <rFont val="Tahoma"/>
            <family val="2"/>
          </rPr>
          <t>Gupta, Tanmay (Research):</t>
        </r>
        <r>
          <rPr>
            <sz val="9"/>
            <color indexed="81"/>
            <rFont val="Tahoma"/>
            <family val="2"/>
          </rPr>
          <t xml:space="preserve">
towards higher end of range and then improving</t>
        </r>
      </text>
    </comment>
    <comment ref="R39" authorId="1">
      <text>
        <r>
          <rPr>
            <b/>
            <sz val="8"/>
            <color indexed="81"/>
            <rFont val="Tahoma"/>
            <family val="2"/>
          </rPr>
          <t>dianaz:</t>
        </r>
        <r>
          <rPr>
            <sz val="8"/>
            <color indexed="81"/>
            <rFont val="Tahoma"/>
            <family val="2"/>
          </rPr>
          <t xml:space="preserve">
Inv Day (12/12/2013): Range of 230-270 bps</t>
        </r>
      </text>
    </comment>
    <comment ref="S39" authorId="1">
      <text>
        <r>
          <rPr>
            <b/>
            <sz val="8"/>
            <color indexed="81"/>
            <rFont val="Tahoma"/>
            <family val="2"/>
          </rPr>
          <t>dianaz:</t>
        </r>
        <r>
          <rPr>
            <sz val="8"/>
            <color indexed="81"/>
            <rFont val="Tahoma"/>
            <family val="2"/>
          </rPr>
          <t xml:space="preserve">
Inv Day (12/12/2013): Range of 230-270 bps</t>
        </r>
      </text>
    </comment>
    <comment ref="V39" authorId="4">
      <text>
        <r>
          <rPr>
            <b/>
            <sz val="9"/>
            <color indexed="81"/>
            <rFont val="Tahoma"/>
            <family val="2"/>
          </rPr>
          <t>Gupta, Tanmay (Research):</t>
        </r>
        <r>
          <rPr>
            <sz val="9"/>
            <color indexed="81"/>
            <rFont val="Tahoma"/>
            <family val="2"/>
          </rPr>
          <t xml:space="preserve">
towards higher end of range and then improving</t>
        </r>
      </text>
    </comment>
    <comment ref="R41" authorId="1">
      <text>
        <r>
          <rPr>
            <b/>
            <sz val="8"/>
            <color indexed="81"/>
            <rFont val="Tahoma"/>
            <family val="2"/>
          </rPr>
          <t>dianaz:</t>
        </r>
        <r>
          <rPr>
            <sz val="8"/>
            <color indexed="81"/>
            <rFont val="Tahoma"/>
            <family val="2"/>
          </rPr>
          <t xml:space="preserve">
Inv Day (12/12/2013): improve</t>
        </r>
      </text>
    </comment>
    <comment ref="S41" authorId="1">
      <text>
        <r>
          <rPr>
            <b/>
            <sz val="8"/>
            <color indexed="81"/>
            <rFont val="Tahoma"/>
            <family val="2"/>
          </rPr>
          <t>dianaz:</t>
        </r>
        <r>
          <rPr>
            <sz val="8"/>
            <color indexed="81"/>
            <rFont val="Tahoma"/>
            <family val="2"/>
          </rPr>
          <t xml:space="preserve">
Inv Day (12/12/2013): improve</t>
        </r>
      </text>
    </comment>
    <comment ref="V41" authorId="0">
      <text>
        <r>
          <rPr>
            <b/>
            <sz val="9"/>
            <color indexed="81"/>
            <rFont val="Tahoma"/>
            <family val="2"/>
          </rPr>
          <t>Sanchez Bolanos, Laura (Research):</t>
        </r>
        <r>
          <rPr>
            <sz val="9"/>
            <color indexed="81"/>
            <rFont val="Tahoma"/>
            <family val="2"/>
          </rPr>
          <t xml:space="preserve">
modest decrease</t>
        </r>
      </text>
    </comment>
    <comment ref="X41" authorId="0">
      <text>
        <r>
          <rPr>
            <b/>
            <sz val="9"/>
            <color indexed="81"/>
            <rFont val="Tahoma"/>
            <family val="2"/>
          </rPr>
          <t>Sanchez Bolanos, Laura (Research):</t>
        </r>
        <r>
          <rPr>
            <sz val="9"/>
            <color indexed="81"/>
            <rFont val="Tahoma"/>
            <family val="2"/>
          </rPr>
          <t xml:space="preserve">
modest decrease</t>
        </r>
      </text>
    </comment>
    <comment ref="R49" authorId="1">
      <text>
        <r>
          <rPr>
            <b/>
            <sz val="8"/>
            <color indexed="81"/>
            <rFont val="Tahoma"/>
            <family val="2"/>
          </rPr>
          <t>dianaz:</t>
        </r>
        <r>
          <rPr>
            <sz val="8"/>
            <color indexed="81"/>
            <rFont val="Tahoma"/>
            <family val="2"/>
          </rPr>
          <t xml:space="preserve">
Inv Day (12/12/2013): low end of 5-10% in 2014</t>
        </r>
      </text>
    </comment>
    <comment ref="S49" authorId="1">
      <text>
        <r>
          <rPr>
            <b/>
            <sz val="8"/>
            <color indexed="81"/>
            <rFont val="Tahoma"/>
            <family val="2"/>
          </rPr>
          <t>dianaz:</t>
        </r>
        <r>
          <rPr>
            <sz val="8"/>
            <color indexed="81"/>
            <rFont val="Tahoma"/>
            <family val="2"/>
          </rPr>
          <t xml:space="preserve">
Inv Day (12/12/2013): 5-10%</t>
        </r>
      </text>
    </comment>
    <comment ref="R51" authorId="1">
      <text>
        <r>
          <rPr>
            <b/>
            <sz val="8"/>
            <color indexed="81"/>
            <rFont val="Tahoma"/>
            <family val="2"/>
          </rPr>
          <t>dianaz:</t>
        </r>
        <r>
          <rPr>
            <sz val="8"/>
            <color indexed="81"/>
            <rFont val="Tahoma"/>
            <family val="2"/>
          </rPr>
          <t xml:space="preserve">
Japan Inv Day: Op. earnings in 2H14 expected to be slightly lower given some non-recurring items  
Inv Day (12/12/2013): 
high single to low double digit on a constant exchange rate basis</t>
        </r>
      </text>
    </comment>
    <comment ref="S51" authorId="1">
      <text>
        <r>
          <rPr>
            <b/>
            <sz val="8"/>
            <color indexed="81"/>
            <rFont val="Tahoma"/>
            <family val="2"/>
          </rPr>
          <t>dianaz:</t>
        </r>
        <r>
          <rPr>
            <sz val="8"/>
            <color indexed="81"/>
            <rFont val="Tahoma"/>
            <family val="2"/>
          </rPr>
          <t xml:space="preserve">
Inv Day (12/12/2013): 
high single to low double digit on a constant exchange rate basis</t>
        </r>
      </text>
    </comment>
    <comment ref="T51" authorId="1">
      <text>
        <r>
          <rPr>
            <b/>
            <sz val="8"/>
            <color indexed="81"/>
            <rFont val="Tahoma"/>
            <family val="2"/>
          </rPr>
          <t>dianaz:</t>
        </r>
        <r>
          <rPr>
            <sz val="8"/>
            <color indexed="81"/>
            <rFont val="Tahoma"/>
            <family val="2"/>
          </rPr>
          <t xml:space="preserve">
Inv Day (12/12/2013): 
high single to low double digit on a constant exchange rate basis</t>
        </r>
      </text>
    </comment>
    <comment ref="Y51" authorId="3">
      <text>
        <r>
          <rPr>
            <b/>
            <sz val="9"/>
            <color indexed="81"/>
            <rFont val="Tahoma"/>
            <family val="2"/>
          </rPr>
          <t>Rojas, Isabel (Research):</t>
        </r>
        <r>
          <rPr>
            <sz val="9"/>
            <color indexed="81"/>
            <rFont val="Tahoma"/>
            <family val="2"/>
          </rPr>
          <t xml:space="preserve">
2015 outlook: Expect HSD - LDD op earnings growth on a constant currency basis over time</t>
        </r>
      </text>
    </comment>
    <comment ref="T53" authorId="1">
      <text>
        <r>
          <rPr>
            <b/>
            <sz val="8"/>
            <color indexed="81"/>
            <rFont val="Tahoma"/>
            <family val="2"/>
          </rPr>
          <t>dianaz:</t>
        </r>
        <r>
          <rPr>
            <sz val="8"/>
            <color indexed="81"/>
            <rFont val="Tahoma"/>
            <family val="2"/>
          </rPr>
          <t xml:space="preserve">
Inv Day (12/12/2013): 2-3%</t>
        </r>
      </text>
    </comment>
    <comment ref="R54" authorId="5">
      <text>
        <r>
          <rPr>
            <b/>
            <sz val="9"/>
            <color indexed="81"/>
            <rFont val="Tahoma"/>
            <family val="2"/>
          </rPr>
          <t>Zamora, Diana (Research):</t>
        </r>
        <r>
          <rPr>
            <sz val="9"/>
            <color indexed="81"/>
            <rFont val="Tahoma"/>
            <family val="2"/>
          </rPr>
          <t xml:space="preserve">
2014 Japan investor ppt: Expect strong sales growth in 4Q14; leading sales to be in the mid to high singles digits in 2015</t>
        </r>
      </text>
    </comment>
    <comment ref="T54" authorId="1">
      <text>
        <r>
          <rPr>
            <b/>
            <sz val="8"/>
            <color indexed="81"/>
            <rFont val="Tahoma"/>
            <family val="2"/>
          </rPr>
          <t>dianaz:</t>
        </r>
        <r>
          <rPr>
            <sz val="8"/>
            <color indexed="81"/>
            <rFont val="Tahoma"/>
            <family val="2"/>
          </rPr>
          <t xml:space="preserve">
Inv Day (12/12/2013): 5-7%</t>
        </r>
      </text>
    </comment>
    <comment ref="R56" authorId="5">
      <text>
        <r>
          <rPr>
            <b/>
            <sz val="9"/>
            <color indexed="81"/>
            <rFont val="Tahoma"/>
            <family val="2"/>
          </rPr>
          <t>Zamora, Diana (Research):</t>
        </r>
        <r>
          <rPr>
            <sz val="9"/>
            <color indexed="81"/>
            <rFont val="Tahoma"/>
            <family val="2"/>
          </rPr>
          <t xml:space="preserve">
2014 Japan investor day ppt: Korea contributed 10% of GAAP earnings in 2014 - expected to grow</t>
        </r>
      </text>
    </comment>
    <comment ref="T56" authorId="1">
      <text>
        <r>
          <rPr>
            <b/>
            <sz val="8"/>
            <color indexed="81"/>
            <rFont val="Tahoma"/>
            <family val="2"/>
          </rPr>
          <t>dianaz:</t>
        </r>
        <r>
          <rPr>
            <sz val="8"/>
            <color indexed="81"/>
            <rFont val="Tahoma"/>
            <family val="2"/>
          </rPr>
          <t xml:space="preserve">
Inv Day (12/12/2013): 6-7%</t>
        </r>
      </text>
    </comment>
    <comment ref="T57" authorId="1">
      <text>
        <r>
          <rPr>
            <b/>
            <sz val="8"/>
            <color indexed="81"/>
            <rFont val="Tahoma"/>
            <family val="2"/>
          </rPr>
          <t>dianaz:</t>
        </r>
        <r>
          <rPr>
            <sz val="8"/>
            <color indexed="81"/>
            <rFont val="Tahoma"/>
            <family val="2"/>
          </rPr>
          <t xml:space="preserve">
Inv Day (12/12/2013): 8-10%</t>
        </r>
      </text>
    </comment>
    <comment ref="T59" authorId="1">
      <text>
        <r>
          <rPr>
            <b/>
            <sz val="8"/>
            <color indexed="81"/>
            <rFont val="Tahoma"/>
            <family val="2"/>
          </rPr>
          <t>dianaz:</t>
        </r>
        <r>
          <rPr>
            <sz val="8"/>
            <color indexed="81"/>
            <rFont val="Tahoma"/>
            <family val="2"/>
          </rPr>
          <t xml:space="preserve">
Inv Day (12/12/2013): 10-12%</t>
        </r>
      </text>
    </comment>
    <comment ref="T60" authorId="1">
      <text>
        <r>
          <rPr>
            <b/>
            <sz val="8"/>
            <color indexed="81"/>
            <rFont val="Tahoma"/>
            <family val="2"/>
          </rPr>
          <t>dianaz:</t>
        </r>
        <r>
          <rPr>
            <sz val="8"/>
            <color indexed="81"/>
            <rFont val="Tahoma"/>
            <family val="2"/>
          </rPr>
          <t xml:space="preserve">
Inv Day (12/12/2013): 12-15%</t>
        </r>
      </text>
    </comment>
    <comment ref="R68" authorId="2">
      <text>
        <r>
          <rPr>
            <b/>
            <sz val="8"/>
            <color indexed="81"/>
            <rFont val="Tahoma"/>
            <family val="2"/>
          </rPr>
          <t>Laura Sanchez:</t>
        </r>
        <r>
          <rPr>
            <sz val="8"/>
            <color indexed="81"/>
            <rFont val="Tahoma"/>
            <family val="2"/>
          </rPr>
          <t xml:space="preserve">
Inv Day (12/12/2013): low double-digit avg annual growth, ex-Provida</t>
        </r>
      </text>
    </comment>
    <comment ref="S68" authorId="2">
      <text>
        <r>
          <rPr>
            <b/>
            <sz val="8"/>
            <color indexed="81"/>
            <rFont val="Tahoma"/>
            <family val="2"/>
          </rPr>
          <t>Laura Sanchez:</t>
        </r>
        <r>
          <rPr>
            <sz val="8"/>
            <color indexed="81"/>
            <rFont val="Tahoma"/>
            <family val="2"/>
          </rPr>
          <t xml:space="preserve">
Inv Day (12/12/2013): low double-digit avg annual growth, ex-Provida</t>
        </r>
      </text>
    </comment>
    <comment ref="T68" authorId="2">
      <text>
        <r>
          <rPr>
            <b/>
            <sz val="8"/>
            <color indexed="81"/>
            <rFont val="Tahoma"/>
            <family val="2"/>
          </rPr>
          <t>Laura Sanchez:</t>
        </r>
        <r>
          <rPr>
            <sz val="8"/>
            <color indexed="81"/>
            <rFont val="Tahoma"/>
            <family val="2"/>
          </rPr>
          <t xml:space="preserve">
Inv Day (12/12/2013): low double-digit avg annual growth, ex-Provida</t>
        </r>
      </text>
    </comment>
    <comment ref="R70" authorId="2">
      <text>
        <r>
          <rPr>
            <b/>
            <sz val="8"/>
            <color indexed="81"/>
            <rFont val="Tahoma"/>
            <family val="2"/>
          </rPr>
          <t>Laura Sanchez:</t>
        </r>
        <r>
          <rPr>
            <sz val="8"/>
            <color indexed="81"/>
            <rFont val="Tahoma"/>
            <family val="2"/>
          </rPr>
          <t xml:space="preserve">
Inv Day (12/12/2013): consistent with PFOs growth, ex-Provida</t>
        </r>
      </text>
    </comment>
    <comment ref="S70" authorId="2">
      <text>
        <r>
          <rPr>
            <b/>
            <sz val="8"/>
            <color indexed="81"/>
            <rFont val="Tahoma"/>
            <family val="2"/>
          </rPr>
          <t>Laura Sanchez:</t>
        </r>
        <r>
          <rPr>
            <sz val="8"/>
            <color indexed="81"/>
            <rFont val="Tahoma"/>
            <family val="2"/>
          </rPr>
          <t xml:space="preserve">
Inv Day (12/12/2013): consistent with PFOs growth, ex-Provida</t>
        </r>
      </text>
    </comment>
    <comment ref="T70" authorId="2">
      <text>
        <r>
          <rPr>
            <b/>
            <sz val="8"/>
            <color indexed="81"/>
            <rFont val="Tahoma"/>
            <family val="2"/>
          </rPr>
          <t>Laura Sanchez:</t>
        </r>
        <r>
          <rPr>
            <sz val="8"/>
            <color indexed="81"/>
            <rFont val="Tahoma"/>
            <family val="2"/>
          </rPr>
          <t xml:space="preserve">
Inv Day (12/12/2013): op.earnings to be in excess of PFOs growth,
ex-Provida</t>
        </r>
      </text>
    </comment>
    <comment ref="R71" authorId="1">
      <text>
        <r>
          <rPr>
            <b/>
            <sz val="8"/>
            <color indexed="81"/>
            <rFont val="Tahoma"/>
            <family val="2"/>
          </rPr>
          <t>dianaz:</t>
        </r>
        <r>
          <rPr>
            <sz val="8"/>
            <color indexed="81"/>
            <rFont val="Tahoma"/>
            <family val="2"/>
          </rPr>
          <t xml:space="preserve">
Inv Day (12/12/2013): op.earnings $190-210mn, and growing ~10% per year</t>
        </r>
      </text>
    </comment>
    <comment ref="S71" authorId="1">
      <text>
        <r>
          <rPr>
            <b/>
            <sz val="8"/>
            <color indexed="81"/>
            <rFont val="Tahoma"/>
            <family val="2"/>
          </rPr>
          <t>dianaz:</t>
        </r>
        <r>
          <rPr>
            <sz val="8"/>
            <color indexed="81"/>
            <rFont val="Tahoma"/>
            <family val="2"/>
          </rPr>
          <t xml:space="preserve">
Inv Day (12/12/2013): op.earnings $190-210mn, and growing ~10% per year</t>
        </r>
      </text>
    </comment>
    <comment ref="T71" authorId="1">
      <text>
        <r>
          <rPr>
            <b/>
            <sz val="8"/>
            <color indexed="81"/>
            <rFont val="Tahoma"/>
            <family val="2"/>
          </rPr>
          <t>dianaz:</t>
        </r>
        <r>
          <rPr>
            <sz val="8"/>
            <color indexed="81"/>
            <rFont val="Tahoma"/>
            <family val="2"/>
          </rPr>
          <t xml:space="preserve">
Inv Day (12/12/2013): op.earnings $190-210mn, and growing ~10% per year</t>
        </r>
      </text>
    </comment>
    <comment ref="R85" authorId="1">
      <text>
        <r>
          <rPr>
            <b/>
            <sz val="8"/>
            <color indexed="81"/>
            <rFont val="Tahoma"/>
            <family val="2"/>
          </rPr>
          <t>dianaz:</t>
        </r>
        <r>
          <rPr>
            <sz val="8"/>
            <color indexed="81"/>
            <rFont val="Tahoma"/>
            <family val="2"/>
          </rPr>
          <t xml:space="preserve">
Inv Day (12/12/2013): MSD moving to mid-teens</t>
        </r>
      </text>
    </comment>
    <comment ref="S85" authorId="1">
      <text>
        <r>
          <rPr>
            <b/>
            <sz val="8"/>
            <color indexed="81"/>
            <rFont val="Tahoma"/>
            <family val="2"/>
          </rPr>
          <t>dianaz:</t>
        </r>
        <r>
          <rPr>
            <sz val="8"/>
            <color indexed="81"/>
            <rFont val="Tahoma"/>
            <family val="2"/>
          </rPr>
          <t xml:space="preserve">
Inv Day (12/12/2013): MSD moving to mid-teens</t>
        </r>
      </text>
    </comment>
    <comment ref="T85" authorId="1">
      <text>
        <r>
          <rPr>
            <b/>
            <sz val="8"/>
            <color indexed="81"/>
            <rFont val="Tahoma"/>
            <family val="2"/>
          </rPr>
          <t>dianaz:</t>
        </r>
        <r>
          <rPr>
            <sz val="8"/>
            <color indexed="81"/>
            <rFont val="Tahoma"/>
            <family val="2"/>
          </rPr>
          <t xml:space="preserve">
Inv Day (12/12/2013):  DD in sales, PFOs and Operating earnings over time </t>
        </r>
      </text>
    </comment>
    <comment ref="R87" authorId="1">
      <text>
        <r>
          <rPr>
            <b/>
            <sz val="8"/>
            <color indexed="81"/>
            <rFont val="Tahoma"/>
            <family val="2"/>
          </rPr>
          <t>dianaz:</t>
        </r>
        <r>
          <rPr>
            <sz val="8"/>
            <color indexed="81"/>
            <rFont val="Tahoma"/>
            <family val="2"/>
          </rPr>
          <t xml:space="preserve">
Inv Day (12/12/2013):  mid-teens</t>
        </r>
      </text>
    </comment>
    <comment ref="S87" authorId="1">
      <text>
        <r>
          <rPr>
            <b/>
            <sz val="8"/>
            <color indexed="81"/>
            <rFont val="Tahoma"/>
            <family val="2"/>
          </rPr>
          <t>dianaz:</t>
        </r>
        <r>
          <rPr>
            <sz val="8"/>
            <color indexed="81"/>
            <rFont val="Tahoma"/>
            <family val="2"/>
          </rPr>
          <t xml:space="preserve">
Inv Day (12/12/2013):  mid-teens</t>
        </r>
      </text>
    </comment>
    <comment ref="T87" authorId="1">
      <text>
        <r>
          <rPr>
            <b/>
            <sz val="8"/>
            <color indexed="81"/>
            <rFont val="Tahoma"/>
            <family val="2"/>
          </rPr>
          <t>dianaz:</t>
        </r>
        <r>
          <rPr>
            <sz val="8"/>
            <color indexed="81"/>
            <rFont val="Tahoma"/>
            <family val="2"/>
          </rPr>
          <t xml:space="preserve">
Inv Day (12/12/2013):  DD in sales, PFOs and Operating earnings over time </t>
        </r>
      </text>
    </comment>
    <comment ref="R88" authorId="1">
      <text>
        <r>
          <rPr>
            <b/>
            <sz val="8"/>
            <color indexed="81"/>
            <rFont val="Tahoma"/>
            <family val="2"/>
          </rPr>
          <t>dianaz:</t>
        </r>
        <r>
          <rPr>
            <sz val="8"/>
            <color indexed="81"/>
            <rFont val="Tahoma"/>
            <family val="2"/>
          </rPr>
          <t xml:space="preserve">
Inv Day (12/12/2013):  15-20%</t>
        </r>
      </text>
    </comment>
    <comment ref="S88" authorId="1">
      <text>
        <r>
          <rPr>
            <b/>
            <sz val="8"/>
            <color indexed="81"/>
            <rFont val="Tahoma"/>
            <family val="2"/>
          </rPr>
          <t>dianaz:</t>
        </r>
        <r>
          <rPr>
            <sz val="8"/>
            <color indexed="81"/>
            <rFont val="Tahoma"/>
            <family val="2"/>
          </rPr>
          <t xml:space="preserve">
Inv Day (12/12/2013):  15-20%</t>
        </r>
      </text>
    </comment>
    <comment ref="T88" authorId="1">
      <text>
        <r>
          <rPr>
            <b/>
            <sz val="8"/>
            <color indexed="81"/>
            <rFont val="Tahoma"/>
            <family val="2"/>
          </rPr>
          <t>dianaz:</t>
        </r>
        <r>
          <rPr>
            <sz val="8"/>
            <color indexed="81"/>
            <rFont val="Tahoma"/>
            <family val="2"/>
          </rPr>
          <t xml:space="preserve">
Inv Day (12/12/2013):  DD in sales, PFOs and Operating earnings over time </t>
        </r>
      </text>
    </comment>
    <comment ref="T90" authorId="1">
      <text>
        <r>
          <rPr>
            <b/>
            <sz val="8"/>
            <color indexed="81"/>
            <rFont val="Tahoma"/>
            <family val="2"/>
          </rPr>
          <t>dianaz:</t>
        </r>
        <r>
          <rPr>
            <sz val="8"/>
            <color indexed="81"/>
            <rFont val="Tahoma"/>
            <family val="2"/>
          </rPr>
          <t xml:space="preserve">
Inv Day (12/12/2013):  2-4%</t>
        </r>
      </text>
    </comment>
    <comment ref="T91" authorId="1">
      <text>
        <r>
          <rPr>
            <b/>
            <sz val="8"/>
            <color indexed="81"/>
            <rFont val="Tahoma"/>
            <family val="2"/>
          </rPr>
          <t>dianaz:</t>
        </r>
        <r>
          <rPr>
            <sz val="8"/>
            <color indexed="81"/>
            <rFont val="Tahoma"/>
            <family val="2"/>
          </rPr>
          <t xml:space="preserve">
Inv Day (12/12/2013):  4-6%</t>
        </r>
      </text>
    </comment>
    <comment ref="T93" authorId="1">
      <text>
        <r>
          <rPr>
            <b/>
            <sz val="8"/>
            <color indexed="81"/>
            <rFont val="Tahoma"/>
            <family val="2"/>
          </rPr>
          <t>dianaz:</t>
        </r>
        <r>
          <rPr>
            <sz val="8"/>
            <color indexed="81"/>
            <rFont val="Tahoma"/>
            <family val="2"/>
          </rPr>
          <t xml:space="preserve">
Inv Day (12/12/2013):  7-9%</t>
        </r>
      </text>
    </comment>
    <comment ref="T94" authorId="1">
      <text>
        <r>
          <rPr>
            <b/>
            <sz val="8"/>
            <color indexed="81"/>
            <rFont val="Tahoma"/>
            <family val="2"/>
          </rPr>
          <t>dianaz:</t>
        </r>
        <r>
          <rPr>
            <sz val="8"/>
            <color indexed="81"/>
            <rFont val="Tahoma"/>
            <family val="2"/>
          </rPr>
          <t xml:space="preserve">
Inv Day (12/12/2013):  12-15%</t>
        </r>
      </text>
    </comment>
    <comment ref="B98" authorId="1">
      <text>
        <r>
          <rPr>
            <b/>
            <sz val="8"/>
            <color indexed="81"/>
            <rFont val="Tahoma"/>
            <family val="2"/>
          </rPr>
          <t>dianaz:</t>
        </r>
        <r>
          <rPr>
            <sz val="8"/>
            <color indexed="81"/>
            <rFont val="Tahoma"/>
            <family val="2"/>
          </rPr>
          <t xml:space="preserve">
Represents total revenue 
</t>
        </r>
      </text>
    </comment>
    <comment ref="T99" authorId="1">
      <text>
        <r>
          <rPr>
            <b/>
            <sz val="8"/>
            <color indexed="81"/>
            <rFont val="Tahoma"/>
            <family val="2"/>
          </rPr>
          <t>dianaz:</t>
        </r>
        <r>
          <rPr>
            <sz val="8"/>
            <color indexed="81"/>
            <rFont val="Tahoma"/>
            <family val="2"/>
          </rPr>
          <t xml:space="preserve">
Inv Day (12/12/2013): ~3%</t>
        </r>
      </text>
    </comment>
    <comment ref="B100" authorId="1">
      <text>
        <r>
          <rPr>
            <b/>
            <sz val="8"/>
            <color indexed="81"/>
            <rFont val="Tahoma"/>
            <family val="2"/>
          </rPr>
          <t>dianaz:</t>
        </r>
        <r>
          <rPr>
            <sz val="8"/>
            <color indexed="81"/>
            <rFont val="Tahoma"/>
            <family val="2"/>
          </rPr>
          <t xml:space="preserve">
AT Op. Earnings </t>
        </r>
      </text>
    </comment>
    <comment ref="T101" authorId="1">
      <text>
        <r>
          <rPr>
            <b/>
            <sz val="8"/>
            <color indexed="81"/>
            <rFont val="Tahoma"/>
            <family val="2"/>
          </rPr>
          <t>dianaz:</t>
        </r>
        <r>
          <rPr>
            <sz val="8"/>
            <color indexed="81"/>
            <rFont val="Tahoma"/>
            <family val="2"/>
          </rPr>
          <t xml:space="preserve">
Inv Day (12/12/2013): ~3%</t>
        </r>
      </text>
    </comment>
    <comment ref="X101" authorId="6">
      <text>
        <r>
          <rPr>
            <b/>
            <sz val="9"/>
            <color indexed="81"/>
            <rFont val="Tahoma"/>
            <family val="2"/>
          </rPr>
          <t>Huang, Bob (Research):</t>
        </r>
        <r>
          <rPr>
            <sz val="9"/>
            <color indexed="81"/>
            <rFont val="Tahoma"/>
            <family val="2"/>
          </rPr>
          <t xml:space="preserve">
Outlook call: Op Earnings decline 10% in 2018 and 5% thereafter</t>
        </r>
      </text>
    </comment>
    <comment ref="B114" authorId="1">
      <text>
        <r>
          <rPr>
            <b/>
            <sz val="8"/>
            <color indexed="81"/>
            <rFont val="Tahoma"/>
            <family val="2"/>
          </rPr>
          <t>dianaz:</t>
        </r>
        <r>
          <rPr>
            <sz val="8"/>
            <color indexed="81"/>
            <rFont val="Tahoma"/>
            <family val="2"/>
          </rPr>
          <t xml:space="preserve">
Represents total revenue 
</t>
        </r>
      </text>
    </comment>
    <comment ref="T115" authorId="1">
      <text>
        <r>
          <rPr>
            <b/>
            <sz val="8"/>
            <color indexed="81"/>
            <rFont val="Tahoma"/>
            <family val="2"/>
          </rPr>
          <t>dianaz:</t>
        </r>
        <r>
          <rPr>
            <sz val="8"/>
            <color indexed="81"/>
            <rFont val="Tahoma"/>
            <family val="2"/>
          </rPr>
          <t xml:space="preserve">
Inv Day (12/12/2013): ~3%, depending on market environment</t>
        </r>
      </text>
    </comment>
    <comment ref="B116" authorId="1">
      <text>
        <r>
          <rPr>
            <b/>
            <sz val="8"/>
            <color indexed="81"/>
            <rFont val="Tahoma"/>
            <family val="2"/>
          </rPr>
          <t>dianaz:</t>
        </r>
        <r>
          <rPr>
            <sz val="8"/>
            <color indexed="81"/>
            <rFont val="Tahoma"/>
            <family val="2"/>
          </rPr>
          <t xml:space="preserve">
AT Op. Earnings </t>
        </r>
      </text>
    </comment>
    <comment ref="T117" authorId="1">
      <text>
        <r>
          <rPr>
            <b/>
            <sz val="8"/>
            <color indexed="81"/>
            <rFont val="Tahoma"/>
            <family val="2"/>
          </rPr>
          <t>dianaz:</t>
        </r>
        <r>
          <rPr>
            <sz val="8"/>
            <color indexed="81"/>
            <rFont val="Tahoma"/>
            <family val="2"/>
          </rPr>
          <t xml:space="preserve">
Inv Day (12/12/2013): ~3%, depending on market environment</t>
        </r>
      </text>
    </comment>
    <comment ref="R118" authorId="1">
      <text>
        <r>
          <rPr>
            <b/>
            <sz val="8"/>
            <color indexed="81"/>
            <rFont val="Tahoma"/>
            <family val="2"/>
          </rPr>
          <t>dianaz:</t>
        </r>
        <r>
          <rPr>
            <sz val="8"/>
            <color indexed="81"/>
            <rFont val="Tahoma"/>
            <family val="2"/>
          </rPr>
          <t xml:space="preserve">
Inv Day (12/12/2013): decrese of 6-8% in 2014, then modest growth of 3-5%, expect shift from variable to fixed and index-linked annuities</t>
        </r>
      </text>
    </comment>
    <comment ref="S118" authorId="1">
      <text>
        <r>
          <rPr>
            <b/>
            <sz val="8"/>
            <color indexed="81"/>
            <rFont val="Tahoma"/>
            <family val="2"/>
          </rPr>
          <t>dianaz:</t>
        </r>
        <r>
          <rPr>
            <sz val="8"/>
            <color indexed="81"/>
            <rFont val="Tahoma"/>
            <family val="2"/>
          </rPr>
          <t xml:space="preserve">
Inv Day (12/12/2013): decrese of 6-8% in 2014, then modest growth of 3-5%, expect shift from variable to fixed and index-linked annuities</t>
        </r>
      </text>
    </comment>
    <comment ref="R119" authorId="1">
      <text>
        <r>
          <rPr>
            <b/>
            <sz val="8"/>
            <color indexed="81"/>
            <rFont val="Tahoma"/>
            <family val="2"/>
          </rPr>
          <t>dianaz:</t>
        </r>
        <r>
          <rPr>
            <sz val="8"/>
            <color indexed="81"/>
            <rFont val="Tahoma"/>
            <family val="2"/>
          </rPr>
          <t xml:space="preserve">
Inv Day (12/12/2013): Relatively flat through 2015, then growth</t>
        </r>
      </text>
    </comment>
    <comment ref="S119" authorId="1">
      <text>
        <r>
          <rPr>
            <b/>
            <sz val="8"/>
            <color indexed="81"/>
            <rFont val="Tahoma"/>
            <family val="2"/>
          </rPr>
          <t>dianaz:</t>
        </r>
        <r>
          <rPr>
            <sz val="8"/>
            <color indexed="81"/>
            <rFont val="Tahoma"/>
            <family val="2"/>
          </rPr>
          <t xml:space="preserve">
Inv Day (12/12/2013): Relatively flat through 2015, then growth</t>
        </r>
      </text>
    </comment>
    <comment ref="T119" authorId="1">
      <text>
        <r>
          <rPr>
            <b/>
            <sz val="8"/>
            <color indexed="81"/>
            <rFont val="Tahoma"/>
            <family val="2"/>
          </rPr>
          <t>dianaz:</t>
        </r>
        <r>
          <rPr>
            <sz val="8"/>
            <color indexed="81"/>
            <rFont val="Tahoma"/>
            <family val="2"/>
          </rPr>
          <t xml:space="preserve">
Inv Day (12/12/2013): Relatively flat through 2015, then growth</t>
        </r>
      </text>
    </comment>
    <comment ref="B120" authorId="2">
      <text>
        <r>
          <rPr>
            <b/>
            <sz val="8"/>
            <color indexed="81"/>
            <rFont val="Tahoma"/>
            <family val="2"/>
          </rPr>
          <t>Laura Sanchez:</t>
        </r>
        <r>
          <rPr>
            <sz val="8"/>
            <color indexed="81"/>
            <rFont val="Tahoma"/>
            <family val="2"/>
          </rPr>
          <t xml:space="preserve">
adjustnewdivisions tab</t>
        </r>
      </text>
    </comment>
    <comment ref="C120" authorId="2">
      <text>
        <r>
          <rPr>
            <b/>
            <sz val="8"/>
            <color indexed="81"/>
            <rFont val="Tahoma"/>
            <family val="2"/>
          </rPr>
          <t>Laura Sanchez:</t>
        </r>
        <r>
          <rPr>
            <sz val="8"/>
            <color indexed="81"/>
            <rFont val="Tahoma"/>
            <family val="2"/>
          </rPr>
          <t xml:space="preserve">
adjustnewdivisions tab</t>
        </r>
      </text>
    </comment>
    <comment ref="E120" authorId="2">
      <text>
        <r>
          <rPr>
            <b/>
            <sz val="8"/>
            <color indexed="81"/>
            <rFont val="Tahoma"/>
            <family val="2"/>
          </rPr>
          <t>Laura Sanchez:</t>
        </r>
        <r>
          <rPr>
            <sz val="8"/>
            <color indexed="81"/>
            <rFont val="Tahoma"/>
            <family val="2"/>
          </rPr>
          <t xml:space="preserve">
adjustnewdivisions tab</t>
        </r>
      </text>
    </comment>
    <comment ref="R120" authorId="1">
      <text>
        <r>
          <rPr>
            <b/>
            <sz val="8"/>
            <color indexed="81"/>
            <rFont val="Tahoma"/>
            <family val="2"/>
          </rPr>
          <t>dianaz:</t>
        </r>
        <r>
          <rPr>
            <sz val="8"/>
            <color indexed="81"/>
            <rFont val="Tahoma"/>
            <family val="2"/>
          </rPr>
          <t xml:space="preserve">
Inv Day (12/12/2013): expect $200-300mn in 2014 and higher in 2015-2016</t>
        </r>
      </text>
    </comment>
    <comment ref="S120" authorId="1">
      <text>
        <r>
          <rPr>
            <b/>
            <sz val="8"/>
            <color indexed="81"/>
            <rFont val="Tahoma"/>
            <family val="2"/>
          </rPr>
          <t>dianaz:</t>
        </r>
        <r>
          <rPr>
            <sz val="8"/>
            <color indexed="81"/>
            <rFont val="Tahoma"/>
            <family val="2"/>
          </rPr>
          <t xml:space="preserve">
Inv Day (12/12/2013): expect $200-300mn in 2014 and higher in 2015-2016</t>
        </r>
      </text>
    </comment>
    <comment ref="I122" authorId="3">
      <text>
        <r>
          <rPr>
            <b/>
            <sz val="9"/>
            <color indexed="81"/>
            <rFont val="Tahoma"/>
            <family val="2"/>
          </rPr>
          <t>Rojas, Isabel (Research):</t>
        </r>
        <r>
          <rPr>
            <sz val="9"/>
            <color indexed="81"/>
            <rFont val="Tahoma"/>
            <family val="2"/>
          </rPr>
          <t xml:space="preserve">
3Q14 call: $(175)-(225)</t>
        </r>
      </text>
    </comment>
    <comment ref="R122" authorId="1">
      <text>
        <r>
          <rPr>
            <b/>
            <sz val="8"/>
            <color indexed="81"/>
            <rFont val="Tahoma"/>
            <family val="2"/>
          </rPr>
          <t>dianaz:</t>
        </r>
        <r>
          <rPr>
            <sz val="8"/>
            <color indexed="81"/>
            <rFont val="Tahoma"/>
            <family val="2"/>
          </rPr>
          <t xml:space="preserve">
3Q14 call: unchanged
Inv Day (12/12/2013):  loss range $550-750, including initiatives of $160-200mn </t>
        </r>
      </text>
    </comment>
    <comment ref="V122" authorId="4">
      <text>
        <r>
          <rPr>
            <b/>
            <sz val="9"/>
            <color indexed="81"/>
            <rFont val="Tahoma"/>
            <family val="2"/>
          </rPr>
          <t>Gupta, Tanmay (Research):</t>
        </r>
        <r>
          <rPr>
            <sz val="9"/>
            <color indexed="81"/>
            <rFont val="Tahoma"/>
            <family val="2"/>
          </rPr>
          <t xml:space="preserve">
excluding expense initiative costs</t>
        </r>
      </text>
    </comment>
    <comment ref="W122" authorId="4">
      <text>
        <r>
          <rPr>
            <b/>
            <sz val="9"/>
            <color indexed="81"/>
            <rFont val="Tahoma"/>
            <family val="2"/>
          </rPr>
          <t>Gupta, Tanmay (Research):</t>
        </r>
        <r>
          <rPr>
            <sz val="9"/>
            <color indexed="81"/>
            <rFont val="Tahoma"/>
            <family val="2"/>
          </rPr>
          <t xml:space="preserve">
excluding expense initiative costs</t>
        </r>
      </text>
    </comment>
    <comment ref="X126" authorId="7">
      <text>
        <r>
          <rPr>
            <b/>
            <sz val="9"/>
            <color indexed="81"/>
            <rFont val="Tahoma"/>
            <family val="2"/>
          </rPr>
          <t>Zheng, Chaodan (Research):</t>
        </r>
        <r>
          <rPr>
            <sz val="9"/>
            <color indexed="81"/>
            <rFont val="Tahoma"/>
            <family val="2"/>
          </rPr>
          <t xml:space="preserve">
2Q16 earnings: $200 million overhead cost from separation
</t>
        </r>
      </text>
    </comment>
    <comment ref="Y132" authorId="3">
      <text>
        <r>
          <rPr>
            <b/>
            <sz val="9"/>
            <color indexed="81"/>
            <rFont val="Tahoma"/>
            <family val="2"/>
          </rPr>
          <t>Rojas, Isabel (Research):</t>
        </r>
        <r>
          <rPr>
            <sz val="9"/>
            <color indexed="81"/>
            <rFont val="Tahoma"/>
            <family val="2"/>
          </rPr>
          <t xml:space="preserve">
2015 outlook: Overall mid-single digit operating earnings growth over long term</t>
        </r>
      </text>
    </comment>
    <comment ref="R133" authorId="1">
      <text>
        <r>
          <rPr>
            <b/>
            <sz val="8"/>
            <color indexed="81"/>
            <rFont val="Tahoma"/>
            <family val="2"/>
          </rPr>
          <t>dianaz:</t>
        </r>
        <r>
          <rPr>
            <sz val="8"/>
            <color indexed="81"/>
            <rFont val="Tahoma"/>
            <family val="2"/>
          </rPr>
          <t xml:space="preserve">
Inv Day (12/12/2013):  ~30%</t>
        </r>
      </text>
    </comment>
    <comment ref="S133" authorId="1">
      <text>
        <r>
          <rPr>
            <b/>
            <sz val="8"/>
            <color indexed="81"/>
            <rFont val="Tahoma"/>
            <family val="2"/>
          </rPr>
          <t>dianaz:</t>
        </r>
        <r>
          <rPr>
            <sz val="8"/>
            <color indexed="81"/>
            <rFont val="Tahoma"/>
            <family val="2"/>
          </rPr>
          <t xml:space="preserve">
Inv Day (12/12/2013):  45-55%</t>
        </r>
      </text>
    </comment>
    <comment ref="R134" authorId="2">
      <text>
        <r>
          <rPr>
            <b/>
            <sz val="8"/>
            <color indexed="81"/>
            <rFont val="Tahoma"/>
            <family val="2"/>
          </rPr>
          <t>Laura Sanchez:</t>
        </r>
        <r>
          <rPr>
            <sz val="8"/>
            <color indexed="81"/>
            <rFont val="Tahoma"/>
            <family val="2"/>
          </rPr>
          <t xml:space="preserve">
3Q14 call: modest increase
Inv Day (12/12/2013):  $770-800 in 2014 vs. 560-590mn in 2013</t>
        </r>
      </text>
    </comment>
    <comment ref="S134" authorId="1">
      <text>
        <r>
          <rPr>
            <b/>
            <sz val="8"/>
            <color indexed="81"/>
            <rFont val="Tahoma"/>
            <family val="2"/>
          </rPr>
          <t>dianaz:</t>
        </r>
        <r>
          <rPr>
            <sz val="8"/>
            <color indexed="81"/>
            <rFont val="Tahoma"/>
            <family val="2"/>
          </rPr>
          <t xml:space="preserve">
2015 outlook: unchanged
Inv Day (12/12/2013): on cash basis of $1bn in 2015</t>
        </r>
      </text>
    </comment>
    <comment ref="V134" authorId="3">
      <text>
        <r>
          <rPr>
            <b/>
            <sz val="9"/>
            <color indexed="81"/>
            <rFont val="Tahoma"/>
            <family val="2"/>
          </rPr>
          <t>Rojas, Isabel (Research):</t>
        </r>
        <r>
          <rPr>
            <sz val="9"/>
            <color indexed="81"/>
            <rFont val="Tahoma"/>
            <family val="2"/>
          </rPr>
          <t xml:space="preserve">
2015 outlook: $1bn gross saves target in 2015</t>
        </r>
      </text>
    </comment>
    <comment ref="X134" authorId="7">
      <text>
        <r>
          <rPr>
            <b/>
            <sz val="9"/>
            <color indexed="81"/>
            <rFont val="Tahoma"/>
            <family val="2"/>
          </rPr>
          <t>Zheng, Chaodan (Research):</t>
        </r>
        <r>
          <rPr>
            <sz val="9"/>
            <color indexed="81"/>
            <rFont val="Tahoma"/>
            <family val="2"/>
          </rPr>
          <t xml:space="preserve">
2Q16 earnings call: 
targeting $1 billion PT run rate expense savings by YE 2019 as a result of separation….this amount is well in excess of ~$200 mn of stranded overhead resulting from planned separation</t>
        </r>
      </text>
    </comment>
    <comment ref="R135" authorId="1">
      <text>
        <r>
          <rPr>
            <b/>
            <sz val="8"/>
            <color indexed="81"/>
            <rFont val="Tahoma"/>
            <family val="2"/>
          </rPr>
          <t>dianaz:</t>
        </r>
        <r>
          <rPr>
            <sz val="8"/>
            <color indexed="81"/>
            <rFont val="Tahoma"/>
            <family val="2"/>
          </rPr>
          <t xml:space="preserve">
Inv Day (12/12/2013):  27.5% in 2014</t>
        </r>
      </text>
    </comment>
    <comment ref="R136" authorId="3">
      <text>
        <r>
          <rPr>
            <b/>
            <sz val="9"/>
            <color indexed="81"/>
            <rFont val="Tahoma"/>
            <family val="2"/>
          </rPr>
          <t>Rojas, Isabel (Research):</t>
        </r>
        <r>
          <rPr>
            <sz val="9"/>
            <color indexed="81"/>
            <rFont val="Tahoma"/>
            <family val="2"/>
          </rPr>
          <t xml:space="preserve">
3Q14: above 400%</t>
        </r>
      </text>
    </comment>
    <comment ref="R137" authorId="3">
      <text>
        <r>
          <rPr>
            <b/>
            <sz val="9"/>
            <color indexed="81"/>
            <rFont val="Tahoma"/>
            <family val="2"/>
          </rPr>
          <t>Rojas, Isabel (Research):</t>
        </r>
        <r>
          <rPr>
            <sz val="9"/>
            <color indexed="81"/>
            <rFont val="Tahoma"/>
            <family val="2"/>
          </rPr>
          <t xml:space="preserve">
2015 outlook: estimated $6 billion of cash and liquid assets at holding companies at year-end 2014</t>
        </r>
      </text>
    </comment>
    <comment ref="V137" authorId="7">
      <text>
        <r>
          <rPr>
            <b/>
            <sz val="9"/>
            <color indexed="81"/>
            <rFont val="Tahoma"/>
            <family val="2"/>
          </rPr>
          <t>Zheng, Chaodan (Research):</t>
        </r>
        <r>
          <rPr>
            <sz val="9"/>
            <color indexed="81"/>
            <rFont val="Tahoma"/>
            <family val="2"/>
          </rPr>
          <t xml:space="preserve">
2Q16: cash and liquid assets of the holding companies were approximately $4.9 billion at June 39, which is down from $5.3 billion at March 31. This amount reflects a senior debt repayment upon maturity of $1.25 billion as well as regular cash flows including subsidiary dividends</t>
        </r>
      </text>
    </comment>
    <comment ref="Y138" authorId="7">
      <text>
        <r>
          <rPr>
            <b/>
            <sz val="9"/>
            <color indexed="81"/>
            <rFont val="Tahoma"/>
            <family val="2"/>
          </rPr>
          <t>Zheng, Chaodan (Research):</t>
        </r>
        <r>
          <rPr>
            <sz val="9"/>
            <color indexed="81"/>
            <rFont val="Tahoma"/>
            <family val="2"/>
          </rPr>
          <t xml:space="preserve">
2Q16: 4.25% in 2027</t>
        </r>
      </text>
    </comment>
    <comment ref="V141" authorId="4">
      <text>
        <r>
          <rPr>
            <b/>
            <sz val="9"/>
            <color indexed="81"/>
            <rFont val="Tahoma"/>
            <family val="2"/>
          </rPr>
          <t>Gupta, Tanmay (Research):</t>
        </r>
        <r>
          <rPr>
            <sz val="9"/>
            <color indexed="81"/>
            <rFont val="Tahoma"/>
            <family val="2"/>
          </rPr>
          <t xml:space="preserve">
previously: $1.3-$1.7bn</t>
        </r>
      </text>
    </comment>
    <comment ref="X141" authorId="7">
      <text>
        <r>
          <rPr>
            <b/>
            <sz val="9"/>
            <color indexed="81"/>
            <rFont val="Tahoma"/>
            <family val="2"/>
          </rPr>
          <t>Zheng, Chaodan (Research):</t>
        </r>
        <r>
          <rPr>
            <sz val="9"/>
            <color indexed="81"/>
            <rFont val="Tahoma"/>
            <family val="2"/>
          </rPr>
          <t xml:space="preserve">
4Q15 guid: $1.3 - $1.7 bn</t>
        </r>
      </text>
    </comment>
  </commentList>
</comments>
</file>

<file path=xl/comments3.xml><?xml version="1.0" encoding="utf-8"?>
<comments xmlns="http://schemas.openxmlformats.org/spreadsheetml/2006/main">
  <authors>
    <author>haybuse</author>
  </authors>
  <commentList>
    <comment ref="A1" authorId="0">
      <text>
        <r>
          <rPr>
            <b/>
            <sz val="8"/>
            <color indexed="81"/>
            <rFont val="Tahoma"/>
            <family val="2"/>
          </rPr>
          <t>卟䙄_x0001_＀＀贊伍&amp;䕍幔彐剐䍉彅噁⡇㤰㌯⼰〲ㄱ〬⼶〳㈯㄰⤱_x0018_＀＀_x0018_＀＀_x0008_＀＀_x0001_＀＀_x0001_＀＀医볨ꋆ䁁</t>
        </r>
      </text>
    </comment>
    <comment ref="B1" authorId="0">
      <text>
        <r>
          <rPr>
            <b/>
            <sz val="8"/>
            <color indexed="81"/>
            <rFont val="Tahoma"/>
            <family val="2"/>
          </rPr>
          <t>46</t>
        </r>
      </text>
    </comment>
  </commentList>
</comments>
</file>

<file path=xl/sharedStrings.xml><?xml version="1.0" encoding="utf-8"?>
<sst xmlns="http://schemas.openxmlformats.org/spreadsheetml/2006/main" count="2303" uniqueCount="1198">
  <si>
    <t>Total</t>
  </si>
  <si>
    <t>Shares Repurchased</t>
  </si>
  <si>
    <t xml:space="preserve">1Q09 </t>
  </si>
  <si>
    <t xml:space="preserve">2Q09 </t>
  </si>
  <si>
    <t xml:space="preserve">3Q09 </t>
  </si>
  <si>
    <t xml:space="preserve">4Q09 </t>
  </si>
  <si>
    <t>Benefits/Premiums (%)</t>
  </si>
  <si>
    <t>Company Reported Surrender Rates</t>
  </si>
  <si>
    <t>RealGainLoss</t>
  </si>
  <si>
    <t>3Q01</t>
  </si>
  <si>
    <t>4Q01</t>
  </si>
  <si>
    <t>4Q07</t>
  </si>
  <si>
    <t>Separate Account Assets (EOP)</t>
  </si>
  <si>
    <t>Investment Performance</t>
  </si>
  <si>
    <t>TotalNonOpItems</t>
  </si>
  <si>
    <t>Sales_UL</t>
  </si>
  <si>
    <t>Total Fixed Life Sales</t>
  </si>
  <si>
    <t>Check</t>
  </si>
  <si>
    <t>Op. After-tax Income</t>
  </si>
  <si>
    <t>Core EPS</t>
  </si>
  <si>
    <t>Provida</t>
  </si>
  <si>
    <t xml:space="preserve">Quarterly income statement ratios are annualized where appropriate      E = Morgan Stanley Research Estimates     NM = Not Meaningful      NA = Not Applicable       CAGR = Cumulative Average Growth Rate       </t>
  </si>
  <si>
    <t>Net DPAC</t>
  </si>
  <si>
    <t>Unrecorded Goodwill from Pooling and Amortized or Written Off Goodwill</t>
  </si>
  <si>
    <t>General Account Assets (EOP)</t>
  </si>
  <si>
    <t>Average General Account Assets</t>
  </si>
  <si>
    <t>Rev_Intl</t>
  </si>
  <si>
    <t>Surrenders/BOP Reserves  (%)</t>
  </si>
  <si>
    <t>After-tax Earnings</t>
  </si>
  <si>
    <t>F2011</t>
  </si>
  <si>
    <t>Tax Adjustment</t>
  </si>
  <si>
    <t>FA_Spread_Reported</t>
  </si>
  <si>
    <t>FA_Withdrawal</t>
  </si>
  <si>
    <t>EOPShrsOut</t>
  </si>
  <si>
    <t>AvgShrsOut</t>
  </si>
  <si>
    <t>Op_EPS</t>
  </si>
  <si>
    <t>Net_EPS</t>
  </si>
  <si>
    <t>Investments</t>
  </si>
  <si>
    <t>Retained Earnings</t>
  </si>
  <si>
    <t>DAC</t>
  </si>
  <si>
    <t>Reserve for Unearned Premium</t>
  </si>
  <si>
    <t>Below Investment Grade ($)</t>
  </si>
  <si>
    <t>Core ROE (Excl FAS 115)(%)</t>
  </si>
  <si>
    <t>Amount Repurchased - Scenario Analysis</t>
  </si>
  <si>
    <t>Deferred Acquisition Costs</t>
  </si>
  <si>
    <t>| &gt;&gt; The reporting structure changed (see 10/24/12 8K)</t>
  </si>
  <si>
    <t>Op Earnings Contribution by Segment (%)</t>
  </si>
  <si>
    <t>LINKS TO THIS SAME TAB</t>
  </si>
  <si>
    <t>Core Earnings Contribution by Segment (%)</t>
  </si>
  <si>
    <t>After-tax Op Earnings By Segment</t>
  </si>
  <si>
    <t>Realized Gains / Operating Income (%)</t>
  </si>
  <si>
    <t>Average Common Equity Incl FAS 115</t>
  </si>
  <si>
    <t>Average Common Equity Excl FAS 115</t>
  </si>
  <si>
    <t>Perpetual Preferreds</t>
  </si>
  <si>
    <t>General Account Reserves (EOP)</t>
  </si>
  <si>
    <t>(Benefits+Int Cred)/Revenue (%)</t>
  </si>
  <si>
    <t>Debt Underlying Equity Units</t>
  </si>
  <si>
    <t>UL and Investment Charges</t>
  </si>
  <si>
    <t>Expenses</t>
  </si>
  <si>
    <t>Total Equity EOP Including FAS 115</t>
  </si>
  <si>
    <t>Other Abnormal Items</t>
  </si>
  <si>
    <t>Operating Exp/Net Rev (%)- Scenario Analysis</t>
  </si>
  <si>
    <t>Operating Exp/Net Revenue (%)- Scenario Analysis</t>
  </si>
  <si>
    <t>Benefits/Total Revenues (%)- Scenario Analysis</t>
  </si>
  <si>
    <t>VA_NetFlows</t>
  </si>
  <si>
    <t>VA_Bal_EOP</t>
  </si>
  <si>
    <t>FA_Bal_EOP</t>
  </si>
  <si>
    <t>Sales_GrossVA</t>
  </si>
  <si>
    <t>Sales_GrossFA</t>
  </si>
  <si>
    <t>PTEarns_Intl</t>
  </si>
  <si>
    <t>OpEarns_AT</t>
  </si>
  <si>
    <t>Core_Retirement_PTEarns</t>
  </si>
  <si>
    <t>Assets (Excl FAS 115)</t>
  </si>
  <si>
    <t>Total_Cap_incl115</t>
  </si>
  <si>
    <t xml:space="preserve">   Interest Credited to Policyholder Account Balances</t>
  </si>
  <si>
    <t>Average Diluted Shares Outstanding</t>
  </si>
  <si>
    <t>FD Adjustments</t>
  </si>
  <si>
    <t>Int Credit IS/Int Revenue (%)</t>
  </si>
  <si>
    <t>Group life</t>
  </si>
  <si>
    <t>Non-Medical</t>
  </si>
  <si>
    <t>Loss Ratios</t>
  </si>
  <si>
    <t>Benefit Expense</t>
  </si>
  <si>
    <t>Total Premiums &amp; Fees</t>
  </si>
  <si>
    <t>Total Benefit Expense</t>
  </si>
  <si>
    <t>ex-Provida</t>
  </si>
  <si>
    <t>EPS - For Consensus</t>
  </si>
  <si>
    <t>Modelware Adjustment</t>
  </si>
  <si>
    <t>Annuity sales</t>
  </si>
  <si>
    <t xml:space="preserve">   Policyholder Benefits and Dividends</t>
  </si>
  <si>
    <t xml:space="preserve">   Other Expenses</t>
  </si>
  <si>
    <t>FA_Bal_BOP</t>
  </si>
  <si>
    <t>1Q14</t>
  </si>
  <si>
    <t>2Q14</t>
  </si>
  <si>
    <t>3Q14</t>
  </si>
  <si>
    <t>4Q14</t>
  </si>
  <si>
    <t>F2018</t>
  </si>
  <si>
    <t>2018E</t>
  </si>
  <si>
    <t>Core AT US Business Earnings</t>
  </si>
  <si>
    <t>,mscalc:sedolCodeCalc</t>
  </si>
  <si>
    <t>,mscalc:closePriceCurrencyCalc</t>
  </si>
  <si>
    <t>,mscalc:targetPrice,,,,USD</t>
  </si>
  <si>
    <t>MET.N,mscalc:targetPrice</t>
  </si>
  <si>
    <t>$N$2</t>
  </si>
  <si>
    <t>2011</t>
  </si>
  <si>
    <t>45</t>
  </si>
  <si>
    <t>After-tax Margin (%)</t>
  </si>
  <si>
    <t>3Q02</t>
  </si>
  <si>
    <t>4Q02</t>
  </si>
  <si>
    <t>2Q12</t>
  </si>
  <si>
    <t>MetLife Inc.</t>
  </si>
  <si>
    <t>2Q07</t>
  </si>
  <si>
    <t>3Q07</t>
  </si>
  <si>
    <t>Paid in Capital</t>
  </si>
  <si>
    <t>CoreOpEarns_AT</t>
  </si>
  <si>
    <t>After-tax Core Earnings By Segment</t>
  </si>
  <si>
    <t>Fixed Annuities</t>
  </si>
  <si>
    <t>Retirement</t>
  </si>
  <si>
    <t>Corporate &amp; Other</t>
  </si>
  <si>
    <t>NetEarns</t>
  </si>
  <si>
    <t>Policy Chgs/BOP Reserves  (%)</t>
  </si>
  <si>
    <t>Net DAC Expense</t>
  </si>
  <si>
    <t>Core ROE</t>
  </si>
  <si>
    <t>Group Premium Fee Other</t>
  </si>
  <si>
    <t>Life Premium Fee Other</t>
  </si>
  <si>
    <t>Non-Med Health Premium Fee Other</t>
  </si>
  <si>
    <t>Corp Benefits</t>
  </si>
  <si>
    <t>P&amp;C</t>
  </si>
  <si>
    <t>F2012</t>
  </si>
  <si>
    <t>1Q11</t>
  </si>
  <si>
    <t>2Q11</t>
  </si>
  <si>
    <t>3Q11</t>
  </si>
  <si>
    <t>4Q11</t>
  </si>
  <si>
    <t>F2013</t>
  </si>
  <si>
    <t>F2014</t>
  </si>
  <si>
    <t>Fixed Annuities (%)</t>
  </si>
  <si>
    <t>4Q08</t>
  </si>
  <si>
    <t>Core Operating EPS</t>
  </si>
  <si>
    <t>Core_Life_PTEarns</t>
  </si>
  <si>
    <t>Core Pretax Earnings</t>
  </si>
  <si>
    <t>For SOI</t>
  </si>
  <si>
    <t>Core Pretax Life Insurance Earnings</t>
  </si>
  <si>
    <t>Core Pretax Annuities Earnings</t>
  </si>
  <si>
    <t>Core Pretax Group Earnings</t>
  </si>
  <si>
    <t>Core Pretax Retirement Earnings</t>
  </si>
  <si>
    <t>Core Pretax Non Medical Earnings</t>
  </si>
  <si>
    <t>Core Pretax PC Earnings</t>
  </si>
  <si>
    <t>Core Pretax International Earnings</t>
  </si>
  <si>
    <t>Separate Account Reserves</t>
  </si>
  <si>
    <t>3Q09</t>
  </si>
  <si>
    <t>Operating Exp/Total Revenue (%)</t>
  </si>
  <si>
    <t>Operating Exp/Net Rev (%)</t>
  </si>
  <si>
    <t>Assets (Ex-FAS115, Ex-SAA)</t>
  </si>
  <si>
    <t>Debt, Preferred Equity, and Liabilities</t>
  </si>
  <si>
    <t>MET.N</t>
  </si>
  <si>
    <t>Avg_Eq_ex115</t>
  </si>
  <si>
    <t>Op_ROE</t>
  </si>
  <si>
    <t>Total Reserves</t>
  </si>
  <si>
    <t>Investment Inc/Avg Gen Acct Res (%)</t>
  </si>
  <si>
    <t>Int Credited/Avg Gen Acct Res (%)</t>
  </si>
  <si>
    <t>Benefits</t>
  </si>
  <si>
    <t>Total Benefits and Expenses</t>
  </si>
  <si>
    <t>PREMIUMS AND PRODUCT CHARGES</t>
  </si>
  <si>
    <t>UL and Investment Product Chgs</t>
  </si>
  <si>
    <t>Fees/Avg Sep Acct Reserves  (%)</t>
  </si>
  <si>
    <t>3Q05</t>
  </si>
  <si>
    <t>MetLife</t>
  </si>
  <si>
    <t>* pension risk tranfer market to grow significantly</t>
  </si>
  <si>
    <t>2016e</t>
  </si>
  <si>
    <t>Benefits/Net Revenues (%)- Scenario Analysis</t>
  </si>
  <si>
    <t>Benefits/Premiums (%)- Scenario Analysis</t>
  </si>
  <si>
    <t>Tax Rate</t>
  </si>
  <si>
    <t xml:space="preserve">   Premiums</t>
  </si>
  <si>
    <t xml:space="preserve">   Universal Life and Investment-Type Product Policy Fees</t>
  </si>
  <si>
    <t xml:space="preserve">   Investment Income, net</t>
  </si>
  <si>
    <t xml:space="preserve">   Other Revenues</t>
  </si>
  <si>
    <t>Operating Expense Adjustment</t>
  </si>
  <si>
    <t>Period End Diluted Shares</t>
  </si>
  <si>
    <t>Below Investment Grade / Fixed Income (%)</t>
  </si>
  <si>
    <t>Abnormals - Per Share Impact</t>
  </si>
  <si>
    <t>Total Premiums</t>
  </si>
  <si>
    <t>1Q12</t>
  </si>
  <si>
    <t>Corporate &amp; Other (%)</t>
  </si>
  <si>
    <t>Core_Bank_PTEarns</t>
  </si>
  <si>
    <t>ATEarns_Indiv</t>
  </si>
  <si>
    <t>PTEarns_Life</t>
  </si>
  <si>
    <t>Bull Variance ($ mil)</t>
  </si>
  <si>
    <t>Bear Variance ($ mil)</t>
  </si>
  <si>
    <t>Bull Variance (%)</t>
  </si>
  <si>
    <t>Bear Variance (%)</t>
  </si>
  <si>
    <t>Reported Pretax Other Earnings</t>
  </si>
  <si>
    <t>Currency</t>
  </si>
  <si>
    <t>Statutory Tax Rate</t>
  </si>
  <si>
    <t>($Millions Except Per Share Data)</t>
  </si>
  <si>
    <t>5-Yr</t>
  </si>
  <si>
    <t>CAGR</t>
  </si>
  <si>
    <t>(%)</t>
  </si>
  <si>
    <t>Nonoperating Items</t>
  </si>
  <si>
    <t>Shares Outstanding</t>
  </si>
  <si>
    <t>Revenues</t>
  </si>
  <si>
    <t>Goodwill</t>
  </si>
  <si>
    <t>Avg Separate Account Reserves</t>
  </si>
  <si>
    <t>Asset Mgmt Deposits</t>
  </si>
  <si>
    <t>Asset Mgmt Withdrawals</t>
  </si>
  <si>
    <t>Operating Exp/Total Revenue (%)- Scenario Analysis</t>
  </si>
  <si>
    <t>Sales_FixLife</t>
  </si>
  <si>
    <t>PTEarns_Annuity</t>
  </si>
  <si>
    <t>FA_Spread</t>
  </si>
  <si>
    <t>PTEarns_Pension</t>
  </si>
  <si>
    <t>ATEarns_Intl</t>
  </si>
  <si>
    <t>ATEarns_CO</t>
  </si>
  <si>
    <t>Total Revenue</t>
  </si>
  <si>
    <t>Net DAC</t>
  </si>
  <si>
    <t>Operating Exp/Total Revenues (%)- Scenario Analysis</t>
  </si>
  <si>
    <t>After-Tax Earnings</t>
  </si>
  <si>
    <t>Core After-Tax Earnings</t>
  </si>
  <si>
    <t>Core After-tax Earnings</t>
  </si>
  <si>
    <t>Revenue_Annuity</t>
  </si>
  <si>
    <t>OpExp_Annuity</t>
  </si>
  <si>
    <t>Benefits/BOP Reserves  (%)</t>
  </si>
  <si>
    <t>Total_Cap_ex115</t>
  </si>
  <si>
    <t>Total Capital</t>
  </si>
  <si>
    <t>Latin America</t>
  </si>
  <si>
    <t>xxx</t>
  </si>
  <si>
    <t>EMEA</t>
  </si>
  <si>
    <t>Asia</t>
  </si>
  <si>
    <t>Latin Americas</t>
  </si>
  <si>
    <t>Total U.S. Businesses (%)</t>
  </si>
  <si>
    <t>Latin Americas(%)</t>
  </si>
  <si>
    <t>Asia (%)</t>
  </si>
  <si>
    <t>EMEA (%)</t>
  </si>
  <si>
    <t>Op. Earnings</t>
  </si>
  <si>
    <t>Op. EPS</t>
  </si>
  <si>
    <t>Total International Businesses(%)</t>
  </si>
  <si>
    <t>Total (%)</t>
  </si>
  <si>
    <t>3Q12</t>
  </si>
  <si>
    <t>4Q12</t>
  </si>
  <si>
    <t>F2015</t>
  </si>
  <si>
    <t>F2016</t>
  </si>
  <si>
    <t>BIG_FixPct</t>
  </si>
  <si>
    <t>BIG</t>
  </si>
  <si>
    <t>BIG_ShrEqPct</t>
  </si>
  <si>
    <t>Combined Payout Ratios</t>
  </si>
  <si>
    <t>Retirement_NetFlows</t>
  </si>
  <si>
    <t>2007</t>
  </si>
  <si>
    <t>Total Expenses</t>
  </si>
  <si>
    <t>Average Reserves</t>
  </si>
  <si>
    <t>Dividends</t>
  </si>
  <si>
    <t>Preferred Dividends</t>
  </si>
  <si>
    <t>F2017</t>
  </si>
  <si>
    <t>1Q13</t>
  </si>
  <si>
    <t>2Q13</t>
  </si>
  <si>
    <t>3Q13</t>
  </si>
  <si>
    <t>4Q13</t>
  </si>
  <si>
    <t>AT Core Earnings</t>
  </si>
  <si>
    <t>CHECK</t>
  </si>
  <si>
    <t>FOR MODELWARE PURPOSES &amp; OTHERS</t>
  </si>
  <si>
    <t>unrealizedGainsLossesOnAvailableForSaleSecuritiesGrossOfTaxForFinancialServices</t>
  </si>
  <si>
    <t>% Chg</t>
  </si>
  <si>
    <t>After-tax Income</t>
  </si>
  <si>
    <t xml:space="preserve"> Total Liabilities</t>
  </si>
  <si>
    <t xml:space="preserve"> Total Liabilities and Shareholders Equity</t>
  </si>
  <si>
    <t>Core AT Op Earns ex TLA integration</t>
  </si>
  <si>
    <t>Equity Market Performance</t>
  </si>
  <si>
    <t>2013</t>
  </si>
  <si>
    <t>Share Repurchases</t>
  </si>
  <si>
    <t>Base Case</t>
  </si>
  <si>
    <t>Operating Expenses</t>
  </si>
  <si>
    <t>Short-Term Debt</t>
  </si>
  <si>
    <t>Long-Term Debt</t>
  </si>
  <si>
    <t>Debt</t>
  </si>
  <si>
    <t>Preferred Equity</t>
  </si>
  <si>
    <t>Non-SAC Policy Liab &amp; Other</t>
  </si>
  <si>
    <t xml:space="preserve">Periods Prior 2009 Need To Be Cheked Since The Repoting Struture Changed &lt;&lt; </t>
  </si>
  <si>
    <t>Core After Tax Operating Earnings</t>
  </si>
  <si>
    <t>LTD + Pref Equity to LT Capital (%)</t>
  </si>
  <si>
    <t>CoreOp_EPS</t>
  </si>
  <si>
    <t>International</t>
  </si>
  <si>
    <t>Aftertax Earnings</t>
  </si>
  <si>
    <t>Core Aftertax Earnings</t>
  </si>
  <si>
    <t>Avg General Acct Reserves</t>
  </si>
  <si>
    <t>General Acct Reserves (EOP)</t>
  </si>
  <si>
    <t>General Account Reserves</t>
  </si>
  <si>
    <t>Variable Annuities (%)</t>
  </si>
  <si>
    <t>Premiums/Avg Reserves (%)</t>
  </si>
  <si>
    <t>REVENUES</t>
  </si>
  <si>
    <t>Contributions</t>
  </si>
  <si>
    <t>Variable annuities</t>
  </si>
  <si>
    <t>ShrsIssued</t>
  </si>
  <si>
    <t>AmtIssued</t>
  </si>
  <si>
    <t>When in Qtr (0%-beg; 100%-end)</t>
  </si>
  <si>
    <t>Inv Inc/Avg Gen Acct Reserves (%)</t>
  </si>
  <si>
    <t xml:space="preserve">   Interest Expense</t>
  </si>
  <si>
    <t>This is the correct combined VL and UL sales figure.</t>
  </si>
  <si>
    <t>2Q03</t>
  </si>
  <si>
    <t>3Q03</t>
  </si>
  <si>
    <t>Premiums Fees and Other Income</t>
  </si>
  <si>
    <t>TaxRate</t>
  </si>
  <si>
    <t>AT Operating Earnings</t>
  </si>
  <si>
    <t>This sheet contains Factset binary data for use with this workbook's =FDS codes.  Modifying the worksheet's contents may damage the workbook's =FDS functionality.</t>
  </si>
  <si>
    <t>Total International</t>
  </si>
  <si>
    <t>Core Pretax Operating Earnings</t>
  </si>
  <si>
    <t>BVPS_incl115</t>
  </si>
  <si>
    <t>VA_Redemptions</t>
  </si>
  <si>
    <t>DivPayout</t>
  </si>
  <si>
    <t>PctContrib_OtherIndiv</t>
  </si>
  <si>
    <t>PctContrib_Group</t>
  </si>
  <si>
    <t>Interest Credited</t>
  </si>
  <si>
    <t>Surrenders</t>
  </si>
  <si>
    <t>Policy Charges</t>
  </si>
  <si>
    <t>RESERVES</t>
  </si>
  <si>
    <t>Beginning Balance</t>
  </si>
  <si>
    <t>2009</t>
  </si>
  <si>
    <t>Core PT Group</t>
  </si>
  <si>
    <t>Avg Separate Account Assets</t>
  </si>
  <si>
    <t>Operating Exp/Revenues (%)</t>
  </si>
  <si>
    <t>Other One Time Items</t>
  </si>
  <si>
    <t>International Businesses</t>
  </si>
  <si>
    <t>2010</t>
  </si>
  <si>
    <t>Sales_Trad</t>
  </si>
  <si>
    <t>InvInc</t>
  </si>
  <si>
    <t>Benefits Ratio (Life, Annuities, Group, Retirement and Non-med Health, International)</t>
  </si>
  <si>
    <t>Expense Ratio (Life, Annuities, Group, Retirement and Non-med Health, International)</t>
  </si>
  <si>
    <t>Discountinued Operations</t>
  </si>
  <si>
    <t>Benefits / Premiums&amp;Fees (%)</t>
  </si>
  <si>
    <t>Individual Life Sales</t>
  </si>
  <si>
    <t xml:space="preserve">  Net Issuance (Repurchase) - FOR MODELWARE PURPOSES</t>
  </si>
  <si>
    <t>SCENARIO ANALYSIS</t>
  </si>
  <si>
    <t>1Q10</t>
  </si>
  <si>
    <t>2Q10</t>
  </si>
  <si>
    <t>3Q10</t>
  </si>
  <si>
    <t>4Q10</t>
  </si>
  <si>
    <t>Dividend Amount</t>
  </si>
  <si>
    <t>Average Price</t>
  </si>
  <si>
    <t>LTD + Pref Equity to Common Equity (%)</t>
  </si>
  <si>
    <t>Equity to Total Assets (%)</t>
  </si>
  <si>
    <t>Oper Return on Avg Assets (%)</t>
  </si>
  <si>
    <t>Book Value per Share</t>
  </si>
  <si>
    <t>Capital Structure Incl FAS 115</t>
  </si>
  <si>
    <t>Sales_VL</t>
  </si>
  <si>
    <t>Core Pretax Other Earnings</t>
  </si>
  <si>
    <t>Premiums and Deposits</t>
  </si>
  <si>
    <t>TLA Integration Expenses</t>
  </si>
  <si>
    <t>Universal Life - 1st Year Premiums</t>
  </si>
  <si>
    <t>Current Stock Price</t>
  </si>
  <si>
    <t>Investment Prod Chgs</t>
  </si>
  <si>
    <t xml:space="preserve"> &gt;&gt; The reporting structure changed (see 10/24/12 8K)</t>
  </si>
  <si>
    <t>Count</t>
  </si>
  <si>
    <t>PTEarns_CO</t>
  </si>
  <si>
    <t>4Q04</t>
  </si>
  <si>
    <t>1Q04</t>
  </si>
  <si>
    <t>2Q04</t>
  </si>
  <si>
    <t>3Q04</t>
  </si>
  <si>
    <t>F2008</t>
  </si>
  <si>
    <t>Net Flows</t>
  </si>
  <si>
    <t>2Q01</t>
  </si>
  <si>
    <t>LTD_to_LTCap_incl115</t>
  </si>
  <si>
    <t>Operating Expenses - Normal</t>
  </si>
  <si>
    <t>Core Earnings Ex Integration</t>
  </si>
  <si>
    <t xml:space="preserve">   Net Change in DAC</t>
  </si>
  <si>
    <t>Equity Market Performance (%)</t>
  </si>
  <si>
    <t>Market Performance - Scenario Analysis</t>
  </si>
  <si>
    <t>S&amp;P 500 Quarterly Performance (%)</t>
  </si>
  <si>
    <t>Inv Perf/BOP AUM (%)</t>
  </si>
  <si>
    <t>Inv Perf/Mkt Performance (%)</t>
  </si>
  <si>
    <t>Surrenders/BOP AUM (%)</t>
  </si>
  <si>
    <t xml:space="preserve">Total Assets Under Management </t>
  </si>
  <si>
    <t>4Q09</t>
  </si>
  <si>
    <t>OPERATING EXPENSE ANALYSIS</t>
  </si>
  <si>
    <t>All Other</t>
  </si>
  <si>
    <t>Int Credited/BOP Reserves  (%)</t>
  </si>
  <si>
    <t>1Q08</t>
  </si>
  <si>
    <t>2Q08</t>
  </si>
  <si>
    <t>3Q08</t>
  </si>
  <si>
    <t xml:space="preserve">4Q08 </t>
  </si>
  <si>
    <t>OpEarns_PT</t>
  </si>
  <si>
    <t>ROE = Return on Equity       Incl = Including    Excl = Excluding     FAS = Financial Accounting Standards       EOP = End of Period             FD = Fully Diluted</t>
  </si>
  <si>
    <t>Rep_ROE_ex115</t>
  </si>
  <si>
    <t>Rep_ROE_incl115</t>
  </si>
  <si>
    <t>LTD_to_LTCap_ex115</t>
  </si>
  <si>
    <t>LTD_to_Cap_ex115</t>
  </si>
  <si>
    <t>BVPS_ex115</t>
  </si>
  <si>
    <t>2012</t>
  </si>
  <si>
    <t>TTM</t>
  </si>
  <si>
    <t>2015-2016</t>
  </si>
  <si>
    <t>4-7%</t>
  </si>
  <si>
    <t>2-4%</t>
  </si>
  <si>
    <t>6-8%</t>
  </si>
  <si>
    <t>3-5%</t>
  </si>
  <si>
    <t>Sales</t>
  </si>
  <si>
    <t>(6)-(8)%</t>
  </si>
  <si>
    <t>~3%</t>
  </si>
  <si>
    <t>5-10%</t>
  </si>
  <si>
    <t>Japan</t>
  </si>
  <si>
    <t>Mkt Growth</t>
  </si>
  <si>
    <t>2-3%</t>
  </si>
  <si>
    <t>PFOs</t>
  </si>
  <si>
    <t>5-7%</t>
  </si>
  <si>
    <t>Korea</t>
  </si>
  <si>
    <t>6-7%</t>
  </si>
  <si>
    <t>8-10%</t>
  </si>
  <si>
    <t>Other Asia</t>
  </si>
  <si>
    <t>10-12%</t>
  </si>
  <si>
    <t>12-15%</t>
  </si>
  <si>
    <t>15-20%</t>
  </si>
  <si>
    <t>Developed Countries</t>
  </si>
  <si>
    <t>4-6%</t>
  </si>
  <si>
    <t>7-9%</t>
  </si>
  <si>
    <t>FCF as % of Earnings</t>
  </si>
  <si>
    <t>45-55%</t>
  </si>
  <si>
    <t>Expense savings</t>
  </si>
  <si>
    <t>770-800mn</t>
  </si>
  <si>
    <t>$1bn in 2015</t>
  </si>
  <si>
    <t>Tax rate</t>
  </si>
  <si>
    <t>Near Term</t>
  </si>
  <si>
    <t>Long</t>
  </si>
  <si>
    <t>Term</t>
  </si>
  <si>
    <t>PFOs Growth</t>
  </si>
  <si>
    <t>MSD</t>
  </si>
  <si>
    <t>&gt; 2014 Δ</t>
  </si>
  <si>
    <t>Op. Earnings Growth</t>
  </si>
  <si>
    <t>Group Life Mortality Ratio (%)</t>
  </si>
  <si>
    <t>Mid-point of 85-90%</t>
  </si>
  <si>
    <t>94-98%</t>
  </si>
  <si>
    <t>Investment Income Spread (bps)</t>
  </si>
  <si>
    <t>230-270</t>
  </si>
  <si>
    <t>Expense Margin</t>
  </si>
  <si>
    <t>To improve</t>
  </si>
  <si>
    <t>Moderate</t>
  </si>
  <si>
    <t>150-170</t>
  </si>
  <si>
    <t>&lt; 2014</t>
  </si>
  <si>
    <t>Sales Growth</t>
  </si>
  <si>
    <t>Flat</t>
  </si>
  <si>
    <t>Grow</t>
  </si>
  <si>
    <t>VII ($mn)</t>
  </si>
  <si>
    <t>100-140</t>
  </si>
  <si>
    <t>&gt; 2014</t>
  </si>
  <si>
    <t>Latam (ex-Provida)</t>
  </si>
  <si>
    <t>LDD</t>
  </si>
  <si>
    <t>LDD to mid teens</t>
  </si>
  <si>
    <t>Provida ($mn)</t>
  </si>
  <si>
    <t>190-210</t>
  </si>
  <si>
    <t>+10%</t>
  </si>
  <si>
    <t>Low end of 5-10%</t>
  </si>
  <si>
    <t>HSD to LDD</t>
  </si>
  <si>
    <t>DD</t>
  </si>
  <si>
    <t>Mid teens</t>
  </si>
  <si>
    <t>Emerging Mkts (80%)</t>
  </si>
  <si>
    <t>Corp&amp;Other</t>
  </si>
  <si>
    <t>$(550)-(750)mn</t>
  </si>
  <si>
    <t>4Q05</t>
  </si>
  <si>
    <t>1Q05</t>
  </si>
  <si>
    <t>2Q05</t>
  </si>
  <si>
    <t>STDebt</t>
  </si>
  <si>
    <t>LTDebt</t>
  </si>
  <si>
    <t>PfdStk</t>
  </si>
  <si>
    <t>EOP_Eq_incl115</t>
  </si>
  <si>
    <t>Surrenders and Other</t>
  </si>
  <si>
    <t xml:space="preserve"> Total Non-Operating</t>
  </si>
  <si>
    <t xml:space="preserve"> Total Assets </t>
  </si>
  <si>
    <t>Retirement Net Flows</t>
  </si>
  <si>
    <t xml:space="preserve">Operating Earnings Before Taxes </t>
  </si>
  <si>
    <t xml:space="preserve">   Provision for Income Taxes</t>
  </si>
  <si>
    <t xml:space="preserve">   Tax Rate (%)</t>
  </si>
  <si>
    <t>Operating Earnings (Loss)</t>
  </si>
  <si>
    <t>Shares Issued</t>
  </si>
  <si>
    <t>Equity Tax</t>
  </si>
  <si>
    <t>Op.Earnings - For Modelware</t>
  </si>
  <si>
    <t>Net Income - Modelware</t>
  </si>
  <si>
    <t>MET.N,mscalc:sedolCodeCalc</t>
  </si>
  <si>
    <t>2573209</t>
  </si>
  <si>
    <t>MET.N,mscalc:closePriceCurrencyCalc</t>
  </si>
  <si>
    <t>MET.N,mscalc:targetPrice,,,,USD</t>
  </si>
  <si>
    <t>1Q01</t>
  </si>
  <si>
    <t>Bull</t>
  </si>
  <si>
    <t>Bear</t>
  </si>
  <si>
    <t>Base</t>
  </si>
  <si>
    <t>Ben/Net Revenues (%) - Scenario Analysis</t>
  </si>
  <si>
    <t>Pretax Earnings</t>
  </si>
  <si>
    <t>Taxes</t>
  </si>
  <si>
    <t>After-Tax Operating Earnings</t>
  </si>
  <si>
    <t>Pretax Margin (%)</t>
  </si>
  <si>
    <t>ND</t>
  </si>
  <si>
    <t>US</t>
  </si>
  <si>
    <t>Core US Businesses</t>
  </si>
  <si>
    <t>2001</t>
  </si>
  <si>
    <t>2002</t>
  </si>
  <si>
    <t>2003</t>
  </si>
  <si>
    <t>2004</t>
  </si>
  <si>
    <t>2005</t>
  </si>
  <si>
    <t>Core AT Insurance Products</t>
  </si>
  <si>
    <t>Core AT Banking, Corporate &amp; Other</t>
  </si>
  <si>
    <t>Retirement - % General Account</t>
  </si>
  <si>
    <t>Core Adj Pretax Retirement Earnings</t>
  </si>
  <si>
    <t>Premiums</t>
  </si>
  <si>
    <t>NA</t>
  </si>
  <si>
    <t>2008</t>
  </si>
  <si>
    <t>LTD_to_Cap_incl115</t>
  </si>
  <si>
    <t>Rev</t>
  </si>
  <si>
    <t>Realized Gains</t>
  </si>
  <si>
    <t>Total annuity AUM</t>
  </si>
  <si>
    <t>VA as % AUM</t>
  </si>
  <si>
    <t>VA Earns</t>
  </si>
  <si>
    <t>Total retirement AUM</t>
  </si>
  <si>
    <t>VA as % retirement AUM</t>
  </si>
  <si>
    <t>VA Retire Earns</t>
  </si>
  <si>
    <t>Reported Earnings</t>
  </si>
  <si>
    <t>Dividends Per Share</t>
  </si>
  <si>
    <t>Dividend Payout Ratio (%)</t>
  </si>
  <si>
    <t>P&amp;C Catastrophe Ratio</t>
  </si>
  <si>
    <t>OtherNonOpItems</t>
  </si>
  <si>
    <t>Benefits/Net Revenues (%)</t>
  </si>
  <si>
    <t>1Q03</t>
  </si>
  <si>
    <t>1Q07</t>
  </si>
  <si>
    <t xml:space="preserve"> Total Revenues</t>
  </si>
  <si>
    <t>Abnormal Items</t>
  </si>
  <si>
    <t>1Q00</t>
  </si>
  <si>
    <t>2Q00</t>
  </si>
  <si>
    <t>3Q00</t>
  </si>
  <si>
    <t xml:space="preserve"> </t>
  </si>
  <si>
    <t>30-40bps</t>
  </si>
  <si>
    <t>4Q00</t>
  </si>
  <si>
    <t>2000</t>
  </si>
  <si>
    <t>Amount Raised</t>
  </si>
  <si>
    <t>Amount Repurchased</t>
  </si>
  <si>
    <t>Outstanding Shares (EOP)</t>
  </si>
  <si>
    <t>Traditional Life - 1st Year Premiums</t>
  </si>
  <si>
    <t>Total Life</t>
  </si>
  <si>
    <t>1Q02</t>
  </si>
  <si>
    <t>2Q02</t>
  </si>
  <si>
    <t>BUYBACKS/ISSUANCE</t>
  </si>
  <si>
    <t>Description</t>
  </si>
  <si>
    <t>DivPS</t>
  </si>
  <si>
    <t>DivAmt</t>
  </si>
  <si>
    <t>ShrsRepurch</t>
  </si>
  <si>
    <t>Investment Income</t>
  </si>
  <si>
    <t>Net Investment Income</t>
  </si>
  <si>
    <t>Spread (%)</t>
  </si>
  <si>
    <t>Other Revenue</t>
  </si>
  <si>
    <t>Total Revenues</t>
  </si>
  <si>
    <t>Net Revenue</t>
  </si>
  <si>
    <t>Benefits to Policyholders</t>
  </si>
  <si>
    <t>First Year Life Sales</t>
  </si>
  <si>
    <t>FA Net Flows</t>
  </si>
  <si>
    <t>VA Net Flows</t>
  </si>
  <si>
    <t>2006</t>
  </si>
  <si>
    <t>Separate Account</t>
  </si>
  <si>
    <t>F2009</t>
  </si>
  <si>
    <t>Variable Life - 1st Year Premiums</t>
  </si>
  <si>
    <t xml:space="preserve"> Total Benefits and Expenses</t>
  </si>
  <si>
    <t>PctContrib_NonMedHealth</t>
  </si>
  <si>
    <t>Below Investment Grade / Shareholders' Equity (%)</t>
  </si>
  <si>
    <t>EPS</t>
  </si>
  <si>
    <t>Inv Income/Avg Gen Acct Reserves (%)</t>
  </si>
  <si>
    <t>BENEFITS AND EXPENSES</t>
  </si>
  <si>
    <t>Other</t>
  </si>
  <si>
    <t>AmtRepurch</t>
  </si>
  <si>
    <t>Equity to Assets (Excl SAA)(%)</t>
  </si>
  <si>
    <t>Operating Exp/Net Revenue (%)</t>
  </si>
  <si>
    <t>FAS115_Adjmt</t>
  </si>
  <si>
    <t>EOP_Eq_ex115</t>
  </si>
  <si>
    <t>Investment Product Charges</t>
  </si>
  <si>
    <t>Core_NonMed_PTEarns</t>
  </si>
  <si>
    <t>Core_PC_PTEarns</t>
  </si>
  <si>
    <t>Core_Intl_PTEarns</t>
  </si>
  <si>
    <t>Core_Other_PTEarns</t>
  </si>
  <si>
    <t>SOI_Life_Sales</t>
  </si>
  <si>
    <t>SOI_FAFlows</t>
  </si>
  <si>
    <t>SOI_VAFlows</t>
  </si>
  <si>
    <t>Core_ATEarns</t>
  </si>
  <si>
    <t>Core_OpEPS</t>
  </si>
  <si>
    <t>Core Earnings</t>
  </si>
  <si>
    <t>Asset Mgmt Flows excluding Annuities</t>
  </si>
  <si>
    <t>Consolidated Operating Earnings Forecast (Page 2/2)</t>
  </si>
  <si>
    <t>Consolidated Operating Earnings Forecast (Page 1/2)</t>
  </si>
  <si>
    <t>Reported ROE (Incl FAS 115)(%)</t>
  </si>
  <si>
    <t>LT Debt to LT Capital (%)</t>
  </si>
  <si>
    <t>USD</t>
  </si>
  <si>
    <t>1Q06</t>
  </si>
  <si>
    <t>2Q06</t>
  </si>
  <si>
    <t>3Q06</t>
  </si>
  <si>
    <t>4Q06</t>
  </si>
  <si>
    <t>F2010</t>
  </si>
  <si>
    <t>Forecast Only</t>
  </si>
  <si>
    <t>1998</t>
  </si>
  <si>
    <t>1999</t>
  </si>
  <si>
    <t>Benefits/Total Revenues (%)</t>
  </si>
  <si>
    <t>4Q03</t>
  </si>
  <si>
    <t>F1998</t>
  </si>
  <si>
    <t>F1999</t>
  </si>
  <si>
    <t>F2000</t>
  </si>
  <si>
    <t>F2001</t>
  </si>
  <si>
    <t>F2002</t>
  </si>
  <si>
    <t>F2003</t>
  </si>
  <si>
    <t>F2004</t>
  </si>
  <si>
    <t>F2005</t>
  </si>
  <si>
    <t>F2006</t>
  </si>
  <si>
    <t>F2007</t>
  </si>
  <si>
    <t>5_Yr</t>
  </si>
  <si>
    <t>Equity</t>
  </si>
  <si>
    <t>Profitability</t>
  </si>
  <si>
    <t>Core_Annuities_PTEarns</t>
  </si>
  <si>
    <t xml:space="preserve">  % of Operating Earnings</t>
  </si>
  <si>
    <t xml:space="preserve">  % of Net Income</t>
  </si>
  <si>
    <t>Spread (%) - Calculated</t>
  </si>
  <si>
    <t>Ben/Net Revenues (%)</t>
  </si>
  <si>
    <t>Assets_Pension</t>
  </si>
  <si>
    <t>Rev_Pension</t>
  </si>
  <si>
    <t>ATEarns_Pension</t>
  </si>
  <si>
    <t>Common Equity</t>
  </si>
  <si>
    <t>Average Shares (Basic)</t>
  </si>
  <si>
    <t>Policyholder Liabilities</t>
  </si>
  <si>
    <t>Other Liabilities</t>
  </si>
  <si>
    <t>Non-Operating Items</t>
  </si>
  <si>
    <t>Realized Gains / Invested Assets (%)</t>
  </si>
  <si>
    <t>Assets By Type</t>
  </si>
  <si>
    <t>Investments (Total of segments)</t>
  </si>
  <si>
    <t>FAS 115</t>
  </si>
  <si>
    <t>Separate Account Reserves (EOP)</t>
  </si>
  <si>
    <t>Average Separate Acct Reserves</t>
  </si>
  <si>
    <t>Surrenders/Beg Reserves  (%)</t>
  </si>
  <si>
    <t>EXPENSES</t>
  </si>
  <si>
    <t>NM</t>
  </si>
  <si>
    <t>Average Shares (FD)</t>
  </si>
  <si>
    <t>Operating EPS</t>
  </si>
  <si>
    <t xml:space="preserve">Reported EPS </t>
  </si>
  <si>
    <t xml:space="preserve"> Total Debt and Preferred Equity</t>
  </si>
  <si>
    <t>EPS = Earnings per Share</t>
  </si>
  <si>
    <t>1Q15</t>
  </si>
  <si>
    <t>2Q15</t>
  </si>
  <si>
    <t>3Q15</t>
  </si>
  <si>
    <t>4Q15</t>
  </si>
  <si>
    <t>F2019</t>
  </si>
  <si>
    <t>2019E</t>
  </si>
  <si>
    <t>RBC</t>
  </si>
  <si>
    <t>above 400%</t>
  </si>
  <si>
    <t>LT</t>
  </si>
  <si>
    <t>85-90%</t>
  </si>
  <si>
    <t>2015</t>
  </si>
  <si>
    <t>Interest adj benefit ratio</t>
  </si>
  <si>
    <t>Closed block to decline ~$50mn in 2015</t>
  </si>
  <si>
    <t>LT distribution to shift from traditional producers to financial advisors and banks</t>
  </si>
  <si>
    <t>Mkt share to increase (currently @ 3%)</t>
  </si>
  <si>
    <t>Direct businesses to be cosolidated</t>
  </si>
  <si>
    <t>5-6%</t>
  </si>
  <si>
    <t>10-15%</t>
  </si>
  <si>
    <t>10-12% c.c.</t>
  </si>
  <si>
    <t>To maintain top 3 mkt share in most mkts</t>
  </si>
  <si>
    <t>Mexico and Chile to remain at 85% of total</t>
  </si>
  <si>
    <t>Mid teens c.c.</t>
  </si>
  <si>
    <t xml:space="preserve"> ($800bn candidate for close-outs)</t>
  </si>
  <si>
    <t>To accelerate</t>
  </si>
  <si>
    <t>To decrease</t>
  </si>
  <si>
    <t>Hold co cash</t>
  </si>
  <si>
    <t>$6bn</t>
  </si>
  <si>
    <t>* 5% annual appreciation in S&amp;P 500</t>
  </si>
  <si>
    <t>10-yr US Treasury</t>
  </si>
  <si>
    <t>¥/$</t>
  </si>
  <si>
    <t>Op Earnings growth</t>
  </si>
  <si>
    <t>Sensitivities</t>
  </si>
  <si>
    <t>1% change in Group Life mortality ratio translates to ~$40mn of op earnings</t>
  </si>
  <si>
    <t>1% change in Non-Medical Health interest adj loss ratio translates to ~$40mn of op earnings</t>
  </si>
  <si>
    <t>1% change in interest adjusted benefit ratio translates to ~$35mn of op earnings</t>
  </si>
  <si>
    <t>Consolidated NII</t>
  </si>
  <si>
    <t>Total Op. Revenues</t>
  </si>
  <si>
    <t>Net Revenues</t>
  </si>
  <si>
    <t>2014</t>
  </si>
  <si>
    <t>1Q16</t>
  </si>
  <si>
    <t>2Q16</t>
  </si>
  <si>
    <t>3Q16</t>
  </si>
  <si>
    <t>4Q16</t>
  </si>
  <si>
    <t>F2020</t>
  </si>
  <si>
    <t>2020E</t>
  </si>
  <si>
    <t>Mexican Peso/$</t>
  </si>
  <si>
    <t>1% change in the annual return on the ProVida encaje translates to ~$3mn of op earnings</t>
  </si>
  <si>
    <t>High  single digit</t>
  </si>
  <si>
    <t>High single digit</t>
  </si>
  <si>
    <t>High single-digit</t>
  </si>
  <si>
    <t>VII ($bn)</t>
  </si>
  <si>
    <t>Capital Structure Excl FAS 115 Other than FCTA</t>
  </si>
  <si>
    <t>Operating ROE (Excl FAS 115 other than FCTA)(%)</t>
  </si>
  <si>
    <t>Reported ROE (Excl FAS 115 other than FCTA)(%)</t>
  </si>
  <si>
    <t>Common Equity EOP Excl FAS 115 other than FCTA</t>
  </si>
  <si>
    <t>4.25% in 2027</t>
  </si>
  <si>
    <t>$200 million</t>
  </si>
  <si>
    <t>Separation Charge</t>
  </si>
  <si>
    <t>Stranded Overhead</t>
  </si>
  <si>
    <t>F2021</t>
  </si>
  <si>
    <t>2021E</t>
  </si>
  <si>
    <t>1Q17</t>
  </si>
  <si>
    <t>2Q17</t>
  </si>
  <si>
    <t>3Q17</t>
  </si>
  <si>
    <t>4Q17</t>
  </si>
  <si>
    <t>MetLife Holdings</t>
  </si>
  <si>
    <t>Brighthouse Financial</t>
  </si>
  <si>
    <t>Retirement &amp; Income Solutions</t>
  </si>
  <si>
    <t>1.2 Retirement &amp; Income Solutions</t>
  </si>
  <si>
    <t>3 International - Latin Americas</t>
  </si>
  <si>
    <t>2 International - Asia</t>
  </si>
  <si>
    <t>4 International - EMEA</t>
  </si>
  <si>
    <t xml:space="preserve"> Consolidated Income Statement</t>
  </si>
  <si>
    <t xml:space="preserve"> After-tax Earnings by Segment</t>
  </si>
  <si>
    <t xml:space="preserve"> EPS/DPS CALCULATION</t>
  </si>
  <si>
    <t xml:space="preserve"> CAPITAL &amp; OTHER</t>
  </si>
  <si>
    <t>Total US</t>
  </si>
  <si>
    <t>MetLife Holdings (%)</t>
  </si>
  <si>
    <t>Brighthouse Financial (%)</t>
  </si>
  <si>
    <t>5 MetLife Holdings</t>
  </si>
  <si>
    <t>Group Benefits</t>
  </si>
  <si>
    <t>Property &amp; Casualty</t>
  </si>
  <si>
    <t>1.1 Group Benefits</t>
  </si>
  <si>
    <t>Restated since 1Q15 -------&gt;</t>
  </si>
  <si>
    <t>Regular Loss Adjustments</t>
  </si>
  <si>
    <t>Cat Losses</t>
  </si>
  <si>
    <t>Current Year Loss and Loss Adjustments</t>
  </si>
  <si>
    <t>Prior Year Loss and Loss Adjustments</t>
  </si>
  <si>
    <t>Loss and Loss Adjustment Expenses</t>
  </si>
  <si>
    <t>Underwriting Expenses and Other</t>
  </si>
  <si>
    <t>Combined Ratio</t>
  </si>
  <si>
    <t xml:space="preserve">  Combined Ratio Ex-cats - Scenario Analysis</t>
  </si>
  <si>
    <t>Expense and Dividend Ratio (%)</t>
  </si>
  <si>
    <t>Combined Ratio Ex-Cats and Prior Year</t>
  </si>
  <si>
    <t>Prior Year Loss and Loss Adjustment Ratio (%)</t>
  </si>
  <si>
    <t>Catastrophe Ratio (%)- Scenario Analysis</t>
  </si>
  <si>
    <t>Prior Year and Cats</t>
  </si>
  <si>
    <t>Combined Ratio (%)</t>
  </si>
  <si>
    <t>1.3 Property &amp; Casualty</t>
  </si>
  <si>
    <t>AUTO</t>
  </si>
  <si>
    <t>Net Earned Premium</t>
  </si>
  <si>
    <t>Total Loss and Loss Adjustment Ratio (%)</t>
  </si>
  <si>
    <t>HOMEOWNERS &amp; OTHER</t>
  </si>
  <si>
    <t>Catastrophe Ratio (%)</t>
  </si>
  <si>
    <t>Underwriting Result</t>
  </si>
  <si>
    <t>GENERAL ACCOUNT ASSETS UNDER MANAGEMENT</t>
  </si>
  <si>
    <t>SEPARATE ACCOUNTS ASSETS UNDER MANAGEMENT</t>
  </si>
  <si>
    <t>ANNUITIES</t>
  </si>
  <si>
    <t>LIFE &amp; OTHER</t>
  </si>
  <si>
    <t>6 Corporate and Other</t>
  </si>
  <si>
    <t>7 Brighthouse Financial</t>
  </si>
  <si>
    <t>Group Benefits (%)</t>
  </si>
  <si>
    <t>Retirement &amp; Income Solutions (%)</t>
  </si>
  <si>
    <t>Property &amp; Casualty (%)</t>
  </si>
  <si>
    <t>Fees/Avg Gen Acct Reserves  (%)</t>
  </si>
  <si>
    <t>Premiums/Total Avg AUM (%)</t>
  </si>
  <si>
    <t>Spread (%) - Reported (inc VII)</t>
  </si>
  <si>
    <t>Spread (%) - Reported (ex VII)</t>
  </si>
  <si>
    <t>Lapse Ratio</t>
  </si>
  <si>
    <t>Net Income Available to Shareholders</t>
  </si>
  <si>
    <t>Non-Controlling Interest</t>
  </si>
  <si>
    <t>Combined Ratio Ex-Cats and Prior Year (%)</t>
  </si>
  <si>
    <t>Current Loss and Loss Adjustment Ratio (%)</t>
  </si>
  <si>
    <t>Interest Expense</t>
  </si>
  <si>
    <t>Restructuring Costs for Expense Goal ($1B PT)</t>
  </si>
  <si>
    <t>Retail Expense Saves (50%)</t>
  </si>
  <si>
    <t>US - Group Benefits</t>
  </si>
  <si>
    <t>US - RIS</t>
  </si>
  <si>
    <t>US - P&amp;C</t>
  </si>
  <si>
    <t>MET Holdings</t>
  </si>
  <si>
    <t>2017e</t>
  </si>
  <si>
    <t>$40mn</t>
  </si>
  <si>
    <t>115-140bps</t>
  </si>
  <si>
    <t>15-30bps</t>
  </si>
  <si>
    <t>$1bn of pension closeout sales translates to ~$6-7mn of op earnings</t>
  </si>
  <si>
    <t>10 bps increase in LIBOR without any change in longer-term interest rates could reduce op earnings by $5-10mn</t>
  </si>
  <si>
    <t>Auto Combined Ratio (%)</t>
  </si>
  <si>
    <t>95-100%</t>
  </si>
  <si>
    <t>Homeowners Combined Ratio (%)</t>
  </si>
  <si>
    <t>88-93%</t>
  </si>
  <si>
    <t>1% change in Auto CR</t>
  </si>
  <si>
    <t>$15mn</t>
  </si>
  <si>
    <t>1% change in Homeowners CR</t>
  </si>
  <si>
    <t>$8mn</t>
  </si>
  <si>
    <t>Low single digit</t>
  </si>
  <si>
    <t>Slower growth in 2017</t>
  </si>
  <si>
    <t>1 JPY to USD movement translates to $3-4 million of operating earnings1 on an unhedged basis</t>
  </si>
  <si>
    <t>0.01 AUD to USD movement translates to $1-2 million of operating earnings</t>
  </si>
  <si>
    <t>mid single-digits</t>
  </si>
  <si>
    <t>* Negative currency impact of $110-130 million on operating PFO and $20-25 million on operating earnings in 2017</t>
  </si>
  <si>
    <t>decline 5% annually</t>
  </si>
  <si>
    <t>53-58%</t>
  </si>
  <si>
    <t>$24mn</t>
  </si>
  <si>
    <t>10 bps change in yield</t>
  </si>
  <si>
    <t>$45mn</t>
  </si>
  <si>
    <t>$(450)-(650)mn</t>
  </si>
  <si>
    <t>2017</t>
  </si>
  <si>
    <t>Costs associated with expense initiative of $300 million pre-tax in 2017</t>
  </si>
  <si>
    <t>Stranded overhead costs of $200 million pre-tax in 2017</t>
  </si>
  <si>
    <t>65-75%</t>
  </si>
  <si>
    <t>125 in 2018, and 85% at 109 in 2019</t>
  </si>
  <si>
    <t>$0.8-$1.0B</t>
  </si>
  <si>
    <t>High single to low double digit</t>
  </si>
  <si>
    <t>FCTA</t>
  </si>
  <si>
    <t>FAS 115 Adjustment other than FCTA</t>
  </si>
  <si>
    <t>Core ROE (Excl FAS 115 other than FCTA)(%)</t>
  </si>
  <si>
    <t>Average Common Equity Excl FAS 115 other than FCTA</t>
  </si>
  <si>
    <t>Common Equity EOP Excl FAS 115</t>
  </si>
  <si>
    <t>Book Value per Share ex FX ex FAS115</t>
  </si>
  <si>
    <t>2016</t>
  </si>
  <si>
    <t>4Q18</t>
  </si>
  <si>
    <t>4Q18E</t>
  </si>
  <si>
    <t>1Q18</t>
  </si>
  <si>
    <t>1Q18E</t>
  </si>
  <si>
    <t>2Q18</t>
  </si>
  <si>
    <t>2Q18E</t>
  </si>
  <si>
    <t>3Q18</t>
  </si>
  <si>
    <t>3Q18E</t>
  </si>
  <si>
    <t>F2022</t>
  </si>
  <si>
    <t>2022E</t>
  </si>
  <si>
    <t>Group non-medical health</t>
  </si>
  <si>
    <t>75-80%</t>
  </si>
  <si>
    <t>110-135bps</t>
  </si>
  <si>
    <t>10-25bps</t>
  </si>
  <si>
    <t>1-2%</t>
  </si>
  <si>
    <t>94-99%</t>
  </si>
  <si>
    <t>Overall P&amp;C Combined Ratio (%)</t>
  </si>
  <si>
    <t>92-97%</t>
  </si>
  <si>
    <t>High single digit to low double digit</t>
  </si>
  <si>
    <t>1% change in Mexican Peso to U.S. dollar FX rate translates to ~$4mn of op earnings</t>
  </si>
  <si>
    <t>1% change in Chilean Peso to U.S. dollar FX rate translates to ~$3mn of op earnings</t>
  </si>
  <si>
    <t xml:space="preserve">decline 10% </t>
  </si>
  <si>
    <t>50-55%</t>
  </si>
  <si>
    <t>$25mn</t>
  </si>
  <si>
    <t>Costs associated with expense initiative of $330 million pre-tax in 2018</t>
  </si>
  <si>
    <t>23-25%</t>
  </si>
  <si>
    <t>2.74% in 2019 and 2.87% in 2020</t>
  </si>
  <si>
    <t>$800mn by YE 2020</t>
  </si>
  <si>
    <t>2019-2020</t>
  </si>
  <si>
    <t>Higher</t>
  </si>
  <si>
    <t>Corporate Expenses</t>
  </si>
  <si>
    <t>Corporate Expenses Exc Restructuring Costs</t>
  </si>
  <si>
    <t>58</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</si>
  <si>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</si>
  <si>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</si>
  <si>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</si>
  <si>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</si>
  <si>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</si>
  <si>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</si>
  <si>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</si>
  <si>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</si>
  <si>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Nigel Dally, Tanmay Gupta, Bob Huang</t>
  </si>
  <si>
    <t>Date: 05 Apr 2018</t>
  </si>
  <si>
    <t>Ticker: MET.N</t>
  </si>
  <si>
    <t>Stock Rating: Equal-Weight</t>
  </si>
  <si>
    <t>Industry: Insurance - Life/Annuity</t>
  </si>
  <si>
    <t>Industry View: In-Line</t>
  </si>
  <si>
    <t>Price as of 05 Apr 2018: 45.85</t>
  </si>
  <si>
    <t>Target Price: 56</t>
  </si>
  <si>
    <t>Analyst Certification</t>
  </si>
  <si>
    <t>Unless otherwise stated, the individuals listed on the cover page of this report are research analysts.</t>
  </si>
  <si>
    <t>Global Research Conflict Management Policy</t>
  </si>
  <si>
    <t>Important US Regulatory Disclosures on Subject Companies</t>
  </si>
  <si>
    <t>STOCK RATINGS</t>
  </si>
  <si>
    <t>Global Stock Ratings Distribution</t>
  </si>
  <si>
    <t>(as of March 31,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</si>
  <si>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</si>
  <si>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</si>
  <si>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</si>
  <si>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</si>
  <si>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</si>
  <si>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</si>
  <si>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</si>
  <si>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</si>
  <si>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</si>
  <si>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</si>
  <si>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</si>
  <si>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</si>
  <si>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</si>
  <si>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</si>
  <si>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</si>
  <si>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</si>
  <si>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</si>
  <si>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</si>
  <si>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</si>
  <si>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</si>
  <si>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</si>
  <si>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</si>
  <si>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</si>
  <si>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</si>
  <si>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</si>
  <si>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</si>
  <si>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</si>
  <si>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</si>
  <si>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</si>
  <si>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</si>
  <si>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</si>
  <si>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</si>
  <si>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</si>
  <si>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</si>
  <si>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</si>
  <si>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</si>
  <si>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</si>
  <si>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</si>
  <si>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</si>
  <si>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</si>
  <si>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</si>
  <si>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</si>
  <si>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</si>
  <si>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</si>
  <si>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</si>
  <si>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</si>
  <si>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</si>
  <si>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</si>
  <si>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</si>
  <si>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</si>
  <si>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</si>
  <si>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</si>
  <si>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</si>
  <si>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</si>
  <si>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</si>
  <si>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</si>
  <si>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</si>
  <si>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</si>
  <si>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</si>
  <si>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</si>
  <si>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</si>
  <si>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</si>
  <si>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</si>
  <si>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</si>
  <si>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</si>
  <si>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</si>
  <si>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</si>
  <si>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</si>
  <si>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</si>
  <si>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</si>
  <si>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</si>
  <si>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</si>
  <si>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</si>
  <si>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</si>
  <si>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</si>
  <si>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</si>
  <si>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</si>
  <si>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</si>
  <si>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</si>
  <si>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</si>
  <si>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</si>
  <si>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</si>
  <si>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</si>
  <si>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</si>
  <si>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</si>
  <si>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</si>
  <si>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</si>
  <si>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</si>
  <si>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</si>
  <si>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</si>
  <si>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</si>
  <si>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</si>
  <si>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</si>
  <si>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</si>
  <si>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</si>
  <si>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</si>
  <si>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</si>
  <si>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</si>
  <si>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</si>
  <si>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</si>
  <si>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</si>
  <si>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</si>
  <si>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</si>
  <si>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</si>
  <si>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</si>
  <si>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</si>
  <si>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</si>
  <si>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</si>
  <si>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</si>
  <si>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</si>
  <si>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</si>
  <si>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</si>
  <si>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</si>
  <si>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</si>
  <si>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</si>
  <si>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</si>
  <si>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</si>
  <si>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</si>
  <si>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</si>
  <si>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</si>
  <si>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</si>
  <si>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</si>
  <si>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</si>
  <si>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</si>
  <si>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</si>
  <si>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</si>
  <si>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</si>
  <si>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</si>
  <si>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</si>
  <si>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</si>
  <si>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</si>
  <si>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</si>
  <si>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</si>
  <si>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</si>
  <si>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</si>
  <si>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</si>
  <si>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</si>
  <si>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</si>
  <si>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</si>
  <si>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</si>
  <si>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</si>
  <si>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</si>
  <si>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</si>
  <si>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</si>
  <si>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</si>
  <si>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</si>
  <si>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</si>
  <si>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</si>
  <si>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</si>
  <si>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</si>
  <si>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</si>
  <si>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</si>
  <si>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</si>
  <si>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</si>
  <si>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</si>
  <si>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</si>
  <si>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</si>
  <si>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</si>
  <si>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</si>
  <si>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</si>
  <si>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</si>
  <si>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</si>
  <si>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</si>
  <si>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</si>
  <si>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</si>
  <si>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</si>
  <si>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</si>
  <si>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</si>
  <si>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</si>
  <si>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</si>
  <si>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</si>
  <si>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</si>
  <si>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</si>
  <si>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MetLife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</si>
  <si>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</si>
  <si>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</si>
  <si>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</si>
  <si>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</si>
  <si>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</si>
  <si>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</si>
  <si>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</si>
  <si>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</si>
  <si>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</si>
  <si>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</si>
  <si>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</si>
  <si>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</si>
  <si>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</si>
  <si>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</si>
  <si>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</si>
  <si>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</si>
  <si>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</si>
  <si>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</si>
  <si>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</si>
  <si>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</si>
  <si>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</si>
  <si>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</si>
  <si>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</si>
  <si>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</si>
  <si>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</si>
  <si>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</si>
  <si>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</si>
  <si>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</si>
  <si>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</si>
  <si>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</si>
  <si>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</si>
  <si>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</si>
  <si>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</si>
  <si>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</si>
  <si>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</si>
  <si>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</si>
  <si>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</si>
  <si>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</si>
  <si>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</si>
  <si>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</si>
  <si>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</si>
  <si>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</si>
  <si>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</si>
  <si>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</si>
  <si>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</si>
  <si>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</si>
  <si>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</si>
  <si>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</si>
  <si>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</si>
  <si>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</si>
  <si>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</si>
  <si>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</si>
  <si>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</si>
  <si>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</si>
  <si>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</si>
  <si>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</si>
  <si>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</si>
  <si>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</si>
  <si>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</si>
  <si>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</si>
  <si>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</si>
  <si>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</si>
  <si>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</si>
  <si>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</si>
  <si>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</si>
  <si>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</si>
  <si>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either provided or is providing non-investment banking,</t>
  </si>
  <si>
    <t>securities-related services to and/or in the past has entered into an agreement to provide services or</t>
  </si>
  <si>
    <t>has a client relationship with the following company: MetLife Inc..</t>
  </si>
  <si>
    <t>Within the last 12 months, Morgan Stanley has provided or is providing investment banking services to,</t>
  </si>
  <si>
    <t>or has an investment banking client relationship with, the following company: MetLife Inc..</t>
  </si>
  <si>
    <t>Within the last 12 months, Morgan Stanley has received compensation for products and services other than</t>
  </si>
  <si>
    <t>investment banking services from MetLife Inc..</t>
  </si>
  <si>
    <t>In the next 3 months, Morgan Stanley expects to receive or intends to seek compensation for investment</t>
  </si>
  <si>
    <t>banking services from MetLife Inc..</t>
  </si>
  <si>
    <t>Within the last 12 months, Morgan Stanley has received compensation for investment banking services from</t>
  </si>
  <si>
    <t>MetLife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</si>
  <si>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</si>
  <si>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</si>
  <si>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</si>
  <si>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</si>
  <si>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</si>
  <si>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Nigel Dally.</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</si>
  <si>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</si>
  <si>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</si>
  <si>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</si>
  <si>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</si>
  <si>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</si>
  <si>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</si>
  <si>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</si>
  <si>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</si>
  <si>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</si>
  <si>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</si>
  <si>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</si>
  <si>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</si>
  <si>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</si>
  <si>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</si>
  <si>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</si>
  <si>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</si>
  <si>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</si>
  <si>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</si>
  <si>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</si>
  <si>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</si>
  <si>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</si>
  <si>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</si>
  <si>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</si>
  <si>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</si>
  <si>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</si>
  <si>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</si>
  <si>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</si>
  <si>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</si>
  <si>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</si>
  <si>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</si>
  <si>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</si>
  <si>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</si>
  <si>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</si>
  <si>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</si>
  <si>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</si>
  <si>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</si>
  <si>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</si>
  <si>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</si>
  <si>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</si>
  <si>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</si>
  <si>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</si>
  <si>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</si>
  <si>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</si>
  <si>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</si>
  <si>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</si>
  <si>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</si>
  <si>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</si>
  <si>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</si>
  <si>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</si>
  <si>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</si>
  <si>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</si>
  <si>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</si>
  <si>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</si>
  <si>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</si>
  <si>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</si>
  <si>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</si>
  <si>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</si>
  <si>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</si>
  <si>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</si>
  <si>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</si>
  <si>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</si>
  <si>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</si>
  <si>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</si>
  <si>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</si>
  <si>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</si>
  <si>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</si>
  <si>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</si>
  <si>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</si>
  <si>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</si>
  <si>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</si>
  <si>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huangb</t>
  </si>
  <si>
    <t>MSA10131, MSA86LPP, MSA35NYJ</t>
  </si>
  <si>
    <t>59156R108</t>
  </si>
  <si>
    <t>L:\INSURANC\life&amp;annuities\models\Models to Submit\pre1Q18\CopyOf-MET.xlsm</t>
  </si>
  <si>
    <t>[BRO MSA]</t>
  </si>
  <si>
    <t>[PRODUCT MODEL]</t>
  </si>
  <si>
    <t>[EMAIL_ALERT YES]</t>
  </si>
  <si>
    <t>[DISCIPLINE Company]</t>
  </si>
  <si>
    <t>[SUPPRESSED NO]</t>
  </si>
  <si>
    <t>[DOCDAT 2018-04-05]</t>
  </si>
  <si>
    <t>[DOCTIME 08:52]</t>
  </si>
  <si>
    <t>[PSYM MET.N(S&amp;P) (None)]</t>
  </si>
  <si>
    <t>[COU 1]</t>
  </si>
  <si>
    <t>[ANA MSA86LPP MSA35NYJ]</t>
  </si>
  <si>
    <t>[HL MET.N Model]</t>
  </si>
  <si>
    <t>[IND INSURN]</t>
  </si>
  <si>
    <t>[PANA MSA10131]</t>
  </si>
  <si>
    <t>Morgan Stanley is providing financial advice to Metlife, Inc (“MET”) in connection with its proposed divestment, through an exchange offer, of its remaining stake in Brighthouse Financial, as announced on November 1, 2017. The transaction is subject to authorization by its board of directors, market conditions and regulatory approval. There is no guarantee that MET will ultimately pursue an exchange offer. Please refer to the notes at the end of this report.</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</si>
</sst>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6" formatCode="&quot;$&quot;#,##0_);[Red]\(&quot;$&quot;#,##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quot;$&quot;#,##0.0;\(&quot;$&quot;#,##0.0\)"/>
    <numFmt numFmtId="165" formatCode="#,##0.0_);\(#,##0.0\)"/>
    <numFmt numFmtId="166" formatCode="#,##0.00_)"/>
    <numFmt numFmtId="167" formatCode="#,##0_)"/>
    <numFmt numFmtId="168" formatCode="#,##0.0_)"/>
    <numFmt numFmtId="169" formatCode="#,##0.0"/>
    <numFmt numFmtId="170" formatCode="0.0"/>
    <numFmt numFmtId="171" formatCode="#,##0;\-#,##0"/>
    <numFmt numFmtId="172" formatCode="#,##0.0;\-#,##0.0"/>
    <numFmt numFmtId="173" formatCode="#,##0.00;\-#,##0.00"/>
    <numFmt numFmtId="174" formatCode="_(* #,##0.0_);_(* \(#,##0.0\);_(* &quot;-&quot;_);_(@_)"/>
    <numFmt numFmtId="175" formatCode="_(* #,##0.00_);_(* \(#,##0.00\);_(* &quot;-&quot;_);_(@_)"/>
    <numFmt numFmtId="176" formatCode="#,##0.00_);\(#,##0.00\);0.00_);@_)"/>
    <numFmt numFmtId="177" formatCode="#,##0_);\(#,##0\);0_);@_)"/>
    <numFmt numFmtId="178" formatCode="0.000"/>
    <numFmt numFmtId="179" formatCode="_(* #,##0_);_(* \(#,##0\);_(* &quot;-&quot;??_);_(@_)"/>
    <numFmt numFmtId="180" formatCode="#,##0.000_)"/>
    <numFmt numFmtId="181" formatCode="_(* #,##0.000_);_(* \(#,##0.000\);_(* &quot;-&quot;_);_(@_)"/>
    <numFmt numFmtId="182" formatCode="0_);\(0\)"/>
    <numFmt numFmtId="183" formatCode="0.00_);\(0.00\)"/>
    <numFmt numFmtId="184" formatCode="#,##0.0000_)"/>
    <numFmt numFmtId="185" formatCode="_(* #,##0.0_);_(* \(#,##0.0\);_(* &quot;-&quot;??_);_(@_)"/>
    <numFmt numFmtId="186" formatCode="0.0%"/>
    <numFmt numFmtId="187" formatCode="#,##0.000_);\(#,##0.000\)"/>
    <numFmt numFmtId="188" formatCode="###0_)"/>
    <numFmt numFmtId="189" formatCode="mm/dd/yy\ hh:mm"/>
  </numFmts>
  <fonts count="102" x14ac:knownFonts="1">
    <font>
      <sz val="10"/>
      <name val="Arial"/>
    </font>
    <font>
      <sz val="10"/>
      <name val="Arial"/>
      <family val="2"/>
    </font>
    <font>
      <sz val="10"/>
      <name val="Arial"/>
      <family val="2"/>
    </font>
    <font>
      <sz val="8"/>
      <name val="Times New Roman"/>
      <family val="1"/>
    </font>
    <font>
      <sz val="8"/>
      <name val="Arial"/>
      <family val="2"/>
    </font>
    <font>
      <sz val="8"/>
      <color indexed="81"/>
      <name val="Tahoma"/>
      <family val="2"/>
    </font>
    <font>
      <u/>
      <sz val="8"/>
      <color indexed="12"/>
      <name val="Arial"/>
      <family val="2"/>
    </font>
    <font>
      <b/>
      <sz val="8"/>
      <color indexed="81"/>
      <name val="Tahoma"/>
      <family val="2"/>
    </font>
    <font>
      <sz val="11"/>
      <name val="Arial"/>
      <family val="2"/>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0"/>
      <name val="Calibri"/>
      <family val="2"/>
    </font>
    <font>
      <b/>
      <sz val="10"/>
      <name val="Calibri"/>
      <family val="2"/>
    </font>
    <font>
      <i/>
      <sz val="10"/>
      <name val="Calibri"/>
      <family val="2"/>
    </font>
    <font>
      <b/>
      <sz val="10"/>
      <color indexed="9"/>
      <name val="Calibri"/>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62"/>
      <name val="Cambria"/>
      <family val="2"/>
    </font>
    <font>
      <b/>
      <sz val="11"/>
      <color indexed="8"/>
      <name val="Calibri"/>
      <family val="2"/>
    </font>
    <font>
      <sz val="11"/>
      <color indexed="10"/>
      <name val="Calibri"/>
      <family val="2"/>
    </font>
    <font>
      <sz val="10"/>
      <color indexed="9"/>
      <name val="Calibri"/>
      <family val="2"/>
    </font>
    <font>
      <sz val="10"/>
      <color indexed="8"/>
      <name val="Calibri"/>
      <family val="2"/>
    </font>
    <font>
      <sz val="10"/>
      <color indexed="10"/>
      <name val="Calibri"/>
      <family val="2"/>
    </font>
    <font>
      <sz val="10"/>
      <color indexed="12"/>
      <name val="Calibri"/>
      <family val="2"/>
    </font>
    <font>
      <b/>
      <sz val="10"/>
      <color indexed="17"/>
      <name val="Calibri"/>
      <family val="2"/>
    </font>
    <font>
      <i/>
      <sz val="10"/>
      <color indexed="10"/>
      <name val="Calibri"/>
      <family val="2"/>
    </font>
    <font>
      <i/>
      <sz val="10"/>
      <color indexed="8"/>
      <name val="Calibri"/>
      <family val="2"/>
    </font>
    <font>
      <i/>
      <sz val="10"/>
      <color indexed="12"/>
      <name val="Calibri"/>
      <family val="2"/>
    </font>
    <font>
      <sz val="10"/>
      <color indexed="16"/>
      <name val="Calibri"/>
      <family val="2"/>
    </font>
    <font>
      <i/>
      <sz val="10"/>
      <color indexed="16"/>
      <name val="Calibri"/>
      <family val="2"/>
    </font>
    <font>
      <b/>
      <sz val="10"/>
      <color indexed="8"/>
      <name val="Calibri"/>
      <family val="2"/>
    </font>
    <font>
      <b/>
      <sz val="10"/>
      <color indexed="10"/>
      <name val="Calibri"/>
      <family val="2"/>
    </font>
    <font>
      <b/>
      <i/>
      <sz val="10"/>
      <color indexed="8"/>
      <name val="Calibri"/>
      <family val="2"/>
    </font>
    <font>
      <b/>
      <sz val="10"/>
      <color indexed="12"/>
      <name val="Calibri"/>
      <family val="2"/>
    </font>
    <font>
      <b/>
      <sz val="10"/>
      <color indexed="16"/>
      <name val="Calibri"/>
      <family val="2"/>
    </font>
    <font>
      <b/>
      <i/>
      <sz val="10"/>
      <color indexed="12"/>
      <name val="Calibri"/>
      <family val="2"/>
    </font>
    <font>
      <i/>
      <sz val="10"/>
      <color indexed="9"/>
      <name val="Calibri"/>
      <family val="2"/>
    </font>
    <font>
      <sz val="10"/>
      <name val="Tahoma"/>
      <family val="2"/>
    </font>
    <font>
      <sz val="10"/>
      <color indexed="2"/>
      <name val="Tahoma"/>
      <family val="2"/>
    </font>
    <font>
      <b/>
      <sz val="10"/>
      <color indexed="0"/>
      <name val="Tahoma"/>
      <family val="2"/>
    </font>
    <font>
      <b/>
      <i/>
      <sz val="10"/>
      <color indexed="4"/>
      <name val="Tahoma"/>
      <family val="2"/>
    </font>
    <font>
      <sz val="10"/>
      <color indexed="4"/>
      <name val="Tahoma"/>
      <family val="2"/>
    </font>
    <font>
      <sz val="12"/>
      <name val="Helv"/>
    </font>
    <font>
      <sz val="10"/>
      <name val="Calibri"/>
      <family val="2"/>
    </font>
    <font>
      <sz val="10"/>
      <color indexed="22"/>
      <name val="Calibri"/>
      <family val="2"/>
    </font>
    <font>
      <i/>
      <sz val="10"/>
      <color indexed="22"/>
      <name val="Calibri"/>
      <family val="2"/>
    </font>
    <font>
      <b/>
      <sz val="18"/>
      <color indexed="12"/>
      <name val="Calibri"/>
      <family val="2"/>
    </font>
    <font>
      <b/>
      <sz val="12"/>
      <color indexed="12"/>
      <name val="Calibri"/>
      <family val="2"/>
    </font>
    <font>
      <i/>
      <sz val="8"/>
      <name val="Calibri"/>
      <family val="2"/>
    </font>
    <font>
      <b/>
      <i/>
      <sz val="10"/>
      <name val="Calibri"/>
      <family val="2"/>
    </font>
    <font>
      <sz val="8"/>
      <name val="Tms Rmn"/>
    </font>
    <font>
      <sz val="10"/>
      <name val="Times New Roman"/>
      <family val="1"/>
    </font>
    <font>
      <sz val="8"/>
      <color indexed="12"/>
      <name val="Tms Rmn"/>
      <family val="1"/>
    </font>
    <font>
      <sz val="10"/>
      <color indexed="18"/>
      <name val="Times New Roman"/>
      <family val="1"/>
    </font>
    <font>
      <u/>
      <sz val="8"/>
      <name val="Tms Rmn"/>
    </font>
    <font>
      <u/>
      <sz val="8"/>
      <name val="Times New Roman"/>
      <family val="1"/>
    </font>
    <font>
      <sz val="10"/>
      <color indexed="62"/>
      <name val="Calibri"/>
      <family val="2"/>
    </font>
    <font>
      <u/>
      <sz val="10"/>
      <name val="Calibri"/>
      <family val="2"/>
    </font>
    <font>
      <b/>
      <i/>
      <sz val="10"/>
      <color indexed="9"/>
      <name val="Calibri"/>
      <family val="2"/>
    </font>
    <font>
      <sz val="9"/>
      <color indexed="81"/>
      <name val="Tahoma"/>
      <family val="2"/>
    </font>
    <font>
      <b/>
      <sz val="9"/>
      <color indexed="81"/>
      <name val="Tahoma"/>
      <family val="2"/>
    </font>
    <font>
      <sz val="10"/>
      <color rgb="FFFF0000"/>
      <name val="Calibri"/>
      <family val="2"/>
    </font>
    <font>
      <sz val="10"/>
      <color rgb="FF0070C0"/>
      <name val="Calibri"/>
      <family val="2"/>
    </font>
    <font>
      <b/>
      <sz val="10"/>
      <color rgb="FF0070C0"/>
      <name val="Calibri"/>
      <family val="2"/>
    </font>
    <font>
      <i/>
      <sz val="10"/>
      <color theme="0" tint="-0.499984740745262"/>
      <name val="Calibri"/>
      <family val="2"/>
    </font>
    <font>
      <b/>
      <sz val="10"/>
      <color theme="0"/>
      <name val="Calibri"/>
      <family val="2"/>
    </font>
    <font>
      <sz val="10"/>
      <color theme="0"/>
      <name val="Calibri"/>
      <family val="2"/>
    </font>
    <font>
      <i/>
      <sz val="10"/>
      <color theme="0"/>
      <name val="Calibri"/>
      <family val="2"/>
    </font>
    <font>
      <b/>
      <sz val="10"/>
      <color rgb="FFC00000"/>
      <name val="Calibri"/>
      <family val="2"/>
    </font>
    <font>
      <b/>
      <sz val="10"/>
      <color rgb="FF7F7F7F"/>
      <name val="Calibri"/>
      <family val="2"/>
    </font>
    <font>
      <i/>
      <sz val="10"/>
      <color rgb="FF7F7F7F"/>
      <name val="Calibri"/>
      <family val="2"/>
    </font>
    <font>
      <sz val="10"/>
      <color rgb="FF7F7F7F"/>
      <name val="Calibri"/>
      <family val="2"/>
    </font>
    <font>
      <b/>
      <i/>
      <sz val="10"/>
      <color rgb="FF7F7F7F"/>
      <name val="Calibri"/>
      <family val="2"/>
    </font>
    <font>
      <i/>
      <sz val="10"/>
      <color rgb="FFC00000"/>
      <name val="Calibri"/>
      <family val="2"/>
    </font>
    <font>
      <sz val="10"/>
      <color rgb="FFC00000"/>
      <name val="Calibri"/>
      <family val="2"/>
    </font>
    <font>
      <b/>
      <i/>
      <sz val="10"/>
      <color rgb="FFC00000"/>
      <name val="Calibri"/>
      <family val="2"/>
    </font>
    <font>
      <sz val="10"/>
      <color rgb="FF006699"/>
      <name val="Calibri"/>
      <family val="2"/>
    </font>
    <font>
      <b/>
      <sz val="9"/>
      <color indexed="81"/>
      <name val="Calibri"/>
      <family val="2"/>
      <scheme val="minor"/>
    </font>
    <font>
      <sz val="9"/>
      <color indexed="81"/>
      <name val="Calibri"/>
      <family val="2"/>
      <scheme val="minor"/>
    </font>
    <font>
      <b/>
      <sz val="9"/>
      <color indexed="81"/>
      <name val="Calibri"/>
      <family val="2"/>
    </font>
    <font>
      <sz val="9"/>
      <color indexed="81"/>
      <name val="Calibri"/>
      <family val="2"/>
    </font>
    <font>
      <i/>
      <sz val="10"/>
      <color rgb="FFFF0000"/>
      <name val="Calibri"/>
      <family val="2"/>
    </font>
    <font>
      <b/>
      <sz val="10"/>
      <color rgb="FFFF0000"/>
      <name val="Calibri"/>
      <family val="2"/>
    </font>
    <font>
      <sz val="10"/>
      <name val="Courier"/>
      <family val="3"/>
    </font>
    <font>
      <i/>
      <sz val="10"/>
      <name val="Arial"/>
      <family val="2"/>
    </font>
    <font>
      <sz val="10"/>
      <color rgb="FF000000"/>
      <name val="Arial"/>
      <family val="2"/>
    </font>
    <font>
      <b/>
      <sz val="12"/>
      <color rgb="FF000080"/>
      <name val="Arial"/>
      <family val="2"/>
    </font>
  </fonts>
  <fills count="27">
    <fill>
      <patternFill patternType="none"/>
    </fill>
    <fill>
      <patternFill patternType="gray125"/>
    </fill>
    <fill>
      <patternFill patternType="solid">
        <fgColor indexed="47"/>
      </patternFill>
    </fill>
    <fill>
      <patternFill patternType="solid">
        <fgColor indexed="29"/>
      </patternFill>
    </fill>
    <fill>
      <patternFill patternType="solid">
        <fgColor indexed="43"/>
      </patternFill>
    </fill>
    <fill>
      <patternFill patternType="solid">
        <fgColor indexed="27"/>
      </patternFill>
    </fill>
    <fill>
      <patternFill patternType="solid">
        <fgColor indexed="22"/>
      </patternFill>
    </fill>
    <fill>
      <patternFill patternType="solid">
        <fgColor indexed="44"/>
      </patternFill>
    </fill>
    <fill>
      <patternFill patternType="solid">
        <fgColor indexed="49"/>
      </patternFill>
    </fill>
    <fill>
      <patternFill patternType="solid">
        <fgColor indexed="26"/>
      </patternFill>
    </fill>
    <fill>
      <patternFill patternType="solid">
        <fgColor indexed="54"/>
      </patternFill>
    </fill>
    <fill>
      <patternFill patternType="solid">
        <fgColor indexed="45"/>
      </patternFill>
    </fill>
    <fill>
      <patternFill patternType="solid">
        <fgColor indexed="9"/>
      </patternFill>
    </fill>
    <fill>
      <patternFill patternType="solid">
        <fgColor indexed="55"/>
      </patternFill>
    </fill>
    <fill>
      <patternFill patternType="solid">
        <fgColor indexed="48"/>
      </patternFill>
    </fill>
    <fill>
      <patternFill patternType="solid">
        <fgColor indexed="42"/>
      </patternFill>
    </fill>
    <fill>
      <patternFill patternType="solid">
        <fgColor indexed="43"/>
        <bgColor indexed="64"/>
      </patternFill>
    </fill>
    <fill>
      <patternFill patternType="solid">
        <fgColor indexed="22"/>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1"/>
        <bgColor indexed="64"/>
      </patternFill>
    </fill>
    <fill>
      <patternFill patternType="solid">
        <fgColor indexed="56"/>
        <bgColor indexed="64"/>
      </patternFill>
    </fill>
    <fill>
      <patternFill patternType="solid">
        <fgColor indexed="53"/>
        <bgColor indexed="64"/>
      </patternFill>
    </fill>
    <fill>
      <patternFill patternType="solid">
        <fgColor theme="0"/>
        <bgColor indexed="64"/>
      </patternFill>
    </fill>
    <fill>
      <patternFill patternType="solid">
        <fgColor theme="0" tint="-0.14999847407452621"/>
        <bgColor indexed="64"/>
      </patternFill>
    </fill>
    <fill>
      <patternFill patternType="solid">
        <fgColor indexed="65"/>
        <bgColor indexed="64"/>
      </patternFill>
    </fill>
  </fills>
  <borders count="32">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
      <left/>
      <right/>
      <top/>
      <bottom style="thick">
        <color indexed="22"/>
      </bottom>
      <diagonal/>
    </border>
    <border>
      <left/>
      <right/>
      <top/>
      <bottom style="medium">
        <color indexed="49"/>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n">
        <color indexed="8"/>
      </bottom>
      <diagonal/>
    </border>
    <border>
      <left/>
      <right/>
      <top style="thin">
        <color indexed="49"/>
      </top>
      <bottom style="double">
        <color indexed="49"/>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indexed="64"/>
      </bottom>
      <diagonal/>
    </border>
    <border>
      <left/>
      <right style="thin">
        <color theme="0" tint="-0.24994659260841701"/>
      </right>
      <top/>
      <bottom style="thin">
        <color indexed="64"/>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105">
    <xf numFmtId="0" fontId="0" fillId="0" borderId="0"/>
    <xf numFmtId="0" fontId="65" fillId="0" borderId="0">
      <alignment horizontal="right"/>
    </xf>
    <xf numFmtId="164" fontId="3" fillId="0" borderId="0">
      <alignment horizontal="right"/>
    </xf>
    <xf numFmtId="0" fontId="65" fillId="0" borderId="0">
      <alignment horizontal="right"/>
    </xf>
    <xf numFmtId="0" fontId="1" fillId="0" borderId="0"/>
    <xf numFmtId="0" fontId="1" fillId="0" borderId="0" applyFont="0" applyFill="0" applyBorder="0" applyAlignment="0" applyProtection="0"/>
    <xf numFmtId="0" fontId="1" fillId="0" borderId="0"/>
    <xf numFmtId="0" fontId="1" fillId="0" borderId="0"/>
    <xf numFmtId="0" fontId="1" fillId="0" borderId="0"/>
    <xf numFmtId="44" fontId="66" fillId="0" borderId="0" applyFont="0" applyFill="0" applyBorder="0" applyAlignment="0" applyProtection="0"/>
    <xf numFmtId="42" fontId="66" fillId="0" borderId="0" applyFont="0" applyFill="0" applyBorder="0" applyAlignment="0" applyProtection="0"/>
    <xf numFmtId="0" fontId="3" fillId="0" borderId="0">
      <alignment horizontal="right"/>
    </xf>
    <xf numFmtId="0" fontId="1" fillId="0" borderId="0"/>
    <xf numFmtId="0" fontId="66" fillId="0" borderId="0"/>
    <xf numFmtId="0" fontId="66" fillId="0" borderId="0"/>
    <xf numFmtId="0" fontId="9" fillId="0" borderId="0"/>
    <xf numFmtId="0" fontId="9" fillId="0" borderId="0"/>
    <xf numFmtId="0" fontId="18" fillId="2"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2" borderId="0" applyNumberFormat="0" applyBorder="0" applyAlignment="0" applyProtection="0"/>
    <xf numFmtId="0" fontId="18" fillId="5" borderId="0" applyNumberFormat="0" applyBorder="0" applyAlignment="0" applyProtection="0"/>
    <xf numFmtId="0" fontId="18" fillId="4" borderId="0" applyNumberFormat="0" applyBorder="0" applyAlignment="0" applyProtection="0"/>
    <xf numFmtId="0" fontId="18" fillId="6" borderId="0" applyNumberFormat="0" applyBorder="0" applyAlignment="0" applyProtection="0"/>
    <xf numFmtId="0" fontId="18" fillId="3" borderId="0" applyNumberFormat="0" applyBorder="0" applyAlignment="0" applyProtection="0"/>
    <xf numFmtId="0" fontId="18" fillId="4" borderId="0" applyNumberFormat="0" applyBorder="0" applyAlignment="0" applyProtection="0"/>
    <xf numFmtId="0" fontId="18" fillId="6" borderId="0" applyNumberFormat="0" applyBorder="0" applyAlignment="0" applyProtection="0"/>
    <xf numFmtId="0" fontId="18" fillId="7" borderId="0" applyNumberFormat="0" applyBorder="0" applyAlignment="0" applyProtection="0"/>
    <xf numFmtId="0" fontId="18" fillId="4" borderId="0" applyNumberFormat="0" applyBorder="0" applyAlignment="0" applyProtection="0"/>
    <xf numFmtId="0" fontId="19" fillId="8" borderId="0" applyNumberFormat="0" applyBorder="0" applyAlignment="0" applyProtection="0"/>
    <xf numFmtId="0" fontId="19" fillId="3" borderId="0" applyNumberFormat="0" applyBorder="0" applyAlignment="0" applyProtection="0"/>
    <xf numFmtId="0" fontId="19" fillId="9" borderId="0" applyNumberFormat="0" applyBorder="0" applyAlignment="0" applyProtection="0"/>
    <xf numFmtId="0" fontId="19" fillId="6" borderId="0" applyNumberFormat="0" applyBorder="0" applyAlignment="0" applyProtection="0"/>
    <xf numFmtId="0" fontId="19" fillId="8" borderId="0" applyNumberFormat="0" applyBorder="0" applyAlignment="0" applyProtection="0"/>
    <xf numFmtId="0" fontId="19" fillId="4" borderId="0" applyNumberFormat="0" applyBorder="0" applyAlignment="0" applyProtection="0"/>
    <xf numFmtId="0" fontId="19" fillId="8" borderId="0" applyNumberFormat="0" applyBorder="0" applyAlignment="0" applyProtection="0"/>
    <xf numFmtId="0" fontId="19" fillId="3" borderId="0" applyNumberFormat="0" applyBorder="0" applyAlignment="0" applyProtection="0"/>
    <xf numFmtId="0" fontId="19" fillId="9" borderId="0" applyNumberFormat="0" applyBorder="0" applyAlignment="0" applyProtection="0"/>
    <xf numFmtId="0" fontId="19" fillId="10" borderId="0" applyNumberFormat="0" applyBorder="0" applyAlignment="0" applyProtection="0"/>
    <xf numFmtId="0" fontId="19" fillId="8" borderId="0" applyNumberFormat="0" applyBorder="0" applyAlignment="0" applyProtection="0"/>
    <xf numFmtId="0" fontId="19" fillId="3" borderId="0" applyNumberFormat="0" applyBorder="0" applyAlignment="0" applyProtection="0"/>
    <xf numFmtId="0" fontId="20" fillId="11" borderId="0" applyNumberFormat="0" applyBorder="0" applyAlignment="0" applyProtection="0"/>
    <xf numFmtId="0" fontId="67" fillId="0" borderId="0" applyNumberFormat="0" applyFill="0" applyBorder="0" applyAlignment="0" applyProtection="0"/>
    <xf numFmtId="0" fontId="10" fillId="0" borderId="0"/>
    <xf numFmtId="0" fontId="21" fillId="12" borderId="1" applyNumberFormat="0" applyAlignment="0" applyProtection="0"/>
    <xf numFmtId="1" fontId="68" fillId="0" borderId="0"/>
    <xf numFmtId="0" fontId="22" fillId="13" borderId="2" applyNumberFormat="0" applyAlignment="0" applyProtection="0"/>
    <xf numFmtId="43" fontId="1" fillId="0" borderId="0" applyFont="0" applyFill="0" applyBorder="0" applyAlignment="0" applyProtection="0"/>
    <xf numFmtId="14" fontId="3" fillId="0" borderId="0">
      <alignment horizontal="right"/>
    </xf>
    <xf numFmtId="0" fontId="3" fillId="0" borderId="0">
      <alignment horizontal="right"/>
    </xf>
    <xf numFmtId="0" fontId="3" fillId="0" borderId="0">
      <alignment horizontal="right"/>
    </xf>
    <xf numFmtId="0" fontId="3" fillId="0" borderId="0">
      <alignment horizontal="right"/>
    </xf>
    <xf numFmtId="0" fontId="23" fillId="0" borderId="0" applyNumberFormat="0" applyFill="0" applyBorder="0" applyAlignment="0" applyProtection="0"/>
    <xf numFmtId="0" fontId="53" fillId="0" borderId="0"/>
    <xf numFmtId="0" fontId="54" fillId="14" borderId="0"/>
    <xf numFmtId="0" fontId="24" fillId="15" borderId="0" applyNumberFormat="0" applyBorder="0" applyAlignment="0" applyProtection="0"/>
    <xf numFmtId="0" fontId="25" fillId="0" borderId="3" applyNumberFormat="0" applyFill="0" applyAlignment="0" applyProtection="0"/>
    <xf numFmtId="0" fontId="26" fillId="0" borderId="4" applyNumberFormat="0" applyFill="0" applyAlignment="0" applyProtection="0"/>
    <xf numFmtId="0" fontId="27" fillId="0" borderId="5" applyNumberFormat="0" applyFill="0" applyAlignment="0" applyProtection="0"/>
    <xf numFmtId="0" fontId="27" fillId="0" borderId="0" applyNumberFormat="0" applyFill="0" applyBorder="0" applyAlignment="0" applyProtection="0"/>
    <xf numFmtId="0" fontId="52" fillId="0" borderId="0">
      <alignment wrapText="1"/>
    </xf>
    <xf numFmtId="0" fontId="6" fillId="0" borderId="0" applyNumberFormat="0" applyFill="0" applyBorder="0" applyAlignment="0" applyProtection="0">
      <alignment vertical="top"/>
      <protection locked="0"/>
    </xf>
    <xf numFmtId="0" fontId="28" fillId="4" borderId="1" applyNumberFormat="0" applyAlignment="0" applyProtection="0"/>
    <xf numFmtId="0" fontId="29" fillId="0" borderId="6" applyNumberFormat="0" applyFill="0" applyAlignment="0" applyProtection="0"/>
    <xf numFmtId="0" fontId="54" fillId="0" borderId="0"/>
    <xf numFmtId="0" fontId="55" fillId="0" borderId="0"/>
    <xf numFmtId="0" fontId="56" fillId="0" borderId="0"/>
    <xf numFmtId="0" fontId="30" fillId="4" borderId="0" applyNumberFormat="0" applyBorder="0" applyAlignment="0" applyProtection="0"/>
    <xf numFmtId="0" fontId="58" fillId="0" borderId="0"/>
    <xf numFmtId="0" fontId="57" fillId="0" borderId="0"/>
    <xf numFmtId="0" fontId="1" fillId="0" borderId="0"/>
    <xf numFmtId="0" fontId="1" fillId="4" borderId="7" applyNumberFormat="0" applyFont="0" applyAlignment="0" applyProtection="0"/>
    <xf numFmtId="43" fontId="66" fillId="0" borderId="0" applyFont="0" applyFill="0" applyBorder="0" applyAlignment="0" applyProtection="0"/>
    <xf numFmtId="41" fontId="66" fillId="0" borderId="0" applyFont="0" applyFill="0" applyBorder="0" applyAlignment="0" applyProtection="0"/>
    <xf numFmtId="0" fontId="65" fillId="0" borderId="0"/>
    <xf numFmtId="0" fontId="31" fillId="12" borderId="8" applyNumberFormat="0" applyAlignment="0" applyProtection="0"/>
    <xf numFmtId="0" fontId="11" fillId="0" borderId="0">
      <alignment vertical="center"/>
    </xf>
    <xf numFmtId="0" fontId="56" fillId="0" borderId="0"/>
    <xf numFmtId="9" fontId="1" fillId="0" borderId="0" applyFont="0" applyFill="0" applyBorder="0" applyAlignment="0" applyProtection="0"/>
    <xf numFmtId="0" fontId="3" fillId="0" borderId="0">
      <alignment horizontal="right"/>
    </xf>
    <xf numFmtId="10" fontId="3" fillId="0" borderId="0">
      <alignment horizontal="right"/>
    </xf>
    <xf numFmtId="9" fontId="65" fillId="0" borderId="0">
      <alignment horizontal="right"/>
    </xf>
    <xf numFmtId="0" fontId="2" fillId="16" borderId="0" applyNumberFormat="0" applyFont="0" applyBorder="0" applyAlignment="0" applyProtection="0"/>
    <xf numFmtId="0" fontId="12" fillId="0" borderId="0"/>
    <xf numFmtId="0" fontId="12" fillId="0" borderId="9">
      <alignment horizontal="centerContinuous"/>
    </xf>
    <xf numFmtId="0" fontId="13" fillId="0" borderId="9"/>
    <xf numFmtId="0" fontId="1" fillId="0" borderId="0">
      <alignment vertical="top"/>
    </xf>
    <xf numFmtId="0" fontId="1" fillId="0" borderId="0">
      <alignment vertical="top"/>
    </xf>
    <xf numFmtId="0" fontId="32" fillId="0" borderId="0" applyNumberFormat="0" applyFill="0" applyBorder="0" applyAlignment="0" applyProtection="0"/>
    <xf numFmtId="0" fontId="33" fillId="0" borderId="10" applyNumberFormat="0" applyFill="0" applyAlignment="0" applyProtection="0"/>
    <xf numFmtId="0" fontId="69" fillId="0" borderId="0">
      <alignment horizontal="left"/>
    </xf>
    <xf numFmtId="0" fontId="69" fillId="0" borderId="0">
      <alignment horizontal="right"/>
    </xf>
    <xf numFmtId="0" fontId="70" fillId="0" borderId="0">
      <alignment horizontal="right"/>
    </xf>
    <xf numFmtId="1" fontId="69" fillId="0" borderId="0">
      <alignment horizontal="left"/>
    </xf>
    <xf numFmtId="0" fontId="69" fillId="0" borderId="0">
      <alignment horizontal="right"/>
    </xf>
    <xf numFmtId="165" fontId="69" fillId="0" borderId="0">
      <alignment horizontal="left"/>
    </xf>
    <xf numFmtId="0" fontId="34" fillId="0" borderId="0" applyNumberFormat="0" applyFill="0" applyBorder="0" applyAlignment="0" applyProtection="0"/>
    <xf numFmtId="0" fontId="2" fillId="0" borderId="0"/>
    <xf numFmtId="44" fontId="2" fillId="0" borderId="0" applyFont="0" applyFill="0" applyBorder="0" applyAlignment="0" applyProtection="0"/>
    <xf numFmtId="0" fontId="1" fillId="0" borderId="0"/>
    <xf numFmtId="0" fontId="1" fillId="16" borderId="0" applyNumberFormat="0" applyFont="0" applyBorder="0" applyAlignment="0" applyProtection="0"/>
    <xf numFmtId="44" fontId="1" fillId="0" borderId="0" applyFont="0" applyFill="0" applyBorder="0" applyAlignment="0" applyProtection="0"/>
    <xf numFmtId="0" fontId="1" fillId="0" borderId="0"/>
    <xf numFmtId="44" fontId="1" fillId="0" borderId="0" applyFont="0" applyFill="0" applyBorder="0" applyAlignment="0" applyProtection="0"/>
    <xf numFmtId="0" fontId="98" fillId="0" borderId="0"/>
  </cellStyleXfs>
  <cellXfs count="1200">
    <xf numFmtId="0" fontId="0" fillId="0" borderId="0" xfId="0"/>
    <xf numFmtId="49" fontId="0" fillId="0" borderId="0" xfId="0" applyNumberFormat="1"/>
    <xf numFmtId="0" fontId="14" fillId="0" borderId="0" xfId="0" applyFont="1"/>
    <xf numFmtId="0" fontId="14" fillId="17" borderId="0" xfId="0" applyFont="1" applyFill="1"/>
    <xf numFmtId="0" fontId="15" fillId="0" borderId="12" xfId="0" applyFont="1" applyBorder="1" applyAlignment="1">
      <alignment horizontal="right"/>
    </xf>
    <xf numFmtId="0" fontId="15" fillId="0" borderId="0" xfId="0" applyFont="1"/>
    <xf numFmtId="0" fontId="14" fillId="0" borderId="12" xfId="0" applyFont="1" applyBorder="1"/>
    <xf numFmtId="0" fontId="16" fillId="0" borderId="0" xfId="0" applyFont="1"/>
    <xf numFmtId="37" fontId="14" fillId="0" borderId="0" xfId="0" applyNumberFormat="1" applyFont="1"/>
    <xf numFmtId="0" fontId="14" fillId="0" borderId="0" xfId="0" applyFont="1" applyAlignment="1">
      <alignment horizontal="left" indent="1"/>
    </xf>
    <xf numFmtId="0" fontId="14" fillId="0" borderId="0" xfId="0" applyFont="1" applyFill="1"/>
    <xf numFmtId="3" fontId="14" fillId="0" borderId="0" xfId="0" applyNumberFormat="1" applyFont="1"/>
    <xf numFmtId="0" fontId="16" fillId="0" borderId="0" xfId="0" applyFont="1" applyFill="1"/>
    <xf numFmtId="3" fontId="14" fillId="0" borderId="0" xfId="0" applyNumberFormat="1" applyFont="1" applyFill="1"/>
    <xf numFmtId="3" fontId="16" fillId="0" borderId="0" xfId="0" applyNumberFormat="1" applyFont="1" applyFill="1"/>
    <xf numFmtId="0" fontId="15" fillId="0" borderId="0" xfId="0" applyFont="1" applyFill="1"/>
    <xf numFmtId="179" fontId="14" fillId="0" borderId="0" xfId="47" applyNumberFormat="1" applyFont="1" applyFill="1"/>
    <xf numFmtId="0" fontId="16" fillId="17" borderId="0" xfId="0" applyFont="1" applyFill="1"/>
    <xf numFmtId="0" fontId="14" fillId="0" borderId="0" xfId="0" applyFont="1" applyFill="1" applyBorder="1" applyAlignment="1">
      <alignment horizontal="left"/>
    </xf>
    <xf numFmtId="0" fontId="15" fillId="0" borderId="0" xfId="0" applyFont="1" applyFill="1" applyBorder="1" applyAlignment="1">
      <alignment horizontal="left"/>
    </xf>
    <xf numFmtId="0" fontId="14" fillId="0" borderId="0" xfId="0" applyFont="1" applyBorder="1"/>
    <xf numFmtId="0" fontId="14" fillId="18" borderId="0" xfId="0" applyFont="1" applyFill="1"/>
    <xf numFmtId="0" fontId="15" fillId="20" borderId="0" xfId="0" applyFont="1" applyFill="1"/>
    <xf numFmtId="0" fontId="14" fillId="0" borderId="0" xfId="0" applyFont="1" applyFill="1" applyBorder="1"/>
    <xf numFmtId="0" fontId="14" fillId="0" borderId="0" xfId="0" applyFont="1" applyFill="1" applyAlignment="1">
      <alignment horizontal="right"/>
    </xf>
    <xf numFmtId="0" fontId="36" fillId="0" borderId="0" xfId="0" applyFont="1" applyFill="1" applyAlignment="1">
      <alignment horizontal="right"/>
    </xf>
    <xf numFmtId="39" fontId="36" fillId="0" borderId="0" xfId="0" applyNumberFormat="1" applyFont="1" applyFill="1" applyAlignment="1">
      <alignment horizontal="right"/>
    </xf>
    <xf numFmtId="0" fontId="14" fillId="17" borderId="0" xfId="0" applyFont="1" applyFill="1" applyAlignment="1">
      <alignment horizontal="right"/>
    </xf>
    <xf numFmtId="0" fontId="14" fillId="0" borderId="0" xfId="0" applyFont="1" applyFill="1" applyBorder="1" applyProtection="1">
      <protection locked="0"/>
    </xf>
    <xf numFmtId="0" fontId="14" fillId="0" borderId="0" xfId="0" quotePrefix="1" applyFont="1" applyFill="1" applyBorder="1" applyAlignment="1">
      <alignment horizontal="right"/>
    </xf>
    <xf numFmtId="3" fontId="14" fillId="0" borderId="0" xfId="0" applyNumberFormat="1" applyFont="1" applyFill="1" applyBorder="1" applyAlignment="1">
      <alignment horizontal="right"/>
    </xf>
    <xf numFmtId="0" fontId="14" fillId="0" borderId="0" xfId="0" applyFont="1" applyFill="1" applyBorder="1" applyAlignment="1">
      <alignment horizontal="right"/>
    </xf>
    <xf numFmtId="1" fontId="14" fillId="0" borderId="0" xfId="0" applyNumberFormat="1" applyFont="1" applyFill="1" applyBorder="1" applyAlignment="1">
      <alignment horizontal="right"/>
    </xf>
    <xf numFmtId="3" fontId="16" fillId="0" borderId="0" xfId="0" applyNumberFormat="1" applyFont="1" applyFill="1" applyAlignment="1">
      <alignment horizontal="right"/>
    </xf>
    <xf numFmtId="39" fontId="14" fillId="0" borderId="0" xfId="0" applyNumberFormat="1" applyFont="1" applyFill="1" applyAlignment="1">
      <alignment horizontal="right"/>
    </xf>
    <xf numFmtId="39" fontId="38" fillId="0" borderId="0" xfId="0" applyNumberFormat="1" applyFont="1" applyFill="1" applyAlignment="1">
      <alignment horizontal="right"/>
    </xf>
    <xf numFmtId="1" fontId="16" fillId="0" borderId="0" xfId="0" applyNumberFormat="1" applyFont="1" applyFill="1" applyAlignment="1">
      <alignment horizontal="right"/>
    </xf>
    <xf numFmtId="39" fontId="39" fillId="0" borderId="0" xfId="0" applyNumberFormat="1" applyFont="1" applyFill="1" applyAlignment="1">
      <alignment horizontal="right"/>
    </xf>
    <xf numFmtId="10" fontId="16" fillId="0" borderId="0" xfId="0" applyNumberFormat="1" applyFont="1" applyFill="1" applyBorder="1" applyAlignment="1">
      <alignment horizontal="right"/>
    </xf>
    <xf numFmtId="39" fontId="38" fillId="0" borderId="0" xfId="0" applyNumberFormat="1" applyFont="1" applyFill="1" applyBorder="1" applyAlignment="1">
      <alignment horizontal="right"/>
    </xf>
    <xf numFmtId="37" fontId="38" fillId="0" borderId="0" xfId="0" applyNumberFormat="1" applyFont="1" applyFill="1" applyAlignment="1">
      <alignment horizontal="right"/>
    </xf>
    <xf numFmtId="39" fontId="14" fillId="0" borderId="0" xfId="0" applyNumberFormat="1" applyFont="1" applyFill="1" applyBorder="1" applyAlignment="1">
      <alignment horizontal="right"/>
    </xf>
    <xf numFmtId="0" fontId="16" fillId="0" borderId="0" xfId="0" applyNumberFormat="1" applyFont="1" applyFill="1" applyAlignment="1">
      <alignment horizontal="right"/>
    </xf>
    <xf numFmtId="3" fontId="16" fillId="0" borderId="12" xfId="0" applyNumberFormat="1" applyFont="1" applyFill="1" applyBorder="1" applyAlignment="1">
      <alignment horizontal="right"/>
    </xf>
    <xf numFmtId="167" fontId="16" fillId="0" borderId="12" xfId="0" applyNumberFormat="1" applyFont="1" applyFill="1" applyBorder="1" applyAlignment="1">
      <alignment horizontal="right"/>
    </xf>
    <xf numFmtId="1" fontId="16" fillId="0" borderId="12" xfId="0" applyNumberFormat="1" applyFont="1" applyFill="1" applyBorder="1" applyAlignment="1">
      <alignment horizontal="right"/>
    </xf>
    <xf numFmtId="167" fontId="14" fillId="0" borderId="12" xfId="0" applyNumberFormat="1" applyFont="1" applyFill="1" applyBorder="1" applyAlignment="1">
      <alignment horizontal="right"/>
    </xf>
    <xf numFmtId="3" fontId="16" fillId="0" borderId="0" xfId="0" applyNumberFormat="1" applyFont="1" applyFill="1" applyBorder="1" applyAlignment="1">
      <alignment horizontal="right"/>
    </xf>
    <xf numFmtId="3" fontId="16" fillId="0" borderId="12" xfId="0" applyNumberFormat="1" applyFont="1" applyBorder="1" applyAlignment="1">
      <alignment horizontal="right"/>
    </xf>
    <xf numFmtId="1" fontId="16" fillId="0" borderId="12" xfId="0" applyNumberFormat="1" applyFont="1" applyBorder="1" applyAlignment="1">
      <alignment horizontal="right"/>
    </xf>
    <xf numFmtId="0" fontId="14" fillId="17" borderId="0" xfId="0" applyFont="1" applyFill="1" applyBorder="1" applyAlignment="1">
      <alignment horizontal="right"/>
    </xf>
    <xf numFmtId="167" fontId="16" fillId="17" borderId="0" xfId="0" quotePrefix="1" applyNumberFormat="1" applyFont="1" applyFill="1" applyBorder="1" applyAlignment="1">
      <alignment horizontal="right"/>
    </xf>
    <xf numFmtId="3" fontId="16" fillId="17" borderId="0" xfId="0" applyNumberFormat="1" applyFont="1" applyFill="1" applyBorder="1" applyAlignment="1">
      <alignment horizontal="right"/>
    </xf>
    <xf numFmtId="167" fontId="16" fillId="17" borderId="0" xfId="0" applyNumberFormat="1" applyFont="1" applyFill="1" applyBorder="1" applyAlignment="1">
      <alignment horizontal="right"/>
    </xf>
    <xf numFmtId="167" fontId="14" fillId="17" borderId="0" xfId="0" applyNumberFormat="1" applyFont="1" applyFill="1" applyBorder="1" applyAlignment="1">
      <alignment horizontal="right"/>
    </xf>
    <xf numFmtId="3" fontId="14" fillId="17" borderId="0" xfId="0" applyNumberFormat="1" applyFont="1" applyFill="1" applyBorder="1" applyAlignment="1">
      <alignment horizontal="right"/>
    </xf>
    <xf numFmtId="37" fontId="14" fillId="17" borderId="0" xfId="0" quotePrefix="1" applyNumberFormat="1" applyFont="1" applyFill="1" applyBorder="1" applyAlignment="1">
      <alignment horizontal="right"/>
    </xf>
    <xf numFmtId="167" fontId="36" fillId="17" borderId="0" xfId="0" quotePrefix="1" applyNumberFormat="1" applyFont="1" applyFill="1" applyBorder="1" applyAlignment="1">
      <alignment horizontal="right"/>
    </xf>
    <xf numFmtId="0" fontId="14" fillId="17" borderId="0" xfId="0" applyNumberFormat="1" applyFont="1" applyFill="1" applyBorder="1" applyAlignment="1">
      <alignment horizontal="right"/>
    </xf>
    <xf numFmtId="0" fontId="15" fillId="17" borderId="0" xfId="0" applyFont="1" applyFill="1" applyBorder="1" applyAlignment="1">
      <alignment horizontal="left"/>
    </xf>
    <xf numFmtId="0" fontId="14" fillId="17" borderId="0" xfId="0" applyFont="1" applyFill="1" applyBorder="1" applyAlignment="1">
      <alignment horizontal="left"/>
    </xf>
    <xf numFmtId="168" fontId="14" fillId="17" borderId="0" xfId="0" applyNumberFormat="1" applyFont="1" applyFill="1" applyBorder="1" applyAlignment="1">
      <alignment horizontal="right"/>
    </xf>
    <xf numFmtId="168" fontId="14" fillId="19" borderId="11" xfId="0" applyNumberFormat="1" applyFont="1" applyFill="1" applyBorder="1" applyAlignment="1">
      <alignment horizontal="right"/>
    </xf>
    <xf numFmtId="168" fontId="14" fillId="17" borderId="0" xfId="0" quotePrefix="1" applyNumberFormat="1" applyFont="1" applyFill="1" applyBorder="1" applyAlignment="1">
      <alignment horizontal="right"/>
    </xf>
    <xf numFmtId="168" fontId="36" fillId="17" borderId="0" xfId="0" quotePrefix="1" applyNumberFormat="1" applyFont="1" applyFill="1" applyBorder="1" applyAlignment="1">
      <alignment horizontal="right"/>
    </xf>
    <xf numFmtId="165" fontId="14" fillId="17" borderId="0" xfId="0" applyNumberFormat="1" applyFont="1" applyFill="1" applyBorder="1" applyAlignment="1">
      <alignment horizontal="right"/>
    </xf>
    <xf numFmtId="165" fontId="38" fillId="19" borderId="0" xfId="0" applyNumberFormat="1" applyFont="1" applyFill="1" applyBorder="1" applyAlignment="1">
      <alignment horizontal="right"/>
    </xf>
    <xf numFmtId="165" fontId="38" fillId="17" borderId="0" xfId="0" applyNumberFormat="1" applyFont="1" applyFill="1" applyBorder="1" applyAlignment="1">
      <alignment horizontal="right"/>
    </xf>
    <xf numFmtId="165" fontId="38" fillId="19" borderId="12" xfId="0" applyNumberFormat="1" applyFont="1" applyFill="1" applyBorder="1" applyAlignment="1">
      <alignment horizontal="right"/>
    </xf>
    <xf numFmtId="0" fontId="15" fillId="17" borderId="0" xfId="0" applyNumberFormat="1" applyFont="1" applyFill="1" applyBorder="1" applyAlignment="1"/>
    <xf numFmtId="167" fontId="14" fillId="19" borderId="11" xfId="0" applyNumberFormat="1" applyFont="1" applyFill="1" applyBorder="1" applyAlignment="1">
      <alignment horizontal="right"/>
    </xf>
    <xf numFmtId="37" fontId="38" fillId="19" borderId="0" xfId="0" applyNumberFormat="1" applyFont="1" applyFill="1" applyBorder="1" applyAlignment="1">
      <alignment horizontal="right"/>
    </xf>
    <xf numFmtId="37" fontId="38" fillId="17" borderId="0" xfId="0" applyNumberFormat="1" applyFont="1" applyFill="1" applyBorder="1" applyAlignment="1">
      <alignment horizontal="right"/>
    </xf>
    <xf numFmtId="37" fontId="38" fillId="19" borderId="12" xfId="0" applyNumberFormat="1" applyFont="1" applyFill="1" applyBorder="1" applyAlignment="1">
      <alignment horizontal="right"/>
    </xf>
    <xf numFmtId="0" fontId="14" fillId="17" borderId="0" xfId="0" applyNumberFormat="1" applyFont="1" applyFill="1" applyBorder="1" applyAlignment="1"/>
    <xf numFmtId="0" fontId="15" fillId="17" borderId="0" xfId="0" applyNumberFormat="1" applyFont="1" applyFill="1" applyBorder="1" applyAlignment="1">
      <alignment horizontal="left"/>
    </xf>
    <xf numFmtId="39" fontId="14" fillId="17" borderId="0" xfId="0" applyNumberFormat="1" applyFont="1" applyFill="1" applyBorder="1" applyAlignment="1">
      <alignment horizontal="right"/>
    </xf>
    <xf numFmtId="39" fontId="14" fillId="17" borderId="0" xfId="0" quotePrefix="1" applyNumberFormat="1" applyFont="1" applyFill="1" applyBorder="1" applyAlignment="1">
      <alignment horizontal="right"/>
    </xf>
    <xf numFmtId="39" fontId="36" fillId="17" borderId="0" xfId="0" quotePrefix="1" applyNumberFormat="1" applyFont="1" applyFill="1" applyBorder="1" applyAlignment="1">
      <alignment horizontal="right"/>
    </xf>
    <xf numFmtId="168" fontId="14" fillId="0" borderId="11" xfId="0" applyNumberFormat="1" applyFont="1" applyFill="1" applyBorder="1" applyAlignment="1">
      <alignment horizontal="right"/>
    </xf>
    <xf numFmtId="165" fontId="38" fillId="0" borderId="0" xfId="0" applyNumberFormat="1" applyFont="1" applyFill="1" applyBorder="1" applyAlignment="1">
      <alignment horizontal="right"/>
    </xf>
    <xf numFmtId="167" fontId="14" fillId="17" borderId="0" xfId="0" quotePrefix="1" applyNumberFormat="1" applyFont="1" applyFill="1" applyBorder="1" applyAlignment="1">
      <alignment horizontal="right"/>
    </xf>
    <xf numFmtId="165" fontId="14" fillId="17" borderId="0" xfId="0" quotePrefix="1" applyNumberFormat="1" applyFont="1" applyFill="1" applyBorder="1" applyAlignment="1">
      <alignment horizontal="right"/>
    </xf>
    <xf numFmtId="165" fontId="36" fillId="17" borderId="0" xfId="0" quotePrefix="1" applyNumberFormat="1" applyFont="1" applyFill="1" applyBorder="1" applyAlignment="1">
      <alignment horizontal="right"/>
    </xf>
    <xf numFmtId="0" fontId="15" fillId="17" borderId="0" xfId="0" applyFont="1" applyFill="1" applyBorder="1" applyAlignment="1"/>
    <xf numFmtId="0" fontId="14" fillId="17" borderId="0" xfId="0" applyFont="1" applyFill="1" applyBorder="1" applyAlignment="1"/>
    <xf numFmtId="166" fontId="38" fillId="19" borderId="11" xfId="0" quotePrefix="1" applyNumberFormat="1" applyFont="1" applyFill="1" applyBorder="1" applyAlignment="1">
      <alignment horizontal="right"/>
    </xf>
    <xf numFmtId="166" fontId="14" fillId="17" borderId="0" xfId="0" quotePrefix="1" applyNumberFormat="1" applyFont="1" applyFill="1" applyBorder="1" applyAlignment="1">
      <alignment horizontal="right"/>
    </xf>
    <xf numFmtId="166" fontId="38" fillId="19" borderId="0" xfId="0" quotePrefix="1" applyNumberFormat="1" applyFont="1" applyFill="1" applyBorder="1" applyAlignment="1">
      <alignment horizontal="right"/>
    </xf>
    <xf numFmtId="166" fontId="14" fillId="19" borderId="12" xfId="0" quotePrefix="1" applyNumberFormat="1" applyFont="1" applyFill="1" applyBorder="1" applyAlignment="1">
      <alignment horizontal="right"/>
    </xf>
    <xf numFmtId="167" fontId="36" fillId="17" borderId="0" xfId="0" applyNumberFormat="1" applyFont="1" applyFill="1" applyBorder="1" applyAlignment="1">
      <alignment horizontal="right"/>
    </xf>
    <xf numFmtId="0" fontId="14" fillId="0" borderId="0" xfId="0" applyFont="1" applyAlignment="1">
      <alignment horizontal="left"/>
    </xf>
    <xf numFmtId="3" fontId="42" fillId="0" borderId="0" xfId="0" applyNumberFormat="1" applyFont="1" applyFill="1" applyBorder="1"/>
    <xf numFmtId="0" fontId="15" fillId="0" borderId="0" xfId="0" applyFont="1" applyAlignment="1">
      <alignment horizontal="left"/>
    </xf>
    <xf numFmtId="167" fontId="38" fillId="0" borderId="0" xfId="0" applyNumberFormat="1" applyFont="1" applyFill="1" applyBorder="1"/>
    <xf numFmtId="167" fontId="38" fillId="0" borderId="0" xfId="0" applyNumberFormat="1" applyFont="1" applyFill="1" applyBorder="1" applyAlignment="1">
      <alignment horizontal="right"/>
    </xf>
    <xf numFmtId="167" fontId="14" fillId="0" borderId="0" xfId="0" applyNumberFormat="1" applyFont="1" applyFill="1" applyBorder="1" applyAlignment="1">
      <alignment horizontal="right"/>
    </xf>
    <xf numFmtId="1" fontId="42" fillId="0" borderId="0" xfId="0" applyNumberFormat="1" applyFont="1" applyFill="1" applyBorder="1"/>
    <xf numFmtId="3" fontId="41" fillId="0" borderId="0" xfId="0" applyNumberFormat="1" applyFont="1" applyFill="1" applyAlignment="1">
      <alignment horizontal="right"/>
    </xf>
    <xf numFmtId="167" fontId="14" fillId="0" borderId="0" xfId="0" applyNumberFormat="1" applyFont="1" applyFill="1" applyBorder="1"/>
    <xf numFmtId="37" fontId="14" fillId="0" borderId="0" xfId="0" applyNumberFormat="1" applyFont="1" applyFill="1" applyBorder="1"/>
    <xf numFmtId="37" fontId="38" fillId="0" borderId="0" xfId="0" applyNumberFormat="1" applyFont="1" applyFill="1" applyBorder="1"/>
    <xf numFmtId="0" fontId="14" fillId="0" borderId="0" xfId="0" applyFont="1" applyFill="1" applyAlignment="1">
      <alignment horizontal="left"/>
    </xf>
    <xf numFmtId="39" fontId="43" fillId="0" borderId="0" xfId="0" applyNumberFormat="1" applyFont="1" applyFill="1" applyBorder="1"/>
    <xf numFmtId="3" fontId="44" fillId="0" borderId="0" xfId="0" applyNumberFormat="1" applyFont="1" applyFill="1" applyAlignment="1">
      <alignment horizontal="right"/>
    </xf>
    <xf numFmtId="165" fontId="43" fillId="0" borderId="0" xfId="0" applyNumberFormat="1" applyFont="1" applyFill="1" applyBorder="1"/>
    <xf numFmtId="165" fontId="14" fillId="0" borderId="0" xfId="0" applyNumberFormat="1" applyFont="1" applyFill="1" applyBorder="1"/>
    <xf numFmtId="39" fontId="43" fillId="0" borderId="0" xfId="0" applyNumberFormat="1" applyFont="1" applyFill="1" applyBorder="1" applyAlignment="1">
      <alignment horizontal="right"/>
    </xf>
    <xf numFmtId="43" fontId="14" fillId="0" borderId="0" xfId="47" applyNumberFormat="1" applyFont="1" applyFill="1" applyBorder="1" applyAlignment="1">
      <alignment horizontal="right"/>
    </xf>
    <xf numFmtId="1" fontId="44" fillId="0" borderId="0" xfId="0" applyNumberFormat="1" applyFont="1" applyFill="1" applyAlignment="1">
      <alignment horizontal="right"/>
    </xf>
    <xf numFmtId="165" fontId="38" fillId="0" borderId="0" xfId="0" applyNumberFormat="1" applyFont="1" applyFill="1" applyBorder="1"/>
    <xf numFmtId="0" fontId="43" fillId="0" borderId="0" xfId="0" applyFont="1" applyFill="1"/>
    <xf numFmtId="167" fontId="38" fillId="0" borderId="0" xfId="2" applyNumberFormat="1" applyFont="1" applyFill="1" applyBorder="1">
      <alignment horizontal="right"/>
    </xf>
    <xf numFmtId="3" fontId="42" fillId="0" borderId="0" xfId="0" applyNumberFormat="1" applyFont="1" applyFill="1" applyAlignment="1">
      <alignment horizontal="right"/>
    </xf>
    <xf numFmtId="167" fontId="38" fillId="0" borderId="0" xfId="2" applyNumberFormat="1" applyFont="1" applyFill="1" applyBorder="1" applyAlignment="1">
      <alignment horizontal="right"/>
    </xf>
    <xf numFmtId="167" fontId="14" fillId="0" borderId="0" xfId="2" applyNumberFormat="1" applyFont="1" applyFill="1" applyBorder="1" applyAlignment="1">
      <alignment horizontal="right"/>
    </xf>
    <xf numFmtId="1" fontId="42" fillId="0" borderId="0" xfId="0" applyNumberFormat="1" applyFont="1" applyFill="1" applyAlignment="1">
      <alignment horizontal="right"/>
    </xf>
    <xf numFmtId="37" fontId="36" fillId="0" borderId="0" xfId="0" applyNumberFormat="1" applyFont="1" applyFill="1" applyBorder="1"/>
    <xf numFmtId="37" fontId="36" fillId="0" borderId="0" xfId="0" applyNumberFormat="1" applyFont="1" applyFill="1" applyBorder="1" applyAlignment="1">
      <alignment horizontal="right"/>
    </xf>
    <xf numFmtId="37" fontId="14" fillId="0" borderId="0" xfId="0" applyNumberFormat="1" applyFont="1" applyFill="1" applyBorder="1" applyAlignment="1">
      <alignment horizontal="right"/>
    </xf>
    <xf numFmtId="1" fontId="41" fillId="0" borderId="0" xfId="0" applyNumberFormat="1" applyFont="1" applyFill="1" applyAlignment="1">
      <alignment horizontal="right"/>
    </xf>
    <xf numFmtId="37" fontId="38" fillId="0" borderId="0" xfId="0" applyNumberFormat="1" applyFont="1" applyFill="1" applyBorder="1" applyAlignment="1">
      <alignment horizontal="right"/>
    </xf>
    <xf numFmtId="37" fontId="38" fillId="0" borderId="0" xfId="2" applyNumberFormat="1" applyFont="1" applyFill="1" applyBorder="1">
      <alignment horizontal="right"/>
    </xf>
    <xf numFmtId="37" fontId="14" fillId="0" borderId="0" xfId="2" applyNumberFormat="1" applyFont="1" applyFill="1" applyBorder="1">
      <alignment horizontal="right"/>
    </xf>
    <xf numFmtId="39" fontId="36" fillId="0" borderId="0" xfId="0" applyNumberFormat="1" applyFont="1" applyFill="1" applyBorder="1"/>
    <xf numFmtId="165" fontId="36" fillId="0" borderId="0" xfId="0" applyNumberFormat="1" applyFont="1" applyFill="1" applyBorder="1" applyAlignment="1">
      <alignment horizontal="right"/>
    </xf>
    <xf numFmtId="169" fontId="38" fillId="0" borderId="0" xfId="0" applyNumberFormat="1" applyFont="1" applyFill="1" applyBorder="1" applyAlignment="1">
      <alignment horizontal="right"/>
    </xf>
    <xf numFmtId="169" fontId="41" fillId="0" borderId="0" xfId="0" applyNumberFormat="1" applyFont="1" applyFill="1" applyAlignment="1">
      <alignment horizontal="right"/>
    </xf>
    <xf numFmtId="169" fontId="36" fillId="0" borderId="0" xfId="0" applyNumberFormat="1" applyFont="1" applyFill="1" applyBorder="1"/>
    <xf numFmtId="169" fontId="36" fillId="0" borderId="0" xfId="0" applyNumberFormat="1" applyFont="1" applyFill="1" applyBorder="1" applyAlignment="1">
      <alignment horizontal="right"/>
    </xf>
    <xf numFmtId="165" fontId="14" fillId="0" borderId="0" xfId="0" applyNumberFormat="1" applyFont="1" applyFill="1" applyBorder="1" applyAlignment="1">
      <alignment horizontal="right"/>
    </xf>
    <xf numFmtId="0" fontId="15" fillId="0" borderId="0" xfId="0" applyFont="1" applyBorder="1" applyAlignment="1">
      <alignment horizontal="left"/>
    </xf>
    <xf numFmtId="167" fontId="15" fillId="0" borderId="0" xfId="0" applyNumberFormat="1" applyFont="1" applyFill="1" applyBorder="1"/>
    <xf numFmtId="167" fontId="15" fillId="0" borderId="0" xfId="0" applyNumberFormat="1" applyFont="1" applyFill="1" applyBorder="1" applyAlignment="1">
      <alignment horizontal="right"/>
    </xf>
    <xf numFmtId="168" fontId="14" fillId="0" borderId="0" xfId="0" applyNumberFormat="1" applyFont="1" applyFill="1" applyBorder="1"/>
    <xf numFmtId="168" fontId="38" fillId="0" borderId="0" xfId="0" applyNumberFormat="1" applyFont="1" applyFill="1" applyBorder="1" applyAlignment="1">
      <alignment horizontal="right"/>
    </xf>
    <xf numFmtId="168" fontId="38" fillId="0" borderId="0" xfId="0" applyNumberFormat="1" applyFont="1" applyFill="1" applyBorder="1"/>
    <xf numFmtId="165" fontId="36" fillId="0" borderId="0" xfId="0" applyNumberFormat="1" applyFont="1" applyFill="1" applyBorder="1"/>
    <xf numFmtId="165" fontId="38" fillId="0" borderId="0" xfId="2" applyNumberFormat="1" applyFont="1" applyFill="1" applyBorder="1">
      <alignment horizontal="right"/>
    </xf>
    <xf numFmtId="165" fontId="14" fillId="0" borderId="0" xfId="2" applyNumberFormat="1" applyFont="1" applyFill="1" applyBorder="1">
      <alignment horizontal="right"/>
    </xf>
    <xf numFmtId="0" fontId="43" fillId="0" borderId="0" xfId="0" applyFont="1" applyAlignment="1">
      <alignment horizontal="left"/>
    </xf>
    <xf numFmtId="185" fontId="43" fillId="0" borderId="0" xfId="47" applyNumberFormat="1" applyFont="1" applyFill="1" applyBorder="1" applyAlignment="1">
      <alignment horizontal="right"/>
    </xf>
    <xf numFmtId="165" fontId="43" fillId="0" borderId="0" xfId="0" applyNumberFormat="1" applyFont="1" applyFill="1" applyBorder="1" applyAlignment="1">
      <alignment horizontal="right"/>
    </xf>
    <xf numFmtId="0" fontId="43" fillId="0" borderId="0" xfId="0" applyFont="1"/>
    <xf numFmtId="167" fontId="43" fillId="0" borderId="0" xfId="0" applyNumberFormat="1" applyFont="1" applyFill="1" applyBorder="1"/>
    <xf numFmtId="3" fontId="44" fillId="0" borderId="0" xfId="0" applyNumberFormat="1" applyFont="1" applyFill="1" applyBorder="1"/>
    <xf numFmtId="167" fontId="43" fillId="0" borderId="0" xfId="0" applyNumberFormat="1" applyFont="1" applyFill="1" applyBorder="1" applyAlignment="1">
      <alignment horizontal="right"/>
    </xf>
    <xf numFmtId="1" fontId="44" fillId="0" borderId="0" xfId="0" applyNumberFormat="1" applyFont="1" applyFill="1" applyBorder="1"/>
    <xf numFmtId="168" fontId="14" fillId="0" borderId="0" xfId="0" applyNumberFormat="1" applyFont="1" applyFill="1" applyBorder="1" applyAlignment="1">
      <alignment horizontal="right"/>
    </xf>
    <xf numFmtId="167" fontId="37" fillId="0" borderId="0" xfId="0" applyNumberFormat="1" applyFont="1" applyFill="1" applyBorder="1" applyAlignment="1">
      <alignment horizontal="right"/>
    </xf>
    <xf numFmtId="43" fontId="38" fillId="0" borderId="0" xfId="47" applyFont="1" applyFill="1" applyAlignment="1">
      <alignment horizontal="right"/>
    </xf>
    <xf numFmtId="167" fontId="38" fillId="20" borderId="0" xfId="0" applyNumberFormat="1" applyFont="1" applyFill="1" applyBorder="1"/>
    <xf numFmtId="3" fontId="42" fillId="20" borderId="0" xfId="0" applyNumberFormat="1" applyFont="1" applyFill="1" applyBorder="1"/>
    <xf numFmtId="167" fontId="38" fillId="20" borderId="0" xfId="2" applyNumberFormat="1" applyFont="1" applyFill="1" applyBorder="1">
      <alignment horizontal="right"/>
    </xf>
    <xf numFmtId="3" fontId="42" fillId="20" borderId="0" xfId="0" applyNumberFormat="1" applyFont="1" applyFill="1" applyAlignment="1">
      <alignment horizontal="right"/>
    </xf>
    <xf numFmtId="37" fontId="36" fillId="20" borderId="0" xfId="0" applyNumberFormat="1" applyFont="1" applyFill="1" applyBorder="1"/>
    <xf numFmtId="3" fontId="41" fillId="20" borderId="0" xfId="0" applyNumberFormat="1" applyFont="1" applyFill="1" applyAlignment="1">
      <alignment horizontal="right"/>
    </xf>
    <xf numFmtId="37" fontId="38" fillId="20" borderId="0" xfId="0" applyNumberFormat="1" applyFont="1" applyFill="1" applyBorder="1"/>
    <xf numFmtId="0" fontId="16" fillId="0" borderId="0" xfId="0" applyFont="1" applyAlignment="1">
      <alignment horizontal="left"/>
    </xf>
    <xf numFmtId="167" fontId="14" fillId="20" borderId="0" xfId="2" applyNumberFormat="1" applyFont="1" applyFill="1" applyBorder="1">
      <alignment horizontal="right"/>
    </xf>
    <xf numFmtId="167" fontId="14" fillId="0" borderId="0" xfId="2" applyNumberFormat="1" applyFont="1" applyFill="1" applyBorder="1">
      <alignment horizontal="right"/>
    </xf>
    <xf numFmtId="174" fontId="36" fillId="0" borderId="0" xfId="0" applyNumberFormat="1" applyFont="1" applyFill="1" applyBorder="1"/>
    <xf numFmtId="174" fontId="36" fillId="0" borderId="0" xfId="0" applyNumberFormat="1" applyFont="1" applyFill="1" applyBorder="1" applyAlignment="1">
      <alignment horizontal="right"/>
    </xf>
    <xf numFmtId="174" fontId="38" fillId="0" borderId="0" xfId="0" applyNumberFormat="1" applyFont="1" applyFill="1" applyBorder="1" applyAlignment="1">
      <alignment horizontal="right"/>
    </xf>
    <xf numFmtId="174" fontId="41" fillId="0" borderId="0" xfId="0" applyNumberFormat="1" applyFont="1" applyFill="1" applyAlignment="1">
      <alignment horizontal="right"/>
    </xf>
    <xf numFmtId="174" fontId="14" fillId="0" borderId="0" xfId="0" applyNumberFormat="1" applyFont="1" applyFill="1" applyBorder="1" applyAlignment="1">
      <alignment horizontal="right"/>
    </xf>
    <xf numFmtId="165" fontId="36" fillId="20" borderId="0" xfId="0" applyNumberFormat="1" applyFont="1" applyFill="1" applyBorder="1"/>
    <xf numFmtId="0" fontId="14" fillId="20" borderId="0" xfId="0" applyFont="1" applyFill="1"/>
    <xf numFmtId="3" fontId="14" fillId="20" borderId="0" xfId="0" applyNumberFormat="1" applyFont="1" applyFill="1"/>
    <xf numFmtId="1" fontId="14" fillId="0" borderId="0" xfId="0" applyNumberFormat="1" applyFont="1" applyFill="1"/>
    <xf numFmtId="174" fontId="38" fillId="0" borderId="0" xfId="47" applyNumberFormat="1" applyFont="1" applyFill="1" applyBorder="1"/>
    <xf numFmtId="174" fontId="14" fillId="0" borderId="0" xfId="47" applyNumberFormat="1" applyFont="1" applyFill="1" applyBorder="1"/>
    <xf numFmtId="2" fontId="14" fillId="0" borderId="0" xfId="0" applyNumberFormat="1" applyFont="1" applyFill="1" applyBorder="1"/>
    <xf numFmtId="37" fontId="38" fillId="20" borderId="0" xfId="2" applyNumberFormat="1" applyFont="1" applyFill="1" applyBorder="1">
      <alignment horizontal="right"/>
    </xf>
    <xf numFmtId="37" fontId="38" fillId="21" borderId="0" xfId="2" applyNumberFormat="1" applyFont="1" applyFill="1" applyBorder="1">
      <alignment horizontal="right"/>
    </xf>
    <xf numFmtId="3" fontId="41" fillId="21" borderId="0" xfId="0" applyNumberFormat="1" applyFont="1" applyFill="1" applyAlignment="1">
      <alignment horizontal="right"/>
    </xf>
    <xf numFmtId="37" fontId="14" fillId="0" borderId="0" xfId="2" applyNumberFormat="1" applyFont="1" applyFill="1" applyBorder="1" applyAlignment="1">
      <alignment horizontal="right"/>
    </xf>
    <xf numFmtId="37" fontId="38" fillId="0" borderId="0" xfId="2" applyNumberFormat="1" applyFont="1" applyFill="1" applyBorder="1" applyAlignment="1">
      <alignment horizontal="right"/>
    </xf>
    <xf numFmtId="37" fontId="38" fillId="21" borderId="0" xfId="0" applyNumberFormat="1" applyFont="1" applyFill="1" applyBorder="1"/>
    <xf numFmtId="0" fontId="14" fillId="0" borderId="0" xfId="0" applyFont="1" applyBorder="1" applyAlignment="1">
      <alignment horizontal="left"/>
    </xf>
    <xf numFmtId="37" fontId="36" fillId="21" borderId="0" xfId="0" applyNumberFormat="1" applyFont="1" applyFill="1" applyBorder="1"/>
    <xf numFmtId="37" fontId="45" fillId="20" borderId="0" xfId="0" applyNumberFormat="1" applyFont="1" applyFill="1" applyBorder="1"/>
    <xf numFmtId="37" fontId="45" fillId="0" borderId="0" xfId="0" applyNumberFormat="1" applyFont="1" applyFill="1" applyBorder="1"/>
    <xf numFmtId="37" fontId="45" fillId="0" borderId="0" xfId="0" applyNumberFormat="1" applyFont="1" applyFill="1" applyBorder="1" applyAlignment="1">
      <alignment horizontal="right"/>
    </xf>
    <xf numFmtId="37" fontId="15" fillId="0" borderId="0" xfId="0" applyNumberFormat="1" applyFont="1" applyFill="1" applyBorder="1" applyAlignment="1">
      <alignment horizontal="right"/>
    </xf>
    <xf numFmtId="175" fontId="38" fillId="0" borderId="0" xfId="2" applyNumberFormat="1" applyFont="1" applyFill="1" applyBorder="1" applyAlignment="1">
      <alignment horizontal="right"/>
    </xf>
    <xf numFmtId="175" fontId="36" fillId="0" borderId="0" xfId="2" applyNumberFormat="1" applyFont="1" applyFill="1" applyBorder="1">
      <alignment horizontal="right"/>
    </xf>
    <xf numFmtId="175" fontId="38" fillId="0" borderId="0" xfId="2" applyNumberFormat="1" applyFont="1" applyFill="1" applyBorder="1">
      <alignment horizontal="right"/>
    </xf>
    <xf numFmtId="175" fontId="14" fillId="0" borderId="0" xfId="2" applyNumberFormat="1" applyFont="1" applyFill="1" applyBorder="1" applyAlignment="1">
      <alignment horizontal="right"/>
    </xf>
    <xf numFmtId="175" fontId="36" fillId="0" borderId="0" xfId="0" applyNumberFormat="1" applyFont="1" applyFill="1" applyBorder="1"/>
    <xf numFmtId="175" fontId="36" fillId="0" borderId="0" xfId="0" applyNumberFormat="1" applyFont="1" applyFill="1" applyBorder="1" applyAlignment="1">
      <alignment horizontal="right"/>
    </xf>
    <xf numFmtId="43" fontId="38" fillId="0" borderId="0" xfId="47" applyFont="1" applyFill="1" applyBorder="1"/>
    <xf numFmtId="43" fontId="14" fillId="0" borderId="0" xfId="47" applyFont="1" applyFill="1" applyBorder="1"/>
    <xf numFmtId="175" fontId="14" fillId="0" borderId="0" xfId="0" applyNumberFormat="1" applyFont="1" applyFill="1" applyBorder="1" applyAlignment="1">
      <alignment horizontal="right"/>
    </xf>
    <xf numFmtId="175" fontId="38" fillId="0" borderId="0" xfId="0" applyNumberFormat="1" applyFont="1" applyFill="1" applyBorder="1"/>
    <xf numFmtId="175" fontId="38" fillId="0" borderId="0" xfId="0" applyNumberFormat="1" applyFont="1" applyFill="1" applyBorder="1" applyAlignment="1">
      <alignment horizontal="right"/>
    </xf>
    <xf numFmtId="37" fontId="36" fillId="20" borderId="0" xfId="2" applyNumberFormat="1" applyFont="1" applyFill="1" applyBorder="1">
      <alignment horizontal="right"/>
    </xf>
    <xf numFmtId="37" fontId="15" fillId="0" borderId="0" xfId="0" applyNumberFormat="1" applyFont="1" applyFill="1" applyBorder="1"/>
    <xf numFmtId="165" fontId="43" fillId="20" borderId="0" xfId="0" applyNumberFormat="1" applyFont="1" applyFill="1" applyBorder="1"/>
    <xf numFmtId="3" fontId="44" fillId="20" borderId="0" xfId="0" applyNumberFormat="1" applyFont="1" applyFill="1" applyAlignment="1">
      <alignment horizontal="right"/>
    </xf>
    <xf numFmtId="43" fontId="38" fillId="0" borderId="0" xfId="47" applyFont="1" applyFill="1" applyBorder="1" applyAlignment="1">
      <alignment horizontal="right"/>
    </xf>
    <xf numFmtId="168" fontId="36" fillId="20" borderId="0" xfId="2" applyNumberFormat="1" applyFont="1" applyFill="1" applyBorder="1">
      <alignment horizontal="right"/>
    </xf>
    <xf numFmtId="168" fontId="36" fillId="0" borderId="0" xfId="2" applyNumberFormat="1" applyFont="1" applyFill="1" applyBorder="1">
      <alignment horizontal="right"/>
    </xf>
    <xf numFmtId="167" fontId="45" fillId="20" borderId="0" xfId="2" applyNumberFormat="1" applyFont="1" applyFill="1" applyBorder="1">
      <alignment horizontal="right"/>
    </xf>
    <xf numFmtId="167" fontId="45" fillId="0" borderId="0" xfId="2" applyNumberFormat="1" applyFont="1" applyFill="1" applyBorder="1">
      <alignment horizontal="right"/>
    </xf>
    <xf numFmtId="167" fontId="15" fillId="0" borderId="0" xfId="2" applyNumberFormat="1" applyFont="1" applyFill="1" applyBorder="1">
      <alignment horizontal="right"/>
    </xf>
    <xf numFmtId="167" fontId="36" fillId="20" borderId="0" xfId="2" applyNumberFormat="1" applyFont="1" applyFill="1" applyBorder="1">
      <alignment horizontal="right"/>
    </xf>
    <xf numFmtId="182" fontId="38" fillId="20" borderId="0" xfId="2" applyNumberFormat="1" applyFont="1" applyFill="1" applyBorder="1">
      <alignment horizontal="right"/>
    </xf>
    <xf numFmtId="0" fontId="15" fillId="0" borderId="0" xfId="0" applyFont="1" applyFill="1" applyAlignment="1">
      <alignment horizontal="left"/>
    </xf>
    <xf numFmtId="0" fontId="36" fillId="0" borderId="0" xfId="0" applyFont="1" applyBorder="1" applyAlignment="1">
      <alignment horizontal="left"/>
    </xf>
    <xf numFmtId="0" fontId="36" fillId="0" borderId="0" xfId="0" applyFont="1"/>
    <xf numFmtId="37" fontId="46" fillId="0" borderId="0" xfId="0" applyNumberFormat="1" applyFont="1" applyFill="1" applyBorder="1"/>
    <xf numFmtId="37" fontId="46" fillId="0" borderId="0" xfId="0" applyNumberFormat="1" applyFont="1" applyFill="1" applyBorder="1" applyAlignment="1">
      <alignment horizontal="right"/>
    </xf>
    <xf numFmtId="3" fontId="40" fillId="0" borderId="0" xfId="0" applyNumberFormat="1" applyFont="1" applyFill="1" applyAlignment="1">
      <alignment horizontal="right"/>
    </xf>
    <xf numFmtId="1" fontId="40" fillId="0" borderId="0" xfId="0" applyNumberFormat="1" applyFont="1" applyFill="1" applyAlignment="1">
      <alignment horizontal="right"/>
    </xf>
    <xf numFmtId="166" fontId="38" fillId="0" borderId="0" xfId="0" applyNumberFormat="1" applyFont="1" applyFill="1" applyBorder="1" applyAlignment="1">
      <alignment horizontal="right"/>
    </xf>
    <xf numFmtId="166" fontId="14" fillId="0" borderId="0" xfId="0" applyNumberFormat="1" applyFont="1" applyFill="1" applyBorder="1" applyAlignment="1">
      <alignment horizontal="right"/>
    </xf>
    <xf numFmtId="3" fontId="42" fillId="0" borderId="0" xfId="0" applyNumberFormat="1" applyFont="1" applyFill="1" applyBorder="1" applyAlignment="1">
      <alignment horizontal="right"/>
    </xf>
    <xf numFmtId="39" fontId="36" fillId="0" borderId="0" xfId="0" applyNumberFormat="1" applyFont="1" applyFill="1" applyBorder="1" applyAlignment="1">
      <alignment horizontal="right"/>
    </xf>
    <xf numFmtId="43" fontId="43" fillId="0" borderId="0" xfId="47" applyNumberFormat="1" applyFont="1" applyFill="1" applyBorder="1" applyAlignment="1">
      <alignment horizontal="right"/>
    </xf>
    <xf numFmtId="185" fontId="14" fillId="0" borderId="0" xfId="47" applyNumberFormat="1" applyFont="1" applyFill="1" applyBorder="1" applyAlignment="1">
      <alignment horizontal="right"/>
    </xf>
    <xf numFmtId="182" fontId="38" fillId="0" borderId="0" xfId="2" applyNumberFormat="1" applyFont="1" applyFill="1" applyBorder="1">
      <alignment horizontal="right"/>
    </xf>
    <xf numFmtId="0" fontId="36" fillId="0" borderId="0" xfId="0" applyFont="1" applyFill="1" applyBorder="1" applyAlignment="1">
      <alignment horizontal="left"/>
    </xf>
    <xf numFmtId="1" fontId="42" fillId="0" borderId="0" xfId="0" applyNumberFormat="1" applyFont="1" applyFill="1" applyBorder="1" applyAlignment="1">
      <alignment horizontal="right"/>
    </xf>
    <xf numFmtId="37" fontId="41" fillId="0" borderId="0" xfId="0" applyNumberFormat="1" applyFont="1" applyFill="1" applyAlignment="1">
      <alignment horizontal="right"/>
    </xf>
    <xf numFmtId="165" fontId="43" fillId="0" borderId="0" xfId="0" applyNumberFormat="1" applyFont="1" applyFill="1"/>
    <xf numFmtId="3" fontId="43" fillId="0" borderId="0" xfId="0" applyNumberFormat="1" applyFont="1" applyFill="1"/>
    <xf numFmtId="165" fontId="43" fillId="0" borderId="0" xfId="0" applyNumberFormat="1" applyFont="1" applyFill="1" applyAlignment="1">
      <alignment horizontal="right"/>
    </xf>
    <xf numFmtId="165" fontId="43" fillId="0" borderId="0" xfId="0" applyNumberFormat="1" applyFont="1"/>
    <xf numFmtId="3" fontId="43" fillId="0" borderId="0" xfId="0" applyNumberFormat="1" applyFont="1"/>
    <xf numFmtId="3" fontId="47" fillId="0" borderId="0" xfId="0" applyNumberFormat="1" applyFont="1" applyFill="1" applyAlignment="1">
      <alignment horizontal="right"/>
    </xf>
    <xf numFmtId="167" fontId="36" fillId="0" borderId="0" xfId="2" applyNumberFormat="1" applyFont="1" applyFill="1" applyBorder="1">
      <alignment horizontal="right"/>
    </xf>
    <xf numFmtId="182" fontId="14" fillId="0" borderId="0" xfId="2" applyNumberFormat="1" applyFont="1" applyFill="1" applyBorder="1">
      <alignment horizontal="right"/>
    </xf>
    <xf numFmtId="165" fontId="41" fillId="0" borderId="0" xfId="0" applyNumberFormat="1" applyFont="1" applyFill="1" applyAlignment="1">
      <alignment horizontal="right"/>
    </xf>
    <xf numFmtId="167" fontId="38" fillId="20" borderId="0" xfId="0" applyNumberFormat="1" applyFont="1" applyFill="1" applyBorder="1" applyAlignment="1">
      <alignment horizontal="right"/>
    </xf>
    <xf numFmtId="167" fontId="42" fillId="0" borderId="0" xfId="0" applyNumberFormat="1" applyFont="1" applyFill="1" applyAlignment="1">
      <alignment horizontal="right"/>
    </xf>
    <xf numFmtId="167" fontId="41" fillId="0" borderId="0" xfId="0" applyNumberFormat="1" applyFont="1" applyFill="1" applyAlignment="1">
      <alignment horizontal="right"/>
    </xf>
    <xf numFmtId="167" fontId="36" fillId="0" borderId="0" xfId="0" applyNumberFormat="1" applyFont="1" applyFill="1" applyBorder="1" applyAlignment="1">
      <alignment horizontal="right"/>
    </xf>
    <xf numFmtId="168" fontId="38" fillId="0" borderId="0" xfId="2" applyNumberFormat="1" applyFont="1" applyFill="1" applyBorder="1">
      <alignment horizontal="right"/>
    </xf>
    <xf numFmtId="168" fontId="14" fillId="0" borderId="0" xfId="2" applyNumberFormat="1" applyFont="1" applyFill="1" applyBorder="1">
      <alignment horizontal="right"/>
    </xf>
    <xf numFmtId="0" fontId="36" fillId="0" borderId="0" xfId="0" applyFont="1" applyFill="1"/>
    <xf numFmtId="39" fontId="36" fillId="20" borderId="0" xfId="0" applyNumberFormat="1" applyFont="1" applyFill="1" applyBorder="1"/>
    <xf numFmtId="165" fontId="38" fillId="0" borderId="0" xfId="47" applyNumberFormat="1" applyFont="1" applyFill="1" applyBorder="1" applyAlignment="1">
      <alignment horizontal="right"/>
    </xf>
    <xf numFmtId="167" fontId="38" fillId="0" borderId="0" xfId="0" applyNumberFormat="1" applyFont="1" applyFill="1"/>
    <xf numFmtId="167" fontId="38" fillId="0" borderId="0" xfId="0" applyNumberFormat="1" applyFont="1" applyFill="1" applyAlignment="1">
      <alignment horizontal="right"/>
    </xf>
    <xf numFmtId="167" fontId="14" fillId="0" borderId="0" xfId="0" applyNumberFormat="1" applyFont="1" applyFill="1" applyAlignment="1">
      <alignment horizontal="right"/>
    </xf>
    <xf numFmtId="3" fontId="42" fillId="20" borderId="0" xfId="0" applyNumberFormat="1" applyFont="1" applyFill="1" applyBorder="1" applyAlignment="1">
      <alignment horizontal="right"/>
    </xf>
    <xf numFmtId="166" fontId="38" fillId="20" borderId="0" xfId="2" applyNumberFormat="1" applyFont="1" applyFill="1" applyBorder="1">
      <alignment horizontal="right"/>
    </xf>
    <xf numFmtId="41" fontId="36" fillId="0" borderId="0" xfId="0" applyNumberFormat="1" applyFont="1" applyFill="1" applyBorder="1" applyAlignment="1">
      <alignment horizontal="right"/>
    </xf>
    <xf numFmtId="0" fontId="14" fillId="20" borderId="0" xfId="0" applyFont="1" applyFill="1" applyAlignment="1">
      <alignment horizontal="right"/>
    </xf>
    <xf numFmtId="0" fontId="14" fillId="0" borderId="0" xfId="0" applyFont="1" applyAlignment="1">
      <alignment horizontal="right"/>
    </xf>
    <xf numFmtId="0" fontId="36" fillId="0" borderId="0" xfId="0" applyFont="1" applyAlignment="1">
      <alignment horizontal="right"/>
    </xf>
    <xf numFmtId="165" fontId="38" fillId="0" borderId="0" xfId="2" applyNumberFormat="1" applyFont="1" applyFill="1" applyBorder="1" applyAlignment="1">
      <alignment horizontal="right"/>
    </xf>
    <xf numFmtId="41" fontId="38" fillId="20" borderId="0" xfId="0" applyNumberFormat="1" applyFont="1" applyFill="1" applyBorder="1"/>
    <xf numFmtId="41" fontId="38" fillId="0" borderId="0" xfId="0" applyNumberFormat="1" applyFont="1" applyFill="1" applyBorder="1"/>
    <xf numFmtId="169" fontId="38" fillId="0" borderId="0" xfId="2" applyNumberFormat="1" applyFont="1" applyFill="1" applyBorder="1" applyAlignment="1">
      <alignment horizontal="right"/>
    </xf>
    <xf numFmtId="177" fontId="14" fillId="20" borderId="0" xfId="0" applyNumberFormat="1" applyFont="1" applyFill="1" applyBorder="1"/>
    <xf numFmtId="177" fontId="14" fillId="0" borderId="0" xfId="0" applyNumberFormat="1" applyFont="1" applyFill="1" applyBorder="1"/>
    <xf numFmtId="39" fontId="36" fillId="20" borderId="0" xfId="2" applyNumberFormat="1" applyFont="1" applyFill="1" applyBorder="1">
      <alignment horizontal="right"/>
    </xf>
    <xf numFmtId="165" fontId="36" fillId="20" borderId="0" xfId="2" applyNumberFormat="1" applyFont="1" applyFill="1" applyBorder="1">
      <alignment horizontal="right"/>
    </xf>
    <xf numFmtId="165" fontId="36" fillId="0" borderId="0" xfId="2" applyNumberFormat="1" applyFont="1" applyFill="1" applyBorder="1">
      <alignment horizontal="right"/>
    </xf>
    <xf numFmtId="165" fontId="36" fillId="0" borderId="0" xfId="2" applyNumberFormat="1" applyFont="1" applyFill="1" applyBorder="1" applyAlignment="1">
      <alignment horizontal="right"/>
    </xf>
    <xf numFmtId="165" fontId="14" fillId="0" borderId="0" xfId="2" applyNumberFormat="1" applyFont="1" applyFill="1" applyBorder="1" applyAlignment="1">
      <alignment horizontal="right"/>
    </xf>
    <xf numFmtId="168" fontId="42" fillId="20" borderId="0" xfId="0" applyNumberFormat="1" applyFont="1" applyFill="1" applyAlignment="1">
      <alignment horizontal="right"/>
    </xf>
    <xf numFmtId="39" fontId="38" fillId="0" borderId="0" xfId="2" applyNumberFormat="1" applyFont="1" applyFill="1" applyBorder="1" applyAlignment="1">
      <alignment horizontal="right"/>
    </xf>
    <xf numFmtId="39" fontId="14" fillId="0" borderId="0" xfId="2" applyNumberFormat="1" applyFont="1" applyFill="1" applyBorder="1" applyAlignment="1">
      <alignment horizontal="right"/>
    </xf>
    <xf numFmtId="167" fontId="14" fillId="0" borderId="0" xfId="0" applyNumberFormat="1" applyFont="1" applyFill="1" applyBorder="1" applyAlignment="1">
      <alignment horizontal="left"/>
    </xf>
    <xf numFmtId="39" fontId="43" fillId="20" borderId="0" xfId="0" applyNumberFormat="1" applyFont="1" applyFill="1" applyBorder="1"/>
    <xf numFmtId="185" fontId="43" fillId="0" borderId="0" xfId="47" applyNumberFormat="1" applyFont="1" applyFill="1" applyBorder="1" applyAlignment="1">
      <alignment horizontal="right" indent="1"/>
    </xf>
    <xf numFmtId="37" fontId="45" fillId="20" borderId="0" xfId="2" applyNumberFormat="1" applyFont="1" applyFill="1" applyBorder="1">
      <alignment horizontal="right"/>
    </xf>
    <xf numFmtId="3" fontId="47" fillId="20" borderId="0" xfId="0" applyNumberFormat="1" applyFont="1" applyFill="1" applyAlignment="1">
      <alignment horizontal="right"/>
    </xf>
    <xf numFmtId="37" fontId="45" fillId="0" borderId="0" xfId="2" applyNumberFormat="1" applyFont="1" applyFill="1" applyBorder="1">
      <alignment horizontal="right"/>
    </xf>
    <xf numFmtId="37" fontId="45" fillId="0" borderId="0" xfId="2" applyNumberFormat="1" applyFont="1" applyFill="1" applyBorder="1" applyAlignment="1">
      <alignment horizontal="right"/>
    </xf>
    <xf numFmtId="37" fontId="15" fillId="0" borderId="0" xfId="2" applyNumberFormat="1" applyFont="1" applyFill="1" applyBorder="1" applyAlignment="1">
      <alignment horizontal="right"/>
    </xf>
    <xf numFmtId="167" fontId="38" fillId="0" borderId="0" xfId="47" applyNumberFormat="1" applyFont="1" applyFill="1" applyAlignment="1">
      <alignment horizontal="right"/>
    </xf>
    <xf numFmtId="37" fontId="46" fillId="0" borderId="0" xfId="2" applyNumberFormat="1" applyFont="1" applyFill="1" applyBorder="1" applyAlignment="1">
      <alignment horizontal="right"/>
    </xf>
    <xf numFmtId="166" fontId="36" fillId="20" borderId="0" xfId="0" applyNumberFormat="1" applyFont="1" applyFill="1" applyBorder="1"/>
    <xf numFmtId="167" fontId="14" fillId="0" borderId="0" xfId="0" applyNumberFormat="1" applyFont="1" applyBorder="1" applyAlignment="1">
      <alignment horizontal="right"/>
    </xf>
    <xf numFmtId="37" fontId="36" fillId="0" borderId="0" xfId="0" applyNumberFormat="1" applyFont="1" applyBorder="1"/>
    <xf numFmtId="37" fontId="36" fillId="0" borderId="0" xfId="0" applyNumberFormat="1" applyFont="1" applyBorder="1" applyAlignment="1">
      <alignment horizontal="right"/>
    </xf>
    <xf numFmtId="37" fontId="14" fillId="0" borderId="0" xfId="0" applyNumberFormat="1" applyFont="1" applyBorder="1" applyAlignment="1">
      <alignment horizontal="right"/>
    </xf>
    <xf numFmtId="41" fontId="38" fillId="0" borderId="0" xfId="0" applyNumberFormat="1" applyFont="1" applyFill="1" applyBorder="1" applyAlignment="1">
      <alignment horizontal="right"/>
    </xf>
    <xf numFmtId="37" fontId="45" fillId="0" borderId="0" xfId="0" applyNumberFormat="1" applyFont="1" applyBorder="1" applyAlignment="1">
      <alignment horizontal="right"/>
    </xf>
    <xf numFmtId="37" fontId="15" fillId="0" borderId="0" xfId="0" applyNumberFormat="1" applyFont="1" applyBorder="1" applyAlignment="1">
      <alignment horizontal="right"/>
    </xf>
    <xf numFmtId="37" fontId="48" fillId="0" borderId="0" xfId="0" applyNumberFormat="1" applyFont="1" applyFill="1" applyBorder="1"/>
    <xf numFmtId="37" fontId="49" fillId="0" borderId="0" xfId="0" applyNumberFormat="1" applyFont="1" applyFill="1" applyBorder="1"/>
    <xf numFmtId="37" fontId="49" fillId="0" borderId="0" xfId="0" applyNumberFormat="1" applyFont="1" applyBorder="1" applyAlignment="1">
      <alignment horizontal="right"/>
    </xf>
    <xf numFmtId="37" fontId="43" fillId="0" borderId="0" xfId="0" applyNumberFormat="1" applyFont="1" applyBorder="1" applyAlignment="1">
      <alignment horizontal="right"/>
    </xf>
    <xf numFmtId="37" fontId="43" fillId="0" borderId="0" xfId="0" applyNumberFormat="1" applyFont="1" applyBorder="1"/>
    <xf numFmtId="165" fontId="36" fillId="0" borderId="0" xfId="0" applyNumberFormat="1" applyFont="1" applyFill="1" applyAlignment="1">
      <alignment horizontal="right"/>
    </xf>
    <xf numFmtId="165" fontId="14" fillId="0" borderId="0" xfId="0" applyNumberFormat="1" applyFont="1" applyFill="1" applyAlignment="1">
      <alignment horizontal="right"/>
    </xf>
    <xf numFmtId="165" fontId="36" fillId="0" borderId="0" xfId="0" applyNumberFormat="1" applyFont="1" applyFill="1"/>
    <xf numFmtId="165" fontId="14" fillId="0" borderId="0" xfId="0" applyNumberFormat="1" applyFont="1" applyFill="1"/>
    <xf numFmtId="39" fontId="36" fillId="0" borderId="0" xfId="0" applyNumberFormat="1" applyFont="1" applyFill="1"/>
    <xf numFmtId="37" fontId="38" fillId="0" borderId="0" xfId="0" applyNumberFormat="1" applyFont="1" applyFill="1"/>
    <xf numFmtId="37" fontId="36" fillId="0" borderId="0" xfId="0" applyNumberFormat="1" applyFont="1" applyFill="1"/>
    <xf numFmtId="37" fontId="48" fillId="0" borderId="0" xfId="0" applyNumberFormat="1" applyFont="1" applyFill="1"/>
    <xf numFmtId="39" fontId="43" fillId="0" borderId="0" xfId="0" applyNumberFormat="1" applyFont="1" applyFill="1"/>
    <xf numFmtId="165" fontId="44" fillId="0" borderId="0" xfId="0" applyNumberFormat="1" applyFont="1" applyFill="1" applyAlignment="1">
      <alignment horizontal="right"/>
    </xf>
    <xf numFmtId="165" fontId="43" fillId="0" borderId="0" xfId="47" applyNumberFormat="1" applyFont="1" applyFill="1" applyBorder="1" applyAlignment="1">
      <alignment horizontal="right"/>
    </xf>
    <xf numFmtId="37" fontId="45" fillId="0" borderId="0" xfId="0" applyNumberFormat="1" applyFont="1" applyFill="1"/>
    <xf numFmtId="37" fontId="15" fillId="0" borderId="0" xfId="0" applyNumberFormat="1" applyFont="1" applyFill="1"/>
    <xf numFmtId="3" fontId="42" fillId="0" borderId="0" xfId="0" applyNumberFormat="1" applyFont="1" applyFill="1"/>
    <xf numFmtId="1" fontId="42" fillId="0" borderId="0" xfId="0" applyNumberFormat="1" applyFont="1" applyFill="1"/>
    <xf numFmtId="167" fontId="14" fillId="0" borderId="0" xfId="0" applyNumberFormat="1" applyFont="1" applyFill="1"/>
    <xf numFmtId="1" fontId="16" fillId="0" borderId="0" xfId="0" applyNumberFormat="1" applyFont="1" applyFill="1"/>
    <xf numFmtId="168" fontId="38" fillId="0" borderId="0" xfId="0" applyNumberFormat="1" applyFont="1" applyFill="1" applyAlignment="1">
      <alignment horizontal="right"/>
    </xf>
    <xf numFmtId="168" fontId="14" fillId="0" borderId="0" xfId="0" applyNumberFormat="1" applyFont="1" applyFill="1" applyAlignment="1">
      <alignment horizontal="right"/>
    </xf>
    <xf numFmtId="0" fontId="17" fillId="0" borderId="0" xfId="0" applyFont="1" applyFill="1" applyAlignment="1">
      <alignment horizontal="left"/>
    </xf>
    <xf numFmtId="167" fontId="48" fillId="0" borderId="0" xfId="2" applyNumberFormat="1" applyFont="1" applyFill="1" applyBorder="1">
      <alignment horizontal="right"/>
    </xf>
    <xf numFmtId="0" fontId="14" fillId="0" borderId="0" xfId="0" applyNumberFormat="1" applyFont="1" applyFill="1"/>
    <xf numFmtId="0" fontId="15" fillId="0" borderId="0" xfId="0" applyNumberFormat="1" applyFont="1" applyFill="1"/>
    <xf numFmtId="167" fontId="48" fillId="0" borderId="0" xfId="0" applyNumberFormat="1" applyFont="1" applyFill="1" applyBorder="1"/>
    <xf numFmtId="180" fontId="38" fillId="0" borderId="0" xfId="0" applyNumberFormat="1" applyFont="1" applyFill="1" applyBorder="1" applyAlignment="1">
      <alignment horizontal="right"/>
    </xf>
    <xf numFmtId="37" fontId="42" fillId="0" borderId="0" xfId="0" applyNumberFormat="1" applyFont="1" applyFill="1" applyBorder="1"/>
    <xf numFmtId="168" fontId="41" fillId="0" borderId="0" xfId="0" applyNumberFormat="1" applyFont="1" applyFill="1" applyAlignment="1">
      <alignment horizontal="right"/>
    </xf>
    <xf numFmtId="167" fontId="36" fillId="0" borderId="0" xfId="0" applyNumberFormat="1" applyFont="1" applyFill="1" applyBorder="1"/>
    <xf numFmtId="168" fontId="42" fillId="0" borderId="0" xfId="0" applyNumberFormat="1" applyFont="1" applyFill="1" applyBorder="1"/>
    <xf numFmtId="168" fontId="36" fillId="0" borderId="0" xfId="0" applyNumberFormat="1" applyFont="1" applyFill="1" applyBorder="1"/>
    <xf numFmtId="3" fontId="50" fillId="0" borderId="0" xfId="0" applyNumberFormat="1" applyFont="1" applyFill="1" applyBorder="1"/>
    <xf numFmtId="167" fontId="48" fillId="0" borderId="0" xfId="0" applyNumberFormat="1" applyFont="1" applyFill="1" applyBorder="1" applyAlignment="1">
      <alignment horizontal="right"/>
    </xf>
    <xf numFmtId="0" fontId="38" fillId="0" borderId="0" xfId="0" applyFont="1" applyFill="1"/>
    <xf numFmtId="166" fontId="38" fillId="0" borderId="0" xfId="0" applyNumberFormat="1" applyFont="1" applyFill="1"/>
    <xf numFmtId="180" fontId="38" fillId="0" borderId="0" xfId="0" applyNumberFormat="1" applyFont="1" applyFill="1"/>
    <xf numFmtId="0" fontId="16" fillId="0" borderId="0" xfId="0" applyFont="1" applyFill="1" applyBorder="1" applyAlignment="1">
      <alignment horizontal="left"/>
    </xf>
    <xf numFmtId="37" fontId="38" fillId="0" borderId="0" xfId="47" applyNumberFormat="1" applyFont="1" applyFill="1" applyBorder="1" applyAlignment="1">
      <alignment horizontal="right"/>
    </xf>
    <xf numFmtId="43" fontId="48" fillId="0" borderId="0" xfId="47" applyFont="1" applyFill="1" applyBorder="1" applyAlignment="1">
      <alignment horizontal="right"/>
    </xf>
    <xf numFmtId="0" fontId="36" fillId="0" borderId="0" xfId="0" applyFont="1" applyFill="1" applyAlignment="1"/>
    <xf numFmtId="43" fontId="36" fillId="0" borderId="0" xfId="47" applyFont="1" applyFill="1" applyBorder="1" applyAlignment="1">
      <alignment horizontal="right"/>
    </xf>
    <xf numFmtId="166" fontId="38" fillId="0" borderId="0" xfId="0" applyNumberFormat="1" applyFont="1" applyFill="1" applyBorder="1"/>
    <xf numFmtId="182" fontId="38" fillId="0" borderId="0" xfId="0" applyNumberFormat="1" applyFont="1" applyFill="1" applyBorder="1" applyAlignment="1">
      <alignment horizontal="right"/>
    </xf>
    <xf numFmtId="174" fontId="38" fillId="0" borderId="0" xfId="0" applyNumberFormat="1" applyFont="1" applyFill="1" applyBorder="1"/>
    <xf numFmtId="182" fontId="14" fillId="0" borderId="0" xfId="0" applyNumberFormat="1" applyFont="1" applyFill="1" applyBorder="1" applyAlignment="1">
      <alignment horizontal="right"/>
    </xf>
    <xf numFmtId="41" fontId="36" fillId="0" borderId="0" xfId="0" applyNumberFormat="1" applyFont="1" applyFill="1" applyBorder="1"/>
    <xf numFmtId="37" fontId="36" fillId="19" borderId="0" xfId="0" applyNumberFormat="1" applyFont="1" applyFill="1" applyBorder="1"/>
    <xf numFmtId="41" fontId="14" fillId="0" borderId="0" xfId="0" applyNumberFormat="1" applyFont="1" applyFill="1" applyBorder="1" applyAlignment="1">
      <alignment horizontal="right"/>
    </xf>
    <xf numFmtId="37" fontId="45" fillId="19" borderId="0" xfId="0" applyNumberFormat="1" applyFont="1" applyFill="1" applyBorder="1"/>
    <xf numFmtId="43" fontId="36" fillId="0" borderId="0" xfId="47" applyFont="1" applyFill="1" applyBorder="1"/>
    <xf numFmtId="183" fontId="38" fillId="0" borderId="0" xfId="0" applyNumberFormat="1" applyFont="1" applyFill="1" applyBorder="1" applyAlignment="1">
      <alignment horizontal="right"/>
    </xf>
    <xf numFmtId="4" fontId="36" fillId="0" borderId="0" xfId="47" applyNumberFormat="1" applyFont="1" applyFill="1" applyBorder="1"/>
    <xf numFmtId="4" fontId="36" fillId="0" borderId="0" xfId="0" applyNumberFormat="1" applyFont="1" applyFill="1" applyBorder="1"/>
    <xf numFmtId="4" fontId="41" fillId="0" borderId="0" xfId="0" applyNumberFormat="1" applyFont="1" applyFill="1" applyAlignment="1">
      <alignment horizontal="right"/>
    </xf>
    <xf numFmtId="183" fontId="14" fillId="0" borderId="0" xfId="0" applyNumberFormat="1" applyFont="1" applyFill="1" applyBorder="1" applyAlignment="1">
      <alignment horizontal="right"/>
    </xf>
    <xf numFmtId="41" fontId="42" fillId="0" borderId="0" xfId="0" applyNumberFormat="1" applyFont="1" applyFill="1" applyAlignment="1">
      <alignment horizontal="right"/>
    </xf>
    <xf numFmtId="175" fontId="42" fillId="0" borderId="0" xfId="0" applyNumberFormat="1" applyFont="1" applyFill="1" applyAlignment="1">
      <alignment horizontal="right"/>
    </xf>
    <xf numFmtId="175" fontId="38" fillId="0" borderId="0" xfId="0" applyNumberFormat="1" applyFont="1" applyFill="1" applyAlignment="1">
      <alignment horizontal="right"/>
    </xf>
    <xf numFmtId="175" fontId="14" fillId="0" borderId="0" xfId="0" applyNumberFormat="1" applyFont="1" applyFill="1" applyAlignment="1">
      <alignment horizontal="right"/>
    </xf>
    <xf numFmtId="175" fontId="36" fillId="0" borderId="0" xfId="0" applyNumberFormat="1" applyFont="1" applyFill="1" applyAlignment="1">
      <alignment horizontal="right"/>
    </xf>
    <xf numFmtId="39" fontId="42" fillId="0" borderId="0" xfId="0" applyNumberFormat="1" applyFont="1" applyFill="1" applyAlignment="1">
      <alignment horizontal="right"/>
    </xf>
    <xf numFmtId="37" fontId="36" fillId="0" borderId="0" xfId="0" applyNumberFormat="1" applyFont="1" applyFill="1" applyAlignment="1">
      <alignment horizontal="right"/>
    </xf>
    <xf numFmtId="37" fontId="14" fillId="0" borderId="0" xfId="0" applyNumberFormat="1" applyFont="1" applyFill="1" applyAlignment="1">
      <alignment horizontal="right"/>
    </xf>
    <xf numFmtId="0" fontId="14" fillId="0" borderId="0" xfId="0" applyFont="1" applyBorder="1" applyProtection="1">
      <protection locked="0"/>
    </xf>
    <xf numFmtId="41" fontId="38" fillId="0" borderId="0" xfId="0" applyNumberFormat="1" applyFont="1" applyFill="1" applyAlignment="1">
      <alignment horizontal="right"/>
    </xf>
    <xf numFmtId="168" fontId="36" fillId="0" borderId="0" xfId="0" applyNumberFormat="1" applyFont="1" applyFill="1" applyAlignment="1">
      <alignment horizontal="right"/>
    </xf>
    <xf numFmtId="174" fontId="38" fillId="0" borderId="0" xfId="0" applyNumberFormat="1" applyFont="1" applyFill="1" applyAlignment="1">
      <alignment horizontal="right"/>
    </xf>
    <xf numFmtId="174" fontId="36" fillId="0" borderId="0" xfId="0" applyNumberFormat="1" applyFont="1" applyFill="1" applyAlignment="1">
      <alignment horizontal="right"/>
    </xf>
    <xf numFmtId="41" fontId="36" fillId="0" borderId="0" xfId="0" applyNumberFormat="1" applyFont="1" applyFill="1" applyAlignment="1">
      <alignment horizontal="right"/>
    </xf>
    <xf numFmtId="41" fontId="38" fillId="0" borderId="0" xfId="0" applyNumberFormat="1" applyFont="1" applyFill="1"/>
    <xf numFmtId="165" fontId="38" fillId="0" borderId="0" xfId="0" applyNumberFormat="1" applyFont="1" applyFill="1" applyAlignment="1">
      <alignment horizontal="right"/>
    </xf>
    <xf numFmtId="0" fontId="43" fillId="0" borderId="0" xfId="0" applyFont="1" applyFill="1" applyBorder="1" applyAlignment="1">
      <alignment horizontal="left"/>
    </xf>
    <xf numFmtId="41" fontId="43" fillId="0" borderId="0" xfId="0" applyNumberFormat="1" applyFont="1" applyFill="1"/>
    <xf numFmtId="37" fontId="43" fillId="0" borderId="0" xfId="0" applyNumberFormat="1" applyFont="1" applyFill="1"/>
    <xf numFmtId="41" fontId="43" fillId="0" borderId="0" xfId="0" applyNumberFormat="1" applyFont="1" applyFill="1" applyBorder="1"/>
    <xf numFmtId="37" fontId="43" fillId="0" borderId="0" xfId="0" applyNumberFormat="1" applyFont="1" applyFill="1" applyAlignment="1">
      <alignment horizontal="right"/>
    </xf>
    <xf numFmtId="179" fontId="43" fillId="0" borderId="0" xfId="47" applyNumberFormat="1" applyFont="1" applyFill="1" applyBorder="1" applyAlignment="1">
      <alignment horizontal="right"/>
    </xf>
    <xf numFmtId="167" fontId="43" fillId="0" borderId="0" xfId="0" applyNumberFormat="1" applyFont="1" applyFill="1" applyAlignment="1">
      <alignment horizontal="right"/>
    </xf>
    <xf numFmtId="41" fontId="14" fillId="0" borderId="0" xfId="0" applyNumberFormat="1" applyFont="1" applyFill="1"/>
    <xf numFmtId="41" fontId="14" fillId="0" borderId="0" xfId="0" applyNumberFormat="1" applyFont="1" applyFill="1" applyBorder="1"/>
    <xf numFmtId="174" fontId="14" fillId="0" borderId="0" xfId="0" applyNumberFormat="1" applyFont="1" applyFill="1" applyBorder="1"/>
    <xf numFmtId="41" fontId="36" fillId="0" borderId="0" xfId="0" applyNumberFormat="1" applyFont="1" applyFill="1"/>
    <xf numFmtId="41" fontId="41" fillId="0" borderId="0" xfId="0" applyNumberFormat="1" applyFont="1" applyFill="1" applyAlignment="1">
      <alignment horizontal="right"/>
    </xf>
    <xf numFmtId="166" fontId="38" fillId="0" borderId="0" xfId="0" applyNumberFormat="1" applyFont="1" applyFill="1" applyAlignment="1">
      <alignment horizontal="right"/>
    </xf>
    <xf numFmtId="166" fontId="14" fillId="0" borderId="0" xfId="0" applyNumberFormat="1" applyFont="1" applyFill="1" applyAlignment="1">
      <alignment horizontal="right"/>
    </xf>
    <xf numFmtId="37" fontId="15" fillId="0" borderId="0" xfId="0" applyNumberFormat="1" applyFont="1" applyFill="1" applyAlignment="1">
      <alignment horizontal="right"/>
    </xf>
    <xf numFmtId="37" fontId="48" fillId="0" borderId="0" xfId="0" applyNumberFormat="1" applyFont="1" applyFill="1" applyAlignment="1">
      <alignment horizontal="right"/>
    </xf>
    <xf numFmtId="184" fontId="38" fillId="0" borderId="0" xfId="0" applyNumberFormat="1" applyFont="1" applyFill="1" applyAlignment="1">
      <alignment horizontal="right"/>
    </xf>
    <xf numFmtId="184" fontId="14" fillId="0" borderId="0" xfId="0" applyNumberFormat="1" applyFont="1" applyFill="1" applyAlignment="1">
      <alignment horizontal="right"/>
    </xf>
    <xf numFmtId="39" fontId="45" fillId="0" borderId="0" xfId="0" applyNumberFormat="1" applyFont="1" applyFill="1" applyAlignment="1">
      <alignment horizontal="right"/>
    </xf>
    <xf numFmtId="3" fontId="45" fillId="0" borderId="0" xfId="0" applyNumberFormat="1" applyFont="1" applyFill="1" applyAlignment="1">
      <alignment horizontal="right"/>
    </xf>
    <xf numFmtId="39" fontId="45" fillId="0" borderId="0" xfId="0" applyNumberFormat="1" applyFont="1" applyFill="1" applyBorder="1" applyAlignment="1">
      <alignment horizontal="right"/>
    </xf>
    <xf numFmtId="3" fontId="36" fillId="0" borderId="0" xfId="0" applyNumberFormat="1" applyFont="1" applyFill="1" applyAlignment="1">
      <alignment horizontal="right"/>
    </xf>
    <xf numFmtId="39" fontId="15" fillId="0" borderId="0" xfId="0" applyNumberFormat="1" applyFont="1" applyFill="1" applyBorder="1" applyAlignment="1">
      <alignment horizontal="right"/>
    </xf>
    <xf numFmtId="39" fontId="15" fillId="0" borderId="0" xfId="0" applyNumberFormat="1" applyFont="1" applyFill="1" applyAlignment="1">
      <alignment horizontal="right"/>
    </xf>
    <xf numFmtId="0" fontId="38" fillId="0" borderId="0" xfId="0" applyFont="1" applyFill="1" applyBorder="1" applyProtection="1">
      <protection locked="0"/>
    </xf>
    <xf numFmtId="10" fontId="14" fillId="0" borderId="0" xfId="0" applyNumberFormat="1" applyFont="1" applyAlignment="1"/>
    <xf numFmtId="0" fontId="38" fillId="0" borderId="0" xfId="0" applyFont="1" applyBorder="1" applyProtection="1">
      <protection locked="0"/>
    </xf>
    <xf numFmtId="167" fontId="37" fillId="0" borderId="0" xfId="0" applyNumberFormat="1" applyFont="1" applyFill="1" applyAlignment="1">
      <alignment horizontal="right"/>
    </xf>
    <xf numFmtId="43" fontId="38" fillId="0" borderId="0" xfId="0" applyNumberFormat="1" applyFont="1" applyBorder="1" applyProtection="1">
      <protection locked="0"/>
    </xf>
    <xf numFmtId="39" fontId="38" fillId="0" borderId="0" xfId="0" applyNumberFormat="1" applyFont="1" applyFill="1" applyBorder="1"/>
    <xf numFmtId="170" fontId="38" fillId="0" borderId="0" xfId="0" applyNumberFormat="1" applyFont="1" applyFill="1" applyAlignment="1">
      <alignment horizontal="right"/>
    </xf>
    <xf numFmtId="3" fontId="14" fillId="0" borderId="0" xfId="0" applyNumberFormat="1" applyFont="1" applyFill="1" applyBorder="1"/>
    <xf numFmtId="0" fontId="38" fillId="0" borderId="0" xfId="0" applyFont="1" applyFill="1" applyBorder="1"/>
    <xf numFmtId="185" fontId="38" fillId="0" borderId="0" xfId="47" applyNumberFormat="1" applyFont="1" applyFill="1" applyBorder="1"/>
    <xf numFmtId="179" fontId="38" fillId="0" borderId="0" xfId="47" applyNumberFormat="1" applyFont="1" applyFill="1" applyBorder="1"/>
    <xf numFmtId="0" fontId="37" fillId="0" borderId="0" xfId="0" applyFont="1" applyFill="1" applyAlignment="1">
      <alignment horizontal="right"/>
    </xf>
    <xf numFmtId="179" fontId="14" fillId="0" borderId="0" xfId="47" applyNumberFormat="1" applyFont="1" applyFill="1" applyBorder="1"/>
    <xf numFmtId="178" fontId="14" fillId="0" borderId="0" xfId="0" applyNumberFormat="1" applyFont="1" applyFill="1" applyBorder="1"/>
    <xf numFmtId="37" fontId="14" fillId="0" borderId="0" xfId="0" applyNumberFormat="1" applyFont="1" applyFill="1" applyAlignment="1">
      <alignment horizontal="left"/>
    </xf>
    <xf numFmtId="0" fontId="14" fillId="0" borderId="0" xfId="0" applyFont="1" applyBorder="1" applyAlignment="1">
      <alignment horizontal="right"/>
    </xf>
    <xf numFmtId="1" fontId="14" fillId="0" borderId="0" xfId="0" applyNumberFormat="1" applyFont="1" applyBorder="1" applyAlignment="1">
      <alignment horizontal="right"/>
    </xf>
    <xf numFmtId="1" fontId="14" fillId="0" borderId="0" xfId="0" applyNumberFormat="1" applyFont="1" applyAlignment="1">
      <alignment horizontal="right"/>
    </xf>
    <xf numFmtId="170" fontId="14" fillId="0" borderId="0" xfId="0" applyNumberFormat="1" applyFont="1" applyAlignment="1">
      <alignment horizontal="right"/>
    </xf>
    <xf numFmtId="170" fontId="14" fillId="0" borderId="0" xfId="0" applyNumberFormat="1" applyFont="1" applyFill="1" applyAlignment="1">
      <alignment horizontal="right"/>
    </xf>
    <xf numFmtId="0" fontId="14" fillId="0" borderId="0" xfId="0" applyNumberFormat="1" applyFont="1" applyFill="1" applyBorder="1" applyAlignment="1">
      <alignment horizontal="right"/>
    </xf>
    <xf numFmtId="166" fontId="38" fillId="17" borderId="0" xfId="0" quotePrefix="1" applyNumberFormat="1" applyFont="1" applyFill="1" applyBorder="1" applyAlignment="1">
      <alignment horizontal="right"/>
    </xf>
    <xf numFmtId="167" fontId="38" fillId="0" borderId="0" xfId="0" applyNumberFormat="1" applyFont="1" applyFill="1" applyBorder="1" applyAlignment="1">
      <alignment horizontal="left"/>
    </xf>
    <xf numFmtId="167" fontId="43" fillId="0" borderId="0" xfId="0" applyNumberFormat="1" applyFont="1" applyFill="1" applyBorder="1" applyAlignment="1">
      <alignment horizontal="left"/>
    </xf>
    <xf numFmtId="169" fontId="38" fillId="0" borderId="0" xfId="0" applyNumberFormat="1" applyFont="1" applyFill="1" applyBorder="1" applyAlignment="1">
      <alignment horizontal="left"/>
    </xf>
    <xf numFmtId="174" fontId="38" fillId="0" borderId="0" xfId="0" applyNumberFormat="1" applyFont="1" applyFill="1" applyBorder="1" applyAlignment="1">
      <alignment horizontal="left"/>
    </xf>
    <xf numFmtId="167" fontId="36" fillId="0" borderId="0" xfId="0" applyNumberFormat="1" applyFont="1" applyFill="1" applyBorder="1" applyAlignment="1">
      <alignment horizontal="left"/>
    </xf>
    <xf numFmtId="37" fontId="38" fillId="0" borderId="0" xfId="0" applyNumberFormat="1" applyFont="1" applyFill="1" applyBorder="1" applyAlignment="1">
      <alignment horizontal="left"/>
    </xf>
    <xf numFmtId="165" fontId="38" fillId="0" borderId="0" xfId="0" applyNumberFormat="1" applyFont="1" applyFill="1" applyBorder="1" applyAlignment="1">
      <alignment horizontal="left"/>
    </xf>
    <xf numFmtId="165" fontId="43" fillId="0" borderId="0" xfId="0" applyNumberFormat="1" applyFont="1" applyFill="1" applyBorder="1" applyAlignment="1">
      <alignment horizontal="left"/>
    </xf>
    <xf numFmtId="168" fontId="38" fillId="0" borderId="0" xfId="0" applyNumberFormat="1" applyFont="1" applyFill="1" applyBorder="1" applyAlignment="1">
      <alignment horizontal="left"/>
    </xf>
    <xf numFmtId="167" fontId="48" fillId="0" borderId="0" xfId="0" applyNumberFormat="1" applyFont="1" applyFill="1" applyBorder="1" applyAlignment="1">
      <alignment horizontal="left"/>
    </xf>
    <xf numFmtId="4" fontId="38" fillId="0" borderId="0" xfId="0" applyNumberFormat="1" applyFont="1" applyFill="1" applyBorder="1" applyAlignment="1">
      <alignment horizontal="left"/>
    </xf>
    <xf numFmtId="41" fontId="36" fillId="0" borderId="0" xfId="0" applyNumberFormat="1" applyFont="1" applyFill="1" applyBorder="1" applyAlignment="1">
      <alignment horizontal="left"/>
    </xf>
    <xf numFmtId="0" fontId="37" fillId="17" borderId="0" xfId="0" applyFont="1" applyFill="1" applyBorder="1" applyAlignment="1">
      <alignment horizontal="right"/>
    </xf>
    <xf numFmtId="168" fontId="37" fillId="17" borderId="0" xfId="0" applyNumberFormat="1" applyFont="1" applyFill="1" applyBorder="1" applyAlignment="1">
      <alignment horizontal="right"/>
    </xf>
    <xf numFmtId="39" fontId="37" fillId="17" borderId="0" xfId="0" applyNumberFormat="1" applyFont="1" applyFill="1" applyBorder="1" applyAlignment="1">
      <alignment horizontal="right"/>
    </xf>
    <xf numFmtId="165" fontId="37" fillId="17" borderId="0" xfId="0" applyNumberFormat="1" applyFont="1" applyFill="1" applyBorder="1" applyAlignment="1">
      <alignment horizontal="right"/>
    </xf>
    <xf numFmtId="37" fontId="43" fillId="0" borderId="0" xfId="0" applyNumberFormat="1" applyFont="1" applyFill="1" applyBorder="1"/>
    <xf numFmtId="174" fontId="14" fillId="0" borderId="0" xfId="0" applyNumberFormat="1" applyFont="1" applyFill="1" applyBorder="1" applyAlignment="1">
      <alignment horizontal="left"/>
    </xf>
    <xf numFmtId="174" fontId="16" fillId="0" borderId="0" xfId="0" applyNumberFormat="1" applyFont="1" applyFill="1" applyAlignment="1">
      <alignment horizontal="right"/>
    </xf>
    <xf numFmtId="43" fontId="14" fillId="0" borderId="0" xfId="47" applyFont="1" applyFill="1"/>
    <xf numFmtId="185" fontId="14" fillId="0" borderId="0" xfId="47" applyNumberFormat="1" applyFont="1" applyFill="1"/>
    <xf numFmtId="185" fontId="14" fillId="0" borderId="0" xfId="47" applyNumberFormat="1" applyFont="1" applyFill="1" applyBorder="1" applyAlignment="1">
      <alignment horizontal="left"/>
    </xf>
    <xf numFmtId="179" fontId="14" fillId="0" borderId="0" xfId="47" applyNumberFormat="1" applyFont="1" applyFill="1" applyBorder="1" applyAlignment="1">
      <alignment horizontal="left"/>
    </xf>
    <xf numFmtId="43" fontId="16" fillId="0" borderId="0" xfId="47" applyFont="1" applyFill="1" applyAlignment="1">
      <alignment horizontal="right"/>
    </xf>
    <xf numFmtId="185" fontId="16" fillId="0" borderId="0" xfId="47" applyNumberFormat="1" applyFont="1" applyFill="1" applyAlignment="1">
      <alignment horizontal="right"/>
    </xf>
    <xf numFmtId="185" fontId="14" fillId="0" borderId="0" xfId="47" applyNumberFormat="1" applyFont="1" applyFill="1" applyAlignment="1">
      <alignment horizontal="right"/>
    </xf>
    <xf numFmtId="43" fontId="14" fillId="0" borderId="0" xfId="47" applyFont="1"/>
    <xf numFmtId="43" fontId="14" fillId="0" borderId="0" xfId="47" applyFont="1" applyBorder="1" applyAlignment="1">
      <alignment horizontal="right"/>
    </xf>
    <xf numFmtId="43" fontId="14" fillId="0" borderId="0" xfId="47" applyFont="1" applyFill="1" applyBorder="1" applyAlignment="1">
      <alignment horizontal="right"/>
    </xf>
    <xf numFmtId="0" fontId="14" fillId="0" borderId="0" xfId="0" applyFont="1" applyBorder="1" applyAlignment="1">
      <alignment horizontal="left" indent="1"/>
    </xf>
    <xf numFmtId="0" fontId="14" fillId="0" borderId="0" xfId="0" applyFont="1" applyFill="1" applyAlignment="1">
      <alignment horizontal="left" indent="1"/>
    </xf>
    <xf numFmtId="37" fontId="48" fillId="0" borderId="0" xfId="0" applyNumberFormat="1" applyFont="1" applyFill="1" applyBorder="1" applyAlignment="1">
      <alignment horizontal="right"/>
    </xf>
    <xf numFmtId="39" fontId="48" fillId="0" borderId="0" xfId="0" applyNumberFormat="1" applyFont="1" applyFill="1" applyAlignment="1">
      <alignment horizontal="right"/>
    </xf>
    <xf numFmtId="179" fontId="38" fillId="0" borderId="0" xfId="47" applyNumberFormat="1" applyFont="1" applyFill="1"/>
    <xf numFmtId="167" fontId="42" fillId="0" borderId="0" xfId="0" applyNumberFormat="1" applyFont="1" applyFill="1" applyBorder="1" applyAlignment="1">
      <alignment horizontal="right"/>
    </xf>
    <xf numFmtId="179" fontId="16" fillId="0" borderId="0" xfId="47" applyNumberFormat="1" applyFont="1" applyFill="1"/>
    <xf numFmtId="37" fontId="16" fillId="0" borderId="0" xfId="0" applyNumberFormat="1" applyFont="1" applyFill="1" applyAlignment="1">
      <alignment horizontal="right"/>
    </xf>
    <xf numFmtId="3" fontId="16" fillId="0" borderId="0" xfId="0" applyNumberFormat="1" applyFont="1"/>
    <xf numFmtId="170" fontId="16" fillId="0" borderId="0" xfId="0" applyNumberFormat="1" applyFont="1" applyAlignment="1">
      <alignment horizontal="right"/>
    </xf>
    <xf numFmtId="0" fontId="16" fillId="0" borderId="0" xfId="0" applyFont="1" applyFill="1" applyBorder="1"/>
    <xf numFmtId="166" fontId="16" fillId="17" borderId="0" xfId="0" quotePrefix="1" applyNumberFormat="1" applyFont="1" applyFill="1" applyBorder="1" applyAlignment="1">
      <alignment horizontal="right"/>
    </xf>
    <xf numFmtId="1" fontId="16" fillId="0" borderId="0" xfId="0" applyNumberFormat="1" applyFont="1" applyFill="1" applyBorder="1" applyAlignment="1">
      <alignment horizontal="right"/>
    </xf>
    <xf numFmtId="1" fontId="16" fillId="17" borderId="0" xfId="0" applyNumberFormat="1" applyFont="1" applyFill="1" applyBorder="1" applyAlignment="1">
      <alignment horizontal="right"/>
    </xf>
    <xf numFmtId="170" fontId="16" fillId="0" borderId="0" xfId="0" applyNumberFormat="1" applyFont="1" applyFill="1" applyAlignment="1">
      <alignment horizontal="right"/>
    </xf>
    <xf numFmtId="165" fontId="16" fillId="17" borderId="0" xfId="0" applyNumberFormat="1" applyFont="1" applyFill="1" applyBorder="1" applyAlignment="1">
      <alignment horizontal="right"/>
    </xf>
    <xf numFmtId="168" fontId="16" fillId="17" borderId="0" xfId="0" applyNumberFormat="1" applyFont="1" applyFill="1" applyBorder="1" applyAlignment="1">
      <alignment horizontal="right"/>
    </xf>
    <xf numFmtId="39" fontId="16" fillId="17" borderId="0" xfId="0" applyNumberFormat="1" applyFont="1" applyFill="1" applyBorder="1" applyAlignment="1">
      <alignment horizontal="right"/>
    </xf>
    <xf numFmtId="3" fontId="42" fillId="17" borderId="0" xfId="0" applyNumberFormat="1" applyFont="1" applyFill="1" applyBorder="1" applyAlignment="1">
      <alignment horizontal="right"/>
    </xf>
    <xf numFmtId="1" fontId="16" fillId="0" borderId="0" xfId="0" applyNumberFormat="1" applyFont="1"/>
    <xf numFmtId="1" fontId="16" fillId="0" borderId="0" xfId="0" applyNumberFormat="1" applyFont="1" applyFill="1" applyBorder="1" applyProtection="1">
      <protection locked="0"/>
    </xf>
    <xf numFmtId="167" fontId="16" fillId="0" borderId="0" xfId="0" applyNumberFormat="1" applyFont="1" applyFill="1"/>
    <xf numFmtId="0" fontId="16" fillId="0" borderId="0" xfId="0" applyFont="1" applyFill="1" applyBorder="1" applyAlignment="1">
      <alignment horizontal="right"/>
    </xf>
    <xf numFmtId="0" fontId="38" fillId="0" borderId="0" xfId="0" applyFont="1"/>
    <xf numFmtId="37" fontId="14" fillId="0" borderId="0" xfId="0" applyNumberFormat="1" applyFont="1" applyFill="1"/>
    <xf numFmtId="167" fontId="15" fillId="16" borderId="0" xfId="0" applyNumberFormat="1" applyFont="1" applyFill="1" applyBorder="1"/>
    <xf numFmtId="167" fontId="48" fillId="16" borderId="0" xfId="0" applyNumberFormat="1" applyFont="1" applyFill="1" applyBorder="1"/>
    <xf numFmtId="167" fontId="14" fillId="16" borderId="0" xfId="0" applyNumberFormat="1" applyFont="1" applyFill="1" applyBorder="1"/>
    <xf numFmtId="167" fontId="38" fillId="16" borderId="0" xfId="0" applyNumberFormat="1" applyFont="1" applyFill="1" applyBorder="1"/>
    <xf numFmtId="37" fontId="45" fillId="0" borderId="0" xfId="0" applyNumberFormat="1" applyFont="1" applyFill="1" applyBorder="1" applyAlignment="1">
      <alignment horizontal="left"/>
    </xf>
    <xf numFmtId="0" fontId="15" fillId="0" borderId="0" xfId="0" applyFont="1" applyBorder="1" applyAlignment="1">
      <alignment horizontal="right"/>
    </xf>
    <xf numFmtId="3" fontId="41" fillId="19" borderId="0" xfId="0" applyNumberFormat="1" applyFont="1" applyFill="1" applyAlignment="1">
      <alignment horizontal="right"/>
    </xf>
    <xf numFmtId="3" fontId="14" fillId="0" borderId="12" xfId="0" applyNumberFormat="1" applyFont="1" applyBorder="1" applyAlignment="1">
      <alignment horizontal="right"/>
    </xf>
    <xf numFmtId="1" fontId="14" fillId="0" borderId="0" xfId="69" applyNumberFormat="1" applyFont="1" applyFill="1" applyBorder="1" applyAlignment="1">
      <alignment horizontal="left"/>
    </xf>
    <xf numFmtId="177" fontId="14" fillId="0" borderId="0" xfId="0" applyNumberFormat="1" applyFont="1" applyFill="1" applyBorder="1" applyAlignment="1">
      <alignment horizontal="right"/>
    </xf>
    <xf numFmtId="0" fontId="36" fillId="0" borderId="13" xfId="0" applyFont="1" applyFill="1" applyBorder="1" applyAlignment="1">
      <alignment horizontal="right"/>
    </xf>
    <xf numFmtId="0" fontId="14" fillId="0" borderId="13" xfId="0" applyFont="1" applyFill="1" applyBorder="1" applyAlignment="1">
      <alignment horizontal="right"/>
    </xf>
    <xf numFmtId="0" fontId="14" fillId="0" borderId="13" xfId="0" applyFont="1" applyBorder="1"/>
    <xf numFmtId="39" fontId="14" fillId="0" borderId="13" xfId="0" applyNumberFormat="1" applyFont="1" applyFill="1" applyBorder="1" applyAlignment="1">
      <alignment horizontal="right"/>
    </xf>
    <xf numFmtId="0" fontId="14" fillId="17" borderId="13" xfId="0" applyNumberFormat="1" applyFont="1" applyFill="1" applyBorder="1" applyAlignment="1">
      <alignment horizontal="right"/>
    </xf>
    <xf numFmtId="168" fontId="14" fillId="17" borderId="13" xfId="0" applyNumberFormat="1" applyFont="1" applyFill="1" applyBorder="1" applyAlignment="1">
      <alignment horizontal="right"/>
    </xf>
    <xf numFmtId="165" fontId="38" fillId="17" borderId="13" xfId="0" applyNumberFormat="1" applyFont="1" applyFill="1" applyBorder="1" applyAlignment="1">
      <alignment horizontal="right"/>
    </xf>
    <xf numFmtId="167" fontId="14" fillId="17" borderId="13" xfId="0" applyNumberFormat="1" applyFont="1" applyFill="1" applyBorder="1" applyAlignment="1">
      <alignment horizontal="right"/>
    </xf>
    <xf numFmtId="37" fontId="38" fillId="17" borderId="13" xfId="0" applyNumberFormat="1" applyFont="1" applyFill="1" applyBorder="1" applyAlignment="1">
      <alignment horizontal="right"/>
    </xf>
    <xf numFmtId="166" fontId="14" fillId="17" borderId="13" xfId="0" quotePrefix="1" applyNumberFormat="1" applyFont="1" applyFill="1" applyBorder="1" applyAlignment="1">
      <alignment horizontal="right"/>
    </xf>
    <xf numFmtId="3" fontId="42" fillId="0" borderId="13" xfId="0" applyNumberFormat="1" applyFont="1" applyFill="1" applyBorder="1"/>
    <xf numFmtId="167" fontId="14" fillId="0" borderId="13" xfId="0" applyNumberFormat="1" applyFont="1" applyFill="1" applyBorder="1" applyAlignment="1">
      <alignment horizontal="right"/>
    </xf>
    <xf numFmtId="37" fontId="14" fillId="0" borderId="13" xfId="0" applyNumberFormat="1" applyFont="1" applyFill="1" applyBorder="1"/>
    <xf numFmtId="167" fontId="14" fillId="0" borderId="13" xfId="0" applyNumberFormat="1" applyFont="1" applyFill="1" applyBorder="1"/>
    <xf numFmtId="165" fontId="14" fillId="0" borderId="13" xfId="0" applyNumberFormat="1" applyFont="1" applyFill="1" applyBorder="1"/>
    <xf numFmtId="167" fontId="14" fillId="0" borderId="13" xfId="2" applyNumberFormat="1" applyFont="1" applyFill="1" applyBorder="1" applyAlignment="1">
      <alignment horizontal="right"/>
    </xf>
    <xf numFmtId="37" fontId="14" fillId="0" borderId="13" xfId="0" applyNumberFormat="1" applyFont="1" applyFill="1" applyBorder="1" applyAlignment="1">
      <alignment horizontal="right"/>
    </xf>
    <xf numFmtId="37" fontId="36" fillId="0" borderId="13" xfId="0" applyNumberFormat="1" applyFont="1" applyFill="1" applyBorder="1"/>
    <xf numFmtId="165" fontId="14" fillId="0" borderId="13" xfId="0" applyNumberFormat="1" applyFont="1" applyFill="1" applyBorder="1" applyAlignment="1">
      <alignment horizontal="right"/>
    </xf>
    <xf numFmtId="167" fontId="15" fillId="0" borderId="13" xfId="0" applyNumberFormat="1" applyFont="1" applyFill="1" applyBorder="1"/>
    <xf numFmtId="168" fontId="14" fillId="0" borderId="13" xfId="0" applyNumberFormat="1" applyFont="1" applyFill="1" applyBorder="1"/>
    <xf numFmtId="165" fontId="14" fillId="0" borderId="13" xfId="2" applyNumberFormat="1" applyFont="1" applyFill="1" applyBorder="1">
      <alignment horizontal="right"/>
    </xf>
    <xf numFmtId="185" fontId="43" fillId="0" borderId="13" xfId="47" applyNumberFormat="1" applyFont="1" applyFill="1" applyBorder="1" applyAlignment="1">
      <alignment horizontal="right"/>
    </xf>
    <xf numFmtId="167" fontId="43" fillId="0" borderId="13" xfId="0" applyNumberFormat="1" applyFont="1" applyFill="1" applyBorder="1" applyAlignment="1">
      <alignment horizontal="right"/>
    </xf>
    <xf numFmtId="168" fontId="14" fillId="0" borderId="13" xfId="0" applyNumberFormat="1" applyFont="1" applyFill="1" applyBorder="1" applyAlignment="1">
      <alignment horizontal="right"/>
    </xf>
    <xf numFmtId="165" fontId="36" fillId="0" borderId="13" xfId="0" applyNumberFormat="1" applyFont="1" applyFill="1" applyBorder="1"/>
    <xf numFmtId="167" fontId="14" fillId="0" borderId="13" xfId="2" applyNumberFormat="1" applyFont="1" applyFill="1" applyBorder="1">
      <alignment horizontal="right"/>
    </xf>
    <xf numFmtId="174" fontId="14" fillId="0" borderId="13" xfId="0" applyNumberFormat="1" applyFont="1" applyFill="1" applyBorder="1" applyAlignment="1">
      <alignment horizontal="right"/>
    </xf>
    <xf numFmtId="174" fontId="14" fillId="0" borderId="13" xfId="47" applyNumberFormat="1" applyFont="1" applyFill="1" applyBorder="1"/>
    <xf numFmtId="37" fontId="15" fillId="0" borderId="13" xfId="0" applyNumberFormat="1" applyFont="1" applyFill="1" applyBorder="1" applyAlignment="1">
      <alignment horizontal="right"/>
    </xf>
    <xf numFmtId="37" fontId="14" fillId="0" borderId="13" xfId="2" applyNumberFormat="1" applyFont="1" applyFill="1" applyBorder="1" applyAlignment="1">
      <alignment horizontal="right"/>
    </xf>
    <xf numFmtId="43" fontId="14" fillId="0" borderId="13" xfId="47" applyFont="1" applyFill="1" applyBorder="1"/>
    <xf numFmtId="175" fontId="14" fillId="0" borderId="13" xfId="0" applyNumberFormat="1" applyFont="1" applyFill="1" applyBorder="1" applyAlignment="1">
      <alignment horizontal="right"/>
    </xf>
    <xf numFmtId="37" fontId="15" fillId="0" borderId="13" xfId="0" applyNumberFormat="1" applyFont="1" applyFill="1" applyBorder="1"/>
    <xf numFmtId="167" fontId="15" fillId="0" borderId="13" xfId="2" applyNumberFormat="1" applyFont="1" applyFill="1" applyBorder="1">
      <alignment horizontal="right"/>
    </xf>
    <xf numFmtId="37" fontId="14" fillId="0" borderId="13" xfId="2" applyNumberFormat="1" applyFont="1" applyFill="1" applyBorder="1">
      <alignment horizontal="right"/>
    </xf>
    <xf numFmtId="167" fontId="45" fillId="0" borderId="13" xfId="2" applyNumberFormat="1" applyFont="1" applyFill="1" applyBorder="1">
      <alignment horizontal="right"/>
    </xf>
    <xf numFmtId="167" fontId="38" fillId="0" borderId="13" xfId="0" applyNumberFormat="1" applyFont="1" applyFill="1" applyBorder="1" applyAlignment="1">
      <alignment horizontal="right"/>
    </xf>
    <xf numFmtId="166" fontId="38" fillId="0" borderId="13" xfId="0" applyNumberFormat="1" applyFont="1" applyFill="1" applyBorder="1" applyAlignment="1">
      <alignment horizontal="right"/>
    </xf>
    <xf numFmtId="43" fontId="14" fillId="0" borderId="13" xfId="47" applyNumberFormat="1" applyFont="1" applyFill="1" applyBorder="1" applyAlignment="1">
      <alignment horizontal="right"/>
    </xf>
    <xf numFmtId="185" fontId="14" fillId="0" borderId="13" xfId="47" applyNumberFormat="1" applyFont="1" applyFill="1" applyBorder="1" applyAlignment="1">
      <alignment horizontal="right"/>
    </xf>
    <xf numFmtId="37" fontId="36" fillId="0" borderId="13" xfId="0" applyNumberFormat="1" applyFont="1" applyFill="1" applyBorder="1" applyAlignment="1">
      <alignment horizontal="right"/>
    </xf>
    <xf numFmtId="37" fontId="45" fillId="0" borderId="13" xfId="0" applyNumberFormat="1" applyFont="1" applyFill="1" applyBorder="1" applyAlignment="1">
      <alignment horizontal="right"/>
    </xf>
    <xf numFmtId="37" fontId="45" fillId="0" borderId="13" xfId="0" applyNumberFormat="1" applyFont="1" applyFill="1" applyBorder="1"/>
    <xf numFmtId="168" fontId="14" fillId="0" borderId="13" xfId="2" applyNumberFormat="1" applyFont="1" applyFill="1" applyBorder="1">
      <alignment horizontal="right"/>
    </xf>
    <xf numFmtId="0" fontId="14" fillId="0" borderId="13" xfId="0" applyFont="1" applyBorder="1" applyAlignment="1">
      <alignment horizontal="right"/>
    </xf>
    <xf numFmtId="177" fontId="14" fillId="0" borderId="13" xfId="0" applyNumberFormat="1" applyFont="1" applyFill="1" applyBorder="1"/>
    <xf numFmtId="165" fontId="14" fillId="0" borderId="13" xfId="2" applyNumberFormat="1" applyFont="1" applyFill="1" applyBorder="1" applyAlignment="1">
      <alignment horizontal="right"/>
    </xf>
    <xf numFmtId="39" fontId="14" fillId="0" borderId="13" xfId="2" applyNumberFormat="1" applyFont="1" applyFill="1" applyBorder="1" applyAlignment="1">
      <alignment horizontal="right"/>
    </xf>
    <xf numFmtId="185" fontId="43" fillId="0" borderId="13" xfId="47" applyNumberFormat="1" applyFont="1" applyFill="1" applyBorder="1" applyAlignment="1">
      <alignment horizontal="right" indent="1"/>
    </xf>
    <xf numFmtId="37" fontId="15" fillId="0" borderId="13" xfId="2" applyNumberFormat="1" applyFont="1" applyFill="1" applyBorder="1" applyAlignment="1">
      <alignment horizontal="right"/>
    </xf>
    <xf numFmtId="37" fontId="15" fillId="0" borderId="13" xfId="0" applyNumberFormat="1" applyFont="1" applyBorder="1" applyAlignment="1">
      <alignment horizontal="right"/>
    </xf>
    <xf numFmtId="37" fontId="49" fillId="0" borderId="13" xfId="0" applyNumberFormat="1" applyFont="1" applyBorder="1" applyAlignment="1">
      <alignment horizontal="right"/>
    </xf>
    <xf numFmtId="165" fontId="43" fillId="0" borderId="13" xfId="0" applyNumberFormat="1" applyFont="1" applyFill="1" applyBorder="1"/>
    <xf numFmtId="167" fontId="15" fillId="0" borderId="13" xfId="0" applyNumberFormat="1" applyFont="1" applyFill="1" applyBorder="1" applyAlignment="1">
      <alignment horizontal="right"/>
    </xf>
    <xf numFmtId="166" fontId="14" fillId="0" borderId="13" xfId="0" applyNumberFormat="1" applyFont="1" applyFill="1" applyBorder="1" applyAlignment="1">
      <alignment horizontal="right"/>
    </xf>
    <xf numFmtId="183" fontId="14" fillId="0" borderId="13" xfId="0" applyNumberFormat="1" applyFont="1" applyFill="1" applyBorder="1" applyAlignment="1">
      <alignment horizontal="right"/>
    </xf>
    <xf numFmtId="165" fontId="36" fillId="0" borderId="13" xfId="0" applyNumberFormat="1" applyFont="1" applyFill="1" applyBorder="1" applyAlignment="1">
      <alignment horizontal="right"/>
    </xf>
    <xf numFmtId="179" fontId="43" fillId="0" borderId="13" xfId="47" applyNumberFormat="1" applyFont="1" applyFill="1" applyBorder="1" applyAlignment="1">
      <alignment horizontal="right"/>
    </xf>
    <xf numFmtId="41" fontId="14" fillId="0" borderId="13" xfId="0" applyNumberFormat="1" applyFont="1" applyFill="1" applyBorder="1"/>
    <xf numFmtId="174" fontId="14" fillId="0" borderId="13" xfId="0" applyNumberFormat="1" applyFont="1" applyFill="1" applyBorder="1"/>
    <xf numFmtId="184" fontId="14" fillId="0" borderId="13" xfId="0" applyNumberFormat="1" applyFont="1" applyFill="1" applyBorder="1" applyAlignment="1">
      <alignment horizontal="right"/>
    </xf>
    <xf numFmtId="39" fontId="45" fillId="0" borderId="13" xfId="0" applyNumberFormat="1" applyFont="1" applyFill="1" applyBorder="1" applyAlignment="1">
      <alignment horizontal="right"/>
    </xf>
    <xf numFmtId="39" fontId="15" fillId="0" borderId="13" xfId="0" applyNumberFormat="1" applyFont="1" applyFill="1" applyBorder="1" applyAlignment="1">
      <alignment horizontal="right"/>
    </xf>
    <xf numFmtId="167" fontId="38" fillId="0" borderId="13" xfId="0" applyNumberFormat="1" applyFont="1" applyFill="1" applyBorder="1"/>
    <xf numFmtId="39" fontId="36" fillId="0" borderId="13" xfId="0" applyNumberFormat="1" applyFont="1" applyFill="1" applyBorder="1" applyAlignment="1">
      <alignment horizontal="right"/>
    </xf>
    <xf numFmtId="179" fontId="14" fillId="0" borderId="13" xfId="47" applyNumberFormat="1" applyFont="1" applyFill="1" applyBorder="1"/>
    <xf numFmtId="1" fontId="14" fillId="0" borderId="13" xfId="0" applyNumberFormat="1" applyFont="1" applyFill="1" applyBorder="1" applyAlignment="1">
      <alignment horizontal="right"/>
    </xf>
    <xf numFmtId="43" fontId="14" fillId="0" borderId="13" xfId="47" applyFont="1" applyBorder="1" applyAlignment="1">
      <alignment horizontal="right"/>
    </xf>
    <xf numFmtId="170" fontId="14" fillId="0" borderId="13" xfId="0" applyNumberFormat="1" applyFont="1" applyBorder="1" applyAlignment="1">
      <alignment horizontal="right"/>
    </xf>
    <xf numFmtId="39" fontId="46" fillId="0" borderId="0" xfId="0" applyNumberFormat="1" applyFont="1" applyFill="1" applyAlignment="1">
      <alignment horizontal="right"/>
    </xf>
    <xf numFmtId="39" fontId="46" fillId="0" borderId="13" xfId="0" applyNumberFormat="1" applyFont="1" applyFill="1" applyBorder="1" applyAlignment="1">
      <alignment horizontal="right"/>
    </xf>
    <xf numFmtId="0" fontId="14" fillId="0" borderId="13" xfId="0" applyFont="1" applyFill="1" applyBorder="1"/>
    <xf numFmtId="37" fontId="38" fillId="0" borderId="13" xfId="0" applyNumberFormat="1" applyFont="1" applyFill="1" applyBorder="1"/>
    <xf numFmtId="167" fontId="38" fillId="0" borderId="13" xfId="2" applyNumberFormat="1" applyFont="1" applyFill="1" applyBorder="1">
      <alignment horizontal="right"/>
    </xf>
    <xf numFmtId="165" fontId="38" fillId="0" borderId="13" xfId="0" applyNumberFormat="1" applyFont="1" applyFill="1" applyBorder="1"/>
    <xf numFmtId="174" fontId="36" fillId="0" borderId="13" xfId="0" applyNumberFormat="1" applyFont="1" applyFill="1" applyBorder="1"/>
    <xf numFmtId="2" fontId="14" fillId="0" borderId="13" xfId="0" applyNumberFormat="1" applyFont="1" applyFill="1" applyBorder="1"/>
    <xf numFmtId="37" fontId="38" fillId="0" borderId="13" xfId="2" applyNumberFormat="1" applyFont="1" applyFill="1" applyBorder="1">
      <alignment horizontal="right"/>
    </xf>
    <xf numFmtId="175" fontId="36" fillId="0" borderId="13" xfId="2" applyNumberFormat="1" applyFont="1" applyFill="1" applyBorder="1">
      <alignment horizontal="right"/>
    </xf>
    <xf numFmtId="175" fontId="36" fillId="0" borderId="13" xfId="0" applyNumberFormat="1" applyFont="1" applyFill="1" applyBorder="1"/>
    <xf numFmtId="175" fontId="38" fillId="0" borderId="13" xfId="0" applyNumberFormat="1" applyFont="1" applyFill="1" applyBorder="1"/>
    <xf numFmtId="168" fontId="36" fillId="0" borderId="13" xfId="2" applyNumberFormat="1" applyFont="1" applyFill="1" applyBorder="1">
      <alignment horizontal="right"/>
    </xf>
    <xf numFmtId="37" fontId="46" fillId="0" borderId="13" xfId="0" applyNumberFormat="1" applyFont="1" applyFill="1" applyBorder="1"/>
    <xf numFmtId="165" fontId="38" fillId="0" borderId="13" xfId="0" applyNumberFormat="1" applyFont="1" applyFill="1" applyBorder="1" applyAlignment="1">
      <alignment horizontal="right"/>
    </xf>
    <xf numFmtId="168" fontId="38" fillId="0" borderId="13" xfId="0" applyNumberFormat="1" applyFont="1" applyFill="1" applyBorder="1" applyAlignment="1">
      <alignment horizontal="right"/>
    </xf>
    <xf numFmtId="165" fontId="43" fillId="0" borderId="13" xfId="0" applyNumberFormat="1" applyFont="1" applyFill="1" applyBorder="1" applyAlignment="1">
      <alignment horizontal="right"/>
    </xf>
    <xf numFmtId="182" fontId="38" fillId="0" borderId="13" xfId="2" applyNumberFormat="1" applyFont="1" applyFill="1" applyBorder="1">
      <alignment horizontal="right"/>
    </xf>
    <xf numFmtId="37" fontId="38" fillId="0" borderId="13" xfId="0" applyNumberFormat="1" applyFont="1" applyFill="1" applyBorder="1" applyAlignment="1">
      <alignment horizontal="right"/>
    </xf>
    <xf numFmtId="41" fontId="38" fillId="0" borderId="13" xfId="0" applyNumberFormat="1" applyFont="1" applyFill="1" applyBorder="1"/>
    <xf numFmtId="165" fontId="36" fillId="0" borderId="13" xfId="2" applyNumberFormat="1" applyFont="1" applyFill="1" applyBorder="1">
      <alignment horizontal="right"/>
    </xf>
    <xf numFmtId="37" fontId="45" fillId="0" borderId="13" xfId="2" applyNumberFormat="1" applyFont="1" applyFill="1" applyBorder="1">
      <alignment horizontal="right"/>
    </xf>
    <xf numFmtId="39" fontId="36" fillId="0" borderId="13" xfId="0" applyNumberFormat="1" applyFont="1" applyFill="1" applyBorder="1"/>
    <xf numFmtId="37" fontId="48" fillId="0" borderId="13" xfId="0" applyNumberFormat="1" applyFont="1" applyFill="1" applyBorder="1"/>
    <xf numFmtId="167" fontId="48" fillId="0" borderId="13" xfId="2" applyNumberFormat="1" applyFont="1" applyFill="1" applyBorder="1">
      <alignment horizontal="right"/>
    </xf>
    <xf numFmtId="166" fontId="38" fillId="0" borderId="13" xfId="0" applyNumberFormat="1" applyFont="1" applyFill="1" applyBorder="1"/>
    <xf numFmtId="37" fontId="36" fillId="19" borderId="13" xfId="0" applyNumberFormat="1" applyFont="1" applyFill="1" applyBorder="1"/>
    <xf numFmtId="37" fontId="45" fillId="19" borderId="13" xfId="0" applyNumberFormat="1" applyFont="1" applyFill="1" applyBorder="1"/>
    <xf numFmtId="43" fontId="36" fillId="0" borderId="13" xfId="47" applyFont="1" applyFill="1" applyBorder="1"/>
    <xf numFmtId="39" fontId="38" fillId="0" borderId="13" xfId="0" applyNumberFormat="1" applyFont="1" applyFill="1" applyBorder="1" applyAlignment="1">
      <alignment horizontal="right"/>
    </xf>
    <xf numFmtId="37" fontId="43" fillId="0" borderId="13" xfId="0" applyNumberFormat="1" applyFont="1" applyFill="1" applyBorder="1" applyAlignment="1">
      <alignment horizontal="right"/>
    </xf>
    <xf numFmtId="167" fontId="37" fillId="0" borderId="13" xfId="0" applyNumberFormat="1" applyFont="1" applyFill="1" applyBorder="1" applyAlignment="1">
      <alignment horizontal="right"/>
    </xf>
    <xf numFmtId="39" fontId="38" fillId="0" borderId="13" xfId="0" applyNumberFormat="1" applyFont="1" applyFill="1" applyBorder="1"/>
    <xf numFmtId="179" fontId="38" fillId="0" borderId="13" xfId="47" applyNumberFormat="1" applyFont="1" applyFill="1" applyBorder="1"/>
    <xf numFmtId="178" fontId="14" fillId="0" borderId="13" xfId="0" applyNumberFormat="1" applyFont="1" applyFill="1" applyBorder="1"/>
    <xf numFmtId="3" fontId="41" fillId="0" borderId="0" xfId="0" applyNumberFormat="1" applyFont="1" applyFill="1" applyBorder="1" applyAlignment="1">
      <alignment horizontal="right"/>
    </xf>
    <xf numFmtId="1" fontId="47" fillId="0" borderId="0" xfId="0" applyNumberFormat="1" applyFont="1" applyFill="1" applyAlignment="1">
      <alignment horizontal="right"/>
    </xf>
    <xf numFmtId="167" fontId="38" fillId="0" borderId="13" xfId="2" applyNumberFormat="1" applyFont="1" applyFill="1" applyBorder="1" applyAlignment="1">
      <alignment horizontal="right"/>
    </xf>
    <xf numFmtId="179" fontId="14" fillId="20" borderId="13" xfId="47" applyNumberFormat="1" applyFont="1" applyFill="1" applyBorder="1"/>
    <xf numFmtId="179" fontId="16" fillId="20" borderId="0" xfId="47" applyNumberFormat="1" applyFont="1" applyFill="1"/>
    <xf numFmtId="179" fontId="14" fillId="20" borderId="0" xfId="47" applyNumberFormat="1" applyFont="1" applyFill="1"/>
    <xf numFmtId="0" fontId="38" fillId="0" borderId="0" xfId="0" applyFont="1" applyAlignment="1">
      <alignment horizontal="right"/>
    </xf>
    <xf numFmtId="0" fontId="14" fillId="20" borderId="0" xfId="0" applyFont="1" applyFill="1" applyBorder="1"/>
    <xf numFmtId="0" fontId="59" fillId="0" borderId="0" xfId="0" applyFont="1" applyFill="1" applyAlignment="1">
      <alignment horizontal="right"/>
    </xf>
    <xf numFmtId="0" fontId="60" fillId="0" borderId="0" xfId="0" applyFont="1" applyFill="1" applyAlignment="1">
      <alignment horizontal="right"/>
    </xf>
    <xf numFmtId="0" fontId="59" fillId="0" borderId="0" xfId="0" applyFont="1" applyFill="1"/>
    <xf numFmtId="0" fontId="15" fillId="20" borderId="0" xfId="68" applyFont="1" applyFill="1"/>
    <xf numFmtId="41" fontId="36" fillId="0" borderId="13" xfId="0" applyNumberFormat="1" applyFont="1" applyFill="1" applyBorder="1"/>
    <xf numFmtId="0" fontId="37" fillId="21" borderId="0" xfId="0" applyFont="1" applyFill="1" applyBorder="1" applyAlignment="1">
      <alignment horizontal="right"/>
    </xf>
    <xf numFmtId="0" fontId="14" fillId="21" borderId="0" xfId="0" applyFont="1" applyFill="1"/>
    <xf numFmtId="0" fontId="14" fillId="21" borderId="0" xfId="0" applyFont="1" applyFill="1" applyBorder="1" applyAlignment="1">
      <alignment horizontal="right"/>
    </xf>
    <xf numFmtId="167" fontId="37" fillId="21" borderId="0" xfId="0" applyNumberFormat="1" applyFont="1" applyFill="1" applyBorder="1" applyAlignment="1">
      <alignment horizontal="right"/>
    </xf>
    <xf numFmtId="168" fontId="37" fillId="21" borderId="0" xfId="0" applyNumberFormat="1" applyFont="1" applyFill="1" applyBorder="1" applyAlignment="1">
      <alignment horizontal="right"/>
    </xf>
    <xf numFmtId="39" fontId="37" fillId="21" borderId="0" xfId="0" applyNumberFormat="1" applyFont="1" applyFill="1" applyBorder="1" applyAlignment="1">
      <alignment horizontal="right"/>
    </xf>
    <xf numFmtId="165" fontId="37" fillId="21" borderId="0" xfId="0" applyNumberFormat="1" applyFont="1" applyFill="1" applyBorder="1" applyAlignment="1">
      <alignment horizontal="right"/>
    </xf>
    <xf numFmtId="167" fontId="38" fillId="21" borderId="0" xfId="0" applyNumberFormat="1" applyFont="1" applyFill="1" applyBorder="1" applyAlignment="1">
      <alignment horizontal="left"/>
    </xf>
    <xf numFmtId="167" fontId="43" fillId="21" borderId="0" xfId="0" applyNumberFormat="1" applyFont="1" applyFill="1" applyBorder="1" applyAlignment="1">
      <alignment horizontal="left"/>
    </xf>
    <xf numFmtId="169" fontId="38" fillId="21" borderId="0" xfId="0" applyNumberFormat="1" applyFont="1" applyFill="1" applyBorder="1" applyAlignment="1">
      <alignment horizontal="left"/>
    </xf>
    <xf numFmtId="174" fontId="38" fillId="21" borderId="0" xfId="0" applyNumberFormat="1" applyFont="1" applyFill="1" applyBorder="1" applyAlignment="1">
      <alignment horizontal="left"/>
    </xf>
    <xf numFmtId="167" fontId="36" fillId="21" borderId="0" xfId="0" applyNumberFormat="1" applyFont="1" applyFill="1" applyBorder="1" applyAlignment="1">
      <alignment horizontal="left"/>
    </xf>
    <xf numFmtId="37" fontId="38" fillId="21" borderId="0" xfId="0" applyNumberFormat="1" applyFont="1" applyFill="1" applyBorder="1" applyAlignment="1">
      <alignment horizontal="left"/>
    </xf>
    <xf numFmtId="0" fontId="43" fillId="21" borderId="0" xfId="0" applyFont="1" applyFill="1"/>
    <xf numFmtId="165" fontId="38" fillId="21" borderId="0" xfId="0" applyNumberFormat="1" applyFont="1" applyFill="1" applyBorder="1" applyAlignment="1">
      <alignment horizontal="left"/>
    </xf>
    <xf numFmtId="167" fontId="14" fillId="21" borderId="0" xfId="0" applyNumberFormat="1" applyFont="1" applyFill="1" applyBorder="1" applyAlignment="1">
      <alignment horizontal="left"/>
    </xf>
    <xf numFmtId="165" fontId="43" fillId="21" borderId="0" xfId="0" applyNumberFormat="1" applyFont="1" applyFill="1" applyBorder="1" applyAlignment="1">
      <alignment horizontal="left"/>
    </xf>
    <xf numFmtId="167" fontId="48" fillId="21" borderId="0" xfId="0" applyNumberFormat="1" applyFont="1" applyFill="1" applyBorder="1" applyAlignment="1">
      <alignment horizontal="left"/>
    </xf>
    <xf numFmtId="174" fontId="14" fillId="21" borderId="0" xfId="0" applyNumberFormat="1" applyFont="1" applyFill="1" applyBorder="1" applyAlignment="1">
      <alignment horizontal="left"/>
    </xf>
    <xf numFmtId="41" fontId="36" fillId="21" borderId="0" xfId="0" applyNumberFormat="1" applyFont="1" applyFill="1" applyBorder="1" applyAlignment="1">
      <alignment horizontal="left"/>
    </xf>
    <xf numFmtId="179" fontId="14" fillId="21" borderId="0" xfId="47" applyNumberFormat="1" applyFont="1" applyFill="1" applyBorder="1" applyAlignment="1">
      <alignment horizontal="left"/>
    </xf>
    <xf numFmtId="185" fontId="14" fillId="21" borderId="0" xfId="47" applyNumberFormat="1" applyFont="1" applyFill="1" applyBorder="1" applyAlignment="1">
      <alignment horizontal="left"/>
    </xf>
    <xf numFmtId="37" fontId="14" fillId="21" borderId="0" xfId="0" applyNumberFormat="1" applyFont="1" applyFill="1" applyAlignment="1">
      <alignment horizontal="right"/>
    </xf>
    <xf numFmtId="43" fontId="14" fillId="21" borderId="0" xfId="47" applyFont="1" applyFill="1"/>
    <xf numFmtId="170" fontId="14" fillId="21" borderId="0" xfId="0" applyNumberFormat="1" applyFont="1" applyFill="1" applyAlignment="1">
      <alignment horizontal="right"/>
    </xf>
    <xf numFmtId="0" fontId="14" fillId="21" borderId="0" xfId="0" applyFont="1" applyFill="1" applyBorder="1"/>
    <xf numFmtId="174" fontId="36" fillId="0" borderId="0" xfId="0" applyNumberFormat="1" applyFont="1" applyFill="1"/>
    <xf numFmtId="0" fontId="40" fillId="0" borderId="0" xfId="0" applyFont="1" applyFill="1" applyBorder="1" applyProtection="1">
      <protection locked="0"/>
    </xf>
    <xf numFmtId="0" fontId="40" fillId="0" borderId="0" xfId="0" applyFont="1" applyBorder="1" applyAlignment="1">
      <alignment horizontal="left"/>
    </xf>
    <xf numFmtId="0" fontId="40" fillId="0" borderId="0" xfId="0" applyFont="1"/>
    <xf numFmtId="3" fontId="40" fillId="0" borderId="0" xfId="0" applyNumberFormat="1" applyFont="1"/>
    <xf numFmtId="1" fontId="40" fillId="0" borderId="0" xfId="0" applyNumberFormat="1" applyFont="1" applyBorder="1" applyAlignment="1">
      <alignment horizontal="right"/>
    </xf>
    <xf numFmtId="1" fontId="40" fillId="0" borderId="0" xfId="0" applyNumberFormat="1" applyFont="1" applyFill="1" applyBorder="1" applyAlignment="1">
      <alignment horizontal="right"/>
    </xf>
    <xf numFmtId="1" fontId="40" fillId="0" borderId="13" xfId="0" applyNumberFormat="1" applyFont="1" applyFill="1" applyBorder="1" applyAlignment="1">
      <alignment horizontal="right"/>
    </xf>
    <xf numFmtId="167" fontId="40" fillId="21" borderId="0" xfId="0" applyNumberFormat="1" applyFont="1" applyFill="1" applyBorder="1" applyAlignment="1">
      <alignment horizontal="left"/>
    </xf>
    <xf numFmtId="167" fontId="40" fillId="0" borderId="0" xfId="0" applyNumberFormat="1" applyFont="1" applyFill="1" applyBorder="1" applyAlignment="1">
      <alignment horizontal="left"/>
    </xf>
    <xf numFmtId="0" fontId="40" fillId="0" borderId="0" xfId="0" applyFont="1" applyFill="1"/>
    <xf numFmtId="43" fontId="40" fillId="0" borderId="13" xfId="47" applyFont="1" applyFill="1" applyBorder="1" applyAlignment="1">
      <alignment horizontal="right"/>
    </xf>
    <xf numFmtId="43" fontId="40" fillId="0" borderId="0" xfId="47" applyNumberFormat="1" applyFont="1" applyFill="1" applyBorder="1" applyAlignment="1">
      <alignment horizontal="right"/>
    </xf>
    <xf numFmtId="0" fontId="15" fillId="0" borderId="0" xfId="0" applyFont="1" applyAlignment="1">
      <alignment horizontal="right"/>
    </xf>
    <xf numFmtId="0" fontId="15" fillId="20" borderId="0" xfId="0" applyFont="1" applyFill="1" applyBorder="1" applyAlignment="1">
      <alignment horizontal="left"/>
    </xf>
    <xf numFmtId="39" fontId="45" fillId="20" borderId="0" xfId="0" applyNumberFormat="1" applyFont="1" applyFill="1" applyAlignment="1">
      <alignment horizontal="right"/>
    </xf>
    <xf numFmtId="3" fontId="45" fillId="20" borderId="0" xfId="0" applyNumberFormat="1" applyFont="1" applyFill="1" applyAlignment="1">
      <alignment horizontal="right"/>
    </xf>
    <xf numFmtId="167" fontId="38" fillId="20" borderId="0" xfId="0" applyNumberFormat="1" applyFont="1" applyFill="1" applyBorder="1" applyAlignment="1">
      <alignment horizontal="left"/>
    </xf>
    <xf numFmtId="3" fontId="36" fillId="20" borderId="0" xfId="0" applyNumberFormat="1" applyFont="1" applyFill="1" applyAlignment="1">
      <alignment horizontal="right"/>
    </xf>
    <xf numFmtId="39" fontId="45" fillId="20" borderId="13" xfId="0" applyNumberFormat="1" applyFont="1" applyFill="1" applyBorder="1" applyAlignment="1">
      <alignment horizontal="right"/>
    </xf>
    <xf numFmtId="3" fontId="44" fillId="19" borderId="0" xfId="0" applyNumberFormat="1" applyFont="1" applyFill="1" applyAlignment="1">
      <alignment horizontal="right"/>
    </xf>
    <xf numFmtId="0" fontId="14" fillId="0" borderId="12" xfId="0" applyFont="1" applyFill="1" applyBorder="1"/>
    <xf numFmtId="1" fontId="50" fillId="0" borderId="0" xfId="0" applyNumberFormat="1" applyFont="1" applyFill="1" applyBorder="1"/>
    <xf numFmtId="0" fontId="15" fillId="21" borderId="0" xfId="0" applyFont="1" applyFill="1" applyAlignment="1">
      <alignment horizontal="left"/>
    </xf>
    <xf numFmtId="167" fontId="38" fillId="21" borderId="0" xfId="0" applyNumberFormat="1" applyFont="1" applyFill="1" applyBorder="1"/>
    <xf numFmtId="3" fontId="42" fillId="21" borderId="0" xfId="0" applyNumberFormat="1" applyFont="1" applyFill="1" applyBorder="1"/>
    <xf numFmtId="167" fontId="14" fillId="21" borderId="0" xfId="0" applyNumberFormat="1" applyFont="1" applyFill="1" applyBorder="1"/>
    <xf numFmtId="168" fontId="14" fillId="21" borderId="0" xfId="0" applyNumberFormat="1" applyFont="1" applyFill="1" applyBorder="1"/>
    <xf numFmtId="167" fontId="14" fillId="21" borderId="13" xfId="0" applyNumberFormat="1" applyFont="1" applyFill="1" applyBorder="1"/>
    <xf numFmtId="0" fontId="14" fillId="21" borderId="0" xfId="0" applyFont="1" applyFill="1" applyAlignment="1">
      <alignment horizontal="left"/>
    </xf>
    <xf numFmtId="167" fontId="48" fillId="21" borderId="0" xfId="0" applyNumberFormat="1" applyFont="1" applyFill="1" applyBorder="1"/>
    <xf numFmtId="3" fontId="50" fillId="21" borderId="0" xfId="0" applyNumberFormat="1" applyFont="1" applyFill="1" applyBorder="1"/>
    <xf numFmtId="3" fontId="47" fillId="21" borderId="0" xfId="0" applyNumberFormat="1" applyFont="1" applyFill="1" applyAlignment="1">
      <alignment horizontal="right"/>
    </xf>
    <xf numFmtId="167" fontId="15" fillId="21" borderId="0" xfId="0" applyNumberFormat="1" applyFont="1" applyFill="1" applyBorder="1"/>
    <xf numFmtId="168" fontId="15" fillId="21" borderId="0" xfId="0" applyNumberFormat="1" applyFont="1" applyFill="1" applyBorder="1"/>
    <xf numFmtId="167" fontId="15" fillId="21" borderId="13" xfId="0" applyNumberFormat="1" applyFont="1" applyFill="1" applyBorder="1"/>
    <xf numFmtId="37" fontId="71" fillId="0" borderId="0" xfId="0" applyNumberFormat="1" applyFont="1" applyBorder="1" applyAlignment="1">
      <alignment horizontal="right"/>
    </xf>
    <xf numFmtId="0" fontId="15" fillId="0" borderId="12" xfId="0" applyFont="1" applyBorder="1" applyAlignment="1"/>
    <xf numFmtId="0" fontId="15" fillId="20" borderId="0" xfId="0" applyFont="1" applyFill="1" applyBorder="1"/>
    <xf numFmtId="179" fontId="36" fillId="20" borderId="0" xfId="47" applyNumberFormat="1" applyFont="1" applyFill="1" applyBorder="1" applyAlignment="1">
      <alignment horizontal="right"/>
    </xf>
    <xf numFmtId="41" fontId="36" fillId="20" borderId="0" xfId="0" applyNumberFormat="1" applyFont="1" applyFill="1" applyBorder="1"/>
    <xf numFmtId="0" fontId="36" fillId="20" borderId="0" xfId="0" applyFont="1" applyFill="1" applyBorder="1" applyAlignment="1">
      <alignment horizontal="right"/>
    </xf>
    <xf numFmtId="41" fontId="41" fillId="20" borderId="0" xfId="0" applyNumberFormat="1" applyFont="1" applyFill="1" applyBorder="1" applyAlignment="1">
      <alignment horizontal="right"/>
    </xf>
    <xf numFmtId="3" fontId="41" fillId="20" borderId="0" xfId="0" applyNumberFormat="1" applyFont="1" applyFill="1" applyBorder="1" applyAlignment="1">
      <alignment horizontal="right"/>
    </xf>
    <xf numFmtId="41" fontId="36" fillId="20" borderId="0" xfId="0" applyNumberFormat="1" applyFont="1" applyFill="1" applyBorder="1" applyAlignment="1">
      <alignment horizontal="right"/>
    </xf>
    <xf numFmtId="0" fontId="16" fillId="20" borderId="0" xfId="0" applyFont="1" applyFill="1" applyBorder="1"/>
    <xf numFmtId="0" fontId="14" fillId="20" borderId="0" xfId="0" applyFont="1" applyFill="1" applyBorder="1" applyProtection="1">
      <protection locked="0"/>
    </xf>
    <xf numFmtId="39" fontId="36" fillId="20" borderId="0" xfId="0" applyNumberFormat="1" applyFont="1" applyFill="1" applyBorder="1" applyAlignment="1">
      <alignment horizontal="right"/>
    </xf>
    <xf numFmtId="3" fontId="16" fillId="20" borderId="0" xfId="0" applyNumberFormat="1" applyFont="1" applyFill="1"/>
    <xf numFmtId="0" fontId="36" fillId="20" borderId="0" xfId="0" applyFont="1" applyFill="1" applyAlignment="1">
      <alignment horizontal="right"/>
    </xf>
    <xf numFmtId="0" fontId="36" fillId="20" borderId="13" xfId="0" applyFont="1" applyFill="1" applyBorder="1" applyAlignment="1">
      <alignment horizontal="right"/>
    </xf>
    <xf numFmtId="41" fontId="41" fillId="20" borderId="0" xfId="0" applyNumberFormat="1" applyFont="1" applyFill="1" applyAlignment="1">
      <alignment horizontal="right"/>
    </xf>
    <xf numFmtId="185" fontId="38" fillId="20" borderId="0" xfId="47" applyNumberFormat="1" applyFont="1" applyFill="1" applyBorder="1" applyAlignment="1">
      <alignment horizontal="right"/>
    </xf>
    <xf numFmtId="170" fontId="38" fillId="20" borderId="0" xfId="0" applyNumberFormat="1" applyFont="1" applyFill="1" applyAlignment="1">
      <alignment horizontal="right"/>
    </xf>
    <xf numFmtId="170" fontId="38" fillId="20" borderId="0" xfId="0" applyNumberFormat="1" applyFont="1" applyFill="1" applyBorder="1" applyAlignment="1">
      <alignment horizontal="left"/>
    </xf>
    <xf numFmtId="170" fontId="14" fillId="20" borderId="0" xfId="0" applyNumberFormat="1" applyFont="1" applyFill="1"/>
    <xf numFmtId="170" fontId="41" fillId="20" borderId="0" xfId="0" applyNumberFormat="1" applyFont="1" applyFill="1" applyAlignment="1">
      <alignment horizontal="right"/>
    </xf>
    <xf numFmtId="170" fontId="36" fillId="20" borderId="0" xfId="0" applyNumberFormat="1" applyFont="1" applyFill="1" applyAlignment="1">
      <alignment horizontal="right"/>
    </xf>
    <xf numFmtId="170" fontId="36" fillId="20" borderId="13" xfId="0" applyNumberFormat="1" applyFont="1" applyFill="1" applyBorder="1" applyAlignment="1">
      <alignment horizontal="right"/>
    </xf>
    <xf numFmtId="0" fontId="43" fillId="20" borderId="0" xfId="0" applyFont="1" applyFill="1" applyBorder="1" applyProtection="1">
      <protection locked="0"/>
    </xf>
    <xf numFmtId="0" fontId="43" fillId="20" borderId="0" xfId="0" applyFont="1" applyFill="1" applyBorder="1"/>
    <xf numFmtId="0" fontId="43" fillId="20" borderId="0" xfId="0" applyFont="1" applyFill="1"/>
    <xf numFmtId="0" fontId="43" fillId="20" borderId="0" xfId="0" applyFont="1" applyFill="1" applyAlignment="1">
      <alignment horizontal="right"/>
    </xf>
    <xf numFmtId="0" fontId="43" fillId="20" borderId="13" xfId="0" applyFont="1" applyFill="1" applyBorder="1" applyAlignment="1">
      <alignment horizontal="right"/>
    </xf>
    <xf numFmtId="167" fontId="43" fillId="20" borderId="0" xfId="0" applyNumberFormat="1" applyFont="1" applyFill="1" applyBorder="1" applyAlignment="1">
      <alignment horizontal="left"/>
    </xf>
    <xf numFmtId="170" fontId="43" fillId="20" borderId="0" xfId="0" applyNumberFormat="1" applyFont="1" applyFill="1" applyAlignment="1">
      <alignment horizontal="right"/>
    </xf>
    <xf numFmtId="170" fontId="14" fillId="20" borderId="0" xfId="0" applyNumberFormat="1" applyFont="1" applyFill="1" applyAlignment="1">
      <alignment horizontal="right"/>
    </xf>
    <xf numFmtId="41" fontId="45" fillId="20" borderId="0" xfId="0" applyNumberFormat="1" applyFont="1" applyFill="1" applyBorder="1"/>
    <xf numFmtId="37" fontId="36" fillId="20" borderId="0" xfId="0" applyNumberFormat="1" applyFont="1" applyFill="1" applyAlignment="1">
      <alignment horizontal="right"/>
    </xf>
    <xf numFmtId="0" fontId="64" fillId="20" borderId="0" xfId="0" applyFont="1" applyFill="1" applyBorder="1"/>
    <xf numFmtId="39" fontId="15" fillId="20" borderId="0" xfId="0" applyNumberFormat="1" applyFont="1" applyFill="1" applyBorder="1"/>
    <xf numFmtId="1" fontId="36" fillId="20" borderId="0" xfId="47" applyNumberFormat="1" applyFont="1" applyFill="1" applyBorder="1" applyAlignment="1">
      <alignment horizontal="right"/>
    </xf>
    <xf numFmtId="1" fontId="16" fillId="20" borderId="0" xfId="0" applyNumberFormat="1" applyFont="1" applyFill="1" applyBorder="1" applyAlignment="1">
      <alignment horizontal="right"/>
    </xf>
    <xf numFmtId="0" fontId="43" fillId="20" borderId="0" xfId="0" applyFont="1" applyFill="1" applyBorder="1" applyAlignment="1">
      <alignment horizontal="right"/>
    </xf>
    <xf numFmtId="37" fontId="36" fillId="20" borderId="0" xfId="0" applyNumberFormat="1" applyFont="1" applyFill="1" applyBorder="1" applyAlignment="1">
      <alignment horizontal="right"/>
    </xf>
    <xf numFmtId="3" fontId="44" fillId="20" borderId="0" xfId="0" applyNumberFormat="1" applyFont="1" applyFill="1" applyBorder="1" applyAlignment="1">
      <alignment horizontal="right"/>
    </xf>
    <xf numFmtId="167" fontId="15" fillId="0" borderId="12" xfId="0" applyNumberFormat="1" applyFont="1" applyFill="1" applyBorder="1" applyAlignment="1">
      <alignment horizontal="right"/>
    </xf>
    <xf numFmtId="167" fontId="15" fillId="0" borderId="12" xfId="0" quotePrefix="1" applyNumberFormat="1" applyFont="1" applyFill="1" applyBorder="1" applyAlignment="1">
      <alignment horizontal="right"/>
    </xf>
    <xf numFmtId="3" fontId="15" fillId="0" borderId="12" xfId="0" applyNumberFormat="1" applyFont="1" applyFill="1" applyBorder="1" applyAlignment="1">
      <alignment horizontal="right"/>
    </xf>
    <xf numFmtId="37" fontId="15" fillId="0" borderId="12" xfId="0" quotePrefix="1" applyNumberFormat="1" applyFont="1" applyBorder="1" applyAlignment="1">
      <alignment horizontal="right"/>
    </xf>
    <xf numFmtId="167" fontId="45" fillId="0" borderId="12" xfId="0" quotePrefix="1" applyNumberFormat="1" applyFont="1" applyBorder="1" applyAlignment="1">
      <alignment horizontal="right"/>
    </xf>
    <xf numFmtId="0" fontId="15" fillId="0" borderId="12" xfId="0" quotePrefix="1" applyNumberFormat="1" applyFont="1" applyBorder="1" applyAlignment="1">
      <alignment horizontal="right"/>
    </xf>
    <xf numFmtId="0" fontId="15" fillId="0" borderId="14" xfId="0" quotePrefix="1" applyNumberFormat="1" applyFont="1" applyBorder="1" applyAlignment="1">
      <alignment horizontal="right"/>
    </xf>
    <xf numFmtId="0" fontId="15" fillId="0" borderId="12" xfId="0" quotePrefix="1" applyNumberFormat="1" applyFont="1" applyFill="1" applyBorder="1" applyAlignment="1">
      <alignment horizontal="right"/>
    </xf>
    <xf numFmtId="0" fontId="15" fillId="0" borderId="12" xfId="0" applyNumberFormat="1" applyFont="1" applyFill="1" applyBorder="1" applyAlignment="1">
      <alignment horizontal="right"/>
    </xf>
    <xf numFmtId="0" fontId="15" fillId="0" borderId="12" xfId="0" applyNumberFormat="1" applyFont="1" applyBorder="1" applyAlignment="1">
      <alignment horizontal="right"/>
    </xf>
    <xf numFmtId="37" fontId="36" fillId="20" borderId="13" xfId="0" applyNumberFormat="1" applyFont="1" applyFill="1" applyBorder="1" applyAlignment="1">
      <alignment horizontal="right"/>
    </xf>
    <xf numFmtId="39" fontId="15" fillId="20" borderId="13" xfId="0" applyNumberFormat="1" applyFont="1" applyFill="1" applyBorder="1"/>
    <xf numFmtId="0" fontId="14" fillId="20" borderId="13" xfId="0" applyFont="1" applyFill="1" applyBorder="1"/>
    <xf numFmtId="185" fontId="38" fillId="20" borderId="13" xfId="47" applyNumberFormat="1" applyFont="1" applyFill="1" applyBorder="1" applyAlignment="1">
      <alignment horizontal="right"/>
    </xf>
    <xf numFmtId="1" fontId="16" fillId="20" borderId="0" xfId="0" applyNumberFormat="1" applyFont="1" applyFill="1" applyAlignment="1">
      <alignment horizontal="right"/>
    </xf>
    <xf numFmtId="37" fontId="45" fillId="23" borderId="0" xfId="0" applyNumberFormat="1" applyFont="1" applyFill="1" applyBorder="1"/>
    <xf numFmtId="37" fontId="15" fillId="20" borderId="0" xfId="0" applyNumberFormat="1" applyFont="1" applyFill="1" applyBorder="1"/>
    <xf numFmtId="37" fontId="15" fillId="20" borderId="13" xfId="0" applyNumberFormat="1" applyFont="1" applyFill="1" applyBorder="1"/>
    <xf numFmtId="0" fontId="15" fillId="20" borderId="13" xfId="0" applyFont="1" applyFill="1" applyBorder="1"/>
    <xf numFmtId="0" fontId="35" fillId="22" borderId="0" xfId="0" applyFont="1" applyFill="1" applyBorder="1" applyAlignment="1">
      <alignment vertical="center"/>
    </xf>
    <xf numFmtId="0" fontId="17" fillId="22" borderId="0" xfId="0" applyFont="1" applyFill="1" applyBorder="1" applyAlignment="1">
      <alignment vertical="center"/>
    </xf>
    <xf numFmtId="3" fontId="51" fillId="22" borderId="0" xfId="0" applyNumberFormat="1" applyFont="1" applyFill="1" applyBorder="1" applyAlignment="1">
      <alignment vertical="center"/>
    </xf>
    <xf numFmtId="167" fontId="35" fillId="22" borderId="0" xfId="0" applyNumberFormat="1" applyFont="1" applyFill="1" applyBorder="1" applyAlignment="1">
      <alignment vertical="center"/>
    </xf>
    <xf numFmtId="167" fontId="35" fillId="22" borderId="0" xfId="0" applyNumberFormat="1" applyFont="1" applyFill="1" applyBorder="1" applyAlignment="1">
      <alignment horizontal="right" vertical="center"/>
    </xf>
    <xf numFmtId="167" fontId="35" fillId="21" borderId="0" xfId="0" applyNumberFormat="1" applyFont="1" applyFill="1" applyBorder="1" applyAlignment="1">
      <alignment horizontal="left" vertical="center"/>
    </xf>
    <xf numFmtId="167" fontId="35" fillId="22" borderId="0" xfId="0" applyNumberFormat="1" applyFont="1" applyFill="1" applyBorder="1" applyAlignment="1">
      <alignment horizontal="left" vertical="center"/>
    </xf>
    <xf numFmtId="1" fontId="51" fillId="22" borderId="0" xfId="0" applyNumberFormat="1" applyFont="1" applyFill="1" applyBorder="1" applyAlignment="1">
      <alignment vertical="center"/>
    </xf>
    <xf numFmtId="167" fontId="35" fillId="22" borderId="13" xfId="0" applyNumberFormat="1" applyFont="1" applyFill="1" applyBorder="1" applyAlignment="1">
      <alignment horizontal="right" vertical="center"/>
    </xf>
    <xf numFmtId="167" fontId="35" fillId="22" borderId="13" xfId="0" applyNumberFormat="1" applyFont="1" applyFill="1" applyBorder="1" applyAlignment="1">
      <alignment vertical="center"/>
    </xf>
    <xf numFmtId="167" fontId="15" fillId="0" borderId="14" xfId="0" applyNumberFormat="1" applyFont="1" applyFill="1" applyBorder="1" applyAlignment="1">
      <alignment horizontal="right"/>
    </xf>
    <xf numFmtId="167" fontId="37" fillId="21" borderId="12" xfId="0" applyNumberFormat="1" applyFont="1" applyFill="1" applyBorder="1" applyAlignment="1">
      <alignment horizontal="right"/>
    </xf>
    <xf numFmtId="167" fontId="37" fillId="0" borderId="12" xfId="0" applyNumberFormat="1" applyFont="1" applyFill="1" applyBorder="1" applyAlignment="1">
      <alignment horizontal="right"/>
    </xf>
    <xf numFmtId="0" fontId="40" fillId="0" borderId="0" xfId="0" applyFont="1" applyFill="1" applyAlignment="1"/>
    <xf numFmtId="0" fontId="35" fillId="0" borderId="0" xfId="0" applyFont="1" applyFill="1"/>
    <xf numFmtId="0" fontId="14" fillId="0" borderId="0" xfId="0" applyFont="1" applyFill="1" applyAlignment="1">
      <alignment wrapText="1"/>
    </xf>
    <xf numFmtId="0" fontId="72" fillId="0" borderId="0" xfId="0" applyFont="1" applyFill="1"/>
    <xf numFmtId="0" fontId="38" fillId="16" borderId="0" xfId="0" applyFont="1" applyFill="1"/>
    <xf numFmtId="0" fontId="38" fillId="0" borderId="0" xfId="0" applyFont="1" applyFill="1" applyAlignment="1">
      <alignment horizontal="right" wrapText="1"/>
    </xf>
    <xf numFmtId="0" fontId="38" fillId="0" borderId="0" xfId="0" applyFont="1" applyFill="1" applyAlignment="1">
      <alignment horizontal="right"/>
    </xf>
    <xf numFmtId="9" fontId="38" fillId="0" borderId="0" xfId="0" quotePrefix="1" applyNumberFormat="1" applyFont="1" applyFill="1" applyAlignment="1">
      <alignment horizontal="right" wrapText="1"/>
    </xf>
    <xf numFmtId="9" fontId="38" fillId="0" borderId="0" xfId="0" applyNumberFormat="1" applyFont="1" applyAlignment="1">
      <alignment horizontal="right"/>
    </xf>
    <xf numFmtId="10" fontId="38" fillId="0" borderId="0" xfId="0" applyNumberFormat="1" applyFont="1" applyAlignment="1">
      <alignment horizontal="right"/>
    </xf>
    <xf numFmtId="9" fontId="14" fillId="0" borderId="0" xfId="78" applyFont="1" applyFill="1"/>
    <xf numFmtId="179" fontId="14" fillId="0" borderId="0" xfId="0" applyNumberFormat="1" applyFont="1" applyFill="1" applyAlignment="1">
      <alignment horizontal="right"/>
    </xf>
    <xf numFmtId="170" fontId="14" fillId="0" borderId="0" xfId="0" applyNumberFormat="1" applyFont="1" applyFill="1"/>
    <xf numFmtId="37" fontId="15" fillId="20" borderId="0" xfId="0" applyNumberFormat="1" applyFont="1" applyFill="1"/>
    <xf numFmtId="37" fontId="14" fillId="20" borderId="0" xfId="0" applyNumberFormat="1" applyFont="1" applyFill="1"/>
    <xf numFmtId="37" fontId="38" fillId="20" borderId="0" xfId="0" applyNumberFormat="1" applyFont="1" applyFill="1" applyAlignment="1">
      <alignment horizontal="right"/>
    </xf>
    <xf numFmtId="1" fontId="40" fillId="20" borderId="0" xfId="0" applyNumberFormat="1" applyFont="1" applyFill="1" applyBorder="1" applyAlignment="1">
      <alignment horizontal="right"/>
    </xf>
    <xf numFmtId="0" fontId="37" fillId="20" borderId="0" xfId="0" applyFont="1" applyFill="1" applyBorder="1"/>
    <xf numFmtId="41" fontId="37" fillId="20" borderId="0" xfId="0" applyNumberFormat="1" applyFont="1" applyFill="1" applyBorder="1"/>
    <xf numFmtId="0" fontId="40" fillId="20" borderId="0" xfId="0" applyFont="1" applyFill="1" applyBorder="1"/>
    <xf numFmtId="37" fontId="37" fillId="20" borderId="0" xfId="0" applyNumberFormat="1" applyFont="1" applyFill="1" applyBorder="1"/>
    <xf numFmtId="0" fontId="37" fillId="20" borderId="13" xfId="0" applyFont="1" applyFill="1" applyBorder="1"/>
    <xf numFmtId="165" fontId="37" fillId="20" borderId="13" xfId="0" applyNumberFormat="1" applyFont="1" applyFill="1" applyBorder="1"/>
    <xf numFmtId="165" fontId="37" fillId="20" borderId="0" xfId="0" applyNumberFormat="1" applyFont="1" applyFill="1" applyBorder="1"/>
    <xf numFmtId="41" fontId="36" fillId="20" borderId="0" xfId="0" applyNumberFormat="1" applyFont="1" applyFill="1" applyBorder="1" applyAlignment="1">
      <alignment horizontal="left" indent="1"/>
    </xf>
    <xf numFmtId="0" fontId="38" fillId="0" borderId="12" xfId="61" applyFont="1" applyFill="1" applyBorder="1" applyAlignment="1" applyProtection="1"/>
    <xf numFmtId="9" fontId="41" fillId="0" borderId="0" xfId="78" applyFont="1" applyFill="1" applyAlignment="1">
      <alignment horizontal="right"/>
    </xf>
    <xf numFmtId="9" fontId="14" fillId="0" borderId="0" xfId="78" applyFont="1" applyFill="1" applyAlignment="1">
      <alignment horizontal="right"/>
    </xf>
    <xf numFmtId="1" fontId="40" fillId="0" borderId="0" xfId="0" applyNumberFormat="1" applyFont="1" applyFill="1" applyBorder="1" applyAlignment="1"/>
    <xf numFmtId="0" fontId="40" fillId="0" borderId="0" xfId="0" applyFont="1" applyAlignment="1"/>
    <xf numFmtId="176" fontId="45" fillId="21" borderId="0" xfId="0" applyNumberFormat="1" applyFont="1" applyFill="1" applyBorder="1" applyAlignment="1">
      <alignment horizontal="right"/>
    </xf>
    <xf numFmtId="1" fontId="41" fillId="21" borderId="0" xfId="0" applyNumberFormat="1" applyFont="1" applyFill="1" applyBorder="1" applyAlignment="1">
      <alignment horizontal="right"/>
    </xf>
    <xf numFmtId="171" fontId="47" fillId="21" borderId="0" xfId="0" applyNumberFormat="1" applyFont="1" applyFill="1" applyBorder="1" applyAlignment="1">
      <alignment horizontal="right"/>
    </xf>
    <xf numFmtId="0" fontId="36" fillId="21" borderId="0" xfId="0" applyFont="1" applyFill="1"/>
    <xf numFmtId="166" fontId="40" fillId="0" borderId="0" xfId="0" applyNumberFormat="1" applyFont="1" applyFill="1" applyBorder="1" applyAlignment="1"/>
    <xf numFmtId="168" fontId="40" fillId="0" borderId="0" xfId="0" applyNumberFormat="1" applyFont="1" applyFill="1" applyBorder="1" applyAlignment="1"/>
    <xf numFmtId="43" fontId="17" fillId="22" borderId="0" xfId="0" applyNumberFormat="1" applyFont="1" applyFill="1" applyBorder="1" applyAlignment="1">
      <alignment horizontal="left"/>
    </xf>
    <xf numFmtId="176" fontId="17" fillId="22" borderId="0" xfId="0" applyNumberFormat="1" applyFont="1" applyFill="1" applyBorder="1" applyAlignment="1">
      <alignment horizontal="right"/>
    </xf>
    <xf numFmtId="1" fontId="51" fillId="22" borderId="0" xfId="0" applyNumberFormat="1" applyFont="1" applyFill="1" applyBorder="1" applyAlignment="1">
      <alignment horizontal="right"/>
    </xf>
    <xf numFmtId="171" fontId="73" fillId="22" borderId="0" xfId="0" applyNumberFormat="1" applyFont="1" applyFill="1" applyBorder="1" applyAlignment="1">
      <alignment horizontal="right"/>
    </xf>
    <xf numFmtId="0" fontId="35" fillId="22" borderId="0" xfId="0" applyFont="1" applyFill="1"/>
    <xf numFmtId="176" fontId="15" fillId="21" borderId="0" xfId="0" applyNumberFormat="1" applyFont="1" applyFill="1" applyBorder="1" applyAlignment="1">
      <alignment horizontal="right"/>
    </xf>
    <xf numFmtId="1" fontId="16" fillId="21" borderId="0" xfId="0" applyNumberFormat="1" applyFont="1" applyFill="1" applyBorder="1" applyAlignment="1">
      <alignment horizontal="right"/>
    </xf>
    <xf numFmtId="171" fontId="64" fillId="21" borderId="0" xfId="0" applyNumberFormat="1" applyFont="1" applyFill="1" applyBorder="1" applyAlignment="1">
      <alignment horizontal="right"/>
    </xf>
    <xf numFmtId="1" fontId="40" fillId="0" borderId="0" xfId="0" applyNumberFormat="1" applyFont="1" applyFill="1" applyAlignment="1"/>
    <xf numFmtId="0" fontId="62" fillId="24" borderId="0" xfId="0" applyFont="1" applyFill="1" applyAlignment="1">
      <alignment horizontal="left"/>
    </xf>
    <xf numFmtId="175" fontId="14" fillId="24" borderId="0" xfId="0" applyNumberFormat="1" applyFont="1" applyFill="1" applyAlignment="1">
      <alignment horizontal="right"/>
    </xf>
    <xf numFmtId="1" fontId="16" fillId="24" borderId="0" xfId="0" applyNumberFormat="1" applyFont="1" applyFill="1" applyAlignment="1">
      <alignment horizontal="right"/>
    </xf>
    <xf numFmtId="10" fontId="16" fillId="24" borderId="0" xfId="0" applyNumberFormat="1" applyFont="1" applyFill="1" applyAlignment="1">
      <alignment horizontal="right"/>
    </xf>
    <xf numFmtId="181" fontId="14" fillId="24" borderId="0" xfId="0" applyNumberFormat="1" applyFont="1" applyFill="1" applyAlignment="1">
      <alignment horizontal="right"/>
    </xf>
    <xf numFmtId="3" fontId="16" fillId="24" borderId="0" xfId="0" applyNumberFormat="1" applyFont="1" applyFill="1" applyAlignment="1">
      <alignment horizontal="right"/>
    </xf>
    <xf numFmtId="0" fontId="14" fillId="24" borderId="0" xfId="0" applyFont="1" applyFill="1"/>
    <xf numFmtId="0" fontId="48" fillId="24" borderId="0" xfId="0" applyFont="1" applyFill="1" applyBorder="1" applyAlignment="1">
      <alignment horizontal="left"/>
    </xf>
    <xf numFmtId="41" fontId="14" fillId="24" borderId="0" xfId="0" applyNumberFormat="1" applyFont="1" applyFill="1" applyBorder="1" applyAlignment="1">
      <alignment horizontal="right"/>
    </xf>
    <xf numFmtId="1" fontId="16" fillId="24" borderId="0" xfId="0" applyNumberFormat="1" applyFont="1" applyFill="1" applyBorder="1" applyAlignment="1">
      <alignment horizontal="right"/>
    </xf>
    <xf numFmtId="10" fontId="16" fillId="24" borderId="0" xfId="0" applyNumberFormat="1" applyFont="1" applyFill="1" applyBorder="1" applyAlignment="1">
      <alignment horizontal="right"/>
    </xf>
    <xf numFmtId="3" fontId="16" fillId="24" borderId="0" xfId="0" applyNumberFormat="1" applyFont="1" applyFill="1" applyBorder="1" applyAlignment="1">
      <alignment horizontal="right"/>
    </xf>
    <xf numFmtId="167" fontId="14" fillId="24" borderId="0" xfId="0" applyNumberFormat="1" applyFont="1" applyFill="1" applyBorder="1" applyAlignment="1">
      <alignment horizontal="right"/>
    </xf>
    <xf numFmtId="167" fontId="14" fillId="24" borderId="13" xfId="0" applyNumberFormat="1" applyFont="1" applyFill="1" applyBorder="1" applyAlignment="1">
      <alignment horizontal="right"/>
    </xf>
    <xf numFmtId="167" fontId="16" fillId="24" borderId="0" xfId="0" applyNumberFormat="1" applyFont="1" applyFill="1" applyBorder="1" applyAlignment="1">
      <alignment horizontal="right"/>
    </xf>
    <xf numFmtId="0" fontId="14" fillId="24" borderId="0" xfId="0" applyFont="1" applyFill="1" applyBorder="1"/>
    <xf numFmtId="0" fontId="14" fillId="24" borderId="0" xfId="0" applyNumberFormat="1" applyFont="1" applyFill="1" applyBorder="1" applyAlignment="1">
      <alignment horizontal="left"/>
    </xf>
    <xf numFmtId="0" fontId="14" fillId="24" borderId="12" xfId="0" applyNumberFormat="1" applyFont="1" applyFill="1" applyBorder="1" applyAlignment="1">
      <alignment horizontal="left"/>
    </xf>
    <xf numFmtId="167" fontId="14" fillId="24" borderId="12" xfId="0" applyNumberFormat="1" applyFont="1" applyFill="1" applyBorder="1" applyAlignment="1">
      <alignment horizontal="right"/>
    </xf>
    <xf numFmtId="1" fontId="16" fillId="24" borderId="12" xfId="0" applyNumberFormat="1" applyFont="1" applyFill="1" applyBorder="1" applyAlignment="1">
      <alignment horizontal="right"/>
    </xf>
    <xf numFmtId="167" fontId="16" fillId="24" borderId="12" xfId="0" applyNumberFormat="1" applyFont="1" applyFill="1" applyBorder="1" applyAlignment="1">
      <alignment horizontal="right"/>
    </xf>
    <xf numFmtId="3" fontId="16" fillId="24" borderId="12" xfId="0" applyNumberFormat="1" applyFont="1" applyFill="1" applyBorder="1" applyAlignment="1">
      <alignment horizontal="right"/>
    </xf>
    <xf numFmtId="0" fontId="15" fillId="24" borderId="0" xfId="0" applyFont="1" applyFill="1" applyBorder="1" applyAlignment="1">
      <alignment horizontal="left"/>
    </xf>
    <xf numFmtId="167" fontId="38" fillId="24" borderId="0" xfId="0" applyNumberFormat="1" applyFont="1" applyFill="1" applyBorder="1" applyAlignment="1">
      <alignment horizontal="right"/>
    </xf>
    <xf numFmtId="1" fontId="42" fillId="24" borderId="0" xfId="0" applyNumberFormat="1" applyFont="1" applyFill="1" applyBorder="1" applyAlignment="1">
      <alignment horizontal="right"/>
    </xf>
    <xf numFmtId="167" fontId="42" fillId="24" borderId="0" xfId="0" applyNumberFormat="1" applyFont="1" applyFill="1" applyBorder="1" applyAlignment="1">
      <alignment horizontal="right"/>
    </xf>
    <xf numFmtId="37" fontId="36" fillId="24" borderId="0" xfId="0" applyNumberFormat="1" applyFont="1" applyFill="1" applyBorder="1" applyAlignment="1">
      <alignment horizontal="right"/>
    </xf>
    <xf numFmtId="1" fontId="41" fillId="24" borderId="0" xfId="0" applyNumberFormat="1" applyFont="1" applyFill="1" applyBorder="1" applyAlignment="1">
      <alignment horizontal="right"/>
    </xf>
    <xf numFmtId="171" fontId="41" fillId="24" borderId="0" xfId="0" applyNumberFormat="1" applyFont="1" applyFill="1" applyBorder="1" applyAlignment="1">
      <alignment horizontal="right"/>
    </xf>
    <xf numFmtId="37" fontId="45" fillId="24" borderId="0" xfId="0" applyNumberFormat="1" applyFont="1" applyFill="1" applyBorder="1" applyAlignment="1">
      <alignment horizontal="right"/>
    </xf>
    <xf numFmtId="3" fontId="41" fillId="24" borderId="0" xfId="0" applyNumberFormat="1" applyFont="1" applyFill="1" applyBorder="1" applyAlignment="1">
      <alignment horizontal="right"/>
    </xf>
    <xf numFmtId="171" fontId="47" fillId="24" borderId="0" xfId="0" applyNumberFormat="1" applyFont="1" applyFill="1" applyBorder="1" applyAlignment="1">
      <alignment horizontal="right"/>
    </xf>
    <xf numFmtId="165" fontId="40" fillId="24" borderId="0" xfId="0" applyNumberFormat="1" applyFont="1" applyFill="1" applyBorder="1" applyAlignment="1"/>
    <xf numFmtId="1" fontId="40" fillId="24" borderId="0" xfId="0" applyNumberFormat="1" applyFont="1" applyFill="1" applyBorder="1" applyAlignment="1"/>
    <xf numFmtId="171" fontId="40" fillId="24" borderId="0" xfId="0" applyNumberFormat="1" applyFont="1" applyFill="1" applyBorder="1" applyAlignment="1"/>
    <xf numFmtId="0" fontId="40" fillId="24" borderId="0" xfId="0" applyFont="1" applyFill="1" applyAlignment="1"/>
    <xf numFmtId="171" fontId="42" fillId="24" borderId="0" xfId="0" applyNumberFormat="1" applyFont="1" applyFill="1" applyBorder="1" applyAlignment="1">
      <alignment horizontal="right"/>
    </xf>
    <xf numFmtId="176" fontId="38" fillId="24" borderId="0" xfId="0" applyNumberFormat="1" applyFont="1" applyFill="1" applyBorder="1" applyAlignment="1">
      <alignment horizontal="right"/>
    </xf>
    <xf numFmtId="166" fontId="38" fillId="24" borderId="0" xfId="0" applyNumberFormat="1" applyFont="1" applyFill="1" applyBorder="1" applyAlignment="1">
      <alignment horizontal="right"/>
    </xf>
    <xf numFmtId="166" fontId="42" fillId="24" borderId="0" xfId="0" applyNumberFormat="1" applyFont="1" applyFill="1" applyBorder="1" applyAlignment="1">
      <alignment horizontal="right"/>
    </xf>
    <xf numFmtId="43" fontId="14" fillId="24" borderId="0" xfId="47" applyFont="1" applyFill="1" applyBorder="1" applyAlignment="1">
      <alignment horizontal="right"/>
    </xf>
    <xf numFmtId="166" fontId="16" fillId="24" borderId="0" xfId="0" applyNumberFormat="1" applyFont="1" applyFill="1" applyBorder="1" applyAlignment="1">
      <alignment horizontal="right"/>
    </xf>
    <xf numFmtId="176" fontId="14" fillId="24" borderId="0" xfId="0" applyNumberFormat="1" applyFont="1" applyFill="1" applyBorder="1" applyAlignment="1"/>
    <xf numFmtId="1" fontId="16" fillId="24" borderId="0" xfId="0" applyNumberFormat="1" applyFont="1" applyFill="1" applyBorder="1" applyAlignment="1"/>
    <xf numFmtId="171" fontId="16" fillId="24" borderId="0" xfId="0" applyNumberFormat="1" applyFont="1" applyFill="1" applyBorder="1" applyAlignment="1"/>
    <xf numFmtId="0" fontId="14" fillId="24" borderId="0" xfId="0" applyFont="1" applyFill="1" applyAlignment="1"/>
    <xf numFmtId="166" fontId="40" fillId="24" borderId="0" xfId="0" applyNumberFormat="1" applyFont="1" applyFill="1" applyBorder="1" applyAlignment="1"/>
    <xf numFmtId="168" fontId="40" fillId="24" borderId="0" xfId="0" applyNumberFormat="1" applyFont="1" applyFill="1" applyBorder="1" applyAlignment="1"/>
    <xf numFmtId="37" fontId="36" fillId="24" borderId="0" xfId="0" applyNumberFormat="1" applyFont="1" applyFill="1" applyBorder="1" applyAlignment="1"/>
    <xf numFmtId="1" fontId="41" fillId="24" borderId="0" xfId="0" applyNumberFormat="1" applyFont="1" applyFill="1" applyBorder="1" applyAlignment="1"/>
    <xf numFmtId="171" fontId="42" fillId="24" borderId="0" xfId="0" applyNumberFormat="1" applyFont="1" applyFill="1" applyBorder="1" applyAlignment="1"/>
    <xf numFmtId="39" fontId="15" fillId="24" borderId="0" xfId="0" applyNumberFormat="1" applyFont="1" applyFill="1" applyBorder="1" applyAlignment="1">
      <alignment horizontal="left"/>
    </xf>
    <xf numFmtId="165" fontId="36" fillId="24" borderId="0" xfId="0" applyNumberFormat="1" applyFont="1" applyFill="1" applyBorder="1" applyAlignment="1">
      <alignment horizontal="right"/>
    </xf>
    <xf numFmtId="172" fontId="41" fillId="24" borderId="0" xfId="0" applyNumberFormat="1" applyFont="1" applyFill="1" applyBorder="1" applyAlignment="1">
      <alignment horizontal="right"/>
    </xf>
    <xf numFmtId="39" fontId="36" fillId="24" borderId="0" xfId="0" applyNumberFormat="1" applyFont="1" applyFill="1" applyBorder="1" applyAlignment="1">
      <alignment horizontal="right"/>
    </xf>
    <xf numFmtId="41" fontId="41" fillId="24" borderId="0" xfId="0" applyNumberFormat="1" applyFont="1" applyFill="1" applyBorder="1" applyAlignment="1">
      <alignment horizontal="right"/>
    </xf>
    <xf numFmtId="0" fontId="14" fillId="24" borderId="0" xfId="0" applyFont="1" applyFill="1" applyAlignment="1">
      <alignment horizontal="left"/>
    </xf>
    <xf numFmtId="167" fontId="38" fillId="24" borderId="0" xfId="0" applyNumberFormat="1" applyFont="1" applyFill="1" applyAlignment="1">
      <alignment horizontal="right"/>
    </xf>
    <xf numFmtId="1" fontId="41" fillId="24" borderId="0" xfId="0" applyNumberFormat="1" applyFont="1" applyFill="1" applyAlignment="1">
      <alignment horizontal="right"/>
    </xf>
    <xf numFmtId="167" fontId="42" fillId="24" borderId="0" xfId="0" applyNumberFormat="1" applyFont="1" applyFill="1" applyAlignment="1">
      <alignment horizontal="right"/>
    </xf>
    <xf numFmtId="0" fontId="16" fillId="24" borderId="0" xfId="0" quotePrefix="1" applyFont="1" applyFill="1" applyAlignment="1">
      <alignment horizontal="left"/>
    </xf>
    <xf numFmtId="1" fontId="42" fillId="24" borderId="0" xfId="0" applyNumberFormat="1" applyFont="1" applyFill="1" applyAlignment="1">
      <alignment horizontal="right"/>
    </xf>
    <xf numFmtId="175" fontId="14" fillId="24" borderId="13" xfId="0" applyNumberFormat="1" applyFont="1" applyFill="1" applyBorder="1" applyAlignment="1">
      <alignment horizontal="right"/>
    </xf>
    <xf numFmtId="173" fontId="41" fillId="24" borderId="0" xfId="0" applyNumberFormat="1" applyFont="1" applyFill="1" applyBorder="1" applyAlignment="1">
      <alignment horizontal="right"/>
    </xf>
    <xf numFmtId="165" fontId="41" fillId="24" borderId="0" xfId="0" applyNumberFormat="1" applyFont="1" applyFill="1" applyBorder="1" applyAlignment="1">
      <alignment horizontal="right"/>
    </xf>
    <xf numFmtId="180" fontId="38" fillId="24" borderId="0" xfId="0" applyNumberFormat="1" applyFont="1" applyFill="1" applyBorder="1" applyAlignment="1">
      <alignment horizontal="right"/>
    </xf>
    <xf numFmtId="166" fontId="38" fillId="24" borderId="0" xfId="0" applyNumberFormat="1" applyFont="1" applyFill="1" applyAlignment="1">
      <alignment horizontal="right"/>
    </xf>
    <xf numFmtId="0" fontId="16" fillId="24" borderId="0" xfId="0" applyFont="1" applyFill="1" applyAlignment="1">
      <alignment horizontal="left"/>
    </xf>
    <xf numFmtId="0" fontId="63" fillId="24" borderId="11" xfId="0" applyNumberFormat="1" applyFont="1" applyFill="1" applyBorder="1" applyAlignment="1">
      <alignment horizontal="left"/>
    </xf>
    <xf numFmtId="167" fontId="14" fillId="24" borderId="11" xfId="0" applyNumberFormat="1" applyFont="1" applyFill="1" applyBorder="1" applyAlignment="1">
      <alignment horizontal="right"/>
    </xf>
    <xf numFmtId="1" fontId="16" fillId="24" borderId="11" xfId="0" applyNumberFormat="1" applyFont="1" applyFill="1" applyBorder="1" applyAlignment="1">
      <alignment horizontal="right"/>
    </xf>
    <xf numFmtId="167" fontId="16" fillId="24" borderId="11" xfId="0" applyNumberFormat="1" applyFont="1" applyFill="1" applyBorder="1" applyAlignment="1">
      <alignment horizontal="right"/>
    </xf>
    <xf numFmtId="3" fontId="16" fillId="24" borderId="11" xfId="0" applyNumberFormat="1" applyFont="1" applyFill="1" applyBorder="1" applyAlignment="1">
      <alignment horizontal="right"/>
    </xf>
    <xf numFmtId="0" fontId="15" fillId="24" borderId="0" xfId="0" applyFont="1" applyFill="1" applyAlignment="1">
      <alignment horizontal="left"/>
    </xf>
    <xf numFmtId="37" fontId="36" fillId="24" borderId="0" xfId="0" applyNumberFormat="1" applyFont="1" applyFill="1" applyAlignment="1">
      <alignment horizontal="right"/>
    </xf>
    <xf numFmtId="37" fontId="45" fillId="24" borderId="0" xfId="0" applyNumberFormat="1" applyFont="1" applyFill="1" applyAlignment="1">
      <alignment horizontal="right"/>
    </xf>
    <xf numFmtId="165" fontId="36" fillId="24" borderId="0" xfId="0" applyNumberFormat="1" applyFont="1" applyFill="1" applyAlignment="1">
      <alignment horizontal="right"/>
    </xf>
    <xf numFmtId="165" fontId="40" fillId="24" borderId="0" xfId="0" applyNumberFormat="1" applyFont="1" applyFill="1" applyAlignment="1"/>
    <xf numFmtId="1" fontId="40" fillId="24" borderId="0" xfId="0" applyNumberFormat="1" applyFont="1" applyFill="1" applyAlignment="1"/>
    <xf numFmtId="171" fontId="40" fillId="24" borderId="0" xfId="0" applyNumberFormat="1" applyFont="1" applyFill="1" applyAlignment="1"/>
    <xf numFmtId="171" fontId="41" fillId="24" borderId="0" xfId="0" applyNumberFormat="1" applyFont="1" applyFill="1" applyAlignment="1">
      <alignment horizontal="right"/>
    </xf>
    <xf numFmtId="41" fontId="41" fillId="24" borderId="0" xfId="0" applyNumberFormat="1" applyFont="1" applyFill="1" applyAlignment="1">
      <alignment horizontal="right"/>
    </xf>
    <xf numFmtId="39" fontId="14" fillId="24" borderId="0" xfId="0" applyNumberFormat="1" applyFont="1" applyFill="1" applyAlignment="1">
      <alignment horizontal="left"/>
    </xf>
    <xf numFmtId="39" fontId="36" fillId="24" borderId="0" xfId="0" applyNumberFormat="1" applyFont="1" applyFill="1" applyAlignment="1">
      <alignment horizontal="right"/>
    </xf>
    <xf numFmtId="41" fontId="14" fillId="24" borderId="0" xfId="0" applyNumberFormat="1" applyFont="1" applyFill="1" applyAlignment="1">
      <alignment horizontal="right"/>
    </xf>
    <xf numFmtId="0" fontId="1" fillId="0" borderId="0" xfId="0" applyFont="1"/>
    <xf numFmtId="0" fontId="1" fillId="0" borderId="0" xfId="0" applyFont="1" applyFill="1"/>
    <xf numFmtId="39" fontId="40" fillId="0" borderId="0" xfId="0" applyNumberFormat="1" applyFont="1" applyFill="1" applyBorder="1" applyAlignment="1"/>
    <xf numFmtId="167" fontId="40" fillId="0" borderId="0" xfId="0" applyNumberFormat="1" applyFont="1" applyFill="1" applyBorder="1" applyAlignment="1"/>
    <xf numFmtId="39" fontId="15" fillId="21" borderId="0" xfId="0" applyNumberFormat="1" applyFont="1" applyFill="1" applyBorder="1" applyAlignment="1">
      <alignment horizontal="left"/>
    </xf>
    <xf numFmtId="39" fontId="15" fillId="21" borderId="0" xfId="0" applyNumberFormat="1" applyFont="1" applyFill="1" applyBorder="1" applyAlignment="1">
      <alignment horizontal="right"/>
    </xf>
    <xf numFmtId="1" fontId="16" fillId="21" borderId="0" xfId="0" applyNumberFormat="1" applyFont="1" applyFill="1" applyAlignment="1">
      <alignment horizontal="right"/>
    </xf>
    <xf numFmtId="0" fontId="1" fillId="24" borderId="0" xfId="0" applyFont="1" applyFill="1"/>
    <xf numFmtId="3" fontId="42" fillId="24" borderId="0" xfId="0" applyNumberFormat="1" applyFont="1" applyFill="1" applyAlignment="1">
      <alignment horizontal="right"/>
    </xf>
    <xf numFmtId="3" fontId="41" fillId="24" borderId="0" xfId="0" applyNumberFormat="1" applyFont="1" applyFill="1" applyAlignment="1">
      <alignment horizontal="right"/>
    </xf>
    <xf numFmtId="43" fontId="45" fillId="24" borderId="0" xfId="0" applyNumberFormat="1" applyFont="1" applyFill="1" applyBorder="1" applyAlignment="1">
      <alignment horizontal="left"/>
    </xf>
    <xf numFmtId="176" fontId="45" fillId="24" borderId="0" xfId="0" applyNumberFormat="1" applyFont="1" applyFill="1" applyBorder="1" applyAlignment="1">
      <alignment horizontal="right"/>
    </xf>
    <xf numFmtId="165" fontId="14" fillId="24" borderId="0" xfId="0" applyNumberFormat="1" applyFont="1" applyFill="1" applyAlignment="1"/>
    <xf numFmtId="1" fontId="14" fillId="24" borderId="0" xfId="0" applyNumberFormat="1" applyFont="1" applyFill="1" applyAlignment="1"/>
    <xf numFmtId="171" fontId="14" fillId="24" borderId="0" xfId="0" applyNumberFormat="1" applyFont="1" applyFill="1" applyAlignment="1"/>
    <xf numFmtId="39" fontId="15" fillId="24" borderId="0" xfId="0" applyNumberFormat="1" applyFont="1" applyFill="1" applyBorder="1" applyAlignment="1">
      <alignment horizontal="right"/>
    </xf>
    <xf numFmtId="171" fontId="64" fillId="24" borderId="0" xfId="0" applyNumberFormat="1" applyFont="1" applyFill="1" applyBorder="1" applyAlignment="1">
      <alignment horizontal="right"/>
    </xf>
    <xf numFmtId="1" fontId="14" fillId="24" borderId="0" xfId="0" applyNumberFormat="1" applyFont="1" applyFill="1" applyAlignment="1">
      <alignment horizontal="left"/>
    </xf>
    <xf numFmtId="172" fontId="41" fillId="24" borderId="0" xfId="0" applyNumberFormat="1" applyFont="1" applyFill="1" applyAlignment="1">
      <alignment horizontal="right"/>
    </xf>
    <xf numFmtId="39" fontId="40" fillId="24" borderId="0" xfId="0" applyNumberFormat="1" applyFont="1" applyFill="1" applyBorder="1" applyAlignment="1"/>
    <xf numFmtId="167" fontId="40" fillId="24" borderId="0" xfId="0" applyNumberFormat="1" applyFont="1" applyFill="1" applyBorder="1" applyAlignment="1"/>
    <xf numFmtId="165" fontId="41" fillId="24" borderId="0" xfId="0" applyNumberFormat="1" applyFont="1" applyFill="1" applyAlignment="1">
      <alignment horizontal="right"/>
    </xf>
    <xf numFmtId="180" fontId="38" fillId="24" borderId="0" xfId="0" applyNumberFormat="1" applyFont="1" applyFill="1" applyAlignment="1">
      <alignment horizontal="right"/>
    </xf>
    <xf numFmtId="37" fontId="76" fillId="0" borderId="13" xfId="0" applyNumberFormat="1" applyFont="1" applyFill="1" applyBorder="1" applyAlignment="1">
      <alignment horizontal="right"/>
    </xf>
    <xf numFmtId="3" fontId="41" fillId="25" borderId="0" xfId="0" applyNumberFormat="1" applyFont="1" applyFill="1" applyAlignment="1">
      <alignment horizontal="right"/>
    </xf>
    <xf numFmtId="3" fontId="41" fillId="0" borderId="15" xfId="0" applyNumberFormat="1" applyFont="1" applyFill="1" applyBorder="1" applyAlignment="1">
      <alignment horizontal="right"/>
    </xf>
    <xf numFmtId="168" fontId="38" fillId="24" borderId="0" xfId="0" applyNumberFormat="1" applyFont="1" applyFill="1" applyBorder="1" applyAlignment="1">
      <alignment horizontal="right"/>
    </xf>
    <xf numFmtId="167" fontId="14" fillId="24" borderId="0" xfId="2" applyNumberFormat="1" applyFont="1" applyFill="1" applyBorder="1">
      <alignment horizontal="right"/>
    </xf>
    <xf numFmtId="175" fontId="14" fillId="0" borderId="0" xfId="0" applyNumberFormat="1" applyFont="1" applyFill="1" applyBorder="1"/>
    <xf numFmtId="10" fontId="38" fillId="0" borderId="0" xfId="0" applyNumberFormat="1" applyFont="1" applyFill="1" applyAlignment="1">
      <alignment horizontal="right" wrapText="1"/>
    </xf>
    <xf numFmtId="46" fontId="15" fillId="0" borderId="0" xfId="0" quotePrefix="1" applyNumberFormat="1" applyFont="1" applyFill="1"/>
    <xf numFmtId="0" fontId="14" fillId="0" borderId="0" xfId="0" quotePrefix="1" applyFont="1" applyFill="1"/>
    <xf numFmtId="0" fontId="15" fillId="0" borderId="0" xfId="0" quotePrefix="1" applyFont="1" applyFill="1"/>
    <xf numFmtId="0" fontId="14" fillId="0" borderId="0" xfId="0" quotePrefix="1" applyFont="1"/>
    <xf numFmtId="10" fontId="38" fillId="0" borderId="0" xfId="78" applyNumberFormat="1" applyFont="1" applyAlignment="1">
      <alignment horizontal="right"/>
    </xf>
    <xf numFmtId="0" fontId="38" fillId="0" borderId="0" xfId="78" applyNumberFormat="1" applyFont="1" applyAlignment="1">
      <alignment horizontal="left"/>
    </xf>
    <xf numFmtId="6" fontId="38" fillId="0" borderId="0" xfId="78" applyNumberFormat="1" applyFont="1" applyAlignment="1">
      <alignment horizontal="right"/>
    </xf>
    <xf numFmtId="0" fontId="15" fillId="0" borderId="0" xfId="0" applyFont="1" applyFill="1" applyAlignment="1">
      <alignment wrapText="1"/>
    </xf>
    <xf numFmtId="0" fontId="38" fillId="0" borderId="0" xfId="78" applyNumberFormat="1" applyFont="1" applyAlignment="1">
      <alignment horizontal="center"/>
    </xf>
    <xf numFmtId="37" fontId="77" fillId="0" borderId="0" xfId="0" applyNumberFormat="1" applyFont="1" applyFill="1" applyAlignment="1">
      <alignment horizontal="right"/>
    </xf>
    <xf numFmtId="39" fontId="78" fillId="0" borderId="0" xfId="0" applyNumberFormat="1" applyFont="1" applyFill="1" applyAlignment="1">
      <alignment horizontal="right"/>
    </xf>
    <xf numFmtId="37" fontId="77" fillId="0" borderId="13" xfId="0" applyNumberFormat="1" applyFont="1" applyFill="1" applyBorder="1"/>
    <xf numFmtId="167" fontId="79" fillId="0" borderId="0" xfId="0" applyNumberFormat="1" applyFont="1" applyFill="1" applyBorder="1" applyAlignment="1">
      <alignment horizontal="right"/>
    </xf>
    <xf numFmtId="185" fontId="36" fillId="0" borderId="0" xfId="47" applyNumberFormat="1" applyFont="1" applyFill="1"/>
    <xf numFmtId="0" fontId="63" fillId="24" borderId="16" xfId="0" applyNumberFormat="1" applyFont="1" applyFill="1" applyBorder="1" applyAlignment="1">
      <alignment horizontal="left"/>
    </xf>
    <xf numFmtId="167" fontId="14" fillId="24" borderId="17" xfId="0" applyNumberFormat="1" applyFont="1" applyFill="1" applyBorder="1" applyAlignment="1">
      <alignment horizontal="right"/>
    </xf>
    <xf numFmtId="1" fontId="16" fillId="24" borderId="17" xfId="0" applyNumberFormat="1" applyFont="1" applyFill="1" applyBorder="1" applyAlignment="1">
      <alignment horizontal="right"/>
    </xf>
    <xf numFmtId="167" fontId="16" fillId="24" borderId="17" xfId="0" applyNumberFormat="1" applyFont="1" applyFill="1" applyBorder="1" applyAlignment="1">
      <alignment horizontal="right"/>
    </xf>
    <xf numFmtId="3" fontId="16" fillId="24" borderId="18" xfId="0" applyNumberFormat="1" applyFont="1" applyFill="1" applyBorder="1" applyAlignment="1">
      <alignment horizontal="right"/>
    </xf>
    <xf numFmtId="0" fontId="14" fillId="24" borderId="19" xfId="0" applyNumberFormat="1" applyFont="1" applyFill="1" applyBorder="1" applyAlignment="1">
      <alignment horizontal="left"/>
    </xf>
    <xf numFmtId="3" fontId="16" fillId="24" borderId="20" xfId="0" applyNumberFormat="1" applyFont="1" applyFill="1" applyBorder="1" applyAlignment="1">
      <alignment horizontal="right"/>
    </xf>
    <xf numFmtId="0" fontId="14" fillId="24" borderId="21" xfId="0" applyNumberFormat="1" applyFont="1" applyFill="1" applyBorder="1" applyAlignment="1">
      <alignment horizontal="left"/>
    </xf>
    <xf numFmtId="3" fontId="16" fillId="24" borderId="22" xfId="0" applyNumberFormat="1" applyFont="1" applyFill="1" applyBorder="1" applyAlignment="1">
      <alignment horizontal="right"/>
    </xf>
    <xf numFmtId="0" fontId="15" fillId="24" borderId="19" xfId="0" applyFont="1" applyFill="1" applyBorder="1" applyAlignment="1">
      <alignment horizontal="left"/>
    </xf>
    <xf numFmtId="3" fontId="42" fillId="24" borderId="20" xfId="0" applyNumberFormat="1" applyFont="1" applyFill="1" applyBorder="1" applyAlignment="1">
      <alignment horizontal="right"/>
    </xf>
    <xf numFmtId="1" fontId="41" fillId="24" borderId="20" xfId="0" applyNumberFormat="1" applyFont="1" applyFill="1" applyBorder="1" applyAlignment="1">
      <alignment horizontal="right"/>
    </xf>
    <xf numFmtId="0" fontId="14" fillId="24" borderId="19" xfId="0" applyFont="1" applyFill="1" applyBorder="1" applyAlignment="1">
      <alignment horizontal="left"/>
    </xf>
    <xf numFmtId="0" fontId="40" fillId="24" borderId="19" xfId="0" applyFont="1" applyFill="1" applyBorder="1" applyAlignment="1"/>
    <xf numFmtId="1" fontId="40" fillId="24" borderId="20" xfId="0" applyNumberFormat="1" applyFont="1" applyFill="1" applyBorder="1" applyAlignment="1"/>
    <xf numFmtId="43" fontId="38" fillId="24" borderId="19" xfId="0" applyNumberFormat="1" applyFont="1" applyFill="1" applyBorder="1" applyAlignment="1">
      <alignment horizontal="left"/>
    </xf>
    <xf numFmtId="1" fontId="42" fillId="24" borderId="20" xfId="0" applyNumberFormat="1" applyFont="1" applyFill="1" applyBorder="1" applyAlignment="1">
      <alignment horizontal="right"/>
    </xf>
    <xf numFmtId="43" fontId="45" fillId="21" borderId="19" xfId="0" applyNumberFormat="1" applyFont="1" applyFill="1" applyBorder="1" applyAlignment="1">
      <alignment horizontal="left"/>
    </xf>
    <xf numFmtId="1" fontId="41" fillId="21" borderId="20" xfId="0" applyNumberFormat="1" applyFont="1" applyFill="1" applyBorder="1" applyAlignment="1">
      <alignment horizontal="right"/>
    </xf>
    <xf numFmtId="0" fontId="40" fillId="0" borderId="19" xfId="0" applyFont="1" applyBorder="1" applyAlignment="1"/>
    <xf numFmtId="1" fontId="40" fillId="0" borderId="20" xfId="0" applyNumberFormat="1" applyFont="1" applyFill="1" applyBorder="1" applyAlignment="1"/>
    <xf numFmtId="0" fontId="48" fillId="24" borderId="19" xfId="0" applyFont="1" applyFill="1" applyBorder="1" applyAlignment="1">
      <alignment horizontal="left"/>
    </xf>
    <xf numFmtId="43" fontId="17" fillId="22" borderId="19" xfId="0" applyNumberFormat="1" applyFont="1" applyFill="1" applyBorder="1" applyAlignment="1">
      <alignment horizontal="left"/>
    </xf>
    <xf numFmtId="1" fontId="51" fillId="22" borderId="20" xfId="0" applyNumberFormat="1" applyFont="1" applyFill="1" applyBorder="1" applyAlignment="1">
      <alignment horizontal="right"/>
    </xf>
    <xf numFmtId="43" fontId="14" fillId="24" borderId="19" xfId="0" applyNumberFormat="1" applyFont="1" applyFill="1" applyBorder="1" applyAlignment="1"/>
    <xf numFmtId="1" fontId="16" fillId="24" borderId="20" xfId="0" applyNumberFormat="1" applyFont="1" applyFill="1" applyBorder="1" applyAlignment="1"/>
    <xf numFmtId="0" fontId="14" fillId="24" borderId="19" xfId="0" applyFont="1" applyFill="1" applyBorder="1" applyAlignment="1"/>
    <xf numFmtId="1" fontId="41" fillId="24" borderId="20" xfId="0" applyNumberFormat="1" applyFont="1" applyFill="1" applyBorder="1" applyAlignment="1"/>
    <xf numFmtId="43" fontId="15" fillId="21" borderId="19" xfId="0" applyNumberFormat="1" applyFont="1" applyFill="1" applyBorder="1" applyAlignment="1">
      <alignment horizontal="left"/>
    </xf>
    <xf numFmtId="1" fontId="16" fillId="21" borderId="20" xfId="0" applyNumberFormat="1" applyFont="1" applyFill="1" applyBorder="1" applyAlignment="1">
      <alignment horizontal="right"/>
    </xf>
    <xf numFmtId="39" fontId="15" fillId="24" borderId="19" xfId="0" applyNumberFormat="1" applyFont="1" applyFill="1" applyBorder="1" applyAlignment="1">
      <alignment horizontal="left"/>
    </xf>
    <xf numFmtId="1" fontId="14" fillId="24" borderId="19" xfId="0" applyNumberFormat="1" applyFont="1" applyFill="1" applyBorder="1" applyAlignment="1">
      <alignment horizontal="left"/>
    </xf>
    <xf numFmtId="1" fontId="14" fillId="24" borderId="23" xfId="0" applyNumberFormat="1" applyFont="1" applyFill="1" applyBorder="1" applyAlignment="1">
      <alignment horizontal="left"/>
    </xf>
    <xf numFmtId="165" fontId="36" fillId="24" borderId="24" xfId="0" applyNumberFormat="1" applyFont="1" applyFill="1" applyBorder="1" applyAlignment="1">
      <alignment horizontal="right"/>
    </xf>
    <xf numFmtId="1" fontId="41" fillId="24" borderId="24" xfId="0" applyNumberFormat="1" applyFont="1" applyFill="1" applyBorder="1" applyAlignment="1">
      <alignment horizontal="right"/>
    </xf>
    <xf numFmtId="172" fontId="41" fillId="24" borderId="24" xfId="0" applyNumberFormat="1" applyFont="1" applyFill="1" applyBorder="1" applyAlignment="1">
      <alignment horizontal="right"/>
    </xf>
    <xf numFmtId="1" fontId="41" fillId="24" borderId="25" xfId="0" applyNumberFormat="1" applyFont="1" applyFill="1" applyBorder="1" applyAlignment="1">
      <alignment horizontal="right"/>
    </xf>
    <xf numFmtId="0" fontId="16" fillId="24" borderId="19" xfId="0" quotePrefix="1" applyFont="1" applyFill="1" applyBorder="1" applyAlignment="1">
      <alignment horizontal="left"/>
    </xf>
    <xf numFmtId="167" fontId="42" fillId="24" borderId="20" xfId="0" applyNumberFormat="1" applyFont="1" applyFill="1" applyBorder="1" applyAlignment="1">
      <alignment horizontal="right"/>
    </xf>
    <xf numFmtId="0" fontId="14" fillId="24" borderId="19" xfId="0" quotePrefix="1" applyFont="1" applyFill="1" applyBorder="1" applyAlignment="1"/>
    <xf numFmtId="167" fontId="38" fillId="24" borderId="0" xfId="0" applyNumberFormat="1" applyFont="1" applyFill="1" applyBorder="1" applyAlignment="1"/>
    <xf numFmtId="1" fontId="42" fillId="24" borderId="0" xfId="0" applyNumberFormat="1" applyFont="1" applyFill="1" applyBorder="1" applyAlignment="1"/>
    <xf numFmtId="167" fontId="38" fillId="24" borderId="20" xfId="0" applyNumberFormat="1" applyFont="1" applyFill="1" applyBorder="1" applyAlignment="1"/>
    <xf numFmtId="0" fontId="62" fillId="24" borderId="19" xfId="0" applyFont="1" applyFill="1" applyBorder="1" applyAlignment="1">
      <alignment horizontal="left"/>
    </xf>
    <xf numFmtId="175" fontId="14" fillId="24" borderId="0" xfId="0" applyNumberFormat="1" applyFont="1" applyFill="1" applyBorder="1" applyAlignment="1">
      <alignment horizontal="right"/>
    </xf>
    <xf numFmtId="39" fontId="48" fillId="24" borderId="19" xfId="0" applyNumberFormat="1" applyFont="1" applyFill="1" applyBorder="1" applyAlignment="1">
      <alignment horizontal="left"/>
    </xf>
    <xf numFmtId="1" fontId="15" fillId="24" borderId="19" xfId="0" applyNumberFormat="1" applyFont="1" applyFill="1" applyBorder="1" applyAlignment="1">
      <alignment horizontal="left"/>
    </xf>
    <xf numFmtId="171" fontId="41" fillId="24" borderId="20" xfId="0" applyNumberFormat="1" applyFont="1" applyFill="1" applyBorder="1" applyAlignment="1">
      <alignment horizontal="right"/>
    </xf>
    <xf numFmtId="39" fontId="14" fillId="24" borderId="19" xfId="0" applyNumberFormat="1" applyFont="1" applyFill="1" applyBorder="1" applyAlignment="1">
      <alignment horizontal="left"/>
    </xf>
    <xf numFmtId="39" fontId="14" fillId="24" borderId="23" xfId="0" applyNumberFormat="1" applyFont="1" applyFill="1" applyBorder="1" applyAlignment="1">
      <alignment horizontal="left"/>
    </xf>
    <xf numFmtId="39" fontId="36" fillId="24" borderId="24" xfId="0" applyNumberFormat="1" applyFont="1" applyFill="1" applyBorder="1" applyAlignment="1">
      <alignment horizontal="right"/>
    </xf>
    <xf numFmtId="165" fontId="41" fillId="24" borderId="24" xfId="0" applyNumberFormat="1" applyFont="1" applyFill="1" applyBorder="1" applyAlignment="1">
      <alignment horizontal="right"/>
    </xf>
    <xf numFmtId="171" fontId="41" fillId="24" borderId="25" xfId="0" applyNumberFormat="1" applyFont="1" applyFill="1" applyBorder="1" applyAlignment="1">
      <alignment horizontal="right"/>
    </xf>
    <xf numFmtId="170" fontId="38" fillId="0" borderId="0" xfId="78" applyNumberFormat="1" applyFont="1" applyAlignment="1">
      <alignment horizontal="right"/>
    </xf>
    <xf numFmtId="186" fontId="38" fillId="0" borderId="0" xfId="0" applyNumberFormat="1" applyFont="1" applyAlignment="1">
      <alignment horizontal="right"/>
    </xf>
    <xf numFmtId="37" fontId="38" fillId="24" borderId="0" xfId="0" applyNumberFormat="1" applyFont="1" applyFill="1" applyBorder="1"/>
    <xf numFmtId="179" fontId="38" fillId="24" borderId="0" xfId="47" applyNumberFormat="1" applyFont="1" applyFill="1" applyBorder="1" applyAlignment="1">
      <alignment horizontal="right"/>
    </xf>
    <xf numFmtId="37" fontId="38" fillId="24" borderId="0" xfId="0" applyNumberFormat="1" applyFont="1" applyFill="1" applyBorder="1" applyAlignment="1">
      <alignment horizontal="right"/>
    </xf>
    <xf numFmtId="0" fontId="81" fillId="0" borderId="0" xfId="0" applyFont="1" applyFill="1" applyAlignment="1">
      <alignment horizontal="right"/>
    </xf>
    <xf numFmtId="3" fontId="81" fillId="0" borderId="0" xfId="0" applyNumberFormat="1" applyFont="1" applyFill="1" applyAlignment="1">
      <alignment horizontal="right"/>
    </xf>
    <xf numFmtId="3" fontId="82" fillId="0" borderId="0" xfId="0" applyNumberFormat="1" applyFont="1" applyFill="1" applyAlignment="1">
      <alignment horizontal="right"/>
    </xf>
    <xf numFmtId="1" fontId="82" fillId="0" borderId="0" xfId="0" applyNumberFormat="1" applyFont="1" applyFill="1" applyAlignment="1">
      <alignment horizontal="right"/>
    </xf>
    <xf numFmtId="0" fontId="81" fillId="0" borderId="0" xfId="0" applyFont="1" applyBorder="1"/>
    <xf numFmtId="39" fontId="80" fillId="0" borderId="0" xfId="0" applyNumberFormat="1" applyFont="1" applyFill="1" applyAlignment="1">
      <alignment horizontal="right"/>
    </xf>
    <xf numFmtId="0" fontId="83" fillId="0" borderId="0" xfId="0" applyFont="1" applyFill="1" applyAlignment="1">
      <alignment horizontal="left"/>
    </xf>
    <xf numFmtId="39" fontId="84" fillId="0" borderId="0" xfId="0" applyNumberFormat="1" applyFont="1" applyFill="1" applyAlignment="1">
      <alignment horizontal="right"/>
    </xf>
    <xf numFmtId="3" fontId="85" fillId="0" borderId="0" xfId="0" applyNumberFormat="1" applyFont="1" applyFill="1" applyAlignment="1">
      <alignment horizontal="right"/>
    </xf>
    <xf numFmtId="0" fontId="86" fillId="0" borderId="0" xfId="0" applyFont="1" applyFill="1" applyAlignment="1">
      <alignment horizontal="right"/>
    </xf>
    <xf numFmtId="1" fontId="85" fillId="0" borderId="0" xfId="0" applyNumberFormat="1" applyFont="1" applyFill="1" applyAlignment="1">
      <alignment horizontal="right"/>
    </xf>
    <xf numFmtId="39" fontId="83" fillId="0" borderId="0" xfId="0" applyNumberFormat="1" applyFont="1" applyFill="1" applyAlignment="1">
      <alignment horizontal="right"/>
    </xf>
    <xf numFmtId="3" fontId="88" fillId="0" borderId="0" xfId="0" applyNumberFormat="1" applyFont="1" applyFill="1" applyAlignment="1">
      <alignment horizontal="right"/>
    </xf>
    <xf numFmtId="0" fontId="89" fillId="0" borderId="0" xfId="0" applyFont="1" applyFill="1" applyAlignment="1">
      <alignment horizontal="right"/>
    </xf>
    <xf numFmtId="0" fontId="89" fillId="21" borderId="0" xfId="0" applyFont="1" applyFill="1" applyAlignment="1">
      <alignment horizontal="right"/>
    </xf>
    <xf numFmtId="3" fontId="89" fillId="0" borderId="0" xfId="0" applyNumberFormat="1" applyFont="1" applyFill="1" applyAlignment="1">
      <alignment horizontal="right"/>
    </xf>
    <xf numFmtId="1" fontId="88" fillId="0" borderId="0" xfId="0" applyNumberFormat="1" applyFont="1" applyFill="1" applyAlignment="1">
      <alignment horizontal="right"/>
    </xf>
    <xf numFmtId="0" fontId="89" fillId="0" borderId="13" xfId="0" applyFont="1" applyFill="1" applyBorder="1" applyAlignment="1">
      <alignment horizontal="right"/>
    </xf>
    <xf numFmtId="0" fontId="89" fillId="0" borderId="0" xfId="0" applyFont="1" applyFill="1" applyBorder="1"/>
    <xf numFmtId="1" fontId="90" fillId="0" borderId="0" xfId="0" applyNumberFormat="1" applyFont="1" applyFill="1" applyAlignment="1">
      <alignment horizontal="right"/>
    </xf>
    <xf numFmtId="2" fontId="87" fillId="0" borderId="0" xfId="0" applyNumberFormat="1" applyFont="1" applyFill="1" applyBorder="1" applyAlignment="1">
      <alignment horizontal="right"/>
    </xf>
    <xf numFmtId="167" fontId="85" fillId="0" borderId="0" xfId="0" applyNumberFormat="1" applyFont="1" applyFill="1" applyBorder="1" applyAlignment="1">
      <alignment horizontal="right"/>
    </xf>
    <xf numFmtId="10" fontId="85" fillId="0" borderId="0" xfId="0" applyNumberFormat="1" applyFont="1" applyFill="1" applyBorder="1" applyAlignment="1">
      <alignment horizontal="right"/>
    </xf>
    <xf numFmtId="39" fontId="86" fillId="0" borderId="0" xfId="0" applyNumberFormat="1" applyFont="1" applyFill="1" applyAlignment="1">
      <alignment horizontal="right"/>
    </xf>
    <xf numFmtId="0" fontId="86" fillId="21" borderId="0" xfId="0" applyFont="1" applyFill="1" applyBorder="1" applyAlignment="1">
      <alignment horizontal="right"/>
    </xf>
    <xf numFmtId="0" fontId="86" fillId="0" borderId="0" xfId="0" applyFont="1" applyFill="1" applyBorder="1" applyAlignment="1">
      <alignment horizontal="right"/>
    </xf>
    <xf numFmtId="37" fontId="86" fillId="0" borderId="0" xfId="0" applyNumberFormat="1" applyFont="1" applyFill="1" applyAlignment="1">
      <alignment horizontal="right"/>
    </xf>
    <xf numFmtId="39" fontId="86" fillId="0" borderId="13" xfId="0" applyNumberFormat="1" applyFont="1" applyFill="1" applyBorder="1" applyAlignment="1">
      <alignment horizontal="right"/>
    </xf>
    <xf numFmtId="39" fontId="84" fillId="0" borderId="0" xfId="0" applyNumberFormat="1" applyFont="1" applyFill="1" applyBorder="1" applyAlignment="1">
      <alignment horizontal="right"/>
    </xf>
    <xf numFmtId="9" fontId="84" fillId="0" borderId="0" xfId="78" applyFont="1" applyFill="1" applyAlignment="1">
      <alignment horizontal="right"/>
    </xf>
    <xf numFmtId="0" fontId="91" fillId="0" borderId="0" xfId="0" applyFont="1" applyAlignment="1">
      <alignment horizontal="right"/>
    </xf>
    <xf numFmtId="4" fontId="38" fillId="0" borderId="0" xfId="0" applyNumberFormat="1" applyFont="1" applyFill="1" applyBorder="1" applyAlignment="1">
      <alignment horizontal="right"/>
    </xf>
    <xf numFmtId="180" fontId="38" fillId="0" borderId="0" xfId="0" applyNumberFormat="1" applyFont="1" applyFill="1" applyAlignment="1">
      <alignment horizontal="right"/>
    </xf>
    <xf numFmtId="39" fontId="83" fillId="0" borderId="0" xfId="0" applyNumberFormat="1" applyFont="1" applyFill="1" applyBorder="1" applyAlignment="1">
      <alignment horizontal="left"/>
    </xf>
    <xf numFmtId="3" fontId="90" fillId="0" borderId="0" xfId="0" applyNumberFormat="1" applyFont="1" applyFill="1" applyAlignment="1">
      <alignment horizontal="left"/>
    </xf>
    <xf numFmtId="0" fontId="14" fillId="0" borderId="0" xfId="69" applyFont="1" applyFill="1" applyBorder="1" applyAlignment="1">
      <alignment horizontal="left"/>
    </xf>
    <xf numFmtId="0" fontId="15" fillId="0" borderId="0" xfId="69" applyFont="1" applyFill="1" applyBorder="1" applyAlignment="1">
      <alignment horizontal="left"/>
    </xf>
    <xf numFmtId="0" fontId="14" fillId="0" borderId="0" xfId="69" applyFont="1" applyFill="1" applyBorder="1" applyAlignment="1">
      <alignment horizontal="left" indent="2"/>
    </xf>
    <xf numFmtId="0" fontId="14" fillId="0" borderId="0" xfId="69" applyFont="1" applyFill="1" applyBorder="1" applyAlignment="1">
      <alignment horizontal="left" indent="1"/>
    </xf>
    <xf numFmtId="0" fontId="43" fillId="0" borderId="0" xfId="69" applyFont="1" applyFill="1" applyBorder="1" applyAlignment="1">
      <alignment horizontal="left"/>
    </xf>
    <xf numFmtId="0" fontId="37" fillId="0" borderId="0" xfId="69" applyFont="1" applyFill="1" applyBorder="1" applyAlignment="1">
      <alignment horizontal="left"/>
    </xf>
    <xf numFmtId="0" fontId="36" fillId="0" borderId="0" xfId="69" applyFont="1" applyFill="1" applyBorder="1" applyAlignment="1">
      <alignment horizontal="left"/>
    </xf>
    <xf numFmtId="186" fontId="41" fillId="0" borderId="0" xfId="78" applyNumberFormat="1" applyFont="1" applyFill="1" applyAlignment="1">
      <alignment horizontal="right"/>
    </xf>
    <xf numFmtId="170" fontId="38" fillId="0" borderId="0" xfId="78" applyNumberFormat="1" applyFont="1" applyFill="1" applyBorder="1" applyAlignment="1">
      <alignment horizontal="right"/>
    </xf>
    <xf numFmtId="170" fontId="89" fillId="0" borderId="0" xfId="78" applyNumberFormat="1" applyFont="1" applyFill="1" applyBorder="1"/>
    <xf numFmtId="170" fontId="41" fillId="0" borderId="0" xfId="0" applyNumberFormat="1" applyFont="1" applyFill="1" applyAlignment="1">
      <alignment horizontal="right"/>
    </xf>
    <xf numFmtId="170" fontId="15" fillId="0" borderId="0" xfId="78" applyNumberFormat="1" applyFont="1" applyFill="1" applyBorder="1" applyAlignment="1">
      <alignment horizontal="right"/>
    </xf>
    <xf numFmtId="170" fontId="64" fillId="0" borderId="0" xfId="78" applyNumberFormat="1" applyFont="1" applyFill="1" applyAlignment="1">
      <alignment horizontal="right"/>
    </xf>
    <xf numFmtId="170" fontId="14" fillId="0" borderId="0" xfId="78" applyNumberFormat="1" applyFont="1" applyFill="1" applyBorder="1" applyAlignment="1">
      <alignment horizontal="right"/>
    </xf>
    <xf numFmtId="186" fontId="16" fillId="0" borderId="0" xfId="78" applyNumberFormat="1" applyFont="1" applyFill="1" applyAlignment="1">
      <alignment horizontal="right"/>
    </xf>
    <xf numFmtId="37" fontId="38" fillId="24" borderId="0" xfId="2" applyNumberFormat="1" applyFont="1" applyFill="1" applyBorder="1">
      <alignment horizontal="right"/>
    </xf>
    <xf numFmtId="182" fontId="38" fillId="24" borderId="0" xfId="2" applyNumberFormat="1" applyFont="1" applyFill="1" applyBorder="1">
      <alignment horizontal="right"/>
    </xf>
    <xf numFmtId="167" fontId="15" fillId="24" borderId="0" xfId="0" applyNumberFormat="1" applyFont="1" applyFill="1" applyBorder="1"/>
    <xf numFmtId="167" fontId="14" fillId="24" borderId="0" xfId="0" applyNumberFormat="1" applyFont="1" applyFill="1" applyBorder="1"/>
    <xf numFmtId="39" fontId="83" fillId="24" borderId="0" xfId="0" applyNumberFormat="1" applyFont="1" applyFill="1" applyAlignment="1">
      <alignment horizontal="right"/>
    </xf>
    <xf numFmtId="3" fontId="88" fillId="24" borderId="0" xfId="0" applyNumberFormat="1" applyFont="1" applyFill="1" applyAlignment="1">
      <alignment horizontal="right"/>
    </xf>
    <xf numFmtId="0" fontId="14" fillId="24" borderId="0" xfId="0" applyFont="1" applyFill="1" applyAlignment="1">
      <alignment horizontal="right"/>
    </xf>
    <xf numFmtId="0" fontId="14" fillId="24" borderId="0" xfId="0" applyFont="1" applyFill="1" applyBorder="1" applyAlignment="1">
      <alignment horizontal="right"/>
    </xf>
    <xf numFmtId="2" fontId="87" fillId="24" borderId="0" xfId="0" applyNumberFormat="1" applyFont="1" applyFill="1" applyBorder="1" applyAlignment="1">
      <alignment horizontal="right"/>
    </xf>
    <xf numFmtId="167" fontId="85" fillId="24" borderId="0" xfId="0" applyNumberFormat="1" applyFont="1" applyFill="1" applyBorder="1" applyAlignment="1">
      <alignment horizontal="right"/>
    </xf>
    <xf numFmtId="10" fontId="85" fillId="24" borderId="0" xfId="0" applyNumberFormat="1" applyFont="1" applyFill="1" applyBorder="1" applyAlignment="1">
      <alignment horizontal="right"/>
    </xf>
    <xf numFmtId="39" fontId="38" fillId="24" borderId="0" xfId="0" applyNumberFormat="1" applyFont="1" applyFill="1" applyBorder="1" applyAlignment="1">
      <alignment horizontal="right"/>
    </xf>
    <xf numFmtId="167" fontId="15" fillId="24" borderId="12" xfId="0" applyNumberFormat="1" applyFont="1" applyFill="1" applyBorder="1" applyAlignment="1">
      <alignment horizontal="right"/>
    </xf>
    <xf numFmtId="37" fontId="15" fillId="24" borderId="0" xfId="0" applyNumberFormat="1" applyFont="1" applyFill="1" applyBorder="1"/>
    <xf numFmtId="0" fontId="16" fillId="24" borderId="0" xfId="0" applyFont="1" applyFill="1" applyBorder="1"/>
    <xf numFmtId="185" fontId="43" fillId="24" borderId="0" xfId="47" applyNumberFormat="1" applyFont="1" applyFill="1" applyBorder="1" applyAlignment="1">
      <alignment horizontal="right"/>
    </xf>
    <xf numFmtId="3" fontId="44" fillId="24" borderId="0" xfId="0" applyNumberFormat="1" applyFont="1" applyFill="1" applyAlignment="1">
      <alignment horizontal="right"/>
    </xf>
    <xf numFmtId="3" fontId="42" fillId="24" borderId="0" xfId="0" applyNumberFormat="1" applyFont="1" applyFill="1" applyBorder="1"/>
    <xf numFmtId="37" fontId="45" fillId="24" borderId="0" xfId="0" applyNumberFormat="1" applyFont="1" applyFill="1" applyBorder="1"/>
    <xf numFmtId="167" fontId="38" fillId="24" borderId="0" xfId="2" applyNumberFormat="1" applyFont="1" applyFill="1" applyBorder="1" applyAlignment="1">
      <alignment horizontal="right"/>
    </xf>
    <xf numFmtId="37" fontId="14" fillId="24" borderId="0" xfId="0" applyNumberFormat="1" applyFont="1" applyFill="1" applyBorder="1" applyAlignment="1">
      <alignment horizontal="right"/>
    </xf>
    <xf numFmtId="37" fontId="14" fillId="24" borderId="0" xfId="2" applyNumberFormat="1" applyFont="1" applyFill="1" applyBorder="1" applyAlignment="1">
      <alignment horizontal="right"/>
    </xf>
    <xf numFmtId="37" fontId="38" fillId="24" borderId="0" xfId="2" applyNumberFormat="1" applyFont="1" applyFill="1" applyBorder="1" applyAlignment="1">
      <alignment horizontal="right"/>
    </xf>
    <xf numFmtId="165" fontId="38" fillId="24" borderId="0" xfId="0" applyNumberFormat="1" applyFont="1" applyFill="1" applyBorder="1" applyAlignment="1">
      <alignment horizontal="right"/>
    </xf>
    <xf numFmtId="1" fontId="44" fillId="24" borderId="0" xfId="0" applyNumberFormat="1" applyFont="1" applyFill="1" applyAlignment="1">
      <alignment horizontal="right"/>
    </xf>
    <xf numFmtId="167" fontId="45" fillId="24" borderId="0" xfId="2" applyNumberFormat="1" applyFont="1" applyFill="1" applyBorder="1">
      <alignment horizontal="right"/>
    </xf>
    <xf numFmtId="165" fontId="14" fillId="24" borderId="0" xfId="0" applyNumberFormat="1" applyFont="1" applyFill="1" applyBorder="1"/>
    <xf numFmtId="167" fontId="38" fillId="24" borderId="0" xfId="2" applyNumberFormat="1" applyFont="1" applyFill="1" applyBorder="1">
      <alignment horizontal="right"/>
    </xf>
    <xf numFmtId="37" fontId="36" fillId="24" borderId="0" xfId="0" applyNumberFormat="1" applyFont="1" applyFill="1" applyBorder="1"/>
    <xf numFmtId="168" fontId="38" fillId="24" borderId="0" xfId="2" applyNumberFormat="1" applyFont="1" applyFill="1" applyBorder="1">
      <alignment horizontal="right"/>
    </xf>
    <xf numFmtId="165" fontId="36" fillId="24" borderId="0" xfId="0" applyNumberFormat="1" applyFont="1" applyFill="1" applyBorder="1"/>
    <xf numFmtId="37" fontId="14" fillId="24" borderId="0" xfId="0" applyNumberFormat="1" applyFont="1" applyFill="1" applyBorder="1"/>
    <xf numFmtId="165" fontId="38" fillId="24" borderId="0" xfId="0" applyNumberFormat="1" applyFont="1" applyFill="1" applyBorder="1"/>
    <xf numFmtId="177" fontId="14" fillId="24" borderId="0" xfId="0" applyNumberFormat="1" applyFont="1" applyFill="1" applyBorder="1" applyAlignment="1">
      <alignment horizontal="right"/>
    </xf>
    <xf numFmtId="168" fontId="14" fillId="24" borderId="0" xfId="0" applyNumberFormat="1" applyFont="1" applyFill="1" applyBorder="1"/>
    <xf numFmtId="167" fontId="71" fillId="24" borderId="0" xfId="0" applyNumberFormat="1" applyFont="1" applyFill="1" applyBorder="1"/>
    <xf numFmtId="3" fontId="47" fillId="24" borderId="0" xfId="0" applyNumberFormat="1" applyFont="1" applyFill="1" applyAlignment="1">
      <alignment horizontal="right"/>
    </xf>
    <xf numFmtId="165" fontId="38" fillId="24" borderId="0" xfId="2" applyNumberFormat="1" applyFont="1" applyFill="1" applyBorder="1">
      <alignment horizontal="right"/>
    </xf>
    <xf numFmtId="177" fontId="14" fillId="24" borderId="0" xfId="0" applyNumberFormat="1" applyFont="1" applyFill="1" applyBorder="1"/>
    <xf numFmtId="165" fontId="38" fillId="24" borderId="0" xfId="2" applyNumberFormat="1" applyFont="1" applyFill="1" applyBorder="1" applyAlignment="1">
      <alignment horizontal="right"/>
    </xf>
    <xf numFmtId="39" fontId="38" fillId="24" borderId="0" xfId="2" applyNumberFormat="1" applyFont="1" applyFill="1" applyBorder="1" applyAlignment="1">
      <alignment horizontal="right"/>
    </xf>
    <xf numFmtId="37" fontId="45" fillId="24" borderId="0" xfId="2" applyNumberFormat="1" applyFont="1" applyFill="1" applyBorder="1" applyAlignment="1">
      <alignment horizontal="right"/>
    </xf>
    <xf numFmtId="165" fontId="36" fillId="24" borderId="0" xfId="0" applyNumberFormat="1" applyFont="1" applyFill="1"/>
    <xf numFmtId="37" fontId="15" fillId="24" borderId="0" xfId="0" applyNumberFormat="1" applyFont="1" applyFill="1"/>
    <xf numFmtId="3" fontId="42" fillId="24" borderId="0" xfId="0" applyNumberFormat="1" applyFont="1" applyFill="1"/>
    <xf numFmtId="174" fontId="38" fillId="24" borderId="0" xfId="47" applyNumberFormat="1" applyFont="1" applyFill="1" applyBorder="1"/>
    <xf numFmtId="175" fontId="38" fillId="24" borderId="0" xfId="2" applyNumberFormat="1" applyFont="1" applyFill="1" applyBorder="1" applyAlignment="1">
      <alignment horizontal="right"/>
    </xf>
    <xf numFmtId="43" fontId="38" fillId="24" borderId="0" xfId="47" applyFont="1" applyFill="1" applyBorder="1"/>
    <xf numFmtId="175" fontId="36" fillId="24" borderId="0" xfId="0" applyNumberFormat="1" applyFont="1" applyFill="1" applyBorder="1" applyAlignment="1">
      <alignment horizontal="right"/>
    </xf>
    <xf numFmtId="175" fontId="38" fillId="24" borderId="0" xfId="0" applyNumberFormat="1" applyFont="1" applyFill="1" applyBorder="1" applyAlignment="1">
      <alignment horizontal="right"/>
    </xf>
    <xf numFmtId="37" fontId="46" fillId="24" borderId="0" xfId="0" applyNumberFormat="1" applyFont="1" applyFill="1" applyBorder="1" applyAlignment="1">
      <alignment horizontal="right"/>
    </xf>
    <xf numFmtId="167" fontId="14" fillId="24" borderId="0" xfId="2" applyNumberFormat="1" applyFont="1" applyFill="1" applyBorder="1" applyAlignment="1">
      <alignment horizontal="right"/>
    </xf>
    <xf numFmtId="37" fontId="41" fillId="24" borderId="0" xfId="0" applyNumberFormat="1" applyFont="1" applyFill="1" applyAlignment="1">
      <alignment horizontal="right"/>
    </xf>
    <xf numFmtId="182" fontId="38" fillId="24" borderId="0" xfId="0" applyNumberFormat="1" applyFont="1" applyFill="1" applyBorder="1" applyAlignment="1">
      <alignment horizontal="right"/>
    </xf>
    <xf numFmtId="182" fontId="14" fillId="24" borderId="0" xfId="0" applyNumberFormat="1" applyFont="1" applyFill="1" applyBorder="1" applyAlignment="1">
      <alignment horizontal="right"/>
    </xf>
    <xf numFmtId="183" fontId="38" fillId="24" borderId="0" xfId="0" applyNumberFormat="1" applyFont="1" applyFill="1" applyBorder="1" applyAlignment="1">
      <alignment horizontal="right"/>
    </xf>
    <xf numFmtId="39" fontId="14" fillId="24" borderId="0" xfId="0" applyNumberFormat="1" applyFont="1" applyFill="1" applyBorder="1" applyAlignment="1">
      <alignment horizontal="right"/>
    </xf>
    <xf numFmtId="168" fontId="36" fillId="24" borderId="0" xfId="0" applyNumberFormat="1" applyFont="1" applyFill="1" applyBorder="1" applyAlignment="1">
      <alignment horizontal="right"/>
    </xf>
    <xf numFmtId="39" fontId="38" fillId="24" borderId="0" xfId="0" applyNumberFormat="1" applyFont="1" applyFill="1" applyAlignment="1">
      <alignment horizontal="right"/>
    </xf>
    <xf numFmtId="37" fontId="38" fillId="24" borderId="0" xfId="0" applyNumberFormat="1" applyFont="1" applyFill="1" applyAlignment="1">
      <alignment horizontal="right"/>
    </xf>
    <xf numFmtId="179" fontId="43" fillId="24" borderId="0" xfId="47" applyNumberFormat="1" applyFont="1" applyFill="1" applyBorder="1" applyAlignment="1">
      <alignment horizontal="right"/>
    </xf>
    <xf numFmtId="41" fontId="14" fillId="24" borderId="0" xfId="0" applyNumberFormat="1" applyFont="1" applyFill="1"/>
    <xf numFmtId="174" fontId="14" fillId="24" borderId="0" xfId="0" applyNumberFormat="1" applyFont="1" applyFill="1" applyBorder="1"/>
    <xf numFmtId="41" fontId="36" fillId="24" borderId="0" xfId="0" applyNumberFormat="1" applyFont="1" applyFill="1"/>
    <xf numFmtId="37" fontId="14" fillId="24" borderId="0" xfId="0" applyNumberFormat="1" applyFont="1" applyFill="1" applyAlignment="1">
      <alignment horizontal="right"/>
    </xf>
    <xf numFmtId="37" fontId="15" fillId="24" borderId="0" xfId="0" applyNumberFormat="1" applyFont="1" applyFill="1" applyAlignment="1">
      <alignment horizontal="right"/>
    </xf>
    <xf numFmtId="184" fontId="38" fillId="24" borderId="0" xfId="0" applyNumberFormat="1" applyFont="1" applyFill="1" applyAlignment="1">
      <alignment horizontal="right"/>
    </xf>
    <xf numFmtId="39" fontId="45" fillId="24" borderId="0" xfId="0" applyNumberFormat="1" applyFont="1" applyFill="1" applyBorder="1" applyAlignment="1">
      <alignment horizontal="right"/>
    </xf>
    <xf numFmtId="39" fontId="45" fillId="24" borderId="0" xfId="0" applyNumberFormat="1" applyFont="1" applyFill="1" applyAlignment="1">
      <alignment horizontal="right"/>
    </xf>
    <xf numFmtId="37" fontId="36" fillId="24" borderId="0" xfId="0" applyNumberFormat="1" applyFont="1" applyFill="1"/>
    <xf numFmtId="37" fontId="38" fillId="24" borderId="0" xfId="0" applyNumberFormat="1" applyFont="1" applyFill="1"/>
    <xf numFmtId="179" fontId="38" fillId="24" borderId="0" xfId="47" applyNumberFormat="1" applyFont="1" applyFill="1" applyBorder="1"/>
    <xf numFmtId="179" fontId="14" fillId="24" borderId="0" xfId="47" applyNumberFormat="1" applyFont="1" applyFill="1" applyBorder="1"/>
    <xf numFmtId="1" fontId="16" fillId="24" borderId="0" xfId="0" applyNumberFormat="1" applyFont="1" applyFill="1"/>
    <xf numFmtId="178" fontId="14" fillId="24" borderId="0" xfId="0" applyNumberFormat="1" applyFont="1" applyFill="1" applyBorder="1"/>
    <xf numFmtId="0" fontId="16" fillId="24" borderId="0" xfId="0" applyFont="1" applyFill="1"/>
    <xf numFmtId="179" fontId="14" fillId="24" borderId="0" xfId="47" applyNumberFormat="1" applyFont="1" applyFill="1"/>
    <xf numFmtId="179" fontId="16" fillId="24" borderId="0" xfId="47" applyNumberFormat="1" applyFont="1" applyFill="1"/>
    <xf numFmtId="185" fontId="14" fillId="24" borderId="0" xfId="47" applyNumberFormat="1" applyFont="1" applyFill="1" applyAlignment="1">
      <alignment horizontal="right"/>
    </xf>
    <xf numFmtId="185" fontId="16" fillId="24" borderId="0" xfId="47" applyNumberFormat="1" applyFont="1" applyFill="1" applyAlignment="1">
      <alignment horizontal="right"/>
    </xf>
    <xf numFmtId="3" fontId="16" fillId="24" borderId="0" xfId="0" applyNumberFormat="1" applyFont="1" applyFill="1"/>
    <xf numFmtId="37" fontId="16" fillId="24" borderId="0" xfId="0" applyNumberFormat="1" applyFont="1" applyFill="1" applyAlignment="1">
      <alignment horizontal="right"/>
    </xf>
    <xf numFmtId="1" fontId="14" fillId="24" borderId="0" xfId="0" applyNumberFormat="1" applyFont="1" applyFill="1" applyBorder="1" applyAlignment="1">
      <alignment horizontal="right"/>
    </xf>
    <xf numFmtId="43" fontId="16" fillId="24" borderId="0" xfId="47" applyFont="1" applyFill="1" applyAlignment="1">
      <alignment horizontal="right"/>
    </xf>
    <xf numFmtId="1" fontId="14" fillId="24" borderId="0" xfId="0" applyNumberFormat="1" applyFont="1" applyFill="1" applyAlignment="1">
      <alignment horizontal="right"/>
    </xf>
    <xf numFmtId="170" fontId="14" fillId="24" borderId="0" xfId="0" applyNumberFormat="1" applyFont="1" applyFill="1" applyAlignment="1">
      <alignment horizontal="right"/>
    </xf>
    <xf numFmtId="170" fontId="16" fillId="24" borderId="0" xfId="0" applyNumberFormat="1" applyFont="1" applyFill="1" applyAlignment="1">
      <alignment horizontal="right"/>
    </xf>
    <xf numFmtId="179" fontId="14" fillId="24" borderId="0" xfId="2" applyNumberFormat="1" applyFont="1" applyFill="1" applyBorder="1" applyAlignment="1">
      <alignment horizontal="right"/>
    </xf>
    <xf numFmtId="0" fontId="15" fillId="25" borderId="0" xfId="69" applyFont="1" applyFill="1" applyBorder="1" applyAlignment="1">
      <alignment horizontal="left"/>
    </xf>
    <xf numFmtId="166" fontId="36" fillId="25" borderId="0" xfId="0" applyNumberFormat="1" applyFont="1" applyFill="1" applyBorder="1"/>
    <xf numFmtId="165" fontId="36" fillId="25" borderId="0" xfId="0" applyNumberFormat="1" applyFont="1" applyFill="1" applyBorder="1"/>
    <xf numFmtId="165" fontId="38" fillId="25" borderId="0" xfId="0" applyNumberFormat="1" applyFont="1" applyFill="1" applyBorder="1" applyAlignment="1">
      <alignment horizontal="left"/>
    </xf>
    <xf numFmtId="165" fontId="38" fillId="25" borderId="0" xfId="47" applyNumberFormat="1" applyFont="1" applyFill="1" applyBorder="1" applyAlignment="1">
      <alignment horizontal="right"/>
    </xf>
    <xf numFmtId="165" fontId="41" fillId="25" borderId="0" xfId="0" applyNumberFormat="1" applyFont="1" applyFill="1" applyAlignment="1">
      <alignment horizontal="right"/>
    </xf>
    <xf numFmtId="165" fontId="14" fillId="25" borderId="0" xfId="0" applyNumberFormat="1" applyFont="1" applyFill="1" applyBorder="1"/>
    <xf numFmtId="1" fontId="41" fillId="25" borderId="0" xfId="0" applyNumberFormat="1" applyFont="1" applyFill="1" applyAlignment="1">
      <alignment horizontal="right"/>
    </xf>
    <xf numFmtId="165" fontId="14" fillId="25" borderId="13" xfId="0" applyNumberFormat="1" applyFont="1" applyFill="1" applyBorder="1"/>
    <xf numFmtId="0" fontId="14" fillId="25" borderId="0" xfId="0" applyFont="1" applyFill="1"/>
    <xf numFmtId="170" fontId="15" fillId="25" borderId="0" xfId="78" applyNumberFormat="1" applyFont="1" applyFill="1" applyBorder="1" applyAlignment="1">
      <alignment horizontal="right"/>
    </xf>
    <xf numFmtId="175" fontId="38" fillId="24" borderId="0" xfId="0" applyNumberFormat="1" applyFont="1" applyFill="1" applyBorder="1"/>
    <xf numFmtId="175" fontId="38" fillId="24" borderId="0" xfId="2" applyNumberFormat="1" applyFont="1" applyFill="1" applyBorder="1">
      <alignment horizontal="right"/>
    </xf>
    <xf numFmtId="179" fontId="14" fillId="25" borderId="0" xfId="47" applyNumberFormat="1" applyFont="1" applyFill="1"/>
    <xf numFmtId="179" fontId="16" fillId="25" borderId="0" xfId="47" applyNumberFormat="1" applyFont="1" applyFill="1"/>
    <xf numFmtId="179" fontId="14" fillId="25" borderId="0" xfId="47" applyNumberFormat="1" applyFont="1" applyFill="1" applyBorder="1" applyAlignment="1">
      <alignment horizontal="left"/>
    </xf>
    <xf numFmtId="179" fontId="14" fillId="25" borderId="13" xfId="47" applyNumberFormat="1" applyFont="1" applyFill="1" applyBorder="1"/>
    <xf numFmtId="3" fontId="41" fillId="0" borderId="0" xfId="102" applyNumberFormat="1" applyFont="1" applyFill="1" applyAlignment="1">
      <alignment horizontal="right"/>
    </xf>
    <xf numFmtId="3" fontId="41" fillId="0" borderId="0" xfId="102" applyNumberFormat="1" applyFont="1" applyFill="1" applyAlignment="1">
      <alignment horizontal="right"/>
    </xf>
    <xf numFmtId="37" fontId="41" fillId="0" borderId="0" xfId="102" applyNumberFormat="1" applyFont="1" applyFill="1" applyAlignment="1">
      <alignment horizontal="right"/>
    </xf>
    <xf numFmtId="3" fontId="41" fillId="0" borderId="0" xfId="102" applyNumberFormat="1" applyFont="1" applyFill="1" applyAlignment="1">
      <alignment horizontal="right"/>
    </xf>
    <xf numFmtId="167" fontId="15" fillId="0" borderId="0" xfId="102" applyNumberFormat="1" applyFont="1" applyFill="1" applyBorder="1"/>
    <xf numFmtId="185" fontId="38" fillId="0" borderId="0" xfId="47" applyNumberFormat="1" applyFont="1" applyFill="1" applyBorder="1" applyAlignment="1">
      <alignment horizontal="right"/>
    </xf>
    <xf numFmtId="185" fontId="89" fillId="0" borderId="0" xfId="47" applyNumberFormat="1" applyFont="1" applyFill="1" applyBorder="1"/>
    <xf numFmtId="185" fontId="36" fillId="0" borderId="0" xfId="47" applyNumberFormat="1" applyFont="1" applyFill="1" applyBorder="1"/>
    <xf numFmtId="170" fontId="48" fillId="0" borderId="0" xfId="78" applyNumberFormat="1" applyFont="1" applyFill="1" applyBorder="1" applyAlignment="1">
      <alignment horizontal="right"/>
    </xf>
    <xf numFmtId="175" fontId="38" fillId="24" borderId="13" xfId="0" applyNumberFormat="1" applyFont="1" applyFill="1" applyBorder="1"/>
    <xf numFmtId="186" fontId="38" fillId="0" borderId="0" xfId="78" applyNumberFormat="1" applyFont="1" applyFill="1" applyBorder="1" applyAlignment="1">
      <alignment horizontal="right"/>
    </xf>
    <xf numFmtId="187" fontId="14" fillId="0" borderId="0" xfId="0" applyNumberFormat="1" applyFont="1" applyFill="1" applyAlignment="1">
      <alignment horizontal="right"/>
    </xf>
    <xf numFmtId="0" fontId="14" fillId="0" borderId="0" xfId="0" applyFont="1" applyFill="1" applyAlignment="1"/>
    <xf numFmtId="167" fontId="15" fillId="0" borderId="0" xfId="0" applyNumberFormat="1" applyFont="1" applyFill="1"/>
    <xf numFmtId="3" fontId="64" fillId="0" borderId="0" xfId="0" applyNumberFormat="1" applyFont="1" applyFill="1"/>
    <xf numFmtId="3" fontId="64" fillId="24" borderId="0" xfId="0" applyNumberFormat="1" applyFont="1" applyFill="1" applyAlignment="1">
      <alignment horizontal="right"/>
    </xf>
    <xf numFmtId="37" fontId="15" fillId="24" borderId="0" xfId="0" applyNumberFormat="1" applyFont="1" applyFill="1" applyBorder="1" applyAlignment="1">
      <alignment horizontal="right"/>
    </xf>
    <xf numFmtId="3" fontId="64" fillId="24" borderId="0" xfId="0" applyNumberFormat="1" applyFont="1" applyFill="1"/>
    <xf numFmtId="167" fontId="15" fillId="0" borderId="0" xfId="0" applyNumberFormat="1" applyFont="1" applyFill="1" applyAlignment="1">
      <alignment horizontal="right"/>
    </xf>
    <xf numFmtId="167" fontId="15" fillId="21" borderId="0" xfId="0" applyNumberFormat="1" applyFont="1" applyFill="1" applyBorder="1" applyAlignment="1">
      <alignment horizontal="left"/>
    </xf>
    <xf numFmtId="167" fontId="15" fillId="0" borderId="0" xfId="0" applyNumberFormat="1" applyFont="1" applyFill="1" applyBorder="1" applyAlignment="1">
      <alignment horizontal="left"/>
    </xf>
    <xf numFmtId="1" fontId="64" fillId="0" borderId="0" xfId="0" applyNumberFormat="1" applyFont="1" applyFill="1"/>
    <xf numFmtId="3" fontId="64" fillId="0" borderId="0" xfId="0" applyNumberFormat="1" applyFont="1" applyFill="1" applyAlignment="1">
      <alignment horizontal="right"/>
    </xf>
    <xf numFmtId="167" fontId="14" fillId="0" borderId="0" xfId="102" applyNumberFormat="1" applyFont="1" applyFill="1" applyBorder="1"/>
    <xf numFmtId="37" fontId="14" fillId="0" borderId="0" xfId="102" applyNumberFormat="1" applyFont="1" applyFill="1" applyBorder="1" applyAlignment="1">
      <alignment horizontal="right"/>
    </xf>
    <xf numFmtId="0" fontId="14" fillId="24" borderId="0" xfId="0" applyFont="1" applyFill="1" applyBorder="1" applyAlignment="1">
      <alignment horizontal="left"/>
    </xf>
    <xf numFmtId="0" fontId="76" fillId="0" borderId="0" xfId="0" applyFont="1" applyFill="1"/>
    <xf numFmtId="0" fontId="76" fillId="0" borderId="0" xfId="0" applyNumberFormat="1" applyFont="1" applyFill="1"/>
    <xf numFmtId="167" fontId="76" fillId="0" borderId="0" xfId="0" applyNumberFormat="1" applyFont="1" applyFill="1" applyBorder="1"/>
    <xf numFmtId="3" fontId="96" fillId="0" borderId="0" xfId="0" applyNumberFormat="1" applyFont="1" applyFill="1" applyBorder="1"/>
    <xf numFmtId="167" fontId="76" fillId="0" borderId="13" xfId="0" applyNumberFormat="1" applyFont="1" applyFill="1" applyBorder="1"/>
    <xf numFmtId="167" fontId="97" fillId="0" borderId="0" xfId="0" applyNumberFormat="1" applyFont="1" applyFill="1" applyBorder="1"/>
    <xf numFmtId="167" fontId="76" fillId="24" borderId="0" xfId="0" applyNumberFormat="1" applyFont="1" applyFill="1" applyBorder="1"/>
    <xf numFmtId="3" fontId="96" fillId="24" borderId="0" xfId="0" applyNumberFormat="1" applyFont="1" applyFill="1" applyBorder="1"/>
    <xf numFmtId="167" fontId="76" fillId="21" borderId="0" xfId="0" applyNumberFormat="1" applyFont="1" applyFill="1" applyBorder="1" applyAlignment="1">
      <alignment horizontal="left"/>
    </xf>
    <xf numFmtId="167" fontId="76" fillId="0" borderId="0" xfId="0" applyNumberFormat="1" applyFont="1" applyFill="1" applyBorder="1" applyAlignment="1">
      <alignment horizontal="left"/>
    </xf>
    <xf numFmtId="167" fontId="76" fillId="0" borderId="0" xfId="0" applyNumberFormat="1" applyFont="1" applyFill="1" applyBorder="1" applyAlignment="1">
      <alignment horizontal="right"/>
    </xf>
    <xf numFmtId="167" fontId="76" fillId="0" borderId="0" xfId="2" applyNumberFormat="1" applyFont="1" applyFill="1" applyBorder="1" applyAlignment="1">
      <alignment horizontal="right"/>
    </xf>
    <xf numFmtId="167" fontId="97" fillId="0" borderId="13" xfId="0" applyNumberFormat="1" applyFont="1" applyFill="1" applyBorder="1"/>
    <xf numFmtId="9" fontId="38" fillId="0" borderId="0" xfId="0" applyNumberFormat="1" applyFont="1" applyFill="1" applyAlignment="1">
      <alignment horizontal="right"/>
    </xf>
    <xf numFmtId="6" fontId="38" fillId="0" borderId="0" xfId="78" applyNumberFormat="1" applyFont="1" applyAlignment="1">
      <alignment horizontal="left"/>
    </xf>
    <xf numFmtId="179" fontId="16" fillId="0" borderId="0" xfId="47" applyNumberFormat="1" applyFont="1" applyFill="1" applyBorder="1"/>
    <xf numFmtId="166" fontId="38" fillId="0" borderId="0" xfId="2" applyNumberFormat="1" applyFont="1" applyFill="1" applyBorder="1">
      <alignment horizontal="right"/>
    </xf>
    <xf numFmtId="186" fontId="36" fillId="0" borderId="0" xfId="78" applyNumberFormat="1" applyFont="1" applyFill="1" applyBorder="1"/>
    <xf numFmtId="41" fontId="38" fillId="24" borderId="0" xfId="0" applyNumberFormat="1" applyFont="1" applyFill="1" applyBorder="1"/>
    <xf numFmtId="167" fontId="38" fillId="24" borderId="0" xfId="0" applyNumberFormat="1" applyFont="1" applyFill="1" applyBorder="1"/>
    <xf numFmtId="167" fontId="37" fillId="24" borderId="0" xfId="0" applyNumberFormat="1" applyFont="1" applyFill="1" applyBorder="1" applyAlignment="1">
      <alignment horizontal="right"/>
    </xf>
    <xf numFmtId="37" fontId="38" fillId="24" borderId="13" xfId="0" applyNumberFormat="1" applyFont="1" applyFill="1" applyBorder="1"/>
    <xf numFmtId="174" fontId="38" fillId="24" borderId="0" xfId="0" applyNumberFormat="1" applyFont="1" applyFill="1" applyBorder="1" applyAlignment="1">
      <alignment horizontal="left"/>
    </xf>
    <xf numFmtId="174" fontId="38" fillId="24" borderId="0" xfId="0" applyNumberFormat="1" applyFont="1" applyFill="1" applyBorder="1" applyAlignment="1">
      <alignment horizontal="right"/>
    </xf>
    <xf numFmtId="174" fontId="41" fillId="24" borderId="0" xfId="0" applyNumberFormat="1" applyFont="1" applyFill="1" applyAlignment="1">
      <alignment horizontal="right"/>
    </xf>
    <xf numFmtId="174" fontId="38" fillId="24" borderId="0" xfId="0" applyNumberFormat="1" applyFont="1" applyFill="1" applyBorder="1"/>
    <xf numFmtId="41" fontId="36" fillId="24" borderId="0" xfId="0" applyNumberFormat="1" applyFont="1" applyFill="1" applyBorder="1" applyAlignment="1">
      <alignment horizontal="right"/>
    </xf>
    <xf numFmtId="37" fontId="14" fillId="24" borderId="13" xfId="0" applyNumberFormat="1" applyFont="1" applyFill="1" applyBorder="1"/>
    <xf numFmtId="37" fontId="77" fillId="24" borderId="13" xfId="0" applyNumberFormat="1" applyFont="1" applyFill="1" applyBorder="1"/>
    <xf numFmtId="0" fontId="1" fillId="0" borderId="0" xfId="102"/>
    <xf numFmtId="2" fontId="38" fillId="0" borderId="0" xfId="78" applyNumberFormat="1" applyFont="1" applyFill="1" applyBorder="1" applyAlignment="1">
      <alignment horizontal="right"/>
    </xf>
    <xf numFmtId="170" fontId="14" fillId="20" borderId="0" xfId="0" applyNumberFormat="1" applyFont="1" applyFill="1" applyBorder="1"/>
    <xf numFmtId="170" fontId="44" fillId="20" borderId="0" xfId="0" applyNumberFormat="1" applyFont="1" applyFill="1" applyAlignment="1">
      <alignment horizontal="right"/>
    </xf>
    <xf numFmtId="165" fontId="16" fillId="0" borderId="0" xfId="0" applyNumberFormat="1" applyFont="1" applyFill="1" applyAlignment="1">
      <alignment horizontal="right"/>
    </xf>
    <xf numFmtId="9" fontId="14" fillId="0" borderId="0" xfId="78" applyFont="1" applyFill="1" applyBorder="1" applyAlignment="1">
      <alignment horizontal="right"/>
    </xf>
    <xf numFmtId="188" fontId="14" fillId="24" borderId="12" xfId="0" applyNumberFormat="1" applyFont="1" applyFill="1" applyBorder="1" applyAlignment="1">
      <alignment horizontal="right"/>
    </xf>
    <xf numFmtId="43" fontId="38" fillId="24" borderId="0" xfId="47" applyFont="1" applyFill="1" applyAlignment="1">
      <alignment horizontal="right"/>
    </xf>
    <xf numFmtId="0" fontId="1" fillId="26" borderId="0" xfId="104" applyFont="1" applyFill="1" applyAlignment="1">
      <alignment vertical="top"/>
    </xf>
    <xf numFmtId="0" fontId="1" fillId="26" borderId="0" xfId="102" applyFill="1" applyAlignment="1">
      <alignment vertical="top"/>
    </xf>
    <xf numFmtId="0" fontId="1" fillId="26" borderId="0" xfId="102" applyFill="1"/>
    <xf numFmtId="0" fontId="8" fillId="26" borderId="0" xfId="104" applyFont="1" applyFill="1" applyAlignment="1">
      <alignment horizontal="left" vertical="top"/>
    </xf>
    <xf numFmtId="0" fontId="1" fillId="26" borderId="0" xfId="102" applyFont="1" applyFill="1" applyAlignment="1">
      <alignment vertical="top"/>
    </xf>
    <xf numFmtId="0" fontId="99" fillId="26" borderId="0" xfId="104" applyFont="1" applyFill="1" applyAlignment="1">
      <alignment vertical="top"/>
    </xf>
    <xf numFmtId="0" fontId="0" fillId="26" borderId="0" xfId="0" applyFill="1" applyAlignment="1">
      <alignment vertical="top"/>
    </xf>
    <xf numFmtId="0" fontId="100" fillId="26" borderId="0" xfId="0" applyFont="1" applyFill="1" applyAlignment="1">
      <alignment vertical="top"/>
    </xf>
    <xf numFmtId="0" fontId="101" fillId="26" borderId="0" xfId="0" applyFont="1" applyFill="1" applyAlignment="1">
      <alignment vertical="top"/>
    </xf>
    <xf numFmtId="0" fontId="100" fillId="26" borderId="26" xfId="0" applyFont="1" applyFill="1" applyBorder="1" applyAlignment="1">
      <alignment vertical="top"/>
    </xf>
    <xf numFmtId="9" fontId="100" fillId="26" borderId="26" xfId="0" applyNumberFormat="1" applyFont="1" applyFill="1" applyBorder="1" applyAlignment="1">
      <alignment vertical="top"/>
    </xf>
    <xf numFmtId="3" fontId="100" fillId="26" borderId="26" xfId="0" applyNumberFormat="1" applyFont="1" applyFill="1" applyBorder="1" applyAlignment="1">
      <alignment vertical="top"/>
    </xf>
    <xf numFmtId="2" fontId="1" fillId="0" borderId="0" xfId="102" applyNumberFormat="1" applyAlignment="1">
      <alignment horizontal="left"/>
    </xf>
    <xf numFmtId="0" fontId="1" fillId="0" borderId="0" xfId="102" applyNumberFormat="1" applyAlignment="1">
      <alignment horizontal="left"/>
    </xf>
    <xf numFmtId="1" fontId="1" fillId="0" borderId="0" xfId="102" applyNumberFormat="1" applyAlignment="1">
      <alignment horizontal="left"/>
    </xf>
    <xf numFmtId="0" fontId="1" fillId="0" borderId="0" xfId="102" applyFont="1"/>
    <xf numFmtId="189" fontId="1" fillId="0" borderId="0" xfId="102" applyNumberFormat="1" applyAlignment="1">
      <alignment horizontal="left"/>
    </xf>
    <xf numFmtId="49" fontId="1" fillId="0" borderId="0" xfId="102" applyNumberFormat="1"/>
    <xf numFmtId="0" fontId="0" fillId="26" borderId="31" xfId="0" applyFill="1" applyBorder="1" applyAlignment="1">
      <alignment vertical="top"/>
    </xf>
    <xf numFmtId="0" fontId="100" fillId="26" borderId="0" xfId="0" applyFont="1" applyFill="1" applyAlignment="1">
      <alignment vertical="top"/>
    </xf>
    <xf numFmtId="0" fontId="100" fillId="26" borderId="27" xfId="0" applyFont="1" applyFill="1" applyBorder="1" applyAlignment="1">
      <alignment vertical="top"/>
    </xf>
    <xf numFmtId="0" fontId="100" fillId="26" borderId="28" xfId="0" applyFont="1" applyFill="1" applyBorder="1" applyAlignment="1">
      <alignment vertical="top"/>
    </xf>
    <xf numFmtId="0" fontId="100" fillId="26" borderId="29" xfId="0" applyFont="1" applyFill="1" applyBorder="1" applyAlignment="1">
      <alignment vertical="top"/>
    </xf>
    <xf numFmtId="0" fontId="101" fillId="26" borderId="0" xfId="0" applyFont="1" applyFill="1" applyAlignment="1">
      <alignment vertical="top"/>
    </xf>
    <xf numFmtId="0" fontId="0" fillId="26" borderId="0" xfId="0" applyFill="1" applyAlignment="1">
      <alignment vertical="top"/>
    </xf>
    <xf numFmtId="0" fontId="0" fillId="26" borderId="30" xfId="0" applyFill="1" applyBorder="1" applyAlignment="1">
      <alignment vertical="top"/>
    </xf>
    <xf numFmtId="49" fontId="61" fillId="0" borderId="0" xfId="47" applyNumberFormat="1" applyFont="1" applyFill="1" applyBorder="1" applyAlignment="1">
      <alignment horizontal="left"/>
    </xf>
    <xf numFmtId="0" fontId="15" fillId="0" borderId="12" xfId="0" applyFont="1" applyFill="1" applyBorder="1" applyAlignment="1">
      <alignment horizontal="center"/>
    </xf>
    <xf numFmtId="0" fontId="99" fillId="26" borderId="0" xfId="104" applyFont="1" applyFill="1" applyAlignment="1">
      <alignment horizontal="left" vertical="top" wrapText="1"/>
    </xf>
  </cellXfs>
  <cellStyles count="105">
    <cellStyle name="$ 0 decimal" xfId="1"/>
    <cellStyle name="$ 1 decimal" xfId="2"/>
    <cellStyle name="$ 2 decimals" xfId="3"/>
    <cellStyle name="%" xfId="4"/>
    <cellStyle name="?? [0.00]_HELPDESK_jp1.xls Chart 1" xfId="5"/>
    <cellStyle name="_RRS1" xfId="6"/>
    <cellStyle name="_RRS3" xfId="7"/>
    <cellStyle name="_SUMMARY " xfId="8"/>
    <cellStyle name="’Ê‰Ý [0.00]_GE 3 MINIMUM" xfId="9"/>
    <cellStyle name="’Ê‰Ý_GE 3 MINIMUM" xfId="10"/>
    <cellStyle name="¥ 0 decimal" xfId="11"/>
    <cellStyle name="=C:\WINNT35\SYSTEM32\COMMAND.COM" xfId="12"/>
    <cellStyle name="•W€_GE 3 MINIMUM" xfId="13"/>
    <cellStyle name="•W_GE 3 MINIMUM" xfId="14"/>
    <cellStyle name="0_Capex &amp; Depreciation " xfId="15"/>
    <cellStyle name="0_Valuing BP " xfId="16"/>
    <cellStyle name="20% - Accent1" xfId="17" builtinId="30" customBuiltin="1"/>
    <cellStyle name="20% - Accent2" xfId="18" builtinId="34" customBuiltin="1"/>
    <cellStyle name="20% - Accent3" xfId="19" builtinId="38" customBuiltin="1"/>
    <cellStyle name="20% - Accent4" xfId="20" builtinId="42" customBuiltin="1"/>
    <cellStyle name="20% - Accent5" xfId="21" builtinId="46" customBuiltin="1"/>
    <cellStyle name="20% - Accent6" xfId="22" builtinId="50" customBuiltin="1"/>
    <cellStyle name="40% - Accent1" xfId="23" builtinId="31" customBuiltin="1"/>
    <cellStyle name="40% - Accent2" xfId="24" builtinId="35" customBuiltin="1"/>
    <cellStyle name="40% - Accent3" xfId="25" builtinId="39" customBuiltin="1"/>
    <cellStyle name="40% - Accent4" xfId="26" builtinId="43" customBuiltin="1"/>
    <cellStyle name="40% - Accent5" xfId="27" builtinId="47" customBuiltin="1"/>
    <cellStyle name="40% - Accent6" xfId="28" builtinId="51" customBuiltin="1"/>
    <cellStyle name="60% - Accent1" xfId="29" builtinId="32" customBuiltin="1"/>
    <cellStyle name="60% - Accent2" xfId="30" builtinId="36" customBuiltin="1"/>
    <cellStyle name="60% - Accent3" xfId="31" builtinId="40" customBuiltin="1"/>
    <cellStyle name="60% - Accent4" xfId="32" builtinId="44" customBuiltin="1"/>
    <cellStyle name="60% - Accent5" xfId="33" builtinId="48" customBuiltin="1"/>
    <cellStyle name="60% - Accent6" xfId="34" builtinId="52" customBuiltin="1"/>
    <cellStyle name="Accent1" xfId="35" builtinId="29" customBuiltin="1"/>
    <cellStyle name="Accent2" xfId="36" builtinId="33" customBuiltin="1"/>
    <cellStyle name="Accent3" xfId="37" builtinId="37" customBuiltin="1"/>
    <cellStyle name="Accent4" xfId="38" builtinId="41" customBuiltin="1"/>
    <cellStyle name="Accent5" xfId="39" builtinId="45" customBuiltin="1"/>
    <cellStyle name="Accent6" xfId="40" builtinId="49" customBuiltin="1"/>
    <cellStyle name="Bad" xfId="41" builtinId="27" customBuiltin="1"/>
    <cellStyle name="Blue" xfId="42"/>
    <cellStyle name="c_HardInc " xfId="43"/>
    <cellStyle name="Calculation" xfId="44" builtinId="22" customBuiltin="1"/>
    <cellStyle name="Changeable" xfId="45"/>
    <cellStyle name="Check Cell" xfId="46" builtinId="23" customBuiltin="1"/>
    <cellStyle name="Comma" xfId="47" builtinId="3"/>
    <cellStyle name="Currency 2" xfId="98"/>
    <cellStyle name="Currency 2 2" xfId="103"/>
    <cellStyle name="Currency 3" xfId="101"/>
    <cellStyle name="date" xfId="48"/>
    <cellStyle name="decimal 0" xfId="49"/>
    <cellStyle name="decimal 1" xfId="50"/>
    <cellStyle name="decimal 2" xfId="51"/>
    <cellStyle name="Explanatory Text" xfId="52" builtinId="53" customBuiltin="1"/>
    <cellStyle name="Fail" xfId="53"/>
    <cellStyle name="FiscalPeriod" xfId="54"/>
    <cellStyle name="Good" xfId="55" builtinId="26" customBuiltin="1"/>
    <cellStyle name="Heading 1" xfId="56" builtinId="16" customBuiltin="1"/>
    <cellStyle name="Heading 2" xfId="57" builtinId="17" customBuiltin="1"/>
    <cellStyle name="Heading 3" xfId="58" builtinId="18" customBuiltin="1"/>
    <cellStyle name="Heading 4" xfId="59" builtinId="19" customBuiltin="1"/>
    <cellStyle name="Hidden" xfId="60"/>
    <cellStyle name="Hyperlink" xfId="61" builtinId="8"/>
    <cellStyle name="Input" xfId="62" builtinId="20" customBuiltin="1"/>
    <cellStyle name="Linked Cell" xfId="63" builtinId="24" customBuiltin="1"/>
    <cellStyle name="MetricLabel" xfId="64"/>
    <cellStyle name="MetricLabelBlue" xfId="65"/>
    <cellStyle name="MetricValue" xfId="66"/>
    <cellStyle name="Neutral" xfId="67" builtinId="28" customBuiltin="1"/>
    <cellStyle name="Normal" xfId="0" builtinId="0"/>
    <cellStyle name="Normal 2" xfId="97"/>
    <cellStyle name="Normal 2 2" xfId="102"/>
    <cellStyle name="Normal 3" xfId="99"/>
    <cellStyle name="Normal_DisclaimerSheet Samples" xfId="104"/>
    <cellStyle name="Normal_Guidance" xfId="68"/>
    <cellStyle name="Normal_HIG" xfId="69"/>
    <cellStyle name="Normalny_Ferrum . Valuation . CA IB . 8" xfId="70"/>
    <cellStyle name="Note" xfId="71" builtinId="10" customBuiltin="1"/>
    <cellStyle name="Œ…‹æØ‚è [0.00]_GE 3 MINIMUM" xfId="72"/>
    <cellStyle name="Œ…‹æØ‚è_GE 3 MINIMUM" xfId="73"/>
    <cellStyle name="onedecimal" xfId="74"/>
    <cellStyle name="Output" xfId="75" builtinId="21" customBuiltin="1"/>
    <cellStyle name="p " xfId="76"/>
    <cellStyle name="Pass" xfId="77"/>
    <cellStyle name="Percent" xfId="78" builtinId="5"/>
    <cellStyle name="percent 1 decimal" xfId="79"/>
    <cellStyle name="percent 2 decimal" xfId="80"/>
    <cellStyle name="percent no decimal" xfId="81"/>
    <cellStyle name="RRSInstruction" xfId="82"/>
    <cellStyle name="RRSInstruction 2" xfId="100"/>
    <cellStyle name="s_HardInc " xfId="83"/>
    <cellStyle name="s_Valuation " xfId="84"/>
    <cellStyle name="ssp " xfId="85"/>
    <cellStyle name="Style 1" xfId="86"/>
    <cellStyle name="Style 2" xfId="87"/>
    <cellStyle name="Title" xfId="88" builtinId="15" customBuiltin="1"/>
    <cellStyle name="Total" xfId="89" builtinId="25" customBuiltin="1"/>
    <cellStyle name="underline" xfId="90"/>
    <cellStyle name="underline 1 decimal" xfId="91"/>
    <cellStyle name="underline 2 decimals" xfId="92"/>
    <cellStyle name="underline flush left" xfId="93"/>
    <cellStyle name="underline no decimals" xfId="94"/>
    <cellStyle name="underline_UNM new charts" xfId="95"/>
    <cellStyle name="Warning Text" xfId="96" builtinId="11" customBuiltin="1"/>
  </cellStyles>
  <dxfs count="25">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
      <font>
        <condense val="0"/>
        <extend val="0"/>
        <color auto="1"/>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CC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12607F"/>
      <rgbColor rgb="009DC9DC"/>
      <rgbColor rgb="00DDDDDD"/>
      <rgbColor rgb="004091BF"/>
      <rgbColor rgb="0097D0DD"/>
      <rgbColor rgb="00A5D981"/>
      <rgbColor rgb="00F8CD14"/>
      <rgbColor rgb="00EACC80"/>
      <rgbColor rgb="00FC7114"/>
      <rgbColor rgb="004091BF"/>
      <rgbColor rgb="00969696"/>
      <rgbColor rgb="00003366"/>
      <rgbColor rgb="0041A95C"/>
      <rgbColor rgb="00125A31"/>
      <rgbColor rgb="00125A31"/>
      <rgbColor rgb="00FFFF00"/>
      <rgbColor rgb="008E466A"/>
      <rgbColor rgb="001B4694"/>
      <rgbColor rgb="00333333"/>
    </indexedColors>
    <mruColors>
      <color rgb="FF006699"/>
      <color rgb="FFCCFFCC"/>
      <color rgb="FF7F7F7F"/>
      <color rgb="FFBFBF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theme/theme1.xml" Type="http://schemas.openxmlformats.org/officeDocument/2006/relationships/theme"/>
<Relationship Id="rId11" Target="styles.xml" Type="http://schemas.openxmlformats.org/officeDocument/2006/relationships/styles"/>
<Relationship Id="rId12" Target="sharedStrings.xml" Type="http://schemas.openxmlformats.org/officeDocument/2006/relationships/sharedStrings"/>
<Relationship Id="rId13" Target="calcChain.xml" Type="http://schemas.openxmlformats.org/officeDocument/2006/relationships/calcChain"/>
<Relationship Id="rId14" Target="../customXml/item1.xml" Type="http://schemas.openxmlformats.org/officeDocument/2006/relationships/customXml"/>
<Relationship Id="rId15" Target="../customXml/item2.xml" Type="http://schemas.openxmlformats.org/officeDocument/2006/relationships/customXml"/>
<Relationship Id="rId16"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0</xdr:col>
      <xdr:colOff>1581150</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1</xdr:col>
      <xdr:colOff>523875</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178</xdr:row>
      <xdr:rowOff>0</xdr:rowOff>
    </xdr:from>
    <xdr:to>
      <xdr:col>7</xdr:col>
      <xdr:colOff>390525</xdr:colOff>
      <xdr:row>201</xdr:row>
      <xdr:rowOff>104775</xdr:rowOff>
    </xdr:to>
    <xdr:pic>
      <xdr:nvPicPr>
        <xdr:cNvPr id="696321" name="Picture 1" descr="C:\Users\huangb\AppData\Local\Temp\MercuryPriceRatingHistoryChart\MET.N_2018_04_05_00_10_40.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696527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237</xdr:col>
      <xdr:colOff>161925</xdr:colOff>
      <xdr:row>612</xdr:row>
      <xdr:rowOff>57150</xdr:rowOff>
    </xdr:from>
    <xdr:to>
      <xdr:col>256</xdr:col>
      <xdr:colOff>238125</xdr:colOff>
      <xdr:row>617</xdr:row>
      <xdr:rowOff>0</xdr:rowOff>
    </xdr:to>
    <xdr:sp macro="" textlink="">
      <xdr:nvSpPr>
        <xdr:cNvPr id="587534" name="Text Box 5902" hidden="1"/>
        <xdr:cNvSpPr txBox="1">
          <a:spLocks noChangeArrowheads="1"/>
        </xdr:cNvSpPr>
      </xdr:nvSpPr>
      <xdr:spPr bwMode="auto">
        <a:xfrm>
          <a:off x="29794200" y="83458050"/>
          <a:ext cx="11658600" cy="752475"/>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printerSettings/printerSettings3.bin" Type="http://schemas.openxmlformats.org/officeDocument/2006/relationships/printerSettings"/>
<Relationship Id="rId2" Target="../drawings/drawing2.xml" Type="http://schemas.openxmlformats.org/officeDocument/2006/relationships/drawing"/>
<Relationship Id="rId3" Target="../drawings/vmlDrawing1.vml" Type="http://schemas.openxmlformats.org/officeDocument/2006/relationships/vmlDrawing"/>
<Relationship Id="rId4" Target="../comments1.xml" Type="http://schemas.openxmlformats.org/officeDocument/2006/relationships/comments"/>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vmlDrawing2.vml" Type="http://schemas.openxmlformats.org/officeDocument/2006/relationships/vmlDrawing"/>
<Relationship Id="rId3" Target="../comments2.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customProperty1.bin" Type="http://schemas.openxmlformats.org/officeDocument/2006/relationships/customProperty"/>
<Relationship Id="rId3" Target="../drawings/vmlDrawing3.vml" Type="http://schemas.openxmlformats.org/officeDocument/2006/relationships/vmlDrawing"/>
<Relationship Id="rId4" Target="../comments3.xml" Type="http://schemas.openxmlformats.org/officeDocument/2006/relationships/comment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
  <sheetViews>
    <sheetView workbookViewId="0"/>
  </sheetViews>
  <sheetFormatPr defaultRowHeight="12.75" x14ac:dyDescent="0.2"/>
  <sheetData>
    <row r="1" spans="1:14" x14ac:dyDescent="0.2">
      <c r="A1" t="s">
        <v>102</v>
      </c>
    </row>
    <row r="2" spans="1:14" x14ac:dyDescent="0.2">
      <c r="A2" s="1" t="s">
        <v>99</v>
      </c>
      <c r="B2" s="1" t="s">
        <v>494</v>
      </c>
      <c r="C2" s="1" t="s">
        <v>100</v>
      </c>
      <c r="D2" s="1" t="s">
        <v>494</v>
      </c>
      <c r="E2" s="1" t="s">
        <v>468</v>
      </c>
      <c r="F2" s="1" t="s">
        <v>469</v>
      </c>
      <c r="G2" s="1" t="s">
        <v>98</v>
      </c>
      <c r="H2" s="1" t="s">
        <v>494</v>
      </c>
      <c r="I2" s="1" t="s">
        <v>471</v>
      </c>
      <c r="J2" s="1" t="s">
        <v>829</v>
      </c>
      <c r="K2" s="1" t="s">
        <v>470</v>
      </c>
      <c r="L2" s="1" t="s">
        <v>576</v>
      </c>
      <c r="M2" s="1" t="s">
        <v>101</v>
      </c>
      <c r="N2" s="1" t="s">
        <v>104</v>
      </c>
    </row>
  </sheetData>
  <phoneticPr fontId="4" type="noConversion"/>
  <pageMargins left="0.75" right="0.75" top="1" bottom="1" header="0.5" footer="0.5"/>
  <pageSetup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395"/>
  <sheetViews>
    <sheetView showGridLines="0" tabSelected="1" workbookViewId="0">
      <selection activeCell="A19" sqref="A18:A19"/>
    </sheetView>
  </sheetViews>
  <sheetFormatPr defaultRowHeight="12.75" x14ac:dyDescent="0.2"/>
  <cols>
    <col min="1" max="1" width="25.7109375" style="1173" customWidth="1"/>
    <col min="2" max="5" width="9.140625" style="1173"/>
    <col min="6" max="6" width="18.7109375" style="1173" customWidth="1"/>
    <col min="7" max="256" width="9.140625" style="1173"/>
    <col min="257" max="257" width="100.7109375" style="1173" customWidth="1"/>
    <col min="258" max="512" width="9.140625" style="1173"/>
    <col min="513" max="513" width="100.7109375" style="1173" customWidth="1"/>
    <col min="514" max="768" width="9.140625" style="1173"/>
    <col min="769" max="769" width="100.7109375" style="1173" customWidth="1"/>
    <col min="770" max="1024" width="9.140625" style="1173"/>
    <col min="1025" max="1025" width="100.7109375" style="1173" customWidth="1"/>
    <col min="1026" max="1280" width="9.140625" style="1173"/>
    <col min="1281" max="1281" width="100.7109375" style="1173" customWidth="1"/>
    <col min="1282" max="1536" width="9.140625" style="1173"/>
    <col min="1537" max="1537" width="100.7109375" style="1173" customWidth="1"/>
    <col min="1538" max="1792" width="9.140625" style="1173"/>
    <col min="1793" max="1793" width="100.7109375" style="1173" customWidth="1"/>
    <col min="1794" max="2048" width="9.140625" style="1173"/>
    <col min="2049" max="2049" width="100.7109375" style="1173" customWidth="1"/>
    <col min="2050" max="2304" width="9.140625" style="1173"/>
    <col min="2305" max="2305" width="100.7109375" style="1173" customWidth="1"/>
    <col min="2306" max="2560" width="9.140625" style="1173"/>
    <col min="2561" max="2561" width="100.7109375" style="1173" customWidth="1"/>
    <col min="2562" max="2816" width="9.140625" style="1173"/>
    <col min="2817" max="2817" width="100.7109375" style="1173" customWidth="1"/>
    <col min="2818" max="3072" width="9.140625" style="1173"/>
    <col min="3073" max="3073" width="100.7109375" style="1173" customWidth="1"/>
    <col min="3074" max="3328" width="9.140625" style="1173"/>
    <col min="3329" max="3329" width="100.7109375" style="1173" customWidth="1"/>
    <col min="3330" max="3584" width="9.140625" style="1173"/>
    <col min="3585" max="3585" width="100.7109375" style="1173" customWidth="1"/>
    <col min="3586" max="3840" width="9.140625" style="1173"/>
    <col min="3841" max="3841" width="100.7109375" style="1173" customWidth="1"/>
    <col min="3842" max="4096" width="9.140625" style="1173"/>
    <col min="4097" max="4097" width="100.7109375" style="1173" customWidth="1"/>
    <col min="4098" max="4352" width="9.140625" style="1173"/>
    <col min="4353" max="4353" width="100.7109375" style="1173" customWidth="1"/>
    <col min="4354" max="4608" width="9.140625" style="1173"/>
    <col min="4609" max="4609" width="100.7109375" style="1173" customWidth="1"/>
    <col min="4610" max="4864" width="9.140625" style="1173"/>
    <col min="4865" max="4865" width="100.7109375" style="1173" customWidth="1"/>
    <col min="4866" max="5120" width="9.140625" style="1173"/>
    <col min="5121" max="5121" width="100.7109375" style="1173" customWidth="1"/>
    <col min="5122" max="5376" width="9.140625" style="1173"/>
    <col min="5377" max="5377" width="100.7109375" style="1173" customWidth="1"/>
    <col min="5378" max="5632" width="9.140625" style="1173"/>
    <col min="5633" max="5633" width="100.7109375" style="1173" customWidth="1"/>
    <col min="5634" max="5888" width="9.140625" style="1173"/>
    <col min="5889" max="5889" width="100.7109375" style="1173" customWidth="1"/>
    <col min="5890" max="6144" width="9.140625" style="1173"/>
    <col min="6145" max="6145" width="100.7109375" style="1173" customWidth="1"/>
    <col min="6146" max="6400" width="9.140625" style="1173"/>
    <col min="6401" max="6401" width="100.7109375" style="1173" customWidth="1"/>
    <col min="6402" max="6656" width="9.140625" style="1173"/>
    <col min="6657" max="6657" width="100.7109375" style="1173" customWidth="1"/>
    <col min="6658" max="6912" width="9.140625" style="1173"/>
    <col min="6913" max="6913" width="100.7109375" style="1173" customWidth="1"/>
    <col min="6914" max="7168" width="9.140625" style="1173"/>
    <col min="7169" max="7169" width="100.7109375" style="1173" customWidth="1"/>
    <col min="7170" max="7424" width="9.140625" style="1173"/>
    <col min="7425" max="7425" width="100.7109375" style="1173" customWidth="1"/>
    <col min="7426" max="7680" width="9.140625" style="1173"/>
    <col min="7681" max="7681" width="100.7109375" style="1173" customWidth="1"/>
    <col min="7682" max="7936" width="9.140625" style="1173"/>
    <col min="7937" max="7937" width="100.7109375" style="1173" customWidth="1"/>
    <col min="7938" max="8192" width="9.140625" style="1173"/>
    <col min="8193" max="8193" width="100.7109375" style="1173" customWidth="1"/>
    <col min="8194" max="8448" width="9.140625" style="1173"/>
    <col min="8449" max="8449" width="100.7109375" style="1173" customWidth="1"/>
    <col min="8450" max="8704" width="9.140625" style="1173"/>
    <col min="8705" max="8705" width="100.7109375" style="1173" customWidth="1"/>
    <col min="8706" max="8960" width="9.140625" style="1173"/>
    <col min="8961" max="8961" width="100.7109375" style="1173" customWidth="1"/>
    <col min="8962" max="9216" width="9.140625" style="1173"/>
    <col min="9217" max="9217" width="100.7109375" style="1173" customWidth="1"/>
    <col min="9218" max="9472" width="9.140625" style="1173"/>
    <col min="9473" max="9473" width="100.7109375" style="1173" customWidth="1"/>
    <col min="9474" max="9728" width="9.140625" style="1173"/>
    <col min="9729" max="9729" width="100.7109375" style="1173" customWidth="1"/>
    <col min="9730" max="9984" width="9.140625" style="1173"/>
    <col min="9985" max="9985" width="100.7109375" style="1173" customWidth="1"/>
    <col min="9986" max="10240" width="9.140625" style="1173"/>
    <col min="10241" max="10241" width="100.7109375" style="1173" customWidth="1"/>
    <col min="10242" max="10496" width="9.140625" style="1173"/>
    <col min="10497" max="10497" width="100.7109375" style="1173" customWidth="1"/>
    <col min="10498" max="10752" width="9.140625" style="1173"/>
    <col min="10753" max="10753" width="100.7109375" style="1173" customWidth="1"/>
    <col min="10754" max="11008" width="9.140625" style="1173"/>
    <col min="11009" max="11009" width="100.7109375" style="1173" customWidth="1"/>
    <col min="11010" max="11264" width="9.140625" style="1173"/>
    <col min="11265" max="11265" width="100.7109375" style="1173" customWidth="1"/>
    <col min="11266" max="11520" width="9.140625" style="1173"/>
    <col min="11521" max="11521" width="100.7109375" style="1173" customWidth="1"/>
    <col min="11522" max="11776" width="9.140625" style="1173"/>
    <col min="11777" max="11777" width="100.7109375" style="1173" customWidth="1"/>
    <col min="11778" max="12032" width="9.140625" style="1173"/>
    <col min="12033" max="12033" width="100.7109375" style="1173" customWidth="1"/>
    <col min="12034" max="12288" width="9.140625" style="1173"/>
    <col min="12289" max="12289" width="100.7109375" style="1173" customWidth="1"/>
    <col min="12290" max="12544" width="9.140625" style="1173"/>
    <col min="12545" max="12545" width="100.7109375" style="1173" customWidth="1"/>
    <col min="12546" max="12800" width="9.140625" style="1173"/>
    <col min="12801" max="12801" width="100.7109375" style="1173" customWidth="1"/>
    <col min="12802" max="13056" width="9.140625" style="1173"/>
    <col min="13057" max="13057" width="100.7109375" style="1173" customWidth="1"/>
    <col min="13058" max="13312" width="9.140625" style="1173"/>
    <col min="13313" max="13313" width="100.7109375" style="1173" customWidth="1"/>
    <col min="13314" max="13568" width="9.140625" style="1173"/>
    <col min="13569" max="13569" width="100.7109375" style="1173" customWidth="1"/>
    <col min="13570" max="13824" width="9.140625" style="1173"/>
    <col min="13825" max="13825" width="100.7109375" style="1173" customWidth="1"/>
    <col min="13826" max="14080" width="9.140625" style="1173"/>
    <col min="14081" max="14081" width="100.7109375" style="1173" customWidth="1"/>
    <col min="14082" max="14336" width="9.140625" style="1173"/>
    <col min="14337" max="14337" width="100.7109375" style="1173" customWidth="1"/>
    <col min="14338" max="14592" width="9.140625" style="1173"/>
    <col min="14593" max="14593" width="100.7109375" style="1173" customWidth="1"/>
    <col min="14594" max="14848" width="9.140625" style="1173"/>
    <col min="14849" max="14849" width="100.7109375" style="1173" customWidth="1"/>
    <col min="14850" max="15104" width="9.140625" style="1173"/>
    <col min="15105" max="15105" width="100.7109375" style="1173" customWidth="1"/>
    <col min="15106" max="15360" width="9.140625" style="1173"/>
    <col min="15361" max="15361" width="100.7109375" style="1173" customWidth="1"/>
    <col min="15362" max="15616" width="9.140625" style="1173"/>
    <col min="15617" max="15617" width="100.7109375" style="1173" customWidth="1"/>
    <col min="15618" max="15872" width="9.140625" style="1173"/>
    <col min="15873" max="15873" width="100.7109375" style="1173" customWidth="1"/>
    <col min="15874" max="16128" width="9.140625" style="1173"/>
    <col min="16129" max="16129" width="100.7109375" style="1173" customWidth="1"/>
    <col min="16130" max="16384" width="9.140625" style="1173"/>
  </cols>
  <sheetData>
    <row r="1" spans="1:8" ht="30" customHeight="1" x14ac:dyDescent="0.2">
      <c r="A1" s="1171"/>
      <c r="B1" s="1172"/>
      <c r="C1" s="1172"/>
      <c r="D1" s="1172"/>
      <c r="E1" s="1172"/>
      <c r="F1" s="1172"/>
      <c r="G1" s="1172"/>
      <c r="H1" s="1172"/>
    </row>
    <row r="2" spans="1:8" ht="14.25" x14ac:dyDescent="0.2">
      <c r="A2" s="1174" t="s">
        <v>834</v>
      </c>
      <c r="B2" s="1172"/>
      <c r="C2" s="1172"/>
      <c r="D2" s="1172"/>
      <c r="E2" s="1172"/>
      <c r="F2" s="1172"/>
      <c r="G2" s="1172"/>
      <c r="H2" s="1172"/>
    </row>
    <row r="3" spans="1:8" ht="14.25" x14ac:dyDescent="0.2">
      <c r="A3" s="1174" t="s">
        <v>835</v>
      </c>
      <c r="B3" s="1172"/>
      <c r="C3" s="1172"/>
      <c r="D3" s="1172"/>
      <c r="E3" s="1172"/>
      <c r="F3" s="1172"/>
      <c r="G3" s="1172"/>
      <c r="H3" s="1172"/>
    </row>
    <row r="4" spans="1:8" ht="14.25" x14ac:dyDescent="0.2">
      <c r="A4" s="1174" t="s">
        <v>836</v>
      </c>
      <c r="B4" s="1172"/>
      <c r="C4" s="1172"/>
      <c r="D4" s="1172"/>
      <c r="E4" s="1172"/>
      <c r="F4" s="1172"/>
      <c r="G4" s="1172"/>
      <c r="H4" s="1172"/>
    </row>
    <row r="5" spans="1:8" ht="14.25" x14ac:dyDescent="0.2">
      <c r="A5" s="1174" t="s">
        <v>837</v>
      </c>
      <c r="B5" s="1172"/>
      <c r="C5" s="1172"/>
      <c r="D5" s="1172"/>
      <c r="E5" s="1172"/>
      <c r="F5" s="1172"/>
      <c r="G5" s="1172"/>
      <c r="H5" s="1172"/>
    </row>
    <row r="6" spans="1:8" ht="14.25" x14ac:dyDescent="0.2">
      <c r="A6" s="1174"/>
      <c r="B6" s="1172"/>
      <c r="C6" s="1172"/>
      <c r="D6" s="1172"/>
      <c r="E6" s="1172"/>
      <c r="F6" s="1172"/>
      <c r="G6" s="1172"/>
      <c r="H6" s="1172"/>
    </row>
    <row r="7" spans="1:8" x14ac:dyDescent="0.2">
      <c r="A7" s="1171" t="s">
        <v>838</v>
      </c>
      <c r="B7" s="1172"/>
      <c r="C7" s="1172"/>
      <c r="D7" s="1172"/>
      <c r="E7" s="1172"/>
      <c r="F7" s="1172"/>
      <c r="G7" s="1172"/>
      <c r="H7" s="1172"/>
    </row>
    <row r="8" spans="1:8" x14ac:dyDescent="0.2">
      <c r="A8" s="1171" t="s">
        <v>839</v>
      </c>
      <c r="B8" s="1172"/>
      <c r="C8" s="1172"/>
      <c r="D8" s="1172"/>
      <c r="E8" s="1172"/>
      <c r="F8" s="1172"/>
      <c r="G8" s="1172"/>
      <c r="H8" s="1172"/>
    </row>
    <row r="9" spans="1:8" x14ac:dyDescent="0.2">
      <c r="A9" s="1171"/>
      <c r="B9" s="1172"/>
      <c r="C9" s="1172"/>
      <c r="D9" s="1172"/>
      <c r="E9" s="1172"/>
      <c r="F9" s="1172"/>
      <c r="G9" s="1172"/>
      <c r="H9" s="1172"/>
    </row>
    <row r="10" spans="1:8" x14ac:dyDescent="0.2">
      <c r="A10" s="1175" t="s">
        <v>840</v>
      </c>
      <c r="B10" s="1172"/>
      <c r="C10" s="1172"/>
      <c r="D10" s="1172"/>
      <c r="E10" s="1172"/>
      <c r="F10" s="1172"/>
      <c r="G10" s="1172"/>
      <c r="H10" s="1172"/>
    </row>
    <row r="11" spans="1:8" x14ac:dyDescent="0.2">
      <c r="A11" s="1175" t="s">
        <v>841</v>
      </c>
      <c r="B11" s="1172"/>
      <c r="C11" s="1172"/>
      <c r="D11" s="1172"/>
      <c r="E11" s="1172"/>
      <c r="F11" s="1172"/>
      <c r="G11" s="1172"/>
      <c r="H11" s="1172"/>
    </row>
    <row r="12" spans="1:8" x14ac:dyDescent="0.2">
      <c r="A12" s="1175" t="s">
        <v>842</v>
      </c>
      <c r="B12" s="1172"/>
      <c r="C12" s="1172"/>
      <c r="D12" s="1172"/>
      <c r="E12" s="1172"/>
      <c r="F12" s="1172"/>
      <c r="G12" s="1172"/>
      <c r="H12" s="1172"/>
    </row>
    <row r="13" spans="1:8" x14ac:dyDescent="0.2">
      <c r="A13" s="1175" t="s">
        <v>843</v>
      </c>
      <c r="B13" s="1172"/>
      <c r="C13" s="1172"/>
      <c r="D13" s="1172"/>
      <c r="E13" s="1172"/>
      <c r="F13" s="1172"/>
      <c r="G13" s="1172"/>
      <c r="H13" s="1172"/>
    </row>
    <row r="14" spans="1:8" x14ac:dyDescent="0.2">
      <c r="A14" s="1175" t="s">
        <v>844</v>
      </c>
      <c r="B14" s="1172"/>
      <c r="C14" s="1172"/>
      <c r="D14" s="1172"/>
      <c r="E14" s="1172"/>
      <c r="F14" s="1172"/>
      <c r="G14" s="1172"/>
      <c r="H14" s="1172"/>
    </row>
    <row r="15" spans="1:8" x14ac:dyDescent="0.2">
      <c r="A15" s="1175" t="s">
        <v>845</v>
      </c>
      <c r="B15" s="1172"/>
      <c r="C15" s="1172"/>
      <c r="D15" s="1172"/>
      <c r="E15" s="1172"/>
      <c r="F15" s="1172"/>
      <c r="G15" s="1172"/>
      <c r="H15" s="1172"/>
    </row>
    <row r="16" spans="1:8" x14ac:dyDescent="0.2">
      <c r="A16" s="1175"/>
      <c r="B16" s="1172"/>
      <c r="C16" s="1172"/>
      <c r="D16" s="1172"/>
      <c r="E16" s="1172"/>
      <c r="F16" s="1172"/>
      <c r="G16" s="1172"/>
      <c r="H16" s="1172"/>
    </row>
    <row r="17" spans="1:8" x14ac:dyDescent="0.2">
      <c r="A17" s="1175" t="s">
        <v>831</v>
      </c>
      <c r="B17" s="1172"/>
      <c r="C17" s="1172"/>
      <c r="D17" s="1172"/>
      <c r="E17" s="1172"/>
      <c r="F17" s="1172"/>
      <c r="G17" s="1172"/>
      <c r="H17" s="1172"/>
    </row>
    <row r="18" spans="1:8" x14ac:dyDescent="0.2">
      <c r="A18" s="1175"/>
      <c r="B18" s="1172"/>
      <c r="C18" s="1172"/>
      <c r="D18" s="1172"/>
      <c r="E18" s="1172"/>
      <c r="F18" s="1172"/>
      <c r="G18" s="1172"/>
      <c r="H18" s="1172"/>
    </row>
    <row r="19" spans="1:8" x14ac:dyDescent="0.2">
      <c r="A19" s="1175" t="s">
        <v>832</v>
      </c>
      <c r="B19" s="1172"/>
      <c r="C19" s="1172"/>
      <c r="D19" s="1172"/>
      <c r="E19" s="1172"/>
      <c r="F19" s="1172"/>
      <c r="G19" s="1172"/>
      <c r="H19" s="1172"/>
    </row>
    <row r="20" spans="1:8" x14ac:dyDescent="0.2">
      <c r="A20" s="1171"/>
      <c r="B20" s="1172"/>
      <c r="C20" s="1172"/>
      <c r="D20" s="1172"/>
      <c r="E20" s="1172"/>
      <c r="F20" s="1172"/>
      <c r="G20" s="1172"/>
      <c r="H20" s="1172"/>
    </row>
    <row r="21" spans="1:8" x14ac:dyDescent="0.2">
      <c r="A21" s="1176" t="s">
        <v>833</v>
      </c>
      <c r="B21" s="1172"/>
      <c r="C21" s="1172"/>
      <c r="D21" s="1172"/>
      <c r="E21" s="1172"/>
      <c r="F21" s="1172"/>
      <c r="G21" s="1172"/>
      <c r="H21" s="1172"/>
    </row>
    <row r="22" spans="1:8" x14ac:dyDescent="0.2">
      <c r="A22" s="1176"/>
      <c r="B22" s="1172"/>
      <c r="C22" s="1172"/>
      <c r="D22" s="1172"/>
      <c r="E22" s="1172"/>
      <c r="F22" s="1172"/>
      <c r="G22" s="1172"/>
      <c r="H22" s="1172"/>
    </row>
    <row r="23" spans="1:8" ht="52.5" customHeight="1" x14ac:dyDescent="0.2">
      <c r="A23" s="1199" t="s">
        <v>1197</v>
      </c>
      <c r="B23" s="1199"/>
      <c r="C23" s="1199"/>
      <c r="D23" s="1199"/>
      <c r="E23" s="1199"/>
      <c r="F23" s="1199"/>
      <c r="G23" s="1199"/>
      <c r="H23" s="1199"/>
    </row>
    <row r="24" spans="1:8" x14ac:dyDescent="0.2">
      <c r="A24" s="1176"/>
      <c r="B24" s="1172"/>
      <c r="C24" s="1172"/>
      <c r="D24" s="1172"/>
      <c r="E24" s="1172"/>
      <c r="F24" s="1172"/>
      <c r="G24" s="1172"/>
      <c r="H24" s="1172"/>
    </row>
    <row r="25" spans="1:8" x14ac:dyDescent="0.2">
      <c r="A25" s="1177"/>
      <c r="B25" s="1177"/>
      <c r="C25" s="1177"/>
      <c r="D25" s="1177"/>
      <c r="E25" s="1177"/>
      <c r="F25" s="1177"/>
      <c r="G25" s="1177"/>
      <c r="H25" s="1177"/>
    </row>
    <row r="26" spans="1:8" x14ac:dyDescent="0.2">
      <c r="A26" s="1178" t="s">
        <v>1125</v>
      </c>
      <c r="B26" s="1177"/>
      <c r="C26" s="1177"/>
      <c r="D26" s="1177"/>
      <c r="E26" s="1177"/>
      <c r="F26" s="1177"/>
      <c r="G26" s="1177"/>
      <c r="H26" s="1177"/>
    </row>
    <row r="27" spans="1:8" x14ac:dyDescent="0.2">
      <c r="A27" s="1178" t="s">
        <v>1126</v>
      </c>
      <c r="B27" s="1177"/>
      <c r="C27" s="1177"/>
      <c r="D27" s="1177"/>
      <c r="E27" s="1177"/>
      <c r="F27" s="1177"/>
      <c r="G27" s="1177"/>
      <c r="H27" s="1177"/>
    </row>
    <row r="28" spans="1:8" x14ac:dyDescent="0.2">
      <c r="A28" s="1178" t="s">
        <v>1127</v>
      </c>
      <c r="B28" s="1177"/>
      <c r="C28" s="1177"/>
      <c r="D28" s="1177"/>
      <c r="E28" s="1177"/>
      <c r="F28" s="1177"/>
      <c r="G28" s="1177"/>
      <c r="H28" s="1177"/>
    </row>
    <row r="29" spans="1:8" x14ac:dyDescent="0.2">
      <c r="A29" s="1178" t="s">
        <v>1128</v>
      </c>
      <c r="B29" s="1177"/>
      <c r="C29" s="1177"/>
      <c r="D29" s="1177"/>
      <c r="E29" s="1177"/>
      <c r="F29" s="1177"/>
      <c r="G29" s="1177"/>
      <c r="H29" s="1177"/>
    </row>
    <row r="30" spans="1:8" x14ac:dyDescent="0.2">
      <c r="A30" s="1177"/>
      <c r="B30" s="1177"/>
      <c r="C30" s="1177"/>
      <c r="D30" s="1177"/>
      <c r="E30" s="1177"/>
      <c r="F30" s="1177"/>
      <c r="G30" s="1177"/>
      <c r="H30" s="1177"/>
    </row>
    <row r="31" spans="1:8" x14ac:dyDescent="0.2">
      <c r="A31" s="1177"/>
      <c r="B31" s="1177"/>
      <c r="C31" s="1177"/>
      <c r="D31" s="1177"/>
      <c r="E31" s="1177"/>
      <c r="F31" s="1177"/>
      <c r="G31" s="1177"/>
      <c r="H31" s="1177"/>
    </row>
    <row r="32" spans="1:8" x14ac:dyDescent="0.2">
      <c r="A32" s="1178" t="s">
        <v>1120</v>
      </c>
      <c r="B32" s="1177"/>
      <c r="C32" s="1177"/>
      <c r="D32" s="1177"/>
      <c r="E32" s="1177"/>
      <c r="F32" s="1177"/>
      <c r="G32" s="1177"/>
      <c r="H32" s="1177"/>
    </row>
    <row r="33" spans="1:8" x14ac:dyDescent="0.2">
      <c r="A33" s="1178" t="s">
        <v>1121</v>
      </c>
      <c r="B33" s="1177"/>
      <c r="C33" s="1177"/>
      <c r="D33" s="1177"/>
      <c r="E33" s="1177"/>
      <c r="F33" s="1177"/>
      <c r="G33" s="1177"/>
      <c r="H33" s="1177"/>
    </row>
    <row r="34" spans="1:8" x14ac:dyDescent="0.2">
      <c r="A34" s="1178" t="s">
        <v>1122</v>
      </c>
      <c r="B34" s="1177"/>
      <c r="C34" s="1177"/>
      <c r="D34" s="1177"/>
      <c r="E34" s="1177"/>
      <c r="F34" s="1177"/>
      <c r="G34" s="1177"/>
      <c r="H34" s="1177"/>
    </row>
    <row r="35" spans="1:8" x14ac:dyDescent="0.2">
      <c r="A35" s="1178" t="s">
        <v>1123</v>
      </c>
      <c r="B35" s="1177"/>
      <c r="C35" s="1177"/>
      <c r="D35" s="1177"/>
      <c r="E35" s="1177"/>
      <c r="F35" s="1177"/>
      <c r="G35" s="1177"/>
      <c r="H35" s="1177"/>
    </row>
    <row r="36" spans="1:8" x14ac:dyDescent="0.2">
      <c r="A36" s="1178" t="s">
        <v>1124</v>
      </c>
      <c r="B36" s="1177"/>
      <c r="C36" s="1177"/>
      <c r="D36" s="1177"/>
      <c r="E36" s="1177"/>
      <c r="F36" s="1177"/>
      <c r="G36" s="1177"/>
      <c r="H36" s="1177"/>
    </row>
    <row r="37" spans="1:8" x14ac:dyDescent="0.2">
      <c r="A37" s="1177"/>
      <c r="B37" s="1177"/>
      <c r="C37" s="1177"/>
      <c r="D37" s="1177"/>
      <c r="E37" s="1177"/>
      <c r="F37" s="1177"/>
      <c r="G37" s="1177"/>
      <c r="H37" s="1177"/>
    </row>
    <row r="38" spans="1:8" x14ac:dyDescent="0.2">
      <c r="A38" s="1178" t="s">
        <v>1116</v>
      </c>
      <c r="B38" s="1177"/>
      <c r="C38" s="1177"/>
      <c r="D38" s="1177"/>
      <c r="E38" s="1177"/>
      <c r="F38" s="1177"/>
      <c r="G38" s="1177"/>
      <c r="H38" s="1177"/>
    </row>
    <row r="39" spans="1:8" x14ac:dyDescent="0.2">
      <c r="A39" s="1178" t="s">
        <v>1117</v>
      </c>
      <c r="B39" s="1177"/>
      <c r="C39" s="1177"/>
      <c r="D39" s="1177"/>
      <c r="E39" s="1177"/>
      <c r="F39" s="1177"/>
      <c r="G39" s="1177"/>
      <c r="H39" s="1177"/>
    </row>
    <row r="40" spans="1:8" x14ac:dyDescent="0.2">
      <c r="A40" s="1178" t="s">
        <v>1118</v>
      </c>
      <c r="B40" s="1177"/>
      <c r="C40" s="1177"/>
      <c r="D40" s="1177"/>
      <c r="E40" s="1177"/>
      <c r="F40" s="1177"/>
      <c r="G40" s="1177"/>
      <c r="H40" s="1177"/>
    </row>
    <row r="41" spans="1:8" x14ac:dyDescent="0.2">
      <c r="A41" s="1178" t="s">
        <v>1119</v>
      </c>
      <c r="B41" s="1177"/>
      <c r="C41" s="1177"/>
      <c r="D41" s="1177"/>
      <c r="E41" s="1177"/>
      <c r="F41" s="1177"/>
      <c r="G41" s="1177"/>
      <c r="H41" s="1177"/>
    </row>
    <row r="42" spans="1:8" x14ac:dyDescent="0.2">
      <c r="A42" s="1177"/>
      <c r="B42" s="1177"/>
      <c r="C42" s="1177"/>
      <c r="D42" s="1177"/>
      <c r="E42" s="1177"/>
      <c r="F42" s="1177"/>
      <c r="G42" s="1177"/>
      <c r="H42" s="1177"/>
    </row>
    <row r="43" spans="1:8" x14ac:dyDescent="0.2">
      <c r="A43" s="1178" t="s">
        <v>1110</v>
      </c>
      <c r="B43" s="1177"/>
      <c r="C43" s="1177"/>
      <c r="D43" s="1177"/>
      <c r="E43" s="1177"/>
      <c r="F43" s="1177"/>
      <c r="G43" s="1177"/>
      <c r="H43" s="1177"/>
    </row>
    <row r="44" spans="1:8" x14ac:dyDescent="0.2">
      <c r="A44" s="1178" t="s">
        <v>1111</v>
      </c>
      <c r="B44" s="1177"/>
      <c r="C44" s="1177"/>
      <c r="D44" s="1177"/>
      <c r="E44" s="1177"/>
      <c r="F44" s="1177"/>
      <c r="G44" s="1177"/>
      <c r="H44" s="1177"/>
    </row>
    <row r="45" spans="1:8" x14ac:dyDescent="0.2">
      <c r="A45" s="1178" t="s">
        <v>1112</v>
      </c>
      <c r="B45" s="1177"/>
      <c r="C45" s="1177"/>
      <c r="D45" s="1177"/>
      <c r="E45" s="1177"/>
      <c r="F45" s="1177"/>
      <c r="G45" s="1177"/>
      <c r="H45" s="1177"/>
    </row>
    <row r="46" spans="1:8" x14ac:dyDescent="0.2">
      <c r="A46" s="1178" t="s">
        <v>1113</v>
      </c>
      <c r="B46" s="1177"/>
      <c r="C46" s="1177"/>
      <c r="D46" s="1177"/>
      <c r="E46" s="1177"/>
      <c r="F46" s="1177"/>
      <c r="G46" s="1177"/>
      <c r="H46" s="1177"/>
    </row>
    <row r="47" spans="1:8" x14ac:dyDescent="0.2">
      <c r="A47" s="1178" t="s">
        <v>1114</v>
      </c>
      <c r="B47" s="1177"/>
      <c r="C47" s="1177"/>
      <c r="D47" s="1177"/>
      <c r="E47" s="1177"/>
      <c r="F47" s="1177"/>
      <c r="G47" s="1177"/>
      <c r="H47" s="1177"/>
    </row>
    <row r="48" spans="1:8" x14ac:dyDescent="0.2">
      <c r="A48" s="1178" t="s">
        <v>1115</v>
      </c>
      <c r="B48" s="1177"/>
      <c r="C48" s="1177"/>
      <c r="D48" s="1177"/>
      <c r="E48" s="1177"/>
      <c r="F48" s="1177"/>
      <c r="G48" s="1177"/>
      <c r="H48" s="1177"/>
    </row>
    <row r="49" spans="1:8" x14ac:dyDescent="0.2">
      <c r="A49" s="1177"/>
      <c r="B49" s="1177"/>
      <c r="C49" s="1177"/>
      <c r="D49" s="1177"/>
      <c r="E49" s="1177"/>
      <c r="F49" s="1177"/>
      <c r="G49" s="1177"/>
      <c r="H49" s="1177"/>
    </row>
    <row r="50" spans="1:8" ht="15.75" x14ac:dyDescent="0.2">
      <c r="A50" s="1179" t="s">
        <v>846</v>
      </c>
      <c r="B50" s="1177"/>
      <c r="C50" s="1177"/>
      <c r="D50" s="1177"/>
      <c r="E50" s="1177"/>
      <c r="F50" s="1177"/>
      <c r="G50" s="1177"/>
      <c r="H50" s="1177"/>
    </row>
    <row r="51" spans="1:8" x14ac:dyDescent="0.2">
      <c r="A51" s="1177"/>
      <c r="B51" s="1177"/>
      <c r="C51" s="1177"/>
      <c r="D51" s="1177"/>
      <c r="E51" s="1177"/>
      <c r="F51" s="1177"/>
      <c r="G51" s="1177"/>
      <c r="H51" s="1177"/>
    </row>
    <row r="52" spans="1:8" x14ac:dyDescent="0.2">
      <c r="A52" s="1178" t="s">
        <v>1106</v>
      </c>
      <c r="B52" s="1177"/>
      <c r="C52" s="1177"/>
      <c r="D52" s="1177"/>
      <c r="E52" s="1177"/>
      <c r="F52" s="1177"/>
      <c r="G52" s="1177"/>
      <c r="H52" s="1177"/>
    </row>
    <row r="53" spans="1:8" x14ac:dyDescent="0.2">
      <c r="A53" s="1178" t="s">
        <v>1107</v>
      </c>
      <c r="B53" s="1177"/>
      <c r="C53" s="1177"/>
      <c r="D53" s="1177"/>
      <c r="E53" s="1177"/>
      <c r="F53" s="1177"/>
      <c r="G53" s="1177"/>
      <c r="H53" s="1177"/>
    </row>
    <row r="54" spans="1:8" x14ac:dyDescent="0.2">
      <c r="A54" s="1178" t="s">
        <v>1108</v>
      </c>
      <c r="B54" s="1177"/>
      <c r="C54" s="1177"/>
      <c r="D54" s="1177"/>
      <c r="E54" s="1177"/>
      <c r="F54" s="1177"/>
      <c r="G54" s="1177"/>
      <c r="H54" s="1177"/>
    </row>
    <row r="55" spans="1:8" x14ac:dyDescent="0.2">
      <c r="A55" s="1178" t="s">
        <v>1109</v>
      </c>
      <c r="B55" s="1177"/>
      <c r="C55" s="1177"/>
      <c r="D55" s="1177"/>
      <c r="E55" s="1177"/>
      <c r="F55" s="1177"/>
      <c r="G55" s="1177"/>
      <c r="H55" s="1177"/>
    </row>
    <row r="56" spans="1:8" x14ac:dyDescent="0.2">
      <c r="A56" s="1177"/>
      <c r="B56" s="1177"/>
      <c r="C56" s="1177"/>
      <c r="D56" s="1177"/>
      <c r="E56" s="1177"/>
      <c r="F56" s="1177"/>
      <c r="G56" s="1177"/>
      <c r="H56" s="1177"/>
    </row>
    <row r="57" spans="1:8" x14ac:dyDescent="0.2">
      <c r="A57" s="1178" t="s">
        <v>847</v>
      </c>
      <c r="B57" s="1177"/>
      <c r="C57" s="1177"/>
      <c r="D57" s="1177"/>
      <c r="E57" s="1177"/>
      <c r="F57" s="1177"/>
      <c r="G57" s="1177"/>
      <c r="H57" s="1177"/>
    </row>
    <row r="58" spans="1:8" x14ac:dyDescent="0.2">
      <c r="A58" s="1177"/>
      <c r="B58" s="1177"/>
      <c r="C58" s="1177"/>
      <c r="D58" s="1177"/>
      <c r="E58" s="1177"/>
      <c r="F58" s="1177"/>
      <c r="G58" s="1177"/>
      <c r="H58" s="1177"/>
    </row>
    <row r="59" spans="1:8" ht="15.75" x14ac:dyDescent="0.2">
      <c r="A59" s="1179" t="s">
        <v>848</v>
      </c>
      <c r="B59" s="1177"/>
      <c r="C59" s="1177"/>
      <c r="D59" s="1177"/>
      <c r="E59" s="1177"/>
      <c r="F59" s="1177"/>
      <c r="G59" s="1177"/>
      <c r="H59" s="1177"/>
    </row>
    <row r="60" spans="1:8" x14ac:dyDescent="0.2">
      <c r="A60" s="1177"/>
      <c r="B60" s="1177"/>
      <c r="C60" s="1177"/>
      <c r="D60" s="1177"/>
      <c r="E60" s="1177"/>
      <c r="F60" s="1177"/>
      <c r="G60" s="1177"/>
      <c r="H60" s="1177"/>
    </row>
    <row r="61" spans="1:8" x14ac:dyDescent="0.2">
      <c r="A61" s="1178" t="s">
        <v>1104</v>
      </c>
      <c r="B61" s="1177"/>
      <c r="C61" s="1177"/>
      <c r="D61" s="1177"/>
      <c r="E61" s="1177"/>
      <c r="F61" s="1177"/>
      <c r="G61" s="1177"/>
      <c r="H61" s="1177"/>
    </row>
    <row r="62" spans="1:8" x14ac:dyDescent="0.2">
      <c r="A62" s="1178" t="s">
        <v>1105</v>
      </c>
      <c r="B62" s="1177"/>
      <c r="C62" s="1177"/>
      <c r="D62" s="1177"/>
      <c r="E62" s="1177"/>
      <c r="F62" s="1177"/>
      <c r="G62" s="1177"/>
      <c r="H62" s="1177"/>
    </row>
    <row r="63" spans="1:8" x14ac:dyDescent="0.2">
      <c r="A63" s="1177"/>
      <c r="B63" s="1177"/>
      <c r="C63" s="1177"/>
      <c r="D63" s="1177"/>
      <c r="E63" s="1177"/>
      <c r="F63" s="1177"/>
      <c r="G63" s="1177"/>
      <c r="H63" s="1177"/>
    </row>
    <row r="64" spans="1:8" ht="15.75" x14ac:dyDescent="0.2">
      <c r="A64" s="1179" t="s">
        <v>849</v>
      </c>
      <c r="B64" s="1177"/>
      <c r="C64" s="1177"/>
      <c r="D64" s="1177"/>
      <c r="E64" s="1177"/>
      <c r="F64" s="1177"/>
      <c r="G64" s="1177"/>
      <c r="H64" s="1177"/>
    </row>
    <row r="65" spans="1:8" x14ac:dyDescent="0.2">
      <c r="A65" s="1177"/>
      <c r="B65" s="1177"/>
      <c r="C65" s="1177"/>
      <c r="D65" s="1177"/>
      <c r="E65" s="1177"/>
      <c r="F65" s="1177"/>
      <c r="G65" s="1177"/>
      <c r="H65" s="1177"/>
    </row>
    <row r="66" spans="1:8" x14ac:dyDescent="0.2">
      <c r="A66" s="1178" t="s">
        <v>1102</v>
      </c>
      <c r="B66" s="1177"/>
      <c r="C66" s="1177"/>
      <c r="D66" s="1177"/>
      <c r="E66" s="1177"/>
      <c r="F66" s="1177"/>
      <c r="G66" s="1177"/>
      <c r="H66" s="1177"/>
    </row>
    <row r="67" spans="1:8" x14ac:dyDescent="0.2">
      <c r="A67" s="1178" t="s">
        <v>1103</v>
      </c>
      <c r="B67" s="1177"/>
      <c r="C67" s="1177"/>
      <c r="D67" s="1177"/>
      <c r="E67" s="1177"/>
      <c r="F67" s="1177"/>
      <c r="G67" s="1177"/>
      <c r="H67" s="1177"/>
    </row>
    <row r="68" spans="1:8" x14ac:dyDescent="0.2">
      <c r="A68" s="1177"/>
      <c r="B68" s="1177"/>
      <c r="C68" s="1177"/>
      <c r="D68" s="1177"/>
      <c r="E68" s="1177"/>
      <c r="F68" s="1177"/>
      <c r="G68" s="1177"/>
      <c r="H68" s="1177"/>
    </row>
    <row r="69" spans="1:8" x14ac:dyDescent="0.2">
      <c r="A69" s="1178" t="s">
        <v>1100</v>
      </c>
      <c r="B69" s="1177"/>
      <c r="C69" s="1177"/>
      <c r="D69" s="1177"/>
      <c r="E69" s="1177"/>
      <c r="F69" s="1177"/>
      <c r="G69" s="1177"/>
      <c r="H69" s="1177"/>
    </row>
    <row r="70" spans="1:8" x14ac:dyDescent="0.2">
      <c r="A70" s="1178" t="s">
        <v>1101</v>
      </c>
      <c r="B70" s="1177"/>
      <c r="C70" s="1177"/>
      <c r="D70" s="1177"/>
      <c r="E70" s="1177"/>
      <c r="F70" s="1177"/>
      <c r="G70" s="1177"/>
      <c r="H70" s="1177"/>
    </row>
    <row r="71" spans="1:8" x14ac:dyDescent="0.2">
      <c r="A71" s="1177"/>
      <c r="B71" s="1177"/>
      <c r="C71" s="1177"/>
      <c r="D71" s="1177"/>
      <c r="E71" s="1177"/>
      <c r="F71" s="1177"/>
      <c r="G71" s="1177"/>
      <c r="H71" s="1177"/>
    </row>
    <row r="72" spans="1:8" x14ac:dyDescent="0.2">
      <c r="A72" s="1178" t="s">
        <v>1098</v>
      </c>
      <c r="B72" s="1177"/>
      <c r="C72" s="1177"/>
      <c r="D72" s="1177"/>
      <c r="E72" s="1177"/>
      <c r="F72" s="1177"/>
      <c r="G72" s="1177"/>
      <c r="H72" s="1177"/>
    </row>
    <row r="73" spans="1:8" x14ac:dyDescent="0.2">
      <c r="A73" s="1178" t="s">
        <v>1099</v>
      </c>
      <c r="B73" s="1177"/>
      <c r="C73" s="1177"/>
      <c r="D73" s="1177"/>
      <c r="E73" s="1177"/>
      <c r="F73" s="1177"/>
      <c r="G73" s="1177"/>
      <c r="H73" s="1177"/>
    </row>
    <row r="74" spans="1:8" x14ac:dyDescent="0.2">
      <c r="A74" s="1177"/>
      <c r="B74" s="1177"/>
      <c r="C74" s="1177"/>
      <c r="D74" s="1177"/>
      <c r="E74" s="1177"/>
      <c r="F74" s="1177"/>
      <c r="G74" s="1177"/>
      <c r="H74" s="1177"/>
    </row>
    <row r="75" spans="1:8" x14ac:dyDescent="0.2">
      <c r="A75" s="1178" t="s">
        <v>1096</v>
      </c>
      <c r="B75" s="1177"/>
      <c r="C75" s="1177"/>
      <c r="D75" s="1177"/>
      <c r="E75" s="1177"/>
      <c r="F75" s="1177"/>
      <c r="G75" s="1177"/>
      <c r="H75" s="1177"/>
    </row>
    <row r="76" spans="1:8" x14ac:dyDescent="0.2">
      <c r="A76" s="1178" t="s">
        <v>1097</v>
      </c>
      <c r="B76" s="1177"/>
      <c r="C76" s="1177"/>
      <c r="D76" s="1177"/>
      <c r="E76" s="1177"/>
      <c r="F76" s="1177"/>
      <c r="G76" s="1177"/>
      <c r="H76" s="1177"/>
    </row>
    <row r="77" spans="1:8" x14ac:dyDescent="0.2">
      <c r="A77" s="1177"/>
      <c r="B77" s="1177"/>
      <c r="C77" s="1177"/>
      <c r="D77" s="1177"/>
      <c r="E77" s="1177"/>
      <c r="F77" s="1177"/>
      <c r="G77" s="1177"/>
      <c r="H77" s="1177"/>
    </row>
    <row r="78" spans="1:8" x14ac:dyDescent="0.2">
      <c r="A78" s="1178" t="s">
        <v>1093</v>
      </c>
      <c r="B78" s="1177"/>
      <c r="C78" s="1177"/>
      <c r="D78" s="1177"/>
      <c r="E78" s="1177"/>
      <c r="F78" s="1177"/>
      <c r="G78" s="1177"/>
      <c r="H78" s="1177"/>
    </row>
    <row r="79" spans="1:8" x14ac:dyDescent="0.2">
      <c r="A79" s="1178" t="s">
        <v>1094</v>
      </c>
      <c r="B79" s="1177"/>
      <c r="C79" s="1177"/>
      <c r="D79" s="1177"/>
      <c r="E79" s="1177"/>
      <c r="F79" s="1177"/>
      <c r="G79" s="1177"/>
      <c r="H79" s="1177"/>
    </row>
    <row r="80" spans="1:8" x14ac:dyDescent="0.2">
      <c r="A80" s="1178" t="s">
        <v>1095</v>
      </c>
      <c r="B80" s="1177"/>
      <c r="C80" s="1177"/>
      <c r="D80" s="1177"/>
      <c r="E80" s="1177"/>
      <c r="F80" s="1177"/>
      <c r="G80" s="1177"/>
      <c r="H80" s="1177"/>
    </row>
    <row r="81" spans="1:8" x14ac:dyDescent="0.2">
      <c r="A81" s="1177"/>
      <c r="B81" s="1177"/>
      <c r="C81" s="1177"/>
      <c r="D81" s="1177"/>
      <c r="E81" s="1177"/>
      <c r="F81" s="1177"/>
      <c r="G81" s="1177"/>
      <c r="H81" s="1177"/>
    </row>
    <row r="82" spans="1:8" x14ac:dyDescent="0.2">
      <c r="A82" s="1178" t="s">
        <v>1088</v>
      </c>
      <c r="B82" s="1177"/>
      <c r="C82" s="1177"/>
      <c r="D82" s="1177"/>
      <c r="E82" s="1177"/>
      <c r="F82" s="1177"/>
      <c r="G82" s="1177"/>
      <c r="H82" s="1177"/>
    </row>
    <row r="83" spans="1:8" x14ac:dyDescent="0.2">
      <c r="A83" s="1178" t="s">
        <v>1089</v>
      </c>
      <c r="B83" s="1177"/>
      <c r="C83" s="1177"/>
      <c r="D83" s="1177"/>
      <c r="E83" s="1177"/>
      <c r="F83" s="1177"/>
      <c r="G83" s="1177"/>
      <c r="H83" s="1177"/>
    </row>
    <row r="84" spans="1:8" x14ac:dyDescent="0.2">
      <c r="A84" s="1178" t="s">
        <v>1090</v>
      </c>
      <c r="B84" s="1177"/>
      <c r="C84" s="1177"/>
      <c r="D84" s="1177"/>
      <c r="E84" s="1177"/>
      <c r="F84" s="1177"/>
      <c r="G84" s="1177"/>
      <c r="H84" s="1177"/>
    </row>
    <row r="85" spans="1:8" x14ac:dyDescent="0.2">
      <c r="A85" s="1178" t="s">
        <v>1091</v>
      </c>
      <c r="B85" s="1177"/>
      <c r="C85" s="1177"/>
      <c r="D85" s="1177"/>
      <c r="E85" s="1177"/>
      <c r="F85" s="1177"/>
      <c r="G85" s="1177"/>
      <c r="H85" s="1177"/>
    </row>
    <row r="86" spans="1:8" x14ac:dyDescent="0.2">
      <c r="A86" s="1178" t="s">
        <v>1092</v>
      </c>
      <c r="B86" s="1177"/>
      <c r="C86" s="1177"/>
      <c r="D86" s="1177"/>
      <c r="E86" s="1177"/>
      <c r="F86" s="1177"/>
      <c r="G86" s="1177"/>
      <c r="H86" s="1177"/>
    </row>
    <row r="87" spans="1:8" x14ac:dyDescent="0.2">
      <c r="A87" s="1178" t="s">
        <v>975</v>
      </c>
      <c r="B87" s="1177"/>
      <c r="C87" s="1177"/>
      <c r="D87" s="1177"/>
      <c r="E87" s="1177"/>
      <c r="F87" s="1177"/>
      <c r="G87" s="1177"/>
      <c r="H87" s="1177"/>
    </row>
    <row r="88" spans="1:8" x14ac:dyDescent="0.2">
      <c r="A88" s="1177"/>
      <c r="B88" s="1177"/>
      <c r="C88" s="1177"/>
      <c r="D88" s="1177"/>
      <c r="E88" s="1177"/>
      <c r="F88" s="1177"/>
      <c r="G88" s="1177"/>
      <c r="H88" s="1177"/>
    </row>
    <row r="89" spans="1:8" x14ac:dyDescent="0.2">
      <c r="A89" s="1178" t="s">
        <v>1081</v>
      </c>
      <c r="B89" s="1177"/>
      <c r="C89" s="1177"/>
      <c r="D89" s="1177"/>
      <c r="E89" s="1177"/>
      <c r="F89" s="1177"/>
      <c r="G89" s="1177"/>
      <c r="H89" s="1177"/>
    </row>
    <row r="90" spans="1:8" x14ac:dyDescent="0.2">
      <c r="A90" s="1178" t="s">
        <v>1082</v>
      </c>
      <c r="B90" s="1177"/>
      <c r="C90" s="1177"/>
      <c r="D90" s="1177"/>
      <c r="E90" s="1177"/>
      <c r="F90" s="1177"/>
      <c r="G90" s="1177"/>
      <c r="H90" s="1177"/>
    </row>
    <row r="91" spans="1:8" x14ac:dyDescent="0.2">
      <c r="A91" s="1178" t="s">
        <v>1083</v>
      </c>
      <c r="B91" s="1177"/>
      <c r="C91" s="1177"/>
      <c r="D91" s="1177"/>
      <c r="E91" s="1177"/>
      <c r="F91" s="1177"/>
      <c r="G91" s="1177"/>
      <c r="H91" s="1177"/>
    </row>
    <row r="92" spans="1:8" x14ac:dyDescent="0.2">
      <c r="A92" s="1178" t="s">
        <v>1084</v>
      </c>
      <c r="B92" s="1177"/>
      <c r="C92" s="1177"/>
      <c r="D92" s="1177"/>
      <c r="E92" s="1177"/>
      <c r="F92" s="1177"/>
      <c r="G92" s="1177"/>
      <c r="H92" s="1177"/>
    </row>
    <row r="93" spans="1:8" x14ac:dyDescent="0.2">
      <c r="A93" s="1178" t="s">
        <v>1085</v>
      </c>
      <c r="B93" s="1177"/>
      <c r="C93" s="1177"/>
      <c r="D93" s="1177"/>
      <c r="E93" s="1177"/>
      <c r="F93" s="1177"/>
      <c r="G93" s="1177"/>
      <c r="H93" s="1177"/>
    </row>
    <row r="94" spans="1:8" x14ac:dyDescent="0.2">
      <c r="A94" s="1178" t="s">
        <v>1086</v>
      </c>
      <c r="B94" s="1177"/>
      <c r="C94" s="1177"/>
      <c r="D94" s="1177"/>
      <c r="E94" s="1177"/>
      <c r="F94" s="1177"/>
      <c r="G94" s="1177"/>
      <c r="H94" s="1177"/>
    </row>
    <row r="95" spans="1:8" x14ac:dyDescent="0.2">
      <c r="A95" s="1178" t="s">
        <v>1087</v>
      </c>
      <c r="B95" s="1177"/>
      <c r="C95" s="1177"/>
      <c r="D95" s="1177"/>
      <c r="E95" s="1177"/>
      <c r="F95" s="1177"/>
      <c r="G95" s="1177"/>
      <c r="H95" s="1177"/>
    </row>
    <row r="96" spans="1:8" x14ac:dyDescent="0.2">
      <c r="A96" s="1177"/>
      <c r="B96" s="1177"/>
      <c r="C96" s="1177"/>
      <c r="D96" s="1177"/>
      <c r="E96" s="1177"/>
      <c r="F96" s="1177"/>
      <c r="G96" s="1177"/>
      <c r="H96" s="1177"/>
    </row>
    <row r="97" spans="1:8" x14ac:dyDescent="0.2">
      <c r="A97" s="1178" t="s">
        <v>1079</v>
      </c>
      <c r="B97" s="1177"/>
      <c r="C97" s="1177"/>
      <c r="D97" s="1177"/>
      <c r="E97" s="1177"/>
      <c r="F97" s="1177"/>
      <c r="G97" s="1177"/>
      <c r="H97" s="1177"/>
    </row>
    <row r="98" spans="1:8" x14ac:dyDescent="0.2">
      <c r="A98" s="1178" t="s">
        <v>1080</v>
      </c>
      <c r="B98" s="1177"/>
      <c r="C98" s="1177"/>
      <c r="D98" s="1177"/>
      <c r="E98" s="1177"/>
      <c r="F98" s="1177"/>
      <c r="G98" s="1177"/>
      <c r="H98" s="1177"/>
    </row>
    <row r="99" spans="1:8" x14ac:dyDescent="0.2">
      <c r="A99" s="1177"/>
      <c r="B99" s="1177"/>
      <c r="C99" s="1177"/>
      <c r="D99" s="1177"/>
      <c r="E99" s="1177"/>
      <c r="F99" s="1177"/>
      <c r="G99" s="1177"/>
      <c r="H99" s="1177"/>
    </row>
    <row r="100" spans="1:8" ht="15.75" x14ac:dyDescent="0.2">
      <c r="A100" s="1179" t="s">
        <v>850</v>
      </c>
      <c r="B100" s="1177"/>
      <c r="C100" s="1177"/>
      <c r="D100" s="1177"/>
      <c r="E100" s="1177"/>
      <c r="F100" s="1177"/>
      <c r="G100" s="1177"/>
      <c r="H100" s="1177"/>
    </row>
    <row r="101" spans="1:8" x14ac:dyDescent="0.2">
      <c r="A101" s="1177"/>
      <c r="B101" s="1177"/>
      <c r="C101" s="1177"/>
      <c r="D101" s="1177"/>
      <c r="E101" s="1177"/>
      <c r="F101" s="1177"/>
      <c r="G101" s="1177"/>
      <c r="H101" s="1177"/>
    </row>
    <row r="102" spans="1:8" x14ac:dyDescent="0.2">
      <c r="A102" s="1178" t="s">
        <v>1070</v>
      </c>
      <c r="B102" s="1177"/>
      <c r="C102" s="1177"/>
      <c r="D102" s="1177"/>
      <c r="E102" s="1177"/>
      <c r="F102" s="1177"/>
      <c r="G102" s="1177"/>
      <c r="H102" s="1177"/>
    </row>
    <row r="103" spans="1:8" x14ac:dyDescent="0.2">
      <c r="A103" s="1178" t="s">
        <v>1071</v>
      </c>
      <c r="B103" s="1177"/>
      <c r="C103" s="1177"/>
      <c r="D103" s="1177"/>
      <c r="E103" s="1177"/>
      <c r="F103" s="1177"/>
      <c r="G103" s="1177"/>
      <c r="H103" s="1177"/>
    </row>
    <row r="104" spans="1:8" x14ac:dyDescent="0.2">
      <c r="A104" s="1178" t="s">
        <v>1072</v>
      </c>
      <c r="B104" s="1177"/>
      <c r="C104" s="1177"/>
      <c r="D104" s="1177"/>
      <c r="E104" s="1177"/>
      <c r="F104" s="1177"/>
      <c r="G104" s="1177"/>
      <c r="H104" s="1177"/>
    </row>
    <row r="105" spans="1:8" x14ac:dyDescent="0.2">
      <c r="A105" s="1178" t="s">
        <v>1073</v>
      </c>
      <c r="B105" s="1177"/>
      <c r="C105" s="1177"/>
      <c r="D105" s="1177"/>
      <c r="E105" s="1177"/>
      <c r="F105" s="1177"/>
      <c r="G105" s="1177"/>
      <c r="H105" s="1177"/>
    </row>
    <row r="106" spans="1:8" x14ac:dyDescent="0.2">
      <c r="A106" s="1178" t="s">
        <v>1074</v>
      </c>
      <c r="B106" s="1177"/>
      <c r="C106" s="1177"/>
      <c r="D106" s="1177"/>
      <c r="E106" s="1177"/>
      <c r="F106" s="1177"/>
      <c r="G106" s="1177"/>
      <c r="H106" s="1177"/>
    </row>
    <row r="107" spans="1:8" x14ac:dyDescent="0.2">
      <c r="A107" s="1178" t="s">
        <v>1075</v>
      </c>
      <c r="B107" s="1177"/>
      <c r="C107" s="1177"/>
      <c r="D107" s="1177"/>
      <c r="E107" s="1177"/>
      <c r="F107" s="1177"/>
      <c r="G107" s="1177"/>
      <c r="H107" s="1177"/>
    </row>
    <row r="108" spans="1:8" x14ac:dyDescent="0.2">
      <c r="A108" s="1178" t="s">
        <v>1076</v>
      </c>
      <c r="B108" s="1177"/>
      <c r="C108" s="1177"/>
      <c r="D108" s="1177"/>
      <c r="E108" s="1177"/>
      <c r="F108" s="1177"/>
      <c r="G108" s="1177"/>
      <c r="H108" s="1177"/>
    </row>
    <row r="109" spans="1:8" x14ac:dyDescent="0.2">
      <c r="A109" s="1178" t="s">
        <v>1077</v>
      </c>
      <c r="B109" s="1177"/>
      <c r="C109" s="1177"/>
      <c r="D109" s="1177"/>
      <c r="E109" s="1177"/>
      <c r="F109" s="1177"/>
      <c r="G109" s="1177"/>
      <c r="H109" s="1177"/>
    </row>
    <row r="110" spans="1:8" x14ac:dyDescent="0.2">
      <c r="A110" s="1178" t="s">
        <v>1078</v>
      </c>
      <c r="B110" s="1177"/>
      <c r="C110" s="1177"/>
      <c r="D110" s="1177"/>
      <c r="E110" s="1177"/>
      <c r="F110" s="1177"/>
      <c r="G110" s="1177"/>
      <c r="H110" s="1177"/>
    </row>
    <row r="111" spans="1:8" x14ac:dyDescent="0.2">
      <c r="A111" s="1177"/>
      <c r="B111" s="1177"/>
      <c r="C111" s="1177"/>
      <c r="D111" s="1177"/>
      <c r="E111" s="1177"/>
      <c r="F111" s="1177"/>
      <c r="G111" s="1177"/>
      <c r="H111" s="1177"/>
    </row>
    <row r="112" spans="1:8" ht="15.75" x14ac:dyDescent="0.2">
      <c r="A112" s="1194" t="s">
        <v>851</v>
      </c>
      <c r="B112" s="1194"/>
      <c r="C112" s="1194"/>
      <c r="D112" s="1194"/>
      <c r="E112" s="1194"/>
      <c r="F112" s="1194"/>
      <c r="G112" s="1194"/>
      <c r="H112" s="1194"/>
    </row>
    <row r="113" spans="1:8" x14ac:dyDescent="0.2">
      <c r="A113" s="1190" t="s">
        <v>852</v>
      </c>
      <c r="B113" s="1190"/>
      <c r="C113" s="1190"/>
      <c r="D113" s="1190"/>
      <c r="E113" s="1190"/>
      <c r="F113" s="1190"/>
      <c r="G113" s="1190"/>
      <c r="H113" s="1190"/>
    </row>
    <row r="114" spans="1:8" x14ac:dyDescent="0.2">
      <c r="A114" s="1195"/>
      <c r="B114" s="1195"/>
      <c r="C114" s="1195"/>
      <c r="D114" s="1195"/>
      <c r="E114" s="1195"/>
      <c r="F114" s="1195"/>
      <c r="G114" s="1195"/>
      <c r="H114" s="1195"/>
    </row>
    <row r="115" spans="1:8" x14ac:dyDescent="0.2">
      <c r="A115" s="1190" t="s">
        <v>1068</v>
      </c>
      <c r="B115" s="1190"/>
      <c r="C115" s="1190"/>
      <c r="D115" s="1190"/>
      <c r="E115" s="1190"/>
      <c r="F115" s="1190"/>
      <c r="G115" s="1190"/>
      <c r="H115" s="1190"/>
    </row>
    <row r="116" spans="1:8" x14ac:dyDescent="0.2">
      <c r="A116" s="1178" t="s">
        <v>1069</v>
      </c>
      <c r="B116" s="1178"/>
      <c r="C116" s="1178"/>
      <c r="D116" s="1178"/>
      <c r="E116" s="1178"/>
      <c r="F116" s="1178"/>
      <c r="G116" s="1178"/>
      <c r="H116" s="1178"/>
    </row>
    <row r="117" spans="1:8" x14ac:dyDescent="0.2">
      <c r="A117" s="1195"/>
      <c r="B117" s="1195"/>
      <c r="C117" s="1195"/>
      <c r="D117" s="1195"/>
      <c r="E117" s="1195"/>
      <c r="F117" s="1195"/>
      <c r="G117" s="1195"/>
      <c r="H117" s="1195"/>
    </row>
    <row r="118" spans="1:8" x14ac:dyDescent="0.2">
      <c r="A118" s="1190" t="s">
        <v>1061</v>
      </c>
      <c r="B118" s="1190"/>
      <c r="C118" s="1190"/>
      <c r="D118" s="1190"/>
      <c r="E118" s="1190"/>
      <c r="F118" s="1190"/>
      <c r="G118" s="1190"/>
      <c r="H118" s="1190"/>
    </row>
    <row r="119" spans="1:8" x14ac:dyDescent="0.2">
      <c r="A119" s="1178" t="s">
        <v>1062</v>
      </c>
      <c r="B119" s="1178"/>
      <c r="C119" s="1178"/>
      <c r="D119" s="1178"/>
      <c r="E119" s="1178"/>
      <c r="F119" s="1178"/>
      <c r="G119" s="1178"/>
      <c r="H119" s="1178"/>
    </row>
    <row r="120" spans="1:8" x14ac:dyDescent="0.2">
      <c r="A120" s="1178" t="s">
        <v>1063</v>
      </c>
      <c r="B120" s="1178"/>
      <c r="C120" s="1178"/>
      <c r="D120" s="1178"/>
      <c r="E120" s="1178"/>
      <c r="F120" s="1178"/>
      <c r="G120" s="1178"/>
      <c r="H120" s="1178"/>
    </row>
    <row r="121" spans="1:8" x14ac:dyDescent="0.2">
      <c r="A121" s="1178" t="s">
        <v>1064</v>
      </c>
      <c r="B121" s="1178"/>
      <c r="C121" s="1178"/>
      <c r="D121" s="1178"/>
      <c r="E121" s="1178"/>
      <c r="F121" s="1178"/>
      <c r="G121" s="1178"/>
      <c r="H121" s="1178"/>
    </row>
    <row r="122" spans="1:8" x14ac:dyDescent="0.2">
      <c r="A122" s="1178" t="s">
        <v>1065</v>
      </c>
      <c r="B122" s="1178"/>
      <c r="C122" s="1178"/>
      <c r="D122" s="1178"/>
      <c r="E122" s="1178"/>
      <c r="F122" s="1178"/>
      <c r="G122" s="1178"/>
      <c r="H122" s="1178"/>
    </row>
    <row r="123" spans="1:8" x14ac:dyDescent="0.2">
      <c r="A123" s="1178" t="s">
        <v>1066</v>
      </c>
      <c r="B123" s="1178"/>
      <c r="C123" s="1178"/>
      <c r="D123" s="1178"/>
      <c r="E123" s="1178"/>
      <c r="F123" s="1178"/>
      <c r="G123" s="1178"/>
      <c r="H123" s="1178"/>
    </row>
    <row r="124" spans="1:8" x14ac:dyDescent="0.2">
      <c r="A124" s="1178" t="s">
        <v>1067</v>
      </c>
      <c r="B124" s="1178"/>
      <c r="C124" s="1178"/>
      <c r="D124" s="1178"/>
      <c r="E124" s="1178"/>
      <c r="F124" s="1178"/>
      <c r="G124" s="1178"/>
      <c r="H124" s="1178"/>
    </row>
    <row r="125" spans="1:8" x14ac:dyDescent="0.2">
      <c r="A125" s="1196"/>
      <c r="B125" s="1196"/>
      <c r="C125" s="1196"/>
      <c r="D125" s="1196"/>
      <c r="E125" s="1196"/>
      <c r="F125" s="1196"/>
      <c r="G125" s="1196"/>
      <c r="H125" s="1196"/>
    </row>
    <row r="126" spans="1:8" x14ac:dyDescent="0.2">
      <c r="A126" s="1180"/>
      <c r="B126" s="1191" t="s">
        <v>853</v>
      </c>
      <c r="C126" s="1192"/>
      <c r="D126" s="1191" t="s">
        <v>854</v>
      </c>
      <c r="E126" s="1193"/>
      <c r="F126" s="1192"/>
      <c r="G126" s="1191" t="s">
        <v>855</v>
      </c>
      <c r="H126" s="1192"/>
    </row>
    <row r="127" spans="1:8" x14ac:dyDescent="0.2">
      <c r="A127" s="1180" t="s">
        <v>856</v>
      </c>
      <c r="B127" s="1180" t="s">
        <v>346</v>
      </c>
      <c r="C127" s="1180" t="s">
        <v>857</v>
      </c>
      <c r="D127" s="1180" t="s">
        <v>346</v>
      </c>
      <c r="E127" s="1180" t="s">
        <v>858</v>
      </c>
      <c r="F127" s="1180" t="s">
        <v>859</v>
      </c>
      <c r="G127" s="1180" t="s">
        <v>346</v>
      </c>
      <c r="H127" s="1180" t="s">
        <v>860</v>
      </c>
    </row>
    <row r="128" spans="1:8" x14ac:dyDescent="0.2">
      <c r="A128" s="1180" t="s">
        <v>861</v>
      </c>
      <c r="B128" s="1180">
        <v>1189</v>
      </c>
      <c r="C128" s="1181">
        <v>0.38</v>
      </c>
      <c r="D128" s="1180">
        <v>315</v>
      </c>
      <c r="E128" s="1181">
        <v>0.41</v>
      </c>
      <c r="F128" s="1181">
        <v>0.26</v>
      </c>
      <c r="G128" s="1180">
        <v>555</v>
      </c>
      <c r="H128" s="1181">
        <v>0.39</v>
      </c>
    </row>
    <row r="129" spans="1:8" x14ac:dyDescent="0.2">
      <c r="A129" s="1180" t="s">
        <v>862</v>
      </c>
      <c r="B129" s="1180">
        <v>1355</v>
      </c>
      <c r="C129" s="1181">
        <v>0.43</v>
      </c>
      <c r="D129" s="1180">
        <v>364</v>
      </c>
      <c r="E129" s="1181">
        <v>0.47</v>
      </c>
      <c r="F129" s="1181">
        <v>0.27</v>
      </c>
      <c r="G129" s="1180">
        <v>644</v>
      </c>
      <c r="H129" s="1181">
        <v>0.45</v>
      </c>
    </row>
    <row r="130" spans="1:8" x14ac:dyDescent="0.2">
      <c r="A130" s="1180" t="s">
        <v>863</v>
      </c>
      <c r="B130" s="1180">
        <v>53</v>
      </c>
      <c r="C130" s="1181">
        <v>0.02</v>
      </c>
      <c r="D130" s="1180">
        <v>4</v>
      </c>
      <c r="E130" s="1181">
        <v>0.01</v>
      </c>
      <c r="F130" s="1181">
        <v>0.08</v>
      </c>
      <c r="G130" s="1180">
        <v>7</v>
      </c>
      <c r="H130" s="1181">
        <v>0</v>
      </c>
    </row>
    <row r="131" spans="1:8" x14ac:dyDescent="0.2">
      <c r="A131" s="1180" t="s">
        <v>864</v>
      </c>
      <c r="B131" s="1180">
        <v>545</v>
      </c>
      <c r="C131" s="1181">
        <v>0.17</v>
      </c>
      <c r="D131" s="1180">
        <v>84</v>
      </c>
      <c r="E131" s="1181">
        <v>0.11</v>
      </c>
      <c r="F131" s="1181">
        <v>0.15</v>
      </c>
      <c r="G131" s="1180">
        <v>214</v>
      </c>
      <c r="H131" s="1181">
        <v>0.15</v>
      </c>
    </row>
    <row r="132" spans="1:8" x14ac:dyDescent="0.2">
      <c r="A132" s="1180" t="s">
        <v>0</v>
      </c>
      <c r="B132" s="1182">
        <v>3142</v>
      </c>
      <c r="C132" s="1180"/>
      <c r="D132" s="1180">
        <v>767</v>
      </c>
      <c r="E132" s="1180"/>
      <c r="F132" s="1180"/>
      <c r="G132" s="1180">
        <v>1420</v>
      </c>
      <c r="H132" s="1180"/>
    </row>
    <row r="133" spans="1:8" x14ac:dyDescent="0.2">
      <c r="A133" s="1189"/>
      <c r="B133" s="1189"/>
      <c r="C133" s="1189"/>
      <c r="D133" s="1189"/>
      <c r="E133" s="1189"/>
      <c r="F133" s="1189"/>
      <c r="G133" s="1189"/>
      <c r="H133" s="1189"/>
    </row>
    <row r="134" spans="1:8" x14ac:dyDescent="0.2">
      <c r="A134" s="1190" t="s">
        <v>1057</v>
      </c>
      <c r="B134" s="1190"/>
      <c r="C134" s="1190"/>
      <c r="D134" s="1190"/>
      <c r="E134" s="1190"/>
      <c r="F134" s="1190"/>
      <c r="G134" s="1190"/>
      <c r="H134" s="1190"/>
    </row>
    <row r="135" spans="1:8" x14ac:dyDescent="0.2">
      <c r="A135" s="1178" t="s">
        <v>1058</v>
      </c>
      <c r="B135" s="1178"/>
      <c r="C135" s="1178"/>
      <c r="D135" s="1178"/>
      <c r="E135" s="1178"/>
      <c r="F135" s="1178"/>
      <c r="G135" s="1178"/>
      <c r="H135" s="1178"/>
    </row>
    <row r="136" spans="1:8" x14ac:dyDescent="0.2">
      <c r="A136" s="1178" t="s">
        <v>1059</v>
      </c>
      <c r="B136" s="1178"/>
      <c r="C136" s="1178"/>
      <c r="D136" s="1178"/>
      <c r="E136" s="1178"/>
      <c r="F136" s="1178"/>
      <c r="G136" s="1178"/>
      <c r="H136" s="1178"/>
    </row>
    <row r="137" spans="1:8" x14ac:dyDescent="0.2">
      <c r="A137" s="1178" t="s">
        <v>1060</v>
      </c>
      <c r="B137" s="1178"/>
      <c r="C137" s="1178"/>
      <c r="D137" s="1178"/>
      <c r="E137" s="1178"/>
      <c r="F137" s="1178"/>
      <c r="G137" s="1178"/>
      <c r="H137" s="1178"/>
    </row>
    <row r="138" spans="1:8" x14ac:dyDescent="0.2">
      <c r="A138" s="1177"/>
      <c r="B138" s="1177"/>
      <c r="C138" s="1177"/>
      <c r="D138" s="1177"/>
      <c r="E138" s="1177"/>
      <c r="F138" s="1177"/>
      <c r="G138" s="1177"/>
      <c r="H138" s="1177"/>
    </row>
    <row r="139" spans="1:8" ht="15.75" x14ac:dyDescent="0.2">
      <c r="A139" s="1179" t="s">
        <v>865</v>
      </c>
      <c r="B139" s="1177"/>
      <c r="C139" s="1177"/>
      <c r="D139" s="1177"/>
      <c r="E139" s="1177"/>
      <c r="F139" s="1177"/>
      <c r="G139" s="1177"/>
      <c r="H139" s="1177"/>
    </row>
    <row r="140" spans="1:8" x14ac:dyDescent="0.2">
      <c r="A140" s="1177"/>
      <c r="B140" s="1177"/>
      <c r="C140" s="1177"/>
      <c r="D140" s="1177"/>
      <c r="E140" s="1177"/>
      <c r="F140" s="1177"/>
      <c r="G140" s="1177"/>
      <c r="H140" s="1177"/>
    </row>
    <row r="141" spans="1:8" x14ac:dyDescent="0.2">
      <c r="A141" s="1178" t="s">
        <v>1055</v>
      </c>
      <c r="B141" s="1177"/>
      <c r="C141" s="1177"/>
      <c r="D141" s="1177"/>
      <c r="E141" s="1177"/>
      <c r="F141" s="1177"/>
      <c r="G141" s="1177"/>
      <c r="H141" s="1177"/>
    </row>
    <row r="142" spans="1:8" x14ac:dyDescent="0.2">
      <c r="A142" s="1178" t="s">
        <v>1056</v>
      </c>
      <c r="B142" s="1177"/>
      <c r="C142" s="1177"/>
      <c r="D142" s="1177"/>
      <c r="E142" s="1177"/>
      <c r="F142" s="1177"/>
      <c r="G142" s="1177"/>
      <c r="H142" s="1177"/>
    </row>
    <row r="143" spans="1:8" x14ac:dyDescent="0.2">
      <c r="A143" s="1177"/>
      <c r="B143" s="1177"/>
      <c r="C143" s="1177"/>
      <c r="D143" s="1177"/>
      <c r="E143" s="1177"/>
      <c r="F143" s="1177"/>
      <c r="G143" s="1177"/>
      <c r="H143" s="1177"/>
    </row>
    <row r="144" spans="1:8" x14ac:dyDescent="0.2">
      <c r="A144" s="1178" t="s">
        <v>1052</v>
      </c>
      <c r="B144" s="1177"/>
      <c r="C144" s="1177"/>
      <c r="D144" s="1177"/>
      <c r="E144" s="1177"/>
      <c r="F144" s="1177"/>
      <c r="G144" s="1177"/>
      <c r="H144" s="1177"/>
    </row>
    <row r="145" spans="1:8" x14ac:dyDescent="0.2">
      <c r="A145" s="1178" t="s">
        <v>1053</v>
      </c>
      <c r="B145" s="1177"/>
      <c r="C145" s="1177"/>
      <c r="D145" s="1177"/>
      <c r="E145" s="1177"/>
      <c r="F145" s="1177"/>
      <c r="G145" s="1177"/>
      <c r="H145" s="1177"/>
    </row>
    <row r="146" spans="1:8" x14ac:dyDescent="0.2">
      <c r="A146" s="1178" t="s">
        <v>1054</v>
      </c>
      <c r="B146" s="1177"/>
      <c r="C146" s="1177"/>
      <c r="D146" s="1177"/>
      <c r="E146" s="1177"/>
      <c r="F146" s="1177"/>
      <c r="G146" s="1177"/>
      <c r="H146" s="1177"/>
    </row>
    <row r="147" spans="1:8" x14ac:dyDescent="0.2">
      <c r="A147" s="1177"/>
      <c r="B147" s="1177"/>
      <c r="C147" s="1177"/>
      <c r="D147" s="1177"/>
      <c r="E147" s="1177"/>
      <c r="F147" s="1177"/>
      <c r="G147" s="1177"/>
      <c r="H147" s="1177"/>
    </row>
    <row r="148" spans="1:8" x14ac:dyDescent="0.2">
      <c r="A148" s="1178" t="s">
        <v>1049</v>
      </c>
      <c r="B148" s="1177"/>
      <c r="C148" s="1177"/>
      <c r="D148" s="1177"/>
      <c r="E148" s="1177"/>
      <c r="F148" s="1177"/>
      <c r="G148" s="1177"/>
      <c r="H148" s="1177"/>
    </row>
    <row r="149" spans="1:8" x14ac:dyDescent="0.2">
      <c r="A149" s="1178" t="s">
        <v>1050</v>
      </c>
      <c r="B149" s="1177"/>
      <c r="C149" s="1177"/>
      <c r="D149" s="1177"/>
      <c r="E149" s="1177"/>
      <c r="F149" s="1177"/>
      <c r="G149" s="1177"/>
      <c r="H149" s="1177"/>
    </row>
    <row r="150" spans="1:8" x14ac:dyDescent="0.2">
      <c r="A150" s="1178" t="s">
        <v>1051</v>
      </c>
      <c r="B150" s="1177"/>
      <c r="C150" s="1177"/>
      <c r="D150" s="1177"/>
      <c r="E150" s="1177"/>
      <c r="F150" s="1177"/>
      <c r="G150" s="1177"/>
      <c r="H150" s="1177"/>
    </row>
    <row r="151" spans="1:8" x14ac:dyDescent="0.2">
      <c r="A151" s="1177"/>
      <c r="B151" s="1177"/>
      <c r="C151" s="1177"/>
      <c r="D151" s="1177"/>
      <c r="E151" s="1177"/>
      <c r="F151" s="1177"/>
      <c r="G151" s="1177"/>
      <c r="H151" s="1177"/>
    </row>
    <row r="152" spans="1:8" x14ac:dyDescent="0.2">
      <c r="A152" s="1178" t="s">
        <v>1046</v>
      </c>
      <c r="B152" s="1177"/>
      <c r="C152" s="1177"/>
      <c r="D152" s="1177"/>
      <c r="E152" s="1177"/>
      <c r="F152" s="1177"/>
      <c r="G152" s="1177"/>
      <c r="H152" s="1177"/>
    </row>
    <row r="153" spans="1:8" x14ac:dyDescent="0.2">
      <c r="A153" s="1178" t="s">
        <v>1047</v>
      </c>
      <c r="B153" s="1177"/>
      <c r="C153" s="1177"/>
      <c r="D153" s="1177"/>
      <c r="E153" s="1177"/>
      <c r="F153" s="1177"/>
      <c r="G153" s="1177"/>
      <c r="H153" s="1177"/>
    </row>
    <row r="154" spans="1:8" x14ac:dyDescent="0.2">
      <c r="A154" s="1178" t="s">
        <v>1048</v>
      </c>
      <c r="B154" s="1177"/>
      <c r="C154" s="1177"/>
      <c r="D154" s="1177"/>
      <c r="E154" s="1177"/>
      <c r="F154" s="1177"/>
      <c r="G154" s="1177"/>
      <c r="H154" s="1177"/>
    </row>
    <row r="155" spans="1:8" x14ac:dyDescent="0.2">
      <c r="A155" s="1177"/>
      <c r="B155" s="1177"/>
      <c r="C155" s="1177"/>
      <c r="D155" s="1177"/>
      <c r="E155" s="1177"/>
      <c r="F155" s="1177"/>
      <c r="G155" s="1177"/>
      <c r="H155" s="1177"/>
    </row>
    <row r="156" spans="1:8" x14ac:dyDescent="0.2">
      <c r="A156" s="1178" t="s">
        <v>1044</v>
      </c>
      <c r="B156" s="1177"/>
      <c r="C156" s="1177"/>
      <c r="D156" s="1177"/>
      <c r="E156" s="1177"/>
      <c r="F156" s="1177"/>
      <c r="G156" s="1177"/>
      <c r="H156" s="1177"/>
    </row>
    <row r="157" spans="1:8" x14ac:dyDescent="0.2">
      <c r="A157" s="1178" t="s">
        <v>1045</v>
      </c>
      <c r="B157" s="1177"/>
      <c r="C157" s="1177"/>
      <c r="D157" s="1177"/>
      <c r="E157" s="1177"/>
      <c r="F157" s="1177"/>
      <c r="G157" s="1177"/>
      <c r="H157" s="1177"/>
    </row>
    <row r="158" spans="1:8" x14ac:dyDescent="0.2">
      <c r="A158" s="1177"/>
      <c r="B158" s="1177"/>
      <c r="C158" s="1177"/>
      <c r="D158" s="1177"/>
      <c r="E158" s="1177"/>
      <c r="F158" s="1177"/>
      <c r="G158" s="1177"/>
      <c r="H158" s="1177"/>
    </row>
    <row r="159" spans="1:8" ht="15.75" x14ac:dyDescent="0.2">
      <c r="A159" s="1179" t="s">
        <v>866</v>
      </c>
      <c r="B159" s="1177"/>
      <c r="C159" s="1177"/>
      <c r="D159" s="1177"/>
      <c r="E159" s="1177"/>
      <c r="F159" s="1177"/>
      <c r="G159" s="1177"/>
      <c r="H159" s="1177"/>
    </row>
    <row r="160" spans="1:8" x14ac:dyDescent="0.2">
      <c r="A160" s="1177"/>
      <c r="B160" s="1177"/>
      <c r="C160" s="1177"/>
      <c r="D160" s="1177"/>
      <c r="E160" s="1177"/>
      <c r="F160" s="1177"/>
      <c r="G160" s="1177"/>
      <c r="H160" s="1177"/>
    </row>
    <row r="161" spans="1:8" x14ac:dyDescent="0.2">
      <c r="A161" s="1178" t="s">
        <v>1042</v>
      </c>
      <c r="B161" s="1177"/>
      <c r="C161" s="1177"/>
      <c r="D161" s="1177"/>
      <c r="E161" s="1177"/>
      <c r="F161" s="1177"/>
      <c r="G161" s="1177"/>
      <c r="H161" s="1177"/>
    </row>
    <row r="162" spans="1:8" x14ac:dyDescent="0.2">
      <c r="A162" s="1178" t="s">
        <v>1043</v>
      </c>
      <c r="B162" s="1177"/>
      <c r="C162" s="1177"/>
      <c r="D162" s="1177"/>
      <c r="E162" s="1177"/>
      <c r="F162" s="1177"/>
      <c r="G162" s="1177"/>
      <c r="H162" s="1177"/>
    </row>
    <row r="163" spans="1:8" x14ac:dyDescent="0.2">
      <c r="A163" s="1177"/>
      <c r="B163" s="1177"/>
      <c r="C163" s="1177"/>
      <c r="D163" s="1177"/>
      <c r="E163" s="1177"/>
      <c r="F163" s="1177"/>
      <c r="G163" s="1177"/>
      <c r="H163" s="1177"/>
    </row>
    <row r="164" spans="1:8" x14ac:dyDescent="0.2">
      <c r="A164" s="1178" t="s">
        <v>1040</v>
      </c>
      <c r="B164" s="1177"/>
      <c r="C164" s="1177"/>
      <c r="D164" s="1177"/>
      <c r="E164" s="1177"/>
      <c r="F164" s="1177"/>
      <c r="G164" s="1177"/>
      <c r="H164" s="1177"/>
    </row>
    <row r="165" spans="1:8" x14ac:dyDescent="0.2">
      <c r="A165" s="1178" t="s">
        <v>1041</v>
      </c>
      <c r="B165" s="1177"/>
      <c r="C165" s="1177"/>
      <c r="D165" s="1177"/>
      <c r="E165" s="1177"/>
      <c r="F165" s="1177"/>
      <c r="G165" s="1177"/>
      <c r="H165" s="1177"/>
    </row>
    <row r="166" spans="1:8" x14ac:dyDescent="0.2">
      <c r="A166" s="1177"/>
      <c r="B166" s="1177"/>
      <c r="C166" s="1177"/>
      <c r="D166" s="1177"/>
      <c r="E166" s="1177"/>
      <c r="F166" s="1177"/>
      <c r="G166" s="1177"/>
      <c r="H166" s="1177"/>
    </row>
    <row r="167" spans="1:8" x14ac:dyDescent="0.2">
      <c r="A167" s="1178" t="s">
        <v>1038</v>
      </c>
      <c r="B167" s="1177"/>
      <c r="C167" s="1177"/>
      <c r="D167" s="1177"/>
      <c r="E167" s="1177"/>
      <c r="F167" s="1177"/>
      <c r="G167" s="1177"/>
      <c r="H167" s="1177"/>
    </row>
    <row r="168" spans="1:8" x14ac:dyDescent="0.2">
      <c r="A168" s="1178" t="s">
        <v>1039</v>
      </c>
      <c r="B168" s="1177"/>
      <c r="C168" s="1177"/>
      <c r="D168" s="1177"/>
      <c r="E168" s="1177"/>
      <c r="F168" s="1177"/>
      <c r="G168" s="1177"/>
      <c r="H168" s="1177"/>
    </row>
    <row r="169" spans="1:8" x14ac:dyDescent="0.2">
      <c r="A169" s="1177"/>
      <c r="B169" s="1177"/>
      <c r="C169" s="1177"/>
      <c r="D169" s="1177"/>
      <c r="E169" s="1177"/>
      <c r="F169" s="1177"/>
      <c r="G169" s="1177"/>
      <c r="H169" s="1177"/>
    </row>
    <row r="170" spans="1:8" x14ac:dyDescent="0.2">
      <c r="A170" s="1178" t="s">
        <v>1035</v>
      </c>
      <c r="B170" s="1177"/>
      <c r="C170" s="1177"/>
      <c r="D170" s="1177"/>
      <c r="E170" s="1177"/>
      <c r="F170" s="1177"/>
      <c r="G170" s="1177"/>
      <c r="H170" s="1177"/>
    </row>
    <row r="171" spans="1:8" x14ac:dyDescent="0.2">
      <c r="A171" s="1178" t="s">
        <v>1036</v>
      </c>
      <c r="B171" s="1177"/>
      <c r="C171" s="1177"/>
      <c r="D171" s="1177"/>
      <c r="E171" s="1177"/>
      <c r="F171" s="1177"/>
      <c r="G171" s="1177"/>
      <c r="H171" s="1177"/>
    </row>
    <row r="172" spans="1:8" x14ac:dyDescent="0.2">
      <c r="A172" s="1178" t="s">
        <v>1037</v>
      </c>
      <c r="B172" s="1177"/>
      <c r="C172" s="1177"/>
      <c r="D172" s="1177"/>
      <c r="E172" s="1177"/>
      <c r="F172" s="1177"/>
      <c r="G172" s="1177"/>
      <c r="H172" s="1177"/>
    </row>
    <row r="173" spans="1:8" x14ac:dyDescent="0.2">
      <c r="A173" s="1177"/>
      <c r="B173" s="1177"/>
      <c r="C173" s="1177"/>
      <c r="D173" s="1177"/>
      <c r="E173" s="1177"/>
      <c r="F173" s="1177"/>
      <c r="G173" s="1177"/>
      <c r="H173" s="1177"/>
    </row>
    <row r="174" spans="1:8" x14ac:dyDescent="0.2">
      <c r="A174" s="1177"/>
      <c r="B174" s="1177"/>
      <c r="C174" s="1177"/>
      <c r="D174" s="1177"/>
      <c r="E174" s="1177"/>
      <c r="F174" s="1177"/>
      <c r="G174" s="1177"/>
      <c r="H174" s="1177"/>
    </row>
    <row r="175" spans="1:8" x14ac:dyDescent="0.2">
      <c r="A175" s="1178" t="s">
        <v>867</v>
      </c>
      <c r="B175" s="1177"/>
      <c r="C175" s="1177"/>
      <c r="D175" s="1177"/>
      <c r="E175" s="1177"/>
      <c r="F175" s="1177"/>
      <c r="G175" s="1177"/>
      <c r="H175" s="1177"/>
    </row>
    <row r="176" spans="1:8" x14ac:dyDescent="0.2">
      <c r="A176" s="1177"/>
      <c r="B176" s="1177"/>
      <c r="C176" s="1177"/>
      <c r="D176" s="1177"/>
      <c r="E176" s="1177"/>
      <c r="F176" s="1177"/>
      <c r="G176" s="1177"/>
      <c r="H176" s="1177"/>
    </row>
    <row r="177" spans="1:8" ht="15.75" x14ac:dyDescent="0.2">
      <c r="A177" s="1179" t="s">
        <v>868</v>
      </c>
      <c r="B177" s="1177"/>
      <c r="C177" s="1177"/>
      <c r="D177" s="1177"/>
      <c r="E177" s="1177"/>
      <c r="F177" s="1177"/>
      <c r="G177" s="1177"/>
      <c r="H177" s="1177"/>
    </row>
    <row r="178" spans="1:8" x14ac:dyDescent="0.2">
      <c r="A178" s="1177"/>
      <c r="B178" s="1177"/>
      <c r="C178" s="1177"/>
      <c r="D178" s="1177"/>
      <c r="E178" s="1177"/>
      <c r="F178" s="1177"/>
      <c r="G178" s="1177"/>
      <c r="H178" s="1177"/>
    </row>
    <row r="179" spans="1:8" x14ac:dyDescent="0.2">
      <c r="A179" s="1177"/>
      <c r="B179" s="1177"/>
      <c r="C179" s="1177"/>
      <c r="D179" s="1177"/>
      <c r="E179" s="1177"/>
      <c r="F179" s="1177"/>
      <c r="G179" s="1177"/>
      <c r="H179" s="1177"/>
    </row>
    <row r="180" spans="1:8" x14ac:dyDescent="0.2">
      <c r="A180" s="1177"/>
      <c r="B180" s="1177"/>
      <c r="C180" s="1177"/>
      <c r="D180" s="1177"/>
      <c r="E180" s="1177"/>
      <c r="F180" s="1177"/>
      <c r="G180" s="1177"/>
      <c r="H180" s="1177"/>
    </row>
    <row r="181" spans="1:8" x14ac:dyDescent="0.2">
      <c r="A181" s="1177"/>
      <c r="B181" s="1177"/>
      <c r="C181" s="1177"/>
      <c r="D181" s="1177"/>
      <c r="E181" s="1177"/>
      <c r="F181" s="1177"/>
      <c r="G181" s="1177"/>
      <c r="H181" s="1177"/>
    </row>
    <row r="182" spans="1:8" x14ac:dyDescent="0.2">
      <c r="A182" s="1177"/>
      <c r="B182" s="1177"/>
      <c r="C182" s="1177"/>
      <c r="D182" s="1177"/>
      <c r="E182" s="1177"/>
      <c r="F182" s="1177"/>
      <c r="G182" s="1177"/>
      <c r="H182" s="1177"/>
    </row>
    <row r="183" spans="1:8" x14ac:dyDescent="0.2">
      <c r="A183" s="1177"/>
      <c r="B183" s="1177"/>
      <c r="C183" s="1177"/>
      <c r="D183" s="1177"/>
      <c r="E183" s="1177"/>
      <c r="F183" s="1177"/>
      <c r="G183" s="1177"/>
      <c r="H183" s="1177"/>
    </row>
    <row r="184" spans="1:8" x14ac:dyDescent="0.2">
      <c r="A184" s="1177"/>
      <c r="B184" s="1177"/>
      <c r="C184" s="1177"/>
      <c r="D184" s="1177"/>
      <c r="E184" s="1177"/>
      <c r="F184" s="1177"/>
      <c r="G184" s="1177"/>
      <c r="H184" s="1177"/>
    </row>
    <row r="185" spans="1:8" x14ac:dyDescent="0.2">
      <c r="A185" s="1177"/>
      <c r="B185" s="1177"/>
      <c r="C185" s="1177"/>
      <c r="D185" s="1177"/>
      <c r="E185" s="1177"/>
      <c r="F185" s="1177"/>
      <c r="G185" s="1177"/>
      <c r="H185" s="1177"/>
    </row>
    <row r="186" spans="1:8" x14ac:dyDescent="0.2">
      <c r="A186" s="1177"/>
      <c r="B186" s="1177"/>
      <c r="C186" s="1177"/>
      <c r="D186" s="1177"/>
      <c r="E186" s="1177"/>
      <c r="F186" s="1177"/>
      <c r="G186" s="1177"/>
      <c r="H186" s="1177"/>
    </row>
    <row r="187" spans="1:8" x14ac:dyDescent="0.2">
      <c r="A187" s="1177"/>
      <c r="B187" s="1177"/>
      <c r="C187" s="1177"/>
      <c r="D187" s="1177"/>
      <c r="E187" s="1177"/>
      <c r="F187" s="1177"/>
      <c r="G187" s="1177"/>
      <c r="H187" s="1177"/>
    </row>
    <row r="188" spans="1:8" x14ac:dyDescent="0.2">
      <c r="A188" s="1177"/>
      <c r="B188" s="1177"/>
      <c r="C188" s="1177"/>
      <c r="D188" s="1177"/>
      <c r="E188" s="1177"/>
      <c r="F188" s="1177"/>
      <c r="G188" s="1177"/>
      <c r="H188" s="1177"/>
    </row>
    <row r="189" spans="1:8" x14ac:dyDescent="0.2">
      <c r="A189" s="1177"/>
      <c r="B189" s="1177"/>
      <c r="C189" s="1177"/>
      <c r="D189" s="1177"/>
      <c r="E189" s="1177"/>
      <c r="F189" s="1177"/>
      <c r="G189" s="1177"/>
      <c r="H189" s="1177"/>
    </row>
    <row r="190" spans="1:8" x14ac:dyDescent="0.2">
      <c r="A190" s="1177"/>
      <c r="B190" s="1177"/>
      <c r="C190" s="1177"/>
      <c r="D190" s="1177"/>
      <c r="E190" s="1177"/>
      <c r="F190" s="1177"/>
      <c r="G190" s="1177"/>
      <c r="H190" s="1177"/>
    </row>
    <row r="191" spans="1:8" x14ac:dyDescent="0.2">
      <c r="A191" s="1177"/>
      <c r="B191" s="1177"/>
      <c r="C191" s="1177"/>
      <c r="D191" s="1177"/>
      <c r="E191" s="1177"/>
      <c r="F191" s="1177"/>
      <c r="G191" s="1177"/>
      <c r="H191" s="1177"/>
    </row>
    <row r="192" spans="1:8" x14ac:dyDescent="0.2">
      <c r="A192" s="1177"/>
      <c r="B192" s="1177"/>
      <c r="C192" s="1177"/>
      <c r="D192" s="1177"/>
      <c r="E192" s="1177"/>
      <c r="F192" s="1177"/>
      <c r="G192" s="1177"/>
      <c r="H192" s="1177"/>
    </row>
    <row r="193" spans="1:8" x14ac:dyDescent="0.2">
      <c r="A193" s="1177"/>
      <c r="B193" s="1177"/>
      <c r="C193" s="1177"/>
      <c r="D193" s="1177"/>
      <c r="E193" s="1177"/>
      <c r="F193" s="1177"/>
      <c r="G193" s="1177"/>
      <c r="H193" s="1177"/>
    </row>
    <row r="194" spans="1:8" x14ac:dyDescent="0.2">
      <c r="A194" s="1177"/>
      <c r="B194" s="1177"/>
      <c r="C194" s="1177"/>
      <c r="D194" s="1177"/>
      <c r="E194" s="1177"/>
      <c r="F194" s="1177"/>
      <c r="G194" s="1177"/>
      <c r="H194" s="1177"/>
    </row>
    <row r="195" spans="1:8" x14ac:dyDescent="0.2">
      <c r="A195" s="1177"/>
      <c r="B195" s="1177"/>
      <c r="C195" s="1177"/>
      <c r="D195" s="1177"/>
      <c r="E195" s="1177"/>
      <c r="F195" s="1177"/>
      <c r="G195" s="1177"/>
      <c r="H195" s="1177"/>
    </row>
    <row r="196" spans="1:8" x14ac:dyDescent="0.2">
      <c r="A196" s="1177"/>
      <c r="B196" s="1177"/>
      <c r="C196" s="1177"/>
      <c r="D196" s="1177"/>
      <c r="E196" s="1177"/>
      <c r="F196" s="1177"/>
      <c r="G196" s="1177"/>
      <c r="H196" s="1177"/>
    </row>
    <row r="197" spans="1:8" x14ac:dyDescent="0.2">
      <c r="A197" s="1177"/>
      <c r="B197" s="1177"/>
      <c r="C197" s="1177"/>
      <c r="D197" s="1177"/>
      <c r="E197" s="1177"/>
      <c r="F197" s="1177"/>
      <c r="G197" s="1177"/>
      <c r="H197" s="1177"/>
    </row>
    <row r="198" spans="1:8" x14ac:dyDescent="0.2">
      <c r="A198" s="1177"/>
      <c r="B198" s="1177"/>
      <c r="C198" s="1177"/>
      <c r="D198" s="1177"/>
      <c r="E198" s="1177"/>
      <c r="F198" s="1177"/>
      <c r="G198" s="1177"/>
      <c r="H198" s="1177"/>
    </row>
    <row r="199" spans="1:8" x14ac:dyDescent="0.2">
      <c r="A199" s="1177"/>
      <c r="B199" s="1177"/>
      <c r="C199" s="1177"/>
      <c r="D199" s="1177"/>
      <c r="E199" s="1177"/>
      <c r="F199" s="1177"/>
      <c r="G199" s="1177"/>
      <c r="H199" s="1177"/>
    </row>
    <row r="200" spans="1:8" x14ac:dyDescent="0.2">
      <c r="A200" s="1177"/>
      <c r="B200" s="1177"/>
      <c r="C200" s="1177"/>
      <c r="D200" s="1177"/>
      <c r="E200" s="1177"/>
      <c r="F200" s="1177"/>
      <c r="G200" s="1177"/>
      <c r="H200" s="1177"/>
    </row>
    <row r="201" spans="1:8" x14ac:dyDescent="0.2">
      <c r="A201" s="1177"/>
      <c r="B201" s="1177"/>
      <c r="C201" s="1177"/>
      <c r="D201" s="1177"/>
      <c r="E201" s="1177"/>
      <c r="F201" s="1177"/>
      <c r="G201" s="1177"/>
      <c r="H201" s="1177"/>
    </row>
    <row r="202" spans="1:8" x14ac:dyDescent="0.2">
      <c r="A202" s="1177"/>
      <c r="B202" s="1177"/>
      <c r="C202" s="1177"/>
      <c r="D202" s="1177"/>
      <c r="E202" s="1177"/>
      <c r="F202" s="1177"/>
      <c r="G202" s="1177"/>
      <c r="H202" s="1177"/>
    </row>
    <row r="203" spans="1:8" x14ac:dyDescent="0.2">
      <c r="A203" s="1177"/>
      <c r="B203" s="1177"/>
      <c r="C203" s="1177"/>
      <c r="D203" s="1177"/>
      <c r="E203" s="1177"/>
      <c r="F203" s="1177"/>
      <c r="G203" s="1177"/>
      <c r="H203" s="1177"/>
    </row>
    <row r="204" spans="1:8" ht="15.75" x14ac:dyDescent="0.2">
      <c r="A204" s="1179" t="s">
        <v>869</v>
      </c>
      <c r="B204" s="1177"/>
      <c r="C204" s="1177"/>
      <c r="D204" s="1177"/>
      <c r="E204" s="1177"/>
      <c r="F204" s="1177"/>
      <c r="G204" s="1177"/>
      <c r="H204" s="1177"/>
    </row>
    <row r="205" spans="1:8" x14ac:dyDescent="0.2">
      <c r="A205" s="1177"/>
      <c r="B205" s="1177"/>
      <c r="C205" s="1177"/>
      <c r="D205" s="1177"/>
      <c r="E205" s="1177"/>
      <c r="F205" s="1177"/>
      <c r="G205" s="1177"/>
      <c r="H205" s="1177"/>
    </row>
    <row r="206" spans="1:8" x14ac:dyDescent="0.2">
      <c r="A206" s="1178" t="s">
        <v>1030</v>
      </c>
      <c r="B206" s="1177"/>
      <c r="C206" s="1177"/>
      <c r="D206" s="1177"/>
      <c r="E206" s="1177"/>
      <c r="F206" s="1177"/>
      <c r="G206" s="1177"/>
      <c r="H206" s="1177"/>
    </row>
    <row r="207" spans="1:8" x14ac:dyDescent="0.2">
      <c r="A207" s="1178" t="s">
        <v>1031</v>
      </c>
      <c r="B207" s="1177"/>
      <c r="C207" s="1177"/>
      <c r="D207" s="1177"/>
      <c r="E207" s="1177"/>
      <c r="F207" s="1177"/>
      <c r="G207" s="1177"/>
      <c r="H207" s="1177"/>
    </row>
    <row r="208" spans="1:8" x14ac:dyDescent="0.2">
      <c r="A208" s="1178" t="s">
        <v>1032</v>
      </c>
      <c r="B208" s="1177"/>
      <c r="C208" s="1177"/>
      <c r="D208" s="1177"/>
      <c r="E208" s="1177"/>
      <c r="F208" s="1177"/>
      <c r="G208" s="1177"/>
      <c r="H208" s="1177"/>
    </row>
    <row r="209" spans="1:8" x14ac:dyDescent="0.2">
      <c r="A209" s="1178" t="s">
        <v>1033</v>
      </c>
      <c r="B209" s="1177"/>
      <c r="C209" s="1177"/>
      <c r="D209" s="1177"/>
      <c r="E209" s="1177"/>
      <c r="F209" s="1177"/>
      <c r="G209" s="1177"/>
      <c r="H209" s="1177"/>
    </row>
    <row r="210" spans="1:8" x14ac:dyDescent="0.2">
      <c r="A210" s="1178" t="s">
        <v>1034</v>
      </c>
      <c r="B210" s="1177"/>
      <c r="C210" s="1177"/>
      <c r="D210" s="1177"/>
      <c r="E210" s="1177"/>
      <c r="F210" s="1177"/>
      <c r="G210" s="1177"/>
      <c r="H210" s="1177"/>
    </row>
    <row r="211" spans="1:8" x14ac:dyDescent="0.2">
      <c r="A211" s="1177"/>
      <c r="B211" s="1177"/>
      <c r="C211" s="1177"/>
      <c r="D211" s="1177"/>
      <c r="E211" s="1177"/>
      <c r="F211" s="1177"/>
      <c r="G211" s="1177"/>
      <c r="H211" s="1177"/>
    </row>
    <row r="212" spans="1:8" x14ac:dyDescent="0.2">
      <c r="A212" s="1178" t="s">
        <v>1027</v>
      </c>
      <c r="B212" s="1177"/>
      <c r="C212" s="1177"/>
      <c r="D212" s="1177"/>
      <c r="E212" s="1177"/>
      <c r="F212" s="1177"/>
      <c r="G212" s="1177"/>
      <c r="H212" s="1177"/>
    </row>
    <row r="213" spans="1:8" x14ac:dyDescent="0.2">
      <c r="A213" s="1178" t="s">
        <v>1028</v>
      </c>
      <c r="B213" s="1177"/>
      <c r="C213" s="1177"/>
      <c r="D213" s="1177"/>
      <c r="E213" s="1177"/>
      <c r="F213" s="1177"/>
      <c r="G213" s="1177"/>
      <c r="H213" s="1177"/>
    </row>
    <row r="214" spans="1:8" x14ac:dyDescent="0.2">
      <c r="A214" s="1178" t="s">
        <v>1029</v>
      </c>
      <c r="B214" s="1177"/>
      <c r="C214" s="1177"/>
      <c r="D214" s="1177"/>
      <c r="E214" s="1177"/>
      <c r="F214" s="1177"/>
      <c r="G214" s="1177"/>
      <c r="H214" s="1177"/>
    </row>
    <row r="215" spans="1:8" ht="15.75" x14ac:dyDescent="0.2">
      <c r="A215" s="1179" t="s">
        <v>870</v>
      </c>
      <c r="B215" s="1177"/>
      <c r="C215" s="1177"/>
      <c r="D215" s="1177"/>
      <c r="E215" s="1177"/>
      <c r="F215" s="1177"/>
      <c r="G215" s="1177"/>
      <c r="H215" s="1177"/>
    </row>
    <row r="216" spans="1:8" x14ac:dyDescent="0.2">
      <c r="A216" s="1177"/>
      <c r="B216" s="1177"/>
      <c r="C216" s="1177"/>
      <c r="D216" s="1177"/>
      <c r="E216" s="1177"/>
      <c r="F216" s="1177"/>
      <c r="G216" s="1177"/>
      <c r="H216" s="1177"/>
    </row>
    <row r="217" spans="1:8" x14ac:dyDescent="0.2">
      <c r="A217" s="1178" t="s">
        <v>1025</v>
      </c>
      <c r="B217" s="1177"/>
      <c r="C217" s="1177"/>
      <c r="D217" s="1177"/>
      <c r="E217" s="1177"/>
      <c r="F217" s="1177"/>
      <c r="G217" s="1177"/>
      <c r="H217" s="1177"/>
    </row>
    <row r="218" spans="1:8" x14ac:dyDescent="0.2">
      <c r="A218" s="1178" t="s">
        <v>1026</v>
      </c>
      <c r="B218" s="1177"/>
      <c r="C218" s="1177"/>
      <c r="D218" s="1177"/>
      <c r="E218" s="1177"/>
      <c r="F218" s="1177"/>
      <c r="G218" s="1177"/>
      <c r="H218" s="1177"/>
    </row>
    <row r="219" spans="1:8" x14ac:dyDescent="0.2">
      <c r="A219" s="1177"/>
      <c r="B219" s="1177"/>
      <c r="C219" s="1177"/>
      <c r="D219" s="1177"/>
      <c r="E219" s="1177"/>
      <c r="F219" s="1177"/>
      <c r="G219" s="1177"/>
      <c r="H219" s="1177"/>
    </row>
    <row r="220" spans="1:8" x14ac:dyDescent="0.2">
      <c r="A220" s="1178" t="s">
        <v>1018</v>
      </c>
      <c r="B220" s="1177"/>
      <c r="C220" s="1177"/>
      <c r="D220" s="1177"/>
      <c r="E220" s="1177"/>
      <c r="F220" s="1177"/>
      <c r="G220" s="1177"/>
      <c r="H220" s="1177"/>
    </row>
    <row r="221" spans="1:8" x14ac:dyDescent="0.2">
      <c r="A221" s="1178" t="s">
        <v>1019</v>
      </c>
      <c r="B221" s="1177"/>
      <c r="C221" s="1177"/>
      <c r="D221" s="1177"/>
      <c r="E221" s="1177"/>
      <c r="F221" s="1177"/>
      <c r="G221" s="1177"/>
      <c r="H221" s="1177"/>
    </row>
    <row r="222" spans="1:8" x14ac:dyDescent="0.2">
      <c r="A222" s="1178" t="s">
        <v>1020</v>
      </c>
      <c r="B222" s="1177"/>
      <c r="C222" s="1177"/>
      <c r="D222" s="1177"/>
      <c r="E222" s="1177"/>
      <c r="F222" s="1177"/>
      <c r="G222" s="1177"/>
      <c r="H222" s="1177"/>
    </row>
    <row r="223" spans="1:8" x14ac:dyDescent="0.2">
      <c r="A223" s="1178" t="s">
        <v>1021</v>
      </c>
      <c r="B223" s="1177"/>
      <c r="C223" s="1177"/>
      <c r="D223" s="1177"/>
      <c r="E223" s="1177"/>
      <c r="F223" s="1177"/>
      <c r="G223" s="1177"/>
      <c r="H223" s="1177"/>
    </row>
    <row r="224" spans="1:8" x14ac:dyDescent="0.2">
      <c r="A224" s="1178" t="s">
        <v>1022</v>
      </c>
      <c r="B224" s="1177"/>
      <c r="C224" s="1177"/>
      <c r="D224" s="1177"/>
      <c r="E224" s="1177"/>
      <c r="F224" s="1177"/>
      <c r="G224" s="1177"/>
      <c r="H224" s="1177"/>
    </row>
    <row r="225" spans="1:8" x14ac:dyDescent="0.2">
      <c r="A225" s="1178" t="s">
        <v>1023</v>
      </c>
      <c r="B225" s="1177"/>
      <c r="C225" s="1177"/>
      <c r="D225" s="1177"/>
      <c r="E225" s="1177"/>
      <c r="F225" s="1177"/>
      <c r="G225" s="1177"/>
      <c r="H225" s="1177"/>
    </row>
    <row r="226" spans="1:8" x14ac:dyDescent="0.2">
      <c r="A226" s="1178" t="s">
        <v>1024</v>
      </c>
      <c r="B226" s="1177"/>
      <c r="C226" s="1177"/>
      <c r="D226" s="1177"/>
      <c r="E226" s="1177"/>
      <c r="F226" s="1177"/>
      <c r="G226" s="1177"/>
      <c r="H226" s="1177"/>
    </row>
    <row r="227" spans="1:8" x14ac:dyDescent="0.2">
      <c r="A227" s="1177"/>
      <c r="B227" s="1177"/>
      <c r="C227" s="1177"/>
      <c r="D227" s="1177"/>
      <c r="E227" s="1177"/>
      <c r="F227" s="1177"/>
      <c r="G227" s="1177"/>
      <c r="H227" s="1177"/>
    </row>
    <row r="228" spans="1:8" x14ac:dyDescent="0.2">
      <c r="A228" s="1178" t="s">
        <v>1015</v>
      </c>
      <c r="B228" s="1177"/>
      <c r="C228" s="1177"/>
      <c r="D228" s="1177"/>
      <c r="E228" s="1177"/>
      <c r="F228" s="1177"/>
      <c r="G228" s="1177"/>
      <c r="H228" s="1177"/>
    </row>
    <row r="229" spans="1:8" x14ac:dyDescent="0.2">
      <c r="A229" s="1178" t="s">
        <v>1016</v>
      </c>
      <c r="B229" s="1177"/>
      <c r="C229" s="1177"/>
      <c r="D229" s="1177"/>
      <c r="E229" s="1177"/>
      <c r="F229" s="1177"/>
      <c r="G229" s="1177"/>
      <c r="H229" s="1177"/>
    </row>
    <row r="230" spans="1:8" x14ac:dyDescent="0.2">
      <c r="A230" s="1178" t="s">
        <v>1017</v>
      </c>
      <c r="B230" s="1177"/>
      <c r="C230" s="1177"/>
      <c r="D230" s="1177"/>
      <c r="E230" s="1177"/>
      <c r="F230" s="1177"/>
      <c r="G230" s="1177"/>
      <c r="H230" s="1177"/>
    </row>
    <row r="231" spans="1:8" x14ac:dyDescent="0.2">
      <c r="A231" s="1177"/>
      <c r="B231" s="1177"/>
      <c r="C231" s="1177"/>
      <c r="D231" s="1177"/>
      <c r="E231" s="1177"/>
      <c r="F231" s="1177"/>
      <c r="G231" s="1177"/>
      <c r="H231" s="1177"/>
    </row>
    <row r="232" spans="1:8" x14ac:dyDescent="0.2">
      <c r="A232" s="1178" t="s">
        <v>1010</v>
      </c>
      <c r="B232" s="1177"/>
      <c r="C232" s="1177"/>
      <c r="D232" s="1177"/>
      <c r="E232" s="1177"/>
      <c r="F232" s="1177"/>
      <c r="G232" s="1177"/>
      <c r="H232" s="1177"/>
    </row>
    <row r="233" spans="1:8" x14ac:dyDescent="0.2">
      <c r="A233" s="1178" t="s">
        <v>1011</v>
      </c>
      <c r="B233" s="1177"/>
      <c r="C233" s="1177"/>
      <c r="D233" s="1177"/>
      <c r="E233" s="1177"/>
      <c r="F233" s="1177"/>
      <c r="G233" s="1177"/>
      <c r="H233" s="1177"/>
    </row>
    <row r="234" spans="1:8" x14ac:dyDescent="0.2">
      <c r="A234" s="1178" t="s">
        <v>1012</v>
      </c>
      <c r="B234" s="1177"/>
      <c r="C234" s="1177"/>
      <c r="D234" s="1177"/>
      <c r="E234" s="1177"/>
      <c r="F234" s="1177"/>
      <c r="G234" s="1177"/>
      <c r="H234" s="1177"/>
    </row>
    <row r="235" spans="1:8" x14ac:dyDescent="0.2">
      <c r="A235" s="1178" t="s">
        <v>1013</v>
      </c>
      <c r="B235" s="1177"/>
      <c r="C235" s="1177"/>
      <c r="D235" s="1177"/>
      <c r="E235" s="1177"/>
      <c r="F235" s="1177"/>
      <c r="G235" s="1177"/>
      <c r="H235" s="1177"/>
    </row>
    <row r="236" spans="1:8" x14ac:dyDescent="0.2">
      <c r="A236" s="1178" t="s">
        <v>1014</v>
      </c>
      <c r="B236" s="1177"/>
      <c r="C236" s="1177"/>
      <c r="D236" s="1177"/>
      <c r="E236" s="1177"/>
      <c r="F236" s="1177"/>
      <c r="G236" s="1177"/>
      <c r="H236" s="1177"/>
    </row>
    <row r="237" spans="1:8" x14ac:dyDescent="0.2">
      <c r="A237" s="1177"/>
      <c r="B237" s="1177"/>
      <c r="C237" s="1177"/>
      <c r="D237" s="1177"/>
      <c r="E237" s="1177"/>
      <c r="F237" s="1177"/>
      <c r="G237" s="1177"/>
      <c r="H237" s="1177"/>
    </row>
    <row r="238" spans="1:8" x14ac:dyDescent="0.2">
      <c r="A238" s="1178" t="s">
        <v>1004</v>
      </c>
      <c r="B238" s="1177"/>
      <c r="C238" s="1177"/>
      <c r="D238" s="1177"/>
      <c r="E238" s="1177"/>
      <c r="F238" s="1177"/>
      <c r="G238" s="1177"/>
      <c r="H238" s="1177"/>
    </row>
    <row r="239" spans="1:8" x14ac:dyDescent="0.2">
      <c r="A239" s="1178" t="s">
        <v>1005</v>
      </c>
      <c r="B239" s="1177"/>
      <c r="C239" s="1177"/>
      <c r="D239" s="1177"/>
      <c r="E239" s="1177"/>
      <c r="F239" s="1177"/>
      <c r="G239" s="1177"/>
      <c r="H239" s="1177"/>
    </row>
    <row r="240" spans="1:8" x14ac:dyDescent="0.2">
      <c r="A240" s="1178" t="s">
        <v>1006</v>
      </c>
      <c r="B240" s="1177"/>
      <c r="C240" s="1177"/>
      <c r="D240" s="1177"/>
      <c r="E240" s="1177"/>
      <c r="F240" s="1177"/>
      <c r="G240" s="1177"/>
      <c r="H240" s="1177"/>
    </row>
    <row r="241" spans="1:8" x14ac:dyDescent="0.2">
      <c r="A241" s="1178" t="s">
        <v>1007</v>
      </c>
      <c r="B241" s="1177"/>
      <c r="C241" s="1177"/>
      <c r="D241" s="1177"/>
      <c r="E241" s="1177"/>
      <c r="F241" s="1177"/>
      <c r="G241" s="1177"/>
      <c r="H241" s="1177"/>
    </row>
    <row r="242" spans="1:8" x14ac:dyDescent="0.2">
      <c r="A242" s="1178" t="s">
        <v>1008</v>
      </c>
      <c r="B242" s="1177"/>
      <c r="C242" s="1177"/>
      <c r="D242" s="1177"/>
      <c r="E242" s="1177"/>
      <c r="F242" s="1177"/>
      <c r="G242" s="1177"/>
      <c r="H242" s="1177"/>
    </row>
    <row r="243" spans="1:8" x14ac:dyDescent="0.2">
      <c r="A243" s="1178" t="s">
        <v>1009</v>
      </c>
      <c r="B243" s="1177"/>
      <c r="C243" s="1177"/>
      <c r="D243" s="1177"/>
      <c r="E243" s="1177"/>
      <c r="F243" s="1177"/>
      <c r="G243" s="1177"/>
      <c r="H243" s="1177"/>
    </row>
    <row r="244" spans="1:8" x14ac:dyDescent="0.2">
      <c r="A244" s="1177"/>
      <c r="B244" s="1177"/>
      <c r="C244" s="1177"/>
      <c r="D244" s="1177"/>
      <c r="E244" s="1177"/>
      <c r="F244" s="1177"/>
      <c r="G244" s="1177"/>
      <c r="H244" s="1177"/>
    </row>
    <row r="245" spans="1:8" x14ac:dyDescent="0.2">
      <c r="A245" s="1178" t="s">
        <v>994</v>
      </c>
      <c r="B245" s="1177"/>
      <c r="C245" s="1177"/>
      <c r="D245" s="1177"/>
      <c r="E245" s="1177"/>
      <c r="F245" s="1177"/>
      <c r="G245" s="1177"/>
      <c r="H245" s="1177"/>
    </row>
    <row r="246" spans="1:8" x14ac:dyDescent="0.2">
      <c r="A246" s="1178" t="s">
        <v>995</v>
      </c>
      <c r="B246" s="1177"/>
      <c r="C246" s="1177"/>
      <c r="D246" s="1177"/>
      <c r="E246" s="1177"/>
      <c r="F246" s="1177"/>
      <c r="G246" s="1177"/>
      <c r="H246" s="1177"/>
    </row>
    <row r="247" spans="1:8" x14ac:dyDescent="0.2">
      <c r="A247" s="1178" t="s">
        <v>996</v>
      </c>
      <c r="B247" s="1177"/>
      <c r="C247" s="1177"/>
      <c r="D247" s="1177"/>
      <c r="E247" s="1177"/>
      <c r="F247" s="1177"/>
      <c r="G247" s="1177"/>
      <c r="H247" s="1177"/>
    </row>
    <row r="248" spans="1:8" x14ac:dyDescent="0.2">
      <c r="A248" s="1178" t="s">
        <v>997</v>
      </c>
      <c r="B248" s="1177"/>
      <c r="C248" s="1177"/>
      <c r="D248" s="1177"/>
      <c r="E248" s="1177"/>
      <c r="F248" s="1177"/>
      <c r="G248" s="1177"/>
      <c r="H248" s="1177"/>
    </row>
    <row r="249" spans="1:8" x14ac:dyDescent="0.2">
      <c r="A249" s="1178" t="s">
        <v>998</v>
      </c>
      <c r="B249" s="1177"/>
      <c r="C249" s="1177"/>
      <c r="D249" s="1177"/>
      <c r="E249" s="1177"/>
      <c r="F249" s="1177"/>
      <c r="G249" s="1177"/>
      <c r="H249" s="1177"/>
    </row>
    <row r="250" spans="1:8" x14ac:dyDescent="0.2">
      <c r="A250" s="1178" t="s">
        <v>999</v>
      </c>
      <c r="B250" s="1177"/>
      <c r="C250" s="1177"/>
      <c r="D250" s="1177"/>
      <c r="E250" s="1177"/>
      <c r="F250" s="1177"/>
      <c r="G250" s="1177"/>
      <c r="H250" s="1177"/>
    </row>
    <row r="251" spans="1:8" x14ac:dyDescent="0.2">
      <c r="A251" s="1178" t="s">
        <v>1000</v>
      </c>
      <c r="B251" s="1177"/>
      <c r="C251" s="1177"/>
      <c r="D251" s="1177"/>
      <c r="E251" s="1177"/>
      <c r="F251" s="1177"/>
      <c r="G251" s="1177"/>
      <c r="H251" s="1177"/>
    </row>
    <row r="252" spans="1:8" x14ac:dyDescent="0.2">
      <c r="A252" s="1178" t="s">
        <v>1001</v>
      </c>
      <c r="B252" s="1177"/>
      <c r="C252" s="1177"/>
      <c r="D252" s="1177"/>
      <c r="E252" s="1177"/>
      <c r="F252" s="1177"/>
      <c r="G252" s="1177"/>
      <c r="H252" s="1177"/>
    </row>
    <row r="253" spans="1:8" x14ac:dyDescent="0.2">
      <c r="A253" s="1178" t="s">
        <v>1002</v>
      </c>
      <c r="B253" s="1177"/>
      <c r="C253" s="1177"/>
      <c r="D253" s="1177"/>
      <c r="E253" s="1177"/>
      <c r="F253" s="1177"/>
      <c r="G253" s="1177"/>
      <c r="H253" s="1177"/>
    </row>
    <row r="254" spans="1:8" x14ac:dyDescent="0.2">
      <c r="A254" s="1178" t="s">
        <v>1003</v>
      </c>
      <c r="B254" s="1177"/>
      <c r="C254" s="1177"/>
      <c r="D254" s="1177"/>
      <c r="E254" s="1177"/>
      <c r="F254" s="1177"/>
      <c r="G254" s="1177"/>
      <c r="H254" s="1177"/>
    </row>
    <row r="255" spans="1:8" x14ac:dyDescent="0.2">
      <c r="A255" s="1177"/>
      <c r="B255" s="1177"/>
      <c r="C255" s="1177"/>
      <c r="D255" s="1177"/>
      <c r="E255" s="1177"/>
      <c r="F255" s="1177"/>
      <c r="G255" s="1177"/>
      <c r="H255" s="1177"/>
    </row>
    <row r="256" spans="1:8" x14ac:dyDescent="0.2">
      <c r="A256" s="1178" t="s">
        <v>992</v>
      </c>
      <c r="B256" s="1177"/>
      <c r="C256" s="1177"/>
      <c r="D256" s="1177"/>
      <c r="E256" s="1177"/>
      <c r="F256" s="1177"/>
      <c r="G256" s="1177"/>
      <c r="H256" s="1177"/>
    </row>
    <row r="257" spans="1:8" x14ac:dyDescent="0.2">
      <c r="A257" s="1178" t="s">
        <v>993</v>
      </c>
      <c r="B257" s="1177"/>
      <c r="C257" s="1177"/>
      <c r="D257" s="1177"/>
      <c r="E257" s="1177"/>
      <c r="F257" s="1177"/>
      <c r="G257" s="1177"/>
      <c r="H257" s="1177"/>
    </row>
    <row r="258" spans="1:8" x14ac:dyDescent="0.2">
      <c r="A258" s="1177"/>
      <c r="B258" s="1177"/>
      <c r="C258" s="1177"/>
      <c r="D258" s="1177"/>
      <c r="E258" s="1177"/>
      <c r="F258" s="1177"/>
      <c r="G258" s="1177"/>
      <c r="H258" s="1177"/>
    </row>
    <row r="259" spans="1:8" x14ac:dyDescent="0.2">
      <c r="A259" s="1178" t="s">
        <v>976</v>
      </c>
      <c r="B259" s="1177"/>
      <c r="C259" s="1177"/>
      <c r="D259" s="1177"/>
      <c r="E259" s="1177"/>
      <c r="F259" s="1177"/>
      <c r="G259" s="1177"/>
      <c r="H259" s="1177"/>
    </row>
    <row r="260" spans="1:8" x14ac:dyDescent="0.2">
      <c r="A260" s="1178" t="s">
        <v>977</v>
      </c>
      <c r="B260" s="1177"/>
      <c r="C260" s="1177"/>
      <c r="D260" s="1177"/>
      <c r="E260" s="1177"/>
      <c r="F260" s="1177"/>
      <c r="G260" s="1177"/>
      <c r="H260" s="1177"/>
    </row>
    <row r="261" spans="1:8" x14ac:dyDescent="0.2">
      <c r="A261" s="1178" t="s">
        <v>978</v>
      </c>
      <c r="B261" s="1177"/>
      <c r="C261" s="1177"/>
      <c r="D261" s="1177"/>
      <c r="E261" s="1177"/>
      <c r="F261" s="1177"/>
      <c r="G261" s="1177"/>
      <c r="H261" s="1177"/>
    </row>
    <row r="262" spans="1:8" x14ac:dyDescent="0.2">
      <c r="A262" s="1178" t="s">
        <v>979</v>
      </c>
      <c r="B262" s="1177"/>
      <c r="C262" s="1177"/>
      <c r="D262" s="1177"/>
      <c r="E262" s="1177"/>
      <c r="F262" s="1177"/>
      <c r="G262" s="1177"/>
      <c r="H262" s="1177"/>
    </row>
    <row r="263" spans="1:8" x14ac:dyDescent="0.2">
      <c r="A263" s="1178" t="s">
        <v>980</v>
      </c>
      <c r="B263" s="1177"/>
      <c r="C263" s="1177"/>
      <c r="D263" s="1177"/>
      <c r="E263" s="1177"/>
      <c r="F263" s="1177"/>
      <c r="G263" s="1177"/>
      <c r="H263" s="1177"/>
    </row>
    <row r="264" spans="1:8" x14ac:dyDescent="0.2">
      <c r="A264" s="1178" t="s">
        <v>981</v>
      </c>
      <c r="B264" s="1177"/>
      <c r="C264" s="1177"/>
      <c r="D264" s="1177"/>
      <c r="E264" s="1177"/>
      <c r="F264" s="1177"/>
      <c r="G264" s="1177"/>
      <c r="H264" s="1177"/>
    </row>
    <row r="265" spans="1:8" x14ac:dyDescent="0.2">
      <c r="A265" s="1178" t="s">
        <v>982</v>
      </c>
      <c r="B265" s="1177"/>
      <c r="C265" s="1177"/>
      <c r="D265" s="1177"/>
      <c r="E265" s="1177"/>
      <c r="F265" s="1177"/>
      <c r="G265" s="1177"/>
      <c r="H265" s="1177"/>
    </row>
    <row r="266" spans="1:8" x14ac:dyDescent="0.2">
      <c r="A266" s="1178" t="s">
        <v>983</v>
      </c>
      <c r="B266" s="1177"/>
      <c r="C266" s="1177"/>
      <c r="D266" s="1177"/>
      <c r="E266" s="1177"/>
      <c r="F266" s="1177"/>
      <c r="G266" s="1177"/>
      <c r="H266" s="1177"/>
    </row>
    <row r="267" spans="1:8" x14ac:dyDescent="0.2">
      <c r="A267" s="1178" t="s">
        <v>984</v>
      </c>
      <c r="B267" s="1177"/>
      <c r="C267" s="1177"/>
      <c r="D267" s="1177"/>
      <c r="E267" s="1177"/>
      <c r="F267" s="1177"/>
      <c r="G267" s="1177"/>
      <c r="H267" s="1177"/>
    </row>
    <row r="268" spans="1:8" x14ac:dyDescent="0.2">
      <c r="A268" s="1178" t="s">
        <v>985</v>
      </c>
      <c r="B268" s="1177"/>
      <c r="C268" s="1177"/>
      <c r="D268" s="1177"/>
      <c r="E268" s="1177"/>
      <c r="F268" s="1177"/>
      <c r="G268" s="1177"/>
      <c r="H268" s="1177"/>
    </row>
    <row r="269" spans="1:8" x14ac:dyDescent="0.2">
      <c r="A269" s="1178" t="s">
        <v>986</v>
      </c>
      <c r="B269" s="1177"/>
      <c r="C269" s="1177"/>
      <c r="D269" s="1177"/>
      <c r="E269" s="1177"/>
      <c r="F269" s="1177"/>
      <c r="G269" s="1177"/>
      <c r="H269" s="1177"/>
    </row>
    <row r="270" spans="1:8" x14ac:dyDescent="0.2">
      <c r="A270" s="1178" t="s">
        <v>987</v>
      </c>
      <c r="B270" s="1177"/>
      <c r="C270" s="1177"/>
      <c r="D270" s="1177"/>
      <c r="E270" s="1177"/>
      <c r="F270" s="1177"/>
      <c r="G270" s="1177"/>
      <c r="H270" s="1177"/>
    </row>
    <row r="271" spans="1:8" x14ac:dyDescent="0.2">
      <c r="A271" s="1178" t="s">
        <v>988</v>
      </c>
      <c r="B271" s="1177"/>
      <c r="C271" s="1177"/>
      <c r="D271" s="1177"/>
      <c r="E271" s="1177"/>
      <c r="F271" s="1177"/>
      <c r="G271" s="1177"/>
      <c r="H271" s="1177"/>
    </row>
    <row r="272" spans="1:8" x14ac:dyDescent="0.2">
      <c r="A272" s="1178" t="s">
        <v>989</v>
      </c>
      <c r="B272" s="1177"/>
      <c r="C272" s="1177"/>
      <c r="D272" s="1177"/>
      <c r="E272" s="1177"/>
      <c r="F272" s="1177"/>
      <c r="G272" s="1177"/>
      <c r="H272" s="1177"/>
    </row>
    <row r="273" spans="1:8" x14ac:dyDescent="0.2">
      <c r="A273" s="1178" t="s">
        <v>990</v>
      </c>
      <c r="B273" s="1177"/>
      <c r="C273" s="1177"/>
      <c r="D273" s="1177"/>
      <c r="E273" s="1177"/>
      <c r="F273" s="1177"/>
      <c r="G273" s="1177"/>
      <c r="H273" s="1177"/>
    </row>
    <row r="274" spans="1:8" x14ac:dyDescent="0.2">
      <c r="A274" s="1178" t="s">
        <v>991</v>
      </c>
      <c r="B274" s="1177"/>
      <c r="C274" s="1177"/>
      <c r="D274" s="1177"/>
      <c r="E274" s="1177"/>
      <c r="F274" s="1177"/>
      <c r="G274" s="1177"/>
      <c r="H274" s="1177"/>
    </row>
    <row r="275" spans="1:8" x14ac:dyDescent="0.2">
      <c r="A275" s="1177"/>
      <c r="B275" s="1177"/>
      <c r="C275" s="1177"/>
      <c r="D275" s="1177"/>
      <c r="E275" s="1177"/>
      <c r="F275" s="1177"/>
      <c r="G275" s="1177"/>
      <c r="H275" s="1177"/>
    </row>
    <row r="276" spans="1:8" x14ac:dyDescent="0.2">
      <c r="A276" s="1178" t="s">
        <v>969</v>
      </c>
      <c r="B276" s="1177"/>
      <c r="C276" s="1177"/>
      <c r="D276" s="1177"/>
      <c r="E276" s="1177"/>
      <c r="F276" s="1177"/>
      <c r="G276" s="1177"/>
      <c r="H276" s="1177"/>
    </row>
    <row r="277" spans="1:8" x14ac:dyDescent="0.2">
      <c r="A277" s="1178" t="s">
        <v>970</v>
      </c>
      <c r="B277" s="1177"/>
      <c r="C277" s="1177"/>
      <c r="D277" s="1177"/>
      <c r="E277" s="1177"/>
      <c r="F277" s="1177"/>
      <c r="G277" s="1177"/>
      <c r="H277" s="1177"/>
    </row>
    <row r="278" spans="1:8" x14ac:dyDescent="0.2">
      <c r="A278" s="1178" t="s">
        <v>971</v>
      </c>
      <c r="B278" s="1177"/>
      <c r="C278" s="1177"/>
      <c r="D278" s="1177"/>
      <c r="E278" s="1177"/>
      <c r="F278" s="1177"/>
      <c r="G278" s="1177"/>
      <c r="H278" s="1177"/>
    </row>
    <row r="279" spans="1:8" x14ac:dyDescent="0.2">
      <c r="A279" s="1178" t="s">
        <v>972</v>
      </c>
      <c r="B279" s="1177"/>
      <c r="C279" s="1177"/>
      <c r="D279" s="1177"/>
      <c r="E279" s="1177"/>
      <c r="F279" s="1177"/>
      <c r="G279" s="1177"/>
      <c r="H279" s="1177"/>
    </row>
    <row r="280" spans="1:8" x14ac:dyDescent="0.2">
      <c r="A280" s="1178" t="s">
        <v>973</v>
      </c>
      <c r="B280" s="1177"/>
      <c r="C280" s="1177"/>
      <c r="D280" s="1177"/>
      <c r="E280" s="1177"/>
      <c r="F280" s="1177"/>
      <c r="G280" s="1177"/>
      <c r="H280" s="1177"/>
    </row>
    <row r="281" spans="1:8" x14ac:dyDescent="0.2">
      <c r="A281" s="1178" t="s">
        <v>974</v>
      </c>
      <c r="B281" s="1177"/>
      <c r="C281" s="1177"/>
      <c r="D281" s="1177"/>
      <c r="E281" s="1177"/>
      <c r="F281" s="1177"/>
      <c r="G281" s="1177"/>
      <c r="H281" s="1177"/>
    </row>
    <row r="282" spans="1:8" x14ac:dyDescent="0.2">
      <c r="A282" s="1178" t="s">
        <v>975</v>
      </c>
      <c r="B282" s="1177"/>
      <c r="C282" s="1177"/>
      <c r="D282" s="1177"/>
      <c r="E282" s="1177"/>
      <c r="F282" s="1177"/>
      <c r="G282" s="1177"/>
      <c r="H282" s="1177"/>
    </row>
    <row r="283" spans="1:8" x14ac:dyDescent="0.2">
      <c r="A283" s="1177"/>
      <c r="B283" s="1177"/>
      <c r="C283" s="1177"/>
      <c r="D283" s="1177"/>
      <c r="E283" s="1177"/>
      <c r="F283" s="1177"/>
      <c r="G283" s="1177"/>
      <c r="H283" s="1177"/>
    </row>
    <row r="284" spans="1:8" x14ac:dyDescent="0.2">
      <c r="A284" s="1178" t="s">
        <v>960</v>
      </c>
      <c r="B284" s="1177"/>
      <c r="C284" s="1177"/>
      <c r="D284" s="1177"/>
      <c r="E284" s="1177"/>
      <c r="F284" s="1177"/>
      <c r="G284" s="1177"/>
      <c r="H284" s="1177"/>
    </row>
    <row r="285" spans="1:8" x14ac:dyDescent="0.2">
      <c r="A285" s="1178" t="s">
        <v>961</v>
      </c>
      <c r="B285" s="1177"/>
      <c r="C285" s="1177"/>
      <c r="D285" s="1177"/>
      <c r="E285" s="1177"/>
      <c r="F285" s="1177"/>
      <c r="G285" s="1177"/>
      <c r="H285" s="1177"/>
    </row>
    <row r="286" spans="1:8" x14ac:dyDescent="0.2">
      <c r="A286" s="1178" t="s">
        <v>962</v>
      </c>
      <c r="B286" s="1177"/>
      <c r="C286" s="1177"/>
      <c r="D286" s="1177"/>
      <c r="E286" s="1177"/>
      <c r="F286" s="1177"/>
      <c r="G286" s="1177"/>
      <c r="H286" s="1177"/>
    </row>
    <row r="287" spans="1:8" x14ac:dyDescent="0.2">
      <c r="A287" s="1178" t="s">
        <v>963</v>
      </c>
      <c r="B287" s="1177"/>
      <c r="C287" s="1177"/>
      <c r="D287" s="1177"/>
      <c r="E287" s="1177"/>
      <c r="F287" s="1177"/>
      <c r="G287" s="1177"/>
      <c r="H287" s="1177"/>
    </row>
    <row r="288" spans="1:8" x14ac:dyDescent="0.2">
      <c r="A288" s="1178" t="s">
        <v>964</v>
      </c>
      <c r="B288" s="1177"/>
      <c r="C288" s="1177"/>
      <c r="D288" s="1177"/>
      <c r="E288" s="1177"/>
      <c r="F288" s="1177"/>
      <c r="G288" s="1177"/>
      <c r="H288" s="1177"/>
    </row>
    <row r="289" spans="1:8" x14ac:dyDescent="0.2">
      <c r="A289" s="1178" t="s">
        <v>965</v>
      </c>
      <c r="B289" s="1177"/>
      <c r="C289" s="1177"/>
      <c r="D289" s="1177"/>
      <c r="E289" s="1177"/>
      <c r="F289" s="1177"/>
      <c r="G289" s="1177"/>
      <c r="H289" s="1177"/>
    </row>
    <row r="290" spans="1:8" x14ac:dyDescent="0.2">
      <c r="A290" s="1178" t="s">
        <v>966</v>
      </c>
      <c r="B290" s="1177"/>
      <c r="C290" s="1177"/>
      <c r="D290" s="1177"/>
      <c r="E290" s="1177"/>
      <c r="F290" s="1177"/>
      <c r="G290" s="1177"/>
      <c r="H290" s="1177"/>
    </row>
    <row r="291" spans="1:8" x14ac:dyDescent="0.2">
      <c r="A291" s="1178" t="s">
        <v>967</v>
      </c>
      <c r="B291" s="1177"/>
      <c r="C291" s="1177"/>
      <c r="D291" s="1177"/>
      <c r="E291" s="1177"/>
      <c r="F291" s="1177"/>
      <c r="G291" s="1177"/>
      <c r="H291" s="1177"/>
    </row>
    <row r="292" spans="1:8" x14ac:dyDescent="0.2">
      <c r="A292" s="1178" t="s">
        <v>968</v>
      </c>
      <c r="B292" s="1177"/>
      <c r="C292" s="1177"/>
      <c r="D292" s="1177"/>
      <c r="E292" s="1177"/>
      <c r="F292" s="1177"/>
      <c r="G292" s="1177"/>
      <c r="H292" s="1177"/>
    </row>
    <row r="293" spans="1:8" x14ac:dyDescent="0.2">
      <c r="A293" s="1177"/>
      <c r="B293" s="1177"/>
      <c r="C293" s="1177"/>
      <c r="D293" s="1177"/>
      <c r="E293" s="1177"/>
      <c r="F293" s="1177"/>
      <c r="G293" s="1177"/>
      <c r="H293" s="1177"/>
    </row>
    <row r="294" spans="1:8" x14ac:dyDescent="0.2">
      <c r="A294" s="1178" t="s">
        <v>953</v>
      </c>
      <c r="B294" s="1177"/>
      <c r="C294" s="1177"/>
      <c r="D294" s="1177"/>
      <c r="E294" s="1177"/>
      <c r="F294" s="1177"/>
      <c r="G294" s="1177"/>
      <c r="H294" s="1177"/>
    </row>
    <row r="295" spans="1:8" x14ac:dyDescent="0.2">
      <c r="A295" s="1178" t="s">
        <v>954</v>
      </c>
      <c r="B295" s="1177"/>
      <c r="C295" s="1177"/>
      <c r="D295" s="1177"/>
      <c r="E295" s="1177"/>
      <c r="F295" s="1177"/>
      <c r="G295" s="1177"/>
      <c r="H295" s="1177"/>
    </row>
    <row r="296" spans="1:8" x14ac:dyDescent="0.2">
      <c r="A296" s="1178" t="s">
        <v>955</v>
      </c>
      <c r="B296" s="1177"/>
      <c r="C296" s="1177"/>
      <c r="D296" s="1177"/>
      <c r="E296" s="1177"/>
      <c r="F296" s="1177"/>
      <c r="G296" s="1177"/>
      <c r="H296" s="1177"/>
    </row>
    <row r="297" spans="1:8" x14ac:dyDescent="0.2">
      <c r="A297" s="1178" t="s">
        <v>956</v>
      </c>
      <c r="B297" s="1177"/>
      <c r="C297" s="1177"/>
      <c r="D297" s="1177"/>
      <c r="E297" s="1177"/>
      <c r="F297" s="1177"/>
      <c r="G297" s="1177"/>
      <c r="H297" s="1177"/>
    </row>
    <row r="298" spans="1:8" x14ac:dyDescent="0.2">
      <c r="A298" s="1178" t="s">
        <v>957</v>
      </c>
      <c r="B298" s="1177"/>
      <c r="C298" s="1177"/>
      <c r="D298" s="1177"/>
      <c r="E298" s="1177"/>
      <c r="F298" s="1177"/>
      <c r="G298" s="1177"/>
      <c r="H298" s="1177"/>
    </row>
    <row r="299" spans="1:8" x14ac:dyDescent="0.2">
      <c r="A299" s="1178" t="s">
        <v>958</v>
      </c>
      <c r="B299" s="1177"/>
      <c r="C299" s="1177"/>
      <c r="D299" s="1177"/>
      <c r="E299" s="1177"/>
      <c r="F299" s="1177"/>
      <c r="G299" s="1177"/>
      <c r="H299" s="1177"/>
    </row>
    <row r="300" spans="1:8" x14ac:dyDescent="0.2">
      <c r="A300" s="1178" t="s">
        <v>959</v>
      </c>
      <c r="B300" s="1177"/>
      <c r="C300" s="1177"/>
      <c r="D300" s="1177"/>
      <c r="E300" s="1177"/>
      <c r="F300" s="1177"/>
      <c r="G300" s="1177"/>
      <c r="H300" s="1177"/>
    </row>
    <row r="301" spans="1:8" x14ac:dyDescent="0.2">
      <c r="A301" s="1177"/>
      <c r="B301" s="1177"/>
      <c r="C301" s="1177"/>
      <c r="D301" s="1177"/>
      <c r="E301" s="1177"/>
      <c r="F301" s="1177"/>
      <c r="G301" s="1177"/>
      <c r="H301" s="1177"/>
    </row>
    <row r="302" spans="1:8" x14ac:dyDescent="0.2">
      <c r="A302" s="1178" t="s">
        <v>950</v>
      </c>
      <c r="B302" s="1177"/>
      <c r="C302" s="1177"/>
      <c r="D302" s="1177"/>
      <c r="E302" s="1177"/>
      <c r="F302" s="1177"/>
      <c r="G302" s="1177"/>
      <c r="H302" s="1177"/>
    </row>
    <row r="303" spans="1:8" x14ac:dyDescent="0.2">
      <c r="A303" s="1178" t="s">
        <v>951</v>
      </c>
      <c r="B303" s="1177"/>
      <c r="C303" s="1177"/>
      <c r="D303" s="1177"/>
      <c r="E303" s="1177"/>
      <c r="F303" s="1177"/>
      <c r="G303" s="1177"/>
      <c r="H303" s="1177"/>
    </row>
    <row r="304" spans="1:8" x14ac:dyDescent="0.2">
      <c r="A304" s="1178" t="s">
        <v>952</v>
      </c>
      <c r="B304" s="1177"/>
      <c r="C304" s="1177"/>
      <c r="D304" s="1177"/>
      <c r="E304" s="1177"/>
      <c r="F304" s="1177"/>
      <c r="G304" s="1177"/>
      <c r="H304" s="1177"/>
    </row>
    <row r="305" spans="1:8" x14ac:dyDescent="0.2">
      <c r="A305" s="1177"/>
      <c r="B305" s="1177"/>
      <c r="C305" s="1177"/>
      <c r="D305" s="1177"/>
      <c r="E305" s="1177"/>
      <c r="F305" s="1177"/>
      <c r="G305" s="1177"/>
      <c r="H305" s="1177"/>
    </row>
    <row r="306" spans="1:8" x14ac:dyDescent="0.2">
      <c r="A306" s="1178" t="s">
        <v>948</v>
      </c>
      <c r="B306" s="1177"/>
      <c r="C306" s="1177"/>
      <c r="D306" s="1177"/>
      <c r="E306" s="1177"/>
      <c r="F306" s="1177"/>
      <c r="G306" s="1177"/>
      <c r="H306" s="1177"/>
    </row>
    <row r="307" spans="1:8" x14ac:dyDescent="0.2">
      <c r="A307" s="1178" t="s">
        <v>949</v>
      </c>
      <c r="B307" s="1177"/>
      <c r="C307" s="1177"/>
      <c r="D307" s="1177"/>
      <c r="E307" s="1177"/>
      <c r="F307" s="1177"/>
      <c r="G307" s="1177"/>
      <c r="H307" s="1177"/>
    </row>
    <row r="308" spans="1:8" x14ac:dyDescent="0.2">
      <c r="A308" s="1177"/>
      <c r="B308" s="1177"/>
      <c r="C308" s="1177"/>
      <c r="D308" s="1177"/>
      <c r="E308" s="1177"/>
      <c r="F308" s="1177"/>
      <c r="G308" s="1177"/>
      <c r="H308" s="1177"/>
    </row>
    <row r="309" spans="1:8" x14ac:dyDescent="0.2">
      <c r="A309" s="1178" t="s">
        <v>935</v>
      </c>
      <c r="B309" s="1177"/>
      <c r="C309" s="1177"/>
      <c r="D309" s="1177"/>
      <c r="E309" s="1177"/>
      <c r="F309" s="1177"/>
      <c r="G309" s="1177"/>
      <c r="H309" s="1177"/>
    </row>
    <row r="310" spans="1:8" x14ac:dyDescent="0.2">
      <c r="A310" s="1178" t="s">
        <v>936</v>
      </c>
      <c r="B310" s="1177"/>
      <c r="C310" s="1177"/>
      <c r="D310" s="1177"/>
      <c r="E310" s="1177"/>
      <c r="F310" s="1177"/>
      <c r="G310" s="1177"/>
      <c r="H310" s="1177"/>
    </row>
    <row r="311" spans="1:8" x14ac:dyDescent="0.2">
      <c r="A311" s="1178" t="s">
        <v>937</v>
      </c>
      <c r="B311" s="1177"/>
      <c r="C311" s="1177"/>
      <c r="D311" s="1177"/>
      <c r="E311" s="1177"/>
      <c r="F311" s="1177"/>
      <c r="G311" s="1177"/>
      <c r="H311" s="1177"/>
    </row>
    <row r="312" spans="1:8" x14ac:dyDescent="0.2">
      <c r="A312" s="1178" t="s">
        <v>938</v>
      </c>
      <c r="B312" s="1177"/>
      <c r="C312" s="1177"/>
      <c r="D312" s="1177"/>
      <c r="E312" s="1177"/>
      <c r="F312" s="1177"/>
      <c r="G312" s="1177"/>
      <c r="H312" s="1177"/>
    </row>
    <row r="313" spans="1:8" x14ac:dyDescent="0.2">
      <c r="A313" s="1178" t="s">
        <v>939</v>
      </c>
      <c r="B313" s="1177"/>
      <c r="C313" s="1177"/>
      <c r="D313" s="1177"/>
      <c r="E313" s="1177"/>
      <c r="F313" s="1177"/>
      <c r="G313" s="1177"/>
      <c r="H313" s="1177"/>
    </row>
    <row r="314" spans="1:8" x14ac:dyDescent="0.2">
      <c r="A314" s="1178" t="s">
        <v>940</v>
      </c>
      <c r="B314" s="1177"/>
      <c r="C314" s="1177"/>
      <c r="D314" s="1177"/>
      <c r="E314" s="1177"/>
      <c r="F314" s="1177"/>
      <c r="G314" s="1177"/>
      <c r="H314" s="1177"/>
    </row>
    <row r="315" spans="1:8" x14ac:dyDescent="0.2">
      <c r="A315" s="1178" t="s">
        <v>941</v>
      </c>
      <c r="B315" s="1177"/>
      <c r="C315" s="1177"/>
      <c r="D315" s="1177"/>
      <c r="E315" s="1177"/>
      <c r="F315" s="1177"/>
      <c r="G315" s="1177"/>
      <c r="H315" s="1177"/>
    </row>
    <row r="316" spans="1:8" x14ac:dyDescent="0.2">
      <c r="A316" s="1178" t="s">
        <v>942</v>
      </c>
      <c r="B316" s="1177"/>
      <c r="C316" s="1177"/>
      <c r="D316" s="1177"/>
      <c r="E316" s="1177"/>
      <c r="F316" s="1177"/>
      <c r="G316" s="1177"/>
      <c r="H316" s="1177"/>
    </row>
    <row r="317" spans="1:8" x14ac:dyDescent="0.2">
      <c r="A317" s="1178" t="s">
        <v>943</v>
      </c>
      <c r="B317" s="1177"/>
      <c r="C317" s="1177"/>
      <c r="D317" s="1177"/>
      <c r="E317" s="1177"/>
      <c r="F317" s="1177"/>
      <c r="G317" s="1177"/>
      <c r="H317" s="1177"/>
    </row>
    <row r="318" spans="1:8" x14ac:dyDescent="0.2">
      <c r="A318" s="1178" t="s">
        <v>944</v>
      </c>
      <c r="B318" s="1177"/>
      <c r="C318" s="1177"/>
      <c r="D318" s="1177"/>
      <c r="E318" s="1177"/>
      <c r="F318" s="1177"/>
      <c r="G318" s="1177"/>
      <c r="H318" s="1177"/>
    </row>
    <row r="319" spans="1:8" x14ac:dyDescent="0.2">
      <c r="A319" s="1178" t="s">
        <v>945</v>
      </c>
      <c r="B319" s="1177"/>
      <c r="C319" s="1177"/>
      <c r="D319" s="1177"/>
      <c r="E319" s="1177"/>
      <c r="F319" s="1177"/>
      <c r="G319" s="1177"/>
      <c r="H319" s="1177"/>
    </row>
    <row r="320" spans="1:8" x14ac:dyDescent="0.2">
      <c r="A320" s="1178" t="s">
        <v>946</v>
      </c>
      <c r="B320" s="1177"/>
      <c r="C320" s="1177"/>
      <c r="D320" s="1177"/>
      <c r="E320" s="1177"/>
      <c r="F320" s="1177"/>
      <c r="G320" s="1177"/>
      <c r="H320" s="1177"/>
    </row>
    <row r="321" spans="1:8" x14ac:dyDescent="0.2">
      <c r="A321" s="1178" t="s">
        <v>947</v>
      </c>
      <c r="B321" s="1177"/>
      <c r="C321" s="1177"/>
      <c r="D321" s="1177"/>
      <c r="E321" s="1177"/>
      <c r="F321" s="1177"/>
      <c r="G321" s="1177"/>
      <c r="H321" s="1177"/>
    </row>
    <row r="322" spans="1:8" x14ac:dyDescent="0.2">
      <c r="A322" s="1177"/>
      <c r="B322" s="1177"/>
      <c r="C322" s="1177"/>
      <c r="D322" s="1177"/>
      <c r="E322" s="1177"/>
      <c r="F322" s="1177"/>
      <c r="G322" s="1177"/>
      <c r="H322" s="1177"/>
    </row>
    <row r="323" spans="1:8" x14ac:dyDescent="0.2">
      <c r="A323" s="1178" t="s">
        <v>927</v>
      </c>
      <c r="B323" s="1177"/>
      <c r="C323" s="1177"/>
      <c r="D323" s="1177"/>
      <c r="E323" s="1177"/>
      <c r="F323" s="1177"/>
      <c r="G323" s="1177"/>
      <c r="H323" s="1177"/>
    </row>
    <row r="324" spans="1:8" x14ac:dyDescent="0.2">
      <c r="A324" s="1178" t="s">
        <v>928</v>
      </c>
      <c r="B324" s="1177"/>
      <c r="C324" s="1177"/>
      <c r="D324" s="1177"/>
      <c r="E324" s="1177"/>
      <c r="F324" s="1177"/>
      <c r="G324" s="1177"/>
      <c r="H324" s="1177"/>
    </row>
    <row r="325" spans="1:8" x14ac:dyDescent="0.2">
      <c r="A325" s="1178" t="s">
        <v>929</v>
      </c>
      <c r="B325" s="1177"/>
      <c r="C325" s="1177"/>
      <c r="D325" s="1177"/>
      <c r="E325" s="1177"/>
      <c r="F325" s="1177"/>
      <c r="G325" s="1177"/>
      <c r="H325" s="1177"/>
    </row>
    <row r="326" spans="1:8" x14ac:dyDescent="0.2">
      <c r="A326" s="1178" t="s">
        <v>930</v>
      </c>
      <c r="B326" s="1177"/>
      <c r="C326" s="1177"/>
      <c r="D326" s="1177"/>
      <c r="E326" s="1177"/>
      <c r="F326" s="1177"/>
      <c r="G326" s="1177"/>
      <c r="H326" s="1177"/>
    </row>
    <row r="327" spans="1:8" x14ac:dyDescent="0.2">
      <c r="A327" s="1178" t="s">
        <v>931</v>
      </c>
      <c r="B327" s="1177"/>
      <c r="C327" s="1177"/>
      <c r="D327" s="1177"/>
      <c r="E327" s="1177"/>
      <c r="F327" s="1177"/>
      <c r="G327" s="1177"/>
      <c r="H327" s="1177"/>
    </row>
    <row r="328" spans="1:8" x14ac:dyDescent="0.2">
      <c r="A328" s="1178" t="s">
        <v>932</v>
      </c>
      <c r="B328" s="1177"/>
      <c r="C328" s="1177"/>
      <c r="D328" s="1177"/>
      <c r="E328" s="1177"/>
      <c r="F328" s="1177"/>
      <c r="G328" s="1177"/>
      <c r="H328" s="1177"/>
    </row>
    <row r="329" spans="1:8" x14ac:dyDescent="0.2">
      <c r="A329" s="1178" t="s">
        <v>933</v>
      </c>
      <c r="B329" s="1177"/>
      <c r="C329" s="1177"/>
      <c r="D329" s="1177"/>
      <c r="E329" s="1177"/>
      <c r="F329" s="1177"/>
      <c r="G329" s="1177"/>
      <c r="H329" s="1177"/>
    </row>
    <row r="330" spans="1:8" x14ac:dyDescent="0.2">
      <c r="A330" s="1178" t="s">
        <v>934</v>
      </c>
      <c r="B330" s="1177"/>
      <c r="C330" s="1177"/>
      <c r="D330" s="1177"/>
      <c r="E330" s="1177"/>
      <c r="F330" s="1177"/>
      <c r="G330" s="1177"/>
      <c r="H330" s="1177"/>
    </row>
    <row r="331" spans="1:8" x14ac:dyDescent="0.2">
      <c r="A331" s="1177"/>
      <c r="B331" s="1177"/>
      <c r="C331" s="1177"/>
      <c r="D331" s="1177"/>
      <c r="E331" s="1177"/>
      <c r="F331" s="1177"/>
      <c r="G331" s="1177"/>
      <c r="H331" s="1177"/>
    </row>
    <row r="332" spans="1:8" x14ac:dyDescent="0.2">
      <c r="A332" s="1178" t="s">
        <v>892</v>
      </c>
      <c r="B332" s="1177"/>
      <c r="C332" s="1177"/>
      <c r="D332" s="1177"/>
      <c r="E332" s="1177"/>
      <c r="F332" s="1177"/>
      <c r="G332" s="1177"/>
      <c r="H332" s="1177"/>
    </row>
    <row r="333" spans="1:8" x14ac:dyDescent="0.2">
      <c r="A333" s="1178" t="s">
        <v>893</v>
      </c>
      <c r="B333" s="1177"/>
      <c r="C333" s="1177"/>
      <c r="D333" s="1177"/>
      <c r="E333" s="1177"/>
      <c r="F333" s="1177"/>
      <c r="G333" s="1177"/>
      <c r="H333" s="1177"/>
    </row>
    <row r="334" spans="1:8" x14ac:dyDescent="0.2">
      <c r="A334" s="1178" t="s">
        <v>894</v>
      </c>
      <c r="B334" s="1177"/>
      <c r="C334" s="1177"/>
      <c r="D334" s="1177"/>
      <c r="E334" s="1177"/>
      <c r="F334" s="1177"/>
      <c r="G334" s="1177"/>
      <c r="H334" s="1177"/>
    </row>
    <row r="335" spans="1:8" x14ac:dyDescent="0.2">
      <c r="A335" s="1178" t="s">
        <v>895</v>
      </c>
      <c r="B335" s="1177"/>
      <c r="C335" s="1177"/>
      <c r="D335" s="1177"/>
      <c r="E335" s="1177"/>
      <c r="F335" s="1177"/>
      <c r="G335" s="1177"/>
      <c r="H335" s="1177"/>
    </row>
    <row r="336" spans="1:8" x14ac:dyDescent="0.2">
      <c r="A336" s="1178" t="s">
        <v>896</v>
      </c>
      <c r="B336" s="1177"/>
      <c r="C336" s="1177"/>
      <c r="D336" s="1177"/>
      <c r="E336" s="1177"/>
      <c r="F336" s="1177"/>
      <c r="G336" s="1177"/>
      <c r="H336" s="1177"/>
    </row>
    <row r="337" spans="1:8" x14ac:dyDescent="0.2">
      <c r="A337" s="1178" t="s">
        <v>897</v>
      </c>
      <c r="B337" s="1177"/>
      <c r="C337" s="1177"/>
      <c r="D337" s="1177"/>
      <c r="E337" s="1177"/>
      <c r="F337" s="1177"/>
      <c r="G337" s="1177"/>
      <c r="H337" s="1177"/>
    </row>
    <row r="338" spans="1:8" x14ac:dyDescent="0.2">
      <c r="A338" s="1178" t="s">
        <v>898</v>
      </c>
      <c r="B338" s="1177"/>
      <c r="C338" s="1177"/>
      <c r="D338" s="1177"/>
      <c r="E338" s="1177"/>
      <c r="F338" s="1177"/>
      <c r="G338" s="1177"/>
      <c r="H338" s="1177"/>
    </row>
    <row r="339" spans="1:8" x14ac:dyDescent="0.2">
      <c r="A339" s="1178" t="s">
        <v>899</v>
      </c>
      <c r="B339" s="1177"/>
      <c r="C339" s="1177"/>
      <c r="D339" s="1177"/>
      <c r="E339" s="1177"/>
      <c r="F339" s="1177"/>
      <c r="G339" s="1177"/>
      <c r="H339" s="1177"/>
    </row>
    <row r="340" spans="1:8" x14ac:dyDescent="0.2">
      <c r="A340" s="1178" t="s">
        <v>900</v>
      </c>
      <c r="B340" s="1177"/>
      <c r="C340" s="1177"/>
      <c r="D340" s="1177"/>
      <c r="E340" s="1177"/>
      <c r="F340" s="1177"/>
      <c r="G340" s="1177"/>
      <c r="H340" s="1177"/>
    </row>
    <row r="341" spans="1:8" x14ac:dyDescent="0.2">
      <c r="A341" s="1178" t="s">
        <v>901</v>
      </c>
      <c r="B341" s="1177"/>
      <c r="C341" s="1177"/>
      <c r="D341" s="1177"/>
      <c r="E341" s="1177"/>
      <c r="F341" s="1177"/>
      <c r="G341" s="1177"/>
      <c r="H341" s="1177"/>
    </row>
    <row r="342" spans="1:8" x14ac:dyDescent="0.2">
      <c r="A342" s="1178" t="s">
        <v>902</v>
      </c>
      <c r="B342" s="1177"/>
      <c r="C342" s="1177"/>
      <c r="D342" s="1177"/>
      <c r="E342" s="1177"/>
      <c r="F342" s="1177"/>
      <c r="G342" s="1177"/>
      <c r="H342" s="1177"/>
    </row>
    <row r="343" spans="1:8" x14ac:dyDescent="0.2">
      <c r="A343" s="1178" t="s">
        <v>903</v>
      </c>
      <c r="B343" s="1177"/>
      <c r="C343" s="1177"/>
      <c r="D343" s="1177"/>
      <c r="E343" s="1177"/>
      <c r="F343" s="1177"/>
      <c r="G343" s="1177"/>
      <c r="H343" s="1177"/>
    </row>
    <row r="344" spans="1:8" x14ac:dyDescent="0.2">
      <c r="A344" s="1178" t="s">
        <v>904</v>
      </c>
      <c r="B344" s="1177"/>
      <c r="C344" s="1177"/>
      <c r="D344" s="1177"/>
      <c r="E344" s="1177"/>
      <c r="F344" s="1177"/>
      <c r="G344" s="1177"/>
      <c r="H344" s="1177"/>
    </row>
    <row r="345" spans="1:8" x14ac:dyDescent="0.2">
      <c r="A345" s="1178" t="s">
        <v>905</v>
      </c>
      <c r="B345" s="1177"/>
      <c r="C345" s="1177"/>
      <c r="D345" s="1177"/>
      <c r="E345" s="1177"/>
      <c r="F345" s="1177"/>
      <c r="G345" s="1177"/>
      <c r="H345" s="1177"/>
    </row>
    <row r="346" spans="1:8" x14ac:dyDescent="0.2">
      <c r="A346" s="1178" t="s">
        <v>906</v>
      </c>
      <c r="B346" s="1177"/>
      <c r="C346" s="1177"/>
      <c r="D346" s="1177"/>
      <c r="E346" s="1177"/>
      <c r="F346" s="1177"/>
      <c r="G346" s="1177"/>
      <c r="H346" s="1177"/>
    </row>
    <row r="347" spans="1:8" x14ac:dyDescent="0.2">
      <c r="A347" s="1178" t="s">
        <v>907</v>
      </c>
      <c r="B347" s="1177"/>
      <c r="C347" s="1177"/>
      <c r="D347" s="1177"/>
      <c r="E347" s="1177"/>
      <c r="F347" s="1177"/>
      <c r="G347" s="1177"/>
      <c r="H347" s="1177"/>
    </row>
    <row r="348" spans="1:8" x14ac:dyDescent="0.2">
      <c r="A348" s="1178" t="s">
        <v>908</v>
      </c>
      <c r="B348" s="1177"/>
      <c r="C348" s="1177"/>
      <c r="D348" s="1177"/>
      <c r="E348" s="1177"/>
      <c r="F348" s="1177"/>
      <c r="G348" s="1177"/>
      <c r="H348" s="1177"/>
    </row>
    <row r="349" spans="1:8" x14ac:dyDescent="0.2">
      <c r="A349" s="1178" t="s">
        <v>909</v>
      </c>
      <c r="B349" s="1177"/>
      <c r="C349" s="1177"/>
      <c r="D349" s="1177"/>
      <c r="E349" s="1177"/>
      <c r="F349" s="1177"/>
      <c r="G349" s="1177"/>
      <c r="H349" s="1177"/>
    </row>
    <row r="350" spans="1:8" x14ac:dyDescent="0.2">
      <c r="A350" s="1178" t="s">
        <v>910</v>
      </c>
      <c r="B350" s="1177"/>
      <c r="C350" s="1177"/>
      <c r="D350" s="1177"/>
      <c r="E350" s="1177"/>
      <c r="F350" s="1177"/>
      <c r="G350" s="1177"/>
      <c r="H350" s="1177"/>
    </row>
    <row r="351" spans="1:8" x14ac:dyDescent="0.2">
      <c r="A351" s="1178" t="s">
        <v>911</v>
      </c>
      <c r="B351" s="1177"/>
      <c r="C351" s="1177"/>
      <c r="D351" s="1177"/>
      <c r="E351" s="1177"/>
      <c r="F351" s="1177"/>
      <c r="G351" s="1177"/>
      <c r="H351" s="1177"/>
    </row>
    <row r="352" spans="1:8" x14ac:dyDescent="0.2">
      <c r="A352" s="1178" t="s">
        <v>912</v>
      </c>
      <c r="B352" s="1177"/>
      <c r="C352" s="1177"/>
      <c r="D352" s="1177"/>
      <c r="E352" s="1177"/>
      <c r="F352" s="1177"/>
      <c r="G352" s="1177"/>
      <c r="H352" s="1177"/>
    </row>
    <row r="353" spans="1:8" x14ac:dyDescent="0.2">
      <c r="A353" s="1178" t="s">
        <v>913</v>
      </c>
      <c r="B353" s="1177"/>
      <c r="C353" s="1177"/>
      <c r="D353" s="1177"/>
      <c r="E353" s="1177"/>
      <c r="F353" s="1177"/>
      <c r="G353" s="1177"/>
      <c r="H353" s="1177"/>
    </row>
    <row r="354" spans="1:8" x14ac:dyDescent="0.2">
      <c r="A354" s="1178" t="s">
        <v>914</v>
      </c>
      <c r="B354" s="1177"/>
      <c r="C354" s="1177"/>
      <c r="D354" s="1177"/>
      <c r="E354" s="1177"/>
      <c r="F354" s="1177"/>
      <c r="G354" s="1177"/>
      <c r="H354" s="1177"/>
    </row>
    <row r="355" spans="1:8" x14ac:dyDescent="0.2">
      <c r="A355" s="1178" t="s">
        <v>915</v>
      </c>
      <c r="B355" s="1177"/>
      <c r="C355" s="1177"/>
      <c r="D355" s="1177"/>
      <c r="E355" s="1177"/>
      <c r="F355" s="1177"/>
      <c r="G355" s="1177"/>
      <c r="H355" s="1177"/>
    </row>
    <row r="356" spans="1:8" x14ac:dyDescent="0.2">
      <c r="A356" s="1178" t="s">
        <v>916</v>
      </c>
      <c r="B356" s="1177"/>
      <c r="C356" s="1177"/>
      <c r="D356" s="1177"/>
      <c r="E356" s="1177"/>
      <c r="F356" s="1177"/>
      <c r="G356" s="1177"/>
      <c r="H356" s="1177"/>
    </row>
    <row r="357" spans="1:8" x14ac:dyDescent="0.2">
      <c r="A357" s="1178" t="s">
        <v>917</v>
      </c>
      <c r="B357" s="1177"/>
      <c r="C357" s="1177"/>
      <c r="D357" s="1177"/>
      <c r="E357" s="1177"/>
      <c r="F357" s="1177"/>
      <c r="G357" s="1177"/>
      <c r="H357" s="1177"/>
    </row>
    <row r="358" spans="1:8" x14ac:dyDescent="0.2">
      <c r="A358" s="1178" t="s">
        <v>918</v>
      </c>
      <c r="B358" s="1177"/>
      <c r="C358" s="1177"/>
      <c r="D358" s="1177"/>
      <c r="E358" s="1177"/>
      <c r="F358" s="1177"/>
      <c r="G358" s="1177"/>
      <c r="H358" s="1177"/>
    </row>
    <row r="359" spans="1:8" x14ac:dyDescent="0.2">
      <c r="A359" s="1178" t="s">
        <v>919</v>
      </c>
      <c r="B359" s="1177"/>
      <c r="C359" s="1177"/>
      <c r="D359" s="1177"/>
      <c r="E359" s="1177"/>
      <c r="F359" s="1177"/>
      <c r="G359" s="1177"/>
      <c r="H359" s="1177"/>
    </row>
    <row r="360" spans="1:8" x14ac:dyDescent="0.2">
      <c r="A360" s="1178" t="s">
        <v>920</v>
      </c>
      <c r="B360" s="1177"/>
      <c r="C360" s="1177"/>
      <c r="D360" s="1177"/>
      <c r="E360" s="1177"/>
      <c r="F360" s="1177"/>
      <c r="G360" s="1177"/>
      <c r="H360" s="1177"/>
    </row>
    <row r="361" spans="1:8" x14ac:dyDescent="0.2">
      <c r="A361" s="1178" t="s">
        <v>921</v>
      </c>
      <c r="B361" s="1177"/>
      <c r="C361" s="1177"/>
      <c r="D361" s="1177"/>
      <c r="E361" s="1177"/>
      <c r="F361" s="1177"/>
      <c r="G361" s="1177"/>
      <c r="H361" s="1177"/>
    </row>
    <row r="362" spans="1:8" x14ac:dyDescent="0.2">
      <c r="A362" s="1178" t="s">
        <v>922</v>
      </c>
      <c r="B362" s="1177"/>
      <c r="C362" s="1177"/>
      <c r="D362" s="1177"/>
      <c r="E362" s="1177"/>
      <c r="F362" s="1177"/>
      <c r="G362" s="1177"/>
      <c r="H362" s="1177"/>
    </row>
    <row r="363" spans="1:8" x14ac:dyDescent="0.2">
      <c r="A363" s="1178" t="s">
        <v>923</v>
      </c>
      <c r="B363" s="1177"/>
      <c r="C363" s="1177"/>
      <c r="D363" s="1177"/>
      <c r="E363" s="1177"/>
      <c r="F363" s="1177"/>
      <c r="G363" s="1177"/>
      <c r="H363" s="1177"/>
    </row>
    <row r="364" spans="1:8" x14ac:dyDescent="0.2">
      <c r="A364" s="1178" t="s">
        <v>924</v>
      </c>
      <c r="B364" s="1177"/>
      <c r="C364" s="1177"/>
      <c r="D364" s="1177"/>
      <c r="E364" s="1177"/>
      <c r="F364" s="1177"/>
      <c r="G364" s="1177"/>
      <c r="H364" s="1177"/>
    </row>
    <row r="365" spans="1:8" x14ac:dyDescent="0.2">
      <c r="A365" s="1178" t="s">
        <v>925</v>
      </c>
      <c r="B365" s="1177"/>
      <c r="C365" s="1177"/>
      <c r="D365" s="1177"/>
      <c r="E365" s="1177"/>
      <c r="F365" s="1177"/>
      <c r="G365" s="1177"/>
      <c r="H365" s="1177"/>
    </row>
    <row r="366" spans="1:8" x14ac:dyDescent="0.2">
      <c r="A366" s="1178" t="s">
        <v>926</v>
      </c>
      <c r="B366" s="1177"/>
      <c r="C366" s="1177"/>
      <c r="D366" s="1177"/>
      <c r="E366" s="1177"/>
      <c r="F366" s="1177"/>
      <c r="G366" s="1177"/>
      <c r="H366" s="1177"/>
    </row>
    <row r="367" spans="1:8" x14ac:dyDescent="0.2">
      <c r="A367" s="1177"/>
      <c r="B367" s="1177"/>
      <c r="C367" s="1177"/>
      <c r="D367" s="1177"/>
      <c r="E367" s="1177"/>
      <c r="F367" s="1177"/>
      <c r="G367" s="1177"/>
      <c r="H367" s="1177"/>
    </row>
    <row r="368" spans="1:8" x14ac:dyDescent="0.2">
      <c r="A368" s="1178" t="s">
        <v>884</v>
      </c>
      <c r="B368" s="1177"/>
      <c r="C368" s="1177"/>
      <c r="D368" s="1177"/>
      <c r="E368" s="1177"/>
      <c r="F368" s="1177"/>
      <c r="G368" s="1177"/>
      <c r="H368" s="1177"/>
    </row>
    <row r="369" spans="1:8" x14ac:dyDescent="0.2">
      <c r="A369" s="1178" t="s">
        <v>888</v>
      </c>
      <c r="B369" s="1177"/>
      <c r="C369" s="1177"/>
      <c r="D369" s="1177"/>
      <c r="E369" s="1177"/>
      <c r="F369" s="1177"/>
      <c r="G369" s="1177"/>
      <c r="H369" s="1177"/>
    </row>
    <row r="370" spans="1:8" x14ac:dyDescent="0.2">
      <c r="A370" s="1178" t="s">
        <v>889</v>
      </c>
      <c r="B370" s="1177"/>
      <c r="C370" s="1177"/>
      <c r="D370" s="1177"/>
      <c r="E370" s="1177"/>
      <c r="F370" s="1177"/>
      <c r="G370" s="1177"/>
      <c r="H370" s="1177"/>
    </row>
    <row r="371" spans="1:8" x14ac:dyDescent="0.2">
      <c r="A371" s="1178" t="s">
        <v>890</v>
      </c>
      <c r="B371" s="1177"/>
      <c r="C371" s="1177"/>
      <c r="D371" s="1177"/>
      <c r="E371" s="1177"/>
      <c r="F371" s="1177"/>
      <c r="G371" s="1177"/>
      <c r="H371" s="1177"/>
    </row>
    <row r="372" spans="1:8" x14ac:dyDescent="0.2">
      <c r="A372" s="1178" t="s">
        <v>891</v>
      </c>
      <c r="B372" s="1177"/>
      <c r="C372" s="1177"/>
      <c r="D372" s="1177"/>
      <c r="E372" s="1177"/>
      <c r="F372" s="1177"/>
      <c r="G372" s="1177"/>
      <c r="H372" s="1177"/>
    </row>
    <row r="373" spans="1:8" x14ac:dyDescent="0.2">
      <c r="A373" s="1177"/>
      <c r="B373" s="1177"/>
      <c r="C373" s="1177"/>
      <c r="D373" s="1177"/>
      <c r="E373" s="1177"/>
      <c r="F373" s="1177"/>
      <c r="G373" s="1177"/>
      <c r="H373" s="1177"/>
    </row>
    <row r="374" spans="1:8" x14ac:dyDescent="0.2">
      <c r="A374" s="1178" t="s">
        <v>884</v>
      </c>
      <c r="B374" s="1177"/>
      <c r="C374" s="1177"/>
      <c r="D374" s="1177"/>
      <c r="E374" s="1177"/>
      <c r="F374" s="1177"/>
      <c r="G374" s="1177"/>
      <c r="H374" s="1177"/>
    </row>
    <row r="375" spans="1:8" x14ac:dyDescent="0.2">
      <c r="A375" s="1178" t="s">
        <v>885</v>
      </c>
      <c r="B375" s="1177"/>
      <c r="C375" s="1177"/>
      <c r="D375" s="1177"/>
      <c r="E375" s="1177"/>
      <c r="F375" s="1177"/>
      <c r="G375" s="1177"/>
      <c r="H375" s="1177"/>
    </row>
    <row r="376" spans="1:8" x14ac:dyDescent="0.2">
      <c r="A376" s="1178" t="s">
        <v>886</v>
      </c>
      <c r="B376" s="1177"/>
      <c r="C376" s="1177"/>
      <c r="D376" s="1177"/>
      <c r="E376" s="1177"/>
      <c r="F376" s="1177"/>
      <c r="G376" s="1177"/>
      <c r="H376" s="1177"/>
    </row>
    <row r="377" spans="1:8" x14ac:dyDescent="0.2">
      <c r="A377" s="1178" t="s">
        <v>887</v>
      </c>
      <c r="B377" s="1177"/>
      <c r="C377" s="1177"/>
      <c r="D377" s="1177"/>
      <c r="E377" s="1177"/>
      <c r="F377" s="1177"/>
      <c r="G377" s="1177"/>
      <c r="H377" s="1177"/>
    </row>
    <row r="378" spans="1:8" x14ac:dyDescent="0.2">
      <c r="A378" s="1177"/>
      <c r="B378" s="1177"/>
      <c r="C378" s="1177"/>
      <c r="D378" s="1177"/>
      <c r="E378" s="1177"/>
      <c r="F378" s="1177"/>
      <c r="G378" s="1177"/>
      <c r="H378" s="1177"/>
    </row>
    <row r="379" spans="1:8" x14ac:dyDescent="0.2">
      <c r="A379" s="1178" t="s">
        <v>878</v>
      </c>
      <c r="B379" s="1177"/>
      <c r="C379" s="1177"/>
      <c r="D379" s="1177"/>
      <c r="E379" s="1177"/>
      <c r="F379" s="1177"/>
      <c r="G379" s="1177"/>
      <c r="H379" s="1177"/>
    </row>
    <row r="380" spans="1:8" x14ac:dyDescent="0.2">
      <c r="A380" s="1178" t="s">
        <v>879</v>
      </c>
      <c r="B380" s="1177"/>
      <c r="C380" s="1177"/>
      <c r="D380" s="1177"/>
      <c r="E380" s="1177"/>
      <c r="F380" s="1177"/>
      <c r="G380" s="1177"/>
      <c r="H380" s="1177"/>
    </row>
    <row r="381" spans="1:8" x14ac:dyDescent="0.2">
      <c r="A381" s="1178" t="s">
        <v>880</v>
      </c>
      <c r="B381" s="1177"/>
      <c r="C381" s="1177"/>
      <c r="D381" s="1177"/>
      <c r="E381" s="1177"/>
      <c r="F381" s="1177"/>
      <c r="G381" s="1177"/>
      <c r="H381" s="1177"/>
    </row>
    <row r="382" spans="1:8" x14ac:dyDescent="0.2">
      <c r="A382" s="1178" t="s">
        <v>881</v>
      </c>
      <c r="B382" s="1177"/>
      <c r="C382" s="1177"/>
      <c r="D382" s="1177"/>
      <c r="E382" s="1177"/>
      <c r="F382" s="1177"/>
      <c r="G382" s="1177"/>
      <c r="H382" s="1177"/>
    </row>
    <row r="383" spans="1:8" x14ac:dyDescent="0.2">
      <c r="A383" s="1178" t="s">
        <v>882</v>
      </c>
      <c r="B383" s="1177"/>
      <c r="C383" s="1177"/>
      <c r="D383" s="1177"/>
      <c r="E383" s="1177"/>
      <c r="F383" s="1177"/>
      <c r="G383" s="1177"/>
      <c r="H383" s="1177"/>
    </row>
    <row r="384" spans="1:8" x14ac:dyDescent="0.2">
      <c r="A384" s="1178" t="s">
        <v>883</v>
      </c>
      <c r="B384" s="1177"/>
      <c r="C384" s="1177"/>
      <c r="D384" s="1177"/>
      <c r="E384" s="1177"/>
      <c r="F384" s="1177"/>
      <c r="G384" s="1177"/>
      <c r="H384" s="1177"/>
    </row>
    <row r="385" spans="1:8" x14ac:dyDescent="0.2">
      <c r="A385" s="1177"/>
      <c r="B385" s="1177"/>
      <c r="C385" s="1177"/>
      <c r="D385" s="1177"/>
      <c r="E385" s="1177"/>
      <c r="F385" s="1177"/>
      <c r="G385" s="1177"/>
      <c r="H385" s="1177"/>
    </row>
    <row r="386" spans="1:8" x14ac:dyDescent="0.2">
      <c r="A386" s="1178" t="s">
        <v>873</v>
      </c>
      <c r="B386" s="1177"/>
      <c r="C386" s="1177"/>
      <c r="D386" s="1177"/>
      <c r="E386" s="1177"/>
      <c r="F386" s="1177"/>
      <c r="G386" s="1177"/>
      <c r="H386" s="1177"/>
    </row>
    <row r="387" spans="1:8" x14ac:dyDescent="0.2">
      <c r="A387" s="1178" t="s">
        <v>874</v>
      </c>
      <c r="B387" s="1177"/>
      <c r="C387" s="1177"/>
      <c r="D387" s="1177"/>
      <c r="E387" s="1177"/>
      <c r="F387" s="1177"/>
      <c r="G387" s="1177"/>
      <c r="H387" s="1177"/>
    </row>
    <row r="388" spans="1:8" x14ac:dyDescent="0.2">
      <c r="A388" s="1178" t="s">
        <v>875</v>
      </c>
      <c r="B388" s="1177"/>
      <c r="C388" s="1177"/>
      <c r="D388" s="1177"/>
      <c r="E388" s="1177"/>
      <c r="F388" s="1177"/>
      <c r="G388" s="1177"/>
      <c r="H388" s="1177"/>
    </row>
    <row r="389" spans="1:8" x14ac:dyDescent="0.2">
      <c r="A389" s="1178" t="s">
        <v>876</v>
      </c>
      <c r="B389" s="1177"/>
      <c r="C389" s="1177"/>
      <c r="D389" s="1177"/>
      <c r="E389" s="1177"/>
      <c r="F389" s="1177"/>
      <c r="G389" s="1177"/>
      <c r="H389" s="1177"/>
    </row>
    <row r="390" spans="1:8" x14ac:dyDescent="0.2">
      <c r="A390" s="1178" t="s">
        <v>877</v>
      </c>
      <c r="B390" s="1177"/>
      <c r="C390" s="1177"/>
      <c r="D390" s="1177"/>
      <c r="E390" s="1177"/>
      <c r="F390" s="1177"/>
      <c r="G390" s="1177"/>
      <c r="H390" s="1177"/>
    </row>
    <row r="391" spans="1:8" x14ac:dyDescent="0.2">
      <c r="A391" s="1177"/>
      <c r="B391" s="1177"/>
      <c r="C391" s="1177"/>
      <c r="D391" s="1177"/>
      <c r="E391" s="1177"/>
      <c r="F391" s="1177"/>
      <c r="G391" s="1177"/>
      <c r="H391" s="1177"/>
    </row>
    <row r="392" spans="1:8" x14ac:dyDescent="0.2">
      <c r="A392" s="1178" t="s">
        <v>871</v>
      </c>
      <c r="B392" s="1177"/>
      <c r="C392" s="1177"/>
      <c r="D392" s="1177"/>
      <c r="E392" s="1177"/>
      <c r="F392" s="1177"/>
      <c r="G392" s="1177"/>
      <c r="H392" s="1177"/>
    </row>
    <row r="393" spans="1:8" x14ac:dyDescent="0.2">
      <c r="A393" s="1178" t="s">
        <v>872</v>
      </c>
      <c r="B393" s="1177"/>
      <c r="C393" s="1177"/>
      <c r="D393" s="1177"/>
      <c r="E393" s="1177"/>
      <c r="F393" s="1177"/>
      <c r="G393" s="1177"/>
      <c r="H393" s="1177"/>
    </row>
    <row r="395" spans="1:8" x14ac:dyDescent="0.2">
      <c r="A395" s="1173" t="s">
        <v>1129</v>
      </c>
    </row>
  </sheetData>
  <mergeCells count="13">
    <mergeCell ref="A118:H118"/>
    <mergeCell ref="A125:H125"/>
    <mergeCell ref="A23:H23"/>
    <mergeCell ref="A112:H112"/>
    <mergeCell ref="A113:H113"/>
    <mergeCell ref="A114:H114"/>
    <mergeCell ref="A115:H115"/>
    <mergeCell ref="A117:H117"/>
    <mergeCell ref="A133:H133"/>
    <mergeCell ref="A134:H134"/>
    <mergeCell ref="B126:C126"/>
    <mergeCell ref="D126:F126"/>
    <mergeCell ref="G126:H126"/>
  </mergeCells>
  <pageMargins left="0.5" right="0.5" top="0.5" bottom="0.5" header="0.5" footer="0.5"/>
  <pageSetup orientation="portrait" horizontalDpi="300" verticalDpi="0" r:id="rId1"/>
  <headerFooter alignWithMargins="0"/>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autoPageBreaks="0"/>
  </sheetPr>
  <dimension ref="A1:KJ903"/>
  <sheetViews>
    <sheetView showGridLines="0" zoomScaleNormal="100" workbookViewId="0">
      <pane xSplit="2" ySplit="27" topLeftCell="EA28" activePane="bottomRight" state="frozen"/>
      <selection pane="topRight" activeCell="C1" sqref="C1"/>
      <selection pane="bottomLeft" activeCell="A28" sqref="A28"/>
      <selection pane="bottomRight" activeCell="EM21" sqref="EM21"/>
    </sheetView>
  </sheetViews>
  <sheetFormatPr defaultRowHeight="12.75" customHeight="1" outlineLevelRow="2" outlineLevelCol="2" x14ac:dyDescent="0.2"/>
  <cols>
    <col min="1" max="1" width="0.140625" style="23" customWidth="1"/>
    <col min="2" max="2" width="38.5703125" style="23" customWidth="1"/>
    <col min="3" max="11" width="9.140625" style="23" hidden="1" customWidth="1" outlineLevel="1"/>
    <col min="12" max="12" width="9.140625" style="444" hidden="1" customWidth="1" outlineLevel="1"/>
    <col min="13" max="13" width="9.140625" style="23" hidden="1" customWidth="1" outlineLevel="1"/>
    <col min="14" max="14" width="9.140625" style="444" hidden="1" customWidth="1" outlineLevel="1"/>
    <col min="15" max="15" width="9.140625" style="23" hidden="1" customWidth="1" outlineLevel="1"/>
    <col min="16" max="16" width="9.140625" style="444" hidden="1" customWidth="1" outlineLevel="1"/>
    <col min="17" max="17" width="9.140625" style="23" hidden="1" customWidth="1" outlineLevel="1"/>
    <col min="18" max="18" width="9.140625" style="444" hidden="1" customWidth="1" outlineLevel="1"/>
    <col min="19" max="19" width="9.140625" style="23" hidden="1" customWidth="1" outlineLevel="1"/>
    <col min="20" max="20" width="9.140625" style="444" hidden="1" customWidth="1" outlineLevel="1"/>
    <col min="21" max="21" width="9.140625" style="23" hidden="1" customWidth="1" outlineLevel="1"/>
    <col min="22" max="22" width="9.140625" style="444" hidden="1" customWidth="1" outlineLevel="1"/>
    <col min="23" max="23" width="9.140625" style="23" hidden="1" customWidth="1" outlineLevel="1"/>
    <col min="24" max="24" width="9.140625" style="444" hidden="1" customWidth="1" outlineLevel="1"/>
    <col min="25" max="25" width="9.140625" style="23" hidden="1" customWidth="1" outlineLevel="1"/>
    <col min="26" max="26" width="9.140625" style="444" hidden="1" customWidth="1" outlineLevel="1"/>
    <col min="27" max="27" width="9.140625" style="23" hidden="1" customWidth="1" outlineLevel="1" collapsed="1"/>
    <col min="28" max="28" width="9.140625" style="444" hidden="1" customWidth="1" outlineLevel="1"/>
    <col min="29" max="29" width="9.140625" style="23" hidden="1" customWidth="1" outlineLevel="1" collapsed="1"/>
    <col min="30" max="30" width="9.140625" style="444" hidden="1" customWidth="1" outlineLevel="1"/>
    <col min="31" max="31" width="9.140625" style="23" hidden="1" customWidth="1" outlineLevel="1" collapsed="1"/>
    <col min="32" max="32" width="9.140625" style="444" hidden="1" customWidth="1" outlineLevel="1"/>
    <col min="33" max="33" width="9.140625" style="23" hidden="1" customWidth="1" outlineLevel="1" collapsed="1"/>
    <col min="34" max="34" width="9.140625" style="444" hidden="1" customWidth="1" outlineLevel="1"/>
    <col min="35" max="35" width="9.140625" style="23" hidden="1" customWidth="1" outlineLevel="1"/>
    <col min="36" max="36" width="9.140625" style="444" hidden="1" customWidth="1" outlineLevel="1"/>
    <col min="37" max="37" width="9.140625" style="23" hidden="1" customWidth="1" outlineLevel="1"/>
    <col min="38" max="38" width="9.140625" style="444" hidden="1" customWidth="1" outlineLevel="1"/>
    <col min="39" max="39" width="9.140625" style="23" hidden="1" customWidth="1" outlineLevel="1"/>
    <col min="40" max="40" width="9.140625" style="444" hidden="1" customWidth="1" outlineLevel="1"/>
    <col min="41" max="41" width="9.140625" style="23" hidden="1" customWidth="1" outlineLevel="1"/>
    <col min="42" max="42" width="9.140625" style="444" hidden="1" customWidth="1" outlineLevel="1"/>
    <col min="43" max="43" width="9.140625" style="23" hidden="1" customWidth="1" outlineLevel="1"/>
    <col min="44" max="44" width="9.140625" style="444" hidden="1" customWidth="1" outlineLevel="1"/>
    <col min="45" max="45" width="9.140625" style="23" hidden="1" customWidth="1" outlineLevel="1" collapsed="1"/>
    <col min="46" max="46" width="9.140625" style="444" hidden="1" customWidth="1" outlineLevel="1"/>
    <col min="47" max="47" width="9.140625" style="23" hidden="1" customWidth="1" outlineLevel="1" collapsed="1"/>
    <col min="48" max="48" width="9.140625" style="444" hidden="1" customWidth="1" outlineLevel="1"/>
    <col min="49" max="49" width="9.140625" style="23" hidden="1" customWidth="1" outlineLevel="1" collapsed="1"/>
    <col min="50" max="50" width="9.140625" style="444" hidden="1" customWidth="1" outlineLevel="1"/>
    <col min="51" max="51" width="9.140625" style="23" hidden="1" customWidth="1" outlineLevel="1"/>
    <col min="52" max="52" width="9.140625" style="444" hidden="1" customWidth="1" outlineLevel="1"/>
    <col min="53" max="53" width="9.140625" style="23" hidden="1" customWidth="1" outlineLevel="1"/>
    <col min="54" max="54" width="9.140625" style="444" hidden="1" customWidth="1" outlineLevel="1"/>
    <col min="55" max="55" width="9.140625" style="23" hidden="1" customWidth="1" outlineLevel="1"/>
    <col min="56" max="56" width="9.140625" style="444" hidden="1" customWidth="1" outlineLevel="1"/>
    <col min="57" max="57" width="9.140625" style="23" hidden="1" customWidth="1" outlineLevel="1"/>
    <col min="58" max="58" width="9.140625" style="444" hidden="1" customWidth="1" outlineLevel="1"/>
    <col min="59" max="59" width="9.140625" style="23" hidden="1" customWidth="1" outlineLevel="1"/>
    <col min="60" max="60" width="9.140625" style="444" hidden="1" customWidth="1" outlineLevel="1"/>
    <col min="61" max="61" width="9.140625" style="23" hidden="1" customWidth="1" outlineLevel="1"/>
    <col min="62" max="62" width="9.140625" style="444" hidden="1" customWidth="1" outlineLevel="1"/>
    <col min="63" max="63" width="9.140625" style="23" hidden="1" customWidth="1" outlineLevel="1"/>
    <col min="64" max="64" width="9.140625" style="444" hidden="1" customWidth="1" outlineLevel="1"/>
    <col min="65" max="65" width="9.140625" style="23" hidden="1" customWidth="1" outlineLevel="1"/>
    <col min="66" max="66" width="9.140625" style="444" hidden="1" customWidth="1" outlineLevel="1"/>
    <col min="67" max="67" width="9.140625" style="23" hidden="1" customWidth="1" outlineLevel="1"/>
    <col min="68" max="68" width="9.140625" style="444" hidden="1" customWidth="1" outlineLevel="1"/>
    <col min="69" max="69" width="9.140625" style="23" hidden="1" customWidth="1" outlineLevel="1"/>
    <col min="70" max="70" width="9.140625" style="444" hidden="1" customWidth="1" outlineLevel="1"/>
    <col min="71" max="71" width="9.140625" style="23" hidden="1" customWidth="1" outlineLevel="1"/>
    <col min="72" max="72" width="9.140625" style="444" hidden="1" customWidth="1" outlineLevel="1"/>
    <col min="73" max="73" width="9.140625" style="23" hidden="1" customWidth="1" outlineLevel="1"/>
    <col min="74" max="74" width="9.140625" style="444" hidden="1" customWidth="1" outlineLevel="1"/>
    <col min="75" max="75" width="9.140625" style="23" hidden="1" customWidth="1" outlineLevel="1" collapsed="1"/>
    <col min="76" max="76" width="9.140625" style="444" hidden="1" customWidth="1" outlineLevel="1"/>
    <col min="77" max="77" width="9.140625" style="23" hidden="1" customWidth="1" outlineLevel="1" collapsed="1"/>
    <col min="78" max="78" width="9.140625" style="444" hidden="1" customWidth="1" outlineLevel="1"/>
    <col min="79" max="79" width="9.140625" style="23" hidden="1" customWidth="1" outlineLevel="1" collapsed="1"/>
    <col min="80" max="80" width="9.140625" style="444" hidden="1" customWidth="1" outlineLevel="1"/>
    <col min="81" max="81" width="9.140625" style="23" hidden="1" customWidth="1" outlineLevel="1" collapsed="1"/>
    <col min="82" max="82" width="9.140625" style="444" hidden="1" customWidth="1" outlineLevel="1"/>
    <col min="83" max="83" width="9.140625" style="23" hidden="1" customWidth="1" outlineLevel="1" collapsed="1"/>
    <col min="84" max="84" width="9.140625" style="444" hidden="1" customWidth="1" outlineLevel="1"/>
    <col min="85" max="85" width="9.140625" style="23" hidden="1" customWidth="1" outlineLevel="1" collapsed="1"/>
    <col min="86" max="86" width="9.140625" style="444" hidden="1" customWidth="1" outlineLevel="1"/>
    <col min="87" max="87" width="9.140625" style="23" hidden="1" customWidth="1" outlineLevel="1" collapsed="1"/>
    <col min="88" max="88" width="9.140625" style="444" hidden="1" customWidth="1" outlineLevel="1"/>
    <col min="89" max="89" width="9.140625" style="23" hidden="1" customWidth="1" outlineLevel="1" collapsed="1"/>
    <col min="90" max="90" width="9.140625" style="444" hidden="1" customWidth="1" outlineLevel="1"/>
    <col min="91" max="91" width="9.140625" style="23" hidden="1" customWidth="1" outlineLevel="1"/>
    <col min="92" max="92" width="9.140625" style="444" hidden="1" customWidth="1" outlineLevel="1"/>
    <col min="93" max="93" width="9.140625" style="23" hidden="1" customWidth="1" outlineLevel="1"/>
    <col min="94" max="94" width="9.140625" style="444" hidden="1" customWidth="1" outlineLevel="1"/>
    <col min="95" max="95" width="9.140625" style="23" hidden="1" customWidth="1" outlineLevel="1"/>
    <col min="96" max="96" width="9.140625" style="444" hidden="1" customWidth="1" outlineLevel="1"/>
    <col min="97" max="97" width="9.140625" style="23" hidden="1" customWidth="1" outlineLevel="1"/>
    <col min="98" max="98" width="9.140625" style="444" hidden="1" customWidth="1" outlineLevel="1"/>
    <col min="99" max="99" width="9.140625" style="23" hidden="1" customWidth="1" outlineLevel="1" collapsed="1"/>
    <col min="100" max="100" width="9.140625" style="444" hidden="1" customWidth="1" outlineLevel="1"/>
    <col min="101" max="101" width="9.140625" style="23" hidden="1" customWidth="1" outlineLevel="1" collapsed="1"/>
    <col min="102" max="102" width="9.140625" style="444" hidden="1" customWidth="1" outlineLevel="1"/>
    <col min="103" max="103" width="9.140625" style="23" hidden="1" customWidth="1" outlineLevel="1" collapsed="1"/>
    <col min="104" max="104" width="9.140625" style="444" hidden="1" customWidth="1" outlineLevel="1"/>
    <col min="105" max="105" width="9.140625" style="23" hidden="1" customWidth="1" outlineLevel="1" collapsed="1"/>
    <col min="106" max="106" width="9.140625" style="444" hidden="1" customWidth="1" outlineLevel="1"/>
    <col min="107" max="107" width="9.140625" style="23" hidden="1" customWidth="1" outlineLevel="1"/>
    <col min="108" max="108" width="9.140625" style="444" hidden="1" customWidth="1" outlineLevel="2"/>
    <col min="109" max="109" width="9.140625" style="23" hidden="1" customWidth="1" outlineLevel="1" collapsed="1"/>
    <col min="110" max="110" width="9.140625" style="444" hidden="1" customWidth="1" outlineLevel="2"/>
    <col min="111" max="111" width="9.140625" style="23" hidden="1" customWidth="1" outlineLevel="1"/>
    <col min="112" max="112" width="9.140625" style="444" hidden="1" customWidth="1" outlineLevel="2"/>
    <col min="113" max="113" width="9.140625" style="23" hidden="1" customWidth="1" outlineLevel="1"/>
    <col min="114" max="114" width="9.140625" style="444" hidden="1" customWidth="1" outlineLevel="2"/>
    <col min="115" max="115" width="9.140625" style="23" hidden="1" customWidth="1" outlineLevel="1"/>
    <col min="116" max="116" width="9.140625" style="444" hidden="1" customWidth="1" outlineLevel="2"/>
    <col min="117" max="117" width="9.140625" style="23" hidden="1" customWidth="1" outlineLevel="1"/>
    <col min="118" max="118" width="9.140625" style="444" hidden="1" customWidth="1" outlineLevel="2"/>
    <col min="119" max="119" width="9.140625" style="23" hidden="1" customWidth="1" outlineLevel="1"/>
    <col min="120" max="120" width="9.140625" style="444" hidden="1" customWidth="1" outlineLevel="2"/>
    <col min="121" max="121" width="9.140625" style="23" hidden="1" customWidth="1" outlineLevel="1"/>
    <col min="122" max="122" width="9.140625" style="444" hidden="1" customWidth="1" outlineLevel="1"/>
    <col min="123" max="123" width="9.140625" style="23" hidden="1" customWidth="1" outlineLevel="1" collapsed="1"/>
    <col min="124" max="124" width="9.140625" style="444" hidden="1" customWidth="1" outlineLevel="1"/>
    <col min="125" max="125" width="9.140625" style="23" hidden="1" customWidth="1" outlineLevel="1" collapsed="1"/>
    <col min="126" max="126" width="9.140625" style="444" hidden="1" customWidth="1" outlineLevel="1"/>
    <col min="127" max="127" width="9.140625" style="23" hidden="1" customWidth="1" outlineLevel="1" collapsed="1"/>
    <col min="128" max="128" width="9.140625" style="444" hidden="1" customWidth="1" outlineLevel="1"/>
    <col min="129" max="129" width="9.140625" style="23" hidden="1" customWidth="1" outlineLevel="1" collapsed="1"/>
    <col min="130" max="130" width="9.140625" style="444" hidden="1" customWidth="1" outlineLevel="1"/>
    <col min="131" max="131" width="9.140625" style="23" collapsed="1"/>
    <col min="132" max="132" width="9.140625" style="444" hidden="1" customWidth="1" outlineLevel="1"/>
    <col min="133" max="133" width="9.140625" style="23" collapsed="1"/>
    <col min="134" max="134" width="9.140625" style="444" hidden="1" customWidth="1" outlineLevel="1"/>
    <col min="135" max="135" width="9.42578125" style="23" bestFit="1" customWidth="1" collapsed="1"/>
    <col min="136" max="136" width="9.140625" style="1017" hidden="1" customWidth="1" outlineLevel="1"/>
    <col min="137" max="137" width="9.42578125" style="23" bestFit="1" customWidth="1" collapsed="1"/>
    <col min="138" max="138" width="9.140625" style="1017" hidden="1" customWidth="1" outlineLevel="1"/>
    <col min="139" max="139" width="9.42578125" style="23" bestFit="1" customWidth="1" collapsed="1"/>
    <col min="140" max="140" width="9.140625" style="1017" hidden="1" customWidth="1" outlineLevel="1"/>
    <col min="141" max="141" width="9.42578125" style="23" bestFit="1" customWidth="1" collapsed="1"/>
    <col min="142" max="142" width="9.140625" style="1017" hidden="1" customWidth="1" outlineLevel="1"/>
    <col min="143" max="143" width="9.42578125" style="23" bestFit="1" customWidth="1" collapsed="1"/>
    <col min="144" max="144" width="9.140625" style="1017" hidden="1" customWidth="1" outlineLevel="1"/>
    <col min="145" max="145" width="9.42578125" style="23" bestFit="1" customWidth="1" collapsed="1"/>
    <col min="146" max="146" width="9.140625" style="444" hidden="1" customWidth="1" outlineLevel="1"/>
    <col min="147" max="147" width="9.140625" style="781" customWidth="1" collapsed="1"/>
    <col min="148" max="148" width="9.140625" style="444" hidden="1" customWidth="1" outlineLevel="1"/>
    <col min="149" max="149" width="9.140625" style="781" collapsed="1"/>
    <col min="150" max="150" width="9.140625" style="444" hidden="1" customWidth="1" outlineLevel="1"/>
    <col min="151" max="151" width="9.140625" style="781" collapsed="1"/>
    <col min="152" max="152" width="9.140625" style="444" hidden="1" customWidth="1" outlineLevel="1"/>
    <col min="153" max="153" width="9.140625" style="781" collapsed="1"/>
    <col min="154" max="154" width="9.140625" style="444" hidden="1" customWidth="1" outlineLevel="1"/>
    <col min="155" max="155" width="0.85546875" style="23" customWidth="1" collapsed="1"/>
    <col min="156" max="156" width="0.85546875" style="612" customWidth="1"/>
    <col min="157" max="157" width="0.85546875" style="23" hidden="1" customWidth="1" outlineLevel="1"/>
    <col min="158" max="160" width="9.140625" style="23" hidden="1" customWidth="1" outlineLevel="1"/>
    <col min="161" max="161" width="9.140625" style="444" hidden="1" customWidth="1" outlineLevel="1"/>
    <col min="162" max="162" width="9.140625" style="23" hidden="1" customWidth="1" outlineLevel="1" collapsed="1"/>
    <col min="163" max="163" width="9.140625" style="444" hidden="1" customWidth="1" outlineLevel="1"/>
    <col min="164" max="164" width="9.140625" style="23" hidden="1" customWidth="1" outlineLevel="1" collapsed="1"/>
    <col min="165" max="165" width="9.140625" style="444" hidden="1" customWidth="1" outlineLevel="1"/>
    <col min="166" max="166" width="9.140625" style="23" hidden="1" customWidth="1" outlineLevel="1"/>
    <col min="167" max="167" width="9.140625" style="444" hidden="1" customWidth="1" outlineLevel="1"/>
    <col min="168" max="168" width="9.140625" style="23" hidden="1" customWidth="1" outlineLevel="1" collapsed="1"/>
    <col min="169" max="169" width="9.140625" style="444" hidden="1" customWidth="1" outlineLevel="1"/>
    <col min="170" max="170" width="9.140625" style="23" hidden="1" customWidth="1" outlineLevel="1"/>
    <col min="171" max="171" width="9.140625" style="444" hidden="1" customWidth="1" outlineLevel="1"/>
    <col min="172" max="172" width="9.140625" style="23" hidden="1" customWidth="1" outlineLevel="1"/>
    <col min="173" max="173" width="9.140625" style="444" hidden="1" customWidth="1" outlineLevel="1"/>
    <col min="174" max="174" width="9.140625" style="23" hidden="1" customWidth="1" outlineLevel="1"/>
    <col min="175" max="175" width="9.140625" style="444" hidden="1" customWidth="1" outlineLevel="1"/>
    <col min="176" max="176" width="9.140625" style="23" hidden="1" customWidth="1" outlineLevel="1"/>
    <col min="177" max="177" width="9.140625" style="444" hidden="1" customWidth="1" outlineLevel="1"/>
    <col min="178" max="178" width="9.140625" style="23" hidden="1" customWidth="1" outlineLevel="1"/>
    <col min="179" max="179" width="9.140625" style="444" hidden="1" customWidth="1" outlineLevel="1"/>
    <col min="180" max="180" width="9.140625" style="541" hidden="1" customWidth="1" outlineLevel="1" collapsed="1"/>
    <col min="181" max="181" width="9.140625" style="444" hidden="1" customWidth="1" outlineLevel="1"/>
    <col min="182" max="182" width="9.140625" style="23" hidden="1" customWidth="1" outlineLevel="1" collapsed="1"/>
    <col min="183" max="183" width="9.140625" style="444" hidden="1" customWidth="1" outlineLevel="1"/>
    <col min="184" max="184" width="9.140625" style="541" hidden="1" customWidth="1" outlineLevel="1"/>
    <col min="185" max="185" width="9.140625" style="444" hidden="1" customWidth="1" outlineLevel="1"/>
    <col min="186" max="186" width="9.140625" style="23" hidden="1" customWidth="1" outlineLevel="1"/>
    <col min="187" max="187" width="9.140625" style="444" hidden="1" customWidth="1" outlineLevel="2"/>
    <col min="188" max="188" width="9.140625" style="23" hidden="1" customWidth="1" outlineLevel="1"/>
    <col min="189" max="189" width="9.140625" style="444" hidden="1" customWidth="1" outlineLevel="1"/>
    <col min="190" max="190" width="9.140625" style="23" hidden="1" customWidth="1" outlineLevel="1"/>
    <col min="191" max="191" width="9.140625" style="444" hidden="1" customWidth="1" outlineLevel="1"/>
    <col min="192" max="192" width="9.140625" style="23" collapsed="1"/>
    <col min="193" max="193" width="9.140625" style="444" hidden="1" customWidth="1" outlineLevel="1"/>
    <col min="194" max="194" width="9.140625" style="23" collapsed="1"/>
    <col min="195" max="195" width="9.140625" style="444" hidden="1" customWidth="1" outlineLevel="1"/>
    <col min="196" max="196" width="9.140625" style="23" collapsed="1"/>
    <col min="197" max="197" width="9.140625" style="444" hidden="1" customWidth="1" outlineLevel="1"/>
    <col min="198" max="198" width="9.140625" style="23" collapsed="1"/>
    <col min="199" max="199" width="9.140625" style="444" hidden="1" customWidth="1" outlineLevel="1"/>
    <col min="200" max="200" width="9.140625" style="23" collapsed="1"/>
    <col min="201" max="201" width="9.140625" style="444" hidden="1" customWidth="1" outlineLevel="1"/>
    <col min="202" max="202" width="9.140625" style="23" collapsed="1"/>
    <col min="203" max="203" width="9.140625" style="444" hidden="1" customWidth="1" outlineLevel="1"/>
    <col min="204" max="204" width="9.140625" style="23" collapsed="1"/>
    <col min="205" max="205" width="9.140625" style="444" hidden="1" customWidth="1" outlineLevel="1"/>
    <col min="206" max="206" width="9.140625" style="23" collapsed="1"/>
    <col min="207" max="207" width="9.140625" style="444" hidden="1" customWidth="1" outlineLevel="1"/>
    <col min="208" max="208" width="9.140625" style="444" collapsed="1"/>
    <col min="209" max="209" width="9.140625" style="444"/>
    <col min="210" max="210" width="9.140625" style="23"/>
    <col min="211" max="211" width="33.42578125" hidden="1" customWidth="1" outlineLevel="1"/>
    <col min="212" max="216" width="9.140625" hidden="1" customWidth="1" outlineLevel="1"/>
    <col min="217" max="217" width="9.140625" style="23" collapsed="1"/>
    <col min="218" max="16384" width="9.140625" style="23"/>
  </cols>
  <sheetData>
    <row r="1" spans="1:217" s="584" customFormat="1" ht="12.75" customHeight="1" x14ac:dyDescent="0.2">
      <c r="A1" s="582"/>
      <c r="B1" s="959"/>
      <c r="C1" s="953"/>
      <c r="D1" s="954"/>
      <c r="E1" s="953"/>
      <c r="F1" s="954"/>
      <c r="G1" s="953"/>
      <c r="H1" s="954"/>
      <c r="I1" s="953"/>
      <c r="J1" s="954"/>
      <c r="K1" s="953"/>
      <c r="L1" s="955"/>
      <c r="M1" s="953"/>
      <c r="N1" s="955"/>
      <c r="O1" s="953"/>
      <c r="P1" s="955"/>
      <c r="Q1" s="953"/>
      <c r="R1" s="955"/>
      <c r="S1" s="953"/>
      <c r="T1" s="955"/>
      <c r="U1" s="953"/>
      <c r="V1" s="955"/>
      <c r="W1" s="953"/>
      <c r="X1" s="955"/>
      <c r="Y1" s="953"/>
      <c r="Z1" s="955"/>
      <c r="AA1" s="953"/>
      <c r="AB1" s="955"/>
      <c r="AC1" s="953"/>
      <c r="AD1" s="955"/>
      <c r="AE1" s="953"/>
      <c r="AF1" s="955"/>
      <c r="AG1" s="953"/>
      <c r="AH1" s="955"/>
      <c r="AI1" s="953"/>
      <c r="AJ1" s="955"/>
      <c r="AK1" s="953"/>
      <c r="AL1" s="955"/>
      <c r="AM1" s="953"/>
      <c r="AN1" s="955"/>
      <c r="AO1" s="953"/>
      <c r="AP1" s="955"/>
      <c r="AQ1" s="953"/>
      <c r="AR1" s="955"/>
      <c r="AS1" s="953"/>
      <c r="AT1" s="955"/>
      <c r="AU1" s="953"/>
      <c r="AV1" s="955"/>
      <c r="AW1" s="953"/>
      <c r="AX1" s="955"/>
      <c r="AY1" s="953"/>
      <c r="AZ1" s="956"/>
      <c r="BA1" s="953"/>
      <c r="BB1" s="956"/>
      <c r="BC1" s="953"/>
      <c r="BD1" s="956"/>
      <c r="BE1" s="953"/>
      <c r="BF1" s="956"/>
      <c r="BG1" s="953"/>
      <c r="BH1" s="956"/>
      <c r="BI1" s="953"/>
      <c r="BJ1" s="956"/>
      <c r="BK1" s="953"/>
      <c r="BL1" s="956"/>
      <c r="BM1" s="953"/>
      <c r="BN1" s="956"/>
      <c r="BO1" s="953"/>
      <c r="BP1" s="956"/>
      <c r="BQ1" s="953"/>
      <c r="BR1" s="956"/>
      <c r="BS1" s="953"/>
      <c r="BT1" s="956"/>
      <c r="BU1" s="953"/>
      <c r="BV1" s="955"/>
      <c r="BW1" s="953"/>
      <c r="BX1" s="955"/>
      <c r="BY1" s="953"/>
      <c r="BZ1" s="955"/>
      <c r="CA1" s="953"/>
      <c r="CB1" s="955"/>
      <c r="CC1" s="953"/>
      <c r="CD1" s="955"/>
      <c r="CE1" s="953"/>
      <c r="CF1" s="955"/>
      <c r="CG1" s="953"/>
      <c r="CH1" s="955"/>
      <c r="CI1" s="953"/>
      <c r="CJ1" s="955"/>
      <c r="CK1" s="953"/>
      <c r="CL1" s="955"/>
      <c r="CM1" s="953"/>
      <c r="CN1" s="955"/>
      <c r="CO1" s="953"/>
      <c r="CP1" s="955"/>
      <c r="CQ1" s="957" t="s">
        <v>345</v>
      </c>
      <c r="CR1" s="955"/>
      <c r="CS1" s="953"/>
      <c r="CT1" s="955"/>
      <c r="CU1" s="953"/>
      <c r="CV1" s="955"/>
      <c r="CW1" s="953"/>
      <c r="CX1" s="955"/>
      <c r="CY1" s="953"/>
      <c r="CZ1" s="955"/>
      <c r="DA1" s="953"/>
      <c r="DB1" s="955"/>
      <c r="DC1" s="953"/>
      <c r="DD1" s="955"/>
      <c r="DE1" s="953"/>
      <c r="DF1" s="955"/>
      <c r="DG1" s="958"/>
      <c r="DH1" s="955"/>
      <c r="DI1" s="958"/>
      <c r="DJ1" s="955"/>
      <c r="DK1" s="958"/>
      <c r="DL1" s="955"/>
      <c r="DM1" s="958"/>
      <c r="DN1" s="955"/>
      <c r="DO1" s="958"/>
      <c r="DP1" s="955"/>
      <c r="DQ1" s="958"/>
      <c r="DR1" s="955"/>
      <c r="DS1" s="958"/>
      <c r="DT1" s="955"/>
      <c r="DU1" s="958"/>
      <c r="DV1" s="955"/>
      <c r="DW1" s="958"/>
      <c r="DX1" s="955"/>
      <c r="DY1" s="958"/>
      <c r="DZ1" s="955"/>
      <c r="EA1" s="958"/>
      <c r="EB1" s="958">
        <v>-5.1617950531090084</v>
      </c>
      <c r="EC1" s="958"/>
      <c r="ED1" s="964">
        <v>-11.484840444019195</v>
      </c>
      <c r="EE1" s="958"/>
      <c r="EF1" s="1007" t="s">
        <v>621</v>
      </c>
      <c r="EG1" s="958"/>
      <c r="EH1" s="1008"/>
      <c r="EI1" s="958"/>
      <c r="EJ1" s="1008"/>
      <c r="EK1" s="958"/>
      <c r="EL1" s="1008"/>
      <c r="EM1" s="958"/>
      <c r="EN1" s="1008"/>
      <c r="EO1" s="958"/>
      <c r="EP1" s="965"/>
      <c r="EQ1" s="1007"/>
      <c r="ER1" s="1008">
        <v>-2.2192786145890375</v>
      </c>
      <c r="ES1" s="1007"/>
      <c r="ET1" s="1008">
        <v>15.334889621889868</v>
      </c>
      <c r="EU1" s="1007"/>
      <c r="EV1" s="1008">
        <v>17.957342874603622</v>
      </c>
      <c r="EW1" s="1007"/>
      <c r="EX1" s="965"/>
      <c r="EY1" s="966"/>
      <c r="EZ1" s="967"/>
      <c r="FA1" s="966"/>
      <c r="FB1" s="966"/>
      <c r="FC1" s="968"/>
      <c r="FD1" s="966"/>
      <c r="FE1" s="965"/>
      <c r="FF1" s="966"/>
      <c r="FG1" s="965"/>
      <c r="FH1" s="966"/>
      <c r="FI1" s="965"/>
      <c r="FJ1" s="966"/>
      <c r="FK1" s="965"/>
      <c r="FL1" s="966"/>
      <c r="FM1" s="965"/>
      <c r="FN1" s="966"/>
      <c r="FO1" s="965"/>
      <c r="FP1" s="966"/>
      <c r="FQ1" s="965"/>
      <c r="FR1" s="966"/>
      <c r="FS1" s="969"/>
      <c r="FT1" s="966"/>
      <c r="FU1" s="969"/>
      <c r="FV1" s="966"/>
      <c r="FW1" s="966" t="s">
        <v>272</v>
      </c>
      <c r="FX1" s="970"/>
      <c r="FY1" s="969"/>
      <c r="FZ1" s="966"/>
      <c r="GA1" s="969"/>
      <c r="GB1" s="971"/>
      <c r="GC1" s="969"/>
      <c r="GD1" s="966"/>
      <c r="GE1" s="969"/>
      <c r="GF1" s="964"/>
      <c r="GG1" s="972"/>
      <c r="GH1" s="964"/>
      <c r="GI1" s="972"/>
      <c r="GJ1" s="964"/>
      <c r="GK1" s="972"/>
      <c r="GL1" s="1007"/>
      <c r="GM1" s="964"/>
      <c r="GN1" s="1007"/>
      <c r="GO1" s="964"/>
      <c r="GP1" s="1007"/>
      <c r="GQ1" s="964">
        <v>23.618883114851073</v>
      </c>
      <c r="GR1" s="1007"/>
      <c r="GS1" s="964">
        <v>10.234950013263555</v>
      </c>
      <c r="GT1" s="1007"/>
      <c r="GU1" s="964">
        <v>9.3066786847853642</v>
      </c>
      <c r="GV1" s="1007"/>
      <c r="GW1" s="964">
        <v>9.4612537098457175</v>
      </c>
      <c r="GX1" s="1007"/>
      <c r="GY1" s="964"/>
      <c r="GZ1" s="1007"/>
      <c r="HA1" s="583"/>
      <c r="HB1" s="582"/>
      <c r="HC1"/>
      <c r="HD1"/>
      <c r="HE1"/>
      <c r="HF1"/>
      <c r="HG1"/>
      <c r="HH1"/>
    </row>
    <row r="2" spans="1:217" customFormat="1" ht="12.75" hidden="1" customHeight="1" outlineLevel="1" x14ac:dyDescent="0.2"/>
    <row r="3" spans="1:217" s="28" customFormat="1" ht="12.75" hidden="1" customHeight="1" outlineLevel="1" x14ac:dyDescent="0.2">
      <c r="B3" s="10"/>
      <c r="C3" s="29" t="s">
        <v>515</v>
      </c>
      <c r="D3" s="30"/>
      <c r="E3" s="29" t="s">
        <v>516</v>
      </c>
      <c r="F3" s="30"/>
      <c r="G3" s="29" t="s">
        <v>517</v>
      </c>
      <c r="H3" s="30"/>
      <c r="I3" s="29" t="s">
        <v>520</v>
      </c>
      <c r="J3" s="30"/>
      <c r="K3" s="29" t="s">
        <v>472</v>
      </c>
      <c r="L3" s="47"/>
      <c r="M3" s="29" t="s">
        <v>354</v>
      </c>
      <c r="N3" s="47"/>
      <c r="O3" s="29" t="s">
        <v>9</v>
      </c>
      <c r="P3" s="47"/>
      <c r="Q3" s="31" t="s">
        <v>10</v>
      </c>
      <c r="R3" s="47"/>
      <c r="S3" s="31" t="s">
        <v>527</v>
      </c>
      <c r="T3" s="47"/>
      <c r="U3" s="29" t="s">
        <v>528</v>
      </c>
      <c r="V3" s="47"/>
      <c r="W3" s="29" t="s">
        <v>106</v>
      </c>
      <c r="X3" s="47"/>
      <c r="Y3" s="29" t="s">
        <v>107</v>
      </c>
      <c r="Z3" s="47"/>
      <c r="AA3" s="29" t="s">
        <v>511</v>
      </c>
      <c r="AB3" s="47"/>
      <c r="AC3" s="29" t="s">
        <v>293</v>
      </c>
      <c r="AD3" s="47"/>
      <c r="AE3" s="29" t="s">
        <v>294</v>
      </c>
      <c r="AF3" s="47"/>
      <c r="AG3" s="31" t="s">
        <v>586</v>
      </c>
      <c r="AH3" s="47"/>
      <c r="AI3" s="31" t="s">
        <v>349</v>
      </c>
      <c r="AJ3" s="47"/>
      <c r="AK3" s="31" t="s">
        <v>350</v>
      </c>
      <c r="AL3" s="47"/>
      <c r="AM3" s="31" t="s">
        <v>351</v>
      </c>
      <c r="AN3" s="47"/>
      <c r="AO3" s="31" t="s">
        <v>348</v>
      </c>
      <c r="AP3" s="47"/>
      <c r="AQ3" s="31" t="s">
        <v>450</v>
      </c>
      <c r="AR3" s="47"/>
      <c r="AS3" s="31" t="s">
        <v>451</v>
      </c>
      <c r="AT3" s="47"/>
      <c r="AU3" s="31" t="s">
        <v>164</v>
      </c>
      <c r="AV3" s="47"/>
      <c r="AW3" s="31" t="s">
        <v>449</v>
      </c>
      <c r="AX3" s="47"/>
      <c r="AY3" s="31" t="s">
        <v>577</v>
      </c>
      <c r="AZ3" s="446"/>
      <c r="BA3" s="31" t="s">
        <v>578</v>
      </c>
      <c r="BB3" s="446"/>
      <c r="BC3" s="31" t="s">
        <v>579</v>
      </c>
      <c r="BD3" s="446"/>
      <c r="BE3" s="31" t="s">
        <v>580</v>
      </c>
      <c r="BF3" s="446"/>
      <c r="BG3" s="31" t="s">
        <v>512</v>
      </c>
      <c r="BH3" s="446"/>
      <c r="BI3" s="31" t="s">
        <v>110</v>
      </c>
      <c r="BJ3" s="446"/>
      <c r="BK3" s="31" t="s">
        <v>111</v>
      </c>
      <c r="BL3" s="446"/>
      <c r="BM3" s="31" t="s">
        <v>11</v>
      </c>
      <c r="BN3" s="446"/>
      <c r="BO3" s="31" t="s">
        <v>370</v>
      </c>
      <c r="BP3" s="446"/>
      <c r="BQ3" s="31" t="s">
        <v>371</v>
      </c>
      <c r="BR3" s="446"/>
      <c r="BS3" s="31" t="s">
        <v>372</v>
      </c>
      <c r="BT3" s="446"/>
      <c r="BU3" s="24" t="s">
        <v>373</v>
      </c>
      <c r="BV3" s="47"/>
      <c r="BW3" s="24" t="s">
        <v>2</v>
      </c>
      <c r="BX3" s="47"/>
      <c r="BY3" s="24" t="s">
        <v>3</v>
      </c>
      <c r="BZ3" s="47"/>
      <c r="CA3" s="24" t="s">
        <v>4</v>
      </c>
      <c r="CB3" s="47"/>
      <c r="CC3" s="31" t="s">
        <v>5</v>
      </c>
      <c r="CD3" s="47"/>
      <c r="CE3" s="31" t="s">
        <v>327</v>
      </c>
      <c r="CF3" s="47"/>
      <c r="CG3" s="31" t="s">
        <v>328</v>
      </c>
      <c r="CH3" s="47"/>
      <c r="CI3" s="31" t="s">
        <v>329</v>
      </c>
      <c r="CJ3" s="47"/>
      <c r="CK3" s="31" t="s">
        <v>330</v>
      </c>
      <c r="CL3" s="47"/>
      <c r="CM3" s="31" t="s">
        <v>128</v>
      </c>
      <c r="CN3" s="47"/>
      <c r="CO3" s="31" t="s">
        <v>129</v>
      </c>
      <c r="CP3" s="47"/>
      <c r="CQ3" s="31" t="s">
        <v>130</v>
      </c>
      <c r="CR3" s="47"/>
      <c r="CS3" s="31" t="s">
        <v>131</v>
      </c>
      <c r="CT3" s="47"/>
      <c r="CU3" s="31" t="s">
        <v>180</v>
      </c>
      <c r="CV3" s="47"/>
      <c r="CW3" s="31" t="s">
        <v>108</v>
      </c>
      <c r="CX3" s="47"/>
      <c r="CY3" s="31" t="s">
        <v>234</v>
      </c>
      <c r="CZ3" s="12"/>
      <c r="DA3" s="31" t="s">
        <v>235</v>
      </c>
      <c r="DB3" s="47"/>
      <c r="DC3" s="31" t="s">
        <v>249</v>
      </c>
      <c r="DD3" s="47"/>
      <c r="DE3" s="31" t="s">
        <v>250</v>
      </c>
      <c r="DF3" s="47"/>
      <c r="DG3" s="31" t="s">
        <v>251</v>
      </c>
      <c r="DH3" s="12"/>
      <c r="DI3" s="31" t="s">
        <v>252</v>
      </c>
      <c r="DJ3" s="47"/>
      <c r="DK3" s="31" t="s">
        <v>91</v>
      </c>
      <c r="DL3" s="47"/>
      <c r="DM3" s="31" t="s">
        <v>92</v>
      </c>
      <c r="DN3" s="47"/>
      <c r="DO3" s="31" t="s">
        <v>93</v>
      </c>
      <c r="DP3" s="47"/>
      <c r="DQ3" s="31" t="s">
        <v>94</v>
      </c>
      <c r="DR3" s="47"/>
      <c r="DS3" s="31" t="s">
        <v>627</v>
      </c>
      <c r="DT3" s="47"/>
      <c r="DU3" s="31" t="s">
        <v>628</v>
      </c>
      <c r="DV3" s="47"/>
      <c r="DW3" s="31" t="s">
        <v>629</v>
      </c>
      <c r="DX3" s="47"/>
      <c r="DY3" s="31" t="s">
        <v>630</v>
      </c>
      <c r="DZ3" s="47"/>
      <c r="EA3" s="31" t="s">
        <v>666</v>
      </c>
      <c r="EB3" s="47"/>
      <c r="EC3" s="31" t="s">
        <v>667</v>
      </c>
      <c r="ED3" s="47"/>
      <c r="EE3" s="31" t="s">
        <v>668</v>
      </c>
      <c r="EF3" s="777"/>
      <c r="EG3" s="31" t="s">
        <v>669</v>
      </c>
      <c r="EH3" s="777"/>
      <c r="EI3" s="31" t="s">
        <v>688</v>
      </c>
      <c r="EJ3" s="777"/>
      <c r="EK3" s="31" t="s">
        <v>689</v>
      </c>
      <c r="EL3" s="777"/>
      <c r="EM3" s="31" t="s">
        <v>690</v>
      </c>
      <c r="EN3" s="777"/>
      <c r="EO3" s="31" t="s">
        <v>691</v>
      </c>
      <c r="EP3" s="47"/>
      <c r="EQ3" s="1010" t="s">
        <v>799</v>
      </c>
      <c r="ER3" s="47"/>
      <c r="ES3" s="1010" t="s">
        <v>801</v>
      </c>
      <c r="ET3" s="47"/>
      <c r="EU3" s="1010" t="s">
        <v>803</v>
      </c>
      <c r="EV3" s="47"/>
      <c r="EW3" s="1010" t="s">
        <v>797</v>
      </c>
      <c r="EX3" s="47"/>
      <c r="EY3" s="31"/>
      <c r="EZ3" s="587"/>
      <c r="FA3" s="23"/>
      <c r="FB3" s="31" t="s">
        <v>587</v>
      </c>
      <c r="FC3" s="30"/>
      <c r="FD3" s="31" t="s">
        <v>588</v>
      </c>
      <c r="FE3" s="47"/>
      <c r="FF3" s="31" t="s">
        <v>589</v>
      </c>
      <c r="FG3" s="47"/>
      <c r="FH3" s="31" t="s">
        <v>590</v>
      </c>
      <c r="FI3" s="47"/>
      <c r="FJ3" s="31" t="s">
        <v>591</v>
      </c>
      <c r="FK3" s="47"/>
      <c r="FL3" s="31" t="s">
        <v>592</v>
      </c>
      <c r="FM3" s="47"/>
      <c r="FN3" s="31" t="s">
        <v>593</v>
      </c>
      <c r="FO3" s="47"/>
      <c r="FP3" s="31" t="s">
        <v>594</v>
      </c>
      <c r="FQ3" s="47"/>
      <c r="FR3" s="31" t="s">
        <v>595</v>
      </c>
      <c r="FS3" s="446"/>
      <c r="FT3" s="31" t="s">
        <v>596</v>
      </c>
      <c r="FU3" s="454"/>
      <c r="FV3" s="31" t="s">
        <v>352</v>
      </c>
      <c r="FW3" s="454"/>
      <c r="FX3" s="470" t="s">
        <v>546</v>
      </c>
      <c r="FY3" s="454"/>
      <c r="FZ3" s="31" t="s">
        <v>581</v>
      </c>
      <c r="GA3" s="454"/>
      <c r="GB3" s="31" t="s">
        <v>29</v>
      </c>
      <c r="GC3" s="454"/>
      <c r="GD3" s="31" t="s">
        <v>127</v>
      </c>
      <c r="GE3" s="454"/>
      <c r="GF3" s="31" t="s">
        <v>132</v>
      </c>
      <c r="GG3" s="454"/>
      <c r="GH3" s="31" t="s">
        <v>133</v>
      </c>
      <c r="GI3" s="454"/>
      <c r="GJ3" s="31" t="s">
        <v>236</v>
      </c>
      <c r="GK3" s="454"/>
      <c r="GL3" s="31" t="s">
        <v>237</v>
      </c>
      <c r="GM3" s="454"/>
      <c r="GN3" s="31" t="s">
        <v>248</v>
      </c>
      <c r="GO3" s="454"/>
      <c r="GP3" s="31" t="s">
        <v>95</v>
      </c>
      <c r="GQ3" s="454"/>
      <c r="GR3" s="31" t="s">
        <v>631</v>
      </c>
      <c r="GS3" s="454"/>
      <c r="GT3" s="31" t="s">
        <v>670</v>
      </c>
      <c r="GU3" s="454"/>
      <c r="GV3" s="31" t="s">
        <v>686</v>
      </c>
      <c r="GW3" s="454"/>
      <c r="GX3" s="31" t="s">
        <v>805</v>
      </c>
      <c r="GY3" s="454"/>
      <c r="GZ3" s="456" t="s">
        <v>597</v>
      </c>
      <c r="HA3" s="456"/>
      <c r="HC3"/>
      <c r="HD3"/>
      <c r="HE3"/>
      <c r="HF3"/>
      <c r="HG3"/>
      <c r="HH3"/>
      <c r="HI3" s="10"/>
    </row>
    <row r="4" spans="1:217" s="2" customFormat="1" ht="12.75" customHeight="1" collapsed="1" x14ac:dyDescent="0.2">
      <c r="B4" s="1197" t="s">
        <v>165</v>
      </c>
      <c r="C4" s="24"/>
      <c r="D4" s="33"/>
      <c r="E4" s="24"/>
      <c r="F4" s="33"/>
      <c r="G4" s="24"/>
      <c r="H4" s="33"/>
      <c r="I4" s="24"/>
      <c r="J4" s="33"/>
      <c r="K4" s="24"/>
      <c r="L4" s="33" t="str">
        <f>K6&amp;"/"</f>
        <v>1Q01/</v>
      </c>
      <c r="M4" s="24"/>
      <c r="N4" s="33" t="str">
        <f>M6&amp;"/"</f>
        <v>2Q01/</v>
      </c>
      <c r="O4" s="24"/>
      <c r="P4" s="33" t="str">
        <f>O6&amp;"/"</f>
        <v>3Q01/</v>
      </c>
      <c r="Q4" s="24"/>
      <c r="R4" s="33" t="str">
        <f>Q6&amp;"/"</f>
        <v>4Q01/</v>
      </c>
      <c r="S4" s="34"/>
      <c r="T4" s="33" t="str">
        <f>S6&amp;"/"</f>
        <v>1Q02/</v>
      </c>
      <c r="U4" s="34"/>
      <c r="V4" s="33" t="str">
        <f>U6&amp;"/"</f>
        <v>2Q02/</v>
      </c>
      <c r="W4" s="34"/>
      <c r="X4" s="33" t="str">
        <f>W6&amp;"/"</f>
        <v>3Q02/</v>
      </c>
      <c r="Y4" s="35"/>
      <c r="Z4" s="33" t="str">
        <f>Y6&amp;"/"</f>
        <v>4Q02/</v>
      </c>
      <c r="AA4" s="35"/>
      <c r="AB4" s="33" t="str">
        <f>AA6&amp;"/"</f>
        <v>1Q03/</v>
      </c>
      <c r="AC4" s="35"/>
      <c r="AD4" s="33" t="str">
        <f>AC6&amp;"/"</f>
        <v>2Q03/</v>
      </c>
      <c r="AE4" s="35"/>
      <c r="AF4" s="33" t="str">
        <f>AE6&amp;"/"</f>
        <v>3Q03/</v>
      </c>
      <c r="AG4" s="35"/>
      <c r="AH4" s="33" t="str">
        <f>AG6&amp;"/"</f>
        <v>4Q03/</v>
      </c>
      <c r="AI4" s="35"/>
      <c r="AJ4" s="33" t="str">
        <f>AI6&amp;"/"</f>
        <v>1Q04/</v>
      </c>
      <c r="AK4" s="35"/>
      <c r="AL4" s="33" t="str">
        <f>AK6&amp;"/"</f>
        <v>2Q04/</v>
      </c>
      <c r="AM4" s="35"/>
      <c r="AN4" s="33" t="str">
        <f>AM6&amp;"/"</f>
        <v>3Q04/</v>
      </c>
      <c r="AO4" s="35"/>
      <c r="AP4" s="33" t="str">
        <f>AO6&amp;"/"</f>
        <v>4Q04/</v>
      </c>
      <c r="AQ4" s="35"/>
      <c r="AR4" s="33" t="str">
        <f>AQ6&amp;"/"</f>
        <v>1Q05/</v>
      </c>
      <c r="AS4" s="35"/>
      <c r="AT4" s="33" t="str">
        <f>AS6&amp;"/"</f>
        <v>2Q05/</v>
      </c>
      <c r="AU4" s="35"/>
      <c r="AV4" s="33" t="str">
        <f>AU6&amp;"/"</f>
        <v>3Q05/</v>
      </c>
      <c r="AW4" s="35"/>
      <c r="AX4" s="33" t="str">
        <f>AW6&amp;"/"</f>
        <v>4Q05/</v>
      </c>
      <c r="AY4" s="35"/>
      <c r="AZ4" s="36" t="str">
        <f>AY6&amp;"/"</f>
        <v>1Q06/</v>
      </c>
      <c r="BA4" s="35"/>
      <c r="BB4" s="36" t="str">
        <f>BA6&amp;"/"</f>
        <v>2Q06/</v>
      </c>
      <c r="BC4" s="35"/>
      <c r="BD4" s="36" t="str">
        <f>BC6&amp;"/"</f>
        <v>3Q06/</v>
      </c>
      <c r="BE4" s="35"/>
      <c r="BF4" s="36" t="str">
        <f>BE6&amp;"/"</f>
        <v>4Q06/</v>
      </c>
      <c r="BG4" s="35"/>
      <c r="BH4" s="36" t="str">
        <f>BG6&amp;"/"</f>
        <v>1Q07/</v>
      </c>
      <c r="BJ4" s="36" t="str">
        <f>BI6&amp;"/"</f>
        <v>2Q07/</v>
      </c>
      <c r="BK4" s="35"/>
      <c r="BL4" s="36" t="str">
        <f>BK6&amp;"/"</f>
        <v>3Q07/</v>
      </c>
      <c r="BM4" s="35"/>
      <c r="BN4" s="36" t="str">
        <f>BM6&amp;"/"</f>
        <v>4Q07/</v>
      </c>
      <c r="BO4" s="35"/>
      <c r="BP4" s="36" t="str">
        <f>BO6&amp;"/"</f>
        <v>1Q08/</v>
      </c>
      <c r="BQ4" s="35"/>
      <c r="BR4" s="36" t="str">
        <f>BQ6&amp;"/"</f>
        <v>2Q08/</v>
      </c>
      <c r="BS4" s="35"/>
      <c r="BT4" s="36" t="str">
        <f>BS6&amp;"/"</f>
        <v>3Q08/</v>
      </c>
      <c r="BU4" s="35"/>
      <c r="BV4" s="33" t="str">
        <f>BU6&amp;"/"</f>
        <v>4Q08/</v>
      </c>
      <c r="BW4" s="35"/>
      <c r="BX4" s="33" t="str">
        <f>BW6&amp;"/"</f>
        <v>1Q09 /</v>
      </c>
      <c r="BY4" s="35"/>
      <c r="BZ4" s="33" t="str">
        <f>BY6&amp;"/"</f>
        <v>2Q09 /</v>
      </c>
      <c r="CA4" s="35"/>
      <c r="CB4" s="33" t="str">
        <f>CA6&amp;"/"</f>
        <v>3Q09/</v>
      </c>
      <c r="CC4" s="34"/>
      <c r="CD4" s="33" t="str">
        <f>CC6&amp;"/"</f>
        <v>4Q09/</v>
      </c>
      <c r="CE4" s="34"/>
      <c r="CF4" s="33" t="str">
        <f>CE6&amp;"/"</f>
        <v>1Q10/</v>
      </c>
      <c r="CG4" s="34"/>
      <c r="CH4" s="33" t="str">
        <f>CG6&amp;"/"</f>
        <v>2Q10/</v>
      </c>
      <c r="CI4" s="37"/>
      <c r="CJ4" s="33" t="str">
        <f>CI6&amp;"/"</f>
        <v>3Q10/</v>
      </c>
      <c r="CK4" s="37"/>
      <c r="CL4" s="33" t="str">
        <f>CK6&amp;"/"</f>
        <v>4Q10/</v>
      </c>
      <c r="CM4" s="34"/>
      <c r="CN4" s="33" t="str">
        <f>CM6&amp;"/"</f>
        <v>1Q11/</v>
      </c>
      <c r="CO4" s="41"/>
      <c r="CP4" s="47" t="str">
        <f>CO6&amp;"/"</f>
        <v>2Q11/</v>
      </c>
      <c r="CQ4" s="540"/>
      <c r="CR4" s="33" t="str">
        <f>CQ6&amp;"/"</f>
        <v>3Q11/</v>
      </c>
      <c r="CS4" s="539"/>
      <c r="CT4" s="33" t="str">
        <f>CS6&amp;"/"</f>
        <v>4Q11/</v>
      </c>
      <c r="CU4" s="539"/>
      <c r="CV4" s="38" t="str">
        <f>CU6&amp;"/"</f>
        <v>1Q12/</v>
      </c>
      <c r="CW4" s="539"/>
      <c r="CX4" s="38" t="str">
        <f>CW6&amp;"/"</f>
        <v>2Q12/</v>
      </c>
      <c r="CY4" s="539"/>
      <c r="CZ4" s="38" t="str">
        <f>CY6&amp;"/"</f>
        <v>3Q12/</v>
      </c>
      <c r="DA4" s="539"/>
      <c r="DB4" s="38" t="str">
        <f>DA6&amp;"/"</f>
        <v>4Q12/</v>
      </c>
      <c r="DC4" s="539"/>
      <c r="DD4" s="38" t="str">
        <f>DC6&amp;"/"</f>
        <v>1Q13/</v>
      </c>
      <c r="DE4" s="539"/>
      <c r="DF4" s="38" t="str">
        <f>DE6&amp;"/"</f>
        <v>2Q13/</v>
      </c>
      <c r="DG4" s="539"/>
      <c r="DH4" s="38" t="str">
        <f>DG6&amp;"/"</f>
        <v>3Q13/</v>
      </c>
      <c r="DI4" s="539"/>
      <c r="DJ4" s="38" t="str">
        <f>DI6&amp;"/"</f>
        <v>4Q13/</v>
      </c>
      <c r="DK4" s="539"/>
      <c r="DL4" s="38" t="str">
        <f>DK6&amp;"/"</f>
        <v>1Q14/</v>
      </c>
      <c r="DM4" s="539"/>
      <c r="DN4" s="38" t="str">
        <f>DM6&amp;"/"</f>
        <v>2Q14/</v>
      </c>
      <c r="DO4" s="539"/>
      <c r="DP4" s="38" t="str">
        <f>DO6&amp;"/"</f>
        <v>3Q14/</v>
      </c>
      <c r="DQ4" s="539"/>
      <c r="DR4" s="38" t="str">
        <f>DQ6&amp;"/"</f>
        <v>4Q14/</v>
      </c>
      <c r="DS4" s="539"/>
      <c r="DT4" s="38" t="str">
        <f>DS6&amp;"/"</f>
        <v>1Q15/</v>
      </c>
      <c r="DU4" s="539"/>
      <c r="DV4" s="38" t="str">
        <f>DU6&amp;"/"</f>
        <v>2Q15/</v>
      </c>
      <c r="DW4" s="539"/>
      <c r="DX4" s="893" t="str">
        <f>DW6&amp;"/"</f>
        <v>3Q15/</v>
      </c>
      <c r="DY4" s="539"/>
      <c r="DZ4" s="893" t="str">
        <f>DY6&amp;"/"</f>
        <v>4Q15/</v>
      </c>
      <c r="EA4" s="539"/>
      <c r="EB4" s="893" t="str">
        <f>EA6&amp;"/"</f>
        <v>1Q16/</v>
      </c>
      <c r="EC4" s="539"/>
      <c r="ED4" s="974" t="str">
        <f>EC6&amp;"/"</f>
        <v>2Q16/</v>
      </c>
      <c r="EE4" s="539"/>
      <c r="EF4" s="1012" t="str">
        <f>EE6&amp;"/"</f>
        <v>3Q16/</v>
      </c>
      <c r="EG4" s="539"/>
      <c r="EH4" s="1013" t="str">
        <f>EG6&amp;"/"</f>
        <v>4Q16/</v>
      </c>
      <c r="EI4" s="539"/>
      <c r="EJ4" s="1013" t="str">
        <f t="shared" ref="EJ4" si="0">EI6&amp;"/"</f>
        <v>1Q17/</v>
      </c>
      <c r="EK4" s="539"/>
      <c r="EL4" s="1013" t="str">
        <f t="shared" ref="EL4" si="1">EK6&amp;"/"</f>
        <v>2Q17/</v>
      </c>
      <c r="EM4" s="539"/>
      <c r="EN4" s="1013" t="str">
        <f t="shared" ref="EN4" si="2">EM6&amp;"/"</f>
        <v>3Q17/</v>
      </c>
      <c r="EO4" s="539"/>
      <c r="EP4" s="975" t="str">
        <f t="shared" ref="EP4" si="3">EO6&amp;"/"</f>
        <v>4Q17/</v>
      </c>
      <c r="EQ4" s="1011"/>
      <c r="ER4" s="975" t="str">
        <f t="shared" ref="ER4" si="4">EQ6&amp;"/"</f>
        <v>1Q18E/</v>
      </c>
      <c r="ES4" s="1011"/>
      <c r="ET4" s="975" t="str">
        <f t="shared" ref="ET4" si="5">ES6&amp;"/"</f>
        <v>2Q18E/</v>
      </c>
      <c r="EU4" s="1011"/>
      <c r="EV4" s="975" t="str">
        <f t="shared" ref="EV4" si="6">EU6&amp;"/"</f>
        <v>3Q18E/</v>
      </c>
      <c r="EW4" s="1011"/>
      <c r="EX4" s="975" t="str">
        <f t="shared" ref="EX4" si="7">EW6&amp;"/"</f>
        <v>4Q18E/</v>
      </c>
      <c r="EY4" s="976"/>
      <c r="EZ4" s="977"/>
      <c r="FA4" s="978"/>
      <c r="FB4" s="962"/>
      <c r="FC4" s="961"/>
      <c r="FD4" s="962"/>
      <c r="FE4" s="961" t="str">
        <f>FD6&amp;"/"</f>
        <v>1999/</v>
      </c>
      <c r="FF4" s="976"/>
      <c r="FG4" s="961" t="str">
        <f>FF6&amp;"/"</f>
        <v>2000/</v>
      </c>
      <c r="FH4" s="976"/>
      <c r="FI4" s="961" t="str">
        <f>FH6&amp;"/"</f>
        <v>2001/</v>
      </c>
      <c r="FJ4" s="976"/>
      <c r="FK4" s="961" t="str">
        <f>FJ6&amp;"/"</f>
        <v>2002/</v>
      </c>
      <c r="FL4" s="976"/>
      <c r="FM4" s="961" t="str">
        <f>FL6&amp;"/"</f>
        <v>2003/</v>
      </c>
      <c r="FN4" s="976"/>
      <c r="FO4" s="961" t="str">
        <f>FN6&amp;"/"</f>
        <v>2004/</v>
      </c>
      <c r="FP4" s="976"/>
      <c r="FQ4" s="961" t="str">
        <f>FP6&amp;"/"</f>
        <v>2005/</v>
      </c>
      <c r="FR4" s="976"/>
      <c r="FS4" s="963" t="str">
        <f>FR6&amp;"/"</f>
        <v>2006/</v>
      </c>
      <c r="FT4" s="979"/>
      <c r="FU4" s="963" t="str">
        <f>FT6&amp;"/"</f>
        <v>2007/</v>
      </c>
      <c r="FV4" s="976"/>
      <c r="FW4" s="963" t="str">
        <f>FV6&amp;"/"</f>
        <v>2008/</v>
      </c>
      <c r="FX4" s="980"/>
      <c r="FY4" s="963" t="str">
        <f>FX6&amp;"/"</f>
        <v>2009/</v>
      </c>
      <c r="FZ4" s="960"/>
      <c r="GA4" s="963" t="str">
        <f>FZ6&amp;"/"</f>
        <v>2010/</v>
      </c>
      <c r="GB4" s="981"/>
      <c r="GC4" s="963" t="str">
        <f>GB6&amp;"/"</f>
        <v>2011/</v>
      </c>
      <c r="GD4" s="960"/>
      <c r="GE4" s="975" t="str">
        <f>GD6&amp;"/"</f>
        <v>2012/</v>
      </c>
      <c r="GF4" s="982"/>
      <c r="GG4" s="975" t="str">
        <f>GF6&amp;"/"</f>
        <v>2013/</v>
      </c>
      <c r="GH4" s="960"/>
      <c r="GI4" s="975" t="str">
        <f>GH6&amp;"/"</f>
        <v>2014/</v>
      </c>
      <c r="GJ4" s="973"/>
      <c r="GK4" s="975" t="str">
        <f>GJ6&amp;"/"</f>
        <v>2015/</v>
      </c>
      <c r="GL4" s="973"/>
      <c r="GM4" s="975" t="str">
        <f>GL6&amp;"/"</f>
        <v>2016/</v>
      </c>
      <c r="GN4" s="973"/>
      <c r="GO4" s="975" t="str">
        <f>GN6&amp;"/"</f>
        <v>2017/</v>
      </c>
      <c r="GP4" s="973"/>
      <c r="GQ4" s="975" t="str">
        <f>GP6&amp;"/"</f>
        <v>2018E/</v>
      </c>
      <c r="GR4" s="973"/>
      <c r="GS4" s="975" t="str">
        <f>GR6&amp;"/"</f>
        <v>2019E/</v>
      </c>
      <c r="GT4" s="973"/>
      <c r="GU4" s="975" t="str">
        <f>GT6&amp;"/"</f>
        <v>2020E/</v>
      </c>
      <c r="GV4" s="982"/>
      <c r="GW4" s="975" t="str">
        <f>GV6&amp;"/"</f>
        <v>2021E/</v>
      </c>
      <c r="GX4" s="982"/>
      <c r="GY4" s="975" t="str">
        <f>GX6&amp;"/"</f>
        <v>2022E/</v>
      </c>
      <c r="GZ4" s="33" t="s">
        <v>193</v>
      </c>
      <c r="HA4" s="33"/>
      <c r="HB4" s="10"/>
      <c r="HC4"/>
      <c r="HD4"/>
      <c r="HE4"/>
      <c r="HF4"/>
      <c r="HG4"/>
      <c r="HH4"/>
      <c r="HI4" s="10"/>
    </row>
    <row r="5" spans="1:217" s="2" customFormat="1" ht="12.75" customHeight="1" x14ac:dyDescent="0.2">
      <c r="B5" s="1197"/>
      <c r="C5" s="24"/>
      <c r="D5" s="33"/>
      <c r="E5" s="24"/>
      <c r="F5" s="33"/>
      <c r="G5" s="24"/>
      <c r="H5" s="33"/>
      <c r="I5" s="24"/>
      <c r="J5" s="33"/>
      <c r="K5" s="24"/>
      <c r="L5" s="33" t="str">
        <f>C6</f>
        <v>1Q00</v>
      </c>
      <c r="M5" s="24"/>
      <c r="N5" s="33" t="str">
        <f>E6</f>
        <v>2Q00</v>
      </c>
      <c r="O5" s="34"/>
      <c r="P5" s="33" t="str">
        <f>G6</f>
        <v>3Q00</v>
      </c>
      <c r="Q5" s="34"/>
      <c r="R5" s="33" t="str">
        <f>I6</f>
        <v>4Q00</v>
      </c>
      <c r="S5" s="34"/>
      <c r="T5" s="33" t="str">
        <f>K6</f>
        <v>1Q01</v>
      </c>
      <c r="U5" s="34"/>
      <c r="V5" s="33" t="str">
        <f>M6</f>
        <v>2Q01</v>
      </c>
      <c r="W5" s="34"/>
      <c r="X5" s="33" t="str">
        <f>O6</f>
        <v>3Q01</v>
      </c>
      <c r="Y5" s="34"/>
      <c r="Z5" s="33" t="str">
        <f>Q6</f>
        <v>4Q01</v>
      </c>
      <c r="AA5" s="41"/>
      <c r="AB5" s="33" t="str">
        <f>S6</f>
        <v>1Q02</v>
      </c>
      <c r="AC5" s="41"/>
      <c r="AD5" s="33" t="str">
        <f>U6</f>
        <v>2Q02</v>
      </c>
      <c r="AE5" s="41"/>
      <c r="AF5" s="33" t="str">
        <f>W6</f>
        <v>3Q02</v>
      </c>
      <c r="AG5" s="41"/>
      <c r="AH5" s="33" t="str">
        <f>Y6</f>
        <v>4Q02</v>
      </c>
      <c r="AI5" s="41"/>
      <c r="AJ5" s="33" t="str">
        <f>AA6</f>
        <v>1Q03</v>
      </c>
      <c r="AK5" s="41"/>
      <c r="AL5" s="33" t="str">
        <f>AC6</f>
        <v>2Q03</v>
      </c>
      <c r="AM5" s="41"/>
      <c r="AN5" s="33" t="str">
        <f>AE6</f>
        <v>3Q03</v>
      </c>
      <c r="AO5" s="41"/>
      <c r="AP5" s="33" t="str">
        <f>AG6</f>
        <v>4Q03</v>
      </c>
      <c r="AQ5" s="41"/>
      <c r="AR5" s="33" t="str">
        <f>AI6</f>
        <v>1Q04</v>
      </c>
      <c r="AS5" s="41"/>
      <c r="AT5" s="33" t="str">
        <f>AK6</f>
        <v>2Q04</v>
      </c>
      <c r="AU5" s="41"/>
      <c r="AV5" s="33" t="str">
        <f>AM6</f>
        <v>3Q04</v>
      </c>
      <c r="AW5" s="41"/>
      <c r="AX5" s="33" t="str">
        <f>AO6</f>
        <v>4Q04</v>
      </c>
      <c r="AY5" s="41"/>
      <c r="AZ5" s="36" t="str">
        <f>AQ6</f>
        <v>1Q05</v>
      </c>
      <c r="BA5" s="41"/>
      <c r="BB5" s="36" t="str">
        <f>AS6</f>
        <v>2Q05</v>
      </c>
      <c r="BC5" s="41"/>
      <c r="BD5" s="36" t="str">
        <f>AU6</f>
        <v>3Q05</v>
      </c>
      <c r="BE5" s="41"/>
      <c r="BF5" s="36" t="str">
        <f>AW6</f>
        <v>4Q05</v>
      </c>
      <c r="BG5" s="41"/>
      <c r="BH5" s="36" t="str">
        <f>AY6</f>
        <v>1Q06</v>
      </c>
      <c r="BI5" s="41"/>
      <c r="BJ5" s="36" t="str">
        <f>BA6</f>
        <v>2Q06</v>
      </c>
      <c r="BK5" s="41"/>
      <c r="BL5" s="36" t="str">
        <f>BC6</f>
        <v>3Q06</v>
      </c>
      <c r="BM5" s="41"/>
      <c r="BN5" s="36" t="str">
        <f>BE6</f>
        <v>4Q06</v>
      </c>
      <c r="BO5" s="41"/>
      <c r="BP5" s="36" t="str">
        <f>BG6</f>
        <v>1Q07</v>
      </c>
      <c r="BQ5" s="41"/>
      <c r="BR5" s="36" t="str">
        <f>BI6</f>
        <v>2Q07</v>
      </c>
      <c r="BS5" s="41"/>
      <c r="BT5" s="36" t="str">
        <f>BK6</f>
        <v>3Q07</v>
      </c>
      <c r="BU5" s="41"/>
      <c r="BV5" s="33" t="str">
        <f>BM6</f>
        <v>4Q07</v>
      </c>
      <c r="BW5" s="41"/>
      <c r="BX5" s="36" t="str">
        <f>BO6</f>
        <v>1Q08</v>
      </c>
      <c r="BY5" s="41"/>
      <c r="BZ5" s="36" t="str">
        <f>BQ6</f>
        <v>2Q08</v>
      </c>
      <c r="CA5" s="41"/>
      <c r="CB5" s="36" t="str">
        <f>BS6</f>
        <v>3Q08</v>
      </c>
      <c r="CC5" s="41"/>
      <c r="CD5" s="33" t="str">
        <f>BU6</f>
        <v>4Q08</v>
      </c>
      <c r="CE5" s="41"/>
      <c r="CF5" s="36" t="str">
        <f>BW6</f>
        <v xml:space="preserve">1Q09 </v>
      </c>
      <c r="CG5" s="41"/>
      <c r="CH5" s="36" t="str">
        <f>BY6</f>
        <v xml:space="preserve">2Q09 </v>
      </c>
      <c r="CI5" s="41"/>
      <c r="CJ5" s="36" t="str">
        <f>CA6</f>
        <v>3Q09</v>
      </c>
      <c r="CK5" s="41"/>
      <c r="CL5" s="33" t="str">
        <f>CC6</f>
        <v>4Q09</v>
      </c>
      <c r="CM5" s="41"/>
      <c r="CN5" s="33" t="str">
        <f>CE6</f>
        <v>1Q10</v>
      </c>
      <c r="CO5" s="41"/>
      <c r="CP5" s="47" t="str">
        <f>CG6</f>
        <v>2Q10</v>
      </c>
      <c r="CQ5" s="472"/>
      <c r="CR5" s="33" t="str">
        <f>CI6</f>
        <v>3Q10</v>
      </c>
      <c r="CS5" s="41"/>
      <c r="CT5" s="33" t="str">
        <f>CK6</f>
        <v>4Q10</v>
      </c>
      <c r="CU5" s="41"/>
      <c r="CV5" s="33" t="str">
        <f>CM6</f>
        <v>1Q11</v>
      </c>
      <c r="CW5" s="41"/>
      <c r="CX5" s="33" t="str">
        <f>CO6</f>
        <v>2Q11</v>
      </c>
      <c r="CY5" s="41"/>
      <c r="CZ5" s="33" t="str">
        <f>CQ6</f>
        <v>3Q11</v>
      </c>
      <c r="DA5" s="41"/>
      <c r="DB5" s="33" t="str">
        <f>CS6</f>
        <v>4Q11</v>
      </c>
      <c r="DC5" s="41"/>
      <c r="DD5" s="33" t="str">
        <f>CU6</f>
        <v>1Q12</v>
      </c>
      <c r="DE5" s="41"/>
      <c r="DF5" s="33" t="str">
        <f>CW6</f>
        <v>2Q12</v>
      </c>
      <c r="DG5" s="41"/>
      <c r="DH5" s="33" t="str">
        <f>CY6</f>
        <v>3Q12</v>
      </c>
      <c r="DI5" s="41"/>
      <c r="DJ5" s="33" t="str">
        <f>DA6</f>
        <v>4Q12</v>
      </c>
      <c r="DK5" s="39"/>
      <c r="DL5" s="33" t="str">
        <f>DC6</f>
        <v>1Q13</v>
      </c>
      <c r="DM5" s="39"/>
      <c r="DN5" s="33" t="str">
        <f>DE6</f>
        <v>2Q13</v>
      </c>
      <c r="DO5" s="39"/>
      <c r="DP5" s="33" t="str">
        <f>DG6</f>
        <v>3Q13</v>
      </c>
      <c r="DQ5" s="39"/>
      <c r="DR5" s="33" t="str">
        <f>DI6</f>
        <v>4Q13</v>
      </c>
      <c r="DS5" s="986" t="s">
        <v>710</v>
      </c>
      <c r="DT5" s="987" t="str">
        <f>DK6</f>
        <v>1Q14</v>
      </c>
      <c r="DU5" s="986"/>
      <c r="DV5" s="33" t="str">
        <f>DM6</f>
        <v>2Q14</v>
      </c>
      <c r="DW5" s="39"/>
      <c r="DX5" s="33" t="str">
        <f>DO6</f>
        <v>3Q14</v>
      </c>
      <c r="DY5" s="39"/>
      <c r="DZ5" s="33" t="str">
        <f>DQ6</f>
        <v>4Q14</v>
      </c>
      <c r="EA5" s="39"/>
      <c r="EB5" s="33" t="str">
        <f>DS6</f>
        <v>1Q15</v>
      </c>
      <c r="EC5" s="1118"/>
      <c r="ED5" s="33" t="str">
        <f>DU6</f>
        <v>2Q15</v>
      </c>
      <c r="EE5" s="1118"/>
      <c r="EF5" s="771" t="str">
        <f>DW6</f>
        <v>3Q15</v>
      </c>
      <c r="EG5" s="1118"/>
      <c r="EH5" s="771" t="str">
        <f>DY6</f>
        <v>4Q15</v>
      </c>
      <c r="EI5" s="1164"/>
      <c r="EJ5" s="771" t="str">
        <f t="shared" ref="EJ5" si="8">EA6</f>
        <v>1Q16</v>
      </c>
      <c r="EK5" s="1164"/>
      <c r="EL5" s="771" t="str">
        <f t="shared" ref="EL5" si="9">EC6</f>
        <v>2Q16</v>
      </c>
      <c r="EM5" s="1164"/>
      <c r="EN5" s="771" t="str">
        <f t="shared" ref="EN5" si="10">EE6</f>
        <v>3Q16</v>
      </c>
      <c r="EO5" s="1164"/>
      <c r="EP5" s="33" t="str">
        <f t="shared" ref="EP5" si="11">EG6</f>
        <v>4Q16</v>
      </c>
      <c r="EQ5" s="1026"/>
      <c r="ER5" s="1167" t="str">
        <f t="shared" ref="ER5" si="12">EI6</f>
        <v>1Q17</v>
      </c>
      <c r="ES5" s="1026"/>
      <c r="ET5" s="1167" t="str">
        <f t="shared" ref="ET5" si="13">EK6</f>
        <v>2Q17</v>
      </c>
      <c r="EU5" s="1026"/>
      <c r="EV5" s="1167" t="str">
        <f t="shared" ref="EV5" si="14">EM6</f>
        <v>3Q17</v>
      </c>
      <c r="EW5" s="1026"/>
      <c r="EX5" s="33" t="str">
        <f t="shared" ref="EX5" si="15">EO6</f>
        <v>4Q17</v>
      </c>
      <c r="EY5" s="41"/>
      <c r="EZ5" s="589"/>
      <c r="FA5" s="31"/>
      <c r="FB5" s="24"/>
      <c r="FC5" s="33"/>
      <c r="FD5" s="24"/>
      <c r="FE5" s="33" t="str">
        <f>FB6</f>
        <v>1998</v>
      </c>
      <c r="FF5" s="31"/>
      <c r="FG5" s="33" t="str">
        <f>FD6</f>
        <v>1999</v>
      </c>
      <c r="FH5" s="403"/>
      <c r="FI5" s="42" t="str">
        <f>FF6</f>
        <v>2000</v>
      </c>
      <c r="FJ5" s="41"/>
      <c r="FK5" s="42" t="str">
        <f>FH6</f>
        <v>2001</v>
      </c>
      <c r="FL5" s="41"/>
      <c r="FM5" s="42" t="str">
        <f>FJ6</f>
        <v>2002</v>
      </c>
      <c r="FN5" s="41"/>
      <c r="FO5" s="42" t="str">
        <f>FL6</f>
        <v>2003</v>
      </c>
      <c r="FP5" s="41"/>
      <c r="FQ5" s="42" t="str">
        <f>FN6</f>
        <v>2004</v>
      </c>
      <c r="FR5" s="41">
        <f>FR694</f>
        <v>5.2140657916058997</v>
      </c>
      <c r="FS5" s="36" t="str">
        <f>FP6</f>
        <v>2005</v>
      </c>
      <c r="FT5" s="41">
        <f>FT694</f>
        <v>6.1220711592064276</v>
      </c>
      <c r="FU5" s="36" t="str">
        <f>FR6</f>
        <v>2006</v>
      </c>
      <c r="FV5" s="41"/>
      <c r="FW5" s="36" t="str">
        <f>FT6</f>
        <v>2007</v>
      </c>
      <c r="FX5" s="472"/>
      <c r="FY5" s="36" t="str">
        <f>FV6</f>
        <v>2008</v>
      </c>
      <c r="FZ5" s="41"/>
      <c r="GA5" s="36" t="str">
        <f>FX6</f>
        <v>2009</v>
      </c>
      <c r="GB5" s="471" t="s">
        <v>45</v>
      </c>
      <c r="GC5" s="36" t="str">
        <f>FZ6</f>
        <v>2010</v>
      </c>
      <c r="GD5" s="41"/>
      <c r="GE5" s="36" t="str">
        <f>GB6</f>
        <v>2011</v>
      </c>
      <c r="GF5" s="41"/>
      <c r="GG5" s="36" t="str">
        <f>GD6</f>
        <v>2012</v>
      </c>
      <c r="GH5" s="80"/>
      <c r="GI5" s="36" t="str">
        <f>GF6</f>
        <v>2013</v>
      </c>
      <c r="GJ5" s="39"/>
      <c r="GK5" s="36" t="str">
        <f>GH6</f>
        <v>2014</v>
      </c>
      <c r="GL5" s="39"/>
      <c r="GM5" s="36" t="str">
        <f>GJ6</f>
        <v>2015</v>
      </c>
      <c r="GN5" s="39"/>
      <c r="GO5" s="36" t="str">
        <f>GL6</f>
        <v>2016</v>
      </c>
      <c r="GP5" s="39"/>
      <c r="GQ5" s="36">
        <f>GN6</f>
        <v>2017</v>
      </c>
      <c r="GR5" s="39"/>
      <c r="GS5" s="36" t="str">
        <f>GP6</f>
        <v>2018E</v>
      </c>
      <c r="GT5" s="39"/>
      <c r="GU5" s="36" t="str">
        <f>GR6</f>
        <v>2019E</v>
      </c>
      <c r="GV5" s="39"/>
      <c r="GW5" s="36" t="str">
        <f>GT6</f>
        <v>2020E</v>
      </c>
      <c r="GX5" s="39"/>
      <c r="GY5" s="36" t="str">
        <f>GV6</f>
        <v>2021E</v>
      </c>
      <c r="GZ5" s="33" t="s">
        <v>194</v>
      </c>
      <c r="HA5" s="33"/>
      <c r="HB5" s="10"/>
      <c r="HC5"/>
      <c r="HD5"/>
      <c r="HE5"/>
      <c r="HF5"/>
      <c r="HG5"/>
      <c r="HH5"/>
      <c r="HI5" s="10"/>
    </row>
    <row r="6" spans="1:217" s="6" customFormat="1" ht="12.75" customHeight="1" x14ac:dyDescent="0.2">
      <c r="B6" s="746">
        <v>1</v>
      </c>
      <c r="C6" s="690" t="s">
        <v>515</v>
      </c>
      <c r="D6" s="691"/>
      <c r="E6" s="690" t="s">
        <v>516</v>
      </c>
      <c r="F6" s="691"/>
      <c r="G6" s="690" t="s">
        <v>517</v>
      </c>
      <c r="H6" s="691"/>
      <c r="I6" s="690" t="s">
        <v>520</v>
      </c>
      <c r="J6" s="691"/>
      <c r="K6" s="690" t="s">
        <v>472</v>
      </c>
      <c r="L6" s="43" t="s">
        <v>257</v>
      </c>
      <c r="M6" s="690" t="s">
        <v>354</v>
      </c>
      <c r="N6" s="43" t="s">
        <v>257</v>
      </c>
      <c r="O6" s="690" t="s">
        <v>9</v>
      </c>
      <c r="P6" s="43" t="s">
        <v>257</v>
      </c>
      <c r="Q6" s="690" t="s">
        <v>10</v>
      </c>
      <c r="R6" s="43" t="s">
        <v>257</v>
      </c>
      <c r="S6" s="690" t="s">
        <v>527</v>
      </c>
      <c r="T6" s="43" t="s">
        <v>257</v>
      </c>
      <c r="U6" s="690" t="s">
        <v>528</v>
      </c>
      <c r="V6" s="43" t="s">
        <v>257</v>
      </c>
      <c r="W6" s="690" t="s">
        <v>106</v>
      </c>
      <c r="X6" s="43" t="s">
        <v>257</v>
      </c>
      <c r="Y6" s="690" t="s">
        <v>107</v>
      </c>
      <c r="Z6" s="43" t="s">
        <v>257</v>
      </c>
      <c r="AA6" s="690" t="s">
        <v>511</v>
      </c>
      <c r="AB6" s="43" t="s">
        <v>257</v>
      </c>
      <c r="AC6" s="690" t="s">
        <v>293</v>
      </c>
      <c r="AD6" s="43" t="s">
        <v>257</v>
      </c>
      <c r="AE6" s="690" t="s">
        <v>294</v>
      </c>
      <c r="AF6" s="43" t="s">
        <v>257</v>
      </c>
      <c r="AG6" s="689" t="s">
        <v>586</v>
      </c>
      <c r="AH6" s="43" t="s">
        <v>257</v>
      </c>
      <c r="AI6" s="689" t="s">
        <v>349</v>
      </c>
      <c r="AJ6" s="43" t="s">
        <v>257</v>
      </c>
      <c r="AK6" s="689" t="s">
        <v>350</v>
      </c>
      <c r="AL6" s="43" t="s">
        <v>257</v>
      </c>
      <c r="AM6" s="689" t="s">
        <v>351</v>
      </c>
      <c r="AN6" s="43" t="s">
        <v>257</v>
      </c>
      <c r="AO6" s="689" t="s">
        <v>348</v>
      </c>
      <c r="AP6" s="43" t="s">
        <v>257</v>
      </c>
      <c r="AQ6" s="689" t="s">
        <v>450</v>
      </c>
      <c r="AR6" s="43" t="s">
        <v>257</v>
      </c>
      <c r="AS6" s="689" t="s">
        <v>451</v>
      </c>
      <c r="AT6" s="43" t="s">
        <v>257</v>
      </c>
      <c r="AU6" s="689" t="s">
        <v>164</v>
      </c>
      <c r="AV6" s="43" t="s">
        <v>257</v>
      </c>
      <c r="AW6" s="689" t="s">
        <v>449</v>
      </c>
      <c r="AX6" s="43" t="s">
        <v>257</v>
      </c>
      <c r="AY6" s="689" t="s">
        <v>577</v>
      </c>
      <c r="AZ6" s="45" t="s">
        <v>257</v>
      </c>
      <c r="BA6" s="689" t="s">
        <v>578</v>
      </c>
      <c r="BB6" s="45" t="s">
        <v>257</v>
      </c>
      <c r="BC6" s="689" t="s">
        <v>579</v>
      </c>
      <c r="BD6" s="45" t="s">
        <v>257</v>
      </c>
      <c r="BE6" s="689" t="s">
        <v>580</v>
      </c>
      <c r="BF6" s="45" t="s">
        <v>257</v>
      </c>
      <c r="BG6" s="689" t="s">
        <v>512</v>
      </c>
      <c r="BH6" s="45" t="s">
        <v>257</v>
      </c>
      <c r="BI6" s="689" t="s">
        <v>110</v>
      </c>
      <c r="BJ6" s="45" t="s">
        <v>257</v>
      </c>
      <c r="BK6" s="689" t="s">
        <v>111</v>
      </c>
      <c r="BL6" s="45" t="s">
        <v>257</v>
      </c>
      <c r="BM6" s="689" t="s">
        <v>11</v>
      </c>
      <c r="BN6" s="45" t="s">
        <v>257</v>
      </c>
      <c r="BO6" s="689" t="s">
        <v>370</v>
      </c>
      <c r="BP6" s="45" t="s">
        <v>257</v>
      </c>
      <c r="BQ6" s="689" t="s">
        <v>371</v>
      </c>
      <c r="BR6" s="45" t="s">
        <v>257</v>
      </c>
      <c r="BS6" s="689" t="s">
        <v>372</v>
      </c>
      <c r="BT6" s="45" t="s">
        <v>257</v>
      </c>
      <c r="BU6" s="689" t="s">
        <v>135</v>
      </c>
      <c r="BV6" s="43" t="s">
        <v>257</v>
      </c>
      <c r="BW6" s="689" t="s">
        <v>2</v>
      </c>
      <c r="BX6" s="43" t="s">
        <v>257</v>
      </c>
      <c r="BY6" s="689" t="s">
        <v>3</v>
      </c>
      <c r="BZ6" s="43" t="s">
        <v>257</v>
      </c>
      <c r="CA6" s="689" t="s">
        <v>148</v>
      </c>
      <c r="CB6" s="43" t="s">
        <v>257</v>
      </c>
      <c r="CC6" s="689" t="s">
        <v>366</v>
      </c>
      <c r="CD6" s="43" t="s">
        <v>257</v>
      </c>
      <c r="CE6" s="689" t="s">
        <v>327</v>
      </c>
      <c r="CF6" s="43" t="s">
        <v>257</v>
      </c>
      <c r="CG6" s="689" t="s">
        <v>328</v>
      </c>
      <c r="CH6" s="43" t="s">
        <v>257</v>
      </c>
      <c r="CI6" s="689" t="s">
        <v>329</v>
      </c>
      <c r="CJ6" s="43" t="s">
        <v>257</v>
      </c>
      <c r="CK6" s="689" t="s">
        <v>330</v>
      </c>
      <c r="CL6" s="43" t="s">
        <v>257</v>
      </c>
      <c r="CM6" s="689" t="s">
        <v>128</v>
      </c>
      <c r="CN6" s="43" t="s">
        <v>257</v>
      </c>
      <c r="CO6" s="689" t="s">
        <v>129</v>
      </c>
      <c r="CP6" s="43" t="s">
        <v>257</v>
      </c>
      <c r="CQ6" s="718" t="s">
        <v>130</v>
      </c>
      <c r="CR6" s="43" t="s">
        <v>257</v>
      </c>
      <c r="CS6" s="689" t="s">
        <v>131</v>
      </c>
      <c r="CT6" s="43" t="s">
        <v>257</v>
      </c>
      <c r="CU6" s="689" t="s">
        <v>180</v>
      </c>
      <c r="CV6" s="44" t="s">
        <v>257</v>
      </c>
      <c r="CW6" s="689" t="s">
        <v>108</v>
      </c>
      <c r="CX6" s="44" t="s">
        <v>257</v>
      </c>
      <c r="CY6" s="689" t="s">
        <v>234</v>
      </c>
      <c r="CZ6" s="44" t="s">
        <v>257</v>
      </c>
      <c r="DA6" s="689" t="s">
        <v>235</v>
      </c>
      <c r="DB6" s="44" t="s">
        <v>257</v>
      </c>
      <c r="DC6" s="689" t="s">
        <v>249</v>
      </c>
      <c r="DD6" s="44" t="s">
        <v>257</v>
      </c>
      <c r="DE6" s="689" t="s">
        <v>250</v>
      </c>
      <c r="DF6" s="44" t="s">
        <v>257</v>
      </c>
      <c r="DG6" s="689" t="s">
        <v>251</v>
      </c>
      <c r="DH6" s="44" t="s">
        <v>257</v>
      </c>
      <c r="DI6" s="689" t="s">
        <v>252</v>
      </c>
      <c r="DJ6" s="44" t="s">
        <v>257</v>
      </c>
      <c r="DK6" s="689" t="s">
        <v>91</v>
      </c>
      <c r="DL6" s="44" t="s">
        <v>257</v>
      </c>
      <c r="DM6" s="689" t="s">
        <v>92</v>
      </c>
      <c r="DN6" s="44" t="s">
        <v>257</v>
      </c>
      <c r="DO6" s="689" t="s">
        <v>93</v>
      </c>
      <c r="DP6" s="44" t="s">
        <v>257</v>
      </c>
      <c r="DQ6" s="689" t="s">
        <v>94</v>
      </c>
      <c r="DR6" s="44" t="s">
        <v>257</v>
      </c>
      <c r="DS6" s="689" t="s">
        <v>627</v>
      </c>
      <c r="DT6" s="44" t="s">
        <v>257</v>
      </c>
      <c r="DU6" s="689" t="s">
        <v>628</v>
      </c>
      <c r="DV6" s="44" t="s">
        <v>257</v>
      </c>
      <c r="DW6" s="689" t="s">
        <v>629</v>
      </c>
      <c r="DX6" s="44" t="s">
        <v>257</v>
      </c>
      <c r="DY6" s="689" t="s">
        <v>630</v>
      </c>
      <c r="DZ6" s="44" t="s">
        <v>257</v>
      </c>
      <c r="EA6" s="689" t="s">
        <v>666</v>
      </c>
      <c r="EB6" s="44" t="s">
        <v>257</v>
      </c>
      <c r="EC6" s="689" t="s">
        <v>667</v>
      </c>
      <c r="ED6" s="44" t="s">
        <v>257</v>
      </c>
      <c r="EE6" s="689" t="s">
        <v>668</v>
      </c>
      <c r="EF6" s="786" t="s">
        <v>257</v>
      </c>
      <c r="EG6" s="689" t="s">
        <v>669</v>
      </c>
      <c r="EH6" s="786" t="s">
        <v>257</v>
      </c>
      <c r="EI6" s="689" t="s">
        <v>688</v>
      </c>
      <c r="EJ6" s="786" t="s">
        <v>257</v>
      </c>
      <c r="EK6" s="689" t="s">
        <v>689</v>
      </c>
      <c r="EL6" s="786" t="s">
        <v>257</v>
      </c>
      <c r="EM6" s="689" t="s">
        <v>690</v>
      </c>
      <c r="EN6" s="786" t="s">
        <v>257</v>
      </c>
      <c r="EO6" s="689" t="s">
        <v>691</v>
      </c>
      <c r="EP6" s="44" t="s">
        <v>257</v>
      </c>
      <c r="EQ6" s="1015" t="s">
        <v>800</v>
      </c>
      <c r="ER6" s="44" t="s">
        <v>257</v>
      </c>
      <c r="ES6" s="1015" t="s">
        <v>802</v>
      </c>
      <c r="ET6" s="44" t="s">
        <v>257</v>
      </c>
      <c r="EU6" s="1015" t="s">
        <v>804</v>
      </c>
      <c r="EV6" s="44" t="s">
        <v>257</v>
      </c>
      <c r="EW6" s="1015" t="s">
        <v>798</v>
      </c>
      <c r="EX6" s="44" t="s">
        <v>257</v>
      </c>
      <c r="EY6" s="46"/>
      <c r="EZ6" s="719"/>
      <c r="FA6" s="720"/>
      <c r="FB6" s="692" t="s">
        <v>583</v>
      </c>
      <c r="FC6" s="466"/>
      <c r="FD6" s="692" t="s">
        <v>584</v>
      </c>
      <c r="FE6" s="48" t="s">
        <v>257</v>
      </c>
      <c r="FF6" s="693" t="s">
        <v>521</v>
      </c>
      <c r="FG6" s="48" t="s">
        <v>257</v>
      </c>
      <c r="FH6" s="694" t="s">
        <v>484</v>
      </c>
      <c r="FI6" s="48" t="s">
        <v>257</v>
      </c>
      <c r="FJ6" s="694" t="s">
        <v>485</v>
      </c>
      <c r="FK6" s="48" t="s">
        <v>257</v>
      </c>
      <c r="FL6" s="694" t="s">
        <v>486</v>
      </c>
      <c r="FM6" s="48" t="s">
        <v>257</v>
      </c>
      <c r="FN6" s="694" t="s">
        <v>487</v>
      </c>
      <c r="FO6" s="48" t="s">
        <v>257</v>
      </c>
      <c r="FP6" s="694" t="s">
        <v>488</v>
      </c>
      <c r="FQ6" s="48" t="s">
        <v>257</v>
      </c>
      <c r="FR6" s="694" t="s">
        <v>544</v>
      </c>
      <c r="FS6" s="49" t="s">
        <v>257</v>
      </c>
      <c r="FT6" s="694" t="s">
        <v>243</v>
      </c>
      <c r="FU6" s="49" t="s">
        <v>257</v>
      </c>
      <c r="FV6" s="694" t="s">
        <v>495</v>
      </c>
      <c r="FW6" s="49" t="s">
        <v>257</v>
      </c>
      <c r="FX6" s="695" t="s">
        <v>311</v>
      </c>
      <c r="FY6" s="49" t="s">
        <v>257</v>
      </c>
      <c r="FZ6" s="694" t="s">
        <v>317</v>
      </c>
      <c r="GA6" s="49" t="s">
        <v>257</v>
      </c>
      <c r="GB6" s="695" t="s">
        <v>103</v>
      </c>
      <c r="GC6" s="49" t="s">
        <v>257</v>
      </c>
      <c r="GD6" s="694" t="s">
        <v>381</v>
      </c>
      <c r="GE6" s="44" t="s">
        <v>257</v>
      </c>
      <c r="GF6" s="696" t="s">
        <v>263</v>
      </c>
      <c r="GG6" s="44" t="s">
        <v>257</v>
      </c>
      <c r="GH6" s="696" t="s">
        <v>665</v>
      </c>
      <c r="GI6" s="44" t="s">
        <v>257</v>
      </c>
      <c r="GJ6" s="696" t="s">
        <v>637</v>
      </c>
      <c r="GK6" s="44" t="s">
        <v>257</v>
      </c>
      <c r="GL6" s="696" t="s">
        <v>796</v>
      </c>
      <c r="GM6" s="44" t="s">
        <v>257</v>
      </c>
      <c r="GN6" s="697">
        <v>2017</v>
      </c>
      <c r="GO6" s="44" t="s">
        <v>257</v>
      </c>
      <c r="GP6" s="697" t="s">
        <v>96</v>
      </c>
      <c r="GQ6" s="44" t="s">
        <v>257</v>
      </c>
      <c r="GR6" s="698" t="s">
        <v>632</v>
      </c>
      <c r="GS6" s="44" t="s">
        <v>257</v>
      </c>
      <c r="GT6" s="698" t="s">
        <v>671</v>
      </c>
      <c r="GU6" s="44" t="s">
        <v>257</v>
      </c>
      <c r="GV6" s="698" t="s">
        <v>687</v>
      </c>
      <c r="GW6" s="44" t="s">
        <v>257</v>
      </c>
      <c r="GX6" s="698" t="s">
        <v>806</v>
      </c>
      <c r="GY6" s="44" t="s">
        <v>257</v>
      </c>
      <c r="GZ6" s="48" t="s">
        <v>195</v>
      </c>
      <c r="HA6" s="48"/>
      <c r="HB6" s="634"/>
      <c r="HC6"/>
      <c r="HD6"/>
      <c r="HE6"/>
      <c r="HF6"/>
      <c r="HG6"/>
      <c r="HH6"/>
      <c r="HI6" s="634"/>
    </row>
    <row r="7" spans="1:217" s="167" customFormat="1" ht="12.75" hidden="1" customHeight="1" outlineLevel="1" x14ac:dyDescent="0.2">
      <c r="A7" s="581"/>
      <c r="B7" s="745" t="s">
        <v>707</v>
      </c>
      <c r="C7" s="654"/>
      <c r="D7" s="655"/>
      <c r="E7" s="654"/>
      <c r="F7" s="655"/>
      <c r="G7" s="654"/>
      <c r="H7" s="655"/>
      <c r="I7" s="654"/>
      <c r="J7" s="655"/>
      <c r="K7" s="654"/>
      <c r="L7" s="655"/>
      <c r="M7" s="654"/>
      <c r="N7" s="655"/>
      <c r="O7" s="654"/>
      <c r="P7" s="655"/>
      <c r="Q7" s="654"/>
      <c r="R7" s="655"/>
      <c r="S7" s="654"/>
      <c r="T7" s="655"/>
      <c r="U7" s="654"/>
      <c r="V7" s="655"/>
      <c r="W7" s="654"/>
      <c r="X7" s="655"/>
      <c r="Y7" s="654"/>
      <c r="Z7" s="655"/>
      <c r="AA7" s="654"/>
      <c r="AB7" s="655"/>
      <c r="AC7" s="654"/>
      <c r="AD7" s="655"/>
      <c r="AE7" s="654"/>
      <c r="AF7" s="655"/>
      <c r="AG7" s="654"/>
      <c r="AH7" s="655"/>
      <c r="AI7" s="654"/>
      <c r="AJ7" s="655"/>
      <c r="AK7" s="654"/>
      <c r="AL7" s="655"/>
      <c r="AM7" s="654"/>
      <c r="AN7" s="655"/>
      <c r="AO7" s="654"/>
      <c r="AP7" s="655"/>
      <c r="AQ7" s="652"/>
      <c r="AR7" s="156"/>
      <c r="AS7" s="652"/>
      <c r="AT7" s="156"/>
      <c r="AU7" s="652"/>
      <c r="AV7" s="156"/>
      <c r="AW7" s="652"/>
      <c r="AX7" s="156"/>
      <c r="AY7" s="652"/>
      <c r="AZ7" s="156"/>
      <c r="BA7" s="652"/>
      <c r="BB7" s="156"/>
      <c r="BC7" s="652"/>
      <c r="BD7" s="156"/>
      <c r="BE7" s="652"/>
      <c r="BF7" s="156"/>
      <c r="BG7" s="652"/>
      <c r="BH7" s="156"/>
      <c r="BI7" s="652"/>
      <c r="BJ7" s="156"/>
      <c r="BK7" s="652"/>
      <c r="BL7" s="156"/>
      <c r="BM7" s="652"/>
      <c r="BN7" s="156"/>
      <c r="BO7" s="652"/>
      <c r="BP7" s="156"/>
      <c r="BQ7" s="652"/>
      <c r="BR7" s="156"/>
      <c r="BS7" s="652"/>
      <c r="BT7" s="156"/>
      <c r="BU7" s="652"/>
      <c r="BV7" s="156"/>
      <c r="BW7" s="656"/>
      <c r="BX7" s="657"/>
      <c r="BY7" s="657"/>
      <c r="BZ7" s="654"/>
      <c r="CA7" s="656"/>
      <c r="CB7" s="654"/>
      <c r="CC7" s="656"/>
      <c r="CD7" s="654"/>
      <c r="CE7" s="656"/>
      <c r="CF7" s="654"/>
      <c r="CG7" s="656"/>
      <c r="CH7" s="654"/>
      <c r="CI7" s="656"/>
      <c r="CJ7" s="654"/>
      <c r="CK7" s="656"/>
      <c r="CL7" s="652"/>
      <c r="CM7" s="681"/>
      <c r="CN7" s="684"/>
      <c r="CO7" s="687"/>
      <c r="CP7" s="684"/>
      <c r="CQ7" s="699"/>
      <c r="CR7" s="684"/>
      <c r="CS7" s="687"/>
      <c r="CT7" s="684"/>
      <c r="CU7" s="687"/>
      <c r="CV7" s="684"/>
      <c r="CW7" s="687"/>
      <c r="CX7" s="684"/>
      <c r="CY7" s="687"/>
      <c r="CZ7" s="684"/>
      <c r="DA7" s="687"/>
      <c r="DB7" s="684"/>
      <c r="DC7" s="687"/>
      <c r="DD7" s="684"/>
      <c r="DE7" s="687"/>
      <c r="DF7" s="684"/>
      <c r="DG7" s="687"/>
      <c r="DH7" s="684"/>
      <c r="DI7" s="687"/>
      <c r="DJ7" s="684" t="str">
        <f t="shared" ref="DJ7:DJ20" si="16">IF(ISERROR((DI7/DA7-1)*100),"NA",IF(((DI7/DA7-1)*100)&gt;100,"NM",IF(((DI7/DA7-1)*100)&lt;-50,"NM",(DI7/DA7-1)*100)))</f>
        <v>NA</v>
      </c>
      <c r="DK7" s="687"/>
      <c r="DL7" s="684"/>
      <c r="DM7" s="687"/>
      <c r="DN7" s="684"/>
      <c r="DO7" s="687"/>
      <c r="DP7" s="684"/>
      <c r="DQ7" s="687"/>
      <c r="DR7" s="684" t="str">
        <f t="shared" ref="DR7:DZ20" si="17">IF(ISERROR((DQ7/DI7-1)*100),"NA",IF(((DQ7/DI7-1)*100)&gt;100,"NM",IF(((DQ7/DI7-1)*100)&lt;-50,"NM",(DQ7/DI7-1)*100)))</f>
        <v>NA</v>
      </c>
      <c r="DS7" s="687">
        <f>DS115</f>
        <v>138</v>
      </c>
      <c r="DT7" s="684" t="str">
        <f t="shared" si="17"/>
        <v>NA</v>
      </c>
      <c r="DU7" s="687">
        <f>DU115</f>
        <v>166</v>
      </c>
      <c r="DV7" s="684" t="str">
        <f t="shared" si="17"/>
        <v>NA</v>
      </c>
      <c r="DW7" s="687">
        <f>DW115</f>
        <v>177</v>
      </c>
      <c r="DX7" s="684" t="str">
        <f t="shared" si="17"/>
        <v>NA</v>
      </c>
      <c r="DY7" s="687">
        <f>DY115</f>
        <v>153</v>
      </c>
      <c r="DZ7" s="684" t="str">
        <f t="shared" si="17"/>
        <v>NA</v>
      </c>
      <c r="EA7" s="687">
        <f>EA115</f>
        <v>142</v>
      </c>
      <c r="EB7" s="684">
        <f t="shared" ref="EB7:EB17" si="18">IF(ISERROR((EA7/DS7-1)*100),"NA",IF(((EA7/DS7-1)*100)&gt;100,"NM",IF(((EA7/DS7-1)*100)&lt;-50,"NM",(EA7/DS7-1)*100)))</f>
        <v>2.8985507246376718</v>
      </c>
      <c r="EC7" s="687">
        <f>EC115</f>
        <v>185</v>
      </c>
      <c r="ED7" s="684">
        <f t="shared" ref="ED7:ED17" si="19">IF(ISERROR((EC7/DU7-1)*100),"NA",IF(((EC7/DU7-1)*100)&gt;100,"NM",IF(((EC7/DU7-1)*100)&lt;-50,"NM",(EC7/DU7-1)*100)))</f>
        <v>11.44578313253013</v>
      </c>
      <c r="EE7" s="687">
        <f>EE115</f>
        <v>186</v>
      </c>
      <c r="EF7" s="687">
        <f t="shared" ref="EF7:EF17" si="20">IF(ISERROR((EE7/DW7-1)*100),"NA",IF(((EE7/DW7-1)*100)&gt;100,"NM",IF(((EE7/DW7-1)*100)&lt;-50,"NM",(EE7/DW7-1)*100)))</f>
        <v>5.0847457627118731</v>
      </c>
      <c r="EG7" s="687">
        <f>EG115</f>
        <v>174</v>
      </c>
      <c r="EH7" s="687">
        <f t="shared" ref="EH7:EH17" si="21">IF(ISERROR((EG7/DY7-1)*100),"NA",IF(((EG7/DY7-1)*100)&gt;100,"NM",IF(((EG7/DY7-1)*100)&lt;-50,"NM",(EG7/DY7-1)*100)))</f>
        <v>13.725490196078427</v>
      </c>
      <c r="EI7" s="687">
        <f>EI115</f>
        <v>194</v>
      </c>
      <c r="EJ7" s="687">
        <f t="shared" ref="EJ7:EJ17" si="22">IF(ISERROR((EI7/EA7-1)*100),"NA",IF(((EI7/EA7-1)*100)&gt;100,"NM",IF(((EI7/EA7-1)*100)&lt;-50,"NM",(EI7/EA7-1)*100)))</f>
        <v>36.619718309859152</v>
      </c>
      <c r="EK7" s="687">
        <f>EK115</f>
        <v>203</v>
      </c>
      <c r="EL7" s="687">
        <f t="shared" ref="EL7:EL17" si="23">IF(ISERROR((EK7/EC7-1)*100),"NA",IF(((EK7/EC7-1)*100)&gt;100,"NM",IF(((EK7/EC7-1)*100)&lt;-50,"NM",(EK7/EC7-1)*100)))</f>
        <v>9.7297297297297192</v>
      </c>
      <c r="EM7" s="687">
        <f>EM115</f>
        <v>241</v>
      </c>
      <c r="EN7" s="687">
        <f t="shared" ref="EN7:EN17" si="24">IF(ISERROR((EM7/EE7-1)*100),"NA",IF(((EM7/EE7-1)*100)&gt;100,"NM",IF(((EM7/EE7-1)*100)&lt;-50,"NM",(EM7/EE7-1)*100)))</f>
        <v>29.569892473118276</v>
      </c>
      <c r="EO7" s="687">
        <f>EO115</f>
        <v>230</v>
      </c>
      <c r="EP7" s="684">
        <f t="shared" ref="EP7:EP17" si="25">IF(ISERROR((EO7/EG7-1)*100),"NA",IF(((EO7/EG7-1)*100)&gt;100,"NM",IF(((EO7/EG7-1)*100)&lt;-50,"NM",(EO7/EG7-1)*100)))</f>
        <v>32.18390804597702</v>
      </c>
      <c r="EQ7" s="687">
        <f t="shared" ref="EQ7" si="26">EQ115</f>
        <v>269.4829126818604</v>
      </c>
      <c r="ER7" s="684">
        <f t="shared" ref="ER7:ER8" si="27">IF(ISERROR((EQ7/EI7-1)*100),"NA",IF(((EQ7/EI7-1)*100)&gt;100,"NM",IF(((EQ7/EI7-1)*100)&lt;-50,"NM",(EQ7/EI7-1)*100)))</f>
        <v>38.908717877247632</v>
      </c>
      <c r="ES7" s="687">
        <f t="shared" ref="ES7" si="28">ES115</f>
        <v>279.21890097846847</v>
      </c>
      <c r="ET7" s="684">
        <f t="shared" ref="ET7:ET8" si="29">IF(ISERROR((ES7/EK7-1)*100),"NA",IF(((ES7/EK7-1)*100)&gt;100,"NM",IF(((ES7/EK7-1)*100)&lt;-50,"NM",(ES7/EK7-1)*100)))</f>
        <v>37.546256639639644</v>
      </c>
      <c r="EU7" s="687">
        <f t="shared" ref="EU7" si="30">EU115</f>
        <v>288.74141177748498</v>
      </c>
      <c r="EV7" s="684">
        <f t="shared" ref="EV7:EV8" si="31">IF(ISERROR((EU7/EM7-1)*100),"NA",IF(((EU7/EM7-1)*100)&gt;100,"NM",IF(((EU7/EM7-1)*100)&lt;-50,"NM",(EU7/EM7-1)*100)))</f>
        <v>19.809714430491688</v>
      </c>
      <c r="EW7" s="687">
        <f t="shared" ref="EW7" si="32">EW115</f>
        <v>298.57441754230206</v>
      </c>
      <c r="EX7" s="684">
        <f t="shared" ref="EX7:EX8" si="33">IF(ISERROR((EW7/EO7-1)*100),"NA",IF(((EW7/EO7-1)*100)&gt;100,"NM",IF(((EW7/EO7-1)*100)&lt;-50,"NM",(EW7/EO7-1)*100)))</f>
        <v>29.814964148826984</v>
      </c>
      <c r="EZ7" s="590"/>
      <c r="FX7" s="701"/>
      <c r="GB7" s="699"/>
      <c r="GC7" s="685"/>
      <c r="GD7" s="687"/>
      <c r="GE7" s="685"/>
      <c r="GF7" s="687"/>
      <c r="GG7" s="685"/>
      <c r="GH7" s="687"/>
      <c r="GI7" s="685" t="str">
        <f t="shared" ref="GI7:GW21" si="34">IF(ISERROR((GH7/GF7-1)*100),"NA",IF(((GH7/GF7-1)*100)&gt;100,"NM",IF(((GH7/GF7-1)*100)&lt;-50,"NM",(GH7/GF7-1)*100)))</f>
        <v>NA</v>
      </c>
      <c r="GJ7" s="687">
        <f>GJ115</f>
        <v>634</v>
      </c>
      <c r="GK7" s="685" t="str">
        <f t="shared" si="34"/>
        <v>NA</v>
      </c>
      <c r="GL7" s="687">
        <f>GL115</f>
        <v>687</v>
      </c>
      <c r="GM7" s="685">
        <f t="shared" si="34"/>
        <v>8.3596214511040934</v>
      </c>
      <c r="GN7" s="687">
        <f>GN115</f>
        <v>868</v>
      </c>
      <c r="GO7" s="685">
        <f t="shared" si="34"/>
        <v>26.346433770014556</v>
      </c>
      <c r="GP7" s="687">
        <f>GP115</f>
        <v>1136.0176429801172</v>
      </c>
      <c r="GQ7" s="685">
        <f t="shared" si="34"/>
        <v>30.877608638262345</v>
      </c>
      <c r="GR7" s="687">
        <f>GR115</f>
        <v>1189.243718302029</v>
      </c>
      <c r="GS7" s="685">
        <f t="shared" si="34"/>
        <v>4.6853211876431544</v>
      </c>
      <c r="GT7" s="687">
        <f>GT115</f>
        <v>1208.1936316817391</v>
      </c>
      <c r="GU7" s="685">
        <f t="shared" si="34"/>
        <v>1.5934423775444628</v>
      </c>
      <c r="GV7" s="687">
        <f>GV115</f>
        <v>1229.5493105467267</v>
      </c>
      <c r="GW7" s="685">
        <f t="shared" si="34"/>
        <v>1.7675708847481264</v>
      </c>
      <c r="GX7" s="687">
        <f>GX115</f>
        <v>1253.1023517910103</v>
      </c>
      <c r="GY7" s="685">
        <f t="shared" ref="GY7:GY21" si="35">IF(ISERROR((GX7/GV7-1)*100),"NA",IF(((GX7/GV7-1)*100)&gt;100,"NM",IF(((GX7/GV7-1)*100)&lt;-50,"NM",(GX7/GV7-1)*100)))</f>
        <v>1.9155832988764443</v>
      </c>
      <c r="GZ7" s="703">
        <f t="shared" ref="GZ7:GZ17" si="36">IF(ISERROR(((GX7/GN7)^0.2-1)*100),"NA",IF((((GX7/GN7)^0.2-1)*100)&gt;100,"NM",IF((((GX7/GN7)^0.2-1)*100)&lt;-50,"NM",((GX7/GN7)^0.2-1)*100)))</f>
        <v>7.620093240321224</v>
      </c>
      <c r="HA7" s="703"/>
      <c r="HC7"/>
      <c r="HD7"/>
      <c r="HE7"/>
      <c r="HF7"/>
      <c r="HG7"/>
      <c r="HH7"/>
    </row>
    <row r="8" spans="1:217" s="167" customFormat="1" ht="12.75" hidden="1" customHeight="1" outlineLevel="1" x14ac:dyDescent="0.2">
      <c r="A8" s="581"/>
      <c r="B8" s="745" t="s">
        <v>694</v>
      </c>
      <c r="C8" s="654"/>
      <c r="D8" s="655"/>
      <c r="E8" s="654"/>
      <c r="F8" s="655"/>
      <c r="G8" s="654"/>
      <c r="H8" s="655"/>
      <c r="I8" s="654"/>
      <c r="J8" s="655"/>
      <c r="K8" s="654"/>
      <c r="L8" s="655"/>
      <c r="M8" s="654"/>
      <c r="N8" s="655"/>
      <c r="O8" s="654"/>
      <c r="P8" s="655"/>
      <c r="Q8" s="654"/>
      <c r="R8" s="655"/>
      <c r="S8" s="654"/>
      <c r="T8" s="655"/>
      <c r="U8" s="654"/>
      <c r="V8" s="655"/>
      <c r="W8" s="654"/>
      <c r="X8" s="655"/>
      <c r="Y8" s="654"/>
      <c r="Z8" s="655"/>
      <c r="AA8" s="654"/>
      <c r="AB8" s="655"/>
      <c r="AC8" s="654"/>
      <c r="AD8" s="655"/>
      <c r="AE8" s="654"/>
      <c r="AF8" s="655"/>
      <c r="AG8" s="654"/>
      <c r="AH8" s="655"/>
      <c r="AI8" s="654"/>
      <c r="AJ8" s="655"/>
      <c r="AK8" s="654"/>
      <c r="AL8" s="655"/>
      <c r="AM8" s="654"/>
      <c r="AN8" s="655"/>
      <c r="AO8" s="654"/>
      <c r="AP8" s="655"/>
      <c r="AQ8" s="652"/>
      <c r="AR8" s="156"/>
      <c r="AS8" s="652"/>
      <c r="AT8" s="156"/>
      <c r="AU8" s="652"/>
      <c r="AV8" s="156"/>
      <c r="AW8" s="652"/>
      <c r="AX8" s="156"/>
      <c r="AY8" s="652"/>
      <c r="AZ8" s="156"/>
      <c r="BA8" s="652"/>
      <c r="BB8" s="156"/>
      <c r="BC8" s="652"/>
      <c r="BD8" s="156"/>
      <c r="BE8" s="652"/>
      <c r="BF8" s="156"/>
      <c r="BG8" s="652"/>
      <c r="BH8" s="156"/>
      <c r="BI8" s="652"/>
      <c r="BJ8" s="156"/>
      <c r="BK8" s="652"/>
      <c r="BL8" s="156"/>
      <c r="BM8" s="652"/>
      <c r="BN8" s="156"/>
      <c r="BO8" s="652"/>
      <c r="BP8" s="156"/>
      <c r="BQ8" s="652"/>
      <c r="BR8" s="156"/>
      <c r="BS8" s="652"/>
      <c r="BT8" s="156"/>
      <c r="BU8" s="652"/>
      <c r="BV8" s="156"/>
      <c r="BW8" s="656"/>
      <c r="BX8" s="657"/>
      <c r="BY8" s="657"/>
      <c r="BZ8" s="654"/>
      <c r="CA8" s="656"/>
      <c r="CB8" s="654"/>
      <c r="CC8" s="656"/>
      <c r="CD8" s="654"/>
      <c r="CE8" s="656"/>
      <c r="CF8" s="654"/>
      <c r="CG8" s="656"/>
      <c r="CH8" s="654"/>
      <c r="CI8" s="656"/>
      <c r="CJ8" s="654"/>
      <c r="CK8" s="656"/>
      <c r="CL8" s="652"/>
      <c r="CM8" s="681"/>
      <c r="CN8" s="684"/>
      <c r="CO8" s="687"/>
      <c r="CP8" s="684"/>
      <c r="CQ8" s="699"/>
      <c r="CR8" s="684"/>
      <c r="CS8" s="687"/>
      <c r="CT8" s="684"/>
      <c r="CU8" s="687"/>
      <c r="CV8" s="684"/>
      <c r="CW8" s="687"/>
      <c r="CX8" s="684"/>
      <c r="CY8" s="687"/>
      <c r="CZ8" s="684"/>
      <c r="DA8" s="687"/>
      <c r="DB8" s="684"/>
      <c r="DC8" s="687"/>
      <c r="DD8" s="684"/>
      <c r="DE8" s="687"/>
      <c r="DF8" s="684"/>
      <c r="DG8" s="687"/>
      <c r="DH8" s="684"/>
      <c r="DI8" s="687"/>
      <c r="DJ8" s="684" t="str">
        <f t="shared" si="16"/>
        <v>NA</v>
      </c>
      <c r="DK8" s="687"/>
      <c r="DL8" s="684"/>
      <c r="DM8" s="687"/>
      <c r="DN8" s="684"/>
      <c r="DO8" s="687"/>
      <c r="DP8" s="684"/>
      <c r="DQ8" s="687"/>
      <c r="DR8" s="684" t="str">
        <f t="shared" si="17"/>
        <v>NA</v>
      </c>
      <c r="DS8" s="687">
        <f>DS190</f>
        <v>307</v>
      </c>
      <c r="DT8" s="684" t="str">
        <f t="shared" si="17"/>
        <v>NA</v>
      </c>
      <c r="DU8" s="687">
        <f>DU190</f>
        <v>338</v>
      </c>
      <c r="DV8" s="684" t="str">
        <f t="shared" si="17"/>
        <v>NA</v>
      </c>
      <c r="DW8" s="687">
        <f>DW190</f>
        <v>267</v>
      </c>
      <c r="DX8" s="684" t="str">
        <f t="shared" si="17"/>
        <v>NA</v>
      </c>
      <c r="DY8" s="687">
        <f>DY190</f>
        <v>235</v>
      </c>
      <c r="DZ8" s="684" t="str">
        <f t="shared" si="17"/>
        <v>NA</v>
      </c>
      <c r="EA8" s="687">
        <f>EA190</f>
        <v>242</v>
      </c>
      <c r="EB8" s="684">
        <f t="shared" si="18"/>
        <v>-21.172638436482082</v>
      </c>
      <c r="EC8" s="687">
        <f>EC190</f>
        <v>260</v>
      </c>
      <c r="ED8" s="684">
        <f t="shared" si="19"/>
        <v>-23.076923076923073</v>
      </c>
      <c r="EE8" s="687">
        <f>EE190</f>
        <v>308</v>
      </c>
      <c r="EF8" s="687">
        <f t="shared" si="20"/>
        <v>15.355805243445687</v>
      </c>
      <c r="EG8" s="687">
        <f>EG190</f>
        <v>294</v>
      </c>
      <c r="EH8" s="687">
        <f t="shared" si="21"/>
        <v>25.106382978723406</v>
      </c>
      <c r="EI8" s="687">
        <f>EI190</f>
        <v>274</v>
      </c>
      <c r="EJ8" s="687">
        <f t="shared" si="22"/>
        <v>13.223140495867769</v>
      </c>
      <c r="EK8" s="687">
        <f>EK190</f>
        <v>262</v>
      </c>
      <c r="EL8" s="687">
        <f t="shared" si="23"/>
        <v>0.7692307692307665</v>
      </c>
      <c r="EM8" s="687">
        <f>EM190</f>
        <v>247</v>
      </c>
      <c r="EN8" s="687">
        <f t="shared" si="24"/>
        <v>-19.805194805194802</v>
      </c>
      <c r="EO8" s="687">
        <f>EO190</f>
        <v>173</v>
      </c>
      <c r="EP8" s="684">
        <f t="shared" si="25"/>
        <v>-41.156462585034014</v>
      </c>
      <c r="EQ8" s="687">
        <f t="shared" ref="EQ8" si="37">EQ190</f>
        <v>292.37849486517337</v>
      </c>
      <c r="ER8" s="684">
        <f t="shared" si="27"/>
        <v>6.7074798778004929</v>
      </c>
      <c r="ES8" s="687">
        <f t="shared" ref="ES8" si="38">ES190</f>
        <v>279.15752943126427</v>
      </c>
      <c r="ET8" s="684">
        <f t="shared" si="29"/>
        <v>6.5486753554443666</v>
      </c>
      <c r="EU8" s="687">
        <f t="shared" ref="EU8" si="39">EU190</f>
        <v>266.38797130291749</v>
      </c>
      <c r="EV8" s="684">
        <f t="shared" si="31"/>
        <v>7.8493810942985798</v>
      </c>
      <c r="EW8" s="687">
        <f t="shared" ref="EW8" si="40">EW190</f>
        <v>253.51588914517234</v>
      </c>
      <c r="EX8" s="684">
        <f t="shared" si="33"/>
        <v>46.54097638449268</v>
      </c>
      <c r="EZ8" s="590"/>
      <c r="FX8" s="701"/>
      <c r="GB8" s="699"/>
      <c r="GC8" s="685"/>
      <c r="GD8" s="687"/>
      <c r="GE8" s="685"/>
      <c r="GF8" s="687"/>
      <c r="GG8" s="685"/>
      <c r="GH8" s="687"/>
      <c r="GI8" s="685" t="str">
        <f t="shared" si="34"/>
        <v>NA</v>
      </c>
      <c r="GJ8" s="687">
        <f>GJ190</f>
        <v>1147</v>
      </c>
      <c r="GK8" s="685" t="str">
        <f t="shared" si="34"/>
        <v>NA</v>
      </c>
      <c r="GL8" s="687">
        <f>GL190</f>
        <v>1104</v>
      </c>
      <c r="GM8" s="685">
        <f t="shared" si="34"/>
        <v>-3.7489102005231034</v>
      </c>
      <c r="GN8" s="687">
        <f>GN190</f>
        <v>956</v>
      </c>
      <c r="GO8" s="685">
        <f t="shared" si="34"/>
        <v>-13.405797101449279</v>
      </c>
      <c r="GP8" s="687">
        <f>GP190</f>
        <v>1091.4398847445261</v>
      </c>
      <c r="GQ8" s="685">
        <f t="shared" si="34"/>
        <v>14.167351960724496</v>
      </c>
      <c r="GR8" s="687">
        <f>GR190</f>
        <v>1089.1686832500591</v>
      </c>
      <c r="GS8" s="685">
        <f t="shared" si="34"/>
        <v>-0.2080922207638336</v>
      </c>
      <c r="GT8" s="687">
        <f>GT190</f>
        <v>1107.3301829045593</v>
      </c>
      <c r="GU8" s="685">
        <f t="shared" si="34"/>
        <v>1.6674643637665465</v>
      </c>
      <c r="GV8" s="687">
        <f>GV190</f>
        <v>1126.4400037600963</v>
      </c>
      <c r="GW8" s="685">
        <f t="shared" si="34"/>
        <v>1.7257563417454547</v>
      </c>
      <c r="GX8" s="687">
        <f>GX190</f>
        <v>1152.9255001176859</v>
      </c>
      <c r="GY8" s="685">
        <f t="shared" si="35"/>
        <v>2.351256726428419</v>
      </c>
      <c r="GZ8" s="703">
        <f t="shared" si="36"/>
        <v>3.8170467601552183</v>
      </c>
      <c r="HA8" s="703"/>
      <c r="HC8"/>
      <c r="HD8"/>
      <c r="HE8"/>
      <c r="HF8"/>
      <c r="HG8"/>
      <c r="HH8"/>
    </row>
    <row r="9" spans="1:217" s="167" customFormat="1" ht="12.75" hidden="1" customHeight="1" outlineLevel="1" x14ac:dyDescent="0.2">
      <c r="A9" s="581"/>
      <c r="B9" s="745" t="s">
        <v>708</v>
      </c>
      <c r="C9" s="654"/>
      <c r="D9" s="655"/>
      <c r="E9" s="654"/>
      <c r="F9" s="655"/>
      <c r="G9" s="654"/>
      <c r="H9" s="655"/>
      <c r="I9" s="654"/>
      <c r="J9" s="655"/>
      <c r="K9" s="654"/>
      <c r="L9" s="655"/>
      <c r="M9" s="654"/>
      <c r="N9" s="655"/>
      <c r="O9" s="654"/>
      <c r="P9" s="655"/>
      <c r="Q9" s="654"/>
      <c r="R9" s="655"/>
      <c r="S9" s="654"/>
      <c r="T9" s="655"/>
      <c r="U9" s="654"/>
      <c r="V9" s="655"/>
      <c r="W9" s="654"/>
      <c r="X9" s="655"/>
      <c r="Y9" s="654"/>
      <c r="Z9" s="655"/>
      <c r="AA9" s="654"/>
      <c r="AB9" s="655"/>
      <c r="AC9" s="654"/>
      <c r="AD9" s="655"/>
      <c r="AE9" s="654"/>
      <c r="AF9" s="655"/>
      <c r="AG9" s="654"/>
      <c r="AH9" s="655"/>
      <c r="AI9" s="654"/>
      <c r="AJ9" s="655"/>
      <c r="AK9" s="654"/>
      <c r="AL9" s="655"/>
      <c r="AM9" s="654"/>
      <c r="AN9" s="655"/>
      <c r="AO9" s="654"/>
      <c r="AP9" s="655"/>
      <c r="AQ9" s="652"/>
      <c r="AR9" s="156"/>
      <c r="AS9" s="652"/>
      <c r="AT9" s="156"/>
      <c r="AU9" s="652"/>
      <c r="AV9" s="156"/>
      <c r="AW9" s="652"/>
      <c r="AX9" s="156"/>
      <c r="AY9" s="652"/>
      <c r="AZ9" s="156"/>
      <c r="BA9" s="652"/>
      <c r="BB9" s="156"/>
      <c r="BC9" s="652"/>
      <c r="BD9" s="156"/>
      <c r="BE9" s="652"/>
      <c r="BF9" s="156"/>
      <c r="BG9" s="652"/>
      <c r="BH9" s="156"/>
      <c r="BI9" s="652"/>
      <c r="BJ9" s="156"/>
      <c r="BK9" s="652"/>
      <c r="BL9" s="156"/>
      <c r="BM9" s="652"/>
      <c r="BN9" s="156"/>
      <c r="BO9" s="652"/>
      <c r="BP9" s="156"/>
      <c r="BQ9" s="652"/>
      <c r="BR9" s="156"/>
      <c r="BS9" s="652"/>
      <c r="BT9" s="156"/>
      <c r="BU9" s="652"/>
      <c r="BV9" s="156"/>
      <c r="BW9" s="656"/>
      <c r="BX9" s="657"/>
      <c r="BY9" s="657"/>
      <c r="BZ9" s="654"/>
      <c r="CA9" s="656"/>
      <c r="CB9" s="654"/>
      <c r="CC9" s="656"/>
      <c r="CD9" s="654"/>
      <c r="CE9" s="656"/>
      <c r="CF9" s="654"/>
      <c r="CG9" s="656"/>
      <c r="CH9" s="654"/>
      <c r="CI9" s="656"/>
      <c r="CJ9" s="654"/>
      <c r="CK9" s="656"/>
      <c r="CL9" s="652"/>
      <c r="CM9" s="681"/>
      <c r="CN9" s="684"/>
      <c r="CO9" s="687"/>
      <c r="CP9" s="684"/>
      <c r="CQ9" s="687"/>
      <c r="CR9" s="684"/>
      <c r="CS9" s="687"/>
      <c r="CT9" s="684"/>
      <c r="CU9" s="687"/>
      <c r="CV9" s="684"/>
      <c r="CW9" s="687"/>
      <c r="CX9" s="684"/>
      <c r="CY9" s="687"/>
      <c r="CZ9" s="684"/>
      <c r="DA9" s="687"/>
      <c r="DB9" s="684"/>
      <c r="DC9" s="687"/>
      <c r="DD9" s="684"/>
      <c r="DE9" s="687"/>
      <c r="DF9" s="684"/>
      <c r="DG9" s="687"/>
      <c r="DH9" s="684"/>
      <c r="DI9" s="687"/>
      <c r="DJ9" s="684"/>
      <c r="DK9" s="687"/>
      <c r="DL9" s="684"/>
      <c r="DM9" s="687"/>
      <c r="DN9" s="684"/>
      <c r="DO9" s="687"/>
      <c r="DP9" s="684"/>
      <c r="DQ9" s="687"/>
      <c r="DR9" s="684"/>
      <c r="DS9" s="687">
        <f>DS269</f>
        <v>65</v>
      </c>
      <c r="DT9" s="684"/>
      <c r="DU9" s="687">
        <f>DU269</f>
        <v>47</v>
      </c>
      <c r="DV9" s="684"/>
      <c r="DW9" s="687">
        <f>DW269</f>
        <v>67</v>
      </c>
      <c r="DX9" s="684"/>
      <c r="DY9" s="687">
        <f>DY269</f>
        <v>44</v>
      </c>
      <c r="DZ9" s="684"/>
      <c r="EA9" s="687">
        <f>EA269</f>
        <v>22</v>
      </c>
      <c r="EB9" s="684"/>
      <c r="EC9" s="687">
        <f>EC269</f>
        <v>-2</v>
      </c>
      <c r="ED9" s="684"/>
      <c r="EE9" s="687">
        <f>EE269</f>
        <v>58</v>
      </c>
      <c r="EF9" s="687">
        <f t="shared" si="20"/>
        <v>-13.432835820895528</v>
      </c>
      <c r="EG9" s="687">
        <f>EG269</f>
        <v>43</v>
      </c>
      <c r="EH9" s="687"/>
      <c r="EI9" s="687">
        <f>EI269</f>
        <v>29</v>
      </c>
      <c r="EJ9" s="687"/>
      <c r="EK9" s="687">
        <f>EK269</f>
        <v>28</v>
      </c>
      <c r="EL9" s="687"/>
      <c r="EM9" s="687">
        <f>EM269</f>
        <v>51</v>
      </c>
      <c r="EN9" s="687"/>
      <c r="EO9" s="687">
        <f>EO269</f>
        <v>95</v>
      </c>
      <c r="EP9" s="684"/>
      <c r="EQ9" s="687">
        <f>EQ269</f>
        <v>55.516450700000007</v>
      </c>
      <c r="ER9" s="684"/>
      <c r="ES9" s="687">
        <f t="shared" ref="ES9" si="41">ES269</f>
        <v>51.577121032325117</v>
      </c>
      <c r="ET9" s="684"/>
      <c r="EU9" s="687">
        <f t="shared" ref="EU9" si="42">EU269</f>
        <v>55.969680318939638</v>
      </c>
      <c r="EV9" s="684"/>
      <c r="EW9" s="687">
        <f t="shared" ref="EW9" si="43">EW269</f>
        <v>101.56161385684511</v>
      </c>
      <c r="EX9" s="684"/>
      <c r="EZ9" s="590"/>
      <c r="FX9" s="701"/>
      <c r="GB9" s="699"/>
      <c r="GC9" s="685"/>
      <c r="GD9" s="687"/>
      <c r="GE9" s="685"/>
      <c r="GF9" s="687"/>
      <c r="GG9" s="685"/>
      <c r="GH9" s="687"/>
      <c r="GI9" s="685"/>
      <c r="GJ9" s="687">
        <f>GJ269</f>
        <v>223</v>
      </c>
      <c r="GK9" s="685"/>
      <c r="GL9" s="687">
        <f>GL269</f>
        <v>121</v>
      </c>
      <c r="GM9" s="685">
        <f t="shared" si="34"/>
        <v>-45.739910313901348</v>
      </c>
      <c r="GN9" s="687">
        <f>GN269</f>
        <v>203</v>
      </c>
      <c r="GO9" s="685">
        <f t="shared" si="34"/>
        <v>67.768595041322314</v>
      </c>
      <c r="GP9" s="687">
        <f>GP269</f>
        <v>264.62486590810988</v>
      </c>
      <c r="GQ9" s="685">
        <f t="shared" si="34"/>
        <v>30.357076802024572</v>
      </c>
      <c r="GR9" s="687">
        <f>GR269</f>
        <v>301.1523759579602</v>
      </c>
      <c r="GS9" s="685">
        <f t="shared" si="34"/>
        <v>13.803506304858892</v>
      </c>
      <c r="GT9" s="687">
        <f>GT269</f>
        <v>323.85011480374055</v>
      </c>
      <c r="GU9" s="685">
        <f t="shared" si="34"/>
        <v>7.5369615708922311</v>
      </c>
      <c r="GV9" s="687">
        <f>GV269</f>
        <v>345.37315680898166</v>
      </c>
      <c r="GW9" s="685">
        <f t="shared" si="34"/>
        <v>6.6459886908746268</v>
      </c>
      <c r="GX9" s="687">
        <f>GX269</f>
        <v>362.37725109919432</v>
      </c>
      <c r="GY9" s="685">
        <f t="shared" si="35"/>
        <v>4.9233977670179119</v>
      </c>
      <c r="GZ9" s="703">
        <f t="shared" si="36"/>
        <v>12.287904626837044</v>
      </c>
      <c r="HA9" s="703"/>
      <c r="HC9"/>
      <c r="HD9"/>
      <c r="HE9"/>
      <c r="HF9"/>
      <c r="HG9"/>
      <c r="HH9"/>
    </row>
    <row r="10" spans="1:217" s="167" customFormat="1" ht="12.75" customHeight="1" collapsed="1" x14ac:dyDescent="0.2">
      <c r="A10" s="581"/>
      <c r="B10" s="653" t="s">
        <v>482</v>
      </c>
      <c r="C10" s="654"/>
      <c r="D10" s="655"/>
      <c r="E10" s="654"/>
      <c r="F10" s="655"/>
      <c r="G10" s="654"/>
      <c r="H10" s="655"/>
      <c r="I10" s="654"/>
      <c r="J10" s="655"/>
      <c r="K10" s="654"/>
      <c r="L10" s="655"/>
      <c r="M10" s="654"/>
      <c r="N10" s="655"/>
      <c r="O10" s="654"/>
      <c r="P10" s="655"/>
      <c r="Q10" s="654"/>
      <c r="R10" s="655"/>
      <c r="S10" s="654"/>
      <c r="T10" s="655"/>
      <c r="U10" s="654"/>
      <c r="V10" s="655"/>
      <c r="W10" s="654"/>
      <c r="X10" s="655"/>
      <c r="Y10" s="654"/>
      <c r="Z10" s="655"/>
      <c r="AA10" s="654"/>
      <c r="AB10" s="655"/>
      <c r="AC10" s="654"/>
      <c r="AD10" s="655"/>
      <c r="AE10" s="654"/>
      <c r="AF10" s="655"/>
      <c r="AG10" s="654"/>
      <c r="AH10" s="655"/>
      <c r="AI10" s="654"/>
      <c r="AJ10" s="655"/>
      <c r="AK10" s="654"/>
      <c r="AL10" s="655"/>
      <c r="AM10" s="654"/>
      <c r="AN10" s="655"/>
      <c r="AO10" s="654"/>
      <c r="AP10" s="655"/>
      <c r="AQ10" s="652"/>
      <c r="AR10" s="156"/>
      <c r="AS10" s="652"/>
      <c r="AT10" s="156"/>
      <c r="AU10" s="652"/>
      <c r="AV10" s="156"/>
      <c r="AW10" s="652"/>
      <c r="AX10" s="156"/>
      <c r="AY10" s="652"/>
      <c r="AZ10" s="156"/>
      <c r="BA10" s="652"/>
      <c r="BB10" s="156"/>
      <c r="BC10" s="652"/>
      <c r="BD10" s="156"/>
      <c r="BE10" s="652"/>
      <c r="BF10" s="156"/>
      <c r="BG10" s="652"/>
      <c r="BH10" s="156"/>
      <c r="BI10" s="652"/>
      <c r="BJ10" s="156"/>
      <c r="BK10" s="652"/>
      <c r="BL10" s="156"/>
      <c r="BM10" s="652"/>
      <c r="BN10" s="156"/>
      <c r="BO10" s="652"/>
      <c r="BP10" s="156"/>
      <c r="BQ10" s="652"/>
      <c r="BR10" s="156"/>
      <c r="BS10" s="652"/>
      <c r="BT10" s="156"/>
      <c r="BU10" s="652"/>
      <c r="BV10" s="156"/>
      <c r="BW10" s="656"/>
      <c r="BX10" s="657"/>
      <c r="BY10" s="657"/>
      <c r="BZ10" s="654"/>
      <c r="CA10" s="656"/>
      <c r="CB10" s="654"/>
      <c r="CC10" s="656"/>
      <c r="CD10" s="654"/>
      <c r="CE10" s="656"/>
      <c r="CF10" s="654"/>
      <c r="CG10" s="656"/>
      <c r="CH10" s="654"/>
      <c r="CI10" s="656"/>
      <c r="CJ10" s="654"/>
      <c r="CK10" s="656"/>
      <c r="CL10" s="652"/>
      <c r="CM10" s="681"/>
      <c r="CN10" s="684"/>
      <c r="CO10" s="687"/>
      <c r="CP10" s="684"/>
      <c r="CQ10" s="687"/>
      <c r="CR10" s="684"/>
      <c r="CS10" s="687"/>
      <c r="CT10" s="684"/>
      <c r="CU10" s="687"/>
      <c r="CV10" s="684"/>
      <c r="CW10" s="687"/>
      <c r="CX10" s="684"/>
      <c r="CY10" s="687"/>
      <c r="CZ10" s="684"/>
      <c r="DA10" s="687"/>
      <c r="DB10" s="684"/>
      <c r="DC10" s="687"/>
      <c r="DD10" s="684"/>
      <c r="DE10" s="687"/>
      <c r="DF10" s="684"/>
      <c r="DG10" s="687"/>
      <c r="DH10" s="684"/>
      <c r="DI10" s="687"/>
      <c r="DJ10" s="684" t="str">
        <f t="shared" si="16"/>
        <v>NA</v>
      </c>
      <c r="DK10" s="687"/>
      <c r="DL10" s="684"/>
      <c r="DM10" s="687"/>
      <c r="DN10" s="684"/>
      <c r="DO10" s="687"/>
      <c r="DP10" s="684"/>
      <c r="DQ10" s="687"/>
      <c r="DR10" s="684" t="str">
        <f t="shared" si="17"/>
        <v>NA</v>
      </c>
      <c r="DS10" s="687">
        <f>DS7+DS8+DS9</f>
        <v>510</v>
      </c>
      <c r="DT10" s="684" t="str">
        <f t="shared" si="17"/>
        <v>NA</v>
      </c>
      <c r="DU10" s="687">
        <f>DU7+DU8+DU9</f>
        <v>551</v>
      </c>
      <c r="DV10" s="684" t="str">
        <f t="shared" si="17"/>
        <v>NA</v>
      </c>
      <c r="DW10" s="687">
        <f>DW7+DW8+DW9</f>
        <v>511</v>
      </c>
      <c r="DX10" s="684" t="str">
        <f t="shared" si="17"/>
        <v>NA</v>
      </c>
      <c r="DY10" s="687">
        <f>DY7+DY8+DY9</f>
        <v>432</v>
      </c>
      <c r="DZ10" s="684" t="str">
        <f t="shared" si="17"/>
        <v>NA</v>
      </c>
      <c r="EA10" s="687">
        <f>EA7+EA8+EA9</f>
        <v>406</v>
      </c>
      <c r="EB10" s="684">
        <f t="shared" si="18"/>
        <v>-20.392156862745104</v>
      </c>
      <c r="EC10" s="687">
        <f>EC7+EC8+EC9</f>
        <v>443</v>
      </c>
      <c r="ED10" s="684">
        <f t="shared" si="19"/>
        <v>-19.600725952813068</v>
      </c>
      <c r="EE10" s="687">
        <f>EE7+EE8+EE9</f>
        <v>552</v>
      </c>
      <c r="EF10" s="687">
        <f t="shared" si="20"/>
        <v>8.0234833659491134</v>
      </c>
      <c r="EG10" s="687">
        <f>EG7+EG8+EG9</f>
        <v>511</v>
      </c>
      <c r="EH10" s="687">
        <f t="shared" si="21"/>
        <v>18.287037037037045</v>
      </c>
      <c r="EI10" s="687">
        <f>EI7+EI8+EI9</f>
        <v>497</v>
      </c>
      <c r="EJ10" s="687">
        <f t="shared" si="22"/>
        <v>22.413793103448263</v>
      </c>
      <c r="EK10" s="687">
        <f>EK7+EK8+EK9</f>
        <v>493</v>
      </c>
      <c r="EL10" s="687">
        <f t="shared" si="23"/>
        <v>11.28668171557563</v>
      </c>
      <c r="EM10" s="687">
        <f>EM7+EM8+EM9</f>
        <v>539</v>
      </c>
      <c r="EN10" s="687">
        <f t="shared" si="24"/>
        <v>-2.3550724637681153</v>
      </c>
      <c r="EO10" s="687">
        <f>EO7+EO8+EO9</f>
        <v>498</v>
      </c>
      <c r="EP10" s="684">
        <f t="shared" si="25"/>
        <v>-2.5440313111546042</v>
      </c>
      <c r="EQ10" s="687">
        <f>EQ7+EQ8+EQ9</f>
        <v>617.37785824703383</v>
      </c>
      <c r="ER10" s="684">
        <f t="shared" ref="ER10" si="44">IF(ISERROR((EQ10/EI10-1)*100),"NA",IF(((EQ10/EI10-1)*100)&gt;100,"NM",IF(((EQ10/EI10-1)*100)&lt;-50,"NM",(EQ10/EI10-1)*100)))</f>
        <v>24.220897031596333</v>
      </c>
      <c r="ES10" s="687">
        <f t="shared" ref="ES10" si="45">ES7+ES8+ES9</f>
        <v>609.9535514420578</v>
      </c>
      <c r="ET10" s="684">
        <f t="shared" ref="ET10:ET13" si="46">IF(ISERROR((ES10/EK10-1)*100),"NA",IF(((ES10/EK10-1)*100)&gt;100,"NM",IF(((ES10/EK10-1)*100)&lt;-50,"NM",(ES10/EK10-1)*100)))</f>
        <v>23.722829907111119</v>
      </c>
      <c r="EU10" s="687">
        <f t="shared" ref="EU10" si="47">EU7+EU8+EU9</f>
        <v>611.09906339934207</v>
      </c>
      <c r="EV10" s="684">
        <f t="shared" ref="EV10:EV13" si="48">IF(ISERROR((EU10/EM10-1)*100),"NA",IF(((EU10/EM10-1)*100)&gt;100,"NM",IF(((EU10/EM10-1)*100)&lt;-50,"NM",(EU10/EM10-1)*100)))</f>
        <v>13.376449610267539</v>
      </c>
      <c r="EW10" s="687">
        <f t="shared" ref="EW10" si="49">EW7+EW8+EW9</f>
        <v>653.65192054431952</v>
      </c>
      <c r="EX10" s="684">
        <f t="shared" ref="EX10:EX13" si="50">IF(ISERROR((EW10/EO10-1)*100),"NA",IF(((EW10/EO10-1)*100)&gt;100,"NM",IF(((EW10/EO10-1)*100)&lt;-50,"NM",(EW10/EO10-1)*100)))</f>
        <v>31.255405731791065</v>
      </c>
      <c r="EZ10" s="590"/>
      <c r="FX10" s="701"/>
      <c r="GB10" s="699"/>
      <c r="GC10" s="685"/>
      <c r="GD10" s="687"/>
      <c r="GE10" s="685"/>
      <c r="GF10" s="687"/>
      <c r="GG10" s="685"/>
      <c r="GH10" s="687"/>
      <c r="GI10" s="685" t="str">
        <f t="shared" ref="GI10:GK21" si="51">IF(ISERROR((GH10/GF10-1)*100),"NA",IF(((GH10/GF10-1)*100)&gt;100,"NM",IF(((GH10/GF10-1)*100)&lt;-50,"NM",(GH10/GF10-1)*100)))</f>
        <v>NA</v>
      </c>
      <c r="GJ10" s="687">
        <f>GJ7+GJ8+GJ9</f>
        <v>2004</v>
      </c>
      <c r="GK10" s="685" t="str">
        <f t="shared" si="51"/>
        <v>NA</v>
      </c>
      <c r="GL10" s="687">
        <f>GL7+GL8+GL9</f>
        <v>1912</v>
      </c>
      <c r="GM10" s="685">
        <f t="shared" si="34"/>
        <v>-4.5908183632734527</v>
      </c>
      <c r="GN10" s="687">
        <f>GN7+GN8+GN9</f>
        <v>2027</v>
      </c>
      <c r="GO10" s="685">
        <f t="shared" si="34"/>
        <v>6.0146443514644377</v>
      </c>
      <c r="GP10" s="687">
        <f>GP7+GP8+GP9</f>
        <v>2492.0823936327529</v>
      </c>
      <c r="GQ10" s="685">
        <f t="shared" si="34"/>
        <v>22.944370677491509</v>
      </c>
      <c r="GR10" s="687">
        <f>GR7+GR8+GR9</f>
        <v>2579.5647775100488</v>
      </c>
      <c r="GS10" s="685">
        <f t="shared" si="34"/>
        <v>3.5104129823641639</v>
      </c>
      <c r="GT10" s="687">
        <f>GT7+GT8+GT9</f>
        <v>2639.3739293900389</v>
      </c>
      <c r="GU10" s="685">
        <f t="shared" si="34"/>
        <v>2.3185753039209001</v>
      </c>
      <c r="GV10" s="687">
        <f>GV7+GV8+GV9</f>
        <v>2701.3624711158045</v>
      </c>
      <c r="GW10" s="685">
        <f t="shared" si="34"/>
        <v>2.3486077904880664</v>
      </c>
      <c r="GX10" s="687">
        <f>GX7+GX8+GX9</f>
        <v>2768.4051030078904</v>
      </c>
      <c r="GY10" s="685">
        <f t="shared" si="35"/>
        <v>2.4818080731088932</v>
      </c>
      <c r="GZ10" s="703">
        <f t="shared" si="36"/>
        <v>6.4327242489793157</v>
      </c>
      <c r="HA10" s="703"/>
      <c r="HC10"/>
      <c r="HD10"/>
      <c r="HE10"/>
      <c r="HF10"/>
      <c r="HG10"/>
      <c r="HH10"/>
    </row>
    <row r="11" spans="1:217" s="167" customFormat="1" ht="12.75" customHeight="1" x14ac:dyDescent="0.2">
      <c r="A11" s="581"/>
      <c r="B11" s="653" t="s">
        <v>224</v>
      </c>
      <c r="C11" s="654"/>
      <c r="D11" s="655"/>
      <c r="E11" s="654"/>
      <c r="F11" s="655"/>
      <c r="G11" s="654"/>
      <c r="H11" s="655"/>
      <c r="I11" s="654"/>
      <c r="J11" s="655"/>
      <c r="K11" s="654"/>
      <c r="L11" s="655"/>
      <c r="M11" s="654"/>
      <c r="N11" s="655"/>
      <c r="O11" s="654"/>
      <c r="P11" s="655"/>
      <c r="Q11" s="654"/>
      <c r="R11" s="655"/>
      <c r="S11" s="654"/>
      <c r="T11" s="655"/>
      <c r="U11" s="654"/>
      <c r="V11" s="655"/>
      <c r="W11" s="654"/>
      <c r="X11" s="655"/>
      <c r="Y11" s="654"/>
      <c r="Z11" s="655"/>
      <c r="AA11" s="654"/>
      <c r="AB11" s="655"/>
      <c r="AC11" s="654"/>
      <c r="AD11" s="655"/>
      <c r="AE11" s="654"/>
      <c r="AF11" s="655"/>
      <c r="AG11" s="654"/>
      <c r="AH11" s="655"/>
      <c r="AI11" s="654"/>
      <c r="AJ11" s="655"/>
      <c r="AK11" s="654"/>
      <c r="AL11" s="655"/>
      <c r="AM11" s="654"/>
      <c r="AN11" s="655"/>
      <c r="AO11" s="654"/>
      <c r="AP11" s="655"/>
      <c r="AQ11" s="652"/>
      <c r="AR11" s="156"/>
      <c r="AS11" s="652"/>
      <c r="AT11" s="156"/>
      <c r="AU11" s="652"/>
      <c r="AV11" s="156"/>
      <c r="AW11" s="652"/>
      <c r="AX11" s="156"/>
      <c r="AY11" s="652"/>
      <c r="AZ11" s="156"/>
      <c r="BA11" s="652"/>
      <c r="BB11" s="156"/>
      <c r="BC11" s="652"/>
      <c r="BD11" s="156"/>
      <c r="BE11" s="652"/>
      <c r="BF11" s="156"/>
      <c r="BG11" s="652"/>
      <c r="BH11" s="156"/>
      <c r="BI11" s="652"/>
      <c r="BJ11" s="156"/>
      <c r="BK11" s="652"/>
      <c r="BL11" s="156"/>
      <c r="BM11" s="652"/>
      <c r="BN11" s="156"/>
      <c r="BO11" s="652"/>
      <c r="BP11" s="156"/>
      <c r="BQ11" s="652"/>
      <c r="BR11" s="156"/>
      <c r="BS11" s="652"/>
      <c r="BT11" s="156"/>
      <c r="BU11" s="652"/>
      <c r="BV11" s="156"/>
      <c r="BW11" s="656"/>
      <c r="BX11" s="657"/>
      <c r="BY11" s="657"/>
      <c r="BZ11" s="654"/>
      <c r="CA11" s="656"/>
      <c r="CB11" s="654"/>
      <c r="CC11" s="656"/>
      <c r="CD11" s="654"/>
      <c r="CE11" s="656"/>
      <c r="CF11" s="654"/>
      <c r="CG11" s="656"/>
      <c r="CH11" s="654"/>
      <c r="CI11" s="656"/>
      <c r="CJ11" s="654"/>
      <c r="CK11" s="656"/>
      <c r="CL11" s="652"/>
      <c r="CM11" s="681"/>
      <c r="CN11" s="684"/>
      <c r="CO11" s="687"/>
      <c r="CP11" s="684"/>
      <c r="CQ11" s="699"/>
      <c r="CR11" s="684"/>
      <c r="CS11" s="687"/>
      <c r="CT11" s="684"/>
      <c r="CU11" s="687"/>
      <c r="CV11" s="684"/>
      <c r="CW11" s="687"/>
      <c r="CX11" s="684"/>
      <c r="CY11" s="687"/>
      <c r="CZ11" s="684"/>
      <c r="DA11" s="687"/>
      <c r="DB11" s="684"/>
      <c r="DC11" s="687"/>
      <c r="DD11" s="684"/>
      <c r="DE11" s="687"/>
      <c r="DF11" s="684"/>
      <c r="DG11" s="687"/>
      <c r="DH11" s="684"/>
      <c r="DI11" s="687"/>
      <c r="DJ11" s="684" t="str">
        <f>IF(ISERROR((DI11/DA11-1)*100),"NA",IF(((DI11/DA11-1)*100)&gt;100,"NM",IF(((DI11/DA11-1)*100)&lt;-50,"NM",(DI11/DA11-1)*100)))</f>
        <v>NA</v>
      </c>
      <c r="DK11" s="687"/>
      <c r="DL11" s="684"/>
      <c r="DM11" s="687"/>
      <c r="DN11" s="684"/>
      <c r="DO11" s="687"/>
      <c r="DP11" s="684"/>
      <c r="DQ11" s="687"/>
      <c r="DR11" s="684" t="str">
        <f>IF(ISERROR((DQ11/DI11-1)*100),"NA",IF(((DQ11/DI11-1)*100)&gt;100,"NM",IF(((DQ11/DI11-1)*100)&lt;-50,"NM",(DQ11/DI11-1)*100)))</f>
        <v>NA</v>
      </c>
      <c r="DS11" s="687">
        <f>DS301</f>
        <v>327</v>
      </c>
      <c r="DT11" s="684" t="str">
        <f>IF(ISERROR((DS11/DK11-1)*100),"NA",IF(((DS11/DK11-1)*100)&gt;100,"NM",IF(((DS11/DK11-1)*100)&lt;-50,"NM",(DS11/DK11-1)*100)))</f>
        <v>NA</v>
      </c>
      <c r="DU11" s="687">
        <f>DU301</f>
        <v>425</v>
      </c>
      <c r="DV11" s="684" t="str">
        <f>IF(ISERROR((DU11/DM11-1)*100),"NA",IF(((DU11/DM11-1)*100)&gt;100,"NM",IF(((DU11/DM11-1)*100)&lt;-50,"NM",(DU11/DM11-1)*100)))</f>
        <v>NA</v>
      </c>
      <c r="DW11" s="687">
        <f>DW301</f>
        <v>338</v>
      </c>
      <c r="DX11" s="684" t="str">
        <f>IF(ISERROR((DW11/DO11-1)*100),"NA",IF(((DW11/DO11-1)*100)&gt;100,"NM",IF(((DW11/DO11-1)*100)&lt;-50,"NM",(DW11/DO11-1)*100)))</f>
        <v>NA</v>
      </c>
      <c r="DY11" s="687">
        <f>DY301</f>
        <v>290</v>
      </c>
      <c r="DZ11" s="684" t="str">
        <f>IF(ISERROR((DY11/DQ11-1)*100),"NA",IF(((DY11/DQ11-1)*100)&gt;100,"NM",IF(((DY11/DQ11-1)*100)&lt;-50,"NM",(DY11/DQ11-1)*100)))</f>
        <v>NA</v>
      </c>
      <c r="EA11" s="687">
        <f>EA301</f>
        <v>305</v>
      </c>
      <c r="EB11" s="684">
        <f>IF(ISERROR((EA11/DS11-1)*100),"NA",IF(((EA11/DS11-1)*100)&gt;100,"NM",IF(((EA11/DS11-1)*100)&lt;-50,"NM",(EA11/DS11-1)*100)))</f>
        <v>-6.7278287461773667</v>
      </c>
      <c r="EC11" s="687">
        <f>EC301</f>
        <v>259</v>
      </c>
      <c r="ED11" s="684">
        <f>IF(ISERROR((EC11/DU11-1)*100),"NA",IF(((EC11/DU11-1)*100)&gt;100,"NM",IF(((EC11/DU11-1)*100)&lt;-50,"NM",(EC11/DU11-1)*100)))</f>
        <v>-39.058823529411768</v>
      </c>
      <c r="EE11" s="687">
        <f>EE301</f>
        <v>324</v>
      </c>
      <c r="EF11" s="687">
        <f>IF(ISERROR((EE11/DW11-1)*100),"NA",IF(((EE11/DW11-1)*100)&gt;100,"NM",IF(((EE11/DW11-1)*100)&lt;-50,"NM",(EE11/DW11-1)*100)))</f>
        <v>-4.1420118343195256</v>
      </c>
      <c r="EG11" s="687">
        <f>EG301</f>
        <v>354</v>
      </c>
      <c r="EH11" s="687">
        <f>IF(ISERROR((EG11/DY11-1)*100),"NA",IF(((EG11/DY11-1)*100)&gt;100,"NM",IF(((EG11/DY11-1)*100)&lt;-50,"NM",(EG11/DY11-1)*100)))</f>
        <v>22.068965517241381</v>
      </c>
      <c r="EI11" s="687">
        <f>EI301</f>
        <v>295</v>
      </c>
      <c r="EJ11" s="687">
        <f>IF(ISERROR((EI11/EA11-1)*100),"NA",IF(((EI11/EA11-1)*100)&gt;100,"NM",IF(((EI11/EA11-1)*100)&lt;-50,"NM",(EI11/EA11-1)*100)))</f>
        <v>-3.2786885245901676</v>
      </c>
      <c r="EK11" s="687">
        <f>EK301</f>
        <v>310</v>
      </c>
      <c r="EL11" s="687">
        <f>IF(ISERROR((EK11/EC11-1)*100),"NA",IF(((EK11/EC11-1)*100)&gt;100,"NM",IF(((EK11/EC11-1)*100)&lt;-50,"NM",(EK11/EC11-1)*100)))</f>
        <v>19.691119691119695</v>
      </c>
      <c r="EM11" s="687">
        <f>EM301</f>
        <v>314</v>
      </c>
      <c r="EN11" s="687">
        <f>IF(ISERROR((EM11/EE11-1)*100),"NA",IF(((EM11/EE11-1)*100)&gt;100,"NM",IF(((EM11/EE11-1)*100)&lt;-50,"NM",(EM11/EE11-1)*100)))</f>
        <v>-3.0864197530864224</v>
      </c>
      <c r="EO11" s="687">
        <f>EO301</f>
        <v>310</v>
      </c>
      <c r="EP11" s="684">
        <f>IF(ISERROR((EO11/EG11-1)*100),"NA",IF(((EO11/EG11-1)*100)&gt;100,"NM",IF(((EO11/EG11-1)*100)&lt;-50,"NM",(EO11/EG11-1)*100)))</f>
        <v>-12.429378531073443</v>
      </c>
      <c r="EQ11" s="687">
        <f>EQ301</f>
        <v>325.86588020000011</v>
      </c>
      <c r="ER11" s="684">
        <f>IF(ISERROR((EQ11/EI11-1)*100),"NA",IF(((EQ11/EI11-1)*100)&gt;100,"NM",IF(((EQ11/EI11-1)*100)&lt;-50,"NM",(EQ11/EI11-1)*100)))</f>
        <v>10.463010237288174</v>
      </c>
      <c r="ES11" s="687">
        <f t="shared" ref="ES11" si="52">ES301</f>
        <v>331.57710791275031</v>
      </c>
      <c r="ET11" s="684">
        <f t="shared" si="46"/>
        <v>6.9603573912097705</v>
      </c>
      <c r="EU11" s="687">
        <f t="shared" ref="EU11" si="53">EU301</f>
        <v>337.39672629335769</v>
      </c>
      <c r="EV11" s="684">
        <f t="shared" si="48"/>
        <v>7.4511867176298319</v>
      </c>
      <c r="EW11" s="687">
        <f t="shared" ref="EW11" si="54">EW301</f>
        <v>340.34124317248745</v>
      </c>
      <c r="EX11" s="684">
        <f t="shared" si="50"/>
        <v>9.7874977975765951</v>
      </c>
      <c r="EZ11" s="590"/>
      <c r="FX11" s="701"/>
      <c r="GB11" s="699"/>
      <c r="GC11" s="685"/>
      <c r="GD11" s="687"/>
      <c r="GE11" s="685"/>
      <c r="GF11" s="687"/>
      <c r="GG11" s="685"/>
      <c r="GH11" s="687"/>
      <c r="GI11" s="685" t="str">
        <f>IF(ISERROR((GH11/GF11-1)*100),"NA",IF(((GH11/GF11-1)*100)&gt;100,"NM",IF(((GH11/GF11-1)*100)&lt;-50,"NM",(GH11/GF11-1)*100)))</f>
        <v>NA</v>
      </c>
      <c r="GJ11" s="687">
        <f>GJ301</f>
        <v>1380</v>
      </c>
      <c r="GK11" s="685" t="str">
        <f>IF(ISERROR((GJ11/GH11-1)*100),"NA",IF(((GJ11/GH11-1)*100)&gt;100,"NM",IF(((GJ11/GH11-1)*100)&lt;-50,"NM",(GJ11/GH11-1)*100)))</f>
        <v>NA</v>
      </c>
      <c r="GL11" s="687">
        <f>GL301</f>
        <v>1242</v>
      </c>
      <c r="GM11" s="685">
        <f t="shared" si="34"/>
        <v>-9.9999999999999982</v>
      </c>
      <c r="GN11" s="687">
        <f>GN301</f>
        <v>1229</v>
      </c>
      <c r="GO11" s="685">
        <f t="shared" si="34"/>
        <v>-1.046698872785834</v>
      </c>
      <c r="GP11" s="687">
        <f>GP301</f>
        <v>1335.1809575785969</v>
      </c>
      <c r="GQ11" s="685">
        <f t="shared" si="34"/>
        <v>8.6396222602601149</v>
      </c>
      <c r="GR11" s="687">
        <f>GR301</f>
        <v>1423.1892655553743</v>
      </c>
      <c r="GS11" s="685">
        <f t="shared" si="34"/>
        <v>6.5914891518812357</v>
      </c>
      <c r="GT11" s="687">
        <f>GT301</f>
        <v>1494.3487288331453</v>
      </c>
      <c r="GU11" s="685">
        <f t="shared" si="34"/>
        <v>5.0000000000001599</v>
      </c>
      <c r="GV11" s="687">
        <f>GV301</f>
        <v>1578.0766688355261</v>
      </c>
      <c r="GW11" s="685">
        <f t="shared" si="34"/>
        <v>5.6029719426843094</v>
      </c>
      <c r="GX11" s="687">
        <f>GX301</f>
        <v>1649.4048214793954</v>
      </c>
      <c r="GY11" s="685">
        <f t="shared" si="35"/>
        <v>4.5199421582287735</v>
      </c>
      <c r="GZ11" s="703">
        <f t="shared" si="36"/>
        <v>6.0608431675433172</v>
      </c>
      <c r="HA11" s="703"/>
      <c r="HC11"/>
      <c r="HD11"/>
      <c r="HE11"/>
      <c r="HF11"/>
      <c r="HG11"/>
      <c r="HH11"/>
    </row>
    <row r="12" spans="1:217" s="167" customFormat="1" ht="12.75" customHeight="1" x14ac:dyDescent="0.2">
      <c r="A12" s="581"/>
      <c r="B12" s="653" t="s">
        <v>221</v>
      </c>
      <c r="C12" s="654"/>
      <c r="D12" s="655"/>
      <c r="E12" s="654"/>
      <c r="F12" s="655"/>
      <c r="G12" s="654"/>
      <c r="H12" s="655"/>
      <c r="I12" s="654"/>
      <c r="J12" s="655"/>
      <c r="K12" s="654"/>
      <c r="L12" s="655"/>
      <c r="M12" s="654"/>
      <c r="N12" s="655"/>
      <c r="O12" s="654"/>
      <c r="P12" s="655"/>
      <c r="Q12" s="654"/>
      <c r="R12" s="655"/>
      <c r="S12" s="654"/>
      <c r="T12" s="655"/>
      <c r="U12" s="654"/>
      <c r="V12" s="655"/>
      <c r="W12" s="654"/>
      <c r="X12" s="655"/>
      <c r="Y12" s="654"/>
      <c r="Z12" s="655"/>
      <c r="AA12" s="654"/>
      <c r="AB12" s="655"/>
      <c r="AC12" s="654"/>
      <c r="AD12" s="655"/>
      <c r="AE12" s="654"/>
      <c r="AF12" s="655"/>
      <c r="AG12" s="654"/>
      <c r="AH12" s="655"/>
      <c r="AI12" s="654"/>
      <c r="AJ12" s="655"/>
      <c r="AK12" s="654"/>
      <c r="AL12" s="655"/>
      <c r="AM12" s="654"/>
      <c r="AN12" s="655"/>
      <c r="AO12" s="654"/>
      <c r="AP12" s="655"/>
      <c r="AQ12" s="652"/>
      <c r="AR12" s="156"/>
      <c r="AS12" s="652"/>
      <c r="AT12" s="156"/>
      <c r="AU12" s="652"/>
      <c r="AV12" s="156"/>
      <c r="AW12" s="652"/>
      <c r="AX12" s="156"/>
      <c r="AY12" s="652"/>
      <c r="AZ12" s="156"/>
      <c r="BA12" s="652"/>
      <c r="BB12" s="156"/>
      <c r="BC12" s="652"/>
      <c r="BD12" s="156"/>
      <c r="BE12" s="652"/>
      <c r="BF12" s="156"/>
      <c r="BG12" s="652"/>
      <c r="BH12" s="156"/>
      <c r="BI12" s="652"/>
      <c r="BJ12" s="156"/>
      <c r="BK12" s="652"/>
      <c r="BL12" s="156"/>
      <c r="BM12" s="652"/>
      <c r="BN12" s="156"/>
      <c r="BO12" s="652"/>
      <c r="BP12" s="156"/>
      <c r="BQ12" s="652"/>
      <c r="BR12" s="156"/>
      <c r="BS12" s="652"/>
      <c r="BT12" s="156"/>
      <c r="BU12" s="652"/>
      <c r="BV12" s="156"/>
      <c r="BW12" s="656"/>
      <c r="BX12" s="657"/>
      <c r="BY12" s="657"/>
      <c r="BZ12" s="654"/>
      <c r="CA12" s="656"/>
      <c r="CB12" s="654"/>
      <c r="CC12" s="656"/>
      <c r="CD12" s="654"/>
      <c r="CE12" s="656"/>
      <c r="CF12" s="654"/>
      <c r="CG12" s="656"/>
      <c r="CH12" s="654"/>
      <c r="CI12" s="656"/>
      <c r="CJ12" s="654"/>
      <c r="CK12" s="656"/>
      <c r="CL12" s="652"/>
      <c r="CM12" s="681"/>
      <c r="CN12" s="684"/>
      <c r="CO12" s="687"/>
      <c r="CP12" s="684"/>
      <c r="CQ12" s="699"/>
      <c r="CR12" s="684"/>
      <c r="CS12" s="687"/>
      <c r="CT12" s="684"/>
      <c r="CU12" s="687"/>
      <c r="CV12" s="684"/>
      <c r="CW12" s="687"/>
      <c r="CX12" s="684"/>
      <c r="CY12" s="687"/>
      <c r="CZ12" s="684"/>
      <c r="DA12" s="687"/>
      <c r="DB12" s="684"/>
      <c r="DC12" s="687"/>
      <c r="DD12" s="684"/>
      <c r="DE12" s="687"/>
      <c r="DF12" s="684"/>
      <c r="DG12" s="687"/>
      <c r="DH12" s="684"/>
      <c r="DI12" s="687"/>
      <c r="DJ12" s="684" t="str">
        <f t="shared" si="16"/>
        <v>NA</v>
      </c>
      <c r="DK12" s="687"/>
      <c r="DL12" s="684"/>
      <c r="DM12" s="687"/>
      <c r="DN12" s="684"/>
      <c r="DO12" s="687"/>
      <c r="DP12" s="684"/>
      <c r="DQ12" s="687"/>
      <c r="DR12" s="684" t="str">
        <f t="shared" si="17"/>
        <v>NA</v>
      </c>
      <c r="DS12" s="687">
        <f>DS334</f>
        <v>149</v>
      </c>
      <c r="DT12" s="684" t="str">
        <f t="shared" si="17"/>
        <v>NA</v>
      </c>
      <c r="DU12" s="687">
        <f>DU334</f>
        <v>136</v>
      </c>
      <c r="DV12" s="684" t="str">
        <f t="shared" si="17"/>
        <v>NA</v>
      </c>
      <c r="DW12" s="687">
        <f>DW334</f>
        <v>183</v>
      </c>
      <c r="DX12" s="684" t="str">
        <f t="shared" si="17"/>
        <v>NA</v>
      </c>
      <c r="DY12" s="687">
        <f>DY334</f>
        <v>157</v>
      </c>
      <c r="DZ12" s="684" t="str">
        <f t="shared" si="17"/>
        <v>NA</v>
      </c>
      <c r="EA12" s="687">
        <f>EA334</f>
        <v>151</v>
      </c>
      <c r="EB12" s="684">
        <f t="shared" si="18"/>
        <v>1.3422818791946289</v>
      </c>
      <c r="EC12" s="687">
        <f>EC334</f>
        <v>137</v>
      </c>
      <c r="ED12" s="684">
        <f t="shared" si="19"/>
        <v>0.73529411764705621</v>
      </c>
      <c r="EE12" s="687">
        <f>EE334</f>
        <v>133</v>
      </c>
      <c r="EF12" s="687">
        <f t="shared" si="20"/>
        <v>-27.322404371584696</v>
      </c>
      <c r="EG12" s="687">
        <f>EG334</f>
        <v>122</v>
      </c>
      <c r="EH12" s="687">
        <f t="shared" si="21"/>
        <v>-22.292993630573243</v>
      </c>
      <c r="EI12" s="687">
        <f>EI334</f>
        <v>143</v>
      </c>
      <c r="EJ12" s="687">
        <f t="shared" si="22"/>
        <v>-5.2980132450331174</v>
      </c>
      <c r="EK12" s="687">
        <f>EK334</f>
        <v>154</v>
      </c>
      <c r="EL12" s="687">
        <f t="shared" si="23"/>
        <v>12.408759124087588</v>
      </c>
      <c r="EM12" s="687">
        <f>EM334</f>
        <v>163</v>
      </c>
      <c r="EN12" s="687">
        <f t="shared" si="24"/>
        <v>22.55639097744362</v>
      </c>
      <c r="EO12" s="687">
        <f>EO334</f>
        <v>125</v>
      </c>
      <c r="EP12" s="684">
        <f t="shared" si="25"/>
        <v>2.4590163934426146</v>
      </c>
      <c r="EQ12" s="687">
        <f t="shared" ref="EQ12" si="55">EQ334</f>
        <v>159.10263766067317</v>
      </c>
      <c r="ER12" s="684">
        <f t="shared" ref="ER12:ER13" si="56">IF(ISERROR((EQ12/EI12-1)*100),"NA",IF(((EQ12/EI12-1)*100)&gt;100,"NM",IF(((EQ12/EI12-1)*100)&lt;-50,"NM",(EQ12/EI12-1)*100)))</f>
        <v>11.260585776694532</v>
      </c>
      <c r="ES12" s="687">
        <f t="shared" ref="ES12" si="57">ES334</f>
        <v>164.13026821766746</v>
      </c>
      <c r="ET12" s="684">
        <f t="shared" si="46"/>
        <v>6.5780962452386182</v>
      </c>
      <c r="EU12" s="687">
        <f t="shared" ref="EU12" si="58">EU334</f>
        <v>173.16550235113667</v>
      </c>
      <c r="EV12" s="684">
        <f t="shared" si="48"/>
        <v>6.2365045098997873</v>
      </c>
      <c r="EW12" s="687">
        <f t="shared" ref="EW12" si="59">EW334</f>
        <v>142.64583127978617</v>
      </c>
      <c r="EX12" s="684">
        <f t="shared" si="50"/>
        <v>14.116665023828933</v>
      </c>
      <c r="EZ12" s="590"/>
      <c r="FX12" s="701"/>
      <c r="GB12" s="699"/>
      <c r="GC12" s="685"/>
      <c r="GD12" s="687"/>
      <c r="GE12" s="685"/>
      <c r="GF12" s="687"/>
      <c r="GG12" s="685"/>
      <c r="GH12" s="687"/>
      <c r="GI12" s="685" t="str">
        <f t="shared" si="51"/>
        <v>NA</v>
      </c>
      <c r="GJ12" s="687">
        <f>GJ334</f>
        <v>625</v>
      </c>
      <c r="GK12" s="685" t="str">
        <f t="shared" si="51"/>
        <v>NA</v>
      </c>
      <c r="GL12" s="687">
        <f>GL334</f>
        <v>543</v>
      </c>
      <c r="GM12" s="685">
        <f t="shared" si="34"/>
        <v>-13.119999999999997</v>
      </c>
      <c r="GN12" s="687">
        <f>GN334</f>
        <v>585</v>
      </c>
      <c r="GO12" s="685">
        <f t="shared" si="34"/>
        <v>7.7348066298342566</v>
      </c>
      <c r="GP12" s="687">
        <f>GP334</f>
        <v>639.04423950926457</v>
      </c>
      <c r="GQ12" s="685">
        <f t="shared" si="34"/>
        <v>9.2383315400452304</v>
      </c>
      <c r="GR12" s="687">
        <f>GR334</f>
        <v>690.08185539965496</v>
      </c>
      <c r="GS12" s="685">
        <f t="shared" si="34"/>
        <v>7.9865544096889396</v>
      </c>
      <c r="GT12" s="687">
        <f>GT334</f>
        <v>731.48676672363342</v>
      </c>
      <c r="GU12" s="685">
        <f t="shared" si="34"/>
        <v>5.9999999999998721</v>
      </c>
      <c r="GV12" s="687">
        <f>GV334</f>
        <v>775.37597272705182</v>
      </c>
      <c r="GW12" s="685">
        <f t="shared" si="34"/>
        <v>6.0000000000000497</v>
      </c>
      <c r="GX12" s="687">
        <f>GX334</f>
        <v>807.38310811694055</v>
      </c>
      <c r="GY12" s="685">
        <f t="shared" si="35"/>
        <v>4.1279503770689896</v>
      </c>
      <c r="GZ12" s="703">
        <f t="shared" si="36"/>
        <v>6.6558690041239155</v>
      </c>
      <c r="HA12" s="703"/>
      <c r="HC12"/>
      <c r="HD12"/>
      <c r="HE12"/>
      <c r="HF12"/>
      <c r="HG12"/>
      <c r="HH12"/>
    </row>
    <row r="13" spans="1:217" s="167" customFormat="1" ht="12.75" customHeight="1" x14ac:dyDescent="0.2">
      <c r="A13" s="581"/>
      <c r="B13" s="653" t="s">
        <v>223</v>
      </c>
      <c r="C13" s="654"/>
      <c r="D13" s="655"/>
      <c r="E13" s="654"/>
      <c r="F13" s="655"/>
      <c r="G13" s="654"/>
      <c r="H13" s="655"/>
      <c r="I13" s="654"/>
      <c r="J13" s="655"/>
      <c r="K13" s="654"/>
      <c r="L13" s="655"/>
      <c r="M13" s="654"/>
      <c r="N13" s="655"/>
      <c r="O13" s="654"/>
      <c r="P13" s="655"/>
      <c r="Q13" s="654"/>
      <c r="R13" s="655"/>
      <c r="S13" s="654"/>
      <c r="T13" s="655"/>
      <c r="U13" s="654"/>
      <c r="V13" s="655"/>
      <c r="W13" s="654"/>
      <c r="X13" s="655"/>
      <c r="Y13" s="654"/>
      <c r="Z13" s="655"/>
      <c r="AA13" s="654"/>
      <c r="AB13" s="655"/>
      <c r="AC13" s="654"/>
      <c r="AD13" s="655"/>
      <c r="AE13" s="654"/>
      <c r="AF13" s="655"/>
      <c r="AG13" s="654"/>
      <c r="AH13" s="655"/>
      <c r="AI13" s="654"/>
      <c r="AJ13" s="655"/>
      <c r="AK13" s="654"/>
      <c r="AL13" s="655"/>
      <c r="AM13" s="654"/>
      <c r="AN13" s="655"/>
      <c r="AO13" s="654"/>
      <c r="AP13" s="655"/>
      <c r="AQ13" s="652"/>
      <c r="AR13" s="156"/>
      <c r="AS13" s="652"/>
      <c r="AT13" s="156"/>
      <c r="AU13" s="652"/>
      <c r="AV13" s="156"/>
      <c r="AW13" s="652"/>
      <c r="AX13" s="156"/>
      <c r="AY13" s="652"/>
      <c r="AZ13" s="156"/>
      <c r="BA13" s="652"/>
      <c r="BB13" s="156"/>
      <c r="BC13" s="652"/>
      <c r="BD13" s="156"/>
      <c r="BE13" s="652"/>
      <c r="BF13" s="156"/>
      <c r="BG13" s="652"/>
      <c r="BH13" s="156"/>
      <c r="BI13" s="652"/>
      <c r="BJ13" s="156"/>
      <c r="BK13" s="652"/>
      <c r="BL13" s="156"/>
      <c r="BM13" s="652"/>
      <c r="BN13" s="156"/>
      <c r="BO13" s="652"/>
      <c r="BP13" s="156"/>
      <c r="BQ13" s="652"/>
      <c r="BR13" s="156"/>
      <c r="BS13" s="652"/>
      <c r="BT13" s="156"/>
      <c r="BU13" s="652"/>
      <c r="BV13" s="156"/>
      <c r="BW13" s="656"/>
      <c r="BX13" s="657"/>
      <c r="BY13" s="657"/>
      <c r="BZ13" s="654"/>
      <c r="CA13" s="656"/>
      <c r="CB13" s="654"/>
      <c r="CC13" s="656"/>
      <c r="CD13" s="654"/>
      <c r="CE13" s="656"/>
      <c r="CF13" s="654"/>
      <c r="CG13" s="656"/>
      <c r="CH13" s="654"/>
      <c r="CI13" s="656"/>
      <c r="CJ13" s="654"/>
      <c r="CK13" s="656"/>
      <c r="CL13" s="652"/>
      <c r="CM13" s="681"/>
      <c r="CN13" s="684"/>
      <c r="CO13" s="687"/>
      <c r="CP13" s="684"/>
      <c r="CQ13" s="699"/>
      <c r="CR13" s="684"/>
      <c r="CS13" s="687"/>
      <c r="CT13" s="684"/>
      <c r="CU13" s="687"/>
      <c r="CV13" s="684"/>
      <c r="CW13" s="687"/>
      <c r="CX13" s="684"/>
      <c r="CY13" s="687"/>
      <c r="CZ13" s="684"/>
      <c r="DA13" s="687"/>
      <c r="DB13" s="684"/>
      <c r="DC13" s="687"/>
      <c r="DD13" s="684"/>
      <c r="DE13" s="687"/>
      <c r="DF13" s="684"/>
      <c r="DG13" s="687"/>
      <c r="DH13" s="684"/>
      <c r="DI13" s="687"/>
      <c r="DJ13" s="684" t="str">
        <f t="shared" si="16"/>
        <v>NA</v>
      </c>
      <c r="DK13" s="687"/>
      <c r="DL13" s="684"/>
      <c r="DM13" s="687"/>
      <c r="DN13" s="684"/>
      <c r="DO13" s="687"/>
      <c r="DP13" s="684"/>
      <c r="DQ13" s="687"/>
      <c r="DR13" s="684" t="str">
        <f t="shared" si="17"/>
        <v>NA</v>
      </c>
      <c r="DS13" s="687">
        <f>DS370</f>
        <v>70</v>
      </c>
      <c r="DT13" s="684" t="str">
        <f t="shared" si="17"/>
        <v>NA</v>
      </c>
      <c r="DU13" s="687">
        <f>DU370</f>
        <v>50</v>
      </c>
      <c r="DV13" s="684" t="str">
        <f t="shared" si="17"/>
        <v>NA</v>
      </c>
      <c r="DW13" s="687">
        <f>DW370</f>
        <v>66</v>
      </c>
      <c r="DX13" s="684" t="str">
        <f t="shared" si="17"/>
        <v>NA</v>
      </c>
      <c r="DY13" s="687">
        <f>DY370</f>
        <v>54</v>
      </c>
      <c r="DZ13" s="684" t="str">
        <f t="shared" si="17"/>
        <v>NA</v>
      </c>
      <c r="EA13" s="687">
        <f>EA370</f>
        <v>63</v>
      </c>
      <c r="EB13" s="684">
        <f t="shared" si="18"/>
        <v>-9.9999999999999982</v>
      </c>
      <c r="EC13" s="687">
        <f>EC370</f>
        <v>64</v>
      </c>
      <c r="ED13" s="684">
        <f t="shared" si="19"/>
        <v>28.000000000000004</v>
      </c>
      <c r="EE13" s="687">
        <f>EE370</f>
        <v>74</v>
      </c>
      <c r="EF13" s="687">
        <f t="shared" si="20"/>
        <v>12.12121212121211</v>
      </c>
      <c r="EG13" s="687">
        <f>EG370</f>
        <v>72</v>
      </c>
      <c r="EH13" s="687">
        <f t="shared" si="21"/>
        <v>33.333333333333329</v>
      </c>
      <c r="EI13" s="687">
        <f>EI370</f>
        <v>75</v>
      </c>
      <c r="EJ13" s="687">
        <f t="shared" si="22"/>
        <v>19.047619047619047</v>
      </c>
      <c r="EK13" s="687">
        <f>EK370</f>
        <v>72</v>
      </c>
      <c r="EL13" s="687">
        <f t="shared" si="23"/>
        <v>12.5</v>
      </c>
      <c r="EM13" s="687">
        <f>EM370</f>
        <v>71</v>
      </c>
      <c r="EN13" s="687">
        <f t="shared" si="24"/>
        <v>-4.0540540540540571</v>
      </c>
      <c r="EO13" s="687">
        <f>EO370</f>
        <v>79</v>
      </c>
      <c r="EP13" s="684">
        <f t="shared" si="25"/>
        <v>9.7222222222222321</v>
      </c>
      <c r="EQ13" s="687">
        <f t="shared" ref="EQ13" si="60">EQ370</f>
        <v>77.266012000000003</v>
      </c>
      <c r="ER13" s="684">
        <f t="shared" si="56"/>
        <v>3.0213493333333341</v>
      </c>
      <c r="ES13" s="687">
        <f t="shared" ref="ES13" si="61">ES370</f>
        <v>78.475265740000012</v>
      </c>
      <c r="ET13" s="684">
        <f t="shared" si="46"/>
        <v>8.9934246388889036</v>
      </c>
      <c r="EU13" s="687">
        <f t="shared" ref="EU13" si="62">EU370</f>
        <v>79.703663557300032</v>
      </c>
      <c r="EV13" s="684">
        <f t="shared" si="48"/>
        <v>12.258681066619758</v>
      </c>
      <c r="EW13" s="687">
        <f t="shared" ref="EW13" si="63">EW370</f>
        <v>80.951512718483372</v>
      </c>
      <c r="EX13" s="684">
        <f t="shared" si="50"/>
        <v>2.4702692639029911</v>
      </c>
      <c r="EZ13" s="590"/>
      <c r="FX13" s="701"/>
      <c r="GB13" s="699"/>
      <c r="GC13" s="685"/>
      <c r="GD13" s="687"/>
      <c r="GE13" s="685"/>
      <c r="GF13" s="687"/>
      <c r="GG13" s="685"/>
      <c r="GH13" s="687"/>
      <c r="GI13" s="685" t="str">
        <f t="shared" si="51"/>
        <v>NA</v>
      </c>
      <c r="GJ13" s="687">
        <f>GJ370</f>
        <v>240</v>
      </c>
      <c r="GK13" s="685" t="str">
        <f t="shared" si="51"/>
        <v>NA</v>
      </c>
      <c r="GL13" s="687">
        <f>GL370</f>
        <v>273</v>
      </c>
      <c r="GM13" s="685">
        <f t="shared" si="34"/>
        <v>13.749999999999996</v>
      </c>
      <c r="GN13" s="687">
        <f>GN370</f>
        <v>297</v>
      </c>
      <c r="GO13" s="685">
        <f t="shared" si="34"/>
        <v>8.7912087912087813</v>
      </c>
      <c r="GP13" s="687">
        <f>GP370</f>
        <v>316.39645401578309</v>
      </c>
      <c r="GQ13" s="685">
        <f t="shared" si="34"/>
        <v>6.5307925979067649</v>
      </c>
      <c r="GR13" s="687">
        <f>GR370</f>
        <v>369.42719461907711</v>
      </c>
      <c r="GS13" s="685">
        <f t="shared" si="34"/>
        <v>16.760851751090943</v>
      </c>
      <c r="GT13" s="687">
        <f>GT370</f>
        <v>402.67564213479449</v>
      </c>
      <c r="GU13" s="685">
        <f t="shared" si="34"/>
        <v>9.000000000000119</v>
      </c>
      <c r="GV13" s="687">
        <f>GV370</f>
        <v>438.91644992692551</v>
      </c>
      <c r="GW13" s="685">
        <f t="shared" si="34"/>
        <v>8.9999999999998757</v>
      </c>
      <c r="GX13" s="687">
        <f>GX370</f>
        <v>451.52328848730298</v>
      </c>
      <c r="GY13" s="685">
        <f t="shared" si="35"/>
        <v>2.8722638585262361</v>
      </c>
      <c r="GZ13" s="703">
        <f t="shared" si="36"/>
        <v>8.7388513709953699</v>
      </c>
      <c r="HA13" s="703"/>
      <c r="HC13"/>
      <c r="HD13"/>
      <c r="HE13"/>
      <c r="HF13"/>
      <c r="HG13"/>
      <c r="HH13"/>
    </row>
    <row r="14" spans="1:217" s="167" customFormat="1" ht="12.75" customHeight="1" x14ac:dyDescent="0.2">
      <c r="A14" s="581"/>
      <c r="B14" s="653" t="s">
        <v>692</v>
      </c>
      <c r="C14" s="654"/>
      <c r="D14" s="655"/>
      <c r="E14" s="654"/>
      <c r="F14" s="655"/>
      <c r="G14" s="654"/>
      <c r="H14" s="655"/>
      <c r="I14" s="654"/>
      <c r="J14" s="655"/>
      <c r="K14" s="654"/>
      <c r="L14" s="655"/>
      <c r="M14" s="654"/>
      <c r="N14" s="655"/>
      <c r="O14" s="654"/>
      <c r="P14" s="655"/>
      <c r="Q14" s="654"/>
      <c r="R14" s="655"/>
      <c r="S14" s="654"/>
      <c r="T14" s="655"/>
      <c r="U14" s="654"/>
      <c r="V14" s="655"/>
      <c r="W14" s="654"/>
      <c r="X14" s="655"/>
      <c r="Y14" s="654"/>
      <c r="Z14" s="655"/>
      <c r="AA14" s="654"/>
      <c r="AB14" s="655"/>
      <c r="AC14" s="654"/>
      <c r="AD14" s="655"/>
      <c r="AE14" s="654"/>
      <c r="AF14" s="655"/>
      <c r="AG14" s="654"/>
      <c r="AH14" s="655"/>
      <c r="AI14" s="654"/>
      <c r="AJ14" s="655"/>
      <c r="AK14" s="654"/>
      <c r="AL14" s="655"/>
      <c r="AM14" s="654"/>
      <c r="AN14" s="655"/>
      <c r="AO14" s="654"/>
      <c r="AP14" s="655"/>
      <c r="AQ14" s="652"/>
      <c r="AR14" s="156"/>
      <c r="AS14" s="652"/>
      <c r="AT14" s="156"/>
      <c r="AU14" s="652"/>
      <c r="AV14" s="156"/>
      <c r="AW14" s="652"/>
      <c r="AX14" s="156"/>
      <c r="AY14" s="652"/>
      <c r="AZ14" s="156"/>
      <c r="BA14" s="652"/>
      <c r="BB14" s="156"/>
      <c r="BC14" s="652"/>
      <c r="BD14" s="156"/>
      <c r="BE14" s="652"/>
      <c r="BF14" s="156"/>
      <c r="BG14" s="652"/>
      <c r="BH14" s="156"/>
      <c r="BI14" s="652"/>
      <c r="BJ14" s="156"/>
      <c r="BK14" s="652"/>
      <c r="BL14" s="156"/>
      <c r="BM14" s="652"/>
      <c r="BN14" s="156"/>
      <c r="BO14" s="652"/>
      <c r="BP14" s="156"/>
      <c r="BQ14" s="652"/>
      <c r="BR14" s="156"/>
      <c r="BS14" s="652"/>
      <c r="BT14" s="156"/>
      <c r="BU14" s="652"/>
      <c r="BV14" s="156"/>
      <c r="BW14" s="656"/>
      <c r="BX14" s="657"/>
      <c r="BY14" s="657"/>
      <c r="BZ14" s="654"/>
      <c r="CA14" s="656"/>
      <c r="CB14" s="654"/>
      <c r="CC14" s="656"/>
      <c r="CD14" s="654"/>
      <c r="CE14" s="656"/>
      <c r="CF14" s="654"/>
      <c r="CG14" s="656"/>
      <c r="CH14" s="654"/>
      <c r="CI14" s="656"/>
      <c r="CJ14" s="654"/>
      <c r="CK14" s="656"/>
      <c r="CL14" s="652"/>
      <c r="CM14" s="681"/>
      <c r="CN14" s="684"/>
      <c r="CO14" s="687"/>
      <c r="CP14" s="684"/>
      <c r="CQ14" s="699"/>
      <c r="CR14" s="684"/>
      <c r="CS14" s="687"/>
      <c r="CT14" s="684"/>
      <c r="CU14" s="687"/>
      <c r="CV14" s="684"/>
      <c r="CW14" s="687"/>
      <c r="CX14" s="684"/>
      <c r="CY14" s="687"/>
      <c r="CZ14" s="684"/>
      <c r="DA14" s="687"/>
      <c r="DB14" s="684"/>
      <c r="DC14" s="687"/>
      <c r="DD14" s="684"/>
      <c r="DE14" s="687"/>
      <c r="DF14" s="684"/>
      <c r="DG14" s="687"/>
      <c r="DH14" s="684"/>
      <c r="DI14" s="687"/>
      <c r="DJ14" s="684"/>
      <c r="DK14" s="687"/>
      <c r="DL14" s="684"/>
      <c r="DM14" s="687"/>
      <c r="DN14" s="684"/>
      <c r="DO14" s="687"/>
      <c r="DP14" s="684"/>
      <c r="DQ14" s="687"/>
      <c r="DR14" s="684"/>
      <c r="DS14" s="687">
        <f>DS503</f>
        <v>361</v>
      </c>
      <c r="DT14" s="684"/>
      <c r="DU14" s="687">
        <f>DU503</f>
        <v>373</v>
      </c>
      <c r="DV14" s="684"/>
      <c r="DW14" s="687">
        <f>DW503</f>
        <v>243</v>
      </c>
      <c r="DX14" s="684"/>
      <c r="DY14" s="687">
        <f>DY503</f>
        <v>265</v>
      </c>
      <c r="DZ14" s="684"/>
      <c r="EA14" s="687">
        <f>EA503</f>
        <v>267</v>
      </c>
      <c r="EB14" s="684"/>
      <c r="EC14" s="687">
        <f>EC503</f>
        <v>-33</v>
      </c>
      <c r="ED14" s="684"/>
      <c r="EE14" s="687">
        <f>EE503</f>
        <v>266</v>
      </c>
      <c r="EF14" s="687">
        <f t="shared" si="20"/>
        <v>9.4650205761316784</v>
      </c>
      <c r="EG14" s="687">
        <f>EG503</f>
        <v>201</v>
      </c>
      <c r="EH14" s="687"/>
      <c r="EI14" s="687">
        <f>EI503</f>
        <v>387</v>
      </c>
      <c r="EJ14" s="687"/>
      <c r="EK14" s="687">
        <f>EK503</f>
        <v>237</v>
      </c>
      <c r="EL14" s="687"/>
      <c r="EM14" s="687">
        <f>EM503</f>
        <v>364</v>
      </c>
      <c r="EN14" s="687"/>
      <c r="EO14" s="687">
        <f>EO503</f>
        <v>194</v>
      </c>
      <c r="EP14" s="684"/>
      <c r="EQ14" s="687">
        <f>EQ503</f>
        <v>250.87201721991224</v>
      </c>
      <c r="ER14" s="684"/>
      <c r="ES14" s="687">
        <f t="shared" ref="ES14" si="64">ES503</f>
        <v>246.55755393923096</v>
      </c>
      <c r="ET14" s="684"/>
      <c r="EU14" s="687">
        <f t="shared" ref="EU14" si="65">EU503</f>
        <v>243.99584278790275</v>
      </c>
      <c r="EV14" s="684"/>
      <c r="EW14" s="687">
        <f t="shared" ref="EW14" si="66">EW503</f>
        <v>240.85998423366195</v>
      </c>
      <c r="EX14" s="684"/>
      <c r="EZ14" s="590"/>
      <c r="FX14" s="701"/>
      <c r="GB14" s="699"/>
      <c r="GC14" s="685"/>
      <c r="GD14" s="687"/>
      <c r="GE14" s="685"/>
      <c r="GF14" s="687"/>
      <c r="GG14" s="685"/>
      <c r="GH14" s="687"/>
      <c r="GI14" s="685"/>
      <c r="GJ14" s="687">
        <f>GJ503</f>
        <v>1242</v>
      </c>
      <c r="GK14" s="685"/>
      <c r="GL14" s="687">
        <f>GL503</f>
        <v>701</v>
      </c>
      <c r="GM14" s="685">
        <f t="shared" si="34"/>
        <v>-43.558776167471827</v>
      </c>
      <c r="GN14" s="687">
        <f>GN503</f>
        <v>1182</v>
      </c>
      <c r="GO14" s="685">
        <f t="shared" si="34"/>
        <v>68.616262482168324</v>
      </c>
      <c r="GP14" s="687">
        <f>GP503</f>
        <v>982.28539818070885</v>
      </c>
      <c r="GQ14" s="685">
        <f t="shared" si="34"/>
        <v>-16.896328411107543</v>
      </c>
      <c r="GR14" s="687">
        <f>GR503</f>
        <v>891.9831797757048</v>
      </c>
      <c r="GS14" s="685">
        <f t="shared" si="34"/>
        <v>-9.1930734766344724</v>
      </c>
      <c r="GT14" s="687">
        <f>GT503</f>
        <v>803.76256455266844</v>
      </c>
      <c r="GU14" s="685">
        <f t="shared" si="34"/>
        <v>-9.8903900009885923</v>
      </c>
      <c r="GV14" s="687">
        <f>GV503</f>
        <v>722.75003292063093</v>
      </c>
      <c r="GW14" s="685">
        <f t="shared" si="34"/>
        <v>-10.079162081543913</v>
      </c>
      <c r="GX14" s="687">
        <f>GX503</f>
        <v>637.06022112696644</v>
      </c>
      <c r="GY14" s="685">
        <f t="shared" si="35"/>
        <v>-11.856078573582652</v>
      </c>
      <c r="GZ14" s="703">
        <f t="shared" si="36"/>
        <v>-11.628423569603664</v>
      </c>
      <c r="HA14" s="703"/>
      <c r="HC14"/>
      <c r="HD14"/>
      <c r="HE14"/>
      <c r="HF14"/>
      <c r="HG14"/>
      <c r="HH14"/>
    </row>
    <row r="15" spans="1:217" s="167" customFormat="1" ht="12.75" customHeight="1" x14ac:dyDescent="0.2">
      <c r="A15" s="581"/>
      <c r="B15" s="653" t="s">
        <v>117</v>
      </c>
      <c r="C15" s="654"/>
      <c r="D15" s="655"/>
      <c r="E15" s="654"/>
      <c r="F15" s="655"/>
      <c r="G15" s="654"/>
      <c r="H15" s="655"/>
      <c r="I15" s="654"/>
      <c r="J15" s="655"/>
      <c r="K15" s="654"/>
      <c r="L15" s="655"/>
      <c r="M15" s="654"/>
      <c r="N15" s="655"/>
      <c r="O15" s="654"/>
      <c r="P15" s="655"/>
      <c r="Q15" s="654"/>
      <c r="R15" s="655"/>
      <c r="S15" s="654"/>
      <c r="T15" s="655"/>
      <c r="U15" s="654"/>
      <c r="V15" s="655"/>
      <c r="W15" s="654"/>
      <c r="X15" s="655"/>
      <c r="Y15" s="654"/>
      <c r="Z15" s="655"/>
      <c r="AA15" s="654"/>
      <c r="AB15" s="655"/>
      <c r="AC15" s="654"/>
      <c r="AD15" s="655"/>
      <c r="AE15" s="654"/>
      <c r="AF15" s="655"/>
      <c r="AG15" s="654"/>
      <c r="AH15" s="655"/>
      <c r="AI15" s="654"/>
      <c r="AJ15" s="655"/>
      <c r="AK15" s="654"/>
      <c r="AL15" s="655"/>
      <c r="AM15" s="654"/>
      <c r="AN15" s="655"/>
      <c r="AO15" s="654"/>
      <c r="AP15" s="655"/>
      <c r="AQ15" s="652"/>
      <c r="AR15" s="156"/>
      <c r="AS15" s="652"/>
      <c r="AT15" s="156"/>
      <c r="AU15" s="652"/>
      <c r="AV15" s="156"/>
      <c r="AW15" s="652"/>
      <c r="AX15" s="156"/>
      <c r="AY15" s="652"/>
      <c r="AZ15" s="156"/>
      <c r="BA15" s="652"/>
      <c r="BB15" s="156"/>
      <c r="BC15" s="652"/>
      <c r="BD15" s="156"/>
      <c r="BE15" s="652"/>
      <c r="BF15" s="156"/>
      <c r="BG15" s="652"/>
      <c r="BH15" s="156"/>
      <c r="BI15" s="652"/>
      <c r="BJ15" s="156"/>
      <c r="BK15" s="652"/>
      <c r="BL15" s="156"/>
      <c r="BM15" s="652"/>
      <c r="BN15" s="156"/>
      <c r="BO15" s="652"/>
      <c r="BP15" s="156"/>
      <c r="BQ15" s="652"/>
      <c r="BR15" s="156"/>
      <c r="BS15" s="652"/>
      <c r="BT15" s="156"/>
      <c r="BU15" s="652"/>
      <c r="BV15" s="156"/>
      <c r="BW15" s="656"/>
      <c r="BX15" s="657"/>
      <c r="BY15" s="657"/>
      <c r="BZ15" s="654"/>
      <c r="CA15" s="656"/>
      <c r="CB15" s="654"/>
      <c r="CC15" s="656"/>
      <c r="CD15" s="654"/>
      <c r="CE15" s="656"/>
      <c r="CF15" s="654"/>
      <c r="CG15" s="656"/>
      <c r="CH15" s="654"/>
      <c r="CI15" s="656"/>
      <c r="CJ15" s="654"/>
      <c r="CK15" s="656"/>
      <c r="CL15" s="652"/>
      <c r="CM15" s="681"/>
      <c r="CN15" s="684"/>
      <c r="CO15" s="687"/>
      <c r="CP15" s="684"/>
      <c r="CQ15" s="699"/>
      <c r="CR15" s="684"/>
      <c r="CS15" s="687"/>
      <c r="CT15" s="684"/>
      <c r="CU15" s="687"/>
      <c r="CV15" s="684"/>
      <c r="CW15" s="687"/>
      <c r="CX15" s="684"/>
      <c r="CY15" s="687"/>
      <c r="CZ15" s="684"/>
      <c r="DA15" s="687"/>
      <c r="DB15" s="684"/>
      <c r="DC15" s="687"/>
      <c r="DD15" s="684"/>
      <c r="DE15" s="687"/>
      <c r="DF15" s="684"/>
      <c r="DG15" s="687"/>
      <c r="DH15" s="684"/>
      <c r="DI15" s="687"/>
      <c r="DJ15" s="684" t="str">
        <f>IF(ISERROR((DI15/DA15-1)*100),"NA",IF(((DI15/DA15-1)*100)&gt;100,"NM",IF(((DI15/DA15-1)*100)&lt;-50,"NM",(DI15/DA15-1)*100)))</f>
        <v>NA</v>
      </c>
      <c r="DK15" s="687"/>
      <c r="DL15" s="684"/>
      <c r="DM15" s="687"/>
      <c r="DN15" s="684"/>
      <c r="DO15" s="687"/>
      <c r="DP15" s="684"/>
      <c r="DQ15" s="687"/>
      <c r="DR15" s="684" t="str">
        <f>IF(ISERROR((DQ15/DI15-1)*100),"NA",IF(((DQ15/DI15-1)*100)&gt;100,"NM",IF(((DQ15/DI15-1)*100)&lt;-50,"NM",(DQ15/DI15-1)*100)))</f>
        <v>NA</v>
      </c>
      <c r="DS15" s="687">
        <f>DS541</f>
        <v>-151</v>
      </c>
      <c r="DT15" s="684" t="str">
        <f>IF(ISERROR((DS15/DK15-1)*100),"NA",IF(((DS15/DK15-1)*100)&gt;100,"NM",IF(((DS15/DK15-1)*100)&lt;-50,"NM",(DS15/DK15-1)*100)))</f>
        <v>NA</v>
      </c>
      <c r="DU15" s="687">
        <f>DU541</f>
        <v>-176</v>
      </c>
      <c r="DV15" s="684" t="str">
        <f>IF(ISERROR((DU15/DM15-1)*100),"NA",IF(((DU15/DM15-1)*100)&gt;100,"NM",IF(((DU15/DM15-1)*100)&lt;-50,"NM",(DU15/DM15-1)*100)))</f>
        <v>NA</v>
      </c>
      <c r="DW15" s="687">
        <f>DW541</f>
        <v>-983</v>
      </c>
      <c r="DX15" s="684" t="str">
        <f>IF(ISERROR((DW15/DO15-1)*100),"NA",IF(((DW15/DO15-1)*100)&gt;100,"NM",IF(((DW15/DO15-1)*100)&lt;-50,"NM",(DW15/DO15-1)*100)))</f>
        <v>NA</v>
      </c>
      <c r="DY15" s="687">
        <f>DY541</f>
        <v>-210</v>
      </c>
      <c r="DZ15" s="684" t="str">
        <f>IF(ISERROR((DY15/DQ15-1)*100),"NA",IF(((DY15/DQ15-1)*100)&gt;100,"NM",IF(((DY15/DQ15-1)*100)&lt;-50,"NM",(DY15/DQ15-1)*100)))</f>
        <v>NA</v>
      </c>
      <c r="EA15" s="687">
        <f>EA541</f>
        <v>-190</v>
      </c>
      <c r="EB15" s="684">
        <f>IF(ISERROR((EA15/DS15-1)*100),"NA",IF(((EA15/DS15-1)*100)&gt;100,"NM",IF(((EA15/DS15-1)*100)&lt;-50,"NM",(EA15/DS15-1)*100)))</f>
        <v>25.827814569536422</v>
      </c>
      <c r="EC15" s="687">
        <f>EC541</f>
        <v>-244</v>
      </c>
      <c r="ED15" s="684">
        <f>IF(ISERROR((EC15/DU15-1)*100),"NA",IF(((EC15/DU15-1)*100)&gt;100,"NM",IF(((EC15/DU15-1)*100)&lt;-50,"NM",(EC15/DU15-1)*100)))</f>
        <v>38.636363636363647</v>
      </c>
      <c r="EE15" s="687">
        <f>EE541</f>
        <v>6</v>
      </c>
      <c r="EF15" s="687" t="str">
        <f>IF(ISERROR((EE15/DW15-1)*100),"NA",IF(((EE15/DW15-1)*100)&gt;100,"NM",IF(((EE15/DW15-1)*100)&lt;-50,"NM",(EE15/DW15-1)*100)))</f>
        <v>NM</v>
      </c>
      <c r="EG15" s="687">
        <f>EG541</f>
        <v>-203</v>
      </c>
      <c r="EH15" s="687">
        <f>IF(ISERROR((EG15/DY15-1)*100),"NA",IF(((EG15/DY15-1)*100)&gt;100,"NM",IF(((EG15/DY15-1)*100)&lt;-50,"NM",(EG15/DY15-1)*100)))</f>
        <v>-3.3333333333333326</v>
      </c>
      <c r="EI15" s="687">
        <f>EI541</f>
        <v>-76</v>
      </c>
      <c r="EJ15" s="687" t="str">
        <f>IF(ISERROR((EI15/EA15-1)*100),"NA",IF(((EI15/EA15-1)*100)&gt;100,"NM",IF(((EI15/EA15-1)*100)&lt;-50,"NM",(EI15/EA15-1)*100)))</f>
        <v>NM</v>
      </c>
      <c r="EK15" s="687">
        <f>EK541</f>
        <v>-145</v>
      </c>
      <c r="EL15" s="687">
        <f>IF(ISERROR((EK15/EC15-1)*100),"NA",IF(((EK15/EC15-1)*100)&gt;100,"NM",IF(((EK15/EC15-1)*100)&lt;-50,"NM",(EK15/EC15-1)*100)))</f>
        <v>-40.573770491803273</v>
      </c>
      <c r="EM15" s="687">
        <f>EM541</f>
        <v>-336</v>
      </c>
      <c r="EN15" s="687" t="str">
        <f>IF(ISERROR((EM15/EE15-1)*100),"NA",IF(((EM15/EE15-1)*100)&gt;100,"NM",IF(((EM15/EE15-1)*100)&lt;-50,"NM",(EM15/EE15-1)*100)))</f>
        <v>NM</v>
      </c>
      <c r="EO15" s="687">
        <f>EO541</f>
        <v>-528</v>
      </c>
      <c r="EP15" s="684" t="str">
        <f>IF(ISERROR((EO15/EG15-1)*100),"NA",IF(((EO15/EG15-1)*100)&gt;100,"NM",IF(((EO15/EG15-1)*100)&lt;-50,"NM",(EO15/EG15-1)*100)))</f>
        <v>NM</v>
      </c>
      <c r="EQ15" s="687">
        <f>EQ541</f>
        <v>-202.60850000000002</v>
      </c>
      <c r="ER15" s="684" t="str">
        <f>IF(ISERROR((EQ15/EI15-1)*100),"NA",IF(((EQ15/EI15-1)*100)&gt;100,"NM",IF(((EQ15/EI15-1)*100)&lt;-50,"NM",(EQ15/EI15-1)*100)))</f>
        <v>NM</v>
      </c>
      <c r="ES15" s="687">
        <f t="shared" ref="ES15" si="67">ES541</f>
        <v>-203.641785</v>
      </c>
      <c r="ET15" s="684">
        <f t="shared" ref="ET15" si="68">IF(ISERROR((ES15/EK15-1)*100),"NA",IF(((ES15/EK15-1)*100)&gt;100,"NM",IF(((ES15/EK15-1)*100)&lt;-50,"NM",(ES15/EK15-1)*100)))</f>
        <v>40.442610344827592</v>
      </c>
      <c r="EU15" s="687">
        <f t="shared" ref="EU15" si="69">EU541</f>
        <v>-204.68540284999997</v>
      </c>
      <c r="EV15" s="684">
        <f t="shared" ref="EV15" si="70">IF(ISERROR((EU15/EM15-1)*100),"NA",IF(((EU15/EM15-1)*100)&gt;100,"NM",IF(((EU15/EM15-1)*100)&lt;-50,"NM",(EU15/EM15-1)*100)))</f>
        <v>-39.081725342261905</v>
      </c>
      <c r="EW15" s="687">
        <f t="shared" ref="EW15" si="71">EW541</f>
        <v>-205.73945687849999</v>
      </c>
      <c r="EX15" s="684" t="str">
        <f t="shared" ref="EX15" si="72">IF(ISERROR((EW15/EO15-1)*100),"NA",IF(((EW15/EO15-1)*100)&gt;100,"NM",IF(((EW15/EO15-1)*100)&lt;-50,"NM",(EW15/EO15-1)*100)))</f>
        <v>NM</v>
      </c>
      <c r="EZ15" s="590"/>
      <c r="FX15" s="701"/>
      <c r="GB15" s="699"/>
      <c r="GC15" s="685"/>
      <c r="GD15" s="687"/>
      <c r="GE15" s="685"/>
      <c r="GF15" s="687"/>
      <c r="GG15" s="685"/>
      <c r="GH15" s="687"/>
      <c r="GI15" s="685" t="str">
        <f>IF(ISERROR((GH15/GF15-1)*100),"NA",IF(((GH15/GF15-1)*100)&gt;100,"NM",IF(((GH15/GF15-1)*100)&lt;-50,"NM",(GH15/GF15-1)*100)))</f>
        <v>NA</v>
      </c>
      <c r="GJ15" s="687">
        <f>GJ541</f>
        <v>-1520</v>
      </c>
      <c r="GK15" s="685" t="str">
        <f>IF(ISERROR((GJ15/GH15-1)*100),"NA",IF(((GJ15/GH15-1)*100)&gt;100,"NM",IF(((GJ15/GH15-1)*100)&lt;-50,"NM",(GJ15/GH15-1)*100)))</f>
        <v>NA</v>
      </c>
      <c r="GL15" s="687">
        <f>GL541</f>
        <v>-631</v>
      </c>
      <c r="GM15" s="685" t="str">
        <f t="shared" si="34"/>
        <v>NM</v>
      </c>
      <c r="GN15" s="687">
        <f>GN541</f>
        <v>-1085</v>
      </c>
      <c r="GO15" s="685">
        <f t="shared" si="34"/>
        <v>71.949286846275754</v>
      </c>
      <c r="GP15" s="687">
        <f>GP541</f>
        <v>-816.67514472850007</v>
      </c>
      <c r="GQ15" s="685">
        <f t="shared" si="34"/>
        <v>-24.730401407511515</v>
      </c>
      <c r="GR15" s="687">
        <f>GR541</f>
        <v>-817.4698606120719</v>
      </c>
      <c r="GS15" s="685">
        <f t="shared" si="34"/>
        <v>9.7311138792655072E-2</v>
      </c>
      <c r="GT15" s="687">
        <f>GT541</f>
        <v>-733.9362878157126</v>
      </c>
      <c r="GU15" s="685">
        <f t="shared" si="34"/>
        <v>-10.218550777372315</v>
      </c>
      <c r="GV15" s="687">
        <f>GV541</f>
        <v>-720.48130331143943</v>
      </c>
      <c r="GW15" s="685">
        <f t="shared" si="34"/>
        <v>-1.8332632856071118</v>
      </c>
      <c r="GX15" s="687">
        <f>GX541</f>
        <v>-707.09954279361193</v>
      </c>
      <c r="GY15" s="685">
        <f t="shared" si="35"/>
        <v>-1.8573362634565216</v>
      </c>
      <c r="GZ15" s="703">
        <f t="shared" si="36"/>
        <v>-8.2068732153570583</v>
      </c>
      <c r="HA15" s="703"/>
      <c r="HC15"/>
      <c r="HD15"/>
      <c r="HE15"/>
      <c r="HF15"/>
      <c r="HG15"/>
      <c r="HH15"/>
    </row>
    <row r="16" spans="1:217" s="167" customFormat="1" ht="12.75" hidden="1" customHeight="1" outlineLevel="1" x14ac:dyDescent="0.2">
      <c r="A16" s="581"/>
      <c r="B16" s="653" t="s">
        <v>693</v>
      </c>
      <c r="C16" s="654"/>
      <c r="D16" s="655"/>
      <c r="E16" s="654"/>
      <c r="F16" s="655"/>
      <c r="G16" s="654"/>
      <c r="H16" s="655"/>
      <c r="I16" s="654"/>
      <c r="J16" s="655"/>
      <c r="K16" s="654"/>
      <c r="L16" s="655"/>
      <c r="M16" s="654"/>
      <c r="N16" s="655"/>
      <c r="O16" s="654"/>
      <c r="P16" s="655"/>
      <c r="Q16" s="654"/>
      <c r="R16" s="655"/>
      <c r="S16" s="654"/>
      <c r="T16" s="655"/>
      <c r="U16" s="654"/>
      <c r="V16" s="655"/>
      <c r="W16" s="654"/>
      <c r="X16" s="655"/>
      <c r="Y16" s="654"/>
      <c r="Z16" s="655"/>
      <c r="AA16" s="654"/>
      <c r="AB16" s="655"/>
      <c r="AC16" s="654"/>
      <c r="AD16" s="655"/>
      <c r="AE16" s="654"/>
      <c r="AF16" s="655"/>
      <c r="AG16" s="654"/>
      <c r="AH16" s="655"/>
      <c r="AI16" s="654"/>
      <c r="AJ16" s="655"/>
      <c r="AK16" s="654"/>
      <c r="AL16" s="655"/>
      <c r="AM16" s="654"/>
      <c r="AN16" s="655"/>
      <c r="AO16" s="654"/>
      <c r="AP16" s="655"/>
      <c r="AQ16" s="652"/>
      <c r="AR16" s="156"/>
      <c r="AS16" s="652"/>
      <c r="AT16" s="156"/>
      <c r="AU16" s="652"/>
      <c r="AV16" s="156"/>
      <c r="AW16" s="652"/>
      <c r="AX16" s="156"/>
      <c r="AY16" s="652"/>
      <c r="AZ16" s="156"/>
      <c r="BA16" s="652"/>
      <c r="BB16" s="156"/>
      <c r="BC16" s="652"/>
      <c r="BD16" s="156"/>
      <c r="BE16" s="652"/>
      <c r="BF16" s="156"/>
      <c r="BG16" s="652"/>
      <c r="BH16" s="156"/>
      <c r="BI16" s="652"/>
      <c r="BJ16" s="156"/>
      <c r="BK16" s="652"/>
      <c r="BL16" s="156"/>
      <c r="BM16" s="652"/>
      <c r="BN16" s="156"/>
      <c r="BO16" s="652"/>
      <c r="BP16" s="156"/>
      <c r="BQ16" s="652"/>
      <c r="BR16" s="156"/>
      <c r="BS16" s="652"/>
      <c r="BT16" s="156"/>
      <c r="BU16" s="652"/>
      <c r="BV16" s="156"/>
      <c r="BW16" s="656"/>
      <c r="BX16" s="657"/>
      <c r="BY16" s="657"/>
      <c r="BZ16" s="654"/>
      <c r="CA16" s="656"/>
      <c r="CB16" s="654"/>
      <c r="CC16" s="656"/>
      <c r="CD16" s="654"/>
      <c r="CE16" s="656"/>
      <c r="CF16" s="654"/>
      <c r="CG16" s="656"/>
      <c r="CH16" s="654"/>
      <c r="CI16" s="656"/>
      <c r="CJ16" s="654"/>
      <c r="CK16" s="656"/>
      <c r="CL16" s="652"/>
      <c r="CM16" s="681"/>
      <c r="CN16" s="684"/>
      <c r="CO16" s="687"/>
      <c r="CP16" s="684"/>
      <c r="CQ16" s="699"/>
      <c r="CR16" s="684"/>
      <c r="CS16" s="687"/>
      <c r="CT16" s="684"/>
      <c r="CU16" s="687"/>
      <c r="CV16" s="684"/>
      <c r="CW16" s="687"/>
      <c r="CX16" s="684"/>
      <c r="CY16" s="687"/>
      <c r="CZ16" s="684"/>
      <c r="DA16" s="687"/>
      <c r="DB16" s="684"/>
      <c r="DC16" s="687"/>
      <c r="DD16" s="684"/>
      <c r="DE16" s="687"/>
      <c r="DF16" s="684"/>
      <c r="DG16" s="687"/>
      <c r="DH16" s="684"/>
      <c r="DI16" s="687"/>
      <c r="DJ16" s="684"/>
      <c r="DK16" s="687"/>
      <c r="DL16" s="684"/>
      <c r="DM16" s="687"/>
      <c r="DN16" s="684"/>
      <c r="DO16" s="687"/>
      <c r="DP16" s="684"/>
      <c r="DQ16" s="687"/>
      <c r="DR16" s="684"/>
      <c r="DS16" s="687">
        <f>DS579</f>
        <v>0</v>
      </c>
      <c r="DT16" s="684"/>
      <c r="DU16" s="687">
        <f>DU579</f>
        <v>0</v>
      </c>
      <c r="DV16" s="684"/>
      <c r="DW16" s="687">
        <f>DW579</f>
        <v>0</v>
      </c>
      <c r="DX16" s="684"/>
      <c r="DY16" s="687">
        <f>DY579</f>
        <v>0</v>
      </c>
      <c r="DZ16" s="684"/>
      <c r="EA16" s="687">
        <f>EA579</f>
        <v>0</v>
      </c>
      <c r="EB16" s="684"/>
      <c r="EC16" s="687">
        <f>EC579</f>
        <v>0</v>
      </c>
      <c r="ED16" s="684"/>
      <c r="EE16" s="687">
        <f>EE579</f>
        <v>0</v>
      </c>
      <c r="EF16" s="687" t="str">
        <f t="shared" si="20"/>
        <v>NA</v>
      </c>
      <c r="EG16" s="687">
        <f>EG579</f>
        <v>0</v>
      </c>
      <c r="EH16" s="687"/>
      <c r="EI16" s="687">
        <f>EI579</f>
        <v>0</v>
      </c>
      <c r="EJ16" s="687"/>
      <c r="EK16" s="687">
        <f>EK579</f>
        <v>0</v>
      </c>
      <c r="EL16" s="687"/>
      <c r="EM16" s="687">
        <f>EM579</f>
        <v>0</v>
      </c>
      <c r="EN16" s="687"/>
      <c r="EO16" s="687">
        <f>EO579</f>
        <v>0</v>
      </c>
      <c r="EP16" s="684"/>
      <c r="EQ16" s="687">
        <f>EQ579</f>
        <v>0</v>
      </c>
      <c r="ER16" s="684"/>
      <c r="ES16" s="687">
        <f t="shared" ref="ES16" si="73">ES579</f>
        <v>0</v>
      </c>
      <c r="ET16" s="684"/>
      <c r="EU16" s="687">
        <f t="shared" ref="EU16" si="74">EU579</f>
        <v>0</v>
      </c>
      <c r="EV16" s="684"/>
      <c r="EW16" s="687">
        <f t="shared" ref="EW16" si="75">EW579</f>
        <v>0</v>
      </c>
      <c r="EX16" s="684"/>
      <c r="EZ16" s="590"/>
      <c r="FX16" s="701"/>
      <c r="GB16" s="699"/>
      <c r="GC16" s="685"/>
      <c r="GD16" s="687"/>
      <c r="GE16" s="685"/>
      <c r="GF16" s="687"/>
      <c r="GG16" s="685"/>
      <c r="GH16" s="687"/>
      <c r="GI16" s="685"/>
      <c r="GJ16" s="687">
        <f>GJ579</f>
        <v>0</v>
      </c>
      <c r="GK16" s="685"/>
      <c r="GL16" s="687">
        <f>GL579</f>
        <v>0</v>
      </c>
      <c r="GM16" s="685" t="str">
        <f t="shared" si="34"/>
        <v>NA</v>
      </c>
      <c r="GN16" s="687">
        <f>GN579</f>
        <v>0</v>
      </c>
      <c r="GO16" s="685" t="str">
        <f t="shared" si="34"/>
        <v>NA</v>
      </c>
      <c r="GP16" s="687">
        <f>GP579</f>
        <v>0</v>
      </c>
      <c r="GQ16" s="685" t="str">
        <f t="shared" si="34"/>
        <v>NA</v>
      </c>
      <c r="GR16" s="687">
        <f>GR579</f>
        <v>0</v>
      </c>
      <c r="GS16" s="685" t="str">
        <f t="shared" si="34"/>
        <v>NA</v>
      </c>
      <c r="GT16" s="687">
        <f>GT579</f>
        <v>0</v>
      </c>
      <c r="GU16" s="685" t="str">
        <f t="shared" si="34"/>
        <v>NA</v>
      </c>
      <c r="GV16" s="687">
        <f>GV579</f>
        <v>0</v>
      </c>
      <c r="GW16" s="685" t="str">
        <f t="shared" si="34"/>
        <v>NA</v>
      </c>
      <c r="GX16" s="687">
        <f>GX579</f>
        <v>0</v>
      </c>
      <c r="GY16" s="685" t="str">
        <f t="shared" si="35"/>
        <v>NA</v>
      </c>
      <c r="GZ16" s="703" t="str">
        <f t="shared" si="36"/>
        <v>NA</v>
      </c>
      <c r="HA16" s="703"/>
      <c r="HC16"/>
      <c r="HD16"/>
      <c r="HE16"/>
      <c r="HF16"/>
      <c r="HG16"/>
      <c r="HH16"/>
    </row>
    <row r="17" spans="1:217" s="651" customFormat="1" ht="12.75" customHeight="1" collapsed="1" x14ac:dyDescent="0.2">
      <c r="B17" s="680" t="s">
        <v>18</v>
      </c>
      <c r="L17" s="682"/>
      <c r="N17" s="682"/>
      <c r="P17" s="682"/>
      <c r="R17" s="682"/>
      <c r="T17" s="682"/>
      <c r="V17" s="682"/>
      <c r="X17" s="682"/>
      <c r="Z17" s="682"/>
      <c r="AB17" s="682"/>
      <c r="AD17" s="682"/>
      <c r="AF17" s="682"/>
      <c r="AH17" s="682"/>
      <c r="AJ17" s="682"/>
      <c r="AL17" s="682"/>
      <c r="AN17" s="682"/>
      <c r="AP17" s="682"/>
      <c r="AR17" s="682"/>
      <c r="AT17" s="682"/>
      <c r="AV17" s="682"/>
      <c r="AX17" s="682"/>
      <c r="AZ17" s="682"/>
      <c r="BB17" s="682"/>
      <c r="BD17" s="682"/>
      <c r="BF17" s="682"/>
      <c r="BH17" s="682"/>
      <c r="BJ17" s="682"/>
      <c r="BL17" s="682"/>
      <c r="BN17" s="682"/>
      <c r="BP17" s="682"/>
      <c r="BR17" s="682"/>
      <c r="BT17" s="682"/>
      <c r="BV17" s="682"/>
      <c r="BX17" s="682"/>
      <c r="BZ17" s="682"/>
      <c r="CB17" s="682"/>
      <c r="CD17" s="682"/>
      <c r="CF17" s="682"/>
      <c r="CH17" s="682"/>
      <c r="CJ17" s="682"/>
      <c r="CL17" s="682"/>
      <c r="CM17" s="705"/>
      <c r="CN17" s="685"/>
      <c r="CO17" s="705"/>
      <c r="CP17" s="685"/>
      <c r="CQ17" s="706"/>
      <c r="CR17" s="685"/>
      <c r="CS17" s="705"/>
      <c r="CT17" s="685"/>
      <c r="CU17" s="705"/>
      <c r="CV17" s="685"/>
      <c r="CW17" s="705"/>
      <c r="CX17" s="685"/>
      <c r="CY17" s="705"/>
      <c r="CZ17" s="685"/>
      <c r="DA17" s="705"/>
      <c r="DB17" s="685"/>
      <c r="DC17" s="705"/>
      <c r="DD17" s="685"/>
      <c r="DE17" s="705"/>
      <c r="DF17" s="685"/>
      <c r="DG17" s="705"/>
      <c r="DH17" s="685"/>
      <c r="DI17" s="705"/>
      <c r="DJ17" s="685" t="str">
        <f t="shared" si="16"/>
        <v>NA</v>
      </c>
      <c r="DK17" s="705"/>
      <c r="DL17" s="685"/>
      <c r="DM17" s="705"/>
      <c r="DN17" s="685"/>
      <c r="DO17" s="705"/>
      <c r="DP17" s="685"/>
      <c r="DQ17" s="705"/>
      <c r="DR17" s="685" t="str">
        <f t="shared" si="17"/>
        <v>NA</v>
      </c>
      <c r="DS17" s="705">
        <f>SUM(DS10:DS16)</f>
        <v>1266</v>
      </c>
      <c r="DT17" s="685" t="str">
        <f t="shared" si="17"/>
        <v>NA</v>
      </c>
      <c r="DU17" s="705">
        <f>SUM(DU10:DU16)</f>
        <v>1359</v>
      </c>
      <c r="DV17" s="685" t="str">
        <f t="shared" si="17"/>
        <v>NA</v>
      </c>
      <c r="DW17" s="705">
        <f>SUM(DW10:DW16)</f>
        <v>358</v>
      </c>
      <c r="DX17" s="685" t="str">
        <f t="shared" si="17"/>
        <v>NA</v>
      </c>
      <c r="DY17" s="705">
        <f>SUM(DY10:DY16)</f>
        <v>988</v>
      </c>
      <c r="DZ17" s="685" t="str">
        <f t="shared" si="17"/>
        <v>NA</v>
      </c>
      <c r="EA17" s="705">
        <f>SUM(EA10:EA15)</f>
        <v>1002</v>
      </c>
      <c r="EB17" s="685">
        <f t="shared" si="18"/>
        <v>-20.853080568720383</v>
      </c>
      <c r="EC17" s="705">
        <f>SUM(EC10:EC15)</f>
        <v>626</v>
      </c>
      <c r="ED17" s="685" t="str">
        <f t="shared" si="19"/>
        <v>NM</v>
      </c>
      <c r="EE17" s="705">
        <f>SUM(EE10:EE15)</f>
        <v>1355</v>
      </c>
      <c r="EF17" s="705" t="str">
        <f t="shared" si="20"/>
        <v>NM</v>
      </c>
      <c r="EG17" s="705">
        <f>SUM(EG10:EG15)</f>
        <v>1057</v>
      </c>
      <c r="EH17" s="705">
        <f t="shared" si="21"/>
        <v>6.9838056680161964</v>
      </c>
      <c r="EI17" s="705">
        <f>SUM(EI10:EI15)</f>
        <v>1321</v>
      </c>
      <c r="EJ17" s="705">
        <f t="shared" si="22"/>
        <v>31.836327345309389</v>
      </c>
      <c r="EK17" s="705">
        <f>SUM(EK10:EK15)</f>
        <v>1121</v>
      </c>
      <c r="EL17" s="705">
        <f t="shared" si="23"/>
        <v>79.073482428115</v>
      </c>
      <c r="EM17" s="705">
        <f>SUM(EM10:EM15)</f>
        <v>1115</v>
      </c>
      <c r="EN17" s="705">
        <f t="shared" si="24"/>
        <v>-17.712177121771223</v>
      </c>
      <c r="EO17" s="705">
        <f>SUM(EO10:EO15)</f>
        <v>678</v>
      </c>
      <c r="EP17" s="685">
        <f t="shared" si="25"/>
        <v>-35.856196783349105</v>
      </c>
      <c r="EQ17" s="705">
        <f>SUM(EQ10:EQ15)</f>
        <v>1227.8759053276194</v>
      </c>
      <c r="ER17" s="685">
        <f t="shared" ref="ER17" si="76">IF(ISERROR((EQ17/EI17-1)*100),"NA",IF(((EQ17/EI17-1)*100)&gt;100,"NM",IF(((EQ17/EI17-1)*100)&lt;-50,"NM",(EQ17/EI17-1)*100)))</f>
        <v>-7.049515115244553</v>
      </c>
      <c r="ES17" s="705">
        <f>SUM(ES10:ES15)</f>
        <v>1227.0519622517065</v>
      </c>
      <c r="ET17" s="685">
        <f t="shared" ref="ET17" si="77">IF(ISERROR((ES17/EK17-1)*100),"NA",IF(((ES17/EK17-1)*100)&gt;100,"NM",IF(((ES17/EK17-1)*100)&lt;-50,"NM",(ES17/EK17-1)*100)))</f>
        <v>9.460478345379709</v>
      </c>
      <c r="EU17" s="705">
        <f>SUM(EU10:EU15)</f>
        <v>1240.6753955390393</v>
      </c>
      <c r="EV17" s="685">
        <f t="shared" ref="EV17" si="78">IF(ISERROR((EU17/EM17-1)*100),"NA",IF(((EU17/EM17-1)*100)&gt;100,"NM",IF(((EU17/EM17-1)*100)&lt;-50,"NM",(EU17/EM17-1)*100)))</f>
        <v>11.271335922783798</v>
      </c>
      <c r="EW17" s="705">
        <f>SUM(EW10:EW15)</f>
        <v>1252.7110350702383</v>
      </c>
      <c r="EX17" s="685">
        <f t="shared" ref="EX17" si="79">IF(ISERROR((EW17/EO17-1)*100),"NA",IF(((EW17/EO17-1)*100)&gt;100,"NM",IF(((EW17/EO17-1)*100)&lt;-50,"NM",(EW17/EO17-1)*100)))</f>
        <v>84.765639390890584</v>
      </c>
      <c r="EZ17" s="590"/>
      <c r="FE17" s="682"/>
      <c r="FG17" s="682"/>
      <c r="FI17" s="682"/>
      <c r="FK17" s="682"/>
      <c r="FM17" s="682"/>
      <c r="FO17" s="682"/>
      <c r="FQ17" s="682"/>
      <c r="FS17" s="682"/>
      <c r="FU17" s="682"/>
      <c r="FW17" s="682"/>
      <c r="FX17" s="707"/>
      <c r="FY17" s="682"/>
      <c r="GA17" s="682"/>
      <c r="GB17" s="706"/>
      <c r="GC17" s="685"/>
      <c r="GD17" s="705"/>
      <c r="GE17" s="685"/>
      <c r="GF17" s="705"/>
      <c r="GG17" s="685"/>
      <c r="GH17" s="705"/>
      <c r="GI17" s="685" t="str">
        <f t="shared" si="51"/>
        <v>NA</v>
      </c>
      <c r="GJ17" s="705">
        <f>SUM(GJ10:GJ15)</f>
        <v>3971</v>
      </c>
      <c r="GK17" s="685" t="str">
        <f t="shared" si="51"/>
        <v>NA</v>
      </c>
      <c r="GL17" s="705">
        <f>SUM(GL10:GL15)</f>
        <v>4040</v>
      </c>
      <c r="GM17" s="685">
        <f t="shared" si="34"/>
        <v>1.7375975824729384</v>
      </c>
      <c r="GN17" s="705">
        <f>SUM(GN10:GN15)</f>
        <v>4235</v>
      </c>
      <c r="GO17" s="685">
        <f t="shared" si="34"/>
        <v>4.8267326732673199</v>
      </c>
      <c r="GP17" s="705">
        <f>SUM(GP10:GP15)</f>
        <v>4948.3142981886067</v>
      </c>
      <c r="GQ17" s="685">
        <f t="shared" si="34"/>
        <v>16.843312826177261</v>
      </c>
      <c r="GR17" s="705">
        <f>SUM(GR10:GR15)</f>
        <v>5136.7764122477884</v>
      </c>
      <c r="GS17" s="685">
        <f t="shared" si="34"/>
        <v>3.8086124425881884</v>
      </c>
      <c r="GT17" s="705">
        <f>SUM(GT10:GT15)</f>
        <v>5337.7113438185679</v>
      </c>
      <c r="GU17" s="685">
        <f t="shared" si="34"/>
        <v>3.9116931601633098</v>
      </c>
      <c r="GV17" s="705">
        <f>SUM(GV10:GV15)</f>
        <v>5496.0002922144986</v>
      </c>
      <c r="GW17" s="685">
        <f t="shared" si="34"/>
        <v>2.9654834853375833</v>
      </c>
      <c r="GX17" s="705">
        <f>SUM(GX10:GX15)</f>
        <v>5606.6769994248825</v>
      </c>
      <c r="GY17" s="685">
        <f t="shared" si="35"/>
        <v>2.0137682191750494</v>
      </c>
      <c r="GZ17" s="685">
        <f t="shared" si="36"/>
        <v>5.771928922931302</v>
      </c>
      <c r="HA17" s="685"/>
      <c r="HC17"/>
      <c r="HD17"/>
      <c r="HE17"/>
      <c r="HF17"/>
      <c r="HG17"/>
      <c r="HH17"/>
    </row>
    <row r="18" spans="1:217" s="738" customFormat="1" ht="12.75" hidden="1" customHeight="1" outlineLevel="1" x14ac:dyDescent="0.2">
      <c r="B18" s="739" t="s">
        <v>254</v>
      </c>
      <c r="L18" s="740"/>
      <c r="N18" s="740"/>
      <c r="P18" s="740"/>
      <c r="R18" s="740"/>
      <c r="T18" s="740"/>
      <c r="V18" s="740"/>
      <c r="X18" s="740"/>
      <c r="Z18" s="740"/>
      <c r="AB18" s="740"/>
      <c r="AD18" s="740"/>
      <c r="AF18" s="740"/>
      <c r="AH18" s="740"/>
      <c r="AJ18" s="740"/>
      <c r="AL18" s="740"/>
      <c r="AN18" s="740"/>
      <c r="AP18" s="740"/>
      <c r="AR18" s="740"/>
      <c r="AT18" s="740"/>
      <c r="AV18" s="740"/>
      <c r="AX18" s="740"/>
      <c r="AZ18" s="740"/>
      <c r="BB18" s="740"/>
      <c r="BD18" s="740"/>
      <c r="BF18" s="740"/>
      <c r="BH18" s="740"/>
      <c r="BJ18" s="740"/>
      <c r="BL18" s="740"/>
      <c r="BN18" s="740"/>
      <c r="BP18" s="740"/>
      <c r="BR18" s="740"/>
      <c r="BT18" s="740"/>
      <c r="BV18" s="740"/>
      <c r="BX18" s="740"/>
      <c r="BZ18" s="740"/>
      <c r="CB18" s="740"/>
      <c r="CD18" s="740"/>
      <c r="CF18" s="740"/>
      <c r="CH18" s="740"/>
      <c r="CJ18" s="740"/>
      <c r="CL18" s="740"/>
      <c r="CM18" s="741"/>
      <c r="CN18" s="737"/>
      <c r="CO18" s="741"/>
      <c r="CP18" s="737"/>
      <c r="CQ18" s="743"/>
      <c r="CR18" s="737"/>
      <c r="CS18" s="744"/>
      <c r="CT18" s="737"/>
      <c r="CU18" s="744"/>
      <c r="CV18" s="737"/>
      <c r="CW18" s="744"/>
      <c r="CX18" s="737"/>
      <c r="CY18" s="744"/>
      <c r="CZ18" s="737"/>
      <c r="DA18" s="744"/>
      <c r="DB18" s="737"/>
      <c r="DC18" s="744"/>
      <c r="DD18" s="737"/>
      <c r="DE18" s="744"/>
      <c r="DF18" s="737"/>
      <c r="DG18" s="744"/>
      <c r="DH18" s="737"/>
      <c r="DI18" s="744"/>
      <c r="DJ18" s="737"/>
      <c r="DK18" s="744"/>
      <c r="DL18" s="737"/>
      <c r="DM18" s="744"/>
      <c r="DN18" s="737"/>
      <c r="DO18" s="744"/>
      <c r="DP18" s="737"/>
      <c r="DQ18" s="744"/>
      <c r="DR18" s="737"/>
      <c r="DS18" s="744">
        <f>DS17-DS626</f>
        <v>0</v>
      </c>
      <c r="DT18" s="737"/>
      <c r="DU18" s="744">
        <f>DU17-DU626</f>
        <v>0</v>
      </c>
      <c r="DV18" s="737"/>
      <c r="DW18" s="744">
        <f>DW17-DW626</f>
        <v>0</v>
      </c>
      <c r="DX18" s="737"/>
      <c r="DY18" s="744">
        <f>DY17-DY626</f>
        <v>0</v>
      </c>
      <c r="DZ18" s="737"/>
      <c r="EA18" s="744">
        <f>EA17-EA626</f>
        <v>0</v>
      </c>
      <c r="EB18" s="737"/>
      <c r="EC18" s="744">
        <f>EC17-EC626</f>
        <v>0</v>
      </c>
      <c r="ED18" s="737"/>
      <c r="EE18" s="744">
        <f>EE17-EE626</f>
        <v>0</v>
      </c>
      <c r="EF18" s="744"/>
      <c r="EG18" s="744">
        <f>EG17-EG626</f>
        <v>0</v>
      </c>
      <c r="EH18" s="744"/>
      <c r="EI18" s="744">
        <f>EI17-EI626</f>
        <v>0</v>
      </c>
      <c r="EJ18" s="744"/>
      <c r="EK18" s="744">
        <f>EK17-EK626</f>
        <v>0</v>
      </c>
      <c r="EL18" s="744"/>
      <c r="EM18" s="744">
        <f>EM17-EM626</f>
        <v>0</v>
      </c>
      <c r="EN18" s="744"/>
      <c r="EO18" s="744">
        <f>EO17-EO626</f>
        <v>0</v>
      </c>
      <c r="EP18" s="737"/>
      <c r="EQ18" s="744">
        <f>EQ17-EQ626</f>
        <v>0</v>
      </c>
      <c r="ER18" s="737"/>
      <c r="ES18" s="744">
        <f>ES17-ES626</f>
        <v>0</v>
      </c>
      <c r="ET18" s="737"/>
      <c r="EU18" s="744">
        <f>EU17-EU626</f>
        <v>0</v>
      </c>
      <c r="EV18" s="737"/>
      <c r="EW18" s="744">
        <f>EW17-EW626</f>
        <v>0</v>
      </c>
      <c r="EX18" s="737"/>
      <c r="EZ18" s="590"/>
      <c r="FE18" s="740"/>
      <c r="FG18" s="740"/>
      <c r="FI18" s="740"/>
      <c r="FK18" s="740"/>
      <c r="FM18" s="740"/>
      <c r="FO18" s="740"/>
      <c r="FQ18" s="740"/>
      <c r="FS18" s="740"/>
      <c r="FU18" s="740"/>
      <c r="FW18" s="740"/>
      <c r="FX18" s="742"/>
      <c r="FY18" s="740"/>
      <c r="GA18" s="740"/>
      <c r="GB18" s="743"/>
      <c r="GC18" s="685"/>
      <c r="GD18" s="744"/>
      <c r="GE18" s="685"/>
      <c r="GF18" s="744"/>
      <c r="GG18" s="685"/>
      <c r="GH18" s="744"/>
      <c r="GI18" s="685" t="str">
        <f t="shared" si="51"/>
        <v>NA</v>
      </c>
      <c r="GJ18" s="744">
        <f>GJ17-GJ626</f>
        <v>0</v>
      </c>
      <c r="GK18" s="685" t="str">
        <f t="shared" si="51"/>
        <v>NA</v>
      </c>
      <c r="GL18" s="744">
        <f>GL17-GL626</f>
        <v>0</v>
      </c>
      <c r="GM18" s="685" t="str">
        <f t="shared" si="34"/>
        <v>NA</v>
      </c>
      <c r="GN18" s="744">
        <f>GN17-GN626</f>
        <v>0</v>
      </c>
      <c r="GO18" s="685" t="str">
        <f t="shared" si="34"/>
        <v>NA</v>
      </c>
      <c r="GP18" s="744">
        <f>GP17-GP626</f>
        <v>0</v>
      </c>
      <c r="GQ18" s="685" t="str">
        <f t="shared" si="34"/>
        <v>NA</v>
      </c>
      <c r="GR18" s="744">
        <f>GR17-GR626</f>
        <v>0</v>
      </c>
      <c r="GS18" s="685" t="str">
        <f t="shared" si="34"/>
        <v>NA</v>
      </c>
      <c r="GT18" s="744">
        <f>GT17-GT626</f>
        <v>0</v>
      </c>
      <c r="GU18" s="685" t="str">
        <f t="shared" si="34"/>
        <v>NA</v>
      </c>
      <c r="GV18" s="744">
        <f>GV17-GV626</f>
        <v>0</v>
      </c>
      <c r="GW18" s="685" t="str">
        <f t="shared" si="34"/>
        <v>NA</v>
      </c>
      <c r="GX18" s="744">
        <f>GX17-GX626</f>
        <v>0</v>
      </c>
      <c r="GY18" s="685" t="str">
        <f t="shared" si="35"/>
        <v>NA</v>
      </c>
      <c r="GZ18" s="744"/>
      <c r="HA18" s="737"/>
      <c r="HC18"/>
      <c r="HD18"/>
      <c r="HE18"/>
      <c r="HF18"/>
      <c r="HG18"/>
      <c r="HH18"/>
    </row>
    <row r="19" spans="1:217" s="651" customFormat="1" ht="12.75" customHeight="1" collapsed="1" x14ac:dyDescent="0.2">
      <c r="B19" s="680" t="s">
        <v>231</v>
      </c>
      <c r="L19" s="682"/>
      <c r="N19" s="682"/>
      <c r="P19" s="682"/>
      <c r="R19" s="682"/>
      <c r="T19" s="682"/>
      <c r="V19" s="682"/>
      <c r="X19" s="682"/>
      <c r="Z19" s="682"/>
      <c r="AB19" s="682"/>
      <c r="AD19" s="682"/>
      <c r="AF19" s="682"/>
      <c r="AH19" s="682"/>
      <c r="AJ19" s="682"/>
      <c r="AL19" s="682"/>
      <c r="AN19" s="682"/>
      <c r="AP19" s="682"/>
      <c r="AR19" s="682"/>
      <c r="AT19" s="682"/>
      <c r="AV19" s="682"/>
      <c r="AX19" s="682"/>
      <c r="AZ19" s="682"/>
      <c r="BB19" s="682"/>
      <c r="BD19" s="682"/>
      <c r="BF19" s="682"/>
      <c r="BH19" s="682"/>
      <c r="BJ19" s="682"/>
      <c r="BL19" s="682"/>
      <c r="BN19" s="682"/>
      <c r="BP19" s="682"/>
      <c r="BR19" s="682"/>
      <c r="BT19" s="682"/>
      <c r="BV19" s="682"/>
      <c r="BX19" s="682"/>
      <c r="BZ19" s="682"/>
      <c r="CB19" s="682"/>
      <c r="CD19" s="682"/>
      <c r="CF19" s="682"/>
      <c r="CH19" s="682"/>
      <c r="CJ19" s="682"/>
      <c r="CL19" s="682"/>
      <c r="CM19" s="683"/>
      <c r="CN19" s="685"/>
      <c r="CO19" s="683"/>
      <c r="CP19" s="685"/>
      <c r="CQ19" s="700"/>
      <c r="CR19" s="685"/>
      <c r="CS19" s="683"/>
      <c r="CT19" s="685"/>
      <c r="CU19" s="683"/>
      <c r="CV19" s="685"/>
      <c r="CW19" s="683"/>
      <c r="CX19" s="685"/>
      <c r="CY19" s="683"/>
      <c r="CZ19" s="685"/>
      <c r="DA19" s="683"/>
      <c r="DB19" s="685"/>
      <c r="DC19" s="683"/>
      <c r="DD19" s="685"/>
      <c r="DE19" s="683"/>
      <c r="DF19" s="685"/>
      <c r="DG19" s="683"/>
      <c r="DH19" s="685"/>
      <c r="DI19" s="683"/>
      <c r="DJ19" s="685" t="str">
        <f t="shared" si="16"/>
        <v>NA</v>
      </c>
      <c r="DK19" s="683"/>
      <c r="DL19" s="685"/>
      <c r="DM19" s="683"/>
      <c r="DN19" s="685"/>
      <c r="DO19" s="683"/>
      <c r="DP19" s="685"/>
      <c r="DQ19" s="683"/>
      <c r="DR19" s="685" t="str">
        <f t="shared" si="17"/>
        <v>NA</v>
      </c>
      <c r="DS19" s="683">
        <f>DS689</f>
        <v>1.1146328578975173</v>
      </c>
      <c r="DT19" s="685" t="str">
        <f t="shared" si="17"/>
        <v>NA</v>
      </c>
      <c r="DU19" s="683">
        <f>DU689</f>
        <v>1.2043601559730595</v>
      </c>
      <c r="DV19" s="685" t="str">
        <f t="shared" si="17"/>
        <v>NA</v>
      </c>
      <c r="DW19" s="683">
        <f>DW689</f>
        <v>0.31684219842463934</v>
      </c>
      <c r="DX19" s="685" t="str">
        <f t="shared" si="17"/>
        <v>NA</v>
      </c>
      <c r="DY19" s="683">
        <f>DY689</f>
        <v>0.88104155519885852</v>
      </c>
      <c r="DZ19" s="685" t="str">
        <f t="shared" si="17"/>
        <v>NA</v>
      </c>
      <c r="EA19" s="683">
        <f>EA689</f>
        <v>0.90384268446689531</v>
      </c>
      <c r="EB19" s="685">
        <f t="shared" ref="EB19:EB20" si="80">IF(ISERROR((EA19/DS19-1)*100),"NA",IF(((EA19/DS19-1)*100)&gt;100,"NM",IF(((EA19/DS19-1)*100)&lt;-50,"NM",(EA19/DS19-1)*100)))</f>
        <v>-18.911175275079028</v>
      </c>
      <c r="EC19" s="683">
        <f>EC689</f>
        <v>0.56442160310161393</v>
      </c>
      <c r="ED19" s="685" t="str">
        <f t="shared" ref="ED19:ED20" si="81">IF(ISERROR((EC19/DU19-1)*100),"NA",IF(((EC19/DU19-1)*100)&gt;100,"NM",IF(((EC19/DU19-1)*100)&lt;-50,"NM",(EC19/DU19-1)*100)))</f>
        <v>NM</v>
      </c>
      <c r="EE19" s="683">
        <f>EE689</f>
        <v>1.2214910303795186</v>
      </c>
      <c r="EF19" s="683" t="str">
        <f t="shared" ref="EF19:EF20" si="82">IF(ISERROR((EE19/DW19-1)*100),"NA",IF(((EE19/DW19-1)*100)&gt;100,"NM",IF(((EE19/DW19-1)*100)&lt;-50,"NM",(EE19/DW19-1)*100)))</f>
        <v>NM</v>
      </c>
      <c r="EG19" s="683">
        <f>EG689</f>
        <v>0.95328282828282829</v>
      </c>
      <c r="EH19" s="683">
        <f t="shared" ref="EH19:EH20" si="83">IF(ISERROR((EG19/DY19-1)*100),"NA",IF(((EG19/DY19-1)*100)&gt;100,"NM",IF(((EG19/DY19-1)*100)&lt;-50,"NM",(EG19/DY19-1)*100)))</f>
        <v>8.199530732425476</v>
      </c>
      <c r="EI19" s="683">
        <f>EI689</f>
        <v>1.2023300263948302</v>
      </c>
      <c r="EJ19" s="683">
        <f t="shared" ref="EJ19:EJ21" si="84">IF(ISERROR((EI19/EA19-1)*100),"NA",IF(((EI19/EA19-1)*100)&gt;100,"NM",IF(((EI19/EA19-1)*100)&lt;-50,"NM",(EI19/EA19-1)*100)))</f>
        <v>33.024258209711441</v>
      </c>
      <c r="EK19" s="683">
        <f>EK689</f>
        <v>1.0359486184271325</v>
      </c>
      <c r="EL19" s="683"/>
      <c r="EM19" s="683">
        <f>EM689</f>
        <v>1.0405972935137657</v>
      </c>
      <c r="EN19" s="683">
        <f t="shared" ref="EN19:EN21" si="85">IF(ISERROR((EM19/EE19-1)*100),"NA",IF(((EM19/EE19-1)*100)&gt;100,"NM",IF(((EM19/EE19-1)*100)&lt;-50,"NM",(EM19/EE19-1)*100)))</f>
        <v>-14.809256258684844</v>
      </c>
      <c r="EO19" s="683">
        <f>EO689</f>
        <v>0.63835797005931649</v>
      </c>
      <c r="EP19" s="685">
        <f t="shared" ref="EP19:EP21" si="86">IF(ISERROR((EO19/EG19-1)*100),"NA",IF(((EO19/EG19-1)*100)&gt;100,"NM",IF(((EO19/EG19-1)*100)&lt;-50,"NM",(EO19/EG19-1)*100)))</f>
        <v>-33.035826187155152</v>
      </c>
      <c r="EQ19" s="683">
        <f t="shared" ref="EQ19" si="87">EQ689</f>
        <v>1.175646973242267</v>
      </c>
      <c r="ER19" s="685">
        <f t="shared" ref="ER19:ER21" si="88">IF(ISERROR((EQ19/EI19-1)*100),"NA",IF(((EQ19/EI19-1)*100)&gt;100,"NM",IF(((EQ19/EI19-1)*100)&lt;-50,"NM",(EQ19/EI19-1)*100)))</f>
        <v>-2.2192786145890375</v>
      </c>
      <c r="ES19" s="683">
        <f t="shared" ref="ES19" si="89">ES689</f>
        <v>1.1948101956024264</v>
      </c>
      <c r="ET19" s="685">
        <f t="shared" ref="ET19:ET21" si="90">IF(ISERROR((ES19/EK19-1)*100),"NA",IF(((ES19/EK19-1)*100)&gt;100,"NM",IF(((ES19/EK19-1)*100)&lt;-50,"NM",(ES19/EK19-1)*100)))</f>
        <v>15.334889621889868</v>
      </c>
      <c r="EU19" s="683">
        <f t="shared" ref="EU19" si="91">EU689</f>
        <v>1.227460917453878</v>
      </c>
      <c r="EV19" s="685">
        <f t="shared" ref="EV19:EV21" si="92">IF(ISERROR((EU19/EM19-1)*100),"NA",IF(((EU19/EM19-1)*100)&gt;100,"NM",IF(((EU19/EM19-1)*100)&lt;-50,"NM",(EU19/EM19-1)*100)))</f>
        <v>17.957342874603622</v>
      </c>
      <c r="EW19" s="683">
        <f t="shared" ref="EW19" si="93">EW689</f>
        <v>1.2580567406871328</v>
      </c>
      <c r="EX19" s="685">
        <f t="shared" ref="EX19:EX21" si="94">IF(ISERROR((EW19/EO19-1)*100),"NA",IF(((EW19/EO19-1)*100)&gt;100,"NM",IF(((EW19/EO19-1)*100)&lt;-50,"NM",(EW19/EO19-1)*100)))</f>
        <v>97.077000631829449</v>
      </c>
      <c r="EZ19" s="590"/>
      <c r="FE19" s="682"/>
      <c r="FG19" s="682"/>
      <c r="FI19" s="682"/>
      <c r="FK19" s="682"/>
      <c r="FM19" s="682"/>
      <c r="FO19" s="682"/>
      <c r="FQ19" s="682"/>
      <c r="FS19" s="682"/>
      <c r="FU19" s="682"/>
      <c r="FW19" s="682"/>
      <c r="FX19" s="707"/>
      <c r="FY19" s="682"/>
      <c r="GA19" s="682"/>
      <c r="GB19" s="700"/>
      <c r="GC19" s="685"/>
      <c r="GD19" s="683"/>
      <c r="GE19" s="685"/>
      <c r="GF19" s="683"/>
      <c r="GG19" s="685"/>
      <c r="GH19" s="683"/>
      <c r="GI19" s="685" t="str">
        <f t="shared" si="51"/>
        <v>NA</v>
      </c>
      <c r="GJ19" s="683">
        <f>GJ689</f>
        <v>3.5176613885505481</v>
      </c>
      <c r="GK19" s="685" t="str">
        <f t="shared" si="51"/>
        <v>NA</v>
      </c>
      <c r="GL19" s="683">
        <f>GL689</f>
        <v>3.6430858018846664</v>
      </c>
      <c r="GM19" s="685">
        <f t="shared" si="34"/>
        <v>3.5655624427739285</v>
      </c>
      <c r="GN19" s="683">
        <f>GN689</f>
        <v>3.9263860559985169</v>
      </c>
      <c r="GO19" s="685">
        <f t="shared" si="34"/>
        <v>7.7763816039493783</v>
      </c>
      <c r="GP19" s="683">
        <f>GP689</f>
        <v>4.8537545892026177</v>
      </c>
      <c r="GQ19" s="685">
        <f t="shared" si="34"/>
        <v>23.618883114851073</v>
      </c>
      <c r="GR19" s="683">
        <f>GR689</f>
        <v>5.3505339451739911</v>
      </c>
      <c r="GS19" s="685">
        <f t="shared" si="34"/>
        <v>10.234950013263555</v>
      </c>
      <c r="GT19" s="683">
        <f>GT689</f>
        <v>5.8484909473717046</v>
      </c>
      <c r="GU19" s="685">
        <f t="shared" si="34"/>
        <v>9.3066786847853642</v>
      </c>
      <c r="GV19" s="683">
        <f>GV689</f>
        <v>6.4018315140999009</v>
      </c>
      <c r="GW19" s="685">
        <f t="shared" si="34"/>
        <v>9.4612537098457175</v>
      </c>
      <c r="GX19" s="683">
        <f>GX689</f>
        <v>6.9019374914110392</v>
      </c>
      <c r="GY19" s="685">
        <f t="shared" si="35"/>
        <v>7.8119203263888659</v>
      </c>
      <c r="GZ19" s="685">
        <f>IF(ISERROR(((GX19/GN19)^0.2-1)*100),"NA",IF((((GX19/GN19)^0.2-1)*100)&gt;100,"NM",IF((((GX19/GN19)^0.2-1)*100)&lt;-50,"NM",((GX19/GN19)^0.2-1)*100)))</f>
        <v>11.942655393491242</v>
      </c>
      <c r="HA19" s="685"/>
      <c r="HC19"/>
      <c r="HD19"/>
      <c r="HE19"/>
      <c r="HF19"/>
      <c r="HG19"/>
      <c r="HH19"/>
    </row>
    <row r="20" spans="1:217" s="651" customFormat="1" ht="12.75" customHeight="1" x14ac:dyDescent="0.2">
      <c r="B20" s="680" t="s">
        <v>19</v>
      </c>
      <c r="L20" s="682"/>
      <c r="N20" s="682"/>
      <c r="P20" s="682"/>
      <c r="R20" s="682"/>
      <c r="T20" s="682"/>
      <c r="V20" s="682"/>
      <c r="X20" s="682"/>
      <c r="Z20" s="682"/>
      <c r="AB20" s="682"/>
      <c r="AD20" s="682"/>
      <c r="AF20" s="682"/>
      <c r="AH20" s="682"/>
      <c r="AJ20" s="682"/>
      <c r="AL20" s="682"/>
      <c r="AN20" s="682"/>
      <c r="AP20" s="682"/>
      <c r="AR20" s="682"/>
      <c r="AT20" s="682"/>
      <c r="AV20" s="682"/>
      <c r="AX20" s="682"/>
      <c r="AZ20" s="682"/>
      <c r="BB20" s="682"/>
      <c r="BD20" s="682"/>
      <c r="BF20" s="682"/>
      <c r="BH20" s="682"/>
      <c r="BJ20" s="682"/>
      <c r="BL20" s="682"/>
      <c r="BN20" s="682"/>
      <c r="BP20" s="682"/>
      <c r="BR20" s="682"/>
      <c r="BT20" s="682"/>
      <c r="BV20" s="682"/>
      <c r="BX20" s="682"/>
      <c r="BZ20" s="682"/>
      <c r="CB20" s="682"/>
      <c r="CD20" s="682"/>
      <c r="CF20" s="682"/>
      <c r="CH20" s="682"/>
      <c r="CJ20" s="682"/>
      <c r="CL20" s="682"/>
      <c r="CM20" s="683"/>
      <c r="CN20" s="685"/>
      <c r="CO20" s="683"/>
      <c r="CP20" s="685"/>
      <c r="CQ20" s="700"/>
      <c r="CR20" s="685"/>
      <c r="CS20" s="683"/>
      <c r="CT20" s="685"/>
      <c r="CU20" s="683"/>
      <c r="CV20" s="685"/>
      <c r="CW20" s="683"/>
      <c r="CX20" s="685"/>
      <c r="CY20" s="683"/>
      <c r="CZ20" s="685"/>
      <c r="DA20" s="683"/>
      <c r="DB20" s="685"/>
      <c r="DC20" s="683"/>
      <c r="DD20" s="685"/>
      <c r="DE20" s="683"/>
      <c r="DF20" s="685"/>
      <c r="DG20" s="683"/>
      <c r="DH20" s="685"/>
      <c r="DI20" s="683"/>
      <c r="DJ20" s="685" t="str">
        <f t="shared" si="16"/>
        <v>NA</v>
      </c>
      <c r="DK20" s="683"/>
      <c r="DL20" s="685"/>
      <c r="DM20" s="683"/>
      <c r="DN20" s="685"/>
      <c r="DO20" s="683"/>
      <c r="DP20" s="685"/>
      <c r="DQ20" s="683"/>
      <c r="DR20" s="685" t="str">
        <f t="shared" si="17"/>
        <v>NA</v>
      </c>
      <c r="DS20" s="683">
        <f>DS692</f>
        <v>1.1269589716499384</v>
      </c>
      <c r="DT20" s="685" t="str">
        <f t="shared" si="17"/>
        <v>NA</v>
      </c>
      <c r="DU20" s="683">
        <f>DU692</f>
        <v>1.1503013115916343</v>
      </c>
      <c r="DV20" s="685" t="str">
        <f t="shared" si="17"/>
        <v>NA</v>
      </c>
      <c r="DW20" s="683">
        <f>DW692</f>
        <v>1.0195592530312416</v>
      </c>
      <c r="DX20" s="685" t="str">
        <f t="shared" si="17"/>
        <v>NA</v>
      </c>
      <c r="DY20" s="683">
        <f>DY692</f>
        <v>0.94257178526841445</v>
      </c>
      <c r="DZ20" s="685" t="str">
        <f t="shared" si="17"/>
        <v>NA</v>
      </c>
      <c r="EA20" s="683">
        <f>EA692</f>
        <v>0.99675266101389148</v>
      </c>
      <c r="EB20" s="685">
        <f t="shared" si="80"/>
        <v>-11.553775595345472</v>
      </c>
      <c r="EC20" s="683">
        <f>EC692</f>
        <v>0.9241727526823551</v>
      </c>
      <c r="ED20" s="685">
        <f t="shared" si="81"/>
        <v>-19.658202301481552</v>
      </c>
      <c r="EE20" s="683">
        <f>EE692</f>
        <v>1.2667447940142433</v>
      </c>
      <c r="EF20" s="683">
        <f t="shared" si="82"/>
        <v>24.244352669851878</v>
      </c>
      <c r="EG20" s="683">
        <f>EG692</f>
        <v>1.0353535353535355</v>
      </c>
      <c r="EH20" s="683">
        <f t="shared" si="83"/>
        <v>9.8434677904876811</v>
      </c>
      <c r="EI20" s="683">
        <f>EI692</f>
        <v>1.166833530536088</v>
      </c>
      <c r="EJ20" s="683">
        <f t="shared" si="84"/>
        <v>17.063497914235938</v>
      </c>
      <c r="EK20" s="683">
        <f>EK692</f>
        <v>1.0701413917382867</v>
      </c>
      <c r="EL20" s="683"/>
      <c r="EM20" s="683">
        <f>EM692</f>
        <v>1.0536630891273915</v>
      </c>
      <c r="EN20" s="683">
        <f t="shared" si="85"/>
        <v>-16.821202336392304</v>
      </c>
      <c r="EO20" s="683">
        <f>EO692</f>
        <v>1.0742867903210622</v>
      </c>
      <c r="EP20" s="685">
        <f t="shared" si="86"/>
        <v>3.7603826749123437</v>
      </c>
      <c r="EQ20" s="683">
        <f t="shared" ref="EQ20" si="95">EQ692</f>
        <v>1.175646973242267</v>
      </c>
      <c r="ER20" s="685">
        <f t="shared" si="88"/>
        <v>0.75532991429632101</v>
      </c>
      <c r="ES20" s="683">
        <f t="shared" ref="ES20" si="96">ES692</f>
        <v>1.1948101956024264</v>
      </c>
      <c r="ET20" s="685">
        <f t="shared" si="90"/>
        <v>11.649750661604962</v>
      </c>
      <c r="EU20" s="683">
        <f t="shared" ref="EU20" si="97">EU692</f>
        <v>1.227460917453878</v>
      </c>
      <c r="EV20" s="685">
        <f t="shared" si="92"/>
        <v>16.494630031163005</v>
      </c>
      <c r="EW20" s="683">
        <f t="shared" ref="EW20" si="98">EW692</f>
        <v>1.2580567406871328</v>
      </c>
      <c r="EX20" s="685">
        <f t="shared" si="94"/>
        <v>17.106228245732112</v>
      </c>
      <c r="EZ20" s="590"/>
      <c r="FE20" s="682"/>
      <c r="FG20" s="682"/>
      <c r="FI20" s="682"/>
      <c r="FK20" s="682"/>
      <c r="FM20" s="682"/>
      <c r="FO20" s="682"/>
      <c r="FQ20" s="682"/>
      <c r="FS20" s="682"/>
      <c r="FU20" s="682"/>
      <c r="FW20" s="682"/>
      <c r="FX20" s="707"/>
      <c r="FY20" s="682"/>
      <c r="GA20" s="682"/>
      <c r="GB20" s="700"/>
      <c r="GC20" s="685"/>
      <c r="GD20" s="683"/>
      <c r="GE20" s="685"/>
      <c r="GF20" s="683"/>
      <c r="GG20" s="685"/>
      <c r="GH20" s="683"/>
      <c r="GI20" s="685" t="str">
        <f t="shared" si="51"/>
        <v>NA</v>
      </c>
      <c r="GJ20" s="683">
        <f>GJ692</f>
        <v>4.2422766028125345</v>
      </c>
      <c r="GK20" s="685" t="str">
        <f t="shared" si="51"/>
        <v>NA</v>
      </c>
      <c r="GL20" s="683">
        <f>GL692</f>
        <v>4.2230939176698685</v>
      </c>
      <c r="GM20" s="685">
        <f t="shared" si="34"/>
        <v>-0.45217902882495054</v>
      </c>
      <c r="GN20" s="683">
        <f>GN692</f>
        <v>4.3667717411459304</v>
      </c>
      <c r="GO20" s="685">
        <f t="shared" si="34"/>
        <v>3.4021934220998196</v>
      </c>
      <c r="GP20" s="683">
        <f>GP692</f>
        <v>4.8537545892026177</v>
      </c>
      <c r="GQ20" s="685">
        <f t="shared" si="34"/>
        <v>11.152010613884134</v>
      </c>
      <c r="GR20" s="683">
        <f>GR692</f>
        <v>5.3505339451739911</v>
      </c>
      <c r="GS20" s="685">
        <f t="shared" si="34"/>
        <v>10.234950013263555</v>
      </c>
      <c r="GT20" s="683">
        <f>GT692</f>
        <v>5.8484909473717046</v>
      </c>
      <c r="GU20" s="685">
        <f t="shared" si="34"/>
        <v>9.3066786847853642</v>
      </c>
      <c r="GV20" s="683">
        <f>GV692</f>
        <v>6.4018315140999009</v>
      </c>
      <c r="GW20" s="685">
        <f t="shared" si="34"/>
        <v>9.4612537098457175</v>
      </c>
      <c r="GX20" s="683">
        <f>GX692</f>
        <v>6.9019374914110392</v>
      </c>
      <c r="GY20" s="685">
        <f t="shared" si="35"/>
        <v>7.8119203263888659</v>
      </c>
      <c r="GZ20" s="685">
        <f>IF(ISERROR(((GX20/GN20)^0.2-1)*100),"NA",IF((((GX20/GN20)^0.2-1)*100)&gt;100,"NM",IF((((GX20/GN20)^0.2-1)*100)&lt;-50,"NM",((GX20/GN20)^0.2-1)*100)))</f>
        <v>9.5877741730069808</v>
      </c>
      <c r="HA20" s="685"/>
      <c r="HC20"/>
      <c r="HD20"/>
      <c r="HE20"/>
      <c r="HF20"/>
      <c r="HG20"/>
      <c r="HH20"/>
    </row>
    <row r="21" spans="1:217" s="651" customFormat="1" ht="12.75" customHeight="1" x14ac:dyDescent="0.2">
      <c r="B21" s="680" t="s">
        <v>85</v>
      </c>
      <c r="L21" s="682"/>
      <c r="N21" s="682"/>
      <c r="P21" s="682"/>
      <c r="R21" s="682"/>
      <c r="T21" s="682"/>
      <c r="V21" s="682"/>
      <c r="X21" s="682"/>
      <c r="Z21" s="682"/>
      <c r="AB21" s="682"/>
      <c r="AD21" s="682"/>
      <c r="AF21" s="682"/>
      <c r="AH21" s="682"/>
      <c r="AJ21" s="682"/>
      <c r="AL21" s="682"/>
      <c r="AN21" s="682"/>
      <c r="AP21" s="682"/>
      <c r="AR21" s="682"/>
      <c r="AT21" s="682"/>
      <c r="AV21" s="682"/>
      <c r="AX21" s="682"/>
      <c r="AZ21" s="682"/>
      <c r="BB21" s="682"/>
      <c r="BD21" s="682"/>
      <c r="BF21" s="682"/>
      <c r="BH21" s="682"/>
      <c r="BJ21" s="682"/>
      <c r="BL21" s="682"/>
      <c r="BN21" s="682"/>
      <c r="BP21" s="682"/>
      <c r="BR21" s="682"/>
      <c r="BT21" s="682"/>
      <c r="BV21" s="682"/>
      <c r="BX21" s="682"/>
      <c r="BZ21" s="682"/>
      <c r="CB21" s="682"/>
      <c r="CD21" s="682"/>
      <c r="CF21" s="682"/>
      <c r="CH21" s="682"/>
      <c r="CJ21" s="682"/>
      <c r="CL21" s="682"/>
      <c r="CM21" s="683"/>
      <c r="CN21" s="685"/>
      <c r="CO21" s="683"/>
      <c r="CP21" s="685"/>
      <c r="CQ21" s="700"/>
      <c r="CR21" s="685"/>
      <c r="CS21" s="683"/>
      <c r="CT21" s="685"/>
      <c r="CU21" s="683"/>
      <c r="CV21" s="685"/>
      <c r="CW21" s="683"/>
      <c r="CX21" s="685"/>
      <c r="CY21" s="683"/>
      <c r="CZ21" s="685"/>
      <c r="DA21" s="683"/>
      <c r="DB21" s="685"/>
      <c r="DC21" s="683"/>
      <c r="DD21" s="685"/>
      <c r="DE21" s="683"/>
      <c r="DF21" s="685"/>
      <c r="DG21" s="683"/>
      <c r="DH21" s="685"/>
      <c r="DI21" s="683"/>
      <c r="DJ21" s="685" t="str">
        <f>IF(ISERROR((DI21/DA21-1)*100),"NA",IF(((DI21/DA21-1)*100)&gt;100,"NM",IF(((DI21/DA21-1)*100)&lt;-50,"NM",(DI21/DA21-1)*100)))</f>
        <v>NA</v>
      </c>
      <c r="DK21" s="683"/>
      <c r="DL21" s="685"/>
      <c r="DM21" s="683"/>
      <c r="DN21" s="685"/>
      <c r="DO21" s="683"/>
      <c r="DP21" s="685"/>
      <c r="DQ21" s="683"/>
      <c r="DR21" s="685" t="str">
        <f>IF(ISERROR((DQ21/DI21-1)*100),"NA",IF(((DQ21/DI21-1)*100)&gt;100,"NM",IF(((DQ21/DI21-1)*100)&lt;-50,"NM",(DQ21/DI21-1)*100)))</f>
        <v>NA</v>
      </c>
      <c r="DS21" s="683">
        <f>DS694</f>
        <v>1.1146328578975173</v>
      </c>
      <c r="DT21" s="685" t="str">
        <f>IF(ISERROR((DS21/DK21-1)*100),"NA",IF(((DS21/DK21-1)*100)&gt;100,"NM",IF(((DS21/DK21-1)*100)&lt;-50,"NM",(DS21/DK21-1)*100)))</f>
        <v>NA</v>
      </c>
      <c r="DU21" s="683">
        <f>DU694</f>
        <v>1.2043601559730595</v>
      </c>
      <c r="DV21" s="685" t="str">
        <f>IF(ISERROR((DU21/DM21-1)*100),"NA",IF(((DU21/DM21-1)*100)&gt;100,"NM",IF(((DU21/DM21-1)*100)&lt;-50,"NM",(DU21/DM21-1)*100)))</f>
        <v>NA</v>
      </c>
      <c r="DW21" s="683">
        <f>DW694</f>
        <v>0.31684219842463934</v>
      </c>
      <c r="DX21" s="685" t="str">
        <f>IF(ISERROR((DW21/DO21-1)*100),"NA",IF(((DW21/DO21-1)*100)&gt;100,"NM",IF(((DW21/DO21-1)*100)&lt;-50,"NM",(DW21/DO21-1)*100)))</f>
        <v>NA</v>
      </c>
      <c r="DY21" s="683">
        <f>DY694</f>
        <v>0.88104155519885852</v>
      </c>
      <c r="DZ21" s="685" t="str">
        <f>IF(ISERROR((DY21/DQ21-1)*100),"NA",IF(((DY21/DQ21-1)*100)&gt;100,"NM",IF(((DY21/DQ21-1)*100)&lt;-50,"NM",(DY21/DQ21-1)*100)))</f>
        <v>NA</v>
      </c>
      <c r="EA21" s="683">
        <f>EA694</f>
        <v>0.90384268446689531</v>
      </c>
      <c r="EB21" s="685">
        <f>IF(ISERROR((EA21/DS21-1)*100),"NA",IF(((EA21/DS21-1)*100)&gt;100,"NM",IF(((EA21/DS21-1)*100)&lt;-50,"NM",(EA21/DS21-1)*100)))</f>
        <v>-18.911175275079028</v>
      </c>
      <c r="EC21" s="683">
        <f>EC694</f>
        <v>0.56442160310161393</v>
      </c>
      <c r="ED21" s="685" t="str">
        <f>IF(ISERROR((EC21/DU21-1)*100),"NA",IF(((EC21/DU21-1)*100)&gt;100,"NM",IF(((EC21/DU21-1)*100)&lt;-50,"NM",(EC21/DU21-1)*100)))</f>
        <v>NM</v>
      </c>
      <c r="EE21" s="683">
        <f>EE694</f>
        <v>1.2214910303795186</v>
      </c>
      <c r="EF21" s="683" t="str">
        <f>IF(ISERROR((EE21/DW21-1)*100),"NA",IF(((EE21/DW21-1)*100)&gt;100,"NM",IF(((EE21/DW21-1)*100)&lt;-50,"NM",(EE21/DW21-1)*100)))</f>
        <v>NM</v>
      </c>
      <c r="EG21" s="683">
        <f>EG694</f>
        <v>0.95328282828282829</v>
      </c>
      <c r="EH21" s="683">
        <f>IF(ISERROR((EG21/DY21-1)*100),"NA",IF(((EG21/DY21-1)*100)&gt;100,"NM",IF(((EG21/DY21-1)*100)&lt;-50,"NM",(EG21/DY21-1)*100)))</f>
        <v>8.199530732425476</v>
      </c>
      <c r="EI21" s="683">
        <f>EI694</f>
        <v>1.2023300263948302</v>
      </c>
      <c r="EJ21" s="683">
        <f t="shared" si="84"/>
        <v>33.024258209711441</v>
      </c>
      <c r="EK21" s="683">
        <f>EK694</f>
        <v>1.0359486184271325</v>
      </c>
      <c r="EL21" s="683"/>
      <c r="EM21" s="683">
        <f>EM694</f>
        <v>1.0405972935137657</v>
      </c>
      <c r="EN21" s="683">
        <f t="shared" si="85"/>
        <v>-14.809256258684844</v>
      </c>
      <c r="EO21" s="683">
        <f>EO694</f>
        <v>0.63835797005931649</v>
      </c>
      <c r="EP21" s="685">
        <f t="shared" si="86"/>
        <v>-33.035826187155152</v>
      </c>
      <c r="EQ21" s="683">
        <f t="shared" ref="EQ21" si="99">EQ694</f>
        <v>1.175646973242267</v>
      </c>
      <c r="ER21" s="685">
        <f t="shared" si="88"/>
        <v>-2.2192786145890375</v>
      </c>
      <c r="ES21" s="683">
        <f t="shared" ref="ES21" si="100">ES694</f>
        <v>1.1948101956024264</v>
      </c>
      <c r="ET21" s="685">
        <f t="shared" si="90"/>
        <v>15.334889621889868</v>
      </c>
      <c r="EU21" s="683">
        <f t="shared" ref="EU21" si="101">EU694</f>
        <v>1.227460917453878</v>
      </c>
      <c r="EV21" s="685">
        <f t="shared" si="92"/>
        <v>17.957342874603622</v>
      </c>
      <c r="EW21" s="683">
        <f t="shared" ref="EW21" si="102">EW694</f>
        <v>1.2580567406871328</v>
      </c>
      <c r="EX21" s="685">
        <f t="shared" si="94"/>
        <v>97.077000631829449</v>
      </c>
      <c r="EZ21" s="590"/>
      <c r="FE21" s="682"/>
      <c r="FG21" s="682"/>
      <c r="FI21" s="682"/>
      <c r="FK21" s="682"/>
      <c r="FM21" s="682"/>
      <c r="FO21" s="682"/>
      <c r="FQ21" s="682"/>
      <c r="FS21" s="682"/>
      <c r="FU21" s="682"/>
      <c r="FW21" s="682"/>
      <c r="FX21" s="707"/>
      <c r="FY21" s="682"/>
      <c r="GA21" s="682"/>
      <c r="GB21" s="700"/>
      <c r="GC21" s="685"/>
      <c r="GD21" s="683"/>
      <c r="GE21" s="685"/>
      <c r="GF21" s="683"/>
      <c r="GG21" s="685"/>
      <c r="GH21" s="683"/>
      <c r="GI21" s="685" t="str">
        <f t="shared" si="51"/>
        <v>NA</v>
      </c>
      <c r="GJ21" s="683">
        <f>GJ694</f>
        <v>3.5176613885505481</v>
      </c>
      <c r="GK21" s="685" t="str">
        <f t="shared" si="51"/>
        <v>NA</v>
      </c>
      <c r="GL21" s="683">
        <f>GL694</f>
        <v>3.6430858018846664</v>
      </c>
      <c r="GM21" s="685">
        <f t="shared" si="34"/>
        <v>3.5655624427739285</v>
      </c>
      <c r="GN21" s="683">
        <f>GN694</f>
        <v>3.9263860559985169</v>
      </c>
      <c r="GO21" s="685">
        <f t="shared" si="34"/>
        <v>7.7763816039493783</v>
      </c>
      <c r="GP21" s="683">
        <f>GP694</f>
        <v>4.8537545892026177</v>
      </c>
      <c r="GQ21" s="685">
        <f t="shared" si="34"/>
        <v>23.618883114851073</v>
      </c>
      <c r="GR21" s="683">
        <f>GR694</f>
        <v>5.3505339451739911</v>
      </c>
      <c r="GS21" s="685">
        <f t="shared" si="34"/>
        <v>10.234950013263555</v>
      </c>
      <c r="GT21" s="683">
        <f>GT694</f>
        <v>5.8484909473717046</v>
      </c>
      <c r="GU21" s="685">
        <f t="shared" si="34"/>
        <v>9.3066786847853642</v>
      </c>
      <c r="GV21" s="683">
        <f>GV694</f>
        <v>6.4018315140999009</v>
      </c>
      <c r="GW21" s="685">
        <f t="shared" si="34"/>
        <v>9.4612537098457175</v>
      </c>
      <c r="GX21" s="683">
        <f>GX694</f>
        <v>6.9019374914110392</v>
      </c>
      <c r="GY21" s="685">
        <f t="shared" si="35"/>
        <v>7.8119203263888659</v>
      </c>
      <c r="GZ21" s="685">
        <f>IF(ISERROR(((GX21/GN21)^0.2-1)*100),"NA",IF((((GX21/GN21)^0.2-1)*100)&gt;100,"NM",IF((((GX21/GN21)^0.2-1)*100)&lt;-50,"NM",((GX21/GN21)^0.2-1)*100)))</f>
        <v>11.942655393491242</v>
      </c>
      <c r="HA21" s="685"/>
      <c r="HC21"/>
      <c r="HD21"/>
      <c r="HE21"/>
      <c r="HF21"/>
      <c r="HG21"/>
      <c r="HH21"/>
    </row>
    <row r="22" spans="1:217" s="581" customFormat="1" ht="12.75" hidden="1" customHeight="1" outlineLevel="1" x14ac:dyDescent="0.2">
      <c r="L22" s="658"/>
      <c r="N22" s="658"/>
      <c r="P22" s="658"/>
      <c r="R22" s="658"/>
      <c r="T22" s="658"/>
      <c r="V22" s="658"/>
      <c r="X22" s="658"/>
      <c r="Z22" s="658"/>
      <c r="AB22" s="658"/>
      <c r="AD22" s="658"/>
      <c r="AF22" s="658"/>
      <c r="AH22" s="658"/>
      <c r="AJ22" s="658"/>
      <c r="AL22" s="658"/>
      <c r="AN22" s="658"/>
      <c r="AP22" s="658"/>
      <c r="AR22" s="658"/>
      <c r="AT22" s="658"/>
      <c r="AV22" s="658"/>
      <c r="AX22" s="658"/>
      <c r="AZ22" s="658"/>
      <c r="BB22" s="658"/>
      <c r="BD22" s="658"/>
      <c r="BF22" s="658"/>
      <c r="BH22" s="658"/>
      <c r="BJ22" s="658"/>
      <c r="BL22" s="658"/>
      <c r="BN22" s="658"/>
      <c r="BP22" s="658"/>
      <c r="BR22" s="658"/>
      <c r="BT22" s="658"/>
      <c r="BV22" s="658"/>
      <c r="BX22" s="658"/>
      <c r="BZ22" s="658"/>
      <c r="CB22" s="658"/>
      <c r="CD22" s="658"/>
      <c r="CF22" s="658"/>
      <c r="CH22" s="658"/>
      <c r="CJ22" s="658"/>
      <c r="CL22" s="658"/>
      <c r="CN22" s="658"/>
      <c r="CP22" s="658"/>
      <c r="CQ22" s="701"/>
      <c r="CR22" s="658"/>
      <c r="CT22" s="658"/>
      <c r="CV22" s="658"/>
      <c r="CX22" s="658"/>
      <c r="CZ22" s="658"/>
      <c r="DB22" s="658"/>
      <c r="DD22" s="658"/>
      <c r="DF22" s="658"/>
      <c r="DH22" s="658"/>
      <c r="DJ22" s="658"/>
      <c r="DL22" s="658"/>
      <c r="DN22" s="658"/>
      <c r="DP22" s="658"/>
      <c r="DR22" s="658"/>
      <c r="DT22" s="658"/>
      <c r="DV22" s="658"/>
      <c r="DX22" s="658"/>
      <c r="DZ22" s="658"/>
      <c r="EB22" s="658"/>
      <c r="ED22" s="658"/>
      <c r="EP22" s="658"/>
      <c r="ER22" s="658"/>
      <c r="ET22" s="658"/>
      <c r="EV22" s="658"/>
      <c r="EX22" s="658"/>
      <c r="EZ22" s="590"/>
      <c r="FE22" s="658"/>
      <c r="FG22" s="658"/>
      <c r="FI22" s="658"/>
      <c r="FK22" s="658"/>
      <c r="FM22" s="658"/>
      <c r="FO22" s="658"/>
      <c r="FQ22" s="658"/>
      <c r="FS22" s="658"/>
      <c r="FU22" s="658"/>
      <c r="FW22" s="658"/>
      <c r="FX22" s="701"/>
      <c r="FY22" s="658"/>
      <c r="GA22" s="658"/>
      <c r="GB22" s="701"/>
      <c r="GC22" s="658"/>
      <c r="GE22" s="658"/>
      <c r="GG22" s="658"/>
      <c r="GI22" s="658"/>
      <c r="GK22" s="658"/>
      <c r="GM22" s="658"/>
      <c r="GO22" s="658"/>
      <c r="GQ22" s="658"/>
      <c r="GS22" s="658"/>
      <c r="GU22" s="658"/>
      <c r="GW22" s="658"/>
      <c r="GY22" s="658"/>
      <c r="GZ22" s="658"/>
      <c r="HA22" s="658"/>
      <c r="HC22"/>
      <c r="HD22"/>
      <c r="HE22"/>
      <c r="HF22"/>
      <c r="HG22"/>
      <c r="HH22"/>
    </row>
    <row r="23" spans="1:217" s="167" customFormat="1" ht="12.75" hidden="1" customHeight="1" outlineLevel="1" x14ac:dyDescent="0.2">
      <c r="A23" s="659"/>
      <c r="B23" s="22" t="s">
        <v>582</v>
      </c>
      <c r="D23" s="168"/>
      <c r="F23" s="168"/>
      <c r="H23" s="168"/>
      <c r="J23" s="156"/>
      <c r="L23" s="156"/>
      <c r="N23" s="156"/>
      <c r="P23" s="156"/>
      <c r="R23" s="156"/>
      <c r="T23" s="156"/>
      <c r="V23" s="156"/>
      <c r="X23" s="156"/>
      <c r="Z23" s="156"/>
      <c r="AB23" s="156"/>
      <c r="AD23" s="156"/>
      <c r="AF23" s="156"/>
      <c r="AH23" s="156"/>
      <c r="AI23" s="581"/>
      <c r="AJ23" s="156"/>
      <c r="AK23" s="581"/>
      <c r="AL23" s="156"/>
      <c r="AM23" s="581"/>
      <c r="AN23" s="156"/>
      <c r="AO23" s="581"/>
      <c r="AP23" s="156"/>
      <c r="AQ23" s="581"/>
      <c r="AR23" s="156"/>
      <c r="AS23" s="581"/>
      <c r="AT23" s="156"/>
      <c r="AU23" s="581"/>
      <c r="AV23" s="156"/>
      <c r="AW23" s="581"/>
      <c r="AX23" s="156"/>
      <c r="AY23" s="581"/>
      <c r="AZ23" s="156"/>
      <c r="BA23" s="581"/>
      <c r="BB23" s="156"/>
      <c r="BC23" s="581"/>
      <c r="BD23" s="156"/>
      <c r="BE23" s="581"/>
      <c r="BF23" s="156"/>
      <c r="BG23" s="581"/>
      <c r="BH23" s="156"/>
      <c r="BI23" s="581"/>
      <c r="BJ23" s="156"/>
      <c r="BK23" s="581"/>
      <c r="BL23" s="156"/>
      <c r="BM23" s="581"/>
      <c r="BN23" s="156"/>
      <c r="BO23" s="581"/>
      <c r="BP23" s="156"/>
      <c r="BQ23" s="581"/>
      <c r="BR23" s="156"/>
      <c r="BS23" s="581"/>
      <c r="BT23" s="156"/>
      <c r="BU23" s="581"/>
      <c r="BV23" s="156"/>
      <c r="BW23" s="581"/>
      <c r="BX23" s="156"/>
      <c r="BY23" s="581"/>
      <c r="BZ23" s="156"/>
      <c r="CA23" s="581"/>
      <c r="CB23" s="156"/>
      <c r="CC23" s="581"/>
      <c r="CD23" s="156"/>
      <c r="CE23" s="581"/>
      <c r="CF23" s="156"/>
      <c r="CG23" s="581"/>
      <c r="CH23" s="156"/>
      <c r="CI23" s="581"/>
      <c r="CJ23" s="156"/>
      <c r="CK23" s="581"/>
      <c r="CL23" s="156"/>
      <c r="CM23" s="581"/>
      <c r="CN23" s="156"/>
      <c r="CO23" s="581"/>
      <c r="CP23" s="656"/>
      <c r="CQ23" s="701"/>
      <c r="CR23" s="156"/>
      <c r="CS23" s="581"/>
      <c r="CT23" s="156"/>
      <c r="CU23" s="581"/>
      <c r="CV23" s="156"/>
      <c r="CW23" s="581"/>
      <c r="CX23" s="156"/>
      <c r="CY23" s="581"/>
      <c r="CZ23" s="156"/>
      <c r="DA23" s="581"/>
      <c r="DB23" s="156"/>
      <c r="DC23" s="581"/>
      <c r="DD23" s="156"/>
      <c r="DE23" s="581"/>
      <c r="DF23" s="156"/>
      <c r="DG23" s="581"/>
      <c r="DH23" s="156"/>
      <c r="DI23" s="581"/>
      <c r="DJ23" s="156"/>
      <c r="DK23" s="581"/>
      <c r="DL23" s="156"/>
      <c r="DM23" s="581"/>
      <c r="DN23" s="156"/>
      <c r="DO23" s="581"/>
      <c r="DP23" s="156"/>
      <c r="DQ23" s="581"/>
      <c r="DR23" s="156"/>
      <c r="DS23" s="581"/>
      <c r="DT23" s="156"/>
      <c r="DU23" s="581"/>
      <c r="DV23" s="156"/>
      <c r="DW23" s="581"/>
      <c r="DX23" s="156"/>
      <c r="DY23" s="581"/>
      <c r="DZ23" s="156"/>
      <c r="EA23" s="581"/>
      <c r="EB23" s="156"/>
      <c r="EC23" s="581"/>
      <c r="ED23" s="156"/>
      <c r="EE23" s="581"/>
      <c r="EF23" s="581"/>
      <c r="EG23" s="581"/>
      <c r="EH23" s="581"/>
      <c r="EI23" s="581"/>
      <c r="EJ23" s="581"/>
      <c r="EK23" s="581"/>
      <c r="EL23" s="581"/>
      <c r="EM23" s="581"/>
      <c r="EN23" s="581"/>
      <c r="EO23" s="581"/>
      <c r="EP23" s="156"/>
      <c r="EQ23" s="581"/>
      <c r="ER23" s="156"/>
      <c r="ES23" s="581"/>
      <c r="ET23" s="156"/>
      <c r="EU23" s="581"/>
      <c r="EV23" s="156"/>
      <c r="EW23" s="581"/>
      <c r="EX23" s="156"/>
      <c r="EY23" s="660"/>
      <c r="EZ23" s="590"/>
      <c r="FA23" s="630"/>
      <c r="FC23" s="168"/>
      <c r="FE23" s="661"/>
      <c r="FF23" s="662"/>
      <c r="FG23" s="156"/>
      <c r="FH23" s="662"/>
      <c r="FI23" s="156"/>
      <c r="FJ23" s="662"/>
      <c r="FK23" s="156"/>
      <c r="FL23" s="662"/>
      <c r="FM23" s="156"/>
      <c r="FN23" s="662"/>
      <c r="FO23" s="156"/>
      <c r="FP23" s="662"/>
      <c r="FQ23" s="156"/>
      <c r="FR23" s="662"/>
      <c r="FS23" s="156"/>
      <c r="FT23" s="662"/>
      <c r="FU23" s="156"/>
      <c r="FV23" s="662"/>
      <c r="FW23" s="156"/>
      <c r="FX23" s="663"/>
      <c r="FY23" s="156"/>
      <c r="FZ23" s="662"/>
      <c r="GA23" s="156"/>
      <c r="GB23" s="663"/>
      <c r="GC23" s="156"/>
      <c r="GD23" s="662"/>
      <c r="GE23" s="156"/>
      <c r="GF23" s="662"/>
      <c r="GG23" s="156"/>
      <c r="GH23" s="662"/>
      <c r="GI23" s="156"/>
      <c r="GJ23" s="662"/>
      <c r="GK23" s="156"/>
      <c r="GL23" s="662"/>
      <c r="GM23" s="156"/>
      <c r="GN23" s="662"/>
      <c r="GO23" s="156"/>
      <c r="GP23" s="662"/>
      <c r="GQ23" s="156"/>
      <c r="GR23" s="249"/>
      <c r="GS23" s="156"/>
      <c r="GT23" s="249"/>
      <c r="GU23" s="156"/>
      <c r="GV23" s="249"/>
      <c r="GW23" s="156"/>
      <c r="GX23" s="249"/>
      <c r="GY23" s="156"/>
      <c r="GZ23" s="156"/>
      <c r="HA23" s="156"/>
      <c r="HC23"/>
      <c r="HD23"/>
      <c r="HE23"/>
      <c r="HF23"/>
      <c r="HG23"/>
      <c r="HH23"/>
    </row>
    <row r="24" spans="1:217" s="167" customFormat="1" ht="12.75" hidden="1" customHeight="1" outlineLevel="1" x14ac:dyDescent="0.2">
      <c r="A24" s="659"/>
      <c r="B24" s="167" t="s">
        <v>359</v>
      </c>
      <c r="D24" s="156"/>
      <c r="F24" s="156"/>
      <c r="H24" s="156"/>
      <c r="J24" s="156"/>
      <c r="L24" s="156"/>
      <c r="N24" s="156"/>
      <c r="P24" s="156"/>
      <c r="R24" s="156"/>
      <c r="T24" s="156"/>
      <c r="V24" s="156"/>
      <c r="X24" s="156"/>
      <c r="Z24" s="156"/>
      <c r="AB24" s="156"/>
      <c r="AD24" s="156"/>
      <c r="AF24" s="156"/>
      <c r="AH24" s="156"/>
      <c r="AI24" s="581"/>
      <c r="AJ24" s="156"/>
      <c r="AK24" s="581"/>
      <c r="AL24" s="156"/>
      <c r="AM24" s="581"/>
      <c r="AN24" s="156"/>
      <c r="AO24" s="581"/>
      <c r="AP24" s="156"/>
      <c r="AQ24" s="581"/>
      <c r="AR24" s="156"/>
      <c r="AS24" s="581"/>
      <c r="AT24" s="156"/>
      <c r="AU24" s="581"/>
      <c r="AV24" s="156"/>
      <c r="AW24" s="581"/>
      <c r="AX24" s="156"/>
      <c r="AY24" s="581"/>
      <c r="AZ24" s="156"/>
      <c r="BA24" s="581"/>
      <c r="BB24" s="156"/>
      <c r="BC24" s="581"/>
      <c r="BD24" s="156"/>
      <c r="BE24" s="581"/>
      <c r="BF24" s="156"/>
      <c r="BG24" s="581"/>
      <c r="BH24" s="156"/>
      <c r="BI24" s="581"/>
      <c r="BJ24" s="156"/>
      <c r="BK24" s="581"/>
      <c r="BL24" s="156"/>
      <c r="BM24" s="581"/>
      <c r="BN24" s="156"/>
      <c r="BO24" s="581"/>
      <c r="BP24" s="156"/>
      <c r="BQ24" s="581"/>
      <c r="BR24" s="156"/>
      <c r="BS24" s="581"/>
      <c r="BT24" s="156"/>
      <c r="BU24" s="581"/>
      <c r="BV24" s="156"/>
      <c r="BW24" s="581"/>
      <c r="BX24" s="156"/>
      <c r="BY24" s="581"/>
      <c r="BZ24" s="156"/>
      <c r="CA24" s="581"/>
      <c r="CB24" s="156"/>
      <c r="CC24" s="581"/>
      <c r="CD24" s="156"/>
      <c r="CE24" s="581"/>
      <c r="CF24" s="156"/>
      <c r="CG24" s="581"/>
      <c r="CH24" s="156"/>
      <c r="CI24" s="581"/>
      <c r="CJ24" s="156"/>
      <c r="CK24" s="581"/>
      <c r="CL24" s="156"/>
      <c r="CM24" s="581"/>
      <c r="CN24" s="156"/>
      <c r="CO24" s="581"/>
      <c r="CP24" s="656"/>
      <c r="CQ24" s="701"/>
      <c r="CR24" s="156"/>
      <c r="CS24" s="581"/>
      <c r="CT24" s="156"/>
      <c r="CU24" s="581"/>
      <c r="CV24" s="156"/>
      <c r="CW24" s="581"/>
      <c r="CX24" s="156"/>
      <c r="CY24" s="581"/>
      <c r="CZ24" s="664"/>
      <c r="DA24" s="581"/>
      <c r="DB24" s="156"/>
      <c r="DC24" s="581"/>
      <c r="DD24" s="156"/>
      <c r="DE24" s="581"/>
      <c r="DF24" s="156"/>
      <c r="DG24" s="581"/>
      <c r="DH24" s="156"/>
      <c r="DI24" s="581"/>
      <c r="DJ24" s="156"/>
      <c r="DK24" s="581"/>
      <c r="DL24" s="156"/>
      <c r="DM24" s="581"/>
      <c r="DN24" s="156"/>
      <c r="DO24" s="581"/>
      <c r="DP24" s="156"/>
      <c r="DQ24" s="581"/>
      <c r="DR24" s="156"/>
      <c r="DS24" s="581"/>
      <c r="DT24" s="156"/>
      <c r="DU24" s="581"/>
      <c r="DV24" s="156"/>
      <c r="DW24" s="581"/>
      <c r="DX24" s="156"/>
      <c r="DY24" s="581"/>
      <c r="DZ24" s="156"/>
      <c r="EA24" s="581"/>
      <c r="EB24" s="156"/>
      <c r="EC24" s="581"/>
      <c r="ED24" s="156"/>
      <c r="EE24" s="581"/>
      <c r="EF24" s="581"/>
      <c r="EG24" s="581"/>
      <c r="EH24" s="581"/>
      <c r="EI24" s="581"/>
      <c r="EJ24" s="581"/>
      <c r="EK24" s="581"/>
      <c r="EL24" s="581"/>
      <c r="EM24" s="581"/>
      <c r="EN24" s="581"/>
      <c r="EO24" s="581"/>
      <c r="EP24" s="156"/>
      <c r="EQ24" s="1165">
        <v>-1.2</v>
      </c>
      <c r="ER24" s="156"/>
      <c r="ES24" s="1165">
        <v>2</v>
      </c>
      <c r="ET24" s="156"/>
      <c r="EU24" s="1165">
        <v>2</v>
      </c>
      <c r="EV24" s="156"/>
      <c r="EW24" s="1165">
        <v>2</v>
      </c>
      <c r="EX24" s="156"/>
      <c r="EY24" s="666"/>
      <c r="EZ24" s="590"/>
      <c r="FA24" s="667"/>
      <c r="FB24" s="668"/>
      <c r="FC24" s="669"/>
      <c r="FD24" s="668"/>
      <c r="FE24" s="669"/>
      <c r="FF24" s="670"/>
      <c r="FG24" s="156"/>
      <c r="FH24" s="670"/>
      <c r="FI24" s="156"/>
      <c r="FJ24" s="670"/>
      <c r="FK24" s="156"/>
      <c r="FL24" s="670"/>
      <c r="FM24" s="156"/>
      <c r="FN24" s="670"/>
      <c r="FO24" s="156"/>
      <c r="FP24" s="670"/>
      <c r="FQ24" s="156"/>
      <c r="FR24" s="670"/>
      <c r="FS24" s="156"/>
      <c r="FT24" s="670"/>
      <c r="FU24" s="156"/>
      <c r="FV24" s="670"/>
      <c r="FW24" s="156"/>
      <c r="FX24" s="671"/>
      <c r="FY24" s="156"/>
      <c r="FZ24" s="670"/>
      <c r="GA24" s="156"/>
      <c r="GB24" s="671"/>
      <c r="GC24" s="156"/>
      <c r="GD24" s="670"/>
      <c r="GE24" s="156"/>
      <c r="GF24" s="670"/>
      <c r="GG24" s="156"/>
      <c r="GH24" s="670"/>
      <c r="GI24" s="156"/>
      <c r="GJ24" s="670"/>
      <c r="GK24" s="156"/>
      <c r="GL24" s="670"/>
      <c r="GM24" s="156"/>
      <c r="GN24" s="670"/>
      <c r="GO24" s="156"/>
      <c r="GP24" s="666">
        <v>8</v>
      </c>
      <c r="GQ24" s="156"/>
      <c r="GR24" s="666">
        <v>8</v>
      </c>
      <c r="GS24" s="156"/>
      <c r="GT24" s="666">
        <v>8</v>
      </c>
      <c r="GU24" s="156"/>
      <c r="GV24" s="666">
        <v>8</v>
      </c>
      <c r="GW24" s="156"/>
      <c r="GX24" s="666">
        <v>8</v>
      </c>
      <c r="GY24" s="156"/>
      <c r="GZ24" s="156"/>
      <c r="HA24" s="156"/>
      <c r="HC24"/>
      <c r="HD24"/>
      <c r="HE24"/>
      <c r="HF24"/>
      <c r="HG24"/>
      <c r="HH24"/>
    </row>
    <row r="25" spans="1:217" s="674" customFormat="1" ht="12.75" hidden="1" customHeight="1" outlineLevel="1" x14ac:dyDescent="0.2">
      <c r="A25" s="672"/>
      <c r="B25" s="673" t="s">
        <v>360</v>
      </c>
      <c r="D25" s="199"/>
      <c r="F25" s="199"/>
      <c r="H25" s="199"/>
      <c r="J25" s="199"/>
      <c r="L25" s="199"/>
      <c r="N25" s="199"/>
      <c r="P25" s="199"/>
      <c r="R25" s="199"/>
      <c r="T25" s="199"/>
      <c r="V25" s="199"/>
      <c r="X25" s="199"/>
      <c r="Z25" s="199"/>
      <c r="AB25" s="199"/>
      <c r="AD25" s="199"/>
      <c r="AF25" s="199"/>
      <c r="AH25" s="199"/>
      <c r="AI25" s="673"/>
      <c r="AJ25" s="199"/>
      <c r="AK25" s="673"/>
      <c r="AL25" s="199"/>
      <c r="AM25" s="673"/>
      <c r="AN25" s="199"/>
      <c r="AO25" s="673"/>
      <c r="AP25" s="199"/>
      <c r="AQ25" s="673"/>
      <c r="AR25" s="199"/>
      <c r="AS25" s="673"/>
      <c r="AT25" s="199"/>
      <c r="AU25" s="673"/>
      <c r="AV25" s="199"/>
      <c r="AW25" s="673"/>
      <c r="AX25" s="199"/>
      <c r="AY25" s="673"/>
      <c r="AZ25" s="199"/>
      <c r="BA25" s="673"/>
      <c r="BB25" s="199"/>
      <c r="BC25" s="673"/>
      <c r="BD25" s="199"/>
      <c r="BE25" s="673"/>
      <c r="BF25" s="199"/>
      <c r="BG25" s="673"/>
      <c r="BH25" s="199"/>
      <c r="BI25" s="673"/>
      <c r="BJ25" s="199"/>
      <c r="BK25" s="673"/>
      <c r="BL25" s="199"/>
      <c r="BM25" s="673"/>
      <c r="BN25" s="199"/>
      <c r="BO25" s="673"/>
      <c r="BP25" s="199"/>
      <c r="BQ25" s="673"/>
      <c r="BR25" s="199"/>
      <c r="BS25" s="673"/>
      <c r="BT25" s="199"/>
      <c r="BU25" s="675"/>
      <c r="BV25" s="199"/>
      <c r="BW25" s="675"/>
      <c r="BX25" s="199"/>
      <c r="BY25" s="675"/>
      <c r="BZ25" s="199"/>
      <c r="CA25" s="675"/>
      <c r="CB25" s="199"/>
      <c r="CC25" s="675"/>
      <c r="CD25" s="199"/>
      <c r="CE25" s="675"/>
      <c r="CF25" s="199"/>
      <c r="CG25" s="675"/>
      <c r="CH25" s="199"/>
      <c r="CI25" s="675"/>
      <c r="CJ25" s="199"/>
      <c r="CK25" s="675"/>
      <c r="CL25" s="199"/>
      <c r="CM25" s="675"/>
      <c r="CN25" s="199"/>
      <c r="CO25" s="686"/>
      <c r="CP25" s="688"/>
      <c r="CQ25" s="676"/>
      <c r="CR25" s="199"/>
      <c r="CS25" s="675"/>
      <c r="CT25" s="199"/>
      <c r="CU25" s="675"/>
      <c r="CV25" s="199"/>
      <c r="CW25" s="675"/>
      <c r="CX25" s="199"/>
      <c r="CY25" s="675"/>
      <c r="CZ25" s="664"/>
      <c r="DA25" s="675"/>
      <c r="DB25" s="199"/>
      <c r="DC25" s="675"/>
      <c r="DD25" s="199"/>
      <c r="DE25" s="675"/>
      <c r="DF25" s="199"/>
      <c r="DG25" s="675"/>
      <c r="DH25" s="199"/>
      <c r="DI25" s="675"/>
      <c r="DJ25" s="199"/>
      <c r="DK25" s="675"/>
      <c r="DL25" s="199"/>
      <c r="DM25" s="675"/>
      <c r="DN25" s="199"/>
      <c r="DO25" s="675"/>
      <c r="DP25" s="199"/>
      <c r="DQ25" s="675"/>
      <c r="DR25" s="199"/>
      <c r="DS25" s="675"/>
      <c r="DT25" s="199"/>
      <c r="DU25" s="675"/>
      <c r="DV25" s="199"/>
      <c r="DW25" s="675"/>
      <c r="DX25" s="199"/>
      <c r="DY25" s="675"/>
      <c r="DZ25" s="199"/>
      <c r="EA25" s="675"/>
      <c r="EB25" s="199"/>
      <c r="EC25" s="675"/>
      <c r="ED25" s="199"/>
      <c r="EE25" s="675"/>
      <c r="EF25" s="675"/>
      <c r="EG25" s="675"/>
      <c r="EH25" s="675"/>
      <c r="EI25" s="675"/>
      <c r="EJ25" s="675"/>
      <c r="EK25" s="675"/>
      <c r="EL25" s="675"/>
      <c r="EM25" s="675"/>
      <c r="EN25" s="675"/>
      <c r="EO25" s="675"/>
      <c r="EP25" s="199"/>
      <c r="EQ25" s="678">
        <f>IF($B$6=1, EQ24, IF($B$6=2, (EQ24+EQ874), IF($B$6=3, (EQ24+EQ875))))</f>
        <v>-1.2</v>
      </c>
      <c r="ER25" s="1166"/>
      <c r="ES25" s="678">
        <f>IF($B$6=1, ES24, IF($B$6=2, (ES24+ES874), IF($B$6=3, (ES24+ES875))))</f>
        <v>2</v>
      </c>
      <c r="ET25" s="1166"/>
      <c r="EU25" s="678">
        <f>IF($B$6=1, EU24, IF($B$6=2, (EU24+EU874), IF($B$6=3, (EU24+EU875))))</f>
        <v>2</v>
      </c>
      <c r="EV25" s="1166"/>
      <c r="EW25" s="678">
        <f>IF($B$6=1, EW24, IF($B$6=2, (EW24+EW874), IF($B$6=3, (EW24+EW875))))</f>
        <v>2</v>
      </c>
      <c r="EX25" s="199"/>
      <c r="EY25" s="675"/>
      <c r="EZ25" s="590"/>
      <c r="FA25" s="677"/>
      <c r="FC25" s="199"/>
      <c r="FE25" s="199"/>
      <c r="FF25" s="675"/>
      <c r="FG25" s="199"/>
      <c r="FH25" s="675"/>
      <c r="FI25" s="199"/>
      <c r="FJ25" s="675"/>
      <c r="FK25" s="199"/>
      <c r="FL25" s="675"/>
      <c r="FM25" s="199"/>
      <c r="FN25" s="675"/>
      <c r="FO25" s="199"/>
      <c r="FP25" s="675"/>
      <c r="FQ25" s="199"/>
      <c r="FR25" s="675"/>
      <c r="FS25" s="199"/>
      <c r="FT25" s="675"/>
      <c r="FU25" s="199"/>
      <c r="FV25" s="675"/>
      <c r="FW25" s="199"/>
      <c r="FX25" s="676"/>
      <c r="FY25" s="199"/>
      <c r="FZ25" s="675"/>
      <c r="GA25" s="199"/>
      <c r="GB25" s="676"/>
      <c r="GC25" s="199"/>
      <c r="GD25" s="675"/>
      <c r="GE25" s="199"/>
      <c r="GF25" s="675"/>
      <c r="GG25" s="199"/>
      <c r="GH25" s="675"/>
      <c r="GI25" s="199"/>
      <c r="GJ25" s="675"/>
      <c r="GK25" s="199"/>
      <c r="GL25" s="675"/>
      <c r="GM25" s="199"/>
      <c r="GN25" s="675"/>
      <c r="GO25" s="199"/>
      <c r="GP25" s="678">
        <f>IF($B$6=1, GP24, IF($B$6=2, (GP24+GP874), IF($B$6=3, (GP24+GP875))))</f>
        <v>8</v>
      </c>
      <c r="GQ25" s="199"/>
      <c r="GR25" s="678">
        <f>IF($B$6=1, GR24, IF($B$6=2, (GR24+GR874), IF($B$6=3, (GR24+GR875))))</f>
        <v>8</v>
      </c>
      <c r="GS25" s="199"/>
      <c r="GT25" s="678">
        <f>IF($B$6=1, GT24, IF($B$6=2, (GT24+GT874), IF($B$6=3, (GT24+GT875))))</f>
        <v>8</v>
      </c>
      <c r="GU25" s="199"/>
      <c r="GV25" s="678">
        <f>IF($B$6=1, GV24, IF($B$6=2, (GV24+GV874), IF($B$6=3, (GV24+GV875))))</f>
        <v>8</v>
      </c>
      <c r="GW25" s="199"/>
      <c r="GX25" s="678">
        <f>IF($B$6=1, GX24, IF($B$6=2, (GX24+GX874), IF($B$6=3, (GX24+GX875))))</f>
        <v>8</v>
      </c>
      <c r="GY25" s="199"/>
      <c r="GZ25" s="199"/>
      <c r="HA25" s="199"/>
      <c r="HC25"/>
      <c r="HD25"/>
      <c r="HE25"/>
      <c r="HF25"/>
      <c r="HG25"/>
      <c r="HH25"/>
    </row>
    <row r="26" spans="1:217" s="167" customFormat="1" ht="12.75" customHeight="1" collapsed="1" x14ac:dyDescent="0.2">
      <c r="A26" s="659"/>
      <c r="B26" s="167" t="s">
        <v>361</v>
      </c>
      <c r="D26" s="168"/>
      <c r="F26" s="168"/>
      <c r="H26" s="168"/>
      <c r="J26" s="156"/>
      <c r="L26" s="156"/>
      <c r="N26" s="156"/>
      <c r="P26" s="156"/>
      <c r="R26" s="156"/>
      <c r="T26" s="156"/>
      <c r="V26" s="156"/>
      <c r="X26" s="156"/>
      <c r="Z26" s="156"/>
      <c r="AB26" s="156"/>
      <c r="AD26" s="156"/>
      <c r="AF26" s="156"/>
      <c r="AH26" s="156"/>
      <c r="AI26" s="581"/>
      <c r="AJ26" s="156"/>
      <c r="AK26" s="581"/>
      <c r="AL26" s="156"/>
      <c r="AM26" s="581"/>
      <c r="AN26" s="156"/>
      <c r="AO26" s="581"/>
      <c r="AP26" s="156"/>
      <c r="AQ26" s="581"/>
      <c r="AR26" s="156"/>
      <c r="AS26" s="581"/>
      <c r="AT26" s="156"/>
      <c r="AU26" s="581"/>
      <c r="AV26" s="156"/>
      <c r="AW26" s="581"/>
      <c r="AX26" s="156"/>
      <c r="AY26" s="665">
        <v>3.7283089231362698</v>
      </c>
      <c r="AZ26" s="664"/>
      <c r="BA26" s="665">
        <v>-1.9021726328686039</v>
      </c>
      <c r="BB26" s="655"/>
      <c r="BC26" s="665">
        <v>5.1684695323571006</v>
      </c>
      <c r="BD26" s="655"/>
      <c r="BE26" s="665">
        <v>6.1721305664655945</v>
      </c>
      <c r="BF26" s="655"/>
      <c r="BG26" s="665">
        <v>0.18046953808017463</v>
      </c>
      <c r="BH26" s="664"/>
      <c r="BI26" s="665">
        <v>5.8056392470503315</v>
      </c>
      <c r="BJ26" s="664"/>
      <c r="BK26" s="665">
        <v>1.5565305189430667</v>
      </c>
      <c r="BL26" s="664"/>
      <c r="BM26" s="665">
        <v>-5.0858355421754542</v>
      </c>
      <c r="BN26" s="664"/>
      <c r="BO26" s="665">
        <v>-9.9199045138729236</v>
      </c>
      <c r="BP26" s="664"/>
      <c r="BQ26" s="665">
        <v>-6.5816170138230046</v>
      </c>
      <c r="BR26" s="664"/>
      <c r="BS26" s="665">
        <v>-9.2265290201432819</v>
      </c>
      <c r="BT26" s="664"/>
      <c r="BU26" s="665">
        <v>-22.204603240456787</v>
      </c>
      <c r="BV26" s="664"/>
      <c r="BW26" s="665">
        <v>-11.667602485938378</v>
      </c>
      <c r="BX26" s="664"/>
      <c r="BY26" s="665">
        <v>13.346267765178554</v>
      </c>
      <c r="BZ26" s="664"/>
      <c r="CA26" s="665">
        <v>14.485620869785819</v>
      </c>
      <c r="CB26" s="664"/>
      <c r="CC26" s="665">
        <v>8.2779053530033906</v>
      </c>
      <c r="CD26" s="664"/>
      <c r="CE26" s="665">
        <v>4.8722181752504978</v>
      </c>
      <c r="CF26" s="664"/>
      <c r="CG26" s="665">
        <v>-12.510815084527206</v>
      </c>
      <c r="CH26" s="664"/>
      <c r="CI26" s="665">
        <v>11.079758128012141</v>
      </c>
      <c r="CJ26" s="664"/>
      <c r="CK26" s="665">
        <v>9.7187238274706758</v>
      </c>
      <c r="CL26" s="664"/>
      <c r="CM26" s="665">
        <v>5.4220607981664726</v>
      </c>
      <c r="CN26" s="664"/>
      <c r="CO26" s="665">
        <v>-0.88336923319399796</v>
      </c>
      <c r="CP26" s="655"/>
      <c r="CQ26" s="702">
        <v>-15.544872991109749</v>
      </c>
      <c r="CR26" s="664"/>
      <c r="CS26" s="665">
        <v>11.152348376376576</v>
      </c>
      <c r="CT26" s="664"/>
      <c r="CU26" s="665">
        <v>11.996669210931078</v>
      </c>
      <c r="CV26" s="664"/>
      <c r="CW26" s="665">
        <v>-3.2879649548801182</v>
      </c>
      <c r="CX26" s="664"/>
      <c r="CY26" s="665">
        <v>5.7636401010160432</v>
      </c>
      <c r="CZ26" s="664"/>
      <c r="DA26" s="665">
        <v>-1.4</v>
      </c>
      <c r="DB26" s="156"/>
      <c r="DC26" s="665">
        <v>9.6999999999999993</v>
      </c>
      <c r="DD26" s="156"/>
      <c r="DE26" s="665">
        <v>2.4</v>
      </c>
      <c r="DF26" s="156"/>
      <c r="DG26" s="665">
        <v>4.0999999999999996</v>
      </c>
      <c r="DH26" s="156"/>
      <c r="DI26" s="665">
        <v>9.9</v>
      </c>
      <c r="DJ26" s="156"/>
      <c r="DK26" s="665">
        <v>1.3</v>
      </c>
      <c r="DL26" s="156"/>
      <c r="DM26" s="665">
        <v>4.7</v>
      </c>
      <c r="DN26" s="156"/>
      <c r="DO26" s="665">
        <v>-5.220136887080784E-2</v>
      </c>
      <c r="DP26" s="156"/>
      <c r="DQ26" s="665">
        <v>5.7929461092613099</v>
      </c>
      <c r="DR26" s="156"/>
      <c r="DS26" s="665">
        <v>0.4</v>
      </c>
      <c r="DT26" s="655"/>
      <c r="DU26" s="665">
        <v>0.4</v>
      </c>
      <c r="DV26" s="655"/>
      <c r="DW26" s="665">
        <v>-7.5762339825360296</v>
      </c>
      <c r="DX26" s="655"/>
      <c r="DY26" s="665">
        <v>6.2438329076438093</v>
      </c>
      <c r="DZ26" s="655"/>
      <c r="EA26" s="665">
        <v>0.7730168204546084</v>
      </c>
      <c r="EB26" s="655"/>
      <c r="EC26" s="665">
        <v>1.2582185526894829</v>
      </c>
      <c r="ED26" s="655"/>
      <c r="EE26" s="665">
        <v>3.1061033310349817</v>
      </c>
      <c r="EF26" s="655"/>
      <c r="EG26" s="665">
        <v>3.2542121833731175</v>
      </c>
      <c r="EH26" s="655"/>
      <c r="EI26" s="665">
        <v>5.5336986521396625</v>
      </c>
      <c r="EJ26" s="665"/>
      <c r="EK26" s="665">
        <v>2.6</v>
      </c>
      <c r="EL26" s="665"/>
      <c r="EM26" s="665">
        <v>3.6</v>
      </c>
      <c r="EN26" s="665"/>
      <c r="EO26" s="665">
        <v>6.4</v>
      </c>
      <c r="EP26" s="156"/>
      <c r="EQ26" s="665">
        <f t="shared" ref="EQ26" si="103">EQ25</f>
        <v>-1.2</v>
      </c>
      <c r="ER26" s="156"/>
      <c r="ES26" s="665">
        <f t="shared" ref="ES26" si="104">ES25</f>
        <v>2</v>
      </c>
      <c r="ET26" s="156"/>
      <c r="EU26" s="665">
        <f t="shared" ref="EU26" si="105">EU25</f>
        <v>2</v>
      </c>
      <c r="EV26" s="156"/>
      <c r="EW26" s="665">
        <f t="shared" ref="EW26" si="106">EW25</f>
        <v>2</v>
      </c>
      <c r="EX26" s="156"/>
      <c r="EY26" s="660"/>
      <c r="EZ26" s="590"/>
      <c r="FA26" s="630"/>
      <c r="FC26" s="168"/>
      <c r="FE26" s="661"/>
      <c r="FF26" s="662"/>
      <c r="FG26" s="156"/>
      <c r="FH26" s="662"/>
      <c r="FI26" s="156"/>
      <c r="FJ26" s="662"/>
      <c r="FK26" s="156"/>
      <c r="FL26" s="662"/>
      <c r="FM26" s="156"/>
      <c r="FN26" s="662"/>
      <c r="FO26" s="156"/>
      <c r="FP26" s="662"/>
      <c r="FQ26" s="156"/>
      <c r="FR26" s="662"/>
      <c r="FS26" s="156"/>
      <c r="FT26" s="662"/>
      <c r="FU26" s="156"/>
      <c r="FV26" s="662"/>
      <c r="FW26" s="156"/>
      <c r="FX26" s="663"/>
      <c r="FY26" s="156"/>
      <c r="FZ26" s="662"/>
      <c r="GA26" s="156"/>
      <c r="GB26" s="663"/>
      <c r="GC26" s="156"/>
      <c r="GD26" s="662"/>
      <c r="GE26" s="156"/>
      <c r="GF26" s="662"/>
      <c r="GG26" s="156"/>
      <c r="GH26" s="662"/>
      <c r="GI26" s="156"/>
      <c r="GJ26" s="662"/>
      <c r="GK26" s="156"/>
      <c r="GL26" s="662"/>
      <c r="GM26" s="156"/>
      <c r="GN26" s="662"/>
      <c r="GO26" s="156"/>
      <c r="GP26" s="679">
        <f>GP25</f>
        <v>8</v>
      </c>
      <c r="GQ26" s="156"/>
      <c r="GR26" s="679">
        <f>GR25</f>
        <v>8</v>
      </c>
      <c r="GS26" s="156"/>
      <c r="GT26" s="679">
        <f>GT25</f>
        <v>8</v>
      </c>
      <c r="GU26" s="156"/>
      <c r="GV26" s="679">
        <f>GV25</f>
        <v>8</v>
      </c>
      <c r="GW26" s="156"/>
      <c r="GX26" s="679">
        <f>GX25</f>
        <v>8</v>
      </c>
      <c r="GY26" s="156"/>
      <c r="GZ26" s="156"/>
      <c r="HA26" s="156"/>
      <c r="HC26"/>
      <c r="HD26"/>
      <c r="HE26"/>
      <c r="HF26"/>
      <c r="HG26"/>
      <c r="HH26"/>
    </row>
    <row r="27" spans="1:217" s="2" customFormat="1" ht="12.75" customHeight="1" x14ac:dyDescent="0.2">
      <c r="B27" s="91"/>
      <c r="C27" s="94"/>
      <c r="D27" s="92"/>
      <c r="E27" s="94"/>
      <c r="F27" s="92"/>
      <c r="G27" s="94"/>
      <c r="H27" s="92"/>
      <c r="I27" s="94"/>
      <c r="J27" s="92"/>
      <c r="K27" s="94"/>
      <c r="L27" s="92"/>
      <c r="M27" s="94"/>
      <c r="N27" s="92"/>
      <c r="O27" s="94"/>
      <c r="P27" s="92"/>
      <c r="Q27" s="94"/>
      <c r="R27" s="92"/>
      <c r="S27" s="94"/>
      <c r="T27" s="92"/>
      <c r="U27" s="94"/>
      <c r="V27" s="92"/>
      <c r="W27" s="94"/>
      <c r="X27" s="92"/>
      <c r="Y27" s="94"/>
      <c r="Z27" s="92"/>
      <c r="AA27" s="94"/>
      <c r="AB27" s="92"/>
      <c r="AC27" s="94"/>
      <c r="AD27" s="92"/>
      <c r="AE27" s="94"/>
      <c r="AF27" s="92"/>
      <c r="AG27" s="94"/>
      <c r="AH27" s="92"/>
      <c r="AI27" s="94"/>
      <c r="AJ27" s="92"/>
      <c r="AK27" s="94"/>
      <c r="AL27" s="92"/>
      <c r="AM27" s="94"/>
      <c r="AN27" s="92"/>
      <c r="AO27" s="94"/>
      <c r="AP27" s="92"/>
      <c r="AQ27" s="94"/>
      <c r="AR27" s="92"/>
      <c r="AS27" s="94"/>
      <c r="AT27" s="92"/>
      <c r="AU27" s="94"/>
      <c r="AV27" s="92"/>
      <c r="AW27" s="94"/>
      <c r="AX27" s="92"/>
      <c r="AY27" s="94"/>
      <c r="AZ27" s="92"/>
      <c r="BA27" s="94"/>
      <c r="BB27" s="92"/>
      <c r="BC27" s="94"/>
      <c r="BD27" s="92"/>
      <c r="BE27" s="94"/>
      <c r="BF27" s="92"/>
      <c r="BG27" s="94"/>
      <c r="BH27" s="92"/>
      <c r="BI27" s="94"/>
      <c r="BJ27" s="92"/>
      <c r="BK27" s="94"/>
      <c r="BL27" s="92"/>
      <c r="BM27" s="94"/>
      <c r="BN27" s="92"/>
      <c r="BO27" s="94"/>
      <c r="BP27" s="92"/>
      <c r="BQ27" s="94"/>
      <c r="BR27" s="92"/>
      <c r="BS27" s="94"/>
      <c r="BT27" s="92"/>
      <c r="BU27" s="94"/>
      <c r="BV27" s="92"/>
      <c r="BW27" s="94"/>
      <c r="BX27" s="92"/>
      <c r="BY27" s="94"/>
      <c r="BZ27" s="92"/>
      <c r="CA27" s="94"/>
      <c r="CB27" s="92"/>
      <c r="CC27" s="94"/>
      <c r="CD27" s="92"/>
      <c r="CE27" s="94"/>
      <c r="CF27" s="92"/>
      <c r="CG27" s="94"/>
      <c r="CH27" s="92"/>
      <c r="CI27" s="94"/>
      <c r="CJ27" s="92"/>
      <c r="CK27" s="94"/>
      <c r="CL27" s="92"/>
      <c r="CM27" s="94"/>
      <c r="CN27" s="92"/>
      <c r="CO27" s="94"/>
      <c r="CP27" s="92"/>
      <c r="CQ27" s="533"/>
      <c r="CR27" s="92"/>
      <c r="CS27" s="94"/>
      <c r="CT27" s="92"/>
      <c r="CU27" s="94"/>
      <c r="CV27" s="92"/>
      <c r="CW27" s="94"/>
      <c r="CX27" s="92"/>
      <c r="CY27" s="94"/>
      <c r="CZ27" s="92"/>
      <c r="DA27" s="94"/>
      <c r="DB27" s="92"/>
      <c r="DC27" s="94"/>
      <c r="DD27" s="92"/>
      <c r="DE27" s="94"/>
      <c r="DF27" s="92"/>
      <c r="DG27" s="94"/>
      <c r="DH27" s="92"/>
      <c r="DI27" s="94"/>
      <c r="DJ27" s="92"/>
      <c r="DK27" s="94"/>
      <c r="DL27" s="92"/>
      <c r="DM27" s="94"/>
      <c r="DN27" s="92"/>
      <c r="DO27" s="94"/>
      <c r="DP27" s="92"/>
      <c r="DQ27" s="94"/>
      <c r="DR27" s="92"/>
      <c r="DS27" s="94"/>
      <c r="DT27" s="92"/>
      <c r="DU27" s="94"/>
      <c r="DV27" s="92"/>
      <c r="DW27" s="94"/>
      <c r="DX27" s="92"/>
      <c r="DY27" s="94"/>
      <c r="DZ27" s="92"/>
      <c r="EA27" s="94"/>
      <c r="EB27" s="92"/>
      <c r="EC27" s="94"/>
      <c r="ED27" s="92"/>
      <c r="EE27" s="94"/>
      <c r="EF27" s="94"/>
      <c r="EG27" s="94"/>
      <c r="EH27" s="94"/>
      <c r="EI27" s="94"/>
      <c r="EJ27" s="94"/>
      <c r="EK27" s="94"/>
      <c r="EL27" s="94"/>
      <c r="EM27" s="94"/>
      <c r="EN27" s="94"/>
      <c r="EO27" s="94"/>
      <c r="EP27" s="92"/>
      <c r="EQ27" s="94"/>
      <c r="ER27" s="92"/>
      <c r="ES27" s="94"/>
      <c r="ET27" s="92"/>
      <c r="EU27" s="94"/>
      <c r="EV27" s="92"/>
      <c r="EW27" s="94"/>
      <c r="EX27" s="92"/>
      <c r="EY27" s="95"/>
      <c r="EZ27" s="594"/>
      <c r="FA27" s="405"/>
      <c r="FB27" s="94"/>
      <c r="FC27" s="92"/>
      <c r="FD27" s="94"/>
      <c r="FE27" s="92"/>
      <c r="FF27" s="95"/>
      <c r="FG27" s="92"/>
      <c r="FH27" s="95"/>
      <c r="FI27" s="92"/>
      <c r="FJ27" s="95"/>
      <c r="FK27" s="92"/>
      <c r="FL27" s="95"/>
      <c r="FM27" s="92"/>
      <c r="FN27" s="95"/>
      <c r="FO27" s="92"/>
      <c r="FP27" s="95"/>
      <c r="FQ27" s="92"/>
      <c r="FR27" s="96"/>
      <c r="FS27" s="97"/>
      <c r="FT27" s="96"/>
      <c r="FU27" s="97"/>
      <c r="FV27" s="96"/>
      <c r="FW27" s="92"/>
      <c r="FX27" s="480"/>
      <c r="FY27" s="92"/>
      <c r="FZ27" s="96"/>
      <c r="GA27" s="92"/>
      <c r="GB27" s="480"/>
      <c r="GC27" s="92"/>
      <c r="GD27" s="96"/>
      <c r="GE27" s="92"/>
      <c r="GF27" s="96"/>
      <c r="GG27" s="92"/>
      <c r="GH27" s="96"/>
      <c r="GI27" s="92"/>
      <c r="GJ27" s="96"/>
      <c r="GK27" s="92"/>
      <c r="GL27" s="96"/>
      <c r="GM27" s="92"/>
      <c r="GN27" s="96"/>
      <c r="GO27" s="92"/>
      <c r="GP27" s="96"/>
      <c r="GQ27" s="92"/>
      <c r="GR27" s="95"/>
      <c r="GS27" s="92"/>
      <c r="GT27" s="95"/>
      <c r="GU27" s="92"/>
      <c r="GV27" s="95"/>
      <c r="GW27" s="92"/>
      <c r="GX27" s="95"/>
      <c r="GY27" s="92"/>
      <c r="GZ27" s="92"/>
      <c r="HA27" s="92"/>
      <c r="HB27" s="10"/>
      <c r="HC27"/>
      <c r="HD27"/>
      <c r="HE27"/>
      <c r="HF27"/>
      <c r="HG27"/>
      <c r="HH27"/>
      <c r="HI27" s="10"/>
    </row>
    <row r="28" spans="1:217" s="708" customFormat="1" ht="12.75" customHeight="1" x14ac:dyDescent="0.2">
      <c r="B28" s="709" t="s">
        <v>709</v>
      </c>
      <c r="C28" s="710"/>
      <c r="D28" s="710"/>
      <c r="E28" s="710"/>
      <c r="F28" s="710"/>
      <c r="G28" s="710"/>
      <c r="H28" s="710"/>
      <c r="I28" s="710"/>
      <c r="J28" s="710"/>
      <c r="K28" s="710"/>
      <c r="L28" s="710"/>
      <c r="M28" s="710"/>
      <c r="N28" s="710"/>
      <c r="O28" s="710"/>
      <c r="P28" s="710"/>
      <c r="Q28" s="710"/>
      <c r="R28" s="710"/>
      <c r="S28" s="710"/>
      <c r="T28" s="710"/>
      <c r="U28" s="710"/>
      <c r="V28" s="710"/>
      <c r="W28" s="710"/>
      <c r="X28" s="710"/>
      <c r="Y28" s="710"/>
      <c r="Z28" s="710"/>
      <c r="AA28" s="710"/>
      <c r="AB28" s="710"/>
      <c r="AC28" s="710"/>
      <c r="AD28" s="710"/>
      <c r="AE28" s="710"/>
      <c r="AF28" s="710"/>
      <c r="AG28" s="710"/>
      <c r="AH28" s="710"/>
      <c r="AI28" s="710"/>
      <c r="AJ28" s="710"/>
      <c r="AK28" s="710"/>
      <c r="AL28" s="710"/>
      <c r="AM28" s="710"/>
      <c r="AN28" s="710"/>
      <c r="AO28" s="710"/>
      <c r="AP28" s="710"/>
      <c r="AQ28" s="710"/>
      <c r="AR28" s="710"/>
      <c r="AS28" s="710"/>
      <c r="AT28" s="710"/>
      <c r="AU28" s="710"/>
      <c r="AV28" s="710"/>
      <c r="AW28" s="710"/>
      <c r="AX28" s="710"/>
      <c r="AY28" s="710"/>
      <c r="AZ28" s="710"/>
      <c r="BA28" s="710"/>
      <c r="BB28" s="710"/>
      <c r="BC28" s="710"/>
      <c r="BD28" s="710"/>
      <c r="BE28" s="710"/>
      <c r="BF28" s="710"/>
      <c r="BG28" s="710"/>
      <c r="BH28" s="710"/>
      <c r="BI28" s="710"/>
      <c r="BJ28" s="710"/>
      <c r="BK28" s="710"/>
      <c r="BL28" s="710"/>
      <c r="BM28" s="710"/>
      <c r="BN28" s="710"/>
      <c r="BO28" s="710"/>
      <c r="BP28" s="710"/>
      <c r="BQ28" s="710"/>
      <c r="BR28" s="710"/>
      <c r="BS28" s="711"/>
      <c r="BT28" s="710"/>
      <c r="BU28" s="711"/>
      <c r="BV28" s="710"/>
      <c r="BW28" s="711"/>
      <c r="BX28" s="710"/>
      <c r="BY28" s="711"/>
      <c r="BZ28" s="710"/>
      <c r="CA28" s="711"/>
      <c r="CB28" s="710"/>
      <c r="CC28" s="711"/>
      <c r="CD28" s="710"/>
      <c r="CE28" s="711"/>
      <c r="CF28" s="710"/>
      <c r="CG28" s="711"/>
      <c r="CH28" s="710"/>
      <c r="CI28" s="711"/>
      <c r="CJ28" s="710"/>
      <c r="CK28" s="711"/>
      <c r="CL28" s="710"/>
      <c r="CM28" s="711"/>
      <c r="CN28" s="710"/>
      <c r="CO28" s="711"/>
      <c r="CP28" s="710"/>
      <c r="CQ28" s="711"/>
      <c r="CR28" s="710"/>
      <c r="CS28" s="711"/>
      <c r="CT28" s="710"/>
      <c r="CU28" s="711"/>
      <c r="CV28" s="710"/>
      <c r="CW28" s="711"/>
      <c r="CX28" s="710"/>
      <c r="CY28" s="711"/>
      <c r="CZ28" s="710"/>
      <c r="DA28" s="711"/>
      <c r="DB28" s="710"/>
      <c r="DC28" s="711"/>
      <c r="DD28" s="710"/>
      <c r="DE28" s="711"/>
      <c r="DF28" s="710"/>
      <c r="DG28" s="711"/>
      <c r="DH28" s="710"/>
      <c r="DI28" s="711"/>
      <c r="DJ28" s="710"/>
      <c r="DK28" s="711"/>
      <c r="DL28" s="710"/>
      <c r="DM28" s="711"/>
      <c r="DN28" s="710"/>
      <c r="DO28" s="711"/>
      <c r="DP28" s="710"/>
      <c r="DQ28" s="711"/>
      <c r="DR28" s="710"/>
      <c r="DS28" s="711"/>
      <c r="DT28" s="710"/>
      <c r="DU28" s="711"/>
      <c r="DV28" s="710"/>
      <c r="DW28" s="711"/>
      <c r="DX28" s="710"/>
      <c r="DY28" s="711"/>
      <c r="DZ28" s="710"/>
      <c r="EA28" s="711"/>
      <c r="EB28" s="710"/>
      <c r="EC28" s="711"/>
      <c r="ED28" s="711"/>
      <c r="EE28" s="711"/>
      <c r="EF28" s="711"/>
      <c r="EG28" s="711"/>
      <c r="EH28" s="711"/>
      <c r="EI28" s="711"/>
      <c r="EJ28" s="711"/>
      <c r="EK28" s="711"/>
      <c r="EL28" s="711"/>
      <c r="EM28" s="711"/>
      <c r="EN28" s="711"/>
      <c r="EO28" s="711"/>
      <c r="EP28" s="710"/>
      <c r="EQ28" s="711"/>
      <c r="ER28" s="710"/>
      <c r="ES28" s="711"/>
      <c r="ET28" s="710"/>
      <c r="EU28" s="711"/>
      <c r="EV28" s="710"/>
      <c r="EW28" s="711"/>
      <c r="EX28" s="710"/>
      <c r="EY28" s="712"/>
      <c r="EZ28" s="713"/>
      <c r="FA28" s="714"/>
      <c r="FB28" s="711"/>
      <c r="FC28" s="710"/>
      <c r="FD28" s="711"/>
      <c r="FE28" s="710"/>
      <c r="FF28" s="712"/>
      <c r="FG28" s="710"/>
      <c r="FH28" s="712"/>
      <c r="FI28" s="710"/>
      <c r="FJ28" s="712"/>
      <c r="FK28" s="710"/>
      <c r="FL28" s="712"/>
      <c r="FM28" s="710"/>
      <c r="FN28" s="712"/>
      <c r="FO28" s="710"/>
      <c r="FP28" s="712"/>
      <c r="FQ28" s="710"/>
      <c r="FR28" s="712"/>
      <c r="FS28" s="715"/>
      <c r="FT28" s="712"/>
      <c r="FU28" s="715"/>
      <c r="FV28" s="712"/>
      <c r="FW28" s="710"/>
      <c r="FX28" s="716"/>
      <c r="FY28" s="710"/>
      <c r="FZ28" s="712"/>
      <c r="GA28" s="710"/>
      <c r="GB28" s="716"/>
      <c r="GC28" s="710"/>
      <c r="GD28" s="712"/>
      <c r="GE28" s="710"/>
      <c r="GF28" s="712"/>
      <c r="GG28" s="710"/>
      <c r="GH28" s="712"/>
      <c r="GI28" s="710"/>
      <c r="GJ28" s="712"/>
      <c r="GK28" s="710"/>
      <c r="GL28" s="712"/>
      <c r="GM28" s="710"/>
      <c r="GN28" s="712"/>
      <c r="GO28" s="710"/>
      <c r="GP28" s="712"/>
      <c r="GQ28" s="710"/>
      <c r="GR28" s="712"/>
      <c r="GS28" s="710"/>
      <c r="GT28" s="712"/>
      <c r="GU28" s="710"/>
      <c r="GV28" s="712"/>
      <c r="GW28" s="710"/>
      <c r="GX28" s="712"/>
      <c r="GY28" s="710"/>
      <c r="GZ28" s="710"/>
      <c r="HA28" s="710"/>
      <c r="HC28"/>
      <c r="HD28"/>
      <c r="HE28"/>
      <c r="HF28"/>
      <c r="HG28"/>
      <c r="HH28"/>
    </row>
    <row r="29" spans="1:217" s="2" customFormat="1" ht="12.75" customHeight="1" x14ac:dyDescent="0.2">
      <c r="B29" s="91"/>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c r="BJ29" s="92"/>
      <c r="BK29" s="92"/>
      <c r="BL29" s="92"/>
      <c r="BM29" s="92"/>
      <c r="BN29" s="92"/>
      <c r="BO29" s="92"/>
      <c r="BP29" s="92"/>
      <c r="BQ29" s="92"/>
      <c r="BR29" s="92"/>
      <c r="BS29" s="92"/>
      <c r="BT29" s="92"/>
      <c r="BU29" s="92"/>
      <c r="BV29" s="92"/>
      <c r="BW29" s="92"/>
      <c r="BX29" s="92"/>
      <c r="BY29" s="92"/>
      <c r="BZ29" s="92"/>
      <c r="CA29" s="92"/>
      <c r="CB29" s="92"/>
      <c r="CC29" s="92"/>
      <c r="CD29" s="92"/>
      <c r="CE29" s="92"/>
      <c r="CF29" s="92"/>
      <c r="CG29" s="92"/>
      <c r="CH29" s="92"/>
      <c r="CI29" s="92"/>
      <c r="CJ29" s="92"/>
      <c r="CK29" s="92"/>
      <c r="CL29" s="92"/>
      <c r="CM29" s="92"/>
      <c r="CN29" s="92"/>
      <c r="CO29" s="92"/>
      <c r="CP29" s="92"/>
      <c r="CQ29" s="479"/>
      <c r="CR29" s="92"/>
      <c r="CS29" s="92"/>
      <c r="CT29" s="92"/>
      <c r="CU29" s="92"/>
      <c r="CV29" s="92"/>
      <c r="CW29" s="92"/>
      <c r="CX29" s="92"/>
      <c r="CY29" s="92"/>
      <c r="CZ29" s="92"/>
      <c r="DA29" s="92"/>
      <c r="DB29" s="92"/>
      <c r="DC29" s="92"/>
      <c r="DD29" s="92"/>
      <c r="DE29" s="92"/>
      <c r="DF29" s="92"/>
      <c r="DG29" s="92"/>
      <c r="DH29" s="92"/>
      <c r="DI29" s="92"/>
      <c r="DJ29" s="92"/>
      <c r="DK29" s="92"/>
      <c r="DL29" s="92"/>
      <c r="DM29" s="92"/>
      <c r="DN29" s="92"/>
      <c r="DO29" s="92"/>
      <c r="DP29" s="92"/>
      <c r="DQ29" s="92"/>
      <c r="DR29" s="92"/>
      <c r="DS29" s="92"/>
      <c r="DT29" s="92"/>
      <c r="DU29" s="92"/>
      <c r="DV29" s="92"/>
      <c r="DW29" s="92"/>
      <c r="DX29" s="92"/>
      <c r="DY29" s="92"/>
      <c r="DZ29" s="92"/>
      <c r="EA29" s="92"/>
      <c r="EB29" s="92"/>
      <c r="EC29" s="92"/>
      <c r="ED29" s="92"/>
      <c r="EE29" s="92"/>
      <c r="EF29" s="92"/>
      <c r="EG29" s="92"/>
      <c r="EH29" s="92"/>
      <c r="EI29" s="92"/>
      <c r="EJ29" s="92"/>
      <c r="EK29" s="92"/>
      <c r="EL29" s="92"/>
      <c r="EM29" s="92"/>
      <c r="EN29" s="92"/>
      <c r="EO29" s="92"/>
      <c r="EP29" s="92"/>
      <c r="EQ29" s="92"/>
      <c r="ER29" s="92"/>
      <c r="ES29" s="92"/>
      <c r="ET29" s="92"/>
      <c r="EU29" s="92"/>
      <c r="EV29" s="92"/>
      <c r="EW29" s="92"/>
      <c r="EX29" s="92"/>
      <c r="EY29" s="92"/>
      <c r="EZ29" s="594"/>
      <c r="FA29" s="405"/>
      <c r="FB29" s="92"/>
      <c r="FC29" s="92"/>
      <c r="FD29" s="92"/>
      <c r="FE29" s="92"/>
      <c r="FF29" s="92"/>
      <c r="FG29" s="92"/>
      <c r="FH29" s="92"/>
      <c r="FI29" s="92"/>
      <c r="FJ29" s="92"/>
      <c r="FK29" s="92"/>
      <c r="FL29" s="92"/>
      <c r="FM29" s="92"/>
      <c r="FN29" s="92"/>
      <c r="FO29" s="92"/>
      <c r="FP29" s="92"/>
      <c r="FQ29" s="92"/>
      <c r="FR29" s="92"/>
      <c r="FS29" s="92"/>
      <c r="FT29" s="92"/>
      <c r="FU29" s="92"/>
      <c r="FV29" s="92"/>
      <c r="FW29" s="92"/>
      <c r="FX29" s="479"/>
      <c r="FY29" s="92"/>
      <c r="FZ29" s="92"/>
      <c r="GA29" s="92"/>
      <c r="GB29" s="479"/>
      <c r="GC29" s="92"/>
      <c r="GD29" s="92"/>
      <c r="GE29" s="92"/>
      <c r="GF29" s="92"/>
      <c r="GG29" s="92"/>
      <c r="GH29" s="92"/>
      <c r="GI29" s="92"/>
      <c r="GJ29" s="92"/>
      <c r="GK29" s="92"/>
      <c r="GL29" s="92"/>
      <c r="GM29" s="92"/>
      <c r="GN29" s="92"/>
      <c r="GO29" s="92"/>
      <c r="GP29" s="92"/>
      <c r="GQ29" s="92"/>
      <c r="GR29" s="92"/>
      <c r="GS29" s="92"/>
      <c r="GT29" s="92"/>
      <c r="GU29" s="92"/>
      <c r="GV29" s="92"/>
      <c r="GW29" s="92"/>
      <c r="GX29" s="92"/>
      <c r="GY29" s="92"/>
      <c r="GZ29" s="92"/>
      <c r="HA29" s="92"/>
      <c r="HB29" s="92"/>
      <c r="HC29"/>
      <c r="HD29"/>
      <c r="HE29"/>
      <c r="HF29"/>
      <c r="HG29"/>
      <c r="HH29"/>
      <c r="HI29" s="10"/>
    </row>
    <row r="30" spans="1:217" s="2" customFormat="1" ht="12.75" customHeight="1" x14ac:dyDescent="0.2">
      <c r="B30" s="93" t="s">
        <v>309</v>
      </c>
      <c r="C30" s="94"/>
      <c r="D30" s="92"/>
      <c r="E30" s="94"/>
      <c r="F30" s="92"/>
      <c r="G30" s="94"/>
      <c r="H30" s="92"/>
      <c r="I30" s="94"/>
      <c r="J30" s="92"/>
      <c r="K30" s="94"/>
      <c r="L30" s="92"/>
      <c r="M30" s="94"/>
      <c r="N30" s="92"/>
      <c r="O30" s="94"/>
      <c r="P30" s="92"/>
      <c r="Q30" s="94"/>
      <c r="R30" s="92"/>
      <c r="S30" s="94"/>
      <c r="T30" s="92"/>
      <c r="U30" s="94"/>
      <c r="V30" s="92"/>
      <c r="W30" s="94"/>
      <c r="X30" s="92"/>
      <c r="Y30" s="94"/>
      <c r="Z30" s="92"/>
      <c r="AA30" s="94"/>
      <c r="AB30" s="92"/>
      <c r="AC30" s="94"/>
      <c r="AD30" s="92"/>
      <c r="AE30" s="94"/>
      <c r="AF30" s="92"/>
      <c r="AG30" s="94"/>
      <c r="AH30" s="92"/>
      <c r="AI30" s="94"/>
      <c r="AJ30" s="92"/>
      <c r="AK30" s="94"/>
      <c r="AL30" s="92"/>
      <c r="AM30" s="94"/>
      <c r="AN30" s="92"/>
      <c r="AO30" s="94"/>
      <c r="AP30" s="92"/>
      <c r="AQ30" s="94"/>
      <c r="AR30" s="92"/>
      <c r="AS30" s="94"/>
      <c r="AT30" s="92"/>
      <c r="AU30" s="94"/>
      <c r="AV30" s="92"/>
      <c r="AW30" s="94"/>
      <c r="AX30" s="92"/>
      <c r="AY30" s="94"/>
      <c r="AZ30" s="92"/>
      <c r="BA30" s="94"/>
      <c r="BB30" s="92"/>
      <c r="BC30" s="94"/>
      <c r="BD30" s="92"/>
      <c r="BE30" s="94"/>
      <c r="BF30" s="92"/>
      <c r="BG30" s="94"/>
      <c r="BH30" s="92"/>
      <c r="BI30" s="94"/>
      <c r="BJ30" s="92"/>
      <c r="BK30" s="94"/>
      <c r="BL30" s="92"/>
      <c r="BM30" s="94"/>
      <c r="BN30" s="92"/>
      <c r="BO30" s="94"/>
      <c r="BP30" s="92"/>
      <c r="BQ30" s="94"/>
      <c r="BR30" s="92"/>
      <c r="BS30" s="94"/>
      <c r="BT30" s="92"/>
      <c r="BU30" s="94"/>
      <c r="BV30" s="92"/>
      <c r="BW30" s="94"/>
      <c r="BX30" s="92"/>
      <c r="BY30" s="94"/>
      <c r="BZ30" s="92"/>
      <c r="CA30" s="94"/>
      <c r="CB30" s="92"/>
      <c r="CC30" s="94"/>
      <c r="CD30" s="92"/>
      <c r="CE30" s="94"/>
      <c r="CF30" s="92"/>
      <c r="CG30" s="94"/>
      <c r="CH30" s="92"/>
      <c r="CI30" s="94"/>
      <c r="CJ30" s="92"/>
      <c r="CK30" s="94"/>
      <c r="CL30" s="92"/>
      <c r="CM30" s="94"/>
      <c r="CN30" s="92"/>
      <c r="CO30" s="94"/>
      <c r="CP30" s="92"/>
      <c r="CQ30" s="533"/>
      <c r="CR30" s="92"/>
      <c r="CS30" s="94"/>
      <c r="CT30" s="92"/>
      <c r="CU30" s="94"/>
      <c r="CV30" s="92"/>
      <c r="CW30" s="94"/>
      <c r="CX30" s="92"/>
      <c r="CY30" s="94"/>
      <c r="CZ30" s="92"/>
      <c r="DA30" s="94"/>
      <c r="DB30" s="92"/>
      <c r="DC30" s="94"/>
      <c r="DD30" s="92"/>
      <c r="DE30" s="94"/>
      <c r="DF30" s="92"/>
      <c r="DG30" s="94"/>
      <c r="DH30" s="92"/>
      <c r="DI30" s="94"/>
      <c r="DJ30" s="92"/>
      <c r="DK30" s="94"/>
      <c r="DL30" s="92"/>
      <c r="DM30" s="94"/>
      <c r="DN30" s="92"/>
      <c r="DO30" s="94"/>
      <c r="DP30" s="92"/>
      <c r="DQ30" s="94"/>
      <c r="DR30" s="92"/>
      <c r="DS30" s="94"/>
      <c r="DT30" s="92"/>
      <c r="DU30" s="94"/>
      <c r="DV30" s="92"/>
      <c r="DW30" s="94"/>
      <c r="DX30" s="92"/>
      <c r="DY30" s="94"/>
      <c r="DZ30" s="92"/>
      <c r="EA30" s="94"/>
      <c r="EB30" s="92"/>
      <c r="EC30" s="94"/>
      <c r="ED30" s="92"/>
      <c r="EE30" s="94"/>
      <c r="EF30" s="1020"/>
      <c r="EG30" s="94"/>
      <c r="EH30" s="1020"/>
      <c r="EI30" s="94"/>
      <c r="EJ30" s="1020"/>
      <c r="EK30" s="94"/>
      <c r="EL30" s="1020"/>
      <c r="EM30" s="94"/>
      <c r="EN30" s="1020"/>
      <c r="EO30" s="94"/>
      <c r="EP30" s="92"/>
      <c r="EQ30" s="789"/>
      <c r="ER30" s="92"/>
      <c r="ES30" s="789"/>
      <c r="ET30" s="92"/>
      <c r="EU30" s="789"/>
      <c r="EV30" s="92"/>
      <c r="EW30" s="789"/>
      <c r="EX30" s="92"/>
      <c r="EY30" s="95"/>
      <c r="EZ30" s="594"/>
      <c r="FA30" s="405"/>
      <c r="FB30" s="94"/>
      <c r="FC30" s="92"/>
      <c r="FD30" s="94"/>
      <c r="FE30" s="92"/>
      <c r="FF30" s="95"/>
      <c r="FG30" s="92"/>
      <c r="FH30" s="95"/>
      <c r="FI30" s="92"/>
      <c r="FJ30" s="95"/>
      <c r="FK30" s="92"/>
      <c r="FL30" s="95"/>
      <c r="FM30" s="92"/>
      <c r="FN30" s="95"/>
      <c r="FO30" s="92"/>
      <c r="FP30" s="95"/>
      <c r="FQ30" s="92"/>
      <c r="FR30" s="96"/>
      <c r="FS30" s="97"/>
      <c r="FT30" s="96"/>
      <c r="FU30" s="97"/>
      <c r="FV30" s="96"/>
      <c r="FW30" s="92"/>
      <c r="FX30" s="480"/>
      <c r="FY30" s="92"/>
      <c r="FZ30" s="96"/>
      <c r="GA30" s="92"/>
      <c r="GB30" s="480"/>
      <c r="GC30" s="92"/>
      <c r="GD30" s="96"/>
      <c r="GE30" s="92"/>
      <c r="GF30" s="96"/>
      <c r="GG30" s="92"/>
      <c r="GH30" s="96"/>
      <c r="GI30" s="92"/>
      <c r="GJ30" s="96"/>
      <c r="GK30" s="92"/>
      <c r="GL30" s="96"/>
      <c r="GM30" s="92"/>
      <c r="GN30" s="216"/>
      <c r="GO30" s="92"/>
      <c r="GP30" s="96"/>
      <c r="GQ30" s="92"/>
      <c r="GR30" s="95"/>
      <c r="GS30" s="92"/>
      <c r="GT30" s="95"/>
      <c r="GU30" s="92"/>
      <c r="GV30" s="95"/>
      <c r="GW30" s="92"/>
      <c r="GX30" s="95"/>
      <c r="GY30" s="92"/>
      <c r="GZ30" s="92"/>
      <c r="HA30" s="92"/>
      <c r="HB30" s="10"/>
      <c r="HC30"/>
      <c r="HD30"/>
      <c r="HE30"/>
      <c r="HF30"/>
      <c r="HG30"/>
      <c r="HH30"/>
      <c r="HI30" s="10"/>
    </row>
    <row r="31" spans="1:217" s="2" customFormat="1" ht="12.75" customHeight="1" x14ac:dyDescent="0.2">
      <c r="B31" s="93" t="s">
        <v>281</v>
      </c>
      <c r="C31" s="94"/>
      <c r="D31" s="92"/>
      <c r="E31" s="94"/>
      <c r="F31" s="92"/>
      <c r="G31" s="94"/>
      <c r="H31" s="92"/>
      <c r="I31" s="94"/>
      <c r="J31" s="92"/>
      <c r="K31" s="94"/>
      <c r="L31" s="92"/>
      <c r="M31" s="94"/>
      <c r="N31" s="92"/>
      <c r="O31" s="94"/>
      <c r="P31" s="92"/>
      <c r="Q31" s="94"/>
      <c r="R31" s="92"/>
      <c r="S31" s="94"/>
      <c r="T31" s="92"/>
      <c r="U31" s="94"/>
      <c r="V31" s="92"/>
      <c r="W31" s="94"/>
      <c r="X31" s="92"/>
      <c r="Y31" s="94"/>
      <c r="Z31" s="92"/>
      <c r="AA31" s="94"/>
      <c r="AB31" s="92"/>
      <c r="AC31" s="94"/>
      <c r="AD31" s="92"/>
      <c r="AE31" s="94"/>
      <c r="AF31" s="92"/>
      <c r="AG31" s="94"/>
      <c r="AH31" s="92"/>
      <c r="AI31" s="94"/>
      <c r="AJ31" s="92"/>
      <c r="AK31" s="94"/>
      <c r="AL31" s="92"/>
      <c r="AM31" s="94"/>
      <c r="AN31" s="92"/>
      <c r="AO31" s="94"/>
      <c r="AP31" s="92"/>
      <c r="AQ31" s="94"/>
      <c r="AR31" s="92"/>
      <c r="AS31" s="94"/>
      <c r="AT31" s="92"/>
      <c r="AU31" s="94"/>
      <c r="AV31" s="92"/>
      <c r="AW31" s="94"/>
      <c r="AX31" s="92"/>
      <c r="AY31" s="94"/>
      <c r="AZ31" s="92"/>
      <c r="BA31" s="94"/>
      <c r="BB31" s="92"/>
      <c r="BC31" s="94"/>
      <c r="BD31" s="92"/>
      <c r="BE31" s="94"/>
      <c r="BF31" s="92"/>
      <c r="BG31" s="94"/>
      <c r="BH31" s="92"/>
      <c r="BI31" s="94"/>
      <c r="BJ31" s="92"/>
      <c r="BK31" s="94"/>
      <c r="BL31" s="92"/>
      <c r="BM31" s="94"/>
      <c r="BN31" s="92"/>
      <c r="BO31" s="94"/>
      <c r="BP31" s="92"/>
      <c r="BQ31" s="94"/>
      <c r="BR31" s="92"/>
      <c r="BS31" s="94"/>
      <c r="BT31" s="92"/>
      <c r="BU31" s="94"/>
      <c r="BV31" s="92"/>
      <c r="BW31" s="94"/>
      <c r="BX31" s="92"/>
      <c r="BY31" s="94"/>
      <c r="BZ31" s="92"/>
      <c r="CA31" s="94"/>
      <c r="CB31" s="92"/>
      <c r="CC31" s="94"/>
      <c r="CD31" s="92"/>
      <c r="CE31" s="94"/>
      <c r="CF31" s="92"/>
      <c r="CG31" s="94"/>
      <c r="CH31" s="92"/>
      <c r="CI31" s="94"/>
      <c r="CJ31" s="92"/>
      <c r="CK31" s="94"/>
      <c r="CL31" s="92"/>
      <c r="CM31" s="94"/>
      <c r="CN31" s="92"/>
      <c r="CO31" s="94"/>
      <c r="CP31" s="92"/>
      <c r="CQ31" s="533"/>
      <c r="CR31" s="92"/>
      <c r="CS31" s="94"/>
      <c r="CT31" s="92"/>
      <c r="CU31" s="94"/>
      <c r="CV31" s="92"/>
      <c r="CW31" s="94"/>
      <c r="CX31" s="92"/>
      <c r="CY31" s="94"/>
      <c r="CZ31" s="92"/>
      <c r="DA31" s="94"/>
      <c r="DB31" s="92"/>
      <c r="DC31" s="94"/>
      <c r="DD31" s="92"/>
      <c r="DE31" s="94"/>
      <c r="DF31" s="92"/>
      <c r="DG31" s="94"/>
      <c r="DH31" s="92"/>
      <c r="DI31" s="94"/>
      <c r="DJ31" s="92"/>
      <c r="DK31" s="94"/>
      <c r="DL31" s="92"/>
      <c r="DM31" s="94"/>
      <c r="DN31" s="92"/>
      <c r="DO31" s="94"/>
      <c r="DP31" s="92"/>
      <c r="DQ31" s="94"/>
      <c r="DR31" s="92"/>
      <c r="DS31" s="94"/>
      <c r="DT31" s="92"/>
      <c r="DU31" s="94"/>
      <c r="DV31" s="92"/>
      <c r="DW31" s="94"/>
      <c r="DX31" s="92"/>
      <c r="DY31" s="94"/>
      <c r="DZ31" s="92"/>
      <c r="EA31" s="94"/>
      <c r="EB31" s="92"/>
      <c r="EC31" s="94"/>
      <c r="ED31" s="92"/>
      <c r="EE31" s="94"/>
      <c r="EF31" s="1020"/>
      <c r="EG31" s="94"/>
      <c r="EH31" s="1020"/>
      <c r="EI31" s="94"/>
      <c r="EJ31" s="1020"/>
      <c r="EK31" s="94"/>
      <c r="EL31" s="1020"/>
      <c r="EM31" s="94"/>
      <c r="EN31" s="1020"/>
      <c r="EO31" s="94"/>
      <c r="EP31" s="92"/>
      <c r="EQ31" s="789"/>
      <c r="ER31" s="92"/>
      <c r="ES31" s="789"/>
      <c r="ET31" s="92"/>
      <c r="EU31" s="789"/>
      <c r="EV31" s="92"/>
      <c r="EW31" s="789"/>
      <c r="EX31" s="92"/>
      <c r="EY31" s="95"/>
      <c r="EZ31" s="594"/>
      <c r="FA31" s="405"/>
      <c r="FB31" s="94"/>
      <c r="FC31" s="92"/>
      <c r="FD31" s="94"/>
      <c r="FE31" s="92"/>
      <c r="FF31" s="95"/>
      <c r="FG31" s="92"/>
      <c r="FH31" s="95"/>
      <c r="FI31" s="92"/>
      <c r="FJ31" s="95"/>
      <c r="FK31" s="92"/>
      <c r="FL31" s="95"/>
      <c r="FM31" s="92"/>
      <c r="FN31" s="95"/>
      <c r="FO31" s="92"/>
      <c r="FP31" s="95"/>
      <c r="FQ31" s="92"/>
      <c r="FR31" s="96"/>
      <c r="FS31" s="97"/>
      <c r="FT31" s="96"/>
      <c r="FU31" s="97"/>
      <c r="FV31" s="96"/>
      <c r="FW31" s="92"/>
      <c r="FX31" s="480"/>
      <c r="FY31" s="92"/>
      <c r="FZ31" s="96"/>
      <c r="GA31" s="92"/>
      <c r="GB31" s="480"/>
      <c r="GC31" s="92"/>
      <c r="GD31" s="96"/>
      <c r="GE31" s="92"/>
      <c r="GF31" s="96"/>
      <c r="GG31" s="92"/>
      <c r="GH31" s="96"/>
      <c r="GI31" s="92"/>
      <c r="GJ31" s="96"/>
      <c r="GK31" s="92"/>
      <c r="GL31" s="96"/>
      <c r="GM31" s="92"/>
      <c r="GN31" s="96"/>
      <c r="GO31" s="92"/>
      <c r="GP31" s="96"/>
      <c r="GQ31" s="92"/>
      <c r="GR31" s="95"/>
      <c r="GS31" s="92"/>
      <c r="GT31" s="95"/>
      <c r="GU31" s="92"/>
      <c r="GV31" s="95"/>
      <c r="GW31" s="92"/>
      <c r="GX31" s="95"/>
      <c r="GY31" s="92"/>
      <c r="GZ31" s="92"/>
      <c r="HA31" s="92"/>
      <c r="HB31" s="10"/>
      <c r="HC31"/>
      <c r="HD31"/>
      <c r="HE31"/>
      <c r="HF31"/>
      <c r="HG31"/>
      <c r="HH31"/>
      <c r="HI31" s="10"/>
    </row>
    <row r="32" spans="1:217" s="2" customFormat="1" ht="12.75" customHeight="1" x14ac:dyDescent="0.2">
      <c r="B32" s="91" t="s">
        <v>310</v>
      </c>
      <c r="C32" s="94"/>
      <c r="D32" s="92"/>
      <c r="E32" s="94"/>
      <c r="F32" s="92"/>
      <c r="G32" s="94"/>
      <c r="H32" s="92"/>
      <c r="I32" s="94"/>
      <c r="J32" s="98"/>
      <c r="K32" s="94"/>
      <c r="L32" s="98"/>
      <c r="M32" s="94"/>
      <c r="N32" s="98"/>
      <c r="O32" s="94"/>
      <c r="P32" s="98"/>
      <c r="Q32" s="94"/>
      <c r="R32" s="98"/>
      <c r="S32" s="94"/>
      <c r="T32" s="98"/>
      <c r="U32" s="94"/>
      <c r="V32" s="98"/>
      <c r="W32" s="94"/>
      <c r="X32" s="98"/>
      <c r="Y32" s="94"/>
      <c r="Z32" s="98"/>
      <c r="AA32" s="94"/>
      <c r="AB32" s="98"/>
      <c r="AC32" s="94"/>
      <c r="AD32" s="98"/>
      <c r="AE32" s="94"/>
      <c r="AF32" s="98"/>
      <c r="AG32" s="94"/>
      <c r="AH32" s="98"/>
      <c r="AI32" s="94"/>
      <c r="AJ32" s="98"/>
      <c r="AK32" s="94"/>
      <c r="AL32" s="98"/>
      <c r="AM32" s="94"/>
      <c r="AN32" s="98"/>
      <c r="AO32" s="94"/>
      <c r="AP32" s="98"/>
      <c r="AQ32" s="94"/>
      <c r="AR32" s="98"/>
      <c r="AS32" s="94"/>
      <c r="AT32" s="98"/>
      <c r="AU32" s="94"/>
      <c r="AV32" s="98"/>
      <c r="AW32" s="94"/>
      <c r="AX32" s="98"/>
      <c r="AY32" s="94"/>
      <c r="AZ32" s="98"/>
      <c r="BA32" s="94"/>
      <c r="BB32" s="98"/>
      <c r="BC32" s="94"/>
      <c r="BD32" s="98"/>
      <c r="BE32" s="94"/>
      <c r="BF32" s="98"/>
      <c r="BG32" s="94"/>
      <c r="BH32" s="98"/>
      <c r="BI32" s="94"/>
      <c r="BJ32" s="98"/>
      <c r="BK32" s="94"/>
      <c r="BL32" s="98"/>
      <c r="BM32" s="94"/>
      <c r="BN32" s="98"/>
      <c r="BO32" s="94"/>
      <c r="BP32" s="98"/>
      <c r="BQ32" s="94"/>
      <c r="BR32" s="98"/>
      <c r="BS32" s="94"/>
      <c r="BT32" s="98"/>
      <c r="BU32" s="94"/>
      <c r="BV32" s="98"/>
      <c r="BW32" s="99"/>
      <c r="BX32" s="98"/>
      <c r="BY32" s="99"/>
      <c r="BZ32" s="98"/>
      <c r="CA32" s="99"/>
      <c r="CB32" s="98"/>
      <c r="CC32" s="94"/>
      <c r="CD32" s="98"/>
      <c r="CE32" s="99"/>
      <c r="CF32" s="98"/>
      <c r="CG32" s="99"/>
      <c r="CH32" s="98"/>
      <c r="CI32" s="99"/>
      <c r="CJ32" s="98"/>
      <c r="CK32" s="99"/>
      <c r="CL32" s="98"/>
      <c r="CM32" s="99"/>
      <c r="CN32" s="98"/>
      <c r="CO32" s="99"/>
      <c r="CP32" s="98"/>
      <c r="CQ32" s="533">
        <v>25330</v>
      </c>
      <c r="CR32" s="98" t="str">
        <f t="shared" ref="CR32:CR39" si="107">IF(ISERROR((CQ32/CI32-1)*100),"NA",IF(((CQ32/CI32-1)*100)&gt;100,"NM",IF(((CQ32/CI32-1)*100)&lt;-50,"NM",(CQ32/CI32-1)*100)))</f>
        <v>NA</v>
      </c>
      <c r="CS32" s="99">
        <f>CQ38</f>
        <v>25373</v>
      </c>
      <c r="CT32" s="98" t="str">
        <f t="shared" ref="CT32:CT39" si="108">IF(ISERROR((CS32/CK32-1)*100),"NA",IF(((CS32/CK32-1)*100)&gt;100,"NM",IF(((CS32/CK32-1)*100)&lt;-50,"NM",(CS32/CK32-1)*100)))</f>
        <v>NA</v>
      </c>
      <c r="CU32" s="99">
        <f>CS38</f>
        <v>25582</v>
      </c>
      <c r="CV32" s="98" t="str">
        <f t="shared" ref="CV32:CV39" si="109">IF(ISERROR((CU32/CM32-1)*100),"NA",IF(((CU32/CM32-1)*100)&gt;100,"NM",IF(((CU32/CM32-1)*100)&lt;-50,"NM",(CU32/CM32-1)*100)))</f>
        <v>NA</v>
      </c>
      <c r="CW32" s="99">
        <f>CU38</f>
        <v>25661</v>
      </c>
      <c r="CX32" s="98" t="str">
        <f t="shared" ref="CX32:CX39" si="110">IF(ISERROR((CW32/CO32-1)*100),"NA",IF(((CW32/CO32-1)*100)&gt;100,"NM",IF(((CW32/CO32-1)*100)&lt;-50,"NM",(CW32/CO32-1)*100)))</f>
        <v>NA</v>
      </c>
      <c r="CY32" s="99">
        <f>CW38</f>
        <v>26642</v>
      </c>
      <c r="CZ32" s="98">
        <f t="shared" ref="CZ32:CZ39" si="111">IF(ISERROR((CY32/CQ32-1)*100),"NA",IF(((CY32/CQ32-1)*100)&gt;100,"NM",IF(((CY32/CQ32-1)*100)&lt;-50,"NM",(CY32/CQ32-1)*100)))</f>
        <v>5.1796288985392902</v>
      </c>
      <c r="DA32" s="99">
        <f>CY38</f>
        <v>26922</v>
      </c>
      <c r="DB32" s="98">
        <f t="shared" ref="DB32:DB39" si="112">IF(ISERROR((DA32/CS32-1)*100),"NA",IF(((DA32/CS32-1)*100)&gt;100,"NM",IF(((DA32/CS32-1)*100)&lt;-50,"NM",(DA32/CS32-1)*100)))</f>
        <v>6.1049146730776771</v>
      </c>
      <c r="DC32" s="99">
        <f>DA38</f>
        <v>26772</v>
      </c>
      <c r="DD32" s="98">
        <f t="shared" ref="DD32:DD39" si="113">IF(ISERROR((DC32/CU32-1)*100),"NA",IF(((DC32/CU32-1)*100)&gt;100,"NM",IF(((DC32/CU32-1)*100)&lt;-50,"NM",(DC32/CU32-1)*100)))</f>
        <v>4.6517082323508818</v>
      </c>
      <c r="DE32" s="99">
        <f>DC38</f>
        <v>26444</v>
      </c>
      <c r="DF32" s="98">
        <f t="shared" ref="DF32:DF39" si="114">IF(ISERROR((DE32/CW32-1)*100),"NA",IF(((DE32/CW32-1)*100)&gt;100,"NM",IF(((DE32/CW32-1)*100)&lt;-50,"NM",(DE32/CW32-1)*100)))</f>
        <v>3.051323019367902</v>
      </c>
      <c r="DG32" s="99">
        <f>DE38</f>
        <v>25974</v>
      </c>
      <c r="DH32" s="98">
        <f t="shared" ref="DH32:DH39" si="115">IF(ISERROR((DG32/CY32-1)*100),"NA",IF(((DG32/CY32-1)*100)&gt;100,"NM",IF(((DG32/CY32-1)*100)&lt;-50,"NM",(DG32/CY32-1)*100)))</f>
        <v>-2.507319270325048</v>
      </c>
      <c r="DI32" s="99">
        <f>DG38</f>
        <v>26064</v>
      </c>
      <c r="DJ32" s="98">
        <f t="shared" ref="DJ32:DJ39" si="116">IF(ISERROR((DI32/DA32-1)*100),"NA",IF(((DI32/DA32-1)*100)&gt;100,"NM",IF(((DI32/DA32-1)*100)&lt;-50,"NM",(DI32/DA32-1)*100)))</f>
        <v>-3.1869846222420284</v>
      </c>
      <c r="DK32" s="99">
        <f>DI38</f>
        <v>26228</v>
      </c>
      <c r="DL32" s="98">
        <f t="shared" ref="DL32:DL39" si="117">IF(ISERROR((DK32/DC32-1)*100),"NA",IF(((DK32/DC32-1)*100)&gt;100,"NM",IF(((DK32/DC32-1)*100)&lt;-50,"NM",(DK32/DC32-1)*100)))</f>
        <v>-2.0319737038697161</v>
      </c>
      <c r="DM32" s="99">
        <f>DK38</f>
        <v>26460</v>
      </c>
      <c r="DN32" s="98">
        <f t="shared" ref="DN32:DZ39" si="118">IF(ISERROR((DM32/DE32-1)*100),"NA",IF(((DM32/DE32-1)*100)&gt;100,"NM",IF(((DM32/DE32-1)*100)&lt;-50,"NM",(DM32/DE32-1)*100)))</f>
        <v>6.0505218575102049E-2</v>
      </c>
      <c r="DO32" s="99">
        <f>DM38</f>
        <v>26657</v>
      </c>
      <c r="DP32" s="98">
        <f t="shared" si="118"/>
        <v>2.6295526295526228</v>
      </c>
      <c r="DQ32" s="99">
        <f>DO38</f>
        <v>26772</v>
      </c>
      <c r="DR32" s="98">
        <f t="shared" si="118"/>
        <v>2.7163904235727454</v>
      </c>
      <c r="DS32" s="99">
        <v>18509</v>
      </c>
      <c r="DT32" s="98">
        <f t="shared" si="118"/>
        <v>-29.430379746835445</v>
      </c>
      <c r="DU32" s="99">
        <f>DS38</f>
        <v>18678</v>
      </c>
      <c r="DV32" s="98">
        <f t="shared" si="118"/>
        <v>-29.410430839002267</v>
      </c>
      <c r="DW32" s="99">
        <f>DU38</f>
        <v>18649</v>
      </c>
      <c r="DX32" s="98">
        <f t="shared" si="118"/>
        <v>-30.040889822560679</v>
      </c>
      <c r="DY32" s="99">
        <f>DW38</f>
        <v>18643</v>
      </c>
      <c r="DZ32" s="98">
        <f t="shared" si="118"/>
        <v>-30.363812938891378</v>
      </c>
      <c r="EA32" s="99">
        <f>DY38</f>
        <v>18668</v>
      </c>
      <c r="EB32" s="98">
        <f t="shared" ref="EB32:EB39" si="119">IF(ISERROR((EA32/DS32-1)*100),"NA",IF(((EA32/DS32-1)*100)&gt;100,"NM",IF(((EA32/DS32-1)*100)&lt;-50,"NM",(EA32/DS32-1)*100)))</f>
        <v>0.85904154735534366</v>
      </c>
      <c r="EC32" s="99">
        <f>EA38</f>
        <v>18741</v>
      </c>
      <c r="ED32" s="98">
        <f t="shared" ref="ED32:ED39" si="120">IF(ISERROR((EC32/DU32-1)*100),"NA",IF(((EC32/DU32-1)*100)&gt;100,"NM",IF(((EC32/DU32-1)*100)&lt;-50,"NM",(EC32/DU32-1)*100)))</f>
        <v>0.33729521362029224</v>
      </c>
      <c r="EE32" s="99">
        <f>EC38</f>
        <v>18796</v>
      </c>
      <c r="EF32" s="860">
        <f t="shared" ref="EF32:EF39" si="121">IF(ISERROR((EE32/DW32-1)*100),"NA",IF(((EE32/DW32-1)*100)&gt;100,"NM",IF(((EE32/DW32-1)*100)&lt;-50,"NM",(EE32/DW32-1)*100)))</f>
        <v>0.78824601855327359</v>
      </c>
      <c r="EG32" s="99">
        <f>EE38</f>
        <v>18902</v>
      </c>
      <c r="EH32" s="860">
        <f t="shared" ref="EH32:EH39" si="122">IF(ISERROR((EG32/DY32-1)*100),"NA",IF(((EG32/DY32-1)*100)&gt;100,"NM",IF(((EG32/DY32-1)*100)&lt;-50,"NM",(EG32/DY32-1)*100)))</f>
        <v>1.3892613849702196</v>
      </c>
      <c r="EI32" s="99">
        <f>EG38</f>
        <v>18909</v>
      </c>
      <c r="EJ32" s="860">
        <f t="shared" ref="EJ32:EJ39" si="123">IF(ISERROR((EI32/EA32-1)*100),"NA",IF(((EI32/EA32-1)*100)&gt;100,"NM",IF(((EI32/EA32-1)*100)&lt;-50,"NM",(EI32/EA32-1)*100)))</f>
        <v>1.2909792157703048</v>
      </c>
      <c r="EK32" s="99">
        <f>EI38</f>
        <v>18982</v>
      </c>
      <c r="EL32" s="860">
        <f t="shared" ref="EL32:EL39" si="124">IF(ISERROR((EK32/EC32-1)*100),"NA",IF(((EK32/EC32-1)*100)&gt;100,"NM",IF(((EK32/EC32-1)*100)&lt;-50,"NM",(EK32/EC32-1)*100)))</f>
        <v>1.2859505896163581</v>
      </c>
      <c r="EM32" s="99">
        <f>EK38</f>
        <v>18954</v>
      </c>
      <c r="EN32" s="860">
        <f t="shared" ref="EN32:EN39" si="125">IF(ISERROR((EM32/EE32-1)*100),"NA",IF(((EM32/EE32-1)*100)&gt;100,"NM",IF(((EM32/EE32-1)*100)&lt;-50,"NM",(EM32/EE32-1)*100)))</f>
        <v>0.84060438391146963</v>
      </c>
      <c r="EO32" s="99">
        <f>EM38</f>
        <v>18939</v>
      </c>
      <c r="EP32" s="98">
        <f t="shared" ref="EP32:EP39" si="126">IF(ISERROR((EO32/EG32-1)*100),"NA",IF(((EO32/EG32-1)*100)&gt;100,"NM",IF(((EO32/EG32-1)*100)&lt;-50,"NM",(EO32/EG32-1)*100)))</f>
        <v>0.19574648185376464</v>
      </c>
      <c r="EQ32" s="778">
        <f t="shared" ref="EQ32" si="127">EO38</f>
        <v>18927</v>
      </c>
      <c r="ER32" s="98">
        <f t="shared" ref="ER32:ER39" si="128">IF(ISERROR((EQ32/EI32-1)*100),"NA",IF(((EQ32/EI32-1)*100)&gt;100,"NM",IF(((EQ32/EI32-1)*100)&lt;-50,"NM",(EQ32/EI32-1)*100)))</f>
        <v>9.519276534983856E-2</v>
      </c>
      <c r="ES32" s="778">
        <f t="shared" ref="ES32" si="129">EQ38</f>
        <v>19039.324603199748</v>
      </c>
      <c r="ET32" s="98">
        <f t="shared" ref="ET32:ET39" si="130">IF(ISERROR((ES32/EK32-1)*100),"NA",IF(((ES32/EK32-1)*100)&gt;100,"NM",IF(((ES32/EK32-1)*100)&lt;-50,"NM",(ES32/EK32-1)*100)))</f>
        <v>0.30199453798203102</v>
      </c>
      <c r="EU32" s="778">
        <f t="shared" ref="EU32" si="131">ES38</f>
        <v>19098.609172916091</v>
      </c>
      <c r="EV32" s="98">
        <f t="shared" ref="EV32:EV39" si="132">IF(ISERROR((EU32/EM32-1)*100),"NA",IF(((EU32/EM32-1)*100)&gt;100,"NM",IF(((EU32/EM32-1)*100)&lt;-50,"NM",(EU32/EM32-1)*100)))</f>
        <v>0.76294804746275258</v>
      </c>
      <c r="EW32" s="778">
        <f t="shared" ref="EW32" si="133">EU38</f>
        <v>19151.873656365056</v>
      </c>
      <c r="EX32" s="98">
        <f t="shared" ref="EX32:EX39" si="134">IF(ISERROR((EW32/EO32-1)*100),"NA",IF(((EW32/EO32-1)*100)&gt;100,"NM",IF(((EW32/EO32-1)*100)&lt;-50,"NM",(EW32/EO32-1)*100)))</f>
        <v>1.123996284730211</v>
      </c>
      <c r="EY32" s="96"/>
      <c r="EZ32" s="594"/>
      <c r="FA32" s="405"/>
      <c r="FB32" s="94"/>
      <c r="FC32" s="92"/>
      <c r="FD32" s="94"/>
      <c r="FE32" s="92"/>
      <c r="FF32" s="95"/>
      <c r="FG32" s="92"/>
      <c r="FH32" s="95"/>
      <c r="FI32" s="92"/>
      <c r="FJ32" s="95"/>
      <c r="FK32" s="92"/>
      <c r="FL32" s="95"/>
      <c r="FM32" s="92"/>
      <c r="FN32" s="95"/>
      <c r="FO32" s="92"/>
      <c r="FP32" s="95"/>
      <c r="FQ32" s="92"/>
      <c r="FR32" s="96"/>
      <c r="FS32" s="97"/>
      <c r="FT32" s="96"/>
      <c r="FU32" s="97"/>
      <c r="FV32" s="96"/>
      <c r="FW32" s="98"/>
      <c r="FX32" s="481"/>
      <c r="FY32" s="98"/>
      <c r="FZ32" s="100"/>
      <c r="GA32" s="98"/>
      <c r="GB32" s="481"/>
      <c r="GC32" s="98"/>
      <c r="GD32" s="100">
        <f>CU32</f>
        <v>25582</v>
      </c>
      <c r="GE32" s="98" t="str">
        <f t="shared" ref="GE32:GE39" si="135">IF(ISERROR((GD32/GB32-1)*100),"NA",IF(((GD32/GB32-1)*100)&gt;100,"NM",IF(((GD32/GB32-1)*100)&lt;-50,"NM",(GD32/GB32-1)*100)))</f>
        <v>NA</v>
      </c>
      <c r="GF32" s="100">
        <f>GD38</f>
        <v>26772</v>
      </c>
      <c r="GG32" s="98">
        <f t="shared" ref="GG32:GW39" si="136">IF(ISERROR((GF32/GD32-1)*100),"NA",IF(((GF32/GD32-1)*100)&gt;100,"NM",IF(((GF32/GD32-1)*100)&lt;-50,"NM",(GF32/GD32-1)*100)))</f>
        <v>4.6517082323508818</v>
      </c>
      <c r="GH32" s="100">
        <f>GF38</f>
        <v>26228</v>
      </c>
      <c r="GI32" s="98">
        <f t="shared" si="136"/>
        <v>-2.0319737038697161</v>
      </c>
      <c r="GJ32" s="100">
        <f>DS32</f>
        <v>18509</v>
      </c>
      <c r="GK32" s="98">
        <f t="shared" si="136"/>
        <v>-29.430379746835445</v>
      </c>
      <c r="GL32" s="100">
        <f>GJ38</f>
        <v>18668</v>
      </c>
      <c r="GM32" s="98">
        <f t="shared" si="136"/>
        <v>0.85904154735534366</v>
      </c>
      <c r="GN32" s="100">
        <f>GL38</f>
        <v>18909</v>
      </c>
      <c r="GO32" s="98">
        <f t="shared" si="136"/>
        <v>1.2909792157703048</v>
      </c>
      <c r="GP32" s="100">
        <f>GN38</f>
        <v>18927</v>
      </c>
      <c r="GQ32" s="98">
        <f t="shared" si="136"/>
        <v>9.519276534983856E-2</v>
      </c>
      <c r="GR32" s="100">
        <f>GP38</f>
        <v>19150.900998916739</v>
      </c>
      <c r="GS32" s="98">
        <f t="shared" si="136"/>
        <v>1.1829714107715938</v>
      </c>
      <c r="GT32" s="100">
        <f>GR38</f>
        <v>19425.904838919469</v>
      </c>
      <c r="GU32" s="98">
        <f t="shared" si="136"/>
        <v>1.435983821431086</v>
      </c>
      <c r="GV32" s="100">
        <f>GT38</f>
        <v>19747.816054308863</v>
      </c>
      <c r="GW32" s="98">
        <f t="shared" si="136"/>
        <v>1.6571234033044835</v>
      </c>
      <c r="GX32" s="100">
        <f>GV38</f>
        <v>20113.052657446511</v>
      </c>
      <c r="GY32" s="98">
        <f t="shared" ref="GY32:GY39" si="137">IF(ISERROR((GX32/GV32-1)*100),"NA",IF(((GX32/GV32-1)*100)&gt;100,"NM",IF(((GX32/GV32-1)*100)&lt;-50,"NM",(GX32/GV32-1)*100)))</f>
        <v>1.8495037736486974</v>
      </c>
      <c r="GZ32" s="98">
        <f t="shared" ref="GZ32:GZ39" si="138">IF(ISERROR(((GX32/GN32)^0.2-1)*100),"NA",IF((((GX32/GN32)^0.2-1)*100)&gt;100,"NM",IF((((GX32/GN32)^0.2-1)*100)&lt;-50,"NM",((GX32/GN32)^0.2-1)*100)))</f>
        <v>1.2422727137671119</v>
      </c>
      <c r="HA32" s="98"/>
      <c r="HB32" s="10"/>
      <c r="HC32"/>
      <c r="HD32"/>
      <c r="HE32"/>
      <c r="HF32"/>
      <c r="HG32"/>
      <c r="HH32"/>
      <c r="HI32" s="10"/>
    </row>
    <row r="33" spans="2:217" s="2" customFormat="1" ht="12.75" customHeight="1" x14ac:dyDescent="0.2">
      <c r="B33" s="91" t="s">
        <v>340</v>
      </c>
      <c r="C33" s="94"/>
      <c r="D33" s="92"/>
      <c r="E33" s="94"/>
      <c r="F33" s="92"/>
      <c r="G33" s="94"/>
      <c r="H33" s="92"/>
      <c r="I33" s="94"/>
      <c r="J33" s="98"/>
      <c r="K33" s="94"/>
      <c r="L33" s="98"/>
      <c r="M33" s="94"/>
      <c r="N33" s="98"/>
      <c r="O33" s="94"/>
      <c r="P33" s="98"/>
      <c r="Q33" s="94"/>
      <c r="R33" s="98"/>
      <c r="S33" s="94"/>
      <c r="T33" s="98"/>
      <c r="U33" s="94"/>
      <c r="V33" s="98"/>
      <c r="W33" s="94"/>
      <c r="X33" s="98"/>
      <c r="Y33" s="94"/>
      <c r="Z33" s="98"/>
      <c r="AA33" s="94"/>
      <c r="AB33" s="98"/>
      <c r="AC33" s="94"/>
      <c r="AD33" s="98"/>
      <c r="AE33" s="94"/>
      <c r="AF33" s="98"/>
      <c r="AG33" s="94"/>
      <c r="AH33" s="98"/>
      <c r="AI33" s="94"/>
      <c r="AJ33" s="98"/>
      <c r="AK33" s="94"/>
      <c r="AL33" s="98"/>
      <c r="AM33" s="94"/>
      <c r="AN33" s="98"/>
      <c r="AO33" s="94"/>
      <c r="AP33" s="98"/>
      <c r="AQ33" s="94"/>
      <c r="AR33" s="98"/>
      <c r="AS33" s="94"/>
      <c r="AT33" s="98"/>
      <c r="AU33" s="94"/>
      <c r="AV33" s="98"/>
      <c r="AW33" s="94"/>
      <c r="AX33" s="98"/>
      <c r="AY33" s="94"/>
      <c r="AZ33" s="98"/>
      <c r="BA33" s="94"/>
      <c r="BB33" s="98"/>
      <c r="BC33" s="94"/>
      <c r="BD33" s="98"/>
      <c r="BE33" s="94"/>
      <c r="BF33" s="98"/>
      <c r="BG33" s="94"/>
      <c r="BH33" s="98"/>
      <c r="BI33" s="94"/>
      <c r="BJ33" s="98"/>
      <c r="BK33" s="94"/>
      <c r="BL33" s="98"/>
      <c r="BM33" s="94"/>
      <c r="BN33" s="98"/>
      <c r="BO33" s="94"/>
      <c r="BP33" s="98"/>
      <c r="BQ33" s="101"/>
      <c r="BR33" s="98"/>
      <c r="BS33" s="101"/>
      <c r="BT33" s="98"/>
      <c r="BU33" s="101"/>
      <c r="BV33" s="98"/>
      <c r="BW33" s="101"/>
      <c r="BX33" s="98"/>
      <c r="BY33" s="101"/>
      <c r="BZ33" s="98"/>
      <c r="CA33" s="101"/>
      <c r="CB33" s="98"/>
      <c r="CC33" s="101"/>
      <c r="CD33" s="98"/>
      <c r="CE33" s="101"/>
      <c r="CF33" s="98"/>
      <c r="CG33" s="101"/>
      <c r="CH33" s="98"/>
      <c r="CI33" s="101"/>
      <c r="CJ33" s="98"/>
      <c r="CK33" s="101"/>
      <c r="CL33" s="98"/>
      <c r="CM33" s="101"/>
      <c r="CN33" s="98"/>
      <c r="CO33" s="101"/>
      <c r="CP33" s="98"/>
      <c r="CQ33" s="542">
        <v>4276</v>
      </c>
      <c r="CR33" s="98" t="str">
        <f t="shared" si="107"/>
        <v>NA</v>
      </c>
      <c r="CS33" s="101">
        <v>4118</v>
      </c>
      <c r="CT33" s="98" t="str">
        <f t="shared" si="108"/>
        <v>NA</v>
      </c>
      <c r="CU33" s="101">
        <v>4296</v>
      </c>
      <c r="CV33" s="98" t="str">
        <f t="shared" si="109"/>
        <v>NA</v>
      </c>
      <c r="CW33" s="101">
        <v>4330</v>
      </c>
      <c r="CX33" s="98" t="str">
        <f t="shared" si="110"/>
        <v>NA</v>
      </c>
      <c r="CY33" s="101">
        <v>4428</v>
      </c>
      <c r="CZ33" s="98">
        <f t="shared" si="111"/>
        <v>3.5547240411599734</v>
      </c>
      <c r="DA33" s="101">
        <v>4269</v>
      </c>
      <c r="DB33" s="98">
        <f t="shared" si="112"/>
        <v>3.6668285575522042</v>
      </c>
      <c r="DC33" s="101">
        <v>4445</v>
      </c>
      <c r="DD33" s="98">
        <f t="shared" si="113"/>
        <v>3.4683426443202992</v>
      </c>
      <c r="DE33" s="101">
        <v>4327</v>
      </c>
      <c r="DF33" s="98">
        <f t="shared" si="114"/>
        <v>-6.9284064665131595E-2</v>
      </c>
      <c r="DG33" s="101">
        <v>4515</v>
      </c>
      <c r="DH33" s="98">
        <f t="shared" si="115"/>
        <v>1.9647696476964738</v>
      </c>
      <c r="DI33" s="101">
        <v>4283</v>
      </c>
      <c r="DJ33" s="98">
        <f t="shared" si="116"/>
        <v>0.32794565472007431</v>
      </c>
      <c r="DK33" s="101">
        <v>4546</v>
      </c>
      <c r="DL33" s="98">
        <f t="shared" si="117"/>
        <v>2.2722159730033775</v>
      </c>
      <c r="DM33" s="101">
        <v>4500</v>
      </c>
      <c r="DN33" s="98">
        <f t="shared" si="118"/>
        <v>3.9981511439796558</v>
      </c>
      <c r="DO33" s="101">
        <v>4845</v>
      </c>
      <c r="DP33" s="98">
        <f t="shared" si="118"/>
        <v>7.3089700996677776</v>
      </c>
      <c r="DQ33" s="101">
        <v>4548</v>
      </c>
      <c r="DR33" s="98">
        <f t="shared" si="118"/>
        <v>6.1872519262199388</v>
      </c>
      <c r="DS33" s="101">
        <v>4471</v>
      </c>
      <c r="DT33" s="98">
        <f t="shared" si="118"/>
        <v>-1.649802023757152</v>
      </c>
      <c r="DU33" s="101">
        <v>4500</v>
      </c>
      <c r="DV33" s="98">
        <f t="shared" si="118"/>
        <v>0</v>
      </c>
      <c r="DW33" s="101">
        <v>4441</v>
      </c>
      <c r="DX33" s="98">
        <f t="shared" si="118"/>
        <v>-8.338493292053661</v>
      </c>
      <c r="DY33" s="101">
        <v>4359</v>
      </c>
      <c r="DZ33" s="98">
        <f t="shared" si="118"/>
        <v>-4.1556728232189926</v>
      </c>
      <c r="EA33" s="101">
        <v>4629</v>
      </c>
      <c r="EB33" s="98">
        <f t="shared" si="119"/>
        <v>3.533885036904505</v>
      </c>
      <c r="EC33" s="101">
        <v>4611</v>
      </c>
      <c r="ED33" s="98">
        <f t="shared" si="120"/>
        <v>2.4666666666666615</v>
      </c>
      <c r="EE33" s="101">
        <v>4665</v>
      </c>
      <c r="EF33" s="860">
        <f t="shared" si="121"/>
        <v>5.0439090294978506</v>
      </c>
      <c r="EG33" s="101">
        <v>4480</v>
      </c>
      <c r="EH33" s="860">
        <f t="shared" si="122"/>
        <v>2.7758660243174971</v>
      </c>
      <c r="EI33" s="101">
        <v>4819</v>
      </c>
      <c r="EJ33" s="860">
        <f t="shared" si="123"/>
        <v>4.1045582199179087</v>
      </c>
      <c r="EK33" s="101">
        <v>4698</v>
      </c>
      <c r="EL33" s="860">
        <f t="shared" si="124"/>
        <v>1.8867924528301883</v>
      </c>
      <c r="EM33" s="101">
        <v>4549</v>
      </c>
      <c r="EN33" s="860">
        <f t="shared" si="125"/>
        <v>-2.4866023579849905</v>
      </c>
      <c r="EO33" s="101">
        <v>4553</v>
      </c>
      <c r="EP33" s="98">
        <f t="shared" si="126"/>
        <v>1.6294642857142883</v>
      </c>
      <c r="EQ33" s="950">
        <f>EI33*1.03</f>
        <v>4963.57</v>
      </c>
      <c r="ER33" s="98">
        <f t="shared" si="128"/>
        <v>3.0000000000000027</v>
      </c>
      <c r="ES33" s="950">
        <f>EK33*1.03</f>
        <v>4838.9400000000005</v>
      </c>
      <c r="ET33" s="98">
        <f t="shared" si="130"/>
        <v>3.0000000000000027</v>
      </c>
      <c r="EU33" s="950">
        <f>EM33*1.03</f>
        <v>4685.47</v>
      </c>
      <c r="EV33" s="98">
        <f t="shared" si="132"/>
        <v>3.0000000000000027</v>
      </c>
      <c r="EW33" s="950">
        <f>EO33*1.03</f>
        <v>4689.59</v>
      </c>
      <c r="EX33" s="98">
        <f t="shared" si="134"/>
        <v>3.0000000000000027</v>
      </c>
      <c r="EY33" s="100"/>
      <c r="EZ33" s="594"/>
      <c r="FA33" s="405"/>
      <c r="FB33" s="94"/>
      <c r="FC33" s="92"/>
      <c r="FD33" s="94"/>
      <c r="FE33" s="92"/>
      <c r="FF33" s="95"/>
      <c r="FG33" s="92"/>
      <c r="FH33" s="95"/>
      <c r="FI33" s="92"/>
      <c r="FJ33" s="95"/>
      <c r="FK33" s="92"/>
      <c r="FL33" s="95"/>
      <c r="FM33" s="92"/>
      <c r="FN33" s="95"/>
      <c r="FO33" s="92"/>
      <c r="FP33" s="95"/>
      <c r="FQ33" s="92"/>
      <c r="FR33" s="96"/>
      <c r="FS33" s="97"/>
      <c r="FT33" s="96"/>
      <c r="FU33" s="97"/>
      <c r="FV33" s="96"/>
      <c r="FW33" s="98"/>
      <c r="FX33" s="481"/>
      <c r="FY33" s="98"/>
      <c r="FZ33" s="100"/>
      <c r="GA33" s="98"/>
      <c r="GB33" s="486"/>
      <c r="GC33" s="98"/>
      <c r="GD33" s="117">
        <f>CU33+CW33+CY33+DA33</f>
        <v>17323</v>
      </c>
      <c r="GE33" s="98" t="str">
        <f t="shared" si="135"/>
        <v>NA</v>
      </c>
      <c r="GF33" s="117">
        <f>DC33+DE33+DG33+DI33</f>
        <v>17570</v>
      </c>
      <c r="GG33" s="98">
        <f t="shared" si="136"/>
        <v>1.4258500259770157</v>
      </c>
      <c r="GH33" s="117">
        <f>DK33+DM33+DO33+DQ33</f>
        <v>18439</v>
      </c>
      <c r="GI33" s="98">
        <f t="shared" si="136"/>
        <v>4.9459305634604434</v>
      </c>
      <c r="GJ33" s="117">
        <f>DS33+DU33+DW33+DY33</f>
        <v>17771</v>
      </c>
      <c r="GK33" s="98">
        <f t="shared" si="136"/>
        <v>-3.6227561147567644</v>
      </c>
      <c r="GL33" s="117">
        <f>EA33+EC33+EE33+EG33</f>
        <v>18385</v>
      </c>
      <c r="GM33" s="98">
        <f t="shared" si="136"/>
        <v>3.4550672443869335</v>
      </c>
      <c r="GN33" s="117">
        <f>EI33+EK33+EM33+EO33</f>
        <v>18619</v>
      </c>
      <c r="GO33" s="98">
        <f t="shared" si="136"/>
        <v>1.272776720152291</v>
      </c>
      <c r="GP33" s="117">
        <f>EQ33+ES33+EU33+EW33</f>
        <v>19177.57</v>
      </c>
      <c r="GQ33" s="98">
        <f t="shared" si="136"/>
        <v>3.0000000000000027</v>
      </c>
      <c r="GR33" s="95">
        <f>GP33*1.03</f>
        <v>19752.897100000002</v>
      </c>
      <c r="GS33" s="98">
        <f t="shared" si="136"/>
        <v>3.0000000000000027</v>
      </c>
      <c r="GT33" s="95">
        <f>GR33*1.03</f>
        <v>20345.484013000001</v>
      </c>
      <c r="GU33" s="98">
        <f t="shared" si="136"/>
        <v>3.0000000000000027</v>
      </c>
      <c r="GV33" s="95">
        <f>GT33*1.03</f>
        <v>20955.848533390003</v>
      </c>
      <c r="GW33" s="98">
        <f t="shared" si="136"/>
        <v>3.0000000000000027</v>
      </c>
      <c r="GX33" s="95">
        <f>GV33*1.03</f>
        <v>21584.523989391702</v>
      </c>
      <c r="GY33" s="98">
        <f t="shared" si="137"/>
        <v>3.0000000000000027</v>
      </c>
      <c r="GZ33" s="98">
        <f t="shared" si="138"/>
        <v>3.0000000000000027</v>
      </c>
      <c r="HA33" s="98"/>
      <c r="HB33" s="10"/>
      <c r="HC33"/>
      <c r="HD33"/>
      <c r="HE33"/>
      <c r="HF33"/>
      <c r="HG33"/>
      <c r="HH33"/>
      <c r="HI33" s="10"/>
    </row>
    <row r="34" spans="2:217" s="2" customFormat="1" ht="12.75" customHeight="1" x14ac:dyDescent="0.2">
      <c r="B34" s="91" t="s">
        <v>306</v>
      </c>
      <c r="C34" s="94"/>
      <c r="D34" s="92"/>
      <c r="E34" s="94"/>
      <c r="F34" s="92"/>
      <c r="G34" s="94"/>
      <c r="H34" s="92"/>
      <c r="I34" s="94"/>
      <c r="J34" s="98"/>
      <c r="K34" s="94"/>
      <c r="L34" s="98"/>
      <c r="M34" s="94"/>
      <c r="N34" s="98"/>
      <c r="O34" s="94"/>
      <c r="P34" s="98"/>
      <c r="Q34" s="94"/>
      <c r="R34" s="98"/>
      <c r="S34" s="94"/>
      <c r="T34" s="98"/>
      <c r="U34" s="94"/>
      <c r="V34" s="98"/>
      <c r="W34" s="94"/>
      <c r="X34" s="98"/>
      <c r="Y34" s="94"/>
      <c r="Z34" s="98"/>
      <c r="AA34" s="94"/>
      <c r="AB34" s="98"/>
      <c r="AC34" s="94"/>
      <c r="AD34" s="98"/>
      <c r="AE34" s="94"/>
      <c r="AF34" s="98"/>
      <c r="AG34" s="94"/>
      <c r="AH34" s="98"/>
      <c r="AI34" s="94"/>
      <c r="AJ34" s="98"/>
      <c r="AK34" s="94"/>
      <c r="AL34" s="98"/>
      <c r="AM34" s="94"/>
      <c r="AN34" s="98"/>
      <c r="AO34" s="94"/>
      <c r="AP34" s="98"/>
      <c r="AQ34" s="94"/>
      <c r="AR34" s="98"/>
      <c r="AS34" s="94"/>
      <c r="AT34" s="98"/>
      <c r="AU34" s="94"/>
      <c r="AV34" s="98"/>
      <c r="AW34" s="94"/>
      <c r="AX34" s="98"/>
      <c r="AY34" s="94"/>
      <c r="AZ34" s="98"/>
      <c r="BA34" s="94"/>
      <c r="BB34" s="98"/>
      <c r="BC34" s="94"/>
      <c r="BD34" s="98"/>
      <c r="BE34" s="94"/>
      <c r="BF34" s="98"/>
      <c r="BG34" s="94"/>
      <c r="BH34" s="98"/>
      <c r="BI34" s="94"/>
      <c r="BJ34" s="98"/>
      <c r="BK34" s="94"/>
      <c r="BL34" s="98"/>
      <c r="BM34" s="94"/>
      <c r="BN34" s="98"/>
      <c r="BO34" s="94"/>
      <c r="BP34" s="98"/>
      <c r="BQ34" s="101"/>
      <c r="BR34" s="98"/>
      <c r="BS34" s="101"/>
      <c r="BT34" s="98"/>
      <c r="BU34" s="101"/>
      <c r="BV34" s="98"/>
      <c r="BW34" s="101"/>
      <c r="BX34" s="98"/>
      <c r="BY34" s="101"/>
      <c r="BZ34" s="98"/>
      <c r="CA34" s="101"/>
      <c r="CB34" s="98"/>
      <c r="CC34" s="101"/>
      <c r="CD34" s="98"/>
      <c r="CE34" s="101"/>
      <c r="CF34" s="98"/>
      <c r="CG34" s="101"/>
      <c r="CH34" s="98"/>
      <c r="CI34" s="101"/>
      <c r="CJ34" s="98"/>
      <c r="CK34" s="101"/>
      <c r="CL34" s="98"/>
      <c r="CM34" s="101"/>
      <c r="CN34" s="98"/>
      <c r="CO34" s="101"/>
      <c r="CP34" s="98"/>
      <c r="CQ34" s="542">
        <v>212</v>
      </c>
      <c r="CR34" s="98" t="str">
        <f t="shared" si="107"/>
        <v>NA</v>
      </c>
      <c r="CS34" s="101">
        <v>213</v>
      </c>
      <c r="CT34" s="98" t="str">
        <f t="shared" si="108"/>
        <v>NA</v>
      </c>
      <c r="CU34" s="101">
        <v>212</v>
      </c>
      <c r="CV34" s="98" t="str">
        <f t="shared" si="109"/>
        <v>NA</v>
      </c>
      <c r="CW34" s="101">
        <v>209</v>
      </c>
      <c r="CX34" s="98" t="str">
        <f t="shared" si="110"/>
        <v>NA</v>
      </c>
      <c r="CY34" s="101">
        <v>211</v>
      </c>
      <c r="CZ34" s="98">
        <f t="shared" si="111"/>
        <v>-0.47169811320755262</v>
      </c>
      <c r="DA34" s="101">
        <v>218</v>
      </c>
      <c r="DB34" s="98">
        <f t="shared" si="112"/>
        <v>2.3474178403755763</v>
      </c>
      <c r="DC34" s="101">
        <v>211</v>
      </c>
      <c r="DD34" s="98">
        <f t="shared" si="113"/>
        <v>-0.47169811320755262</v>
      </c>
      <c r="DE34" s="101">
        <v>214</v>
      </c>
      <c r="DF34" s="98">
        <f t="shared" si="114"/>
        <v>2.3923444976076569</v>
      </c>
      <c r="DG34" s="101">
        <v>218</v>
      </c>
      <c r="DH34" s="98">
        <f t="shared" si="115"/>
        <v>3.3175355450236976</v>
      </c>
      <c r="DI34" s="101">
        <v>221</v>
      </c>
      <c r="DJ34" s="98">
        <f t="shared" si="116"/>
        <v>1.3761467889908285</v>
      </c>
      <c r="DK34" s="101">
        <v>219</v>
      </c>
      <c r="DL34" s="98">
        <f t="shared" si="117"/>
        <v>3.7914691943127909</v>
      </c>
      <c r="DM34" s="101">
        <v>223</v>
      </c>
      <c r="DN34" s="98">
        <f t="shared" si="118"/>
        <v>4.20560747663552</v>
      </c>
      <c r="DO34" s="101">
        <v>227</v>
      </c>
      <c r="DP34" s="98">
        <f t="shared" si="118"/>
        <v>4.1284403669724856</v>
      </c>
      <c r="DQ34" s="101">
        <v>227</v>
      </c>
      <c r="DR34" s="98">
        <f t="shared" si="118"/>
        <v>2.7149321266968229</v>
      </c>
      <c r="DS34" s="101">
        <v>130</v>
      </c>
      <c r="DT34" s="98">
        <f t="shared" si="118"/>
        <v>-40.6392694063927</v>
      </c>
      <c r="DU34" s="101">
        <v>132</v>
      </c>
      <c r="DV34" s="98">
        <f t="shared" si="118"/>
        <v>-40.807174887892373</v>
      </c>
      <c r="DW34" s="101">
        <f>134+1</f>
        <v>135</v>
      </c>
      <c r="DX34" s="98">
        <f t="shared" si="118"/>
        <v>-40.528634361233486</v>
      </c>
      <c r="DY34" s="101">
        <v>137</v>
      </c>
      <c r="DZ34" s="98">
        <f t="shared" si="118"/>
        <v>-39.647577092511014</v>
      </c>
      <c r="EA34" s="101">
        <v>132</v>
      </c>
      <c r="EB34" s="98">
        <f t="shared" si="119"/>
        <v>1.538461538461533</v>
      </c>
      <c r="EC34" s="101">
        <v>131</v>
      </c>
      <c r="ED34" s="98">
        <f t="shared" si="120"/>
        <v>-0.7575757575757569</v>
      </c>
      <c r="EE34" s="101">
        <f>132+4</f>
        <v>136</v>
      </c>
      <c r="EF34" s="860">
        <f t="shared" si="121"/>
        <v>0.74074074074073071</v>
      </c>
      <c r="EG34" s="101">
        <v>130</v>
      </c>
      <c r="EH34" s="860">
        <f t="shared" si="122"/>
        <v>-5.1094890510948954</v>
      </c>
      <c r="EI34" s="101">
        <f>131-1</f>
        <v>130</v>
      </c>
      <c r="EJ34" s="860">
        <f t="shared" si="123"/>
        <v>-1.5151515151515138</v>
      </c>
      <c r="EK34" s="101">
        <v>131</v>
      </c>
      <c r="EL34" s="860">
        <f t="shared" si="124"/>
        <v>0</v>
      </c>
      <c r="EM34" s="101">
        <f>132+2</f>
        <v>134</v>
      </c>
      <c r="EN34" s="860">
        <f t="shared" si="125"/>
        <v>-1.4705882352941124</v>
      </c>
      <c r="EO34" s="101">
        <v>129</v>
      </c>
      <c r="EP34" s="98">
        <f t="shared" si="126"/>
        <v>-0.7692307692307665</v>
      </c>
      <c r="EQ34" s="1034">
        <f t="shared" ref="EQ34" si="139">EQ41/4*EQ32/100</f>
        <v>128.91826389988913</v>
      </c>
      <c r="ER34" s="98">
        <f t="shared" si="128"/>
        <v>-0.83210469239297646</v>
      </c>
      <c r="ES34" s="1034">
        <f t="shared" ref="ES34" si="140">ES41/4*ES32/100</f>
        <v>129.68334515089325</v>
      </c>
      <c r="ET34" s="98">
        <f t="shared" si="130"/>
        <v>-1.0050800374860724</v>
      </c>
      <c r="EU34" s="1034">
        <f t="shared" ref="EU34" si="141">EU41/4*EU32/100</f>
        <v>130.0871526113404</v>
      </c>
      <c r="EV34" s="98">
        <f t="shared" si="132"/>
        <v>-2.9200353646713473</v>
      </c>
      <c r="EW34" s="1034">
        <f t="shared" ref="EW34" si="142">EW41/4*EW32/100</f>
        <v>130.449955207302</v>
      </c>
      <c r="EX34" s="98">
        <f t="shared" si="134"/>
        <v>1.1239962847302332</v>
      </c>
      <c r="EY34" s="100"/>
      <c r="EZ34" s="594"/>
      <c r="FA34" s="405"/>
      <c r="FB34" s="94"/>
      <c r="FC34" s="92"/>
      <c r="FD34" s="94"/>
      <c r="FE34" s="92"/>
      <c r="FF34" s="95"/>
      <c r="FG34" s="92"/>
      <c r="FH34" s="95"/>
      <c r="FI34" s="92"/>
      <c r="FJ34" s="95"/>
      <c r="FK34" s="92"/>
      <c r="FL34" s="95"/>
      <c r="FM34" s="92"/>
      <c r="FN34" s="95"/>
      <c r="FO34" s="92"/>
      <c r="FP34" s="95"/>
      <c r="FQ34" s="92"/>
      <c r="FR34" s="96"/>
      <c r="FS34" s="97"/>
      <c r="FT34" s="96"/>
      <c r="FU34" s="97"/>
      <c r="FV34" s="96"/>
      <c r="FW34" s="98"/>
      <c r="FX34" s="481"/>
      <c r="FY34" s="98"/>
      <c r="FZ34" s="100"/>
      <c r="GA34" s="98"/>
      <c r="GB34" s="481"/>
      <c r="GC34" s="98"/>
      <c r="GD34" s="117">
        <f>CU34+CW34+CY34+DA34</f>
        <v>850</v>
      </c>
      <c r="GE34" s="98" t="str">
        <f t="shared" si="135"/>
        <v>NA</v>
      </c>
      <c r="GF34" s="117">
        <f>DC34+DE34+DG34+DI34</f>
        <v>864</v>
      </c>
      <c r="GG34" s="98">
        <f t="shared" si="136"/>
        <v>1.6470588235294015</v>
      </c>
      <c r="GH34" s="117">
        <f>DK34+DM34+DO34+DQ34</f>
        <v>896</v>
      </c>
      <c r="GI34" s="98">
        <f t="shared" si="136"/>
        <v>3.7037037037036979</v>
      </c>
      <c r="GJ34" s="117">
        <f>DS34+DU34+DW34+DY34</f>
        <v>534</v>
      </c>
      <c r="GK34" s="98">
        <f t="shared" si="136"/>
        <v>-40.401785714285708</v>
      </c>
      <c r="GL34" s="117">
        <f>EA34+EC34+EE34+EG34</f>
        <v>529</v>
      </c>
      <c r="GM34" s="98">
        <f t="shared" si="136"/>
        <v>-0.93632958801498356</v>
      </c>
      <c r="GN34" s="117">
        <f>EI34+EK34+EM34+EO34</f>
        <v>524</v>
      </c>
      <c r="GO34" s="98">
        <f t="shared" si="136"/>
        <v>-0.94517958412098091</v>
      </c>
      <c r="GP34" s="117">
        <f>EQ34+ES34+EU34+EW34</f>
        <v>519.1387168694248</v>
      </c>
      <c r="GQ34" s="98">
        <f t="shared" si="136"/>
        <v>-0.92772578827771124</v>
      </c>
      <c r="GR34" s="96">
        <f>GR32*GR41/100</f>
        <v>525.27997947223662</v>
      </c>
      <c r="GS34" s="98">
        <f t="shared" si="136"/>
        <v>1.1829714107715938</v>
      </c>
      <c r="GT34" s="96">
        <f>GT32*GT41/100</f>
        <v>532.82291499467453</v>
      </c>
      <c r="GU34" s="98">
        <f t="shared" si="136"/>
        <v>1.4359838214311083</v>
      </c>
      <c r="GV34" s="96">
        <f>GV32*GV41/100</f>
        <v>541.65244821722047</v>
      </c>
      <c r="GW34" s="98">
        <f t="shared" si="136"/>
        <v>1.6571234033044835</v>
      </c>
      <c r="GX34" s="96">
        <f>GX32*GX41/100</f>
        <v>551.67033068705859</v>
      </c>
      <c r="GY34" s="98">
        <f t="shared" si="137"/>
        <v>1.8495037736487197</v>
      </c>
      <c r="GZ34" s="98">
        <f t="shared" si="138"/>
        <v>1.0344933944409052</v>
      </c>
      <c r="HA34" s="98"/>
      <c r="HB34" s="10"/>
      <c r="HC34"/>
      <c r="HD34"/>
      <c r="HE34"/>
      <c r="HF34"/>
      <c r="HG34"/>
      <c r="HH34"/>
      <c r="HI34" s="10"/>
    </row>
    <row r="35" spans="2:217" s="2" customFormat="1" ht="12.75" customHeight="1" x14ac:dyDescent="0.2">
      <c r="B35" s="91" t="s">
        <v>307</v>
      </c>
      <c r="C35" s="94"/>
      <c r="D35" s="92"/>
      <c r="E35" s="94"/>
      <c r="F35" s="92"/>
      <c r="G35" s="94"/>
      <c r="H35" s="92"/>
      <c r="I35" s="94"/>
      <c r="J35" s="98"/>
      <c r="K35" s="94"/>
      <c r="L35" s="98"/>
      <c r="M35" s="94"/>
      <c r="N35" s="98"/>
      <c r="O35" s="94"/>
      <c r="P35" s="98"/>
      <c r="Q35" s="94"/>
      <c r="R35" s="98"/>
      <c r="S35" s="94"/>
      <c r="T35" s="98"/>
      <c r="U35" s="94"/>
      <c r="V35" s="98"/>
      <c r="W35" s="94"/>
      <c r="X35" s="98"/>
      <c r="Y35" s="94"/>
      <c r="Z35" s="98"/>
      <c r="AA35" s="94"/>
      <c r="AB35" s="98"/>
      <c r="AC35" s="94"/>
      <c r="AD35" s="98"/>
      <c r="AE35" s="94"/>
      <c r="AF35" s="98"/>
      <c r="AG35" s="94"/>
      <c r="AH35" s="98"/>
      <c r="AI35" s="94"/>
      <c r="AJ35" s="98"/>
      <c r="AK35" s="94"/>
      <c r="AL35" s="98"/>
      <c r="AM35" s="94"/>
      <c r="AN35" s="98"/>
      <c r="AO35" s="94"/>
      <c r="AP35" s="98"/>
      <c r="AQ35" s="94"/>
      <c r="AR35" s="98"/>
      <c r="AS35" s="94"/>
      <c r="AT35" s="98"/>
      <c r="AU35" s="94"/>
      <c r="AV35" s="98"/>
      <c r="AW35" s="94"/>
      <c r="AX35" s="98"/>
      <c r="AY35" s="94"/>
      <c r="AZ35" s="98"/>
      <c r="BA35" s="94"/>
      <c r="BB35" s="98"/>
      <c r="BC35" s="94"/>
      <c r="BD35" s="98"/>
      <c r="BE35" s="94"/>
      <c r="BF35" s="98"/>
      <c r="BG35" s="94"/>
      <c r="BH35" s="98"/>
      <c r="BI35" s="94"/>
      <c r="BJ35" s="98"/>
      <c r="BK35" s="94"/>
      <c r="BL35" s="98"/>
      <c r="BM35" s="94"/>
      <c r="BN35" s="98"/>
      <c r="BO35" s="94"/>
      <c r="BP35" s="98"/>
      <c r="BQ35" s="101"/>
      <c r="BR35" s="98"/>
      <c r="BS35" s="101"/>
      <c r="BT35" s="98"/>
      <c r="BU35" s="101"/>
      <c r="BV35" s="98"/>
      <c r="BW35" s="101"/>
      <c r="BX35" s="98"/>
      <c r="BY35" s="101"/>
      <c r="BZ35" s="98"/>
      <c r="CA35" s="101"/>
      <c r="CB35" s="98"/>
      <c r="CC35" s="101"/>
      <c r="CD35" s="98"/>
      <c r="CE35" s="101"/>
      <c r="CF35" s="98"/>
      <c r="CG35" s="101"/>
      <c r="CH35" s="98"/>
      <c r="CI35" s="101"/>
      <c r="CJ35" s="98"/>
      <c r="CK35" s="101"/>
      <c r="CL35" s="98"/>
      <c r="CM35" s="101"/>
      <c r="CN35" s="98"/>
      <c r="CO35" s="101"/>
      <c r="CP35" s="98"/>
      <c r="CQ35" s="542">
        <v>-1190</v>
      </c>
      <c r="CR35" s="98" t="str">
        <f t="shared" si="107"/>
        <v>NA</v>
      </c>
      <c r="CS35" s="101">
        <v>-899</v>
      </c>
      <c r="CT35" s="98" t="str">
        <f t="shared" si="108"/>
        <v>NA</v>
      </c>
      <c r="CU35" s="101">
        <v>-909</v>
      </c>
      <c r="CV35" s="98" t="str">
        <f t="shared" si="109"/>
        <v>NA</v>
      </c>
      <c r="CW35" s="101">
        <v>-898</v>
      </c>
      <c r="CX35" s="98" t="str">
        <f t="shared" si="110"/>
        <v>NA</v>
      </c>
      <c r="CY35" s="101">
        <v>-975</v>
      </c>
      <c r="CZ35" s="98">
        <f t="shared" si="111"/>
        <v>-18.067226890756306</v>
      </c>
      <c r="DA35" s="101">
        <v>-798</v>
      </c>
      <c r="DB35" s="98">
        <f t="shared" si="112"/>
        <v>-11.234705228031149</v>
      </c>
      <c r="DC35" s="101">
        <v>-832</v>
      </c>
      <c r="DD35" s="98">
        <f t="shared" si="113"/>
        <v>-8.4708470847084669</v>
      </c>
      <c r="DE35" s="101">
        <v>-795</v>
      </c>
      <c r="DF35" s="98">
        <f t="shared" si="114"/>
        <v>-11.469933184855229</v>
      </c>
      <c r="DG35" s="101">
        <v>-998</v>
      </c>
      <c r="DH35" s="98">
        <f t="shared" si="115"/>
        <v>2.3589743589743639</v>
      </c>
      <c r="DI35" s="101">
        <v>-723</v>
      </c>
      <c r="DJ35" s="98">
        <f t="shared" si="116"/>
        <v>-9.3984962406015065</v>
      </c>
      <c r="DK35" s="101">
        <v>-725</v>
      </c>
      <c r="DL35" s="98">
        <f t="shared" si="117"/>
        <v>-12.860576923076927</v>
      </c>
      <c r="DM35" s="101">
        <v>-729</v>
      </c>
      <c r="DN35" s="98">
        <f t="shared" si="118"/>
        <v>-8.3018867924528283</v>
      </c>
      <c r="DO35" s="101">
        <v>-1101</v>
      </c>
      <c r="DP35" s="98">
        <f t="shared" si="118"/>
        <v>10.320641282565134</v>
      </c>
      <c r="DQ35" s="101">
        <v>-904</v>
      </c>
      <c r="DR35" s="98">
        <f t="shared" si="118"/>
        <v>25.034578146611342</v>
      </c>
      <c r="DS35" s="101">
        <v>-621</v>
      </c>
      <c r="DT35" s="98">
        <f t="shared" si="118"/>
        <v>-14.344827586206899</v>
      </c>
      <c r="DU35" s="101">
        <v>-686</v>
      </c>
      <c r="DV35" s="98">
        <f t="shared" si="118"/>
        <v>-5.8984910836762712</v>
      </c>
      <c r="DW35" s="101">
        <v>-671</v>
      </c>
      <c r="DX35" s="98">
        <f t="shared" si="118"/>
        <v>-39.055404178019984</v>
      </c>
      <c r="DY35" s="101">
        <v>-604</v>
      </c>
      <c r="DZ35" s="98">
        <f t="shared" si="118"/>
        <v>-33.185840707964601</v>
      </c>
      <c r="EA35" s="101">
        <v>-580</v>
      </c>
      <c r="EB35" s="98">
        <f t="shared" si="119"/>
        <v>-6.6022544283413804</v>
      </c>
      <c r="EC35" s="101">
        <v>-600</v>
      </c>
      <c r="ED35" s="98">
        <f t="shared" si="120"/>
        <v>-12.536443148688047</v>
      </c>
      <c r="EE35" s="101">
        <v>-630</v>
      </c>
      <c r="EF35" s="860">
        <f t="shared" si="121"/>
        <v>-6.1102831594634921</v>
      </c>
      <c r="EG35" s="101">
        <v>-581</v>
      </c>
      <c r="EH35" s="860">
        <f t="shared" si="122"/>
        <v>-3.8079470198675525</v>
      </c>
      <c r="EI35" s="101">
        <v>-605</v>
      </c>
      <c r="EJ35" s="860">
        <f t="shared" si="123"/>
        <v>4.31034482758621</v>
      </c>
      <c r="EK35" s="101">
        <v>-658</v>
      </c>
      <c r="EL35" s="860">
        <f t="shared" si="124"/>
        <v>9.6666666666666679</v>
      </c>
      <c r="EM35" s="101">
        <v>-646</v>
      </c>
      <c r="EN35" s="860">
        <f t="shared" si="125"/>
        <v>2.5396825396825307</v>
      </c>
      <c r="EO35" s="101">
        <v>-588</v>
      </c>
      <c r="EP35" s="98">
        <f t="shared" si="126"/>
        <v>1.2048192771084265</v>
      </c>
      <c r="EQ35" s="1034">
        <f t="shared" ref="EQ35" si="143">-EQ42/4*EQ32/100</f>
        <v>-587.62743545065746</v>
      </c>
      <c r="ER35" s="98">
        <f t="shared" si="128"/>
        <v>-2.8714982726186</v>
      </c>
      <c r="ES35" s="1034">
        <f t="shared" ref="ES35" si="144">-ES42/4*ES32/100</f>
        <v>-591.11478254825772</v>
      </c>
      <c r="ET35" s="98">
        <f t="shared" si="130"/>
        <v>-10.164926664398521</v>
      </c>
      <c r="EU35" s="1034">
        <f t="shared" ref="EU35" si="145">-EU42/4*EU32/100</f>
        <v>-592.95539329820281</v>
      </c>
      <c r="EV35" s="98">
        <f t="shared" si="132"/>
        <v>-8.2112394275227878</v>
      </c>
      <c r="EW35" s="1034">
        <f t="shared" ref="EW35" si="146">-EW42/4*EW32/100</f>
        <v>-594.60909815421371</v>
      </c>
      <c r="EX35" s="98">
        <f t="shared" si="134"/>
        <v>1.1239962847302332</v>
      </c>
      <c r="EY35" s="100"/>
      <c r="EZ35" s="594"/>
      <c r="FA35" s="405"/>
      <c r="FB35" s="94"/>
      <c r="FC35" s="92"/>
      <c r="FD35" s="94"/>
      <c r="FE35" s="92"/>
      <c r="FF35" s="95"/>
      <c r="FG35" s="92"/>
      <c r="FH35" s="95"/>
      <c r="FI35" s="92"/>
      <c r="FJ35" s="95"/>
      <c r="FK35" s="92"/>
      <c r="FL35" s="95"/>
      <c r="FM35" s="92"/>
      <c r="FN35" s="95"/>
      <c r="FO35" s="92"/>
      <c r="FP35" s="95"/>
      <c r="FQ35" s="92"/>
      <c r="FR35" s="96"/>
      <c r="FS35" s="97"/>
      <c r="FT35" s="96"/>
      <c r="FU35" s="97"/>
      <c r="FV35" s="96"/>
      <c r="FW35" s="98"/>
      <c r="FX35" s="481"/>
      <c r="FY35" s="98"/>
      <c r="FZ35" s="100"/>
      <c r="GA35" s="98"/>
      <c r="GB35" s="481"/>
      <c r="GC35" s="98"/>
      <c r="GD35" s="117">
        <f>CU35+CW35+CY35+DA35</f>
        <v>-3580</v>
      </c>
      <c r="GE35" s="98" t="str">
        <f t="shared" si="135"/>
        <v>NA</v>
      </c>
      <c r="GF35" s="117">
        <f>DC35+DE35+DG35+DI35</f>
        <v>-3348</v>
      </c>
      <c r="GG35" s="98">
        <f t="shared" si="136"/>
        <v>-6.4804469273743059</v>
      </c>
      <c r="GH35" s="117">
        <f>DK35+DM35+DO35+DQ35</f>
        <v>-3459</v>
      </c>
      <c r="GI35" s="98">
        <f t="shared" si="136"/>
        <v>3.315412186379918</v>
      </c>
      <c r="GJ35" s="117">
        <f>DS35+DU35+DW35+DY35</f>
        <v>-2582</v>
      </c>
      <c r="GK35" s="98">
        <f t="shared" si="136"/>
        <v>-25.35414859786065</v>
      </c>
      <c r="GL35" s="117">
        <f>EA35+EC35+EE35+EG35</f>
        <v>-2391</v>
      </c>
      <c r="GM35" s="98">
        <f t="shared" si="136"/>
        <v>-7.397366382649107</v>
      </c>
      <c r="GN35" s="117">
        <f>EI35+EK35+EM35+EO35</f>
        <v>-2497</v>
      </c>
      <c r="GO35" s="98">
        <f t="shared" si="136"/>
        <v>4.4332915098285186</v>
      </c>
      <c r="GP35" s="117">
        <f>EQ35+ES35+EU35+EW35</f>
        <v>-2366.3067094513317</v>
      </c>
      <c r="GQ35" s="98">
        <f t="shared" si="136"/>
        <v>-5.2340124368709713</v>
      </c>
      <c r="GR35" s="100">
        <f>GR32*-(GR42/100)</f>
        <v>-2394.299441315311</v>
      </c>
      <c r="GS35" s="98">
        <f t="shared" si="136"/>
        <v>1.1829714107715938</v>
      </c>
      <c r="GT35" s="100">
        <f>GT32*-(GT42/100)</f>
        <v>-2428.6811939292138</v>
      </c>
      <c r="GU35" s="98">
        <f t="shared" si="136"/>
        <v>1.435983821431086</v>
      </c>
      <c r="GV35" s="100">
        <f>GV32*-(GV42/100)</f>
        <v>-2468.9274383854699</v>
      </c>
      <c r="GW35" s="98">
        <f t="shared" si="136"/>
        <v>1.6571234033045057</v>
      </c>
      <c r="GX35" s="100">
        <f>GX32*-(GX42/100)</f>
        <v>-2514.5903445270574</v>
      </c>
      <c r="GY35" s="98">
        <f t="shared" si="137"/>
        <v>1.8495037736486974</v>
      </c>
      <c r="GZ35" s="98">
        <f t="shared" si="138"/>
        <v>0.14049648610683363</v>
      </c>
      <c r="HA35" s="98"/>
      <c r="HB35" s="10"/>
      <c r="HC35"/>
      <c r="HD35"/>
      <c r="HE35"/>
      <c r="HF35"/>
      <c r="HG35"/>
      <c r="HH35"/>
      <c r="HI35" s="10"/>
    </row>
    <row r="36" spans="2:217" s="2" customFormat="1" ht="12.75" customHeight="1" x14ac:dyDescent="0.2">
      <c r="B36" s="91" t="s">
        <v>308</v>
      </c>
      <c r="C36" s="94"/>
      <c r="D36" s="92"/>
      <c r="E36" s="94"/>
      <c r="F36" s="92"/>
      <c r="G36" s="94"/>
      <c r="H36" s="92"/>
      <c r="I36" s="94"/>
      <c r="J36" s="98"/>
      <c r="K36" s="94"/>
      <c r="L36" s="98"/>
      <c r="M36" s="94"/>
      <c r="N36" s="98"/>
      <c r="O36" s="94"/>
      <c r="P36" s="98"/>
      <c r="Q36" s="94"/>
      <c r="R36" s="98"/>
      <c r="S36" s="94"/>
      <c r="T36" s="98"/>
      <c r="U36" s="94"/>
      <c r="V36" s="98"/>
      <c r="W36" s="94"/>
      <c r="X36" s="98"/>
      <c r="Y36" s="94"/>
      <c r="Z36" s="98"/>
      <c r="AA36" s="94"/>
      <c r="AB36" s="98"/>
      <c r="AC36" s="94"/>
      <c r="AD36" s="98"/>
      <c r="AE36" s="94"/>
      <c r="AF36" s="98"/>
      <c r="AG36" s="94"/>
      <c r="AH36" s="98"/>
      <c r="AI36" s="94"/>
      <c r="AJ36" s="98"/>
      <c r="AK36" s="94"/>
      <c r="AL36" s="98"/>
      <c r="AM36" s="94"/>
      <c r="AN36" s="98"/>
      <c r="AO36" s="94"/>
      <c r="AP36" s="98"/>
      <c r="AQ36" s="94"/>
      <c r="AR36" s="98"/>
      <c r="AS36" s="94"/>
      <c r="AT36" s="98"/>
      <c r="AU36" s="94"/>
      <c r="AV36" s="98"/>
      <c r="AW36" s="94"/>
      <c r="AX36" s="98"/>
      <c r="AY36" s="94"/>
      <c r="AZ36" s="98"/>
      <c r="BA36" s="94"/>
      <c r="BB36" s="98"/>
      <c r="BC36" s="94"/>
      <c r="BD36" s="98"/>
      <c r="BE36" s="94"/>
      <c r="BF36" s="98"/>
      <c r="BG36" s="94"/>
      <c r="BH36" s="98"/>
      <c r="BI36" s="94"/>
      <c r="BJ36" s="98"/>
      <c r="BK36" s="94"/>
      <c r="BL36" s="98"/>
      <c r="BM36" s="94"/>
      <c r="BN36" s="98"/>
      <c r="BO36" s="94"/>
      <c r="BP36" s="98"/>
      <c r="BQ36" s="101"/>
      <c r="BR36" s="98"/>
      <c r="BS36" s="101"/>
      <c r="BT36" s="98"/>
      <c r="BU36" s="101"/>
      <c r="BV36" s="98"/>
      <c r="BW36" s="101"/>
      <c r="BX36" s="98"/>
      <c r="BY36" s="101"/>
      <c r="BZ36" s="98"/>
      <c r="CA36" s="101"/>
      <c r="CB36" s="98"/>
      <c r="CC36" s="101"/>
      <c r="CD36" s="98"/>
      <c r="CE36" s="101"/>
      <c r="CF36" s="98"/>
      <c r="CG36" s="101"/>
      <c r="CH36" s="98"/>
      <c r="CI36" s="101"/>
      <c r="CJ36" s="98"/>
      <c r="CK36" s="101"/>
      <c r="CL36" s="98"/>
      <c r="CM36" s="101"/>
      <c r="CN36" s="98"/>
      <c r="CO36" s="101"/>
      <c r="CP36" s="98"/>
      <c r="CQ36" s="542">
        <v>-109</v>
      </c>
      <c r="CR36" s="98" t="str">
        <f t="shared" si="107"/>
        <v>NA</v>
      </c>
      <c r="CS36" s="101">
        <v>-122</v>
      </c>
      <c r="CT36" s="98" t="str">
        <f t="shared" si="108"/>
        <v>NA</v>
      </c>
      <c r="CU36" s="101">
        <v>-125</v>
      </c>
      <c r="CV36" s="98" t="str">
        <f t="shared" si="109"/>
        <v>NA</v>
      </c>
      <c r="CW36" s="101">
        <v>-125</v>
      </c>
      <c r="CX36" s="98" t="str">
        <f t="shared" si="110"/>
        <v>NA</v>
      </c>
      <c r="CY36" s="101">
        <v>-133</v>
      </c>
      <c r="CZ36" s="98">
        <f t="shared" si="111"/>
        <v>22.018348623853214</v>
      </c>
      <c r="DA36" s="101">
        <v>-127</v>
      </c>
      <c r="DB36" s="98">
        <f t="shared" si="112"/>
        <v>4.0983606557376984</v>
      </c>
      <c r="DC36" s="101">
        <v>-130</v>
      </c>
      <c r="DD36" s="98">
        <f t="shared" si="113"/>
        <v>4.0000000000000036</v>
      </c>
      <c r="DE36" s="101">
        <v>-131</v>
      </c>
      <c r="DF36" s="98">
        <f t="shared" si="114"/>
        <v>4.8000000000000043</v>
      </c>
      <c r="DG36" s="101">
        <v>-131</v>
      </c>
      <c r="DH36" s="98">
        <f t="shared" si="115"/>
        <v>-1.5037593984962405</v>
      </c>
      <c r="DI36" s="101">
        <v>-118</v>
      </c>
      <c r="DJ36" s="98">
        <f t="shared" si="116"/>
        <v>-7.0866141732283445</v>
      </c>
      <c r="DK36" s="101">
        <v>-137</v>
      </c>
      <c r="DL36" s="98">
        <f t="shared" si="117"/>
        <v>5.3846153846153877</v>
      </c>
      <c r="DM36" s="101">
        <v>-139</v>
      </c>
      <c r="DN36" s="98">
        <f t="shared" si="118"/>
        <v>6.1068702290076438</v>
      </c>
      <c r="DO36" s="101">
        <v>-136</v>
      </c>
      <c r="DP36" s="98">
        <f t="shared" si="118"/>
        <v>3.8167938931297662</v>
      </c>
      <c r="DQ36" s="101">
        <v>-134</v>
      </c>
      <c r="DR36" s="98">
        <f t="shared" si="118"/>
        <v>13.559322033898313</v>
      </c>
      <c r="DS36" s="101">
        <v>-139</v>
      </c>
      <c r="DT36" s="98">
        <f t="shared" si="118"/>
        <v>1.4598540145985384</v>
      </c>
      <c r="DU36" s="101">
        <v>-140</v>
      </c>
      <c r="DV36" s="98">
        <f t="shared" si="118"/>
        <v>0.7194244604316502</v>
      </c>
      <c r="DW36" s="101">
        <v>-138</v>
      </c>
      <c r="DX36" s="98">
        <f t="shared" si="118"/>
        <v>1.4705882352941124</v>
      </c>
      <c r="DY36" s="101">
        <v>-141</v>
      </c>
      <c r="DZ36" s="98">
        <f t="shared" si="118"/>
        <v>5.2238805970149294</v>
      </c>
      <c r="EA36" s="101">
        <v>-144</v>
      </c>
      <c r="EB36" s="98">
        <f t="shared" si="119"/>
        <v>3.5971223021582732</v>
      </c>
      <c r="EC36" s="101">
        <v>-146</v>
      </c>
      <c r="ED36" s="98">
        <f t="shared" si="120"/>
        <v>4.2857142857142927</v>
      </c>
      <c r="EE36" s="101">
        <v>-146</v>
      </c>
      <c r="EF36" s="860">
        <f t="shared" si="121"/>
        <v>5.7971014492753659</v>
      </c>
      <c r="EG36" s="101">
        <v>-147</v>
      </c>
      <c r="EH36" s="860">
        <f t="shared" si="122"/>
        <v>4.2553191489361764</v>
      </c>
      <c r="EI36" s="101">
        <v>-150</v>
      </c>
      <c r="EJ36" s="860">
        <f t="shared" si="123"/>
        <v>4.1666666666666741</v>
      </c>
      <c r="EK36" s="101">
        <v>-151</v>
      </c>
      <c r="EL36" s="860">
        <f t="shared" si="124"/>
        <v>3.4246575342465668</v>
      </c>
      <c r="EM36" s="101">
        <v>-149</v>
      </c>
      <c r="EN36" s="860">
        <f t="shared" si="125"/>
        <v>2.0547945205479534</v>
      </c>
      <c r="EO36" s="101">
        <v>-148</v>
      </c>
      <c r="EP36" s="98">
        <f t="shared" si="126"/>
        <v>0.68027210884353817</v>
      </c>
      <c r="EQ36" s="1034">
        <f t="shared" ref="EQ36" si="147">-EQ43/4*EQ32/100</f>
        <v>-147.90622524948517</v>
      </c>
      <c r="ER36" s="98">
        <f t="shared" si="128"/>
        <v>-1.3958498336765546</v>
      </c>
      <c r="ES36" s="1034">
        <f t="shared" ref="ES36" si="148">-ES43/4*ES32/100</f>
        <v>-148.78399288629612</v>
      </c>
      <c r="ET36" s="98">
        <f t="shared" si="130"/>
        <v>-1.4675543799363422</v>
      </c>
      <c r="EU36" s="1034">
        <f t="shared" ref="EU36" si="149">-EU43/4*EU32/100</f>
        <v>-149.24727586417347</v>
      </c>
      <c r="EV36" s="98">
        <f t="shared" si="132"/>
        <v>0.16595695582113379</v>
      </c>
      <c r="EW36" s="1034">
        <f t="shared" ref="EW36" si="150">-EW43/4*EW32/100</f>
        <v>-149.66351450140073</v>
      </c>
      <c r="EX36" s="98">
        <f t="shared" si="134"/>
        <v>1.123996284730211</v>
      </c>
      <c r="EY36" s="100"/>
      <c r="EZ36" s="594"/>
      <c r="FA36" s="405"/>
      <c r="FB36" s="94"/>
      <c r="FC36" s="92"/>
      <c r="FD36" s="94"/>
      <c r="FE36" s="92"/>
      <c r="FF36" s="95"/>
      <c r="FG36" s="92"/>
      <c r="FH36" s="95"/>
      <c r="FI36" s="92"/>
      <c r="FJ36" s="95"/>
      <c r="FK36" s="92"/>
      <c r="FL36" s="95"/>
      <c r="FM36" s="92"/>
      <c r="FN36" s="95"/>
      <c r="FO36" s="92"/>
      <c r="FP36" s="95"/>
      <c r="FQ36" s="92"/>
      <c r="FR36" s="96"/>
      <c r="FS36" s="97"/>
      <c r="FT36" s="96"/>
      <c r="FU36" s="97"/>
      <c r="FV36" s="96"/>
      <c r="FW36" s="98"/>
      <c r="FX36" s="481"/>
      <c r="FY36" s="98"/>
      <c r="FZ36" s="100"/>
      <c r="GA36" s="98"/>
      <c r="GB36" s="481"/>
      <c r="GC36" s="98"/>
      <c r="GD36" s="117">
        <f>CU36+CW36+CY36+DA36</f>
        <v>-510</v>
      </c>
      <c r="GE36" s="98" t="str">
        <f t="shared" si="135"/>
        <v>NA</v>
      </c>
      <c r="GF36" s="117">
        <f>DC36+DE36+DG36+DI36</f>
        <v>-510</v>
      </c>
      <c r="GG36" s="98">
        <f t="shared" si="136"/>
        <v>0</v>
      </c>
      <c r="GH36" s="117">
        <f>DK36+DM36+DO36+DQ36</f>
        <v>-546</v>
      </c>
      <c r="GI36" s="98">
        <f t="shared" si="136"/>
        <v>7.0588235294117618</v>
      </c>
      <c r="GJ36" s="117">
        <f>DS36+DU36+DW36+DY36</f>
        <v>-558</v>
      </c>
      <c r="GK36" s="98">
        <f t="shared" si="136"/>
        <v>2.19780219780219</v>
      </c>
      <c r="GL36" s="117">
        <f>EA36+EC36+EE36+EG36</f>
        <v>-583</v>
      </c>
      <c r="GM36" s="98">
        <f t="shared" si="136"/>
        <v>4.4802867383512579</v>
      </c>
      <c r="GN36" s="117">
        <f>EI36+EK36+EM36+EO36</f>
        <v>-598</v>
      </c>
      <c r="GO36" s="98">
        <f t="shared" si="136"/>
        <v>2.572898799313883</v>
      </c>
      <c r="GP36" s="117">
        <f>EQ36+ES36+EU36+EW36</f>
        <v>-595.60100850135552</v>
      </c>
      <c r="GQ36" s="98">
        <f t="shared" si="136"/>
        <v>-0.40116914693051342</v>
      </c>
      <c r="GR36" s="100">
        <f>GR32*-(GR43/100)</f>
        <v>-602.64679815419379</v>
      </c>
      <c r="GS36" s="98">
        <f t="shared" si="136"/>
        <v>1.1829714107715938</v>
      </c>
      <c r="GT36" s="100">
        <f>GT32*-(GT43/100)</f>
        <v>-611.30070867606059</v>
      </c>
      <c r="GU36" s="98">
        <f t="shared" si="136"/>
        <v>1.4359838214311083</v>
      </c>
      <c r="GV36" s="100">
        <f>GV32*-(GV43/100)</f>
        <v>-621.43071578409774</v>
      </c>
      <c r="GW36" s="98">
        <f t="shared" si="136"/>
        <v>1.6571234033044835</v>
      </c>
      <c r="GX36" s="100">
        <f>GX32*-(GX43/100)</f>
        <v>-632.92410032313683</v>
      </c>
      <c r="GY36" s="98">
        <f t="shared" si="137"/>
        <v>1.8495037736487197</v>
      </c>
      <c r="GZ36" s="98">
        <f t="shared" si="138"/>
        <v>1.1416629167483094</v>
      </c>
      <c r="HA36" s="98"/>
      <c r="HB36" s="10"/>
      <c r="HC36"/>
      <c r="HD36"/>
      <c r="HE36"/>
      <c r="HF36"/>
      <c r="HG36"/>
      <c r="HH36"/>
      <c r="HI36" s="10"/>
    </row>
    <row r="37" spans="2:217" s="2" customFormat="1" ht="12.75" customHeight="1" x14ac:dyDescent="0.2">
      <c r="B37" s="91" t="s">
        <v>368</v>
      </c>
      <c r="C37" s="94"/>
      <c r="D37" s="92"/>
      <c r="E37" s="94"/>
      <c r="F37" s="92"/>
      <c r="G37" s="94"/>
      <c r="H37" s="92"/>
      <c r="I37" s="94"/>
      <c r="J37" s="98"/>
      <c r="K37" s="94"/>
      <c r="L37" s="98"/>
      <c r="M37" s="94"/>
      <c r="N37" s="98"/>
      <c r="O37" s="94"/>
      <c r="P37" s="98"/>
      <c r="Q37" s="94"/>
      <c r="R37" s="98"/>
      <c r="S37" s="94"/>
      <c r="T37" s="98"/>
      <c r="U37" s="94"/>
      <c r="V37" s="98"/>
      <c r="W37" s="94"/>
      <c r="X37" s="98"/>
      <c r="Y37" s="94"/>
      <c r="Z37" s="98"/>
      <c r="AA37" s="94"/>
      <c r="AB37" s="98"/>
      <c r="AC37" s="94"/>
      <c r="AD37" s="98"/>
      <c r="AE37" s="94"/>
      <c r="AF37" s="98"/>
      <c r="AG37" s="94"/>
      <c r="AH37" s="98"/>
      <c r="AI37" s="94"/>
      <c r="AJ37" s="98"/>
      <c r="AK37" s="94"/>
      <c r="AL37" s="98"/>
      <c r="AM37" s="94"/>
      <c r="AN37" s="98"/>
      <c r="AO37" s="94"/>
      <c r="AP37" s="98"/>
      <c r="AQ37" s="94"/>
      <c r="AR37" s="98"/>
      <c r="AS37" s="94"/>
      <c r="AT37" s="98"/>
      <c r="AU37" s="94"/>
      <c r="AV37" s="98"/>
      <c r="AW37" s="94"/>
      <c r="AX37" s="98"/>
      <c r="AY37" s="94"/>
      <c r="AZ37" s="98"/>
      <c r="BA37" s="94"/>
      <c r="BB37" s="98"/>
      <c r="BC37" s="94"/>
      <c r="BD37" s="98"/>
      <c r="BE37" s="94"/>
      <c r="BF37" s="98"/>
      <c r="BG37" s="94"/>
      <c r="BH37" s="98"/>
      <c r="BI37" s="94"/>
      <c r="BJ37" s="98"/>
      <c r="BK37" s="94"/>
      <c r="BL37" s="98"/>
      <c r="BM37" s="94"/>
      <c r="BN37" s="98"/>
      <c r="BO37" s="94"/>
      <c r="BP37" s="98"/>
      <c r="BQ37" s="101"/>
      <c r="BR37" s="98"/>
      <c r="BS37" s="101"/>
      <c r="BT37" s="98"/>
      <c r="BU37" s="101"/>
      <c r="BV37" s="98"/>
      <c r="BW37" s="101"/>
      <c r="BX37" s="98"/>
      <c r="BY37" s="101"/>
      <c r="BZ37" s="98"/>
      <c r="CA37" s="101"/>
      <c r="CB37" s="98"/>
      <c r="CC37" s="101"/>
      <c r="CD37" s="98"/>
      <c r="CE37" s="101"/>
      <c r="CF37" s="98"/>
      <c r="CG37" s="101"/>
      <c r="CH37" s="98"/>
      <c r="CI37" s="101"/>
      <c r="CJ37" s="98"/>
      <c r="CK37" s="101"/>
      <c r="CL37" s="98"/>
      <c r="CM37" s="101"/>
      <c r="CN37" s="98"/>
      <c r="CO37" s="101"/>
      <c r="CP37" s="98"/>
      <c r="CQ37" s="542">
        <f>-2838+3-311</f>
        <v>-3146</v>
      </c>
      <c r="CR37" s="98" t="str">
        <f t="shared" si="107"/>
        <v>NA</v>
      </c>
      <c r="CS37" s="101">
        <f>-2841+2-262</f>
        <v>-3101</v>
      </c>
      <c r="CT37" s="98" t="str">
        <f t="shared" si="108"/>
        <v>NA</v>
      </c>
      <c r="CU37" s="101">
        <f>-2984-411</f>
        <v>-3395</v>
      </c>
      <c r="CV37" s="98" t="str">
        <f t="shared" si="109"/>
        <v>NA</v>
      </c>
      <c r="CW37" s="101">
        <f>-3017-1+483</f>
        <v>-2535</v>
      </c>
      <c r="CX37" s="98" t="str">
        <f t="shared" si="110"/>
        <v>NA</v>
      </c>
      <c r="CY37" s="101">
        <f>-3072-179</f>
        <v>-3251</v>
      </c>
      <c r="CZ37" s="98">
        <f t="shared" si="111"/>
        <v>3.3375715193896927</v>
      </c>
      <c r="DA37" s="101">
        <f>-3110+1-603</f>
        <v>-3712</v>
      </c>
      <c r="DB37" s="98">
        <f t="shared" si="112"/>
        <v>19.703321509190587</v>
      </c>
      <c r="DC37" s="101">
        <f>-3297-725</f>
        <v>-4022</v>
      </c>
      <c r="DD37" s="98">
        <f t="shared" si="113"/>
        <v>18.468335787923419</v>
      </c>
      <c r="DE37" s="101">
        <f>-3150-935</f>
        <v>-4085</v>
      </c>
      <c r="DF37" s="98">
        <f t="shared" si="114"/>
        <v>61.143984220907299</v>
      </c>
      <c r="DG37" s="101">
        <f>-3145-369</f>
        <v>-3514</v>
      </c>
      <c r="DH37" s="98">
        <f t="shared" si="115"/>
        <v>8.0898185173792658</v>
      </c>
      <c r="DI37" s="101">
        <f>-3213-286</f>
        <v>-3499</v>
      </c>
      <c r="DJ37" s="98">
        <f t="shared" si="116"/>
        <v>-5.7381465517241326</v>
      </c>
      <c r="DK37" s="101">
        <f>-3390-281</f>
        <v>-3671</v>
      </c>
      <c r="DL37" s="98">
        <f t="shared" si="117"/>
        <v>-8.7270014917951286</v>
      </c>
      <c r="DM37" s="101">
        <f>-3364-294</f>
        <v>-3658</v>
      </c>
      <c r="DN37" s="98">
        <f t="shared" si="118"/>
        <v>-10.452876376988984</v>
      </c>
      <c r="DO37" s="101">
        <f>-3392-328</f>
        <v>-3720</v>
      </c>
      <c r="DP37" s="98">
        <f t="shared" si="118"/>
        <v>5.8622652248150331</v>
      </c>
      <c r="DQ37" s="101">
        <f>-3210+-361</f>
        <v>-3571</v>
      </c>
      <c r="DR37" s="98">
        <f t="shared" si="118"/>
        <v>2.0577307802229106</v>
      </c>
      <c r="DS37" s="101">
        <f>-3348-324</f>
        <v>-3672</v>
      </c>
      <c r="DT37" s="98">
        <f t="shared" si="118"/>
        <v>2.7240533914474341E-2</v>
      </c>
      <c r="DU37" s="101">
        <f>-3418-417</f>
        <v>-3835</v>
      </c>
      <c r="DV37" s="98">
        <f t="shared" si="118"/>
        <v>4.8387096774193505</v>
      </c>
      <c r="DW37" s="101">
        <f>-3366-407</f>
        <v>-3773</v>
      </c>
      <c r="DX37" s="98">
        <f t="shared" si="118"/>
        <v>1.424731182795691</v>
      </c>
      <c r="DY37" s="101">
        <f>-3298-428</f>
        <v>-3726</v>
      </c>
      <c r="DZ37" s="98">
        <f t="shared" si="118"/>
        <v>4.3405208625034941</v>
      </c>
      <c r="EA37" s="101">
        <f>-3565-399</f>
        <v>-3964</v>
      </c>
      <c r="EB37" s="98">
        <f t="shared" si="119"/>
        <v>7.9520697167756005</v>
      </c>
      <c r="EC37" s="101">
        <f>-3512-429</f>
        <v>-3941</v>
      </c>
      <c r="ED37" s="98">
        <f t="shared" si="120"/>
        <v>2.7640156453715869</v>
      </c>
      <c r="EE37" s="101">
        <f>-3500-419</f>
        <v>-3919</v>
      </c>
      <c r="EF37" s="860">
        <f t="shared" si="121"/>
        <v>3.8695997879671262</v>
      </c>
      <c r="EG37" s="101">
        <f>-3430-445</f>
        <v>-3875</v>
      </c>
      <c r="EH37" s="860">
        <f t="shared" si="122"/>
        <v>3.9989264626945742</v>
      </c>
      <c r="EI37" s="101">
        <f>-3719-402</f>
        <v>-4121</v>
      </c>
      <c r="EJ37" s="860">
        <f t="shared" si="123"/>
        <v>3.9606458123107924</v>
      </c>
      <c r="EK37" s="101">
        <f>-3627-421</f>
        <v>-4048</v>
      </c>
      <c r="EL37" s="860">
        <f t="shared" si="124"/>
        <v>2.715046942400412</v>
      </c>
      <c r="EM37" s="101">
        <f>-3378-525</f>
        <v>-3903</v>
      </c>
      <c r="EN37" s="860">
        <f t="shared" si="125"/>
        <v>-0.40826741515692655</v>
      </c>
      <c r="EO37" s="101">
        <f>-3496-462</f>
        <v>-3958</v>
      </c>
      <c r="EP37" s="98">
        <f t="shared" si="126"/>
        <v>2.1419354838709603</v>
      </c>
      <c r="EQ37" s="950">
        <f t="shared" ref="EQ37" si="151">EI37*1.03</f>
        <v>-4244.63</v>
      </c>
      <c r="ER37" s="98">
        <f t="shared" si="128"/>
        <v>3.0000000000000027</v>
      </c>
      <c r="ES37" s="950">
        <f t="shared" ref="ES37" si="152">EK37*1.03</f>
        <v>-4169.4400000000005</v>
      </c>
      <c r="ET37" s="98">
        <f t="shared" si="130"/>
        <v>3.0000000000000027</v>
      </c>
      <c r="EU37" s="950">
        <f t="shared" ref="EU37" si="153">EM37*1.03</f>
        <v>-4020.09</v>
      </c>
      <c r="EV37" s="98">
        <f t="shared" si="132"/>
        <v>3.0000000000000027</v>
      </c>
      <c r="EW37" s="950">
        <f t="shared" ref="EW37" si="154">EO37*1.03</f>
        <v>-4076.7400000000002</v>
      </c>
      <c r="EX37" s="98">
        <f t="shared" si="134"/>
        <v>3.0000000000000027</v>
      </c>
      <c r="EY37" s="101"/>
      <c r="EZ37" s="594"/>
      <c r="FA37" s="405"/>
      <c r="FB37" s="94"/>
      <c r="FC37" s="92"/>
      <c r="FD37" s="94"/>
      <c r="FE37" s="92"/>
      <c r="FF37" s="95"/>
      <c r="FG37" s="92"/>
      <c r="FH37" s="95"/>
      <c r="FI37" s="92"/>
      <c r="FJ37" s="95"/>
      <c r="FK37" s="92"/>
      <c r="FL37" s="95"/>
      <c r="FM37" s="92"/>
      <c r="FN37" s="95"/>
      <c r="FO37" s="92"/>
      <c r="FP37" s="95"/>
      <c r="FQ37" s="92"/>
      <c r="FR37" s="96"/>
      <c r="FS37" s="97"/>
      <c r="FT37" s="96"/>
      <c r="FU37" s="97"/>
      <c r="FV37" s="96"/>
      <c r="FW37" s="98"/>
      <c r="FX37" s="481"/>
      <c r="FY37" s="98"/>
      <c r="FZ37" s="100"/>
      <c r="GA37" s="98"/>
      <c r="GB37" s="481"/>
      <c r="GC37" s="98"/>
      <c r="GD37" s="117">
        <f>CU37+CW37+CY37+DA37</f>
        <v>-12893</v>
      </c>
      <c r="GE37" s="98" t="str">
        <f t="shared" si="135"/>
        <v>NA</v>
      </c>
      <c r="GF37" s="117">
        <f>DC37+DE37+DG37+DI37</f>
        <v>-15120</v>
      </c>
      <c r="GG37" s="98">
        <f t="shared" si="136"/>
        <v>17.27293880400218</v>
      </c>
      <c r="GH37" s="117">
        <f>DK37+DM37+DO37+DQ37</f>
        <v>-14620</v>
      </c>
      <c r="GI37" s="98">
        <f t="shared" si="136"/>
        <v>-3.3068783068783025</v>
      </c>
      <c r="GJ37" s="117">
        <f>DS37+DU37+DW37+DY37</f>
        <v>-15006</v>
      </c>
      <c r="GK37" s="98">
        <f t="shared" si="136"/>
        <v>2.6402188782489677</v>
      </c>
      <c r="GL37" s="117">
        <f>EA37+EC37+EE37+EG37</f>
        <v>-15699</v>
      </c>
      <c r="GM37" s="98">
        <f t="shared" si="136"/>
        <v>4.6181527389044463</v>
      </c>
      <c r="GN37" s="117">
        <f>EI37+EK37+EM37+EO37</f>
        <v>-16030</v>
      </c>
      <c r="GO37" s="98">
        <f t="shared" si="136"/>
        <v>2.1084145486973682</v>
      </c>
      <c r="GP37" s="117">
        <f>EQ37+ES37+EU37+EW37</f>
        <v>-16510.900000000001</v>
      </c>
      <c r="GQ37" s="98">
        <f t="shared" si="136"/>
        <v>3.0000000000000027</v>
      </c>
      <c r="GR37" s="101">
        <f>GP37*1.03</f>
        <v>-17006.227000000003</v>
      </c>
      <c r="GS37" s="98">
        <f t="shared" si="136"/>
        <v>3.0000000000000027</v>
      </c>
      <c r="GT37" s="101">
        <f>GR37*1.03</f>
        <v>-17516.413810000002</v>
      </c>
      <c r="GU37" s="98">
        <f t="shared" si="136"/>
        <v>3.0000000000000027</v>
      </c>
      <c r="GV37" s="101">
        <f>GT37*1.03</f>
        <v>-18041.906224300001</v>
      </c>
      <c r="GW37" s="98">
        <f t="shared" si="136"/>
        <v>3.0000000000000027</v>
      </c>
      <c r="GX37" s="101">
        <f>GV37*1.03</f>
        <v>-18583.163411029</v>
      </c>
      <c r="GY37" s="98">
        <f t="shared" si="137"/>
        <v>3.0000000000000027</v>
      </c>
      <c r="GZ37" s="98">
        <f t="shared" si="138"/>
        <v>3.0000000000000027</v>
      </c>
      <c r="HA37" s="98"/>
      <c r="HB37" s="10"/>
      <c r="HC37"/>
      <c r="HD37"/>
      <c r="HE37"/>
      <c r="HF37"/>
      <c r="HG37"/>
      <c r="HH37"/>
      <c r="HI37" s="10"/>
    </row>
    <row r="38" spans="2:217" s="2" customFormat="1" ht="12.75" customHeight="1" x14ac:dyDescent="0.2">
      <c r="B38" s="91" t="s">
        <v>280</v>
      </c>
      <c r="C38" s="94"/>
      <c r="D38" s="92"/>
      <c r="E38" s="94"/>
      <c r="F38" s="92"/>
      <c r="G38" s="94"/>
      <c r="H38" s="92"/>
      <c r="I38" s="94"/>
      <c r="J38" s="98"/>
      <c r="K38" s="94"/>
      <c r="L38" s="98"/>
      <c r="M38" s="94"/>
      <c r="N38" s="98"/>
      <c r="O38" s="94"/>
      <c r="P38" s="98"/>
      <c r="Q38" s="94"/>
      <c r="R38" s="98"/>
      <c r="S38" s="94"/>
      <c r="T38" s="98"/>
      <c r="U38" s="94"/>
      <c r="V38" s="98"/>
      <c r="W38" s="94"/>
      <c r="X38" s="98"/>
      <c r="Y38" s="94"/>
      <c r="Z38" s="98"/>
      <c r="AA38" s="94"/>
      <c r="AB38" s="98"/>
      <c r="AC38" s="94"/>
      <c r="AD38" s="98"/>
      <c r="AE38" s="94"/>
      <c r="AF38" s="98"/>
      <c r="AG38" s="94"/>
      <c r="AH38" s="98"/>
      <c r="AI38" s="94"/>
      <c r="AJ38" s="98"/>
      <c r="AK38" s="94"/>
      <c r="AL38" s="98"/>
      <c r="AM38" s="94"/>
      <c r="AN38" s="98"/>
      <c r="AO38" s="94"/>
      <c r="AP38" s="98"/>
      <c r="AQ38" s="94"/>
      <c r="AR38" s="98"/>
      <c r="AS38" s="94"/>
      <c r="AT38" s="98"/>
      <c r="AU38" s="94"/>
      <c r="AV38" s="98"/>
      <c r="AW38" s="94"/>
      <c r="AX38" s="98"/>
      <c r="AY38" s="94"/>
      <c r="AZ38" s="98"/>
      <c r="BA38" s="94"/>
      <c r="BB38" s="98"/>
      <c r="BC38" s="94"/>
      <c r="BD38" s="98"/>
      <c r="BE38" s="94"/>
      <c r="BF38" s="98"/>
      <c r="BG38" s="94"/>
      <c r="BH38" s="98"/>
      <c r="BI38" s="94"/>
      <c r="BJ38" s="98"/>
      <c r="BK38" s="94"/>
      <c r="BL38" s="98"/>
      <c r="BM38" s="94"/>
      <c r="BN38" s="98"/>
      <c r="BO38" s="94"/>
      <c r="BP38" s="98"/>
      <c r="BQ38" s="99"/>
      <c r="BR38" s="98"/>
      <c r="BS38" s="99"/>
      <c r="BT38" s="98"/>
      <c r="BU38" s="99"/>
      <c r="BV38" s="98"/>
      <c r="BW38" s="99"/>
      <c r="BX38" s="98"/>
      <c r="BY38" s="99"/>
      <c r="BZ38" s="98"/>
      <c r="CA38" s="99"/>
      <c r="CB38" s="98"/>
      <c r="CC38" s="99"/>
      <c r="CD38" s="98"/>
      <c r="CE38" s="99"/>
      <c r="CF38" s="98"/>
      <c r="CG38" s="99"/>
      <c r="CH38" s="98"/>
      <c r="CI38" s="99"/>
      <c r="CJ38" s="98"/>
      <c r="CK38" s="99"/>
      <c r="CL38" s="98"/>
      <c r="CM38" s="99"/>
      <c r="CN38" s="98"/>
      <c r="CO38" s="99"/>
      <c r="CP38" s="98"/>
      <c r="CQ38" s="482">
        <f>CQ32+CQ33+CQ34+CQ35+CQ36+CQ37</f>
        <v>25373</v>
      </c>
      <c r="CR38" s="98" t="str">
        <f t="shared" si="107"/>
        <v>NA</v>
      </c>
      <c r="CS38" s="99">
        <f>CS32+CS33+CS34+CS35+CS36+CS37</f>
        <v>25582</v>
      </c>
      <c r="CT38" s="98" t="str">
        <f t="shared" si="108"/>
        <v>NA</v>
      </c>
      <c r="CU38" s="99">
        <f>CU32+CU33+CU34+CU35+CU36+CU37</f>
        <v>25661</v>
      </c>
      <c r="CV38" s="98" t="str">
        <f t="shared" si="109"/>
        <v>NA</v>
      </c>
      <c r="CW38" s="99">
        <f>CW32+CW33+CW34+CW35+CW36+CW37</f>
        <v>26642</v>
      </c>
      <c r="CX38" s="98" t="str">
        <f t="shared" si="110"/>
        <v>NA</v>
      </c>
      <c r="CY38" s="99">
        <f>CY32+CY33+CY34+CY35+CY36+CY37</f>
        <v>26922</v>
      </c>
      <c r="CZ38" s="98">
        <f t="shared" si="111"/>
        <v>6.1049146730776771</v>
      </c>
      <c r="DA38" s="99">
        <f>DA32+DA33+DA34+DA35+DA36+DA37</f>
        <v>26772</v>
      </c>
      <c r="DB38" s="98">
        <f t="shared" si="112"/>
        <v>4.6517082323508818</v>
      </c>
      <c r="DC38" s="99">
        <f>DC32+DC33+DC34+DC35+DC36+DC37</f>
        <v>26444</v>
      </c>
      <c r="DD38" s="98">
        <f t="shared" si="113"/>
        <v>3.051323019367902</v>
      </c>
      <c r="DE38" s="99">
        <f>DE32+DE33+DE34+DE35+DE36+DE37</f>
        <v>25974</v>
      </c>
      <c r="DF38" s="98">
        <f t="shared" si="114"/>
        <v>-2.507319270325048</v>
      </c>
      <c r="DG38" s="99">
        <f>DG32+DG33+DG34+DG35+DG36+DG37</f>
        <v>26064</v>
      </c>
      <c r="DH38" s="98">
        <f t="shared" si="115"/>
        <v>-3.1869846222420284</v>
      </c>
      <c r="DI38" s="99">
        <f>DI32+DI33+DI34+DI35+DI36+DI37</f>
        <v>26228</v>
      </c>
      <c r="DJ38" s="98">
        <f t="shared" si="116"/>
        <v>-2.0319737038697161</v>
      </c>
      <c r="DK38" s="99">
        <f>DK32+DK33+DK34+DK35+DK36+DK37</f>
        <v>26460</v>
      </c>
      <c r="DL38" s="98">
        <f t="shared" si="117"/>
        <v>6.0505218575102049E-2</v>
      </c>
      <c r="DM38" s="99">
        <f>DM32+DM33+DM34+DM35+DM36+DM37</f>
        <v>26657</v>
      </c>
      <c r="DN38" s="98">
        <f t="shared" si="118"/>
        <v>2.6295526295526228</v>
      </c>
      <c r="DO38" s="99">
        <f>DO32+DO33+DO34+DO35+DO36+DO37</f>
        <v>26772</v>
      </c>
      <c r="DP38" s="98">
        <f t="shared" si="118"/>
        <v>2.7163904235727454</v>
      </c>
      <c r="DQ38" s="99">
        <f>DQ32+DQ33+DQ34+DQ35+DQ36+DQ37</f>
        <v>26938</v>
      </c>
      <c r="DR38" s="98">
        <f t="shared" si="118"/>
        <v>2.7070306542626099</v>
      </c>
      <c r="DS38" s="99">
        <f>DS32+DS33+DS34+DS35+DS36+DS37</f>
        <v>18678</v>
      </c>
      <c r="DT38" s="98">
        <f t="shared" si="118"/>
        <v>-29.410430839002267</v>
      </c>
      <c r="DU38" s="99">
        <f>DU32+DU33+DU34+DU35+DU36+DU37</f>
        <v>18649</v>
      </c>
      <c r="DV38" s="98">
        <f t="shared" si="118"/>
        <v>-30.040889822560679</v>
      </c>
      <c r="DW38" s="99">
        <f>DW32+DW33+DW34+DW35+DW36+DW37</f>
        <v>18643</v>
      </c>
      <c r="DX38" s="98">
        <f t="shared" si="118"/>
        <v>-30.363812938891378</v>
      </c>
      <c r="DY38" s="99">
        <f>DY32+DY33+DY34+DY35+DY36+DY37</f>
        <v>18668</v>
      </c>
      <c r="DZ38" s="98">
        <f t="shared" si="118"/>
        <v>-30.700126215754697</v>
      </c>
      <c r="EA38" s="99">
        <f>EA32+EA33+EA34+EA35+EA36+EA37</f>
        <v>18741</v>
      </c>
      <c r="EB38" s="98">
        <f t="shared" si="119"/>
        <v>0.33729521362029224</v>
      </c>
      <c r="EC38" s="99">
        <f>EC32+EC33+EC34+EC35+EC36+EC37</f>
        <v>18796</v>
      </c>
      <c r="ED38" s="98">
        <f t="shared" si="120"/>
        <v>0.78824601855327359</v>
      </c>
      <c r="EE38" s="99">
        <f>EE32+EE33+EE34+EE35+EE36+EE37</f>
        <v>18902</v>
      </c>
      <c r="EF38" s="860">
        <f t="shared" si="121"/>
        <v>1.3892613849702196</v>
      </c>
      <c r="EG38" s="99">
        <f>EG32+EG33+EG34+EG35+EG36+EG37</f>
        <v>18909</v>
      </c>
      <c r="EH38" s="860">
        <f t="shared" si="122"/>
        <v>1.2909792157703048</v>
      </c>
      <c r="EI38" s="99">
        <f>EI32+EI33+EI34+EI35+EI36+EI37</f>
        <v>18982</v>
      </c>
      <c r="EJ38" s="860">
        <f t="shared" si="123"/>
        <v>1.2859505896163581</v>
      </c>
      <c r="EK38" s="99">
        <f>EK32+EK33+EK34+EK35+EK36+EK37</f>
        <v>18954</v>
      </c>
      <c r="EL38" s="860">
        <f t="shared" si="124"/>
        <v>0.84060438391146963</v>
      </c>
      <c r="EM38" s="99">
        <f>EM32+EM33+EM34+EM35+EM36+EM37</f>
        <v>18939</v>
      </c>
      <c r="EN38" s="860">
        <f t="shared" si="125"/>
        <v>0.19574648185376464</v>
      </c>
      <c r="EO38" s="99">
        <f>EO32+EO33+EO34+EO35+EO36+EO37</f>
        <v>18927</v>
      </c>
      <c r="EP38" s="98">
        <f t="shared" si="126"/>
        <v>9.519276534983856E-2</v>
      </c>
      <c r="EQ38" s="1006">
        <f t="shared" ref="EQ38" si="155">EQ32+EQ33+EQ34+EQ35+EQ36+EQ37</f>
        <v>19039.324603199748</v>
      </c>
      <c r="ER38" s="98">
        <f t="shared" si="128"/>
        <v>0.30199453798203102</v>
      </c>
      <c r="ES38" s="1006">
        <f t="shared" ref="ES38" si="156">ES32+ES33+ES34+ES35+ES36+ES37</f>
        <v>19098.609172916091</v>
      </c>
      <c r="ET38" s="98">
        <f t="shared" si="130"/>
        <v>0.76294804746275258</v>
      </c>
      <c r="EU38" s="1006">
        <f t="shared" ref="EU38" si="157">EU32+EU33+EU34+EU35+EU36+EU37</f>
        <v>19151.873656365056</v>
      </c>
      <c r="EV38" s="98">
        <f t="shared" si="132"/>
        <v>1.123996284730211</v>
      </c>
      <c r="EW38" s="1006">
        <f t="shared" ref="EW38" si="158">EW32+EW33+EW34+EW35+EW36+EW37</f>
        <v>19150.900998916743</v>
      </c>
      <c r="EX38" s="98">
        <f t="shared" si="134"/>
        <v>1.182971410771616</v>
      </c>
      <c r="EY38" s="99"/>
      <c r="EZ38" s="594"/>
      <c r="FA38" s="405"/>
      <c r="FB38" s="94"/>
      <c r="FC38" s="92"/>
      <c r="FD38" s="94"/>
      <c r="FE38" s="92"/>
      <c r="FF38" s="95"/>
      <c r="FG38" s="92"/>
      <c r="FH38" s="95"/>
      <c r="FI38" s="92"/>
      <c r="FJ38" s="95"/>
      <c r="FK38" s="92"/>
      <c r="FL38" s="95"/>
      <c r="FM38" s="92"/>
      <c r="FN38" s="95"/>
      <c r="FO38" s="92"/>
      <c r="FP38" s="95"/>
      <c r="FQ38" s="92"/>
      <c r="FR38" s="96"/>
      <c r="FS38" s="97"/>
      <c r="FT38" s="96"/>
      <c r="FU38" s="97"/>
      <c r="FV38" s="96"/>
      <c r="FW38" s="98"/>
      <c r="FX38" s="482"/>
      <c r="FY38" s="98"/>
      <c r="FZ38" s="99"/>
      <c r="GA38" s="98"/>
      <c r="GB38" s="482"/>
      <c r="GC38" s="98"/>
      <c r="GD38" s="99">
        <f>GD32+GD33+GD34+GD35+GD36+GD37</f>
        <v>26772</v>
      </c>
      <c r="GE38" s="98" t="str">
        <f t="shared" si="135"/>
        <v>NA</v>
      </c>
      <c r="GF38" s="99">
        <f>GF32+GF33+GF34+GF35+GF36+GF37</f>
        <v>26228</v>
      </c>
      <c r="GG38" s="98">
        <f t="shared" si="136"/>
        <v>-2.0319737038697161</v>
      </c>
      <c r="GH38" s="99">
        <f>GH32+GH33+GH34+GH35+GH36+GH37</f>
        <v>26938</v>
      </c>
      <c r="GI38" s="98">
        <f t="shared" si="136"/>
        <v>2.7070306542626099</v>
      </c>
      <c r="GJ38" s="99">
        <f>GJ32+GJ33+GJ34+GJ35+GJ36+GJ37</f>
        <v>18668</v>
      </c>
      <c r="GK38" s="98">
        <f t="shared" si="136"/>
        <v>-30.700126215754697</v>
      </c>
      <c r="GL38" s="99">
        <f>GL32+GL33+GL34+GL35+GL36+GL37</f>
        <v>18909</v>
      </c>
      <c r="GM38" s="98">
        <f t="shared" si="136"/>
        <v>1.2909792157703048</v>
      </c>
      <c r="GN38" s="99">
        <f>GN32+GN33+GN34+GN35+GN36+GN37</f>
        <v>18927</v>
      </c>
      <c r="GO38" s="98">
        <f t="shared" si="136"/>
        <v>9.519276534983856E-2</v>
      </c>
      <c r="GP38" s="99">
        <f>GP32+GP33+GP34+GP35+GP36+GP37</f>
        <v>19150.900998916739</v>
      </c>
      <c r="GQ38" s="98">
        <f t="shared" si="136"/>
        <v>1.1829714107715938</v>
      </c>
      <c r="GR38" s="99">
        <f>GR32+GR33+GR34+GR35+GR36+GR37</f>
        <v>19425.904838919469</v>
      </c>
      <c r="GS38" s="98">
        <f t="shared" si="136"/>
        <v>1.435983821431086</v>
      </c>
      <c r="GT38" s="99">
        <f>GT32+GT33+GT34+GT35+GT36+GT37</f>
        <v>19747.816054308863</v>
      </c>
      <c r="GU38" s="98">
        <f t="shared" si="136"/>
        <v>1.6571234033044835</v>
      </c>
      <c r="GV38" s="99">
        <f>GV32+GV33+GV34+GV35+GV36+GV37</f>
        <v>20113.052657446511</v>
      </c>
      <c r="GW38" s="98">
        <f t="shared" si="136"/>
        <v>1.8495037736486974</v>
      </c>
      <c r="GX38" s="99">
        <f>GX32+GX33+GX34+GX35+GX36+GX37</f>
        <v>20518.569121646073</v>
      </c>
      <c r="GY38" s="98">
        <f t="shared" si="137"/>
        <v>2.0161855642008897</v>
      </c>
      <c r="GZ38" s="98">
        <f t="shared" si="138"/>
        <v>1.6279248807501867</v>
      </c>
      <c r="HA38" s="98"/>
      <c r="HB38" s="10"/>
      <c r="HC38"/>
      <c r="HD38"/>
      <c r="HE38"/>
      <c r="HF38"/>
      <c r="HG38"/>
      <c r="HH38"/>
      <c r="HI38" s="10"/>
    </row>
    <row r="39" spans="2:217" s="2" customFormat="1" ht="12.75" customHeight="1" x14ac:dyDescent="0.2">
      <c r="B39" s="91" t="s">
        <v>279</v>
      </c>
      <c r="C39" s="94"/>
      <c r="D39" s="92"/>
      <c r="E39" s="94"/>
      <c r="F39" s="92"/>
      <c r="G39" s="94"/>
      <c r="H39" s="92"/>
      <c r="I39" s="94"/>
      <c r="J39" s="98"/>
      <c r="K39" s="94"/>
      <c r="L39" s="98"/>
      <c r="M39" s="94"/>
      <c r="N39" s="98"/>
      <c r="O39" s="94"/>
      <c r="P39" s="98"/>
      <c r="Q39" s="94"/>
      <c r="R39" s="98"/>
      <c r="S39" s="94"/>
      <c r="T39" s="98"/>
      <c r="U39" s="94"/>
      <c r="V39" s="98"/>
      <c r="W39" s="94"/>
      <c r="X39" s="98"/>
      <c r="Y39" s="94"/>
      <c r="Z39" s="98"/>
      <c r="AA39" s="94"/>
      <c r="AB39" s="98"/>
      <c r="AC39" s="94"/>
      <c r="AD39" s="98"/>
      <c r="AE39" s="94"/>
      <c r="AF39" s="98"/>
      <c r="AG39" s="94"/>
      <c r="AH39" s="98"/>
      <c r="AI39" s="94"/>
      <c r="AJ39" s="98"/>
      <c r="AK39" s="94"/>
      <c r="AL39" s="98"/>
      <c r="AM39" s="94"/>
      <c r="AN39" s="98"/>
      <c r="AO39" s="94"/>
      <c r="AP39" s="98"/>
      <c r="AQ39" s="94"/>
      <c r="AR39" s="98"/>
      <c r="AS39" s="94"/>
      <c r="AT39" s="98"/>
      <c r="AU39" s="94"/>
      <c r="AV39" s="98"/>
      <c r="AW39" s="94"/>
      <c r="AX39" s="98"/>
      <c r="AY39" s="94"/>
      <c r="AZ39" s="98"/>
      <c r="BA39" s="94"/>
      <c r="BB39" s="98"/>
      <c r="BC39" s="94"/>
      <c r="BD39" s="98"/>
      <c r="BE39" s="94"/>
      <c r="BF39" s="98"/>
      <c r="BG39" s="94"/>
      <c r="BH39" s="98"/>
      <c r="BI39" s="94"/>
      <c r="BJ39" s="98"/>
      <c r="BK39" s="94"/>
      <c r="BL39" s="98"/>
      <c r="BM39" s="94"/>
      <c r="BN39" s="98"/>
      <c r="BO39" s="94"/>
      <c r="BP39" s="98"/>
      <c r="BQ39" s="94"/>
      <c r="BR39" s="98"/>
      <c r="BS39" s="94"/>
      <c r="BT39" s="98"/>
      <c r="BU39" s="99"/>
      <c r="BV39" s="98"/>
      <c r="BW39" s="99"/>
      <c r="BX39" s="98"/>
      <c r="BY39" s="99"/>
      <c r="BZ39" s="98"/>
      <c r="CA39" s="99"/>
      <c r="CB39" s="98"/>
      <c r="CC39" s="99"/>
      <c r="CD39" s="98"/>
      <c r="CE39" s="99"/>
      <c r="CF39" s="98"/>
      <c r="CG39" s="99"/>
      <c r="CH39" s="98"/>
      <c r="CI39" s="99"/>
      <c r="CJ39" s="98"/>
      <c r="CK39" s="99"/>
      <c r="CL39" s="98"/>
      <c r="CM39" s="99"/>
      <c r="CN39" s="98"/>
      <c r="CO39" s="99"/>
      <c r="CP39" s="98"/>
      <c r="CQ39" s="482">
        <f>AVERAGE(CQ32,CQ38)</f>
        <v>25351.5</v>
      </c>
      <c r="CR39" s="98" t="str">
        <f t="shared" si="107"/>
        <v>NA</v>
      </c>
      <c r="CS39" s="99">
        <f>AVERAGE(CS32,CS38)</f>
        <v>25477.5</v>
      </c>
      <c r="CT39" s="98" t="str">
        <f t="shared" si="108"/>
        <v>NA</v>
      </c>
      <c r="CU39" s="99">
        <f>AVERAGE(CU32,CU38)</f>
        <v>25621.5</v>
      </c>
      <c r="CV39" s="98" t="str">
        <f t="shared" si="109"/>
        <v>NA</v>
      </c>
      <c r="CW39" s="99">
        <f>AVERAGE(CW32,CW38)</f>
        <v>26151.5</v>
      </c>
      <c r="CX39" s="98" t="str">
        <f t="shared" si="110"/>
        <v>NA</v>
      </c>
      <c r="CY39" s="99">
        <f>AVERAGE(CY32,CY38)</f>
        <v>26782</v>
      </c>
      <c r="CZ39" s="98">
        <f t="shared" si="111"/>
        <v>5.6426641421612134</v>
      </c>
      <c r="DA39" s="99">
        <f>AVERAGE(DA32,DA38)</f>
        <v>26847</v>
      </c>
      <c r="DB39" s="98">
        <f t="shared" si="112"/>
        <v>5.3753311745657895</v>
      </c>
      <c r="DC39" s="99">
        <f>AVERAGE(DC32,DC38)</f>
        <v>26608</v>
      </c>
      <c r="DD39" s="98">
        <f t="shared" si="113"/>
        <v>3.8502819897351825</v>
      </c>
      <c r="DE39" s="99">
        <f>AVERAGE(DE32,DE38)</f>
        <v>26209</v>
      </c>
      <c r="DF39" s="98">
        <f t="shared" si="114"/>
        <v>0.21987266504790437</v>
      </c>
      <c r="DG39" s="99">
        <f>AVERAGE(DG32,DG38)</f>
        <v>26019</v>
      </c>
      <c r="DH39" s="98">
        <f t="shared" si="115"/>
        <v>-2.8489283847360158</v>
      </c>
      <c r="DI39" s="99">
        <f>AVERAGE(DI32,DI38)</f>
        <v>26146</v>
      </c>
      <c r="DJ39" s="98">
        <f t="shared" si="116"/>
        <v>-2.6110924870562768</v>
      </c>
      <c r="DK39" s="99">
        <f>AVERAGE(DK32,DK38)</f>
        <v>26344</v>
      </c>
      <c r="DL39" s="98">
        <f t="shared" si="117"/>
        <v>-0.99218280216476495</v>
      </c>
      <c r="DM39" s="99">
        <f>AVERAGE(DM32,DM38)</f>
        <v>26558.5</v>
      </c>
      <c r="DN39" s="98">
        <f t="shared" si="118"/>
        <v>1.3335113892174455</v>
      </c>
      <c r="DO39" s="99">
        <f>AVERAGE(DO32,DO38)</f>
        <v>26714.5</v>
      </c>
      <c r="DP39" s="98">
        <f t="shared" si="118"/>
        <v>2.6730466197778524</v>
      </c>
      <c r="DQ39" s="99">
        <f>AVERAGE(DQ32,DQ38)</f>
        <v>26855</v>
      </c>
      <c r="DR39" s="98">
        <f t="shared" si="118"/>
        <v>2.7116958616996811</v>
      </c>
      <c r="DS39" s="99">
        <f>AVERAGE(DS32,DS38)</f>
        <v>18593.5</v>
      </c>
      <c r="DT39" s="98">
        <f t="shared" si="118"/>
        <v>-29.420361372608561</v>
      </c>
      <c r="DU39" s="99">
        <f>AVERAGE(DU32,DU38)</f>
        <v>18663.5</v>
      </c>
      <c r="DV39" s="98">
        <f t="shared" si="118"/>
        <v>-29.72682945196453</v>
      </c>
      <c r="DW39" s="99">
        <f>AVERAGE(DW32,DW38)</f>
        <v>18646</v>
      </c>
      <c r="DX39" s="98">
        <f t="shared" si="118"/>
        <v>-30.202698908832282</v>
      </c>
      <c r="DY39" s="99">
        <f>AVERAGE(DY32,DY38)</f>
        <v>18655.5</v>
      </c>
      <c r="DZ39" s="98">
        <f t="shared" si="118"/>
        <v>-30.532489294358591</v>
      </c>
      <c r="EA39" s="99">
        <f>AVERAGE(EA32,EA38)</f>
        <v>18704.5</v>
      </c>
      <c r="EB39" s="98">
        <f t="shared" si="119"/>
        <v>0.5969828165756752</v>
      </c>
      <c r="EC39" s="99">
        <f>AVERAGE(EC32,EC38)</f>
        <v>18768.5</v>
      </c>
      <c r="ED39" s="98">
        <f t="shared" si="120"/>
        <v>0.56259544029790831</v>
      </c>
      <c r="EE39" s="99">
        <f>AVERAGE(EE32,EE38)</f>
        <v>18849</v>
      </c>
      <c r="EF39" s="860">
        <f t="shared" si="121"/>
        <v>1.088705352354391</v>
      </c>
      <c r="EG39" s="99">
        <f>AVERAGE(EG32,EG38)</f>
        <v>18905.5</v>
      </c>
      <c r="EH39" s="860">
        <f t="shared" si="122"/>
        <v>1.3400873736967744</v>
      </c>
      <c r="EI39" s="99">
        <f>AVERAGE(EI32,EI38)</f>
        <v>18945.5</v>
      </c>
      <c r="EJ39" s="860">
        <f t="shared" si="123"/>
        <v>1.288459996257596</v>
      </c>
      <c r="EK39" s="99">
        <f>AVERAGE(EK32,EK38)</f>
        <v>18968</v>
      </c>
      <c r="EL39" s="860">
        <f t="shared" si="124"/>
        <v>1.0629512214614945</v>
      </c>
      <c r="EM39" s="99">
        <f>AVERAGE(EM32,EM38)</f>
        <v>18946.5</v>
      </c>
      <c r="EN39" s="860">
        <f t="shared" si="125"/>
        <v>0.51726882062708146</v>
      </c>
      <c r="EO39" s="99">
        <f>AVERAGE(EO32,EO38)</f>
        <v>18933</v>
      </c>
      <c r="EP39" s="98">
        <f t="shared" si="126"/>
        <v>0.14546031578113183</v>
      </c>
      <c r="EQ39" s="1006">
        <f t="shared" ref="EQ39" si="159">AVERAGE(EQ32,EQ38)</f>
        <v>18983.162301599874</v>
      </c>
      <c r="ER39" s="98">
        <f t="shared" si="128"/>
        <v>0.19879286162873822</v>
      </c>
      <c r="ES39" s="1006">
        <f t="shared" ref="ES39" si="160">AVERAGE(ES32,ES38)</f>
        <v>19068.966888057919</v>
      </c>
      <c r="ET39" s="98">
        <f t="shared" si="130"/>
        <v>0.53230118124165671</v>
      </c>
      <c r="EU39" s="1006">
        <f t="shared" ref="EU39" si="161">AVERAGE(EU32,EU38)</f>
        <v>19125.241414640572</v>
      </c>
      <c r="EV39" s="98">
        <f t="shared" si="132"/>
        <v>0.94340070535756659</v>
      </c>
      <c r="EW39" s="1006">
        <f t="shared" ref="EW39" si="162">AVERAGE(EW32,EW38)</f>
        <v>19151.387327640899</v>
      </c>
      <c r="EX39" s="98">
        <f t="shared" si="134"/>
        <v>1.1534745029361471</v>
      </c>
      <c r="EY39" s="99"/>
      <c r="EZ39" s="594"/>
      <c r="FA39" s="405"/>
      <c r="FB39" s="94"/>
      <c r="FC39" s="92"/>
      <c r="FD39" s="94"/>
      <c r="FE39" s="92"/>
      <c r="FF39" s="95"/>
      <c r="FG39" s="92"/>
      <c r="FH39" s="95"/>
      <c r="FI39" s="92"/>
      <c r="FJ39" s="95"/>
      <c r="FK39" s="92"/>
      <c r="FL39" s="95"/>
      <c r="FM39" s="92"/>
      <c r="FN39" s="95"/>
      <c r="FO39" s="92"/>
      <c r="FP39" s="95"/>
      <c r="FQ39" s="92"/>
      <c r="FR39" s="96"/>
      <c r="FS39" s="97"/>
      <c r="FT39" s="96"/>
      <c r="FU39" s="97"/>
      <c r="FV39" s="96"/>
      <c r="FW39" s="98"/>
      <c r="FX39" s="482"/>
      <c r="FY39" s="98"/>
      <c r="FZ39" s="99"/>
      <c r="GA39" s="98"/>
      <c r="GB39" s="482"/>
      <c r="GC39" s="98"/>
      <c r="GD39" s="99">
        <f>AVERAGE(GD32,GD38)</f>
        <v>26177</v>
      </c>
      <c r="GE39" s="98" t="str">
        <f t="shared" si="135"/>
        <v>NA</v>
      </c>
      <c r="GF39" s="99">
        <f>AVERAGE(GF32,GF38)</f>
        <v>26500</v>
      </c>
      <c r="GG39" s="98">
        <f t="shared" si="136"/>
        <v>1.233907628834463</v>
      </c>
      <c r="GH39" s="99">
        <f>AVERAGE(GH32,GH38)</f>
        <v>26583</v>
      </c>
      <c r="GI39" s="98">
        <f t="shared" si="136"/>
        <v>0.31320754716981369</v>
      </c>
      <c r="GJ39" s="99">
        <f>AVERAGE(GJ32,GJ38)</f>
        <v>18588.5</v>
      </c>
      <c r="GK39" s="98">
        <f t="shared" si="136"/>
        <v>-30.073731332054322</v>
      </c>
      <c r="GL39" s="99">
        <f>AVERAGE(GL32,GL38)</f>
        <v>18788.5</v>
      </c>
      <c r="GM39" s="98">
        <f t="shared" si="136"/>
        <v>1.0759340452430211</v>
      </c>
      <c r="GN39" s="99">
        <f>AVERAGE(GN32,GN38)</f>
        <v>18918</v>
      </c>
      <c r="GO39" s="98">
        <f t="shared" si="136"/>
        <v>0.68925140378421901</v>
      </c>
      <c r="GP39" s="99">
        <f>AVERAGE(GP32,GP38)</f>
        <v>19038.950499458369</v>
      </c>
      <c r="GQ39" s="98">
        <f t="shared" si="136"/>
        <v>0.63934083654915153</v>
      </c>
      <c r="GR39" s="99">
        <f>AVERAGE(GR32,GR38)</f>
        <v>19288.402918918102</v>
      </c>
      <c r="GS39" s="98">
        <f t="shared" si="136"/>
        <v>1.310221482359708</v>
      </c>
      <c r="GT39" s="99">
        <f>AVERAGE(GT32,GT38)</f>
        <v>19586.860446614166</v>
      </c>
      <c r="GU39" s="98">
        <f t="shared" si="136"/>
        <v>1.5473418351466428</v>
      </c>
      <c r="GV39" s="99">
        <f>AVERAGE(GV32,GV38)</f>
        <v>19930.434355877689</v>
      </c>
      <c r="GW39" s="98">
        <f t="shared" si="136"/>
        <v>1.754104034181303</v>
      </c>
      <c r="GX39" s="99">
        <f>AVERAGE(GX32,GX38)</f>
        <v>20315.810889546294</v>
      </c>
      <c r="GY39" s="98">
        <f t="shared" si="137"/>
        <v>1.9336083036993745</v>
      </c>
      <c r="GZ39" s="98">
        <f t="shared" si="138"/>
        <v>1.4359236374257511</v>
      </c>
      <c r="HA39" s="98"/>
      <c r="HB39" s="10"/>
      <c r="HC39"/>
      <c r="HD39"/>
      <c r="HE39"/>
      <c r="HF39"/>
      <c r="HG39"/>
      <c r="HH39"/>
      <c r="HI39" s="10"/>
    </row>
    <row r="40" spans="2:217" s="2" customFormat="1" ht="12.75" customHeight="1" x14ac:dyDescent="0.2">
      <c r="B40" s="91"/>
      <c r="C40" s="94"/>
      <c r="D40" s="92"/>
      <c r="E40" s="94"/>
      <c r="F40" s="92"/>
      <c r="G40" s="94"/>
      <c r="H40" s="92"/>
      <c r="I40" s="94"/>
      <c r="J40" s="98"/>
      <c r="K40" s="94"/>
      <c r="L40" s="98"/>
      <c r="M40" s="94"/>
      <c r="N40" s="98"/>
      <c r="O40" s="94"/>
      <c r="P40" s="98"/>
      <c r="Q40" s="94"/>
      <c r="R40" s="98"/>
      <c r="S40" s="94"/>
      <c r="T40" s="98"/>
      <c r="U40" s="94"/>
      <c r="V40" s="98"/>
      <c r="W40" s="94"/>
      <c r="X40" s="98"/>
      <c r="Y40" s="94"/>
      <c r="Z40" s="98"/>
      <c r="AA40" s="94"/>
      <c r="AB40" s="98"/>
      <c r="AC40" s="94"/>
      <c r="AD40" s="98"/>
      <c r="AE40" s="94"/>
      <c r="AF40" s="98"/>
      <c r="AG40" s="94"/>
      <c r="AH40" s="98"/>
      <c r="AI40" s="94"/>
      <c r="AJ40" s="98"/>
      <c r="AK40" s="94"/>
      <c r="AL40" s="98"/>
      <c r="AM40" s="94"/>
      <c r="AN40" s="98"/>
      <c r="AO40" s="94"/>
      <c r="AP40" s="98"/>
      <c r="AQ40" s="94"/>
      <c r="AR40" s="98"/>
      <c r="AS40" s="94"/>
      <c r="AT40" s="98"/>
      <c r="AU40" s="94"/>
      <c r="AV40" s="98"/>
      <c r="AW40" s="94"/>
      <c r="AX40" s="98"/>
      <c r="AY40" s="94"/>
      <c r="AZ40" s="98"/>
      <c r="BA40" s="94"/>
      <c r="BB40" s="98"/>
      <c r="BC40" s="94"/>
      <c r="BD40" s="98"/>
      <c r="BE40" s="94"/>
      <c r="BF40" s="98"/>
      <c r="BG40" s="94"/>
      <c r="BH40" s="98"/>
      <c r="BI40" s="94"/>
      <c r="BJ40" s="98"/>
      <c r="BK40" s="94"/>
      <c r="BL40" s="98"/>
      <c r="BM40" s="94"/>
      <c r="BN40" s="98"/>
      <c r="BO40" s="94"/>
      <c r="BP40" s="98"/>
      <c r="BQ40" s="94"/>
      <c r="BR40" s="98"/>
      <c r="BS40" s="94"/>
      <c r="BT40" s="98"/>
      <c r="BU40" s="94"/>
      <c r="BV40" s="98"/>
      <c r="BW40" s="94"/>
      <c r="BX40" s="98"/>
      <c r="BY40" s="94"/>
      <c r="BZ40" s="98"/>
      <c r="CA40" s="94"/>
      <c r="CB40" s="98"/>
      <c r="CC40" s="94"/>
      <c r="CD40" s="98"/>
      <c r="CE40" s="94"/>
      <c r="CF40" s="98"/>
      <c r="CG40" s="94"/>
      <c r="CH40" s="98"/>
      <c r="CI40" s="94"/>
      <c r="CJ40" s="98"/>
      <c r="CK40" s="94"/>
      <c r="CL40" s="98"/>
      <c r="CM40" s="94"/>
      <c r="CN40" s="98"/>
      <c r="CO40" s="94"/>
      <c r="CP40" s="98"/>
      <c r="CQ40" s="533"/>
      <c r="CR40" s="98"/>
      <c r="CS40" s="94"/>
      <c r="CT40" s="98"/>
      <c r="CU40" s="94"/>
      <c r="CV40" s="98"/>
      <c r="CW40" s="94"/>
      <c r="CX40" s="98"/>
      <c r="CY40" s="94"/>
      <c r="CZ40" s="98"/>
      <c r="DA40" s="94"/>
      <c r="DB40" s="98"/>
      <c r="DC40" s="94"/>
      <c r="DD40" s="98"/>
      <c r="DE40" s="94"/>
      <c r="DF40" s="98"/>
      <c r="DG40" s="94"/>
      <c r="DH40" s="98"/>
      <c r="DI40" s="94"/>
      <c r="DJ40" s="98"/>
      <c r="DK40" s="94"/>
      <c r="DL40" s="98"/>
      <c r="DM40" s="94"/>
      <c r="DN40" s="98"/>
      <c r="DO40" s="94"/>
      <c r="DP40" s="98"/>
      <c r="DQ40" s="94"/>
      <c r="DR40" s="98"/>
      <c r="DS40" s="94"/>
      <c r="DT40" s="98"/>
      <c r="DU40" s="94"/>
      <c r="DV40" s="98"/>
      <c r="DW40" s="94"/>
      <c r="DX40" s="98"/>
      <c r="DY40" s="94"/>
      <c r="DZ40" s="98"/>
      <c r="EA40" s="94"/>
      <c r="EB40" s="98"/>
      <c r="EC40" s="94"/>
      <c r="ED40" s="98"/>
      <c r="EE40" s="94"/>
      <c r="EF40" s="860"/>
      <c r="EG40" s="94"/>
      <c r="EH40" s="860"/>
      <c r="EI40" s="94"/>
      <c r="EJ40" s="860"/>
      <c r="EK40" s="94"/>
      <c r="EL40" s="860"/>
      <c r="EM40" s="94"/>
      <c r="EN40" s="860"/>
      <c r="EO40" s="94"/>
      <c r="EP40" s="98"/>
      <c r="EQ40" s="789"/>
      <c r="ER40" s="98"/>
      <c r="ES40" s="789"/>
      <c r="ET40" s="98"/>
      <c r="EU40" s="789"/>
      <c r="EV40" s="98"/>
      <c r="EW40" s="789"/>
      <c r="EX40" s="98"/>
      <c r="EY40" s="95"/>
      <c r="EZ40" s="594"/>
      <c r="FA40" s="405"/>
      <c r="FB40" s="94"/>
      <c r="FC40" s="92"/>
      <c r="FD40" s="94"/>
      <c r="FE40" s="92"/>
      <c r="FF40" s="95"/>
      <c r="FG40" s="92"/>
      <c r="FH40" s="95"/>
      <c r="FI40" s="92"/>
      <c r="FJ40" s="95"/>
      <c r="FK40" s="92"/>
      <c r="FL40" s="95"/>
      <c r="FM40" s="92"/>
      <c r="FN40" s="95"/>
      <c r="FO40" s="92"/>
      <c r="FP40" s="95"/>
      <c r="FQ40" s="92"/>
      <c r="FR40" s="96"/>
      <c r="FS40" s="97"/>
      <c r="FT40" s="96"/>
      <c r="FU40" s="97"/>
      <c r="FV40" s="96"/>
      <c r="FW40" s="98"/>
      <c r="FX40" s="480"/>
      <c r="FY40" s="98"/>
      <c r="FZ40" s="96"/>
      <c r="GA40" s="98"/>
      <c r="GB40" s="480"/>
      <c r="GC40" s="98"/>
      <c r="GD40" s="96"/>
      <c r="GE40" s="98"/>
      <c r="GF40" s="96"/>
      <c r="GG40" s="98"/>
      <c r="GH40" s="96"/>
      <c r="GI40" s="98"/>
      <c r="GJ40" s="96"/>
      <c r="GK40" s="98"/>
      <c r="GL40" s="96"/>
      <c r="GM40" s="98"/>
      <c r="GN40" s="96"/>
      <c r="GO40" s="98"/>
      <c r="GP40" s="96"/>
      <c r="GQ40" s="98"/>
      <c r="GR40" s="95"/>
      <c r="GS40" s="98"/>
      <c r="GT40" s="95"/>
      <c r="GU40" s="98"/>
      <c r="GV40" s="95"/>
      <c r="GW40" s="98"/>
      <c r="GX40" s="95"/>
      <c r="GY40" s="98"/>
      <c r="GZ40" s="98"/>
      <c r="HA40" s="98"/>
      <c r="HB40" s="10"/>
      <c r="HC40"/>
      <c r="HD40"/>
      <c r="HE40"/>
      <c r="HF40"/>
      <c r="HG40"/>
      <c r="HH40"/>
      <c r="HI40" s="10"/>
    </row>
    <row r="41" spans="2:217" s="111" customFormat="1" ht="12.75" customHeight="1" x14ac:dyDescent="0.2">
      <c r="B41" s="102" t="s">
        <v>369</v>
      </c>
      <c r="C41" s="103"/>
      <c r="D41" s="104"/>
      <c r="E41" s="103"/>
      <c r="F41" s="104"/>
      <c r="G41" s="103"/>
      <c r="H41" s="104"/>
      <c r="I41" s="103"/>
      <c r="J41" s="98"/>
      <c r="K41" s="103"/>
      <c r="L41" s="98"/>
      <c r="M41" s="103"/>
      <c r="N41" s="98"/>
      <c r="O41" s="103"/>
      <c r="P41" s="98"/>
      <c r="Q41" s="103"/>
      <c r="R41" s="98"/>
      <c r="S41" s="103"/>
      <c r="T41" s="98"/>
      <c r="U41" s="103"/>
      <c r="V41" s="98"/>
      <c r="W41" s="103"/>
      <c r="X41" s="98"/>
      <c r="Y41" s="103"/>
      <c r="Z41" s="98"/>
      <c r="AA41" s="103"/>
      <c r="AB41" s="98"/>
      <c r="AC41" s="103"/>
      <c r="AD41" s="98"/>
      <c r="AE41" s="103"/>
      <c r="AF41" s="98"/>
      <c r="AG41" s="103"/>
      <c r="AH41" s="98"/>
      <c r="AI41" s="103"/>
      <c r="AJ41" s="98"/>
      <c r="AK41" s="103"/>
      <c r="AL41" s="98"/>
      <c r="AM41" s="103"/>
      <c r="AN41" s="98"/>
      <c r="AO41" s="103"/>
      <c r="AP41" s="98"/>
      <c r="AQ41" s="105"/>
      <c r="AR41" s="98"/>
      <c r="AS41" s="105"/>
      <c r="AT41" s="98"/>
      <c r="AU41" s="105"/>
      <c r="AV41" s="98"/>
      <c r="AW41" s="105"/>
      <c r="AX41" s="98"/>
      <c r="AY41" s="106"/>
      <c r="AZ41" s="98"/>
      <c r="BA41" s="106"/>
      <c r="BB41" s="98"/>
      <c r="BC41" s="106"/>
      <c r="BD41" s="98"/>
      <c r="BE41" s="106"/>
      <c r="BF41" s="98"/>
      <c r="BG41" s="106"/>
      <c r="BH41" s="98"/>
      <c r="BI41" s="106"/>
      <c r="BJ41" s="98"/>
      <c r="BK41" s="106"/>
      <c r="BL41" s="98"/>
      <c r="BM41" s="106"/>
      <c r="BN41" s="98"/>
      <c r="BO41" s="106"/>
      <c r="BP41" s="98"/>
      <c r="BQ41" s="106"/>
      <c r="BR41" s="98"/>
      <c r="BS41" s="106"/>
      <c r="BT41" s="98"/>
      <c r="BU41" s="106"/>
      <c r="BV41" s="98"/>
      <c r="BW41" s="106"/>
      <c r="BX41" s="98"/>
      <c r="BY41" s="106"/>
      <c r="BZ41" s="98"/>
      <c r="CA41" s="106"/>
      <c r="CB41" s="98"/>
      <c r="CC41" s="106"/>
      <c r="CD41" s="98"/>
      <c r="CE41" s="106"/>
      <c r="CF41" s="98"/>
      <c r="CG41" s="106"/>
      <c r="CH41" s="98"/>
      <c r="CI41" s="106"/>
      <c r="CJ41" s="98"/>
      <c r="CK41" s="106"/>
      <c r="CL41" s="98"/>
      <c r="CM41" s="106"/>
      <c r="CN41" s="98"/>
      <c r="CO41" s="106"/>
      <c r="CP41" s="98"/>
      <c r="CQ41" s="483">
        <f>(CQ34*4)/CQ32*100</f>
        <v>3.347808922226609</v>
      </c>
      <c r="CR41" s="98" t="str">
        <f>IF(ISERROR((CQ41/CI41-1)*100),"NA",IF(((CQ41/CI41-1)*100)&gt;100,"NM",IF(((CQ41/CI41-1)*100)&lt;-50,"NM",(CQ41/CI41-1)*100)))</f>
        <v>NA</v>
      </c>
      <c r="CS41" s="106">
        <f>(CS34*4)/CS32*100</f>
        <v>3.3579001300595124</v>
      </c>
      <c r="CT41" s="98" t="str">
        <f>IF(ISERROR((CS41/CK41-1)*100),"NA",IF(((CS41/CK41-1)*100)&gt;100,"NM",IF(((CS41/CK41-1)*100)&lt;-50,"NM",(CS41/CK41-1)*100)))</f>
        <v>NA</v>
      </c>
      <c r="CU41" s="106">
        <f>(CU34*4)/CU32*100</f>
        <v>3.3148307403643185</v>
      </c>
      <c r="CV41" s="98" t="str">
        <f>IF(ISERROR((CU41/CM41-1)*100),"NA",IF(((CU41/CM41-1)*100)&gt;100,"NM",IF(((CU41/CM41-1)*100)&lt;-50,"NM",(CU41/CM41-1)*100)))</f>
        <v>NA</v>
      </c>
      <c r="CW41" s="106">
        <f>(CW34*4)/CW32*100</f>
        <v>3.2578621254043103</v>
      </c>
      <c r="CX41" s="98" t="str">
        <f>IF(ISERROR((CW41/CO41-1)*100),"NA",IF(((CW41/CO41-1)*100)&gt;100,"NM",IF(((CW41/CO41-1)*100)&lt;-50,"NM",(CW41/CO41-1)*100)))</f>
        <v>NA</v>
      </c>
      <c r="CY41" s="106">
        <f>(CY34*4)/CY32*100</f>
        <v>3.1679303355603934</v>
      </c>
      <c r="CZ41" s="98">
        <f>IF(ISERROR((CY41/CQ41-1)*100),"NA",IF(((CY41/CQ41-1)*100)&gt;100,"NM",IF(((CY41/CQ41-1)*100)&lt;-50,"NM",(CY41/CQ41-1)*100)))</f>
        <v>-5.3730242927538256</v>
      </c>
      <c r="DA41" s="106">
        <f>(DA34*4)/DA32*100</f>
        <v>3.2389867023252359</v>
      </c>
      <c r="DB41" s="98">
        <f>IF(ISERROR((DA41/CS41-1)*100),"NA",IF(((DA41/CS41-1)*100)&gt;100,"NM",IF(((DA41/CS41-1)*100)&lt;-50,"NM",(DA41/CS41-1)*100)))</f>
        <v>-3.5413032886171369</v>
      </c>
      <c r="DC41" s="106">
        <f>(DC34*4)/DC32*100</f>
        <v>3.1525474376213953</v>
      </c>
      <c r="DD41" s="98">
        <f>IF(ISERROR((DC41/CU41-1)*100),"NA",IF(((DC41/CU41-1)*100)&gt;100,"NM",IF(((DC41/CU41-1)*100)&lt;-50,"NM",(DC41/CU41-1)*100)))</f>
        <v>-4.8956738806243632</v>
      </c>
      <c r="DE41" s="106">
        <f>(DE34*4)/DE32*100</f>
        <v>3.2370291937679623</v>
      </c>
      <c r="DF41" s="98">
        <f>IF(ISERROR((DE41/CW41-1)*100),"NA",IF(((DE41/CW41-1)*100)&gt;100,"NM",IF(((DE41/CW41-1)*100)&lt;-50,"NM",(DE41/CW41-1)*100)))</f>
        <v>-0.63946633818220411</v>
      </c>
      <c r="DG41" s="106">
        <f>(DG34*4)/DG32*100</f>
        <v>3.3572033572033573</v>
      </c>
      <c r="DH41" s="98">
        <f>IF(ISERROR((DG41/CY41-1)*100),"NA",IF(((DG41/CY41-1)*100)&gt;100,"NM",IF(((DG41/CY41-1)*100)&lt;-50,"NM",(DG41/CY41-1)*100)))</f>
        <v>5.9746585812936459</v>
      </c>
      <c r="DI41" s="106">
        <f>(DI34*4)/DI32*100</f>
        <v>3.3916513198281151</v>
      </c>
      <c r="DJ41" s="98">
        <f>IF(ISERROR((DI41/DA41-1)*100),"NA",IF(((DI41/DA41-1)*100)&gt;100,"NM",IF(((DI41/DA41-1)*100)&lt;-50,"NM",(DI41/DA41-1)*100)))</f>
        <v>4.7133449912987624</v>
      </c>
      <c r="DK41" s="106">
        <f>(DK34*4)/DK32*100</f>
        <v>3.3399420466676837</v>
      </c>
      <c r="DL41" s="98">
        <f>IF(ISERROR((DK41/DC41-1)*100),"NA",IF(((DK41/DC41-1)*100)&gt;100,"NM",IF(((DK41/DC41-1)*100)&lt;-50,"NM",(DK41/DC41-1)*100)))</f>
        <v>5.9442280490370036</v>
      </c>
      <c r="DM41" s="106">
        <f>(DM34*4)/DM32*100</f>
        <v>3.3711262282690857</v>
      </c>
      <c r="DN41" s="98">
        <f>IF(ISERROR((DM41/DE41-1)*100),"NA",IF(((DM41/DE41-1)*100)&gt;100,"NM",IF(((DM41/DE41-1)*100)&lt;-50,"NM",(DM41/DE41-1)*100)))</f>
        <v>4.1425957714342321</v>
      </c>
      <c r="DO41" s="106">
        <f>(DO34*4)/DO32*100</f>
        <v>3.4062347601005363</v>
      </c>
      <c r="DP41" s="98">
        <f>IF(ISERROR((DO41/DG41-1)*100),"NA",IF(((DO41/DG41-1)*100)&gt;100,"NM",IF(((DO41/DG41-1)*100)&lt;-50,"NM",(DO41/DG41-1)*100)))</f>
        <v>1.4604835537285865</v>
      </c>
      <c r="DQ41" s="106">
        <f>(DQ34*4)/DQ32*100</f>
        <v>3.3916031674884208</v>
      </c>
      <c r="DR41" s="98">
        <f>IF(ISERROR((DQ41/DI41-1)*100),"NA",IF(((DQ41/DI41-1)*100)&gt;100,"NM",IF(((DQ41/DI41-1)*100)&lt;-50,"NM",(DQ41/DI41-1)*100)))</f>
        <v>-1.4197314273656225E-3</v>
      </c>
      <c r="DS41" s="106">
        <f>(DS34*4)/DS32*100</f>
        <v>2.8094440542438814</v>
      </c>
      <c r="DT41" s="98">
        <f>IF(ISERROR((DS41/DK41-1)*100),"NA",IF(((DS41/DK41-1)*100)&gt;100,"NM",IF(((DS41/DK41-1)*100)&lt;-50,"NM",(DS41/DK41-1)*100)))</f>
        <v>-15.883449024305351</v>
      </c>
      <c r="DU41" s="106">
        <f>(DU34*4)/DU32*100</f>
        <v>2.8268551236749118</v>
      </c>
      <c r="DV41" s="98">
        <f>IF(ISERROR((DU41/DM41-1)*100),"NA",IF(((DU41/DM41-1)*100)&gt;100,"NM",IF(((DU41/DM41-1)*100)&lt;-50,"NM",(DU41/DM41-1)*100)))</f>
        <v>-16.145082317894442</v>
      </c>
      <c r="DW41" s="106">
        <f>(DW34*4)/DW32*100</f>
        <v>2.895597619175291</v>
      </c>
      <c r="DX41" s="98">
        <f>IF(ISERROR((DW41/DO41-1)*100),"NA",IF(((DW41/DO41-1)*100)&gt;100,"NM",IF(((DW41/DO41-1)*100)&lt;-50,"NM",(DW41/DO41-1)*100)))</f>
        <v>-14.991249191238175</v>
      </c>
      <c r="DY41" s="106">
        <f>(DY34*4)/DY32*100</f>
        <v>2.9394410770798691</v>
      </c>
      <c r="DZ41" s="98">
        <f>IF(ISERROR((DY41/DQ41-1)*100),"NA",IF(((DY41/DQ41-1)*100)&gt;100,"NM",IF(((DY41/DQ41-1)*100)&lt;-50,"NM",(DY41/DQ41-1)*100)))</f>
        <v>-13.331810004865364</v>
      </c>
      <c r="EA41" s="106">
        <f>(EA34*4)/EA32*100</f>
        <v>2.8283694021855581</v>
      </c>
      <c r="EB41" s="98">
        <f>IF(ISERROR((EA41/DS41-1)*100),"NA",IF(((EA41/DS41-1)*100)&gt;100,"NM",IF(((EA41/DS41-1)*100)&lt;-50,"NM",(EA41/DS41-1)*100)))</f>
        <v>0.67363320202402655</v>
      </c>
      <c r="EC41" s="106">
        <f>(EC34*4)/EC32*100</f>
        <v>2.7960087508670828</v>
      </c>
      <c r="ED41" s="98">
        <f>IF(ISERROR((EC41/DU41-1)*100),"NA",IF(((EC41/DU41-1)*100)&gt;100,"NM",IF(((EC41/DU41-1)*100)&lt;-50,"NM",(EC41/DU41-1)*100)))</f>
        <v>-1.0911904380769499</v>
      </c>
      <c r="EE41" s="106">
        <f>(EE34*4)/EE32*100</f>
        <v>2.894232815492658</v>
      </c>
      <c r="EF41" s="860">
        <f>IF(ISERROR((EE41/DW41-1)*100),"NA",IF(((EE41/DW41-1)*100)&gt;100,"NM",IF(((EE41/DW41-1)*100)&lt;-50,"NM",(EE41/DW41-1)*100)))</f>
        <v>-4.7133747921157543E-2</v>
      </c>
      <c r="EG41" s="106">
        <f>(EG34*4)/EG32*100</f>
        <v>2.7510316368638237</v>
      </c>
      <c r="EH41" s="860">
        <f>IF(ISERROR((EG41/DY41-1)*100),"NA",IF(((EG41/DY41-1)*100)&gt;100,"NM",IF(((EG41/DY41-1)*100)&lt;-50,"NM",(EG41/DY41-1)*100)))</f>
        <v>-6.4097029086637498</v>
      </c>
      <c r="EI41" s="106">
        <f>(EI34*4)/EI32*100</f>
        <v>2.7500132212174098</v>
      </c>
      <c r="EJ41" s="860">
        <f t="shared" ref="EJ41:EJ43" si="163">IF(ISERROR((EI41/EA41-1)*100),"NA",IF(((EI41/EA41-1)*100)&gt;100,"NM",IF(((EI41/EA41-1)*100)&lt;-50,"NM",(EI41/EA41-1)*100)))</f>
        <v>-2.7703658831693012</v>
      </c>
      <c r="EK41" s="106">
        <f>(EK34*4)/EK32*100</f>
        <v>2.7605099568011804</v>
      </c>
      <c r="EL41" s="860">
        <f t="shared" ref="EL41:EL43" si="164">IF(ISERROR((EK41/EC41-1)*100),"NA",IF(((EK41/EC41-1)*100)&gt;100,"NM",IF(((EK41/EC41-1)*100)&lt;-50,"NM",(EK41/EC41-1)*100)))</f>
        <v>-1.2696238541776261</v>
      </c>
      <c r="EM41" s="106">
        <f>(EM34*4)/EM32*100</f>
        <v>2.8278991241954206</v>
      </c>
      <c r="EN41" s="860">
        <f t="shared" ref="EN41:EN43" si="165">IF(ISERROR((EM41/EE41-1)*100),"NA",IF(((EM41/EE41-1)*100)&gt;100,"NM",IF(((EM41/EE41-1)*100)&lt;-50,"NM",(EM41/EE41-1)*100)))</f>
        <v>-2.2919265838655778</v>
      </c>
      <c r="EO41" s="106">
        <f>(EO34*4)/EO32*100</f>
        <v>2.7245366703627436</v>
      </c>
      <c r="EP41" s="98">
        <f t="shared" ref="EP41:EP43" si="166">IF(ISERROR((EO41/EG41-1)*100),"NA",IF(((EO41/EG41-1)*100)&gt;100,"NM",IF(((EO41/EG41-1)*100)&lt;-50,"NM",(EO41/EG41-1)*100)))</f>
        <v>-0.9630920323142611</v>
      </c>
      <c r="EQ41" s="1035">
        <f t="shared" ref="EQ41" si="167">EO41</f>
        <v>2.7245366703627436</v>
      </c>
      <c r="ER41" s="98">
        <f t="shared" ref="ER41:ER43" si="168">IF(ISERROR((EQ41/EI41-1)*100),"NA",IF(((EQ41/EI41-1)*100)&gt;100,"NM",IF(((EQ41/EI41-1)*100)&lt;-50,"NM",(EQ41/EI41-1)*100)))</f>
        <v>-0.92641557713630807</v>
      </c>
      <c r="ES41" s="1035">
        <f t="shared" ref="ES41" si="169">EQ41</f>
        <v>2.7245366703627436</v>
      </c>
      <c r="ET41" s="98">
        <f t="shared" ref="ET41:ET43" si="170">IF(ISERROR((ES41/EK41-1)*100),"NA",IF(((ES41/EK41-1)*100)&gt;100,"NM",IF(((ES41/EK41-1)*100)&lt;-50,"NM",(ES41/EK41-1)*100)))</f>
        <v>-1.3031391663633762</v>
      </c>
      <c r="EU41" s="1035">
        <f t="shared" ref="EU41" si="171">ES41</f>
        <v>2.7245366703627436</v>
      </c>
      <c r="EV41" s="98">
        <f t="shared" ref="EV41:EV43" si="172">IF(ISERROR((EU41/EM41-1)*100),"NA",IF(((EU41/EM41-1)*100)&gt;100,"NM",IF(((EU41/EM41-1)*100)&lt;-50,"NM",(EU41/EM41-1)*100)))</f>
        <v>-3.6550969215383589</v>
      </c>
      <c r="EW41" s="1035">
        <f t="shared" ref="EW41" si="173">EU41</f>
        <v>2.7245366703627436</v>
      </c>
      <c r="EX41" s="98">
        <f t="shared" ref="EX41:EX43" si="174">IF(ISERROR((EW41/EO41-1)*100),"NA",IF(((EW41/EO41-1)*100)&gt;100,"NM",IF(((EW41/EO41-1)*100)&lt;-50,"NM",(EW41/EO41-1)*100)))</f>
        <v>0</v>
      </c>
      <c r="EY41" s="106"/>
      <c r="EZ41" s="595"/>
      <c r="FA41" s="406"/>
      <c r="FB41" s="107"/>
      <c r="FC41" s="104"/>
      <c r="FD41" s="107"/>
      <c r="FE41" s="104"/>
      <c r="FF41" s="107"/>
      <c r="FG41" s="104"/>
      <c r="FH41" s="107"/>
      <c r="FI41" s="104"/>
      <c r="FJ41" s="107"/>
      <c r="FK41" s="104"/>
      <c r="FL41" s="107"/>
      <c r="FM41" s="104"/>
      <c r="FN41" s="107"/>
      <c r="FO41" s="104"/>
      <c r="FP41" s="107"/>
      <c r="FQ41" s="104"/>
      <c r="FR41" s="108"/>
      <c r="FS41" s="109"/>
      <c r="FT41" s="108"/>
      <c r="FU41" s="109"/>
      <c r="FV41" s="106"/>
      <c r="FW41" s="98"/>
      <c r="FX41" s="483"/>
      <c r="FY41" s="98"/>
      <c r="FZ41" s="106"/>
      <c r="GA41" s="98"/>
      <c r="GB41" s="483"/>
      <c r="GC41" s="98"/>
      <c r="GD41" s="106">
        <f>(GD34)/GD32*100</f>
        <v>3.3226487373934797</v>
      </c>
      <c r="GE41" s="98" t="str">
        <f>IF(ISERROR((GD41/GB41-1)*100),"NA",IF(((GD41/GB41-1)*100)&gt;100,"NM",IF(((GD41/GB41-1)*100)&lt;-50,"NM",(GD41/GB41-1)*100)))</f>
        <v>NA</v>
      </c>
      <c r="GF41" s="106">
        <f>(GF34)/GF32*100</f>
        <v>3.2272523532048409</v>
      </c>
      <c r="GG41" s="98">
        <f>IF(ISERROR((GF41/GD41-1)*100),"NA",IF(((GF41/GD41-1)*100)&gt;100,"NM",IF(((GF41/GD41-1)*100)&lt;-50,"NM",(GF41/GD41-1)*100)))</f>
        <v>-2.8710944709573583</v>
      </c>
      <c r="GH41" s="106">
        <f>(GH34)/GH32*100</f>
        <v>3.4161964312947997</v>
      </c>
      <c r="GI41" s="98">
        <f>IF(ISERROR((GH41/GF41-1)*100),"NA",IF(((GH41/GF41-1)*100)&gt;100,"NM",IF(((GH41/GF41-1)*100)&lt;-50,"NM",(GH41/GF41-1)*100)))</f>
        <v>5.8546421974819074</v>
      </c>
      <c r="GJ41" s="106">
        <f>(GJ34)/GJ32*100</f>
        <v>2.8850829326273706</v>
      </c>
      <c r="GK41" s="98">
        <f>IF(ISERROR((GJ41/GH41-1)*100),"NA",IF(((GJ41/GH41-1)*100)&gt;100,"NM",IF(((GJ41/GH41-1)*100)&lt;-50,"NM",(GJ41/GH41-1)*100)))</f>
        <v>-15.546925048046123</v>
      </c>
      <c r="GL41" s="106">
        <f>(GL34)/GL32*100</f>
        <v>2.8337261624169701</v>
      </c>
      <c r="GM41" s="98">
        <f>IF(ISERROR((GL41/GJ41-1)*100),"NA",IF(((GL41/GJ41-1)*100)&gt;100,"NM",IF(((GL41/GJ41-1)*100)&lt;-50,"NM",(GL41/GJ41-1)*100)))</f>
        <v>-1.7800795127795976</v>
      </c>
      <c r="GN41" s="106">
        <f>(GN34)/GN32*100</f>
        <v>2.7711671690729283</v>
      </c>
      <c r="GO41" s="98">
        <f>IF(ISERROR((GN41/GL41-1)*100),"NA",IF(((GN41/GL41-1)*100)&gt;100,"NM",IF(((GN41/GL41-1)*100)&lt;-50,"NM",(GN41/GL41-1)*100)))</f>
        <v>-2.2076583889349188</v>
      </c>
      <c r="GP41" s="106">
        <f>(GP34)/GP32*100</f>
        <v>2.7428473443727208</v>
      </c>
      <c r="GQ41" s="98">
        <f>IF(ISERROR((GP41/GN41-1)*100),"NA",IF(((GP41/GN41-1)*100)&gt;100,"NM",IF(((GP41/GN41-1)*100)&lt;-50,"NM",(GP41/GN41-1)*100)))</f>
        <v>-1.0219457352217964</v>
      </c>
      <c r="GR41" s="110">
        <f>GP41</f>
        <v>2.7428473443727208</v>
      </c>
      <c r="GS41" s="98">
        <f>IF(ISERROR((GR41/GP41-1)*100),"NA",IF(((GR41/GP41-1)*100)&gt;100,"NM",IF(((GR41/GP41-1)*100)&lt;-50,"NM",(GR41/GP41-1)*100)))</f>
        <v>0</v>
      </c>
      <c r="GT41" s="110">
        <f>GR41</f>
        <v>2.7428473443727208</v>
      </c>
      <c r="GU41" s="98">
        <f>IF(ISERROR((GT41/GR41-1)*100),"NA",IF(((GT41/GR41-1)*100)&gt;100,"NM",IF(((GT41/GR41-1)*100)&lt;-50,"NM",(GT41/GR41-1)*100)))</f>
        <v>0</v>
      </c>
      <c r="GV41" s="110">
        <f>GT41</f>
        <v>2.7428473443727208</v>
      </c>
      <c r="GW41" s="98">
        <f>IF(ISERROR((GV41/GT41-1)*100),"NA",IF(((GV41/GT41-1)*100)&gt;100,"NM",IF(((GV41/GT41-1)*100)&lt;-50,"NM",(GV41/GT41-1)*100)))</f>
        <v>0</v>
      </c>
      <c r="GX41" s="110">
        <f>GV41</f>
        <v>2.7428473443727208</v>
      </c>
      <c r="GY41" s="98">
        <f>IF(ISERROR((GX41/GV41-1)*100),"NA",IF(((GX41/GV41-1)*100)&gt;100,"NM",IF(((GX41/GV41-1)*100)&lt;-50,"NM",(GX41/GV41-1)*100)))</f>
        <v>0</v>
      </c>
      <c r="GZ41" s="98">
        <f>IF(ISERROR(((GX41/GN41)^0.2-1)*100),"NA",IF((((GX41/GN41)^0.2-1)*100)&gt;100,"NM",IF((((GX41/GN41)^0.2-1)*100)&lt;-50,"NM",((GX41/GN41)^0.2-1)*100)))</f>
        <v>-0.20522980545254477</v>
      </c>
      <c r="HA41" s="98"/>
      <c r="HC41"/>
      <c r="HD41"/>
      <c r="HE41"/>
      <c r="HF41"/>
      <c r="HG41"/>
      <c r="HH41"/>
      <c r="HI41" s="10"/>
    </row>
    <row r="42" spans="2:217" s="111" customFormat="1" ht="12.75" customHeight="1" x14ac:dyDescent="0.2">
      <c r="B42" s="102" t="s">
        <v>619</v>
      </c>
      <c r="C42" s="103"/>
      <c r="D42" s="104"/>
      <c r="E42" s="103"/>
      <c r="F42" s="104"/>
      <c r="G42" s="103"/>
      <c r="H42" s="104"/>
      <c r="I42" s="103"/>
      <c r="J42" s="98"/>
      <c r="K42" s="103"/>
      <c r="L42" s="98"/>
      <c r="M42" s="103"/>
      <c r="N42" s="98"/>
      <c r="O42" s="103"/>
      <c r="P42" s="98"/>
      <c r="Q42" s="103"/>
      <c r="R42" s="98"/>
      <c r="S42" s="103"/>
      <c r="T42" s="98"/>
      <c r="U42" s="103"/>
      <c r="V42" s="98"/>
      <c r="W42" s="103"/>
      <c r="X42" s="98"/>
      <c r="Y42" s="103"/>
      <c r="Z42" s="98"/>
      <c r="AA42" s="103"/>
      <c r="AB42" s="98"/>
      <c r="AC42" s="103"/>
      <c r="AD42" s="98"/>
      <c r="AE42" s="103"/>
      <c r="AF42" s="98"/>
      <c r="AG42" s="103"/>
      <c r="AH42" s="98"/>
      <c r="AI42" s="103"/>
      <c r="AJ42" s="98"/>
      <c r="AK42" s="103"/>
      <c r="AL42" s="98"/>
      <c r="AM42" s="103"/>
      <c r="AN42" s="98"/>
      <c r="AO42" s="103"/>
      <c r="AP42" s="98"/>
      <c r="AQ42" s="105"/>
      <c r="AR42" s="98"/>
      <c r="AS42" s="105"/>
      <c r="AT42" s="98"/>
      <c r="AU42" s="105"/>
      <c r="AV42" s="98"/>
      <c r="AW42" s="105"/>
      <c r="AX42" s="98"/>
      <c r="AY42" s="106"/>
      <c r="AZ42" s="98"/>
      <c r="BA42" s="106"/>
      <c r="BB42" s="98"/>
      <c r="BC42" s="106"/>
      <c r="BD42" s="98"/>
      <c r="BE42" s="106"/>
      <c r="BF42" s="98"/>
      <c r="BG42" s="106"/>
      <c r="BH42" s="98"/>
      <c r="BI42" s="106"/>
      <c r="BJ42" s="98"/>
      <c r="BK42" s="106"/>
      <c r="BL42" s="98"/>
      <c r="BM42" s="106"/>
      <c r="BN42" s="98"/>
      <c r="BO42" s="106"/>
      <c r="BP42" s="98"/>
      <c r="BQ42" s="106"/>
      <c r="BR42" s="98"/>
      <c r="BS42" s="106"/>
      <c r="BT42" s="98"/>
      <c r="BU42" s="106"/>
      <c r="BV42" s="98"/>
      <c r="BW42" s="106"/>
      <c r="BX42" s="98"/>
      <c r="BY42" s="106"/>
      <c r="BZ42" s="98"/>
      <c r="CA42" s="106"/>
      <c r="CB42" s="98"/>
      <c r="CC42" s="106"/>
      <c r="CD42" s="98"/>
      <c r="CE42" s="106"/>
      <c r="CF42" s="98"/>
      <c r="CG42" s="106"/>
      <c r="CH42" s="98"/>
      <c r="CI42" s="106"/>
      <c r="CJ42" s="98"/>
      <c r="CK42" s="106"/>
      <c r="CL42" s="98"/>
      <c r="CM42" s="106"/>
      <c r="CN42" s="98"/>
      <c r="CO42" s="106"/>
      <c r="CP42" s="98"/>
      <c r="CQ42" s="483">
        <f>(-CQ35*4)/CQ32*100</f>
        <v>18.791946308724832</v>
      </c>
      <c r="CR42" s="98" t="str">
        <f>IF(ISERROR((CQ42/CI42-1)*100),"NA",IF(((CQ42/CI42-1)*100)&gt;100,"NM",IF(((CQ42/CI42-1)*100)&lt;-50,"NM",(CQ42/CI42-1)*100)))</f>
        <v>NA</v>
      </c>
      <c r="CS42" s="106">
        <f>(-CS35*4)/CS32*100</f>
        <v>14.172545619359161</v>
      </c>
      <c r="CT42" s="98" t="str">
        <f>IF(ISERROR((CS42/CK42-1)*100),"NA",IF(((CS42/CK42-1)*100)&gt;100,"NM",IF(((CS42/CK42-1)*100)&lt;-50,"NM",(CS42/CK42-1)*100)))</f>
        <v>NA</v>
      </c>
      <c r="CU42" s="106">
        <f>(-CU35*4)/CU32*100</f>
        <v>14.213118599014932</v>
      </c>
      <c r="CV42" s="98" t="str">
        <f>IF(ISERROR((CU42/CM42-1)*100),"NA",IF(((CU42/CM42-1)*100)&gt;100,"NM",IF(((CU42/CM42-1)*100)&lt;-50,"NM",(CU42/CM42-1)*100)))</f>
        <v>NA</v>
      </c>
      <c r="CW42" s="106">
        <f>(-CW35*4)/CW32*100</f>
        <v>13.997895639296987</v>
      </c>
      <c r="CX42" s="98" t="str">
        <f>IF(ISERROR((CW42/CO42-1)*100),"NA",IF(((CW42/CO42-1)*100)&gt;100,"NM",IF(((CW42/CO42-1)*100)&lt;-50,"NM",(CW42/CO42-1)*100)))</f>
        <v>NA</v>
      </c>
      <c r="CY42" s="106">
        <f>(-CY35*4)/CY32*100</f>
        <v>14.638540650101344</v>
      </c>
      <c r="CZ42" s="98">
        <f>IF(ISERROR((CY42/CQ42-1)*100),"NA",IF(((CY42/CQ42-1)*100)&gt;100,"NM",IF(((CY42/CQ42-1)*100)&lt;-50,"NM",(CY42/CQ42-1)*100)))</f>
        <v>-22.102051540532131</v>
      </c>
      <c r="DA42" s="106">
        <f>(-DA35*4)/DA32*100</f>
        <v>11.856474258970358</v>
      </c>
      <c r="DB42" s="98">
        <f>IF(ISERROR((DA42/CS42-1)*100),"NA",IF(((DA42/CS42-1)*100)&gt;100,"NM",IF(((DA42/CS42-1)*100)&lt;-50,"NM",(DA42/CS42-1)*100)))</f>
        <v>-16.341957349039237</v>
      </c>
      <c r="DC42" s="106">
        <f>(-DC35*4)/DC32*100</f>
        <v>12.430897953085312</v>
      </c>
      <c r="DD42" s="98">
        <f>IF(ISERROR((DC42/CU42-1)*100),"NA",IF(((DC42/CU42-1)*100)&gt;100,"NM",IF(((DC42/CU42-1)*100)&lt;-50,"NM",(DC42/CU42-1)*100)))</f>
        <v>-12.539265281675338</v>
      </c>
      <c r="DE42" s="106">
        <f>(-DE35*4)/DE32*100</f>
        <v>12.025412191801543</v>
      </c>
      <c r="DF42" s="98">
        <f>IF(ISERROR((DE42/CW42-1)*100),"NA",IF(((DE42/CW42-1)*100)&gt;100,"NM",IF(((DE42/CW42-1)*100)&lt;-50,"NM",(DE42/CW42-1)*100)))</f>
        <v>-14.091285564081456</v>
      </c>
      <c r="DG42" s="106">
        <f>(-DG35*4)/DG32*100</f>
        <v>15.36921536921537</v>
      </c>
      <c r="DH42" s="98">
        <f>IF(ISERROR((DG42/CY42-1)*100),"NA",IF(((DG42/CY42-1)*100)&gt;100,"NM",IF(((DG42/CY42-1)*100)&lt;-50,"NM",(DG42/CY42-1)*100)))</f>
        <v>4.9914450940091948</v>
      </c>
      <c r="DI42" s="106">
        <f>(-DI35*4)/DI32*100</f>
        <v>11.095764272559853</v>
      </c>
      <c r="DJ42" s="98">
        <f>IF(ISERROR((DI42/DA42-1)*100),"NA",IF(((DI42/DA42-1)*100)&gt;100,"NM",IF(((DI42/DA42-1)*100)&lt;-50,"NM",(DI42/DA42-1)*100)))</f>
        <v>-6.4159881748570236</v>
      </c>
      <c r="DK42" s="106">
        <f>(-DK35*4)/DK32*100</f>
        <v>11.05688577093183</v>
      </c>
      <c r="DL42" s="98">
        <f>IF(ISERROR((DK42/DC42-1)*100),"NA",IF(((DK42/DC42-1)*100)&gt;100,"NM",IF(((DK42/DC42-1)*100)&lt;-50,"NM",(DK42/DC42-1)*100)))</f>
        <v>-11.053201364366894</v>
      </c>
      <c r="DM42" s="106">
        <f>(-DM35*4)/DM32*100</f>
        <v>11.020408163265307</v>
      </c>
      <c r="DN42" s="98">
        <f>IF(ISERROR((DM42/DE42-1)*100),"NA",IF(((DM42/DE42-1)*100)&gt;100,"NM",IF(((DM42/DE42-1)*100)&lt;-50,"NM",(DM42/DE42-1)*100)))</f>
        <v>-8.3573353869849765</v>
      </c>
      <c r="DO42" s="106">
        <f>(-DO35*4)/DO32*100</f>
        <v>16.520988858461191</v>
      </c>
      <c r="DP42" s="98">
        <f>IF(ISERROR((DO42/DG42-1)*100),"NA",IF(((DO42/DG42-1)*100)&gt;100,"NM",IF(((DO42/DG42-1)*100)&lt;-50,"NM",(DO42/DG42-1)*100)))</f>
        <v>7.4940292108394146</v>
      </c>
      <c r="DQ42" s="106">
        <f>(-DQ35*4)/DQ32*100</f>
        <v>13.506648737486927</v>
      </c>
      <c r="DR42" s="98">
        <f>IF(ISERROR((DQ42/DI42-1)*100),"NA",IF(((DQ42/DI42-1)*100)&gt;100,"NM",IF(((DQ42/DI42-1)*100)&lt;-50,"NM",(DQ42/DI42-1)*100)))</f>
        <v>21.727971194280514</v>
      </c>
      <c r="DS42" s="106">
        <f>(-DS35*4)/DS32*100</f>
        <v>13.420498136041925</v>
      </c>
      <c r="DT42" s="98">
        <f>IF(ISERROR((DS42/DK42-1)*100),"NA",IF(((DS42/DK42-1)*100)&gt;100,"NM",IF(((DS42/DK42-1)*100)&lt;-50,"NM",(DS42/DK42-1)*100)))</f>
        <v>21.37683624555433</v>
      </c>
      <c r="DU42" s="106">
        <f>(-DU35*4)/DU32*100</f>
        <v>14.691080415462041</v>
      </c>
      <c r="DV42" s="98">
        <f>IF(ISERROR((DU42/DM42-1)*100),"NA",IF(((DU42/DM42-1)*100)&gt;100,"NM",IF(((DU42/DM42-1)*100)&lt;-50,"NM",(DU42/DM42-1)*100)))</f>
        <v>33.307951918081471</v>
      </c>
      <c r="DW42" s="106">
        <f>(-DW35*4)/DW32*100</f>
        <v>14.392192610863852</v>
      </c>
      <c r="DX42" s="98">
        <f>IF(ISERROR((DW42/DO42-1)*100),"NA",IF(((DW42/DO42-1)*100)&gt;100,"NM",IF(((DW42/DO42-1)*100)&lt;-50,"NM",(DW42/DO42-1)*100)))</f>
        <v>-12.885404535014144</v>
      </c>
      <c r="DY42" s="106">
        <f>(-DY35*4)/DY32*100</f>
        <v>12.959287668293729</v>
      </c>
      <c r="DZ42" s="98">
        <f>IF(ISERROR((DY42/DQ42-1)*100),"NA",IF(((DY42/DQ42-1)*100)&gt;100,"NM",IF(((DY42/DQ42-1)*100)&lt;-50,"NM",(DY42/DQ42-1)*100)))</f>
        <v>-4.052530570918222</v>
      </c>
      <c r="EA42" s="106">
        <f>(-EA35*4)/EA32*100</f>
        <v>12.427683736875936</v>
      </c>
      <c r="EB42" s="98">
        <f>IF(ISERROR((EA42/DS42-1)*100),"NA",IF(((EA42/DS42-1)*100)&gt;100,"NM",IF(((EA42/DS42-1)*100)&lt;-50,"NM",(EA42/DS42-1)*100)))</f>
        <v>-7.3977462617404459</v>
      </c>
      <c r="EC42" s="106">
        <f>(-EC35*4)/EC32*100</f>
        <v>12.806146950536256</v>
      </c>
      <c r="ED42" s="98">
        <f>IF(ISERROR((EC42/DU42-1)*100),"NA",IF(((EC42/DU42-1)*100)&gt;100,"NM",IF(((EC42/DU42-1)*100)&lt;-50,"NM",(EC42/DU42-1)*100)))</f>
        <v>-12.830461828674855</v>
      </c>
      <c r="EE42" s="106">
        <f>(-EE35*4)/EE32*100</f>
        <v>13.407107895296871</v>
      </c>
      <c r="EF42" s="860">
        <f>IF(ISERROR((EE42/DW42-1)*100),"NA",IF(((EE42/DW42-1)*100)&gt;100,"NM",IF(((EE42/DW42-1)*100)&lt;-50,"NM",(EE42/DW42-1)*100)))</f>
        <v>-6.8445770717617815</v>
      </c>
      <c r="EG42" s="106">
        <f>(-EG35*4)/EG32*100</f>
        <v>12.294995238599091</v>
      </c>
      <c r="EH42" s="860">
        <f>IF(ISERROR((EG42/DY42-1)*100),"NA",IF(((EG42/DY42-1)*100)&gt;100,"NM",IF(((EG42/DY42-1)*100)&lt;-50,"NM",(EG42/DY42-1)*100)))</f>
        <v>-5.1259949365882189</v>
      </c>
      <c r="EI42" s="106">
        <f>(-EI35*4)/EI32*100</f>
        <v>12.798138452588715</v>
      </c>
      <c r="EJ42" s="860">
        <f t="shared" si="163"/>
        <v>2.9808830314336898</v>
      </c>
      <c r="EK42" s="106">
        <f>(-EK35*4)/EK32*100</f>
        <v>13.865767569276155</v>
      </c>
      <c r="EL42" s="860">
        <f t="shared" si="164"/>
        <v>8.2743125065851899</v>
      </c>
      <c r="EM42" s="106">
        <f>(-EM35*4)/EM32*100</f>
        <v>13.633006225598818</v>
      </c>
      <c r="EN42" s="860">
        <f t="shared" si="165"/>
        <v>1.6849146890299149</v>
      </c>
      <c r="EO42" s="106">
        <f>(-EO35*4)/EO32*100</f>
        <v>12.418818311420878</v>
      </c>
      <c r="EP42" s="98">
        <f t="shared" si="166"/>
        <v>1.007101429637447</v>
      </c>
      <c r="EQ42" s="1035">
        <f t="shared" ref="EQ42" si="175">+EO42</f>
        <v>12.418818311420878</v>
      </c>
      <c r="ER42" s="98">
        <f t="shared" si="168"/>
        <v>-2.9638696484886817</v>
      </c>
      <c r="ES42" s="1035">
        <f t="shared" ref="ES42" si="176">+EQ42</f>
        <v>12.418818311420878</v>
      </c>
      <c r="ET42" s="98">
        <f t="shared" si="170"/>
        <v>-10.435406843696382</v>
      </c>
      <c r="EU42" s="1035">
        <f t="shared" ref="EU42" si="177">+ES42</f>
        <v>12.418818311420878</v>
      </c>
      <c r="EV42" s="98">
        <f t="shared" si="172"/>
        <v>-8.9062375098021178</v>
      </c>
      <c r="EW42" s="1035">
        <f t="shared" ref="EW42" si="178">+EU42</f>
        <v>12.418818311420878</v>
      </c>
      <c r="EX42" s="98">
        <f t="shared" si="174"/>
        <v>0</v>
      </c>
      <c r="EY42" s="106"/>
      <c r="EZ42" s="595"/>
      <c r="FA42" s="406"/>
      <c r="FB42" s="107"/>
      <c r="FC42" s="104"/>
      <c r="FD42" s="107"/>
      <c r="FE42" s="104"/>
      <c r="FF42" s="107"/>
      <c r="FG42" s="104"/>
      <c r="FH42" s="107"/>
      <c r="FI42" s="104"/>
      <c r="FJ42" s="107"/>
      <c r="FK42" s="104"/>
      <c r="FL42" s="107"/>
      <c r="FM42" s="104"/>
      <c r="FN42" s="107"/>
      <c r="FO42" s="104"/>
      <c r="FP42" s="107"/>
      <c r="FQ42" s="104"/>
      <c r="FR42" s="108"/>
      <c r="FS42" s="109"/>
      <c r="FT42" s="108"/>
      <c r="FU42" s="109"/>
      <c r="FV42" s="106"/>
      <c r="FW42" s="98"/>
      <c r="FX42" s="483"/>
      <c r="FY42" s="98"/>
      <c r="FZ42" s="106"/>
      <c r="GA42" s="98"/>
      <c r="GB42" s="483"/>
      <c r="GC42" s="98"/>
      <c r="GD42" s="106">
        <f>(-GD35)/GD32*100</f>
        <v>13.994214682198422</v>
      </c>
      <c r="GE42" s="98" t="str">
        <f>IF(ISERROR((GD42/GB42-1)*100),"NA",IF(((GD42/GB42-1)*100)&gt;100,"NM",IF(((GD42/GB42-1)*100)&lt;-50,"NM",(GD42/GB42-1)*100)))</f>
        <v>NA</v>
      </c>
      <c r="GF42" s="106">
        <f>(-GF35)/GF32*100</f>
        <v>12.505602868668758</v>
      </c>
      <c r="GG42" s="98">
        <f>IF(ISERROR((GF42/GD42-1)*100),"NA",IF(((GF42/GD42-1)*100)&gt;100,"NM",IF(((GF42/GD42-1)*100)&lt;-50,"NM",(GF42/GD42-1)*100)))</f>
        <v>-10.637337266401081</v>
      </c>
      <c r="GH42" s="106">
        <f>(-GH35)/GH32*100</f>
        <v>13.188195821259722</v>
      </c>
      <c r="GI42" s="98">
        <f>IF(ISERROR((GH42/GF42-1)*100),"NA",IF(((GH42/GF42-1)*100)&gt;100,"NM",IF(((GH42/GF42-1)*100)&lt;-50,"NM",(GH42/GF42-1)*100)))</f>
        <v>5.4582970510051565</v>
      </c>
      <c r="GJ42" s="106">
        <f>(-GJ35)/GJ32*100</f>
        <v>13.949970284726348</v>
      </c>
      <c r="GK42" s="98">
        <f>IF(ISERROR((GJ42/GH42-1)*100),"NA",IF(((GJ42/GH42-1)*100)&gt;100,"NM",IF(((GJ42/GH42-1)*100)&lt;-50,"NM",(GJ42/GH42-1)*100)))</f>
        <v>5.7761840496683092</v>
      </c>
      <c r="GL42" s="106">
        <f>(-GL35)/GL32*100</f>
        <v>12.808013713306194</v>
      </c>
      <c r="GM42" s="98">
        <f>IF(ISERROR((GL42/GJ42-1)*100),"NA",IF(((GL42/GJ42-1)*100)&gt;100,"NM",IF(((GL42/GJ42-1)*100)&lt;-50,"NM",(GL42/GJ42-1)*100)))</f>
        <v>-8.1860860497349535</v>
      </c>
      <c r="GN42" s="106">
        <f>(-GN35)/GN32*100</f>
        <v>13.205351948807445</v>
      </c>
      <c r="GO42" s="98">
        <f>IF(ISERROR((GN42/GL42-1)*100),"NA",IF(((GN42/GL42-1)*100)&gt;100,"NM",IF(((GN42/GL42-1)*100)&lt;-50,"NM",(GN42/GL42-1)*100)))</f>
        <v>3.1022627270336223</v>
      </c>
      <c r="GP42" s="106">
        <f>(-GP35)/GP32*100</f>
        <v>12.502280918536121</v>
      </c>
      <c r="GQ42" s="98">
        <f>IF(ISERROR((GP42/GN42-1)*100),"NA",IF(((GP42/GN42-1)*100)&gt;100,"NM",IF(((GP42/GN42-1)*100)&lt;-50,"NM",(GP42/GN42-1)*100)))</f>
        <v>-5.3241370089709523</v>
      </c>
      <c r="GR42" s="110">
        <f>GP42</f>
        <v>12.502280918536121</v>
      </c>
      <c r="GS42" s="98">
        <f>IF(ISERROR((GR42/GP42-1)*100),"NA",IF(((GR42/GP42-1)*100)&gt;100,"NM",IF(((GR42/GP42-1)*100)&lt;-50,"NM",(GR42/GP42-1)*100)))</f>
        <v>0</v>
      </c>
      <c r="GT42" s="110">
        <f>GR42</f>
        <v>12.502280918536121</v>
      </c>
      <c r="GU42" s="98">
        <f>IF(ISERROR((GT42/GR42-1)*100),"NA",IF(((GT42/GR42-1)*100)&gt;100,"NM",IF(((GT42/GR42-1)*100)&lt;-50,"NM",(GT42/GR42-1)*100)))</f>
        <v>0</v>
      </c>
      <c r="GV42" s="110">
        <f>GT42</f>
        <v>12.502280918536121</v>
      </c>
      <c r="GW42" s="98">
        <f>IF(ISERROR((GV42/GT42-1)*100),"NA",IF(((GV42/GT42-1)*100)&gt;100,"NM",IF(((GV42/GT42-1)*100)&lt;-50,"NM",(GV42/GT42-1)*100)))</f>
        <v>0</v>
      </c>
      <c r="GX42" s="110">
        <f>GV42</f>
        <v>12.502280918536121</v>
      </c>
      <c r="GY42" s="98">
        <f>IF(ISERROR((GX42/GV42-1)*100),"NA",IF(((GX42/GV42-1)*100)&gt;100,"NM",IF(((GX42/GV42-1)*100)&lt;-50,"NM",(GX42/GV42-1)*100)))</f>
        <v>0</v>
      </c>
      <c r="GZ42" s="98">
        <f>IF(ISERROR(((GX42/GN42)^0.2-1)*100),"NA",IF((((GX42/GN42)^0.2-1)*100)&gt;100,"NM",IF((((GX42/GN42)^0.2-1)*100)&lt;-50,"NM",((GX42/GN42)^0.2-1)*100)))</f>
        <v>-1.0882571065697344</v>
      </c>
      <c r="HA42" s="98"/>
      <c r="HC42"/>
      <c r="HD42"/>
      <c r="HE42"/>
      <c r="HF42"/>
      <c r="HG42"/>
      <c r="HH42"/>
      <c r="HI42" s="10"/>
    </row>
    <row r="43" spans="2:217" s="111" customFormat="1" ht="12.75" customHeight="1" x14ac:dyDescent="0.2">
      <c r="B43" s="102" t="s">
        <v>119</v>
      </c>
      <c r="C43" s="103"/>
      <c r="D43" s="104"/>
      <c r="E43" s="103"/>
      <c r="F43" s="104"/>
      <c r="G43" s="103"/>
      <c r="H43" s="104"/>
      <c r="I43" s="103"/>
      <c r="J43" s="98"/>
      <c r="K43" s="103"/>
      <c r="L43" s="98"/>
      <c r="M43" s="103"/>
      <c r="N43" s="98"/>
      <c r="O43" s="103"/>
      <c r="P43" s="98"/>
      <c r="Q43" s="103"/>
      <c r="R43" s="98"/>
      <c r="S43" s="103"/>
      <c r="T43" s="98"/>
      <c r="U43" s="103"/>
      <c r="V43" s="98"/>
      <c r="W43" s="103"/>
      <c r="X43" s="98"/>
      <c r="Y43" s="103"/>
      <c r="Z43" s="98"/>
      <c r="AA43" s="103"/>
      <c r="AB43" s="98"/>
      <c r="AC43" s="103"/>
      <c r="AD43" s="98"/>
      <c r="AE43" s="103"/>
      <c r="AF43" s="98"/>
      <c r="AG43" s="103"/>
      <c r="AH43" s="98"/>
      <c r="AI43" s="103"/>
      <c r="AJ43" s="98"/>
      <c r="AK43" s="103"/>
      <c r="AL43" s="98"/>
      <c r="AM43" s="103"/>
      <c r="AN43" s="98"/>
      <c r="AO43" s="103"/>
      <c r="AP43" s="98"/>
      <c r="AQ43" s="105"/>
      <c r="AR43" s="98"/>
      <c r="AS43" s="105"/>
      <c r="AT43" s="98"/>
      <c r="AU43" s="105"/>
      <c r="AV43" s="98"/>
      <c r="AW43" s="105"/>
      <c r="AX43" s="98"/>
      <c r="AY43" s="106"/>
      <c r="AZ43" s="98"/>
      <c r="BA43" s="106"/>
      <c r="BB43" s="98"/>
      <c r="BC43" s="106"/>
      <c r="BD43" s="98"/>
      <c r="BE43" s="106"/>
      <c r="BF43" s="98"/>
      <c r="BG43" s="106"/>
      <c r="BH43" s="98"/>
      <c r="BI43" s="106"/>
      <c r="BJ43" s="98"/>
      <c r="BK43" s="106"/>
      <c r="BL43" s="98"/>
      <c r="BM43" s="106"/>
      <c r="BN43" s="98"/>
      <c r="BO43" s="106"/>
      <c r="BP43" s="98"/>
      <c r="BQ43" s="106"/>
      <c r="BR43" s="98"/>
      <c r="BS43" s="106"/>
      <c r="BT43" s="98"/>
      <c r="BU43" s="106"/>
      <c r="BV43" s="98"/>
      <c r="BW43" s="106"/>
      <c r="BX43" s="98"/>
      <c r="BY43" s="106"/>
      <c r="BZ43" s="98"/>
      <c r="CA43" s="106"/>
      <c r="CB43" s="98"/>
      <c r="CC43" s="106"/>
      <c r="CD43" s="98"/>
      <c r="CE43" s="106"/>
      <c r="CF43" s="98"/>
      <c r="CG43" s="106"/>
      <c r="CH43" s="98"/>
      <c r="CI43" s="106"/>
      <c r="CJ43" s="98"/>
      <c r="CK43" s="106"/>
      <c r="CL43" s="98"/>
      <c r="CM43" s="106"/>
      <c r="CN43" s="98"/>
      <c r="CO43" s="106"/>
      <c r="CP43" s="98"/>
      <c r="CQ43" s="483">
        <f>(-CQ36*4)/CQ32*100</f>
        <v>1.7212791156731151</v>
      </c>
      <c r="CR43" s="98" t="str">
        <f>IF(ISERROR((CQ43/CI43-1)*100),"NA",IF(((CQ43/CI43-1)*100)&gt;100,"NM",IF(((CQ43/CI43-1)*100)&lt;-50,"NM",(CQ43/CI43-1)*100)))</f>
        <v>NA</v>
      </c>
      <c r="CS43" s="106">
        <f>(-CS36*4)/CS32*100</f>
        <v>1.9233042998462933</v>
      </c>
      <c r="CT43" s="98" t="str">
        <f>IF(ISERROR((CS43/CK43-1)*100),"NA",IF(((CS43/CK43-1)*100)&gt;100,"NM",IF(((CS43/CK43-1)*100)&lt;-50,"NM",(CS43/CK43-1)*100)))</f>
        <v>NA</v>
      </c>
      <c r="CU43" s="106">
        <f>(-CU36*4)/CU32*100</f>
        <v>1.9544992572902824</v>
      </c>
      <c r="CV43" s="98" t="str">
        <f>IF(ISERROR((CU43/CM43-1)*100),"NA",IF(((CU43/CM43-1)*100)&gt;100,"NM",IF(((CU43/CM43-1)*100)&lt;-50,"NM",(CU43/CM43-1)*100)))</f>
        <v>NA</v>
      </c>
      <c r="CW43" s="106">
        <f>(-CW36*4)/CW32*100</f>
        <v>1.9484821324188457</v>
      </c>
      <c r="CX43" s="98" t="str">
        <f>IF(ISERROR((CW43/CO43-1)*100),"NA",IF(((CW43/CO43-1)*100)&gt;100,"NM",IF(((CW43/CO43-1)*100)&lt;-50,"NM",(CW43/CO43-1)*100)))</f>
        <v>NA</v>
      </c>
      <c r="CY43" s="106">
        <f>(-CY36*4)/CY32*100</f>
        <v>1.9968470835522858</v>
      </c>
      <c r="CZ43" s="98">
        <f>IF(ISERROR((CY43/CQ43-1)*100),"NA",IF(((CY43/CQ43-1)*100)&gt;100,"NM",IF(((CY43/CQ43-1)*100)&lt;-50,"NM",(CY43/CQ43-1)*100)))</f>
        <v>16.009487675182086</v>
      </c>
      <c r="DA43" s="106">
        <f>(-DA36*4)/DA32*100</f>
        <v>1.8869326201619494</v>
      </c>
      <c r="DB43" s="98">
        <f>IF(ISERROR((DA43/CS43-1)*100),"NA",IF(((DA43/CS43-1)*100)&gt;100,"NM",IF(((DA43/CS43-1)*100)&lt;-50,"NM",(DA43/CS43-1)*100)))</f>
        <v>-1.8911037471943781</v>
      </c>
      <c r="DC43" s="106">
        <f>(-DC36*4)/DC32*100</f>
        <v>1.9423278051695803</v>
      </c>
      <c r="DD43" s="98">
        <f>IF(ISERROR((DC43/CU43-1)*100),"NA",IF(((DC43/CU43-1)*100)&gt;100,"NM",IF(((DC43/CU43-1)*100)&lt;-50,"NM",(DC43/CU43-1)*100)))</f>
        <v>-0.62274017630360445</v>
      </c>
      <c r="DE43" s="106">
        <f>(-DE36*4)/DE32*100</f>
        <v>1.9815459083345939</v>
      </c>
      <c r="DF43" s="98">
        <f>IF(ISERROR((DE43/CW43-1)*100),"NA",IF(((DE43/CW43-1)*100)&gt;100,"NM",IF(((DE43/CW43-1)*100)&lt;-50,"NM",(DE43/CW43-1)*100)))</f>
        <v>1.6968991075480222</v>
      </c>
      <c r="DG43" s="106">
        <f>(-DG36*4)/DG32*100</f>
        <v>2.0174020174020173</v>
      </c>
      <c r="DH43" s="98">
        <f>IF(ISERROR((DG43/CY43-1)*100),"NA",IF(((DG43/CY43-1)*100)&gt;100,"NM",IF(((DG43/CY43-1)*100)&lt;-50,"NM",(DG43/CY43-1)*100)))</f>
        <v>1.0293694504220907</v>
      </c>
      <c r="DI43" s="106">
        <f>(-DI36*4)/DI32*100</f>
        <v>1.8109269490484958</v>
      </c>
      <c r="DJ43" s="98">
        <f>IF(ISERROR((DI43/DA43-1)*100),"NA",IF(((DI43/DA43-1)*100)&gt;100,"NM",IF(((DI43/DA43-1)*100)&lt;-50,"NM",(DI43/DA43-1)*100)))</f>
        <v>-4.0280013340873939</v>
      </c>
      <c r="DK43" s="106">
        <f>(-DK36*4)/DK32*100</f>
        <v>2.0893701387829799</v>
      </c>
      <c r="DL43" s="98">
        <f>IF(ISERROR((DK43/DC43-1)*100),"NA",IF(((DK43/DC43-1)*100)&gt;100,"NM",IF(((DK43/DC43-1)*100)&lt;-50,"NM",(DK43/DC43-1)*100)))</f>
        <v>7.5704179913421932</v>
      </c>
      <c r="DM43" s="106">
        <f>(-DM36*4)/DM32*100</f>
        <v>2.1012849584278159</v>
      </c>
      <c r="DN43" s="98">
        <f>IF(ISERROR((DM43/DE43-1)*100),"NA",IF(((DM43/DE43-1)*100)&gt;100,"NM",IF(((DM43/DE43-1)*100)&lt;-50,"NM",(DM43/DE43-1)*100)))</f>
        <v>6.0427088562312381</v>
      </c>
      <c r="DO43" s="106">
        <f>(-DO36*4)/DO32*100</f>
        <v>2.04073976816596</v>
      </c>
      <c r="DP43" s="98">
        <f>IF(ISERROR((DO43/DG43-1)*100),"NA",IF(((DO43/DG43-1)*100)&gt;100,"NM",IF(((DO43/DG43-1)*100)&lt;-50,"NM",(DO43/DG43-1)*100)))</f>
        <v>1.1568220197378798</v>
      </c>
      <c r="DQ43" s="106">
        <f>(-DQ36*4)/DQ32*100</f>
        <v>2.0020917376363365</v>
      </c>
      <c r="DR43" s="98">
        <f>IF(ISERROR((DQ43/DI43-1)*100),"NA",IF(((DQ43/DI43-1)*100)&gt;100,"NM",IF(((DQ43/DI43-1)*100)&lt;-50,"NM",(DQ43/DI43-1)*100)))</f>
        <v>10.556184427443815</v>
      </c>
      <c r="DS43" s="106">
        <f>(-DS36*4)/DS32*100</f>
        <v>3.0039440272299962</v>
      </c>
      <c r="DT43" s="98">
        <f>IF(ISERROR((DS43/DK43-1)*100),"NA",IF(((DS43/DK43-1)*100)&gt;100,"NM",IF(((DS43/DK43-1)*100)&lt;-50,"NM",(DS43/DK43-1)*100)))</f>
        <v>43.772707931000632</v>
      </c>
      <c r="DU43" s="106">
        <f>(-DU36*4)/DU32*100</f>
        <v>2.9981796766249063</v>
      </c>
      <c r="DV43" s="98">
        <f>IF(ISERROR((DU43/DM43-1)*100),"NA",IF(((DU43/DM43-1)*100)&gt;100,"NM",IF(((DU43/DM43-1)*100)&lt;-50,"NM",(DU43/DM43-1)*100)))</f>
        <v>42.683155114199643</v>
      </c>
      <c r="DW43" s="106">
        <f>(-DW36*4)/DW32*100</f>
        <v>2.9599442329347418</v>
      </c>
      <c r="DX43" s="98">
        <f>IF(ISERROR((DW43/DO43-1)*100),"NA",IF(((DW43/DO43-1)*100)&gt;100,"NM",IF(((DW43/DO43-1)*100)&lt;-50,"NM",(DW43/DO43-1)*100)))</f>
        <v>45.042708487759953</v>
      </c>
      <c r="DY43" s="106">
        <f>(-DY36*4)/DY32*100</f>
        <v>3.025264174220887</v>
      </c>
      <c r="DZ43" s="98">
        <f>IF(ISERROR((DY43/DQ43-1)*100),"NA",IF(((DY43/DQ43-1)*100)&gt;100,"NM",IF(((DY43/DQ43-1)*100)&lt;-50,"NM",(DY43/DQ43-1)*100)))</f>
        <v>51.105172522838771</v>
      </c>
      <c r="EA43" s="106">
        <f>(-EA36*4)/EA32*100</f>
        <v>3.0854938932933362</v>
      </c>
      <c r="EB43" s="98">
        <f>IF(ISERROR((EA43/DS43-1)*100),"NA",IF(((EA43/DS43-1)*100)&gt;100,"NM",IF(((EA43/DS43-1)*100)&lt;-50,"NM",(EA43/DS43-1)*100)))</f>
        <v>2.7147598398675532</v>
      </c>
      <c r="EC43" s="106">
        <f>(-EC36*4)/EC32*100</f>
        <v>3.1161624246304891</v>
      </c>
      <c r="ED43" s="98">
        <f>IF(ISERROR((EC43/DU43-1)*100),"NA",IF(((EC43/DU43-1)*100)&gt;100,"NM",IF(((EC43/DU43-1)*100)&lt;-50,"NM",(EC43/DU43-1)*100)))</f>
        <v>3.935146012943358</v>
      </c>
      <c r="EE43" s="106">
        <f>(-EE36*4)/EE32*100</f>
        <v>3.1070440519259419</v>
      </c>
      <c r="EF43" s="860">
        <f>IF(ISERROR((EE43/DW43-1)*100),"NA",IF(((EE43/DW43-1)*100)&gt;100,"NM",IF(((EE43/DW43-1)*100)&lt;-50,"NM",(EE43/DW43-1)*100)))</f>
        <v>4.9696821093603072</v>
      </c>
      <c r="EG43" s="106">
        <f>(-EG36*4)/EG32*100</f>
        <v>3.1107819278383237</v>
      </c>
      <c r="EH43" s="860">
        <f>IF(ISERROR((EG43/DY43-1)*100),"NA",IF(((EG43/DY43-1)*100)&gt;100,"NM",IF(((EG43/DY43-1)*100)&lt;-50,"NM",(EG43/DY43-1)*100)))</f>
        <v>2.8267863132799276</v>
      </c>
      <c r="EI43" s="106">
        <f>(-EI36*4)/EI32*100</f>
        <v>3.1730921783277806</v>
      </c>
      <c r="EJ43" s="860">
        <f t="shared" si="163"/>
        <v>2.839036085109381</v>
      </c>
      <c r="EK43" s="106">
        <f>(-EK36*4)/EK32*100</f>
        <v>3.1819618586028873</v>
      </c>
      <c r="EL43" s="860">
        <f t="shared" si="164"/>
        <v>2.1115534110902612</v>
      </c>
      <c r="EM43" s="106">
        <f>(-EM36*4)/EM32*100</f>
        <v>3.1444549963068482</v>
      </c>
      <c r="EN43" s="860">
        <f t="shared" si="165"/>
        <v>1.2040686825060209</v>
      </c>
      <c r="EO43" s="106">
        <f>(-EO36*4)/EO32*100</f>
        <v>3.1258250171603565</v>
      </c>
      <c r="EP43" s="98">
        <f t="shared" si="166"/>
        <v>0.48357903803581959</v>
      </c>
      <c r="EQ43" s="1035">
        <f t="shared" ref="EQ43" si="179">EO43</f>
        <v>3.1258250171603565</v>
      </c>
      <c r="ER43" s="98">
        <f t="shared" si="168"/>
        <v>-1.4896245841913625</v>
      </c>
      <c r="ES43" s="1035">
        <f t="shared" ref="ES43" si="180">EQ43</f>
        <v>3.1258250171603565</v>
      </c>
      <c r="ET43" s="98">
        <f t="shared" si="170"/>
        <v>-1.7642210666591329</v>
      </c>
      <c r="EU43" s="1035">
        <f t="shared" ref="EU43" si="181">ES43</f>
        <v>3.1258250171603565</v>
      </c>
      <c r="EV43" s="98">
        <f t="shared" si="172"/>
        <v>-0.59247084688356377</v>
      </c>
      <c r="EW43" s="1035">
        <f t="shared" ref="EW43" si="182">EU43</f>
        <v>3.1258250171603565</v>
      </c>
      <c r="EX43" s="98">
        <f t="shared" si="174"/>
        <v>0</v>
      </c>
      <c r="EY43" s="106"/>
      <c r="EZ43" s="595"/>
      <c r="FA43" s="406"/>
      <c r="FB43" s="107"/>
      <c r="FC43" s="104"/>
      <c r="FD43" s="107"/>
      <c r="FE43" s="104"/>
      <c r="FF43" s="107"/>
      <c r="FG43" s="104"/>
      <c r="FH43" s="107"/>
      <c r="FI43" s="104"/>
      <c r="FJ43" s="107"/>
      <c r="FK43" s="104"/>
      <c r="FL43" s="107"/>
      <c r="FM43" s="104"/>
      <c r="FN43" s="107"/>
      <c r="FO43" s="104"/>
      <c r="FP43" s="107"/>
      <c r="FQ43" s="104"/>
      <c r="FR43" s="108"/>
      <c r="FS43" s="109"/>
      <c r="FT43" s="108"/>
      <c r="FU43" s="109"/>
      <c r="FV43" s="106"/>
      <c r="FW43" s="98"/>
      <c r="FX43" s="483"/>
      <c r="FY43" s="98"/>
      <c r="FZ43" s="106"/>
      <c r="GA43" s="98"/>
      <c r="GB43" s="483"/>
      <c r="GC43" s="98"/>
      <c r="GD43" s="106">
        <f>(-GD36)/GD32*100</f>
        <v>1.9935892424360879</v>
      </c>
      <c r="GE43" s="98" t="str">
        <f>IF(ISERROR((GD43/GB43-1)*100),"NA",IF(((GD43/GB43-1)*100)&gt;100,"NM",IF(((GD43/GB43-1)*100)&lt;-50,"NM",(GD43/GB43-1)*100)))</f>
        <v>NA</v>
      </c>
      <c r="GF43" s="106">
        <f>(-GF36)/GF32*100</f>
        <v>1.9049753473778575</v>
      </c>
      <c r="GG43" s="98">
        <f>IF(ISERROR((GF43/GD43-1)*100),"NA",IF(((GF43/GD43-1)*100)&gt;100,"NM",IF(((GF43/GD43-1)*100)&lt;-50,"NM",(GF43/GD43-1)*100)))</f>
        <v>-4.4449424772150081</v>
      </c>
      <c r="GH43" s="106">
        <f>(-GH36)/GH32*100</f>
        <v>2.0817447003202685</v>
      </c>
      <c r="GI43" s="98">
        <f>IF(ISERROR((GH43/GF43-1)*100),"NA",IF(((GH43/GF43-1)*100)&gt;100,"NM",IF(((GH43/GF43-1)*100)&lt;-50,"NM",(GH43/GF43-1)*100)))</f>
        <v>9.2793512097533828</v>
      </c>
      <c r="GJ43" s="106">
        <f>(-GJ36)/GJ32*100</f>
        <v>3.0147495812847804</v>
      </c>
      <c r="GK43" s="98">
        <f>IF(ISERROR((GJ43/GH43-1)*100),"NA",IF(((GJ43/GH43-1)*100)&gt;100,"NM",IF(((GJ43/GH43-1)*100)&lt;-50,"NM",(GJ43/GH43-1)*100)))</f>
        <v>44.818410289262303</v>
      </c>
      <c r="GL43" s="106">
        <f>(-GL36)/GL32*100</f>
        <v>3.1229912149132204</v>
      </c>
      <c r="GM43" s="98">
        <f>IF(ISERROR((GL43/GJ43-1)*100),"NA",IF(((GL43/GJ43-1)*100)&gt;100,"NM",IF(((GL43/GJ43-1)*100)&lt;-50,"NM",(GL43/GJ43-1)*100)))</f>
        <v>3.5904021448544654</v>
      </c>
      <c r="GN43" s="106">
        <f>(-GN36)/GN32*100</f>
        <v>3.1625152044000209</v>
      </c>
      <c r="GO43" s="98">
        <f>IF(ISERROR((GN43/GL43-1)*100),"NA",IF(((GN43/GL43-1)*100)&gt;100,"NM",IF(((GN43/GL43-1)*100)&lt;-50,"NM",(GN43/GL43-1)*100)))</f>
        <v>1.2655811933783623</v>
      </c>
      <c r="GP43" s="106">
        <f>(-GP36)/GP32*100</f>
        <v>3.1468326121485473</v>
      </c>
      <c r="GQ43" s="98">
        <f>IF(ISERROR((GP43/GN43-1)*100),"NA",IF(((GP43/GN43-1)*100)&gt;100,"NM",IF(((GP43/GN43-1)*100)&lt;-50,"NM",(GP43/GN43-1)*100)))</f>
        <v>-0.49588986100855825</v>
      </c>
      <c r="GR43" s="110">
        <f>GP43</f>
        <v>3.1468326121485473</v>
      </c>
      <c r="GS43" s="98">
        <f>IF(ISERROR((GR43/GP43-1)*100),"NA",IF(((GR43/GP43-1)*100)&gt;100,"NM",IF(((GR43/GP43-1)*100)&lt;-50,"NM",(GR43/GP43-1)*100)))</f>
        <v>0</v>
      </c>
      <c r="GT43" s="110">
        <f>GR43</f>
        <v>3.1468326121485473</v>
      </c>
      <c r="GU43" s="98">
        <f>IF(ISERROR((GT43/GR43-1)*100),"NA",IF(((GT43/GR43-1)*100)&gt;100,"NM",IF(((GT43/GR43-1)*100)&lt;-50,"NM",(GT43/GR43-1)*100)))</f>
        <v>0</v>
      </c>
      <c r="GV43" s="110">
        <f>GT43</f>
        <v>3.1468326121485473</v>
      </c>
      <c r="GW43" s="98">
        <f>IF(ISERROR((GV43/GT43-1)*100),"NA",IF(((GV43/GT43-1)*100)&gt;100,"NM",IF(((GV43/GT43-1)*100)&lt;-50,"NM",(GV43/GT43-1)*100)))</f>
        <v>0</v>
      </c>
      <c r="GX43" s="110">
        <f>GV43</f>
        <v>3.1468326121485473</v>
      </c>
      <c r="GY43" s="98">
        <f>IF(ISERROR((GX43/GV43-1)*100),"NA",IF(((GX43/GV43-1)*100)&gt;100,"NM",IF(((GX43/GV43-1)*100)&lt;-50,"NM",(GX43/GV43-1)*100)))</f>
        <v>0</v>
      </c>
      <c r="GZ43" s="98">
        <f>IF(ISERROR(((GX43/GN43)^0.2-1)*100),"NA",IF((((GX43/GN43)^0.2-1)*100)&gt;100,"NM",IF((((GX43/GN43)^0.2-1)*100)&lt;-50,"NM",((GX43/GN43)^0.2-1)*100)))</f>
        <v>-9.9375284969394073E-2</v>
      </c>
      <c r="HA43" s="98"/>
      <c r="HC43"/>
      <c r="HD43"/>
      <c r="HE43"/>
      <c r="HF43"/>
      <c r="HG43"/>
      <c r="HH43"/>
      <c r="HI43" s="10"/>
    </row>
    <row r="44" spans="2:217" s="2" customFormat="1" ht="12.75" customHeight="1" x14ac:dyDescent="0.2">
      <c r="B44" s="91"/>
      <c r="C44" s="94"/>
      <c r="D44" s="92"/>
      <c r="E44" s="94"/>
      <c r="F44" s="92"/>
      <c r="G44" s="94"/>
      <c r="H44" s="92"/>
      <c r="I44" s="94"/>
      <c r="J44" s="98"/>
      <c r="K44" s="94"/>
      <c r="L44" s="98"/>
      <c r="M44" s="94"/>
      <c r="N44" s="98"/>
      <c r="O44" s="94"/>
      <c r="P44" s="98"/>
      <c r="Q44" s="94"/>
      <c r="R44" s="98"/>
      <c r="S44" s="94"/>
      <c r="T44" s="98"/>
      <c r="U44" s="94"/>
      <c r="V44" s="98"/>
      <c r="W44" s="94"/>
      <c r="X44" s="98"/>
      <c r="Y44" s="94"/>
      <c r="Z44" s="98"/>
      <c r="AA44" s="94"/>
      <c r="AB44" s="98"/>
      <c r="AC44" s="94"/>
      <c r="AD44" s="98"/>
      <c r="AE44" s="94"/>
      <c r="AF44" s="98"/>
      <c r="AG44" s="94"/>
      <c r="AH44" s="98"/>
      <c r="AI44" s="94"/>
      <c r="AJ44" s="98"/>
      <c r="AK44" s="94"/>
      <c r="AL44" s="98"/>
      <c r="AM44" s="94"/>
      <c r="AN44" s="98"/>
      <c r="AO44" s="94"/>
      <c r="AP44" s="98"/>
      <c r="AQ44" s="94"/>
      <c r="AR44" s="98"/>
      <c r="AS44" s="94"/>
      <c r="AT44" s="98"/>
      <c r="AU44" s="94"/>
      <c r="AV44" s="98"/>
      <c r="AW44" s="94"/>
      <c r="AX44" s="98"/>
      <c r="AY44" s="94"/>
      <c r="AZ44" s="98"/>
      <c r="BA44" s="94"/>
      <c r="BB44" s="98"/>
      <c r="BC44" s="94"/>
      <c r="BD44" s="98"/>
      <c r="BE44" s="94"/>
      <c r="BF44" s="98"/>
      <c r="BG44" s="94"/>
      <c r="BH44" s="98"/>
      <c r="BI44" s="94"/>
      <c r="BJ44" s="98"/>
      <c r="BK44" s="94"/>
      <c r="BL44" s="98"/>
      <c r="BM44" s="94"/>
      <c r="BN44" s="98"/>
      <c r="BO44" s="94"/>
      <c r="BP44" s="98"/>
      <c r="BQ44" s="94"/>
      <c r="BR44" s="98"/>
      <c r="BS44" s="94"/>
      <c r="BT44" s="98"/>
      <c r="BU44" s="94"/>
      <c r="BV44" s="98"/>
      <c r="BW44" s="94"/>
      <c r="BX44" s="98"/>
      <c r="BY44" s="94"/>
      <c r="BZ44" s="98"/>
      <c r="CA44" s="94"/>
      <c r="CB44" s="98"/>
      <c r="CC44" s="94"/>
      <c r="CD44" s="98"/>
      <c r="CE44" s="94"/>
      <c r="CF44" s="98"/>
      <c r="CG44" s="94"/>
      <c r="CH44" s="98"/>
      <c r="CI44" s="94"/>
      <c r="CJ44" s="98"/>
      <c r="CK44" s="94"/>
      <c r="CL44" s="98"/>
      <c r="CM44" s="94"/>
      <c r="CN44" s="98"/>
      <c r="CO44" s="94"/>
      <c r="CP44" s="98"/>
      <c r="CQ44" s="533"/>
      <c r="CR44" s="98"/>
      <c r="CS44" s="94"/>
      <c r="CT44" s="98"/>
      <c r="CU44" s="94"/>
      <c r="CV44" s="98"/>
      <c r="CW44" s="94"/>
      <c r="CX44" s="98"/>
      <c r="CY44" s="94"/>
      <c r="CZ44" s="98"/>
      <c r="DA44" s="94"/>
      <c r="DB44" s="98"/>
      <c r="DC44" s="94"/>
      <c r="DD44" s="98"/>
      <c r="DE44" s="94"/>
      <c r="DF44" s="98"/>
      <c r="DG44" s="94"/>
      <c r="DH44" s="98"/>
      <c r="DI44" s="94"/>
      <c r="DJ44" s="98"/>
      <c r="DK44" s="94"/>
      <c r="DL44" s="98"/>
      <c r="DM44" s="94"/>
      <c r="DN44" s="98"/>
      <c r="DO44" s="94"/>
      <c r="DP44" s="98"/>
      <c r="DQ44" s="94"/>
      <c r="DR44" s="98"/>
      <c r="DS44" s="94"/>
      <c r="DT44" s="98"/>
      <c r="DU44" s="94"/>
      <c r="DV44" s="98"/>
      <c r="DW44" s="94"/>
      <c r="DX44" s="98"/>
      <c r="DY44" s="94"/>
      <c r="DZ44" s="98"/>
      <c r="EA44" s="94"/>
      <c r="EB44" s="98"/>
      <c r="EC44" s="94"/>
      <c r="ED44" s="98"/>
      <c r="EE44" s="94"/>
      <c r="EF44" s="860"/>
      <c r="EG44" s="94"/>
      <c r="EH44" s="860"/>
      <c r="EI44" s="94"/>
      <c r="EJ44" s="860"/>
      <c r="EK44" s="94"/>
      <c r="EL44" s="860"/>
      <c r="EM44" s="94"/>
      <c r="EN44" s="860"/>
      <c r="EO44" s="94"/>
      <c r="EP44" s="98"/>
      <c r="EQ44" s="789"/>
      <c r="ER44" s="98"/>
      <c r="ES44" s="789"/>
      <c r="ET44" s="98"/>
      <c r="EU44" s="789"/>
      <c r="EV44" s="98"/>
      <c r="EW44" s="789"/>
      <c r="EX44" s="98"/>
      <c r="EY44" s="95"/>
      <c r="EZ44" s="594"/>
      <c r="FA44" s="405"/>
      <c r="FB44" s="94"/>
      <c r="FC44" s="92"/>
      <c r="FD44" s="94"/>
      <c r="FE44" s="92"/>
      <c r="FF44" s="95"/>
      <c r="FG44" s="92"/>
      <c r="FH44" s="95"/>
      <c r="FI44" s="92"/>
      <c r="FJ44" s="95"/>
      <c r="FK44" s="92"/>
      <c r="FL44" s="95"/>
      <c r="FM44" s="92"/>
      <c r="FN44" s="95"/>
      <c r="FO44" s="92"/>
      <c r="FP44" s="95"/>
      <c r="FQ44" s="92"/>
      <c r="FR44" s="96"/>
      <c r="FS44" s="97"/>
      <c r="FT44" s="96"/>
      <c r="FU44" s="97"/>
      <c r="FV44" s="96"/>
      <c r="FW44" s="98"/>
      <c r="FX44" s="480"/>
      <c r="FY44" s="98"/>
      <c r="FZ44" s="96"/>
      <c r="GA44" s="98"/>
      <c r="GB44" s="480"/>
      <c r="GC44" s="98"/>
      <c r="GD44" s="96"/>
      <c r="GE44" s="98"/>
      <c r="GF44" s="96"/>
      <c r="GG44" s="98"/>
      <c r="GH44" s="96"/>
      <c r="GI44" s="98"/>
      <c r="GJ44" s="96"/>
      <c r="GK44" s="98"/>
      <c r="GL44" s="96"/>
      <c r="GM44" s="98"/>
      <c r="GN44" s="96"/>
      <c r="GO44" s="98"/>
      <c r="GP44" s="96"/>
      <c r="GQ44" s="98"/>
      <c r="GR44" s="95"/>
      <c r="GS44" s="98"/>
      <c r="GT44" s="95"/>
      <c r="GU44" s="98"/>
      <c r="GV44" s="95"/>
      <c r="GW44" s="98"/>
      <c r="GX44" s="95"/>
      <c r="GY44" s="98"/>
      <c r="GZ44" s="98"/>
      <c r="HA44" s="98"/>
      <c r="HB44" s="10"/>
      <c r="HC44"/>
      <c r="HD44"/>
      <c r="HE44"/>
      <c r="HF44"/>
      <c r="HG44"/>
      <c r="HH44"/>
      <c r="HI44" s="10"/>
    </row>
    <row r="45" spans="2:217" s="2" customFormat="1" ht="12.75" customHeight="1" x14ac:dyDescent="0.2">
      <c r="B45" s="93" t="s">
        <v>147</v>
      </c>
      <c r="C45" s="112"/>
      <c r="D45" s="113"/>
      <c r="E45" s="112"/>
      <c r="F45" s="113"/>
      <c r="G45" s="112"/>
      <c r="H45" s="113"/>
      <c r="I45" s="112"/>
      <c r="J45" s="98"/>
      <c r="K45" s="112"/>
      <c r="L45" s="98"/>
      <c r="M45" s="112"/>
      <c r="N45" s="98"/>
      <c r="O45" s="112"/>
      <c r="P45" s="98"/>
      <c r="Q45" s="112"/>
      <c r="R45" s="98"/>
      <c r="S45" s="112"/>
      <c r="T45" s="98"/>
      <c r="U45" s="112"/>
      <c r="V45" s="98"/>
      <c r="W45" s="112"/>
      <c r="X45" s="98"/>
      <c r="Y45" s="112"/>
      <c r="Z45" s="98"/>
      <c r="AA45" s="112"/>
      <c r="AB45" s="98"/>
      <c r="AC45" s="112"/>
      <c r="AD45" s="98"/>
      <c r="AE45" s="112"/>
      <c r="AF45" s="98"/>
      <c r="AG45" s="112"/>
      <c r="AH45" s="98"/>
      <c r="AI45" s="112"/>
      <c r="AJ45" s="98"/>
      <c r="AK45" s="112"/>
      <c r="AL45" s="98"/>
      <c r="AM45" s="112"/>
      <c r="AN45" s="98"/>
      <c r="AO45" s="112"/>
      <c r="AP45" s="98"/>
      <c r="AQ45" s="112"/>
      <c r="AR45" s="98"/>
      <c r="AS45" s="112"/>
      <c r="AT45" s="98"/>
      <c r="AU45" s="112"/>
      <c r="AV45" s="98"/>
      <c r="AW45" s="112"/>
      <c r="AX45" s="98"/>
      <c r="AY45" s="112"/>
      <c r="AZ45" s="98"/>
      <c r="BA45" s="112"/>
      <c r="BB45" s="98"/>
      <c r="BC45" s="112"/>
      <c r="BD45" s="98"/>
      <c r="BE45" s="112"/>
      <c r="BF45" s="98"/>
      <c r="BG45" s="112"/>
      <c r="BH45" s="98"/>
      <c r="BI45" s="112"/>
      <c r="BJ45" s="98"/>
      <c r="BK45" s="112"/>
      <c r="BL45" s="98"/>
      <c r="BM45" s="112"/>
      <c r="BN45" s="98"/>
      <c r="BO45" s="112"/>
      <c r="BP45" s="98"/>
      <c r="BQ45" s="112"/>
      <c r="BR45" s="98"/>
      <c r="BS45" s="112"/>
      <c r="BT45" s="98"/>
      <c r="BU45" s="112"/>
      <c r="BV45" s="98"/>
      <c r="BW45" s="112"/>
      <c r="BX45" s="98"/>
      <c r="BY45" s="112"/>
      <c r="BZ45" s="98"/>
      <c r="CA45" s="112"/>
      <c r="CB45" s="98"/>
      <c r="CC45" s="112"/>
      <c r="CD45" s="98"/>
      <c r="CE45" s="112"/>
      <c r="CF45" s="98"/>
      <c r="CG45" s="112"/>
      <c r="CH45" s="98"/>
      <c r="CI45" s="112"/>
      <c r="CJ45" s="98"/>
      <c r="CK45" s="112"/>
      <c r="CL45" s="98"/>
      <c r="CM45" s="112"/>
      <c r="CN45" s="98"/>
      <c r="CO45" s="112"/>
      <c r="CP45" s="98"/>
      <c r="CQ45" s="543"/>
      <c r="CR45" s="98"/>
      <c r="CS45" s="112"/>
      <c r="CT45" s="98"/>
      <c r="CU45" s="112"/>
      <c r="CV45" s="98"/>
      <c r="CW45" s="112"/>
      <c r="CX45" s="98"/>
      <c r="CY45" s="112"/>
      <c r="CZ45" s="98"/>
      <c r="DA45" s="112"/>
      <c r="DB45" s="98"/>
      <c r="DC45" s="112"/>
      <c r="DD45" s="98"/>
      <c r="DE45" s="112"/>
      <c r="DF45" s="98"/>
      <c r="DG45" s="112"/>
      <c r="DH45" s="98"/>
      <c r="DI45" s="112"/>
      <c r="DJ45" s="98"/>
      <c r="DK45" s="112"/>
      <c r="DL45" s="98"/>
      <c r="DM45" s="112"/>
      <c r="DN45" s="98"/>
      <c r="DO45" s="112"/>
      <c r="DP45" s="98"/>
      <c r="DQ45" s="112"/>
      <c r="DR45" s="98"/>
      <c r="DS45" s="112"/>
      <c r="DT45" s="98"/>
      <c r="DU45" s="112"/>
      <c r="DV45" s="98"/>
      <c r="DW45" s="112"/>
      <c r="DX45" s="98"/>
      <c r="DY45" s="112"/>
      <c r="DZ45" s="98"/>
      <c r="EA45" s="112"/>
      <c r="EB45" s="98"/>
      <c r="EC45" s="112"/>
      <c r="ED45" s="98"/>
      <c r="EE45" s="112"/>
      <c r="EF45" s="860"/>
      <c r="EG45" s="112"/>
      <c r="EH45" s="860"/>
      <c r="EI45" s="112"/>
      <c r="EJ45" s="860"/>
      <c r="EK45" s="112"/>
      <c r="EL45" s="860"/>
      <c r="EM45" s="112"/>
      <c r="EN45" s="860"/>
      <c r="EO45" s="112"/>
      <c r="EP45" s="98"/>
      <c r="EQ45" s="1022"/>
      <c r="ER45" s="98"/>
      <c r="ES45" s="1022"/>
      <c r="ET45" s="98"/>
      <c r="EU45" s="1022"/>
      <c r="EV45" s="98"/>
      <c r="EW45" s="1022"/>
      <c r="EX45" s="98"/>
      <c r="EY45" s="114"/>
      <c r="EZ45" s="594"/>
      <c r="FA45" s="405"/>
      <c r="FB45" s="114"/>
      <c r="FC45" s="113"/>
      <c r="FD45" s="112"/>
      <c r="FE45" s="113"/>
      <c r="FF45" s="114"/>
      <c r="FG45" s="113"/>
      <c r="FH45" s="114"/>
      <c r="FI45" s="113"/>
      <c r="FJ45" s="114"/>
      <c r="FK45" s="113"/>
      <c r="FL45" s="114"/>
      <c r="FM45" s="113"/>
      <c r="FN45" s="114"/>
      <c r="FO45" s="113"/>
      <c r="FP45" s="114"/>
      <c r="FQ45" s="113"/>
      <c r="FR45" s="115"/>
      <c r="FS45" s="116"/>
      <c r="FT45" s="115"/>
      <c r="FU45" s="116"/>
      <c r="FV45" s="115"/>
      <c r="FW45" s="98"/>
      <c r="FX45" s="484"/>
      <c r="FY45" s="98"/>
      <c r="FZ45" s="115"/>
      <c r="GA45" s="98"/>
      <c r="GB45" s="484"/>
      <c r="GC45" s="98"/>
      <c r="GD45" s="115"/>
      <c r="GE45" s="98"/>
      <c r="GF45" s="115"/>
      <c r="GG45" s="98"/>
      <c r="GH45" s="115"/>
      <c r="GI45" s="98"/>
      <c r="GJ45" s="115"/>
      <c r="GK45" s="98"/>
      <c r="GL45" s="115"/>
      <c r="GM45" s="98"/>
      <c r="GN45" s="115"/>
      <c r="GO45" s="98"/>
      <c r="GP45" s="115"/>
      <c r="GQ45" s="98"/>
      <c r="GR45" s="114"/>
      <c r="GS45" s="98"/>
      <c r="GT45" s="114"/>
      <c r="GU45" s="98"/>
      <c r="GV45" s="114"/>
      <c r="GW45" s="98"/>
      <c r="GX45" s="114"/>
      <c r="GY45" s="98"/>
      <c r="GZ45" s="98"/>
      <c r="HA45" s="98"/>
      <c r="HB45" s="10"/>
      <c r="HC45"/>
      <c r="HD45"/>
      <c r="HE45"/>
      <c r="HF45"/>
      <c r="HG45"/>
      <c r="HH45"/>
      <c r="HI45" s="10"/>
    </row>
    <row r="46" spans="2:217" s="2" customFormat="1" ht="12.75" customHeight="1" x14ac:dyDescent="0.2">
      <c r="B46" s="91" t="s">
        <v>310</v>
      </c>
      <c r="C46" s="117"/>
      <c r="D46" s="98"/>
      <c r="E46" s="117"/>
      <c r="F46" s="98"/>
      <c r="G46" s="117"/>
      <c r="H46" s="98"/>
      <c r="I46" s="117"/>
      <c r="J46" s="98"/>
      <c r="K46" s="117"/>
      <c r="L46" s="98"/>
      <c r="M46" s="117"/>
      <c r="N46" s="98"/>
      <c r="O46" s="117"/>
      <c r="P46" s="98"/>
      <c r="Q46" s="117"/>
      <c r="R46" s="98"/>
      <c r="S46" s="117"/>
      <c r="T46" s="98"/>
      <c r="U46" s="117"/>
      <c r="V46" s="98"/>
      <c r="W46" s="117"/>
      <c r="X46" s="98"/>
      <c r="Y46" s="117"/>
      <c r="Z46" s="98"/>
      <c r="AA46" s="117"/>
      <c r="AB46" s="98"/>
      <c r="AC46" s="117"/>
      <c r="AD46" s="98"/>
      <c r="AE46" s="117"/>
      <c r="AF46" s="98"/>
      <c r="AG46" s="117"/>
      <c r="AH46" s="98"/>
      <c r="AI46" s="117"/>
      <c r="AJ46" s="98"/>
      <c r="AK46" s="117"/>
      <c r="AL46" s="98"/>
      <c r="AM46" s="117"/>
      <c r="AN46" s="98"/>
      <c r="AO46" s="117"/>
      <c r="AP46" s="98"/>
      <c r="AQ46" s="117"/>
      <c r="AR46" s="98"/>
      <c r="AS46" s="117"/>
      <c r="AT46" s="98"/>
      <c r="AU46" s="117"/>
      <c r="AV46" s="98"/>
      <c r="AW46" s="117"/>
      <c r="AX46" s="98"/>
      <c r="AY46" s="117"/>
      <c r="AZ46" s="98"/>
      <c r="BA46" s="117"/>
      <c r="BB46" s="98"/>
      <c r="BC46" s="117"/>
      <c r="BD46" s="98"/>
      <c r="BE46" s="117"/>
      <c r="BF46" s="98"/>
      <c r="BG46" s="117"/>
      <c r="BH46" s="98"/>
      <c r="BI46" s="117"/>
      <c r="BJ46" s="98"/>
      <c r="BK46" s="117"/>
      <c r="BL46" s="98"/>
      <c r="BM46" s="117"/>
      <c r="BN46" s="98"/>
      <c r="BO46" s="117"/>
      <c r="BP46" s="98"/>
      <c r="BQ46" s="117"/>
      <c r="BR46" s="98"/>
      <c r="BS46" s="117"/>
      <c r="BT46" s="98"/>
      <c r="BU46" s="101"/>
      <c r="BV46" s="98"/>
      <c r="BW46" s="117"/>
      <c r="BX46" s="98"/>
      <c r="BY46" s="117"/>
      <c r="BZ46" s="98"/>
      <c r="CA46" s="117"/>
      <c r="CB46" s="98"/>
      <c r="CC46" s="117"/>
      <c r="CD46" s="98"/>
      <c r="CE46" s="117"/>
      <c r="CF46" s="98"/>
      <c r="CG46" s="117"/>
      <c r="CH46" s="98"/>
      <c r="CI46" s="117"/>
      <c r="CJ46" s="98"/>
      <c r="CK46" s="117"/>
      <c r="CL46" s="98"/>
      <c r="CM46" s="117"/>
      <c r="CN46" s="98"/>
      <c r="CO46" s="117"/>
      <c r="CP46" s="98"/>
      <c r="CQ46" s="542">
        <v>516</v>
      </c>
      <c r="CR46" s="98" t="str">
        <f t="shared" ref="CR46:CR52" si="183">IF(ISERROR((CQ46/CI46-1)*100),"NA",IF(((CQ46/CI46-1)*100)&gt;100,"NM",IF(((CQ46/CI46-1)*100)&lt;-50,"NM",(CQ46/CI46-1)*100)))</f>
        <v>NA</v>
      </c>
      <c r="CS46" s="117">
        <f>+CQ51</f>
        <v>444</v>
      </c>
      <c r="CT46" s="98" t="str">
        <f t="shared" ref="CT46:CT52" si="184">IF(ISERROR((CS46/CK46-1)*100),"NA",IF(((CS46/CK46-1)*100)&gt;100,"NM",IF(((CS46/CK46-1)*100)&lt;-50,"NM",(CS46/CK46-1)*100)))</f>
        <v>NA</v>
      </c>
      <c r="CU46" s="117">
        <f>+CS51</f>
        <v>478</v>
      </c>
      <c r="CV46" s="98" t="str">
        <f t="shared" ref="CV46:CV52" si="185">IF(ISERROR((CU46/CM46-1)*100),"NA",IF(((CU46/CM46-1)*100)&gt;100,"NM",IF(((CU46/CM46-1)*100)&lt;-50,"NM",(CU46/CM46-1)*100)))</f>
        <v>NA</v>
      </c>
      <c r="CW46" s="117">
        <f>+CU51</f>
        <v>528</v>
      </c>
      <c r="CX46" s="98" t="str">
        <f t="shared" ref="CX46:CX52" si="186">IF(ISERROR((CW46/CO46-1)*100),"NA",IF(((CW46/CO46-1)*100)&gt;100,"NM",IF(((CW46/CO46-1)*100)&lt;-50,"NM",(CW46/CO46-1)*100)))</f>
        <v>NA</v>
      </c>
      <c r="CY46" s="117">
        <f>+CW51</f>
        <v>508</v>
      </c>
      <c r="CZ46" s="98">
        <f t="shared" ref="CZ46:CZ52" si="187">IF(ISERROR((CY46/CQ46-1)*100),"NA",IF(((CY46/CQ46-1)*100)&gt;100,"NM",IF(((CY46/CQ46-1)*100)&lt;-50,"NM",(CY46/CQ46-1)*100)))</f>
        <v>-1.5503875968992276</v>
      </c>
      <c r="DA46" s="117">
        <f>+CY51</f>
        <v>533</v>
      </c>
      <c r="DB46" s="98">
        <f t="shared" ref="DB46:DB52" si="188">IF(ISERROR((DA46/CS46-1)*100),"NA",IF(((DA46/CS46-1)*100)&gt;100,"NM",IF(((DA46/CS46-1)*100)&lt;-50,"NM",(DA46/CS46-1)*100)))</f>
        <v>20.04504504504505</v>
      </c>
      <c r="DC46" s="117">
        <f>+DA51</f>
        <v>532</v>
      </c>
      <c r="DD46" s="98">
        <f t="shared" ref="DD46:DD52" si="189">IF(ISERROR((DC46/CU46-1)*100),"NA",IF(((DC46/CU46-1)*100)&gt;100,"NM",IF(((DC46/CU46-1)*100)&lt;-50,"NM",(DC46/CU46-1)*100)))</f>
        <v>11.297071129707103</v>
      </c>
      <c r="DE46" s="117">
        <f>+DC51</f>
        <v>562</v>
      </c>
      <c r="DF46" s="98">
        <f t="shared" ref="DF46:DF52" si="190">IF(ISERROR((DE46/CW46-1)*100),"NA",IF(((DE46/CW46-1)*100)&gt;100,"NM",IF(((DE46/CW46-1)*100)&lt;-50,"NM",(DE46/CW46-1)*100)))</f>
        <v>6.4393939393939448</v>
      </c>
      <c r="DG46" s="117">
        <f>+DE51</f>
        <v>566</v>
      </c>
      <c r="DH46" s="98">
        <f t="shared" ref="DH46:DH52" si="191">IF(ISERROR((DG46/CY46-1)*100),"NA",IF(((DG46/CY46-1)*100)&gt;100,"NM",IF(((DG46/CY46-1)*100)&lt;-50,"NM",(DG46/CY46-1)*100)))</f>
        <v>11.41732283464567</v>
      </c>
      <c r="DI46" s="117">
        <f>+DG51</f>
        <v>602</v>
      </c>
      <c r="DJ46" s="98">
        <f t="shared" ref="DJ46:DJ52" si="192">IF(ISERROR((DI46/DA46-1)*100),"NA",IF(((DI46/DA46-1)*100)&gt;100,"NM",IF(((DI46/DA46-1)*100)&lt;-50,"NM",(DI46/DA46-1)*100)))</f>
        <v>12.945590994371493</v>
      </c>
      <c r="DK46" s="117">
        <f>+DI51</f>
        <v>644</v>
      </c>
      <c r="DL46" s="98">
        <f t="shared" ref="DL46:DL52" si="193">IF(ISERROR((DK46/DC46-1)*100),"NA",IF(((DK46/DC46-1)*100)&gt;100,"NM",IF(((DK46/DC46-1)*100)&lt;-50,"NM",(DK46/DC46-1)*100)))</f>
        <v>21.052631578947366</v>
      </c>
      <c r="DM46" s="117">
        <f>+DK51</f>
        <v>646</v>
      </c>
      <c r="DN46" s="98">
        <f t="shared" ref="DN46:DZ52" si="194">IF(ISERROR((DM46/DE46-1)*100),"NA",IF(((DM46/DE46-1)*100)&gt;100,"NM",IF(((DM46/DE46-1)*100)&lt;-50,"NM",(DM46/DE46-1)*100)))</f>
        <v>14.946619217081846</v>
      </c>
      <c r="DO46" s="117">
        <f>+DM51</f>
        <v>667</v>
      </c>
      <c r="DP46" s="98">
        <f t="shared" si="194"/>
        <v>17.844522968197872</v>
      </c>
      <c r="DQ46" s="117">
        <f>+DO51</f>
        <v>656</v>
      </c>
      <c r="DR46" s="98">
        <f t="shared" si="194"/>
        <v>8.9700996677740896</v>
      </c>
      <c r="DS46" s="117">
        <f>+DQ51</f>
        <v>669</v>
      </c>
      <c r="DT46" s="98">
        <f t="shared" si="194"/>
        <v>3.8819875776397561</v>
      </c>
      <c r="DU46" s="117">
        <f>+DS51</f>
        <v>677</v>
      </c>
      <c r="DV46" s="98">
        <f t="shared" si="194"/>
        <v>4.7987616099071317</v>
      </c>
      <c r="DW46" s="117">
        <f>+DU51</f>
        <v>674</v>
      </c>
      <c r="DX46" s="98">
        <f t="shared" si="194"/>
        <v>1.0494752623688264</v>
      </c>
      <c r="DY46" s="117">
        <f>+DW51</f>
        <v>614</v>
      </c>
      <c r="DZ46" s="98">
        <f t="shared" si="194"/>
        <v>-6.4024390243902385</v>
      </c>
      <c r="EA46" s="117">
        <f>+DY51</f>
        <v>638</v>
      </c>
      <c r="EB46" s="98">
        <f t="shared" ref="EB46:EB52" si="195">IF(ISERROR((EA46/DS46-1)*100),"NA",IF(((EA46/DS46-1)*100)&gt;100,"NM",IF(((EA46/DS46-1)*100)&lt;-50,"NM",(EA46/DS46-1)*100)))</f>
        <v>-4.6337817638266054</v>
      </c>
      <c r="EC46" s="117">
        <f>+EA51</f>
        <v>625</v>
      </c>
      <c r="ED46" s="98">
        <f t="shared" ref="ED46:ED52" si="196">IF(ISERROR((EC46/DU46-1)*100),"NA",IF(((EC46/DU46-1)*100)&gt;100,"NM",IF(((EC46/DU46-1)*100)&lt;-50,"NM",(EC46/DU46-1)*100)))</f>
        <v>-7.6809453471196498</v>
      </c>
      <c r="EE46" s="117">
        <f>+EC51</f>
        <v>628</v>
      </c>
      <c r="EF46" s="860">
        <f t="shared" ref="EF46:EF52" si="197">IF(ISERROR((EE46/DW46-1)*100),"NA",IF(((EE46/DW46-1)*100)&gt;100,"NM",IF(((EE46/DW46-1)*100)&lt;-50,"NM",(EE46/DW46-1)*100)))</f>
        <v>-6.8249258160237414</v>
      </c>
      <c r="EG46" s="117">
        <f>+EE51</f>
        <v>749</v>
      </c>
      <c r="EH46" s="860">
        <f t="shared" ref="EH46:EH52" si="198">IF(ISERROR((EG46/DY46-1)*100),"NA",IF(((EG46/DY46-1)*100)&gt;100,"NM",IF(((EG46/DY46-1)*100)&lt;-50,"NM",(EG46/DY46-1)*100)))</f>
        <v>21.986970684039097</v>
      </c>
      <c r="EI46" s="117">
        <f>+EG51</f>
        <v>761</v>
      </c>
      <c r="EJ46" s="860">
        <f t="shared" ref="EJ46:EJ52" si="199">IF(ISERROR((EI46/EA46-1)*100),"NA",IF(((EI46/EA46-1)*100)&gt;100,"NM",IF(((EI46/EA46-1)*100)&lt;-50,"NM",(EI46/EA46-1)*100)))</f>
        <v>19.278996865203759</v>
      </c>
      <c r="EK46" s="117">
        <f>+EI51</f>
        <v>810</v>
      </c>
      <c r="EL46" s="860">
        <f t="shared" ref="EL46:EL52" si="200">IF(ISERROR((EK46/EC46-1)*100),"NA",IF(((EK46/EC46-1)*100)&gt;100,"NM",IF(((EK46/EC46-1)*100)&lt;-50,"NM",(EK46/EC46-1)*100)))</f>
        <v>29.600000000000005</v>
      </c>
      <c r="EM46" s="117">
        <f>+EK51</f>
        <v>836</v>
      </c>
      <c r="EN46" s="860">
        <f t="shared" ref="EN46:EN52" si="201">IF(ISERROR((EM46/EE46-1)*100),"NA",IF(((EM46/EE46-1)*100)&gt;100,"NM",IF(((EM46/EE46-1)*100)&lt;-50,"NM",(EM46/EE46-1)*100)))</f>
        <v>33.121019108280251</v>
      </c>
      <c r="EO46" s="117">
        <f>+EM51</f>
        <v>857</v>
      </c>
      <c r="EP46" s="98">
        <f t="shared" ref="EP46:EP52" si="202">IF(ISERROR((EO46/EG46-1)*100),"NA",IF(((EO46/EG46-1)*100)&gt;100,"NM",IF(((EO46/EG46-1)*100)&lt;-50,"NM",(EO46/EG46-1)*100)))</f>
        <v>14.4192256341789</v>
      </c>
      <c r="EQ46" s="792">
        <f t="shared" ref="EQ46" si="203">EO51</f>
        <v>889</v>
      </c>
      <c r="ER46" s="98">
        <f t="shared" ref="ER46:ER52" si="204">IF(ISERROR((EQ46/EI46-1)*100),"NA",IF(((EQ46/EI46-1)*100)&gt;100,"NM",IF(((EQ46/EI46-1)*100)&lt;-50,"NM",(EQ46/EI46-1)*100)))</f>
        <v>16.819973718791069</v>
      </c>
      <c r="ES46" s="792">
        <f t="shared" ref="ES46" si="205">EQ51</f>
        <v>882.26008798133023</v>
      </c>
      <c r="ET46" s="98">
        <f t="shared" ref="ET46:ET52" si="206">IF(ISERROR((ES46/EK46-1)*100),"NA",IF(((ES46/EK46-1)*100)&gt;100,"NM",IF(((ES46/EK46-1)*100)&lt;-50,"NM",(ES46/EK46-1)*100)))</f>
        <v>8.9209985162136185</v>
      </c>
      <c r="EU46" s="792">
        <f t="shared" ref="EU46" si="207">ES51</f>
        <v>886.07795920435944</v>
      </c>
      <c r="EV46" s="98">
        <f t="shared" ref="EV46:EV52" si="208">IF(ISERROR((EU46/EM46-1)*100),"NA",IF(((EU46/EM46-1)*100)&gt;100,"NM",IF(((EU46/EM46-1)*100)&lt;-50,"NM",(EU46/EM46-1)*100)))</f>
        <v>5.9901865076984917</v>
      </c>
      <c r="EW46" s="792">
        <f t="shared" ref="EW46" si="209">EU51</f>
        <v>888.83054557771993</v>
      </c>
      <c r="EX46" s="98">
        <f t="shared" ref="EX46:EX52" si="210">IF(ISERROR((EW46/EO46-1)*100),"NA",IF(((EW46/EO46-1)*100)&gt;100,"NM",IF(((EW46/EO46-1)*100)&lt;-50,"NM",(EW46/EO46-1)*100)))</f>
        <v>3.7141826811808665</v>
      </c>
      <c r="EY46" s="118"/>
      <c r="EZ46" s="594"/>
      <c r="FA46" s="405"/>
      <c r="FB46" s="95"/>
      <c r="FC46" s="98"/>
      <c r="FD46" s="101"/>
      <c r="FE46" s="98"/>
      <c r="FF46" s="118"/>
      <c r="FG46" s="98"/>
      <c r="FH46" s="118"/>
      <c r="FI46" s="98"/>
      <c r="FJ46" s="118"/>
      <c r="FK46" s="98"/>
      <c r="FL46" s="118"/>
      <c r="FM46" s="98"/>
      <c r="FN46" s="118"/>
      <c r="FO46" s="98"/>
      <c r="FP46" s="118"/>
      <c r="FQ46" s="98"/>
      <c r="FR46" s="119"/>
      <c r="FS46" s="120"/>
      <c r="FT46" s="119"/>
      <c r="FU46" s="120"/>
      <c r="FV46" s="119"/>
      <c r="FW46" s="98"/>
      <c r="FX46" s="485"/>
      <c r="FY46" s="98"/>
      <c r="FZ46" s="119"/>
      <c r="GA46" s="98"/>
      <c r="GB46" s="485"/>
      <c r="GC46" s="98"/>
      <c r="GD46" s="119">
        <f>CU46</f>
        <v>478</v>
      </c>
      <c r="GE46" s="98" t="str">
        <f t="shared" ref="GE46:GE52" si="211">IF(ISERROR((GD46/GB46-1)*100),"NA",IF(((GD46/GB46-1)*100)&gt;100,"NM",IF(((GD46/GB46-1)*100)&lt;-50,"NM",(GD46/GB46-1)*100)))</f>
        <v>NA</v>
      </c>
      <c r="GF46" s="119">
        <f>+GD51</f>
        <v>532</v>
      </c>
      <c r="GG46" s="98">
        <f t="shared" ref="GG46:GW52" si="212">IF(ISERROR((GF46/GD46-1)*100),"NA",IF(((GF46/GD46-1)*100)&gt;100,"NM",IF(((GF46/GD46-1)*100)&lt;-50,"NM",(GF46/GD46-1)*100)))</f>
        <v>11.297071129707103</v>
      </c>
      <c r="GH46" s="119">
        <f>+GF51</f>
        <v>644</v>
      </c>
      <c r="GI46" s="98">
        <f t="shared" si="212"/>
        <v>21.052631578947366</v>
      </c>
      <c r="GJ46" s="119">
        <f>DS46</f>
        <v>669</v>
      </c>
      <c r="GK46" s="98">
        <f t="shared" si="212"/>
        <v>3.8819875776397561</v>
      </c>
      <c r="GL46" s="119">
        <f>+GJ51</f>
        <v>638</v>
      </c>
      <c r="GM46" s="98">
        <f t="shared" si="212"/>
        <v>-4.6337817638266054</v>
      </c>
      <c r="GN46" s="119">
        <f>+GL51</f>
        <v>761</v>
      </c>
      <c r="GO46" s="98">
        <f t="shared" si="212"/>
        <v>19.278996865203759</v>
      </c>
      <c r="GP46" s="119">
        <f>+GN51</f>
        <v>889</v>
      </c>
      <c r="GQ46" s="98">
        <f t="shared" si="212"/>
        <v>16.819973718791069</v>
      </c>
      <c r="GR46" s="118">
        <f>+GP51</f>
        <v>894.72211196992839</v>
      </c>
      <c r="GS46" s="98">
        <f t="shared" si="212"/>
        <v>0.6436571394745183</v>
      </c>
      <c r="GT46" s="118">
        <f>+GR51</f>
        <v>921.71985306160377</v>
      </c>
      <c r="GU46" s="98">
        <f t="shared" si="212"/>
        <v>3.0174442690629188</v>
      </c>
      <c r="GV46" s="118">
        <f>+GT51</f>
        <v>945.00481321007305</v>
      </c>
      <c r="GW46" s="98">
        <f t="shared" si="212"/>
        <v>2.5262513410257537</v>
      </c>
      <c r="GX46" s="118">
        <f>+GV51</f>
        <v>964.31097270559815</v>
      </c>
      <c r="GY46" s="98">
        <f t="shared" ref="GY46:GY52" si="213">IF(ISERROR((GX46/GV46-1)*100),"NA",IF(((GX46/GV46-1)*100)&gt;100,"NM",IF(((GX46/GV46-1)*100)&lt;-50,"NM",(GX46/GV46-1)*100)))</f>
        <v>2.042969435250197</v>
      </c>
      <c r="GZ46" s="98">
        <f t="shared" ref="GZ46:GZ52" si="214">IF(ISERROR(((GX46/GN46)^0.2-1)*100),"NA",IF((((GX46/GN46)^0.2-1)*100)&gt;100,"NM",IF((((GX46/GN46)^0.2-1)*100)&lt;-50,"NM",((GX46/GN46)^0.2-1)*100)))</f>
        <v>4.8495305608484252</v>
      </c>
      <c r="HA46" s="98"/>
      <c r="HB46" s="10"/>
      <c r="HC46"/>
      <c r="HD46"/>
      <c r="HE46"/>
      <c r="HF46"/>
      <c r="HG46"/>
      <c r="HH46"/>
      <c r="HI46" s="10"/>
    </row>
    <row r="47" spans="2:217" s="2" customFormat="1" ht="12.75" customHeight="1" x14ac:dyDescent="0.2">
      <c r="B47" s="91" t="s">
        <v>340</v>
      </c>
      <c r="C47" s="101"/>
      <c r="D47" s="98"/>
      <c r="E47" s="101"/>
      <c r="F47" s="98"/>
      <c r="G47" s="101"/>
      <c r="H47" s="98"/>
      <c r="I47" s="101"/>
      <c r="J47" s="98"/>
      <c r="K47" s="101"/>
      <c r="L47" s="98"/>
      <c r="M47" s="101"/>
      <c r="N47" s="98"/>
      <c r="O47" s="101"/>
      <c r="P47" s="98"/>
      <c r="Q47" s="101"/>
      <c r="R47" s="98"/>
      <c r="S47" s="101"/>
      <c r="T47" s="98"/>
      <c r="U47" s="101"/>
      <c r="V47" s="98"/>
      <c r="W47" s="101"/>
      <c r="X47" s="98"/>
      <c r="Y47" s="101"/>
      <c r="Z47" s="98"/>
      <c r="AA47" s="101"/>
      <c r="AB47" s="98"/>
      <c r="AC47" s="101"/>
      <c r="AD47" s="98"/>
      <c r="AE47" s="101"/>
      <c r="AF47" s="98"/>
      <c r="AG47" s="101"/>
      <c r="AH47" s="98"/>
      <c r="AI47" s="101"/>
      <c r="AJ47" s="98"/>
      <c r="AK47" s="101"/>
      <c r="AL47" s="98"/>
      <c r="AM47" s="101"/>
      <c r="AN47" s="98"/>
      <c r="AO47" s="101"/>
      <c r="AP47" s="98"/>
      <c r="AQ47" s="101"/>
      <c r="AR47" s="98"/>
      <c r="AS47" s="101"/>
      <c r="AT47" s="98"/>
      <c r="AU47" s="101"/>
      <c r="AV47" s="98"/>
      <c r="AW47" s="101"/>
      <c r="AX47" s="98"/>
      <c r="AY47" s="101"/>
      <c r="AZ47" s="98"/>
      <c r="BA47" s="101"/>
      <c r="BB47" s="98"/>
      <c r="BC47" s="101"/>
      <c r="BD47" s="98"/>
      <c r="BE47" s="101"/>
      <c r="BF47" s="98"/>
      <c r="BG47" s="101"/>
      <c r="BH47" s="98"/>
      <c r="BI47" s="101"/>
      <c r="BJ47" s="98"/>
      <c r="BK47" s="101"/>
      <c r="BL47" s="98"/>
      <c r="BM47" s="101"/>
      <c r="BN47" s="98"/>
      <c r="BO47" s="101"/>
      <c r="BP47" s="98"/>
      <c r="BQ47" s="101"/>
      <c r="BR47" s="98"/>
      <c r="BS47" s="101"/>
      <c r="BT47" s="98"/>
      <c r="BU47" s="101"/>
      <c r="BV47" s="98"/>
      <c r="BW47" s="101"/>
      <c r="BX47" s="98"/>
      <c r="BY47" s="101"/>
      <c r="BZ47" s="98"/>
      <c r="CA47" s="101"/>
      <c r="CB47" s="98"/>
      <c r="CC47" s="101"/>
      <c r="CD47" s="98"/>
      <c r="CE47" s="101"/>
      <c r="CF47" s="98"/>
      <c r="CG47" s="101"/>
      <c r="CH47" s="98"/>
      <c r="CI47" s="101"/>
      <c r="CJ47" s="98"/>
      <c r="CK47" s="101"/>
      <c r="CL47" s="98"/>
      <c r="CM47" s="101"/>
      <c r="CN47" s="98"/>
      <c r="CO47" s="101"/>
      <c r="CP47" s="98"/>
      <c r="CQ47" s="542">
        <v>47</v>
      </c>
      <c r="CR47" s="98" t="str">
        <f t="shared" si="183"/>
        <v>NA</v>
      </c>
      <c r="CS47" s="101">
        <v>47</v>
      </c>
      <c r="CT47" s="98" t="str">
        <f t="shared" si="184"/>
        <v>NA</v>
      </c>
      <c r="CU47" s="101">
        <v>49</v>
      </c>
      <c r="CV47" s="98" t="str">
        <f t="shared" si="185"/>
        <v>NA</v>
      </c>
      <c r="CW47" s="101">
        <v>49</v>
      </c>
      <c r="CX47" s="98" t="str">
        <f t="shared" si="186"/>
        <v>NA</v>
      </c>
      <c r="CY47" s="101">
        <v>48</v>
      </c>
      <c r="CZ47" s="98">
        <f t="shared" si="187"/>
        <v>2.1276595744680771</v>
      </c>
      <c r="DA47" s="101">
        <v>49</v>
      </c>
      <c r="DB47" s="98">
        <f t="shared" si="188"/>
        <v>4.2553191489361764</v>
      </c>
      <c r="DC47" s="101">
        <v>49</v>
      </c>
      <c r="DD47" s="98">
        <f t="shared" si="189"/>
        <v>0</v>
      </c>
      <c r="DE47" s="101">
        <v>50</v>
      </c>
      <c r="DF47" s="98">
        <f t="shared" si="190"/>
        <v>2.0408163265306145</v>
      </c>
      <c r="DG47" s="101">
        <v>52</v>
      </c>
      <c r="DH47" s="98">
        <f t="shared" si="191"/>
        <v>8.333333333333325</v>
      </c>
      <c r="DI47" s="101">
        <v>50</v>
      </c>
      <c r="DJ47" s="98">
        <f t="shared" si="192"/>
        <v>2.0408163265306145</v>
      </c>
      <c r="DK47" s="101">
        <v>54</v>
      </c>
      <c r="DL47" s="98">
        <f t="shared" si="193"/>
        <v>10.20408163265305</v>
      </c>
      <c r="DM47" s="101">
        <v>52</v>
      </c>
      <c r="DN47" s="98">
        <f t="shared" si="194"/>
        <v>4.0000000000000036</v>
      </c>
      <c r="DO47" s="101">
        <v>53</v>
      </c>
      <c r="DP47" s="98">
        <f t="shared" si="194"/>
        <v>1.9230769230769162</v>
      </c>
      <c r="DQ47" s="101">
        <v>52</v>
      </c>
      <c r="DR47" s="98">
        <f t="shared" si="194"/>
        <v>4.0000000000000036</v>
      </c>
      <c r="DS47" s="101">
        <v>57</v>
      </c>
      <c r="DT47" s="98">
        <f t="shared" si="194"/>
        <v>5.555555555555558</v>
      </c>
      <c r="DU47" s="101">
        <v>54</v>
      </c>
      <c r="DV47" s="98">
        <f t="shared" si="194"/>
        <v>3.8461538461538547</v>
      </c>
      <c r="DW47" s="101">
        <v>55</v>
      </c>
      <c r="DX47" s="98">
        <f t="shared" si="194"/>
        <v>3.7735849056603765</v>
      </c>
      <c r="DY47" s="101">
        <v>55</v>
      </c>
      <c r="DZ47" s="98">
        <f t="shared" si="194"/>
        <v>5.7692307692307709</v>
      </c>
      <c r="EA47" s="101">
        <v>55</v>
      </c>
      <c r="EB47" s="98">
        <f t="shared" si="195"/>
        <v>-3.5087719298245612</v>
      </c>
      <c r="EC47" s="101">
        <v>55</v>
      </c>
      <c r="ED47" s="98">
        <f t="shared" si="196"/>
        <v>1.8518518518518601</v>
      </c>
      <c r="EE47" s="101">
        <v>153</v>
      </c>
      <c r="EF47" s="860" t="str">
        <f t="shared" si="197"/>
        <v>NM</v>
      </c>
      <c r="EG47" s="101">
        <v>59</v>
      </c>
      <c r="EH47" s="860">
        <f t="shared" si="198"/>
        <v>7.2727272727272751</v>
      </c>
      <c r="EI47" s="101">
        <v>63</v>
      </c>
      <c r="EJ47" s="860">
        <f t="shared" si="199"/>
        <v>14.54545454545455</v>
      </c>
      <c r="EK47" s="101">
        <v>60</v>
      </c>
      <c r="EL47" s="860">
        <f t="shared" si="200"/>
        <v>9.0909090909090828</v>
      </c>
      <c r="EM47" s="101">
        <v>62</v>
      </c>
      <c r="EN47" s="860" t="str">
        <f t="shared" si="201"/>
        <v>NM</v>
      </c>
      <c r="EO47" s="101">
        <v>62</v>
      </c>
      <c r="EP47" s="98">
        <f t="shared" si="202"/>
        <v>5.0847457627118731</v>
      </c>
      <c r="EQ47" s="952">
        <f t="shared" ref="EQ47" si="215">EI47*1.05</f>
        <v>66.150000000000006</v>
      </c>
      <c r="ER47" s="98">
        <f t="shared" si="204"/>
        <v>5.0000000000000044</v>
      </c>
      <c r="ES47" s="952">
        <f t="shared" ref="ES47" si="216">EK47*1.05</f>
        <v>63</v>
      </c>
      <c r="ET47" s="98">
        <f t="shared" si="206"/>
        <v>5.0000000000000044</v>
      </c>
      <c r="EU47" s="952">
        <f t="shared" ref="EU47" si="217">EM47*1.05</f>
        <v>65.100000000000009</v>
      </c>
      <c r="EV47" s="98">
        <f t="shared" si="208"/>
        <v>5.0000000000000044</v>
      </c>
      <c r="EW47" s="952">
        <f t="shared" ref="EW47" si="218">EO47*1.05</f>
        <v>65.100000000000009</v>
      </c>
      <c r="EX47" s="98">
        <f t="shared" si="210"/>
        <v>5.0000000000000044</v>
      </c>
      <c r="EY47" s="121"/>
      <c r="EZ47" s="594"/>
      <c r="FA47" s="405"/>
      <c r="FB47" s="95"/>
      <c r="FC47" s="98"/>
      <c r="FD47" s="101"/>
      <c r="FE47" s="98"/>
      <c r="FF47" s="118"/>
      <c r="FG47" s="98"/>
      <c r="FH47" s="118"/>
      <c r="FI47" s="98"/>
      <c r="FJ47" s="118"/>
      <c r="FK47" s="98"/>
      <c r="FL47" s="118"/>
      <c r="FM47" s="98"/>
      <c r="FN47" s="118"/>
      <c r="FO47" s="98"/>
      <c r="FP47" s="118"/>
      <c r="FQ47" s="98"/>
      <c r="FR47" s="119"/>
      <c r="FS47" s="120"/>
      <c r="FT47" s="119"/>
      <c r="FU47" s="120"/>
      <c r="FV47" s="119"/>
      <c r="FW47" s="98"/>
      <c r="FX47" s="485"/>
      <c r="FY47" s="98"/>
      <c r="FZ47" s="119"/>
      <c r="GA47" s="98"/>
      <c r="GB47" s="485"/>
      <c r="GC47" s="98"/>
      <c r="GD47" s="119">
        <f>CU47+CW47+CY47+DA47</f>
        <v>195</v>
      </c>
      <c r="GE47" s="98" t="str">
        <f t="shared" si="211"/>
        <v>NA</v>
      </c>
      <c r="GF47" s="119">
        <f>DC47+DE47+DG47+DI47</f>
        <v>201</v>
      </c>
      <c r="GG47" s="98">
        <f t="shared" si="212"/>
        <v>3.076923076923066</v>
      </c>
      <c r="GH47" s="119">
        <f>DK47+DM47+DO47+DQ47</f>
        <v>211</v>
      </c>
      <c r="GI47" s="98">
        <f t="shared" si="212"/>
        <v>4.9751243781094523</v>
      </c>
      <c r="GJ47" s="119">
        <f>DS47+DU47+DW47+DY47</f>
        <v>221</v>
      </c>
      <c r="GK47" s="98">
        <f t="shared" si="212"/>
        <v>4.7393364928909998</v>
      </c>
      <c r="GL47" s="119">
        <f>EA47+EC47+EE47+EG47</f>
        <v>322</v>
      </c>
      <c r="GM47" s="98">
        <f t="shared" si="212"/>
        <v>45.701357466063342</v>
      </c>
      <c r="GN47" s="119">
        <f>EI47+EK47+EM47+EO47</f>
        <v>247</v>
      </c>
      <c r="GO47" s="98">
        <f t="shared" si="212"/>
        <v>-23.291925465838514</v>
      </c>
      <c r="GP47" s="119">
        <f>EQ47+ES47+EU47+EW47</f>
        <v>259.35000000000002</v>
      </c>
      <c r="GQ47" s="98">
        <f t="shared" si="212"/>
        <v>5.0000000000000044</v>
      </c>
      <c r="GR47" s="121">
        <f>GP47*1.03</f>
        <v>267.13050000000004</v>
      </c>
      <c r="GS47" s="98">
        <f t="shared" si="212"/>
        <v>3.0000000000000027</v>
      </c>
      <c r="GT47" s="121">
        <f>GR47*1.03</f>
        <v>275.14441500000004</v>
      </c>
      <c r="GU47" s="98">
        <f t="shared" si="212"/>
        <v>3.0000000000000027</v>
      </c>
      <c r="GV47" s="121">
        <f>GT47*1.03</f>
        <v>283.39874745000003</v>
      </c>
      <c r="GW47" s="98">
        <f t="shared" si="212"/>
        <v>3.0000000000000027</v>
      </c>
      <c r="GX47" s="121">
        <f>GV47*1.03</f>
        <v>291.90070987350003</v>
      </c>
      <c r="GY47" s="98">
        <f t="shared" si="213"/>
        <v>3.0000000000000027</v>
      </c>
      <c r="GZ47" s="98">
        <f t="shared" si="214"/>
        <v>3.396928914735553</v>
      </c>
      <c r="HA47" s="98"/>
      <c r="HB47" s="10"/>
      <c r="HC47"/>
      <c r="HD47"/>
      <c r="HE47"/>
      <c r="HF47"/>
      <c r="HG47"/>
      <c r="HH47"/>
      <c r="HI47" s="10"/>
    </row>
    <row r="48" spans="2:217" s="2" customFormat="1" ht="12.75" customHeight="1" x14ac:dyDescent="0.2">
      <c r="B48" s="91" t="s">
        <v>13</v>
      </c>
      <c r="C48" s="101"/>
      <c r="D48" s="98"/>
      <c r="E48" s="101"/>
      <c r="F48" s="98"/>
      <c r="G48" s="101"/>
      <c r="H48" s="98"/>
      <c r="I48" s="101"/>
      <c r="J48" s="98"/>
      <c r="K48" s="101"/>
      <c r="L48" s="98"/>
      <c r="M48" s="101"/>
      <c r="N48" s="98"/>
      <c r="O48" s="101"/>
      <c r="P48" s="98"/>
      <c r="Q48" s="101"/>
      <c r="R48" s="98"/>
      <c r="S48" s="101"/>
      <c r="T48" s="98"/>
      <c r="U48" s="101"/>
      <c r="V48" s="98"/>
      <c r="W48" s="101"/>
      <c r="X48" s="98"/>
      <c r="Y48" s="101"/>
      <c r="Z48" s="98"/>
      <c r="AA48" s="101"/>
      <c r="AB48" s="98"/>
      <c r="AC48" s="101"/>
      <c r="AD48" s="98"/>
      <c r="AE48" s="101"/>
      <c r="AF48" s="98"/>
      <c r="AG48" s="101"/>
      <c r="AH48" s="98"/>
      <c r="AI48" s="101"/>
      <c r="AJ48" s="98"/>
      <c r="AK48" s="101"/>
      <c r="AL48" s="98"/>
      <c r="AM48" s="101"/>
      <c r="AN48" s="98"/>
      <c r="AO48" s="101"/>
      <c r="AP48" s="98"/>
      <c r="AQ48" s="101"/>
      <c r="AR48" s="98"/>
      <c r="AS48" s="101"/>
      <c r="AT48" s="98"/>
      <c r="AU48" s="101"/>
      <c r="AV48" s="98"/>
      <c r="AW48" s="101"/>
      <c r="AX48" s="98"/>
      <c r="AY48" s="101"/>
      <c r="AZ48" s="98"/>
      <c r="BA48" s="101"/>
      <c r="BB48" s="98"/>
      <c r="BC48" s="101"/>
      <c r="BD48" s="98"/>
      <c r="BE48" s="101"/>
      <c r="BF48" s="98"/>
      <c r="BG48" s="101"/>
      <c r="BH48" s="98"/>
      <c r="BI48" s="101"/>
      <c r="BJ48" s="98"/>
      <c r="BK48" s="101"/>
      <c r="BL48" s="98"/>
      <c r="BM48" s="101"/>
      <c r="BN48" s="98"/>
      <c r="BO48" s="101"/>
      <c r="BP48" s="98"/>
      <c r="BQ48" s="101"/>
      <c r="BR48" s="98"/>
      <c r="BS48" s="101"/>
      <c r="BT48" s="98"/>
      <c r="BU48" s="101"/>
      <c r="BV48" s="98"/>
      <c r="BW48" s="101"/>
      <c r="BX48" s="98"/>
      <c r="BY48" s="101"/>
      <c r="BZ48" s="98"/>
      <c r="CA48" s="101"/>
      <c r="CB48" s="98"/>
      <c r="CC48" s="101"/>
      <c r="CD48" s="98"/>
      <c r="CE48" s="101"/>
      <c r="CF48" s="98"/>
      <c r="CG48" s="101"/>
      <c r="CH48" s="98"/>
      <c r="CI48" s="101"/>
      <c r="CJ48" s="98"/>
      <c r="CK48" s="101"/>
      <c r="CL48" s="98"/>
      <c r="CM48" s="101"/>
      <c r="CN48" s="98"/>
      <c r="CO48" s="101"/>
      <c r="CP48" s="98"/>
      <c r="CQ48" s="542">
        <v>-70</v>
      </c>
      <c r="CR48" s="98" t="str">
        <f t="shared" si="183"/>
        <v>NA</v>
      </c>
      <c r="CS48" s="101">
        <v>34</v>
      </c>
      <c r="CT48" s="98" t="str">
        <f t="shared" si="184"/>
        <v>NA</v>
      </c>
      <c r="CU48" s="101">
        <v>53</v>
      </c>
      <c r="CV48" s="98" t="str">
        <f t="shared" si="185"/>
        <v>NA</v>
      </c>
      <c r="CW48" s="101">
        <v>-18</v>
      </c>
      <c r="CX48" s="98" t="str">
        <f t="shared" si="186"/>
        <v>NA</v>
      </c>
      <c r="CY48" s="101">
        <v>28</v>
      </c>
      <c r="CZ48" s="98" t="str">
        <f t="shared" si="187"/>
        <v>NM</v>
      </c>
      <c r="DA48" s="101">
        <v>6</v>
      </c>
      <c r="DB48" s="98" t="str">
        <f t="shared" si="188"/>
        <v>NM</v>
      </c>
      <c r="DC48" s="101">
        <v>37</v>
      </c>
      <c r="DD48" s="98">
        <f t="shared" si="189"/>
        <v>-30.188679245283023</v>
      </c>
      <c r="DE48" s="101">
        <v>9</v>
      </c>
      <c r="DF48" s="98" t="str">
        <f t="shared" si="190"/>
        <v>NM</v>
      </c>
      <c r="DG48" s="101">
        <v>39</v>
      </c>
      <c r="DH48" s="98">
        <f t="shared" si="191"/>
        <v>39.285714285714278</v>
      </c>
      <c r="DI48" s="101">
        <v>46</v>
      </c>
      <c r="DJ48" s="98" t="str">
        <f t="shared" si="192"/>
        <v>NM</v>
      </c>
      <c r="DK48" s="101">
        <v>9</v>
      </c>
      <c r="DL48" s="98" t="str">
        <f t="shared" si="193"/>
        <v>NM</v>
      </c>
      <c r="DM48" s="101">
        <v>26</v>
      </c>
      <c r="DN48" s="98" t="str">
        <f t="shared" si="194"/>
        <v>NM</v>
      </c>
      <c r="DO48" s="101">
        <v>-5</v>
      </c>
      <c r="DP48" s="98" t="str">
        <f t="shared" si="194"/>
        <v>NM</v>
      </c>
      <c r="DQ48" s="101">
        <v>17</v>
      </c>
      <c r="DR48" s="98" t="str">
        <f t="shared" si="194"/>
        <v>NM</v>
      </c>
      <c r="DS48" s="101">
        <v>18</v>
      </c>
      <c r="DT48" s="98">
        <f t="shared" si="194"/>
        <v>100</v>
      </c>
      <c r="DU48" s="101">
        <v>4</v>
      </c>
      <c r="DV48" s="98" t="str">
        <f t="shared" si="194"/>
        <v>NM</v>
      </c>
      <c r="DW48" s="101">
        <v>-48</v>
      </c>
      <c r="DX48" s="98" t="str">
        <f t="shared" si="194"/>
        <v>NM</v>
      </c>
      <c r="DY48" s="101">
        <v>31</v>
      </c>
      <c r="DZ48" s="98">
        <f t="shared" si="194"/>
        <v>82.35294117647058</v>
      </c>
      <c r="EA48" s="101">
        <v>-4</v>
      </c>
      <c r="EB48" s="98" t="str">
        <f t="shared" si="195"/>
        <v>NM</v>
      </c>
      <c r="EC48" s="101">
        <v>12</v>
      </c>
      <c r="ED48" s="98" t="str">
        <f t="shared" si="196"/>
        <v>NM</v>
      </c>
      <c r="EE48" s="101">
        <v>35</v>
      </c>
      <c r="EF48" s="860" t="str">
        <f t="shared" si="197"/>
        <v>NM</v>
      </c>
      <c r="EG48" s="101">
        <v>14</v>
      </c>
      <c r="EH48" s="860" t="str">
        <f t="shared" si="198"/>
        <v>NM</v>
      </c>
      <c r="EI48" s="101">
        <v>47</v>
      </c>
      <c r="EJ48" s="860" t="str">
        <f t="shared" si="199"/>
        <v>NM</v>
      </c>
      <c r="EK48" s="101">
        <v>31</v>
      </c>
      <c r="EL48" s="860" t="str">
        <f t="shared" si="200"/>
        <v>NM</v>
      </c>
      <c r="EM48" s="101">
        <v>35</v>
      </c>
      <c r="EN48" s="860">
        <f t="shared" si="201"/>
        <v>0</v>
      </c>
      <c r="EO48" s="101">
        <v>41</v>
      </c>
      <c r="EP48" s="98" t="str">
        <f t="shared" si="202"/>
        <v>NM</v>
      </c>
      <c r="EQ48" s="1036">
        <f t="shared" ref="EQ48" si="219">EQ46*(EQ56/100*EQ$26/100)</f>
        <v>-9.0678000000000001</v>
      </c>
      <c r="ER48" s="98" t="str">
        <f t="shared" si="204"/>
        <v>NM</v>
      </c>
      <c r="ES48" s="1036">
        <f t="shared" ref="ES48" si="220">ES46*(ES56/100*ES$26/100)</f>
        <v>14.998421495682615</v>
      </c>
      <c r="ET48" s="98" t="str">
        <f t="shared" si="206"/>
        <v>NM</v>
      </c>
      <c r="EU48" s="1036">
        <f t="shared" ref="EU48" si="221">EU46*(EU56/100*EU$26/100)</f>
        <v>15.063325306474111</v>
      </c>
      <c r="EV48" s="98" t="str">
        <f t="shared" si="208"/>
        <v>NM</v>
      </c>
      <c r="EW48" s="1036">
        <f t="shared" ref="EW48" si="222">EW46*(EW56/100*EW$26/100)</f>
        <v>15.110119274821241</v>
      </c>
      <c r="EX48" s="98" t="str">
        <f t="shared" si="210"/>
        <v>NM</v>
      </c>
      <c r="EY48" s="119"/>
      <c r="EZ48" s="594"/>
      <c r="FA48" s="405"/>
      <c r="FB48" s="95"/>
      <c r="FC48" s="98"/>
      <c r="FD48" s="101"/>
      <c r="FE48" s="98"/>
      <c r="FF48" s="118"/>
      <c r="FG48" s="98"/>
      <c r="FH48" s="118"/>
      <c r="FI48" s="98"/>
      <c r="FJ48" s="118"/>
      <c r="FK48" s="98"/>
      <c r="FL48" s="118"/>
      <c r="FM48" s="98"/>
      <c r="FN48" s="118"/>
      <c r="FO48" s="98"/>
      <c r="FP48" s="118"/>
      <c r="FQ48" s="98"/>
      <c r="FR48" s="119"/>
      <c r="FS48" s="120"/>
      <c r="FT48" s="119"/>
      <c r="FU48" s="120"/>
      <c r="FV48" s="119"/>
      <c r="FW48" s="98"/>
      <c r="FX48" s="485"/>
      <c r="FY48" s="98"/>
      <c r="FZ48" s="119"/>
      <c r="GA48" s="98"/>
      <c r="GB48" s="485"/>
      <c r="GC48" s="98"/>
      <c r="GD48" s="119">
        <f>CU48+CW48+CY48+DA48</f>
        <v>69</v>
      </c>
      <c r="GE48" s="98" t="str">
        <f t="shared" si="211"/>
        <v>NA</v>
      </c>
      <c r="GF48" s="119">
        <f>DC48+DE48+DG48+DI48</f>
        <v>131</v>
      </c>
      <c r="GG48" s="98">
        <f t="shared" si="212"/>
        <v>89.85507246376811</v>
      </c>
      <c r="GH48" s="119">
        <f>DK48+DM48+DO48+DQ48</f>
        <v>47</v>
      </c>
      <c r="GI48" s="98" t="str">
        <f t="shared" si="212"/>
        <v>NM</v>
      </c>
      <c r="GJ48" s="119">
        <f>DS48+DU48+DW48+DY48</f>
        <v>5</v>
      </c>
      <c r="GK48" s="98" t="str">
        <f t="shared" si="212"/>
        <v>NM</v>
      </c>
      <c r="GL48" s="119">
        <f>EA48+EC48+EE48+EG48</f>
        <v>57</v>
      </c>
      <c r="GM48" s="98" t="str">
        <f t="shared" si="212"/>
        <v>NM</v>
      </c>
      <c r="GN48" s="119">
        <f>EI48+EK48+EM48+EO48</f>
        <v>154</v>
      </c>
      <c r="GO48" s="98" t="str">
        <f t="shared" si="212"/>
        <v>NM</v>
      </c>
      <c r="GP48" s="119">
        <f>EQ48+ES48+EU48+EW48</f>
        <v>36.104066076977972</v>
      </c>
      <c r="GQ48" s="98" t="str">
        <f t="shared" si="212"/>
        <v>NM</v>
      </c>
      <c r="GR48" s="468">
        <f>GR46*(GR56/100*GR$26/100)</f>
        <v>60.841103613955134</v>
      </c>
      <c r="GS48" s="98">
        <f t="shared" si="212"/>
        <v>68.515932483158508</v>
      </c>
      <c r="GT48" s="468">
        <f>GT46*(GT56/100*GT$26/100)</f>
        <v>62.67695000818906</v>
      </c>
      <c r="GU48" s="98">
        <f t="shared" si="212"/>
        <v>3.0174442690629188</v>
      </c>
      <c r="GV48" s="468">
        <f>GV46*(GV56/100*GV$26/100)</f>
        <v>64.260327298284977</v>
      </c>
      <c r="GW48" s="98">
        <f t="shared" si="212"/>
        <v>2.5262513410257537</v>
      </c>
      <c r="GX48" s="468">
        <f>GX46*(GX56/100*GX$26/100)</f>
        <v>65.573146143980679</v>
      </c>
      <c r="GY48" s="98">
        <f t="shared" si="213"/>
        <v>2.042969435250197</v>
      </c>
      <c r="GZ48" s="98">
        <f t="shared" si="214"/>
        <v>-15.697382325211484</v>
      </c>
      <c r="HA48" s="98"/>
      <c r="HB48" s="10"/>
      <c r="HC48"/>
      <c r="HD48"/>
      <c r="HE48"/>
      <c r="HF48"/>
      <c r="HG48"/>
      <c r="HH48"/>
      <c r="HI48" s="10"/>
    </row>
    <row r="49" spans="2:217" s="2" customFormat="1" ht="12.75" customHeight="1" x14ac:dyDescent="0.2">
      <c r="B49" s="91" t="s">
        <v>307</v>
      </c>
      <c r="C49" s="101"/>
      <c r="D49" s="98"/>
      <c r="E49" s="101"/>
      <c r="F49" s="98"/>
      <c r="G49" s="101"/>
      <c r="H49" s="98"/>
      <c r="I49" s="101"/>
      <c r="J49" s="98"/>
      <c r="K49" s="101"/>
      <c r="L49" s="98"/>
      <c r="M49" s="101"/>
      <c r="N49" s="98"/>
      <c r="O49" s="101"/>
      <c r="P49" s="98"/>
      <c r="Q49" s="101"/>
      <c r="R49" s="98"/>
      <c r="S49" s="101"/>
      <c r="T49" s="98"/>
      <c r="U49" s="101"/>
      <c r="V49" s="98"/>
      <c r="W49" s="101"/>
      <c r="X49" s="98"/>
      <c r="Y49" s="101"/>
      <c r="Z49" s="98"/>
      <c r="AA49" s="101"/>
      <c r="AB49" s="98"/>
      <c r="AC49" s="101"/>
      <c r="AD49" s="98"/>
      <c r="AE49" s="101"/>
      <c r="AF49" s="98"/>
      <c r="AG49" s="101"/>
      <c r="AH49" s="98"/>
      <c r="AI49" s="101"/>
      <c r="AJ49" s="98"/>
      <c r="AK49" s="101"/>
      <c r="AL49" s="98"/>
      <c r="AM49" s="101"/>
      <c r="AN49" s="98"/>
      <c r="AO49" s="101"/>
      <c r="AP49" s="98"/>
      <c r="AQ49" s="101"/>
      <c r="AR49" s="98"/>
      <c r="AS49" s="101"/>
      <c r="AT49" s="98"/>
      <c r="AU49" s="101"/>
      <c r="AV49" s="98"/>
      <c r="AW49" s="101"/>
      <c r="AX49" s="98"/>
      <c r="AY49" s="101"/>
      <c r="AZ49" s="98"/>
      <c r="BA49" s="101"/>
      <c r="BB49" s="98"/>
      <c r="BC49" s="101"/>
      <c r="BD49" s="98"/>
      <c r="BE49" s="101"/>
      <c r="BF49" s="98"/>
      <c r="BG49" s="101"/>
      <c r="BH49" s="98"/>
      <c r="BI49" s="101"/>
      <c r="BJ49" s="98"/>
      <c r="BK49" s="101"/>
      <c r="BL49" s="98"/>
      <c r="BM49" s="101"/>
      <c r="BN49" s="98"/>
      <c r="BO49" s="101"/>
      <c r="BP49" s="98"/>
      <c r="BQ49" s="101"/>
      <c r="BR49" s="98"/>
      <c r="BS49" s="101"/>
      <c r="BT49" s="98"/>
      <c r="BU49" s="101"/>
      <c r="BV49" s="98"/>
      <c r="BW49" s="101"/>
      <c r="BX49" s="98"/>
      <c r="BY49" s="101"/>
      <c r="BZ49" s="98"/>
      <c r="CA49" s="101"/>
      <c r="CB49" s="98"/>
      <c r="CC49" s="101"/>
      <c r="CD49" s="98"/>
      <c r="CE49" s="101"/>
      <c r="CF49" s="98"/>
      <c r="CG49" s="101"/>
      <c r="CH49" s="98"/>
      <c r="CI49" s="101"/>
      <c r="CJ49" s="98"/>
      <c r="CK49" s="101"/>
      <c r="CL49" s="98"/>
      <c r="CM49" s="101"/>
      <c r="CN49" s="98"/>
      <c r="CO49" s="101"/>
      <c r="CP49" s="98"/>
      <c r="CQ49" s="542">
        <v>-8</v>
      </c>
      <c r="CR49" s="98" t="str">
        <f t="shared" si="183"/>
        <v>NA</v>
      </c>
      <c r="CS49" s="101">
        <v>-7</v>
      </c>
      <c r="CT49" s="98" t="str">
        <f t="shared" si="184"/>
        <v>NA</v>
      </c>
      <c r="CU49" s="101">
        <v>-12</v>
      </c>
      <c r="CV49" s="98" t="str">
        <f t="shared" si="185"/>
        <v>NA</v>
      </c>
      <c r="CW49" s="101">
        <v>-10</v>
      </c>
      <c r="CX49" s="98" t="str">
        <f t="shared" si="186"/>
        <v>NA</v>
      </c>
      <c r="CY49" s="101">
        <v>-10</v>
      </c>
      <c r="CZ49" s="98">
        <f t="shared" si="187"/>
        <v>25</v>
      </c>
      <c r="DA49" s="101">
        <v>-14</v>
      </c>
      <c r="DB49" s="98">
        <f t="shared" si="188"/>
        <v>100</v>
      </c>
      <c r="DC49" s="101">
        <v>-13</v>
      </c>
      <c r="DD49" s="98">
        <f t="shared" si="189"/>
        <v>8.333333333333325</v>
      </c>
      <c r="DE49" s="101">
        <v>-11</v>
      </c>
      <c r="DF49" s="98">
        <f t="shared" si="190"/>
        <v>10.000000000000009</v>
      </c>
      <c r="DG49" s="101">
        <v>-12</v>
      </c>
      <c r="DH49" s="98">
        <f t="shared" si="191"/>
        <v>19.999999999999996</v>
      </c>
      <c r="DI49" s="101">
        <v>-11</v>
      </c>
      <c r="DJ49" s="98">
        <f t="shared" si="192"/>
        <v>-21.428571428571431</v>
      </c>
      <c r="DK49" s="101">
        <v>-14</v>
      </c>
      <c r="DL49" s="98">
        <f t="shared" si="193"/>
        <v>7.6923076923076872</v>
      </c>
      <c r="DM49" s="101">
        <v>-9</v>
      </c>
      <c r="DN49" s="98">
        <f t="shared" si="194"/>
        <v>-18.181818181818176</v>
      </c>
      <c r="DO49" s="101">
        <v>-11</v>
      </c>
      <c r="DP49" s="98">
        <f t="shared" si="194"/>
        <v>-8.3333333333333375</v>
      </c>
      <c r="DQ49" s="101">
        <v>-11</v>
      </c>
      <c r="DR49" s="98">
        <f t="shared" si="194"/>
        <v>0</v>
      </c>
      <c r="DS49" s="101">
        <v>-19</v>
      </c>
      <c r="DT49" s="98">
        <f t="shared" si="194"/>
        <v>35.714285714285722</v>
      </c>
      <c r="DU49" s="101">
        <f>-11-1</f>
        <v>-12</v>
      </c>
      <c r="DV49" s="98">
        <f t="shared" si="194"/>
        <v>33.333333333333329</v>
      </c>
      <c r="DW49" s="101">
        <f>-16-1</f>
        <v>-17</v>
      </c>
      <c r="DX49" s="98">
        <f t="shared" si="194"/>
        <v>54.54545454545454</v>
      </c>
      <c r="DY49" s="101">
        <f>-12-1</f>
        <v>-13</v>
      </c>
      <c r="DZ49" s="98">
        <f t="shared" si="194"/>
        <v>18.181818181818187</v>
      </c>
      <c r="EA49" s="101">
        <f>-14-1</f>
        <v>-15</v>
      </c>
      <c r="EB49" s="98">
        <f t="shared" si="195"/>
        <v>-21.052631578947366</v>
      </c>
      <c r="EC49" s="101">
        <f>-12-1</f>
        <v>-13</v>
      </c>
      <c r="ED49" s="98">
        <f t="shared" si="196"/>
        <v>8.333333333333325</v>
      </c>
      <c r="EE49" s="101">
        <v>-13</v>
      </c>
      <c r="EF49" s="860">
        <f t="shared" si="197"/>
        <v>-23.529411764705888</v>
      </c>
      <c r="EG49" s="101">
        <f>-11-1</f>
        <v>-12</v>
      </c>
      <c r="EH49" s="860">
        <f t="shared" si="198"/>
        <v>-7.6923076923076872</v>
      </c>
      <c r="EI49" s="101">
        <f>-17-1</f>
        <v>-18</v>
      </c>
      <c r="EJ49" s="860">
        <f t="shared" si="199"/>
        <v>19.999999999999996</v>
      </c>
      <c r="EK49" s="101">
        <f>-11-1</f>
        <v>-12</v>
      </c>
      <c r="EL49" s="860">
        <f t="shared" si="200"/>
        <v>-7.6923076923076872</v>
      </c>
      <c r="EM49" s="101">
        <f>-19-1</f>
        <v>-20</v>
      </c>
      <c r="EN49" s="860">
        <f t="shared" si="201"/>
        <v>53.846153846153854</v>
      </c>
      <c r="EO49" s="101">
        <f>-17-1</f>
        <v>-18</v>
      </c>
      <c r="EP49" s="98">
        <f t="shared" si="202"/>
        <v>50</v>
      </c>
      <c r="EQ49" s="1023">
        <f t="shared" ref="EQ49" si="223">EQ46*(-EQ54/400)</f>
        <v>-18.672112018669779</v>
      </c>
      <c r="ER49" s="98">
        <f t="shared" si="204"/>
        <v>3.7339556592765444</v>
      </c>
      <c r="ES49" s="1023">
        <f t="shared" ref="ES49" si="224">ES46*(-ES54/400)</f>
        <v>-18.530550272653379</v>
      </c>
      <c r="ET49" s="98">
        <f t="shared" si="206"/>
        <v>54.421252272111495</v>
      </c>
      <c r="EU49" s="1023">
        <f t="shared" ref="EU49" si="225">EU46*(-EU54/400)</f>
        <v>-18.610738933113733</v>
      </c>
      <c r="EV49" s="98">
        <f t="shared" si="208"/>
        <v>-6.9463053344313348</v>
      </c>
      <c r="EW49" s="1023">
        <f t="shared" ref="EW49" si="226">EW46*(-EW54/400)</f>
        <v>-18.668552882612556</v>
      </c>
      <c r="EX49" s="98">
        <f t="shared" si="210"/>
        <v>3.7141826811808665</v>
      </c>
      <c r="EY49" s="119"/>
      <c r="EZ49" s="594"/>
      <c r="FA49" s="405"/>
      <c r="FB49" s="95"/>
      <c r="FC49" s="98"/>
      <c r="FD49" s="101"/>
      <c r="FE49" s="98"/>
      <c r="FF49" s="118"/>
      <c r="FG49" s="98"/>
      <c r="FH49" s="118"/>
      <c r="FI49" s="98"/>
      <c r="FJ49" s="118"/>
      <c r="FK49" s="98"/>
      <c r="FL49" s="118"/>
      <c r="FM49" s="98"/>
      <c r="FN49" s="118"/>
      <c r="FO49" s="98"/>
      <c r="FP49" s="118"/>
      <c r="FQ49" s="98"/>
      <c r="FR49" s="119"/>
      <c r="FS49" s="120"/>
      <c r="FT49" s="119"/>
      <c r="FU49" s="120"/>
      <c r="FV49" s="119"/>
      <c r="FW49" s="98"/>
      <c r="FX49" s="485"/>
      <c r="FY49" s="98"/>
      <c r="FZ49" s="119"/>
      <c r="GA49" s="98"/>
      <c r="GB49" s="485"/>
      <c r="GC49" s="98"/>
      <c r="GD49" s="119">
        <f>CU49+CW49+CY49+DA49</f>
        <v>-46</v>
      </c>
      <c r="GE49" s="98" t="str">
        <f t="shared" si="211"/>
        <v>NA</v>
      </c>
      <c r="GF49" s="119">
        <f>DC49+DE49+DG49+DI49</f>
        <v>-47</v>
      </c>
      <c r="GG49" s="98">
        <f t="shared" si="212"/>
        <v>2.1739130434782705</v>
      </c>
      <c r="GH49" s="119">
        <f>DK49+DM49+DO49+DQ49</f>
        <v>-45</v>
      </c>
      <c r="GI49" s="98">
        <f t="shared" si="212"/>
        <v>-4.2553191489361648</v>
      </c>
      <c r="GJ49" s="119">
        <f>DS49+DU49+DW49+DY49</f>
        <v>-61</v>
      </c>
      <c r="GK49" s="98">
        <f t="shared" si="212"/>
        <v>35.555555555555564</v>
      </c>
      <c r="GL49" s="119">
        <f>EA49+EC49+EE49+EG49</f>
        <v>-53</v>
      </c>
      <c r="GM49" s="98">
        <f t="shared" si="212"/>
        <v>-13.11475409836066</v>
      </c>
      <c r="GN49" s="119">
        <f>EI49+EK49+EM49+EO49</f>
        <v>-68</v>
      </c>
      <c r="GO49" s="98">
        <f t="shared" si="212"/>
        <v>28.301886792452823</v>
      </c>
      <c r="GP49" s="119">
        <f>EQ49+ES49+EU49+EW49</f>
        <v>-74.481954107049447</v>
      </c>
      <c r="GQ49" s="98">
        <f t="shared" si="212"/>
        <v>9.5322854515432986</v>
      </c>
      <c r="GR49" s="119">
        <f>GR46*(-GR54/100)</f>
        <v>-74.9613625222796</v>
      </c>
      <c r="GS49" s="98">
        <f t="shared" si="212"/>
        <v>0.6436571394745183</v>
      </c>
      <c r="GT49" s="119">
        <f>GT46*(-GT54/100)</f>
        <v>-77.223279859719611</v>
      </c>
      <c r="GU49" s="98">
        <f t="shared" si="212"/>
        <v>3.0174442690629188</v>
      </c>
      <c r="GV49" s="119">
        <f>GV46*(-GV54/100)</f>
        <v>-79.174134002759843</v>
      </c>
      <c r="GW49" s="98">
        <f t="shared" si="212"/>
        <v>2.5262513410257537</v>
      </c>
      <c r="GX49" s="119">
        <f>GX46*(-GX54/100)</f>
        <v>-80.791637361060268</v>
      </c>
      <c r="GY49" s="98">
        <f t="shared" si="213"/>
        <v>2.042969435250197</v>
      </c>
      <c r="GZ49" s="98">
        <f t="shared" si="214"/>
        <v>3.5074237706377742</v>
      </c>
      <c r="HA49" s="98"/>
      <c r="HB49" s="10"/>
      <c r="HC49"/>
      <c r="HD49"/>
      <c r="HE49"/>
      <c r="HF49"/>
      <c r="HG49"/>
      <c r="HH49"/>
      <c r="HI49" s="10"/>
    </row>
    <row r="50" spans="2:217" s="2" customFormat="1" ht="12.75" customHeight="1" x14ac:dyDescent="0.2">
      <c r="B50" s="91" t="s">
        <v>368</v>
      </c>
      <c r="C50" s="101"/>
      <c r="D50" s="113"/>
      <c r="E50" s="101"/>
      <c r="F50" s="113"/>
      <c r="G50" s="101"/>
      <c r="H50" s="113"/>
      <c r="I50" s="101"/>
      <c r="J50" s="98"/>
      <c r="K50" s="101"/>
      <c r="L50" s="98"/>
      <c r="M50" s="101"/>
      <c r="N50" s="98"/>
      <c r="O50" s="101"/>
      <c r="P50" s="98"/>
      <c r="Q50" s="101"/>
      <c r="R50" s="98"/>
      <c r="S50" s="101"/>
      <c r="T50" s="98"/>
      <c r="U50" s="101"/>
      <c r="V50" s="98"/>
      <c r="W50" s="101"/>
      <c r="X50" s="98"/>
      <c r="Y50" s="101"/>
      <c r="Z50" s="98"/>
      <c r="AA50" s="101"/>
      <c r="AB50" s="98"/>
      <c r="AC50" s="101"/>
      <c r="AD50" s="98"/>
      <c r="AE50" s="101"/>
      <c r="AF50" s="98"/>
      <c r="AG50" s="101"/>
      <c r="AH50" s="98"/>
      <c r="AI50" s="101"/>
      <c r="AJ50" s="98"/>
      <c r="AK50" s="101"/>
      <c r="AL50" s="98"/>
      <c r="AM50" s="101"/>
      <c r="AN50" s="98"/>
      <c r="AO50" s="101"/>
      <c r="AP50" s="98"/>
      <c r="AQ50" s="101"/>
      <c r="AR50" s="98"/>
      <c r="AS50" s="101"/>
      <c r="AT50" s="98"/>
      <c r="AU50" s="101"/>
      <c r="AV50" s="98"/>
      <c r="AW50" s="101"/>
      <c r="AX50" s="98"/>
      <c r="AY50" s="101"/>
      <c r="AZ50" s="98"/>
      <c r="BA50" s="101"/>
      <c r="BB50" s="98"/>
      <c r="BC50" s="101"/>
      <c r="BD50" s="98"/>
      <c r="BE50" s="101"/>
      <c r="BF50" s="98"/>
      <c r="BG50" s="101"/>
      <c r="BH50" s="98"/>
      <c r="BI50" s="101"/>
      <c r="BJ50" s="98"/>
      <c r="BK50" s="101"/>
      <c r="BL50" s="98"/>
      <c r="BM50" s="101"/>
      <c r="BN50" s="98"/>
      <c r="BO50" s="101"/>
      <c r="BP50" s="98"/>
      <c r="BQ50" s="101"/>
      <c r="BR50" s="98"/>
      <c r="BS50" s="101"/>
      <c r="BT50" s="98"/>
      <c r="BU50" s="101"/>
      <c r="BV50" s="98"/>
      <c r="BW50" s="101"/>
      <c r="BX50" s="98"/>
      <c r="BY50" s="101"/>
      <c r="BZ50" s="98"/>
      <c r="CA50" s="101"/>
      <c r="CB50" s="98"/>
      <c r="CC50" s="101"/>
      <c r="CD50" s="98"/>
      <c r="CE50" s="101"/>
      <c r="CF50" s="98"/>
      <c r="CG50" s="101"/>
      <c r="CH50" s="98"/>
      <c r="CI50" s="101"/>
      <c r="CJ50" s="98"/>
      <c r="CK50" s="101"/>
      <c r="CL50" s="98"/>
      <c r="CM50" s="101"/>
      <c r="CN50" s="98"/>
      <c r="CO50" s="101"/>
      <c r="CP50" s="98"/>
      <c r="CQ50" s="542">
        <f>-3-38</f>
        <v>-41</v>
      </c>
      <c r="CR50" s="98" t="str">
        <f t="shared" si="183"/>
        <v>NA</v>
      </c>
      <c r="CS50" s="101">
        <f>-2-38</f>
        <v>-40</v>
      </c>
      <c r="CT50" s="98" t="str">
        <f t="shared" si="184"/>
        <v>NA</v>
      </c>
      <c r="CU50" s="101">
        <f>-1-39</f>
        <v>-40</v>
      </c>
      <c r="CV50" s="98" t="str">
        <f t="shared" si="185"/>
        <v>NA</v>
      </c>
      <c r="CW50" s="101">
        <f>-1+1-40-1</f>
        <v>-41</v>
      </c>
      <c r="CX50" s="98" t="str">
        <f t="shared" si="186"/>
        <v>NA</v>
      </c>
      <c r="CY50" s="101">
        <f>-1-39-1</f>
        <v>-41</v>
      </c>
      <c r="CZ50" s="98">
        <f>IF(ISERROR((CY50/CQ50-1)*100),"NA",IF(((CY50/CQ50-1)*100)&gt;100,"NM",IF(((CY50/CQ50-1)*100)&lt;-50,"NM",(CY50/CQ50-1)*100)))</f>
        <v>0</v>
      </c>
      <c r="DA50" s="101">
        <f>-1-1-40</f>
        <v>-42</v>
      </c>
      <c r="DB50" s="98">
        <f>IF(ISERROR((DA50/CS50-1)*100),"NA",IF(((DA50/CS50-1)*100)&gt;100,"NM",IF(((DA50/CS50-1)*100)&lt;-50,"NM",(DA50/CS50-1)*100)))</f>
        <v>5.0000000000000044</v>
      </c>
      <c r="DC50" s="101">
        <f>-1-41-1</f>
        <v>-43</v>
      </c>
      <c r="DD50" s="98">
        <f>IF(ISERROR((DC50/CU50-1)*100),"NA",IF(((DC50/CU50-1)*100)&gt;100,"NM",IF(((DC50/CU50-1)*100)&lt;-50,"NM",(DC50/CU50-1)*100)))</f>
        <v>7.4999999999999956</v>
      </c>
      <c r="DE50" s="101">
        <f>-1-42-1</f>
        <v>-44</v>
      </c>
      <c r="DF50" s="98">
        <f>IF(ISERROR((DE50/CW50-1)*100),"NA",IF(((DE50/CW50-1)*100)&gt;100,"NM",IF(((DE50/CW50-1)*100)&lt;-50,"NM",(DE50/CW50-1)*100)))</f>
        <v>7.3170731707317138</v>
      </c>
      <c r="DG50" s="101">
        <f>-42-1</f>
        <v>-43</v>
      </c>
      <c r="DH50" s="98">
        <f>IF(ISERROR((DG50/CY50-1)*100),"NA",IF(((DG50/CY50-1)*100)&gt;100,"NM",IF(((DG50/CY50-1)*100)&lt;-50,"NM",(DG50/CY50-1)*100)))</f>
        <v>4.8780487804878092</v>
      </c>
      <c r="DI50" s="101">
        <f>-42-1</f>
        <v>-43</v>
      </c>
      <c r="DJ50" s="98">
        <f t="shared" si="192"/>
        <v>2.3809523809523725</v>
      </c>
      <c r="DK50" s="101">
        <f>-1-44-2</f>
        <v>-47</v>
      </c>
      <c r="DL50" s="98">
        <f t="shared" si="193"/>
        <v>9.302325581395344</v>
      </c>
      <c r="DM50" s="101">
        <f>-2-45-1</f>
        <v>-48</v>
      </c>
      <c r="DN50" s="98">
        <f t="shared" si="194"/>
        <v>9.0909090909090828</v>
      </c>
      <c r="DO50" s="101">
        <f>-1-45-2</f>
        <v>-48</v>
      </c>
      <c r="DP50" s="98">
        <f t="shared" si="194"/>
        <v>11.627906976744185</v>
      </c>
      <c r="DQ50" s="101">
        <f>-1+-44</f>
        <v>-45</v>
      </c>
      <c r="DR50" s="98">
        <f t="shared" si="194"/>
        <v>4.6511627906976827</v>
      </c>
      <c r="DS50" s="101">
        <f>-46-2</f>
        <v>-48</v>
      </c>
      <c r="DT50" s="98">
        <f t="shared" si="194"/>
        <v>2.1276595744680771</v>
      </c>
      <c r="DU50" s="101">
        <f>-46-3</f>
        <v>-49</v>
      </c>
      <c r="DV50" s="98">
        <f t="shared" si="194"/>
        <v>2.0833333333333259</v>
      </c>
      <c r="DW50" s="101">
        <f>-47-3</f>
        <v>-50</v>
      </c>
      <c r="DX50" s="98">
        <f t="shared" si="194"/>
        <v>4.1666666666666741</v>
      </c>
      <c r="DY50" s="101">
        <f>-47-2</f>
        <v>-49</v>
      </c>
      <c r="DZ50" s="98">
        <f t="shared" si="194"/>
        <v>8.8888888888888786</v>
      </c>
      <c r="EA50" s="101">
        <f>-47-2</f>
        <v>-49</v>
      </c>
      <c r="EB50" s="98">
        <f t="shared" si="195"/>
        <v>2.0833333333333259</v>
      </c>
      <c r="EC50" s="101">
        <f>-48-3</f>
        <v>-51</v>
      </c>
      <c r="ED50" s="98">
        <f t="shared" si="196"/>
        <v>4.081632653061229</v>
      </c>
      <c r="EE50" s="101">
        <f>-50-4</f>
        <v>-54</v>
      </c>
      <c r="EF50" s="860">
        <f t="shared" si="197"/>
        <v>8.0000000000000071</v>
      </c>
      <c r="EG50" s="101">
        <v>-49</v>
      </c>
      <c r="EH50" s="860">
        <f t="shared" si="198"/>
        <v>0</v>
      </c>
      <c r="EI50" s="101">
        <f>-51+7+1</f>
        <v>-43</v>
      </c>
      <c r="EJ50" s="860">
        <f t="shared" si="199"/>
        <v>-12.244897959183676</v>
      </c>
      <c r="EK50" s="101">
        <f>-51-2</f>
        <v>-53</v>
      </c>
      <c r="EL50" s="860">
        <f t="shared" si="200"/>
        <v>3.9215686274509887</v>
      </c>
      <c r="EM50" s="101">
        <f>-52-2-2</f>
        <v>-56</v>
      </c>
      <c r="EN50" s="860">
        <f t="shared" si="201"/>
        <v>3.7037037037036979</v>
      </c>
      <c r="EO50" s="101">
        <f>-51-2</f>
        <v>-53</v>
      </c>
      <c r="EP50" s="98">
        <f t="shared" si="202"/>
        <v>8.163265306122458</v>
      </c>
      <c r="EQ50" s="952">
        <f t="shared" ref="EQ50" si="227">EI50*1.05</f>
        <v>-45.15</v>
      </c>
      <c r="ER50" s="98">
        <f t="shared" si="204"/>
        <v>5.0000000000000044</v>
      </c>
      <c r="ES50" s="952">
        <f t="shared" ref="ES50" si="228">EK50*1.05</f>
        <v>-55.650000000000006</v>
      </c>
      <c r="ET50" s="98">
        <f t="shared" si="206"/>
        <v>5.0000000000000044</v>
      </c>
      <c r="EU50" s="952">
        <f t="shared" ref="EU50" si="229">EM50*1.05</f>
        <v>-58.800000000000004</v>
      </c>
      <c r="EV50" s="98">
        <f t="shared" si="208"/>
        <v>5.0000000000000044</v>
      </c>
      <c r="EW50" s="952">
        <f t="shared" ref="EW50" si="230">EO50*1.05</f>
        <v>-55.650000000000006</v>
      </c>
      <c r="EX50" s="98">
        <f t="shared" si="210"/>
        <v>5.0000000000000044</v>
      </c>
      <c r="EY50" s="122"/>
      <c r="EZ50" s="594"/>
      <c r="FA50" s="405"/>
      <c r="FB50" s="101"/>
      <c r="FC50" s="113"/>
      <c r="FD50" s="101"/>
      <c r="FE50" s="98"/>
      <c r="FF50" s="101"/>
      <c r="FG50" s="98"/>
      <c r="FH50" s="101"/>
      <c r="FI50" s="98"/>
      <c r="FJ50" s="101"/>
      <c r="FK50" s="98"/>
      <c r="FL50" s="101"/>
      <c r="FM50" s="98"/>
      <c r="FN50" s="118"/>
      <c r="FO50" s="98"/>
      <c r="FP50" s="118"/>
      <c r="FQ50" s="98"/>
      <c r="FR50" s="123"/>
      <c r="FS50" s="120"/>
      <c r="FT50" s="123"/>
      <c r="FU50" s="120"/>
      <c r="FV50" s="123"/>
      <c r="FW50" s="98"/>
      <c r="FX50" s="485"/>
      <c r="FY50" s="98"/>
      <c r="FZ50" s="119"/>
      <c r="GA50" s="98"/>
      <c r="GB50" s="485"/>
      <c r="GC50" s="98"/>
      <c r="GD50" s="119">
        <f>CU50+CW50+CY50+DA50</f>
        <v>-164</v>
      </c>
      <c r="GE50" s="98" t="str">
        <f t="shared" si="211"/>
        <v>NA</v>
      </c>
      <c r="GF50" s="119">
        <f>DC50+DE50+DG50+DI50</f>
        <v>-173</v>
      </c>
      <c r="GG50" s="98">
        <f t="shared" si="212"/>
        <v>5.4878048780487854</v>
      </c>
      <c r="GH50" s="119">
        <f>DK50+DM50+DO50+DQ50</f>
        <v>-188</v>
      </c>
      <c r="GI50" s="98">
        <f t="shared" si="212"/>
        <v>8.6705202312138638</v>
      </c>
      <c r="GJ50" s="119">
        <f>DS50+DU50+DW50+DY50</f>
        <v>-196</v>
      </c>
      <c r="GK50" s="98">
        <f t="shared" si="212"/>
        <v>4.2553191489361764</v>
      </c>
      <c r="GL50" s="119">
        <f>EA50+EC50+EE50+EG50</f>
        <v>-203</v>
      </c>
      <c r="GM50" s="98">
        <f t="shared" si="212"/>
        <v>3.5714285714285809</v>
      </c>
      <c r="GN50" s="119">
        <f>EI50+EK50+EM50+EO50</f>
        <v>-205</v>
      </c>
      <c r="GO50" s="98">
        <f t="shared" si="212"/>
        <v>0.98522167487684609</v>
      </c>
      <c r="GP50" s="119">
        <f>EQ50+ES50+EU50+EW50</f>
        <v>-215.25000000000003</v>
      </c>
      <c r="GQ50" s="98">
        <f t="shared" si="212"/>
        <v>5.0000000000000044</v>
      </c>
      <c r="GR50" s="122">
        <f>GP50*1.05</f>
        <v>-226.01250000000005</v>
      </c>
      <c r="GS50" s="98">
        <f t="shared" si="212"/>
        <v>5.0000000000000044</v>
      </c>
      <c r="GT50" s="122">
        <f>GR50*1.05</f>
        <v>-237.31312500000007</v>
      </c>
      <c r="GU50" s="98">
        <f t="shared" si="212"/>
        <v>5.0000000000000044</v>
      </c>
      <c r="GV50" s="122">
        <f>GT50*1.05</f>
        <v>-249.17878125000007</v>
      </c>
      <c r="GW50" s="98">
        <f t="shared" si="212"/>
        <v>5.0000000000000044</v>
      </c>
      <c r="GX50" s="122">
        <f>GV50*1.05</f>
        <v>-261.63772031250011</v>
      </c>
      <c r="GY50" s="98">
        <f t="shared" si="213"/>
        <v>5.0000000000000044</v>
      </c>
      <c r="GZ50" s="98">
        <f t="shared" si="214"/>
        <v>5.0000000000000044</v>
      </c>
      <c r="HA50" s="98"/>
      <c r="HB50" s="10"/>
      <c r="HC50"/>
      <c r="HD50"/>
      <c r="HE50"/>
      <c r="HF50"/>
      <c r="HG50"/>
      <c r="HH50"/>
      <c r="HI50" s="10"/>
    </row>
    <row r="51" spans="2:217" s="2" customFormat="1" ht="12.75" customHeight="1" x14ac:dyDescent="0.2">
      <c r="B51" s="91" t="s">
        <v>617</v>
      </c>
      <c r="C51" s="117"/>
      <c r="D51" s="98"/>
      <c r="E51" s="117"/>
      <c r="F51" s="98"/>
      <c r="G51" s="117"/>
      <c r="H51" s="98"/>
      <c r="I51" s="117"/>
      <c r="J51" s="98"/>
      <c r="K51" s="117"/>
      <c r="L51" s="98"/>
      <c r="M51" s="117"/>
      <c r="N51" s="98"/>
      <c r="O51" s="117"/>
      <c r="P51" s="98"/>
      <c r="Q51" s="117"/>
      <c r="R51" s="98"/>
      <c r="S51" s="117"/>
      <c r="T51" s="98"/>
      <c r="U51" s="117"/>
      <c r="V51" s="98"/>
      <c r="W51" s="117"/>
      <c r="X51" s="98"/>
      <c r="Y51" s="117"/>
      <c r="Z51" s="98"/>
      <c r="AA51" s="117"/>
      <c r="AB51" s="98"/>
      <c r="AC51" s="117"/>
      <c r="AD51" s="98"/>
      <c r="AE51" s="117"/>
      <c r="AF51" s="98"/>
      <c r="AG51" s="117"/>
      <c r="AH51" s="98"/>
      <c r="AI51" s="117"/>
      <c r="AJ51" s="98"/>
      <c r="AK51" s="117"/>
      <c r="AL51" s="98"/>
      <c r="AM51" s="117"/>
      <c r="AN51" s="98"/>
      <c r="AO51" s="117"/>
      <c r="AP51" s="98"/>
      <c r="AQ51" s="117"/>
      <c r="AR51" s="98"/>
      <c r="AS51" s="117"/>
      <c r="AT51" s="98"/>
      <c r="AU51" s="117"/>
      <c r="AV51" s="98"/>
      <c r="AW51" s="117"/>
      <c r="AX51" s="98"/>
      <c r="AY51" s="117"/>
      <c r="AZ51" s="98"/>
      <c r="BA51" s="117"/>
      <c r="BB51" s="98"/>
      <c r="BC51" s="117"/>
      <c r="BD51" s="98"/>
      <c r="BE51" s="117"/>
      <c r="BF51" s="98"/>
      <c r="BG51" s="117"/>
      <c r="BH51" s="98"/>
      <c r="BI51" s="117"/>
      <c r="BJ51" s="98"/>
      <c r="BK51" s="117"/>
      <c r="BL51" s="98"/>
      <c r="BM51" s="117"/>
      <c r="BN51" s="98"/>
      <c r="BO51" s="117"/>
      <c r="BP51" s="98"/>
      <c r="BQ51" s="117"/>
      <c r="BR51" s="98"/>
      <c r="BS51" s="117"/>
      <c r="BT51" s="98"/>
      <c r="BU51" s="117"/>
      <c r="BV51" s="98"/>
      <c r="BW51" s="117"/>
      <c r="BX51" s="98"/>
      <c r="BY51" s="117"/>
      <c r="BZ51" s="98"/>
      <c r="CA51" s="117"/>
      <c r="CB51" s="98"/>
      <c r="CC51" s="117"/>
      <c r="CD51" s="98"/>
      <c r="CE51" s="117"/>
      <c r="CF51" s="98"/>
      <c r="CG51" s="117"/>
      <c r="CH51" s="98"/>
      <c r="CI51" s="117"/>
      <c r="CJ51" s="98"/>
      <c r="CK51" s="117"/>
      <c r="CL51" s="98"/>
      <c r="CM51" s="117"/>
      <c r="CN51" s="98"/>
      <c r="CO51" s="117"/>
      <c r="CP51" s="98"/>
      <c r="CQ51" s="486">
        <f>CQ46+CQ47+CQ48+CQ49+CQ50</f>
        <v>444</v>
      </c>
      <c r="CR51" s="98" t="str">
        <f t="shared" si="183"/>
        <v>NA</v>
      </c>
      <c r="CS51" s="117">
        <f>CS46+CS47+CS48+CS49+CS50</f>
        <v>478</v>
      </c>
      <c r="CT51" s="98" t="str">
        <f t="shared" si="184"/>
        <v>NA</v>
      </c>
      <c r="CU51" s="117">
        <f>CU46+CU47+CU48+CU49+CU50</f>
        <v>528</v>
      </c>
      <c r="CV51" s="98" t="str">
        <f t="shared" si="185"/>
        <v>NA</v>
      </c>
      <c r="CW51" s="117">
        <f>CW46+CW47+CW48+CW49+CW50</f>
        <v>508</v>
      </c>
      <c r="CX51" s="98" t="str">
        <f t="shared" si="186"/>
        <v>NA</v>
      </c>
      <c r="CY51" s="117">
        <f>CY46+CY47+CY48+CY49+CY50</f>
        <v>533</v>
      </c>
      <c r="CZ51" s="98">
        <f t="shared" si="187"/>
        <v>20.04504504504505</v>
      </c>
      <c r="DA51" s="117">
        <f>DA46+DA47+DA48+DA49+DA50</f>
        <v>532</v>
      </c>
      <c r="DB51" s="98">
        <f t="shared" si="188"/>
        <v>11.297071129707103</v>
      </c>
      <c r="DC51" s="117">
        <f>DC46+DC47+DC48+DC49+DC50</f>
        <v>562</v>
      </c>
      <c r="DD51" s="98">
        <f t="shared" si="189"/>
        <v>6.4393939393939448</v>
      </c>
      <c r="DE51" s="117">
        <f>DE46+DE47+DE48+DE49+DE50</f>
        <v>566</v>
      </c>
      <c r="DF51" s="98">
        <f t="shared" si="190"/>
        <v>11.41732283464567</v>
      </c>
      <c r="DG51" s="117">
        <f>DG46+DG47+DG48+DG49+DG50</f>
        <v>602</v>
      </c>
      <c r="DH51" s="98">
        <f t="shared" si="191"/>
        <v>12.945590994371493</v>
      </c>
      <c r="DI51" s="117">
        <f>DI46+DI47+DI48+DI49+DI50</f>
        <v>644</v>
      </c>
      <c r="DJ51" s="98">
        <f t="shared" si="192"/>
        <v>21.052631578947366</v>
      </c>
      <c r="DK51" s="117">
        <f>DK46+DK47+DK48+DK49+DK50</f>
        <v>646</v>
      </c>
      <c r="DL51" s="98">
        <f t="shared" si="193"/>
        <v>14.946619217081846</v>
      </c>
      <c r="DM51" s="117">
        <f>DM46+DM47+DM48+DM49+DM50</f>
        <v>667</v>
      </c>
      <c r="DN51" s="98">
        <f t="shared" si="194"/>
        <v>17.844522968197872</v>
      </c>
      <c r="DO51" s="117">
        <f>DO46+DO47+DO48+DO49+DO50</f>
        <v>656</v>
      </c>
      <c r="DP51" s="98">
        <f t="shared" si="194"/>
        <v>8.9700996677740896</v>
      </c>
      <c r="DQ51" s="117">
        <f>DQ46+DQ47+DQ48+DQ49+DQ50</f>
        <v>669</v>
      </c>
      <c r="DR51" s="98">
        <f t="shared" si="194"/>
        <v>3.8819875776397561</v>
      </c>
      <c r="DS51" s="117">
        <f>DS46+DS47+DS48+DS49+DS50</f>
        <v>677</v>
      </c>
      <c r="DT51" s="98">
        <f t="shared" si="194"/>
        <v>4.7987616099071317</v>
      </c>
      <c r="DU51" s="117">
        <f>DU46+DU47+DU48+DU49+DU50</f>
        <v>674</v>
      </c>
      <c r="DV51" s="98">
        <f t="shared" si="194"/>
        <v>1.0494752623688264</v>
      </c>
      <c r="DW51" s="117">
        <f>DW46+DW47+DW48+DW49+DW50</f>
        <v>614</v>
      </c>
      <c r="DX51" s="98">
        <f t="shared" si="194"/>
        <v>-6.4024390243902385</v>
      </c>
      <c r="DY51" s="117">
        <f>DY46+DY47+DY48+DY49+DY50</f>
        <v>638</v>
      </c>
      <c r="DZ51" s="98">
        <f t="shared" si="194"/>
        <v>-4.6337817638266054</v>
      </c>
      <c r="EA51" s="117">
        <f>EA46+EA47+EA48+EA49+EA50</f>
        <v>625</v>
      </c>
      <c r="EB51" s="98">
        <f t="shared" si="195"/>
        <v>-7.6809453471196498</v>
      </c>
      <c r="EC51" s="117">
        <f>EC46+EC47+EC48+EC49+EC50</f>
        <v>628</v>
      </c>
      <c r="ED51" s="98">
        <f t="shared" si="196"/>
        <v>-6.8249258160237414</v>
      </c>
      <c r="EE51" s="117">
        <f>EE46+EE47+EE48+EE49+EE50</f>
        <v>749</v>
      </c>
      <c r="EF51" s="860">
        <f t="shared" si="197"/>
        <v>21.986970684039097</v>
      </c>
      <c r="EG51" s="117">
        <f>EG46+EG47+EG48+EG49+EG50</f>
        <v>761</v>
      </c>
      <c r="EH51" s="860">
        <f t="shared" si="198"/>
        <v>19.278996865203759</v>
      </c>
      <c r="EI51" s="117">
        <f>EI46+EI47+EI48+EI49+EI50</f>
        <v>810</v>
      </c>
      <c r="EJ51" s="860">
        <f t="shared" si="199"/>
        <v>29.600000000000005</v>
      </c>
      <c r="EK51" s="117">
        <f>EK46+EK47+EK48+EK49+EK50</f>
        <v>836</v>
      </c>
      <c r="EL51" s="860">
        <f t="shared" si="200"/>
        <v>33.121019108280251</v>
      </c>
      <c r="EM51" s="117">
        <f>EM46+EM47+EM48+EM49+EM50</f>
        <v>857</v>
      </c>
      <c r="EN51" s="860">
        <f t="shared" si="201"/>
        <v>14.4192256341789</v>
      </c>
      <c r="EO51" s="117">
        <f>EO46+EO47+EO48+EO49+EO50</f>
        <v>889</v>
      </c>
      <c r="EP51" s="98">
        <f t="shared" si="202"/>
        <v>16.819973718791069</v>
      </c>
      <c r="EQ51" s="1031">
        <f t="shared" ref="EQ51" si="231">EQ46+EQ47+EQ48+EQ49+EQ50</f>
        <v>882.26008798133023</v>
      </c>
      <c r="ER51" s="98">
        <f t="shared" si="204"/>
        <v>8.9209985162136185</v>
      </c>
      <c r="ES51" s="1031">
        <f t="shared" ref="ES51" si="232">ES46+ES47+ES48+ES49+ES50</f>
        <v>886.07795920435944</v>
      </c>
      <c r="ET51" s="98">
        <f t="shared" si="206"/>
        <v>5.9901865076984917</v>
      </c>
      <c r="EU51" s="1031">
        <f t="shared" ref="EU51" si="233">EU46+EU47+EU48+EU49+EU50</f>
        <v>888.83054557771993</v>
      </c>
      <c r="EV51" s="98">
        <f t="shared" si="208"/>
        <v>3.7141826811808665</v>
      </c>
      <c r="EW51" s="1031">
        <f t="shared" ref="EW51" si="234">EW46+EW47+EW48+EW49+EW50</f>
        <v>894.72211196992873</v>
      </c>
      <c r="EX51" s="98">
        <f t="shared" si="210"/>
        <v>0.64365713947454051</v>
      </c>
      <c r="EY51" s="118"/>
      <c r="EZ51" s="594"/>
      <c r="FA51" s="405"/>
      <c r="FB51" s="101"/>
      <c r="FC51" s="98"/>
      <c r="FD51" s="117"/>
      <c r="FE51" s="98"/>
      <c r="FF51" s="118"/>
      <c r="FG51" s="98"/>
      <c r="FH51" s="118"/>
      <c r="FI51" s="98"/>
      <c r="FJ51" s="118"/>
      <c r="FK51" s="98"/>
      <c r="FL51" s="118"/>
      <c r="FM51" s="98"/>
      <c r="FN51" s="118"/>
      <c r="FO51" s="98"/>
      <c r="FP51" s="118"/>
      <c r="FQ51" s="98"/>
      <c r="FR51" s="119"/>
      <c r="FS51" s="120"/>
      <c r="FT51" s="119"/>
      <c r="FU51" s="120"/>
      <c r="FV51" s="119"/>
      <c r="FW51" s="98"/>
      <c r="FX51" s="486"/>
      <c r="FY51" s="98"/>
      <c r="FZ51" s="117"/>
      <c r="GA51" s="98"/>
      <c r="GB51" s="486"/>
      <c r="GC51" s="98"/>
      <c r="GD51" s="117">
        <f>GD46+GD47+GD48+GD49+GD50</f>
        <v>532</v>
      </c>
      <c r="GE51" s="98" t="str">
        <f t="shared" si="211"/>
        <v>NA</v>
      </c>
      <c r="GF51" s="117">
        <f>GF46+GF47+GF48+GF49+GF50</f>
        <v>644</v>
      </c>
      <c r="GG51" s="98">
        <f t="shared" si="212"/>
        <v>21.052631578947366</v>
      </c>
      <c r="GH51" s="117">
        <f>GH46+GH47+GH48+GH49+GH50</f>
        <v>669</v>
      </c>
      <c r="GI51" s="98">
        <f t="shared" si="212"/>
        <v>3.8819875776397561</v>
      </c>
      <c r="GJ51" s="117">
        <f>GJ46+GJ47+GJ48+GJ49+GJ50</f>
        <v>638</v>
      </c>
      <c r="GK51" s="98">
        <f t="shared" si="212"/>
        <v>-4.6337817638266054</v>
      </c>
      <c r="GL51" s="117">
        <f>GL46+GL47+GL48+GL49+GL50</f>
        <v>761</v>
      </c>
      <c r="GM51" s="98">
        <f t="shared" si="212"/>
        <v>19.278996865203759</v>
      </c>
      <c r="GN51" s="117">
        <f>GN46+GN47+GN48+GN49+GN50</f>
        <v>889</v>
      </c>
      <c r="GO51" s="98">
        <f t="shared" si="212"/>
        <v>16.819973718791069</v>
      </c>
      <c r="GP51" s="117">
        <f>GP46+GP47+GP48+GP49+GP50</f>
        <v>894.72211196992839</v>
      </c>
      <c r="GQ51" s="98">
        <f t="shared" si="212"/>
        <v>0.6436571394745183</v>
      </c>
      <c r="GR51" s="117">
        <f>GR46+GR47+GR48+GR49+GR50</f>
        <v>921.71985306160377</v>
      </c>
      <c r="GS51" s="98">
        <f t="shared" si="212"/>
        <v>3.0174442690629188</v>
      </c>
      <c r="GT51" s="117">
        <f>GT46+GT47+GT48+GT49+GT50</f>
        <v>945.00481321007305</v>
      </c>
      <c r="GU51" s="98">
        <f t="shared" si="212"/>
        <v>2.5262513410257537</v>
      </c>
      <c r="GV51" s="117">
        <f>GV46+GV47+GV48+GV49+GV50</f>
        <v>964.31097270559815</v>
      </c>
      <c r="GW51" s="98">
        <f t="shared" si="212"/>
        <v>2.042969435250197</v>
      </c>
      <c r="GX51" s="117">
        <f>GX46+GX47+GX48+GX49+GX50</f>
        <v>979.35547104951843</v>
      </c>
      <c r="GY51" s="98">
        <f t="shared" si="213"/>
        <v>1.560129332730642</v>
      </c>
      <c r="GZ51" s="98">
        <f t="shared" si="214"/>
        <v>1.9548097478043536</v>
      </c>
      <c r="HA51" s="98"/>
      <c r="HB51" s="10"/>
      <c r="HC51"/>
      <c r="HD51"/>
      <c r="HE51"/>
      <c r="HF51"/>
      <c r="HG51"/>
      <c r="HH51"/>
      <c r="HI51" s="10"/>
    </row>
    <row r="52" spans="2:217" s="2" customFormat="1" ht="12.75" customHeight="1" x14ac:dyDescent="0.2">
      <c r="B52" s="91" t="s">
        <v>618</v>
      </c>
      <c r="C52" s="117"/>
      <c r="D52" s="98"/>
      <c r="E52" s="117"/>
      <c r="F52" s="98"/>
      <c r="G52" s="117"/>
      <c r="H52" s="98"/>
      <c r="I52" s="117"/>
      <c r="J52" s="98"/>
      <c r="K52" s="117"/>
      <c r="L52" s="98"/>
      <c r="M52" s="117"/>
      <c r="N52" s="98"/>
      <c r="O52" s="117"/>
      <c r="P52" s="98"/>
      <c r="Q52" s="117"/>
      <c r="R52" s="98"/>
      <c r="S52" s="117"/>
      <c r="T52" s="98"/>
      <c r="U52" s="117"/>
      <c r="V52" s="98"/>
      <c r="W52" s="117"/>
      <c r="X52" s="98"/>
      <c r="Y52" s="117"/>
      <c r="Z52" s="98"/>
      <c r="AA52" s="117"/>
      <c r="AB52" s="98"/>
      <c r="AC52" s="117"/>
      <c r="AD52" s="98"/>
      <c r="AE52" s="117"/>
      <c r="AF52" s="98"/>
      <c r="AG52" s="117"/>
      <c r="AH52" s="98"/>
      <c r="AI52" s="117"/>
      <c r="AJ52" s="98"/>
      <c r="AK52" s="117"/>
      <c r="AL52" s="98"/>
      <c r="AM52" s="117"/>
      <c r="AN52" s="98"/>
      <c r="AO52" s="117"/>
      <c r="AP52" s="98"/>
      <c r="AQ52" s="117"/>
      <c r="AR52" s="98"/>
      <c r="AS52" s="117"/>
      <c r="AT52" s="98"/>
      <c r="AU52" s="117"/>
      <c r="AV52" s="98"/>
      <c r="AW52" s="117"/>
      <c r="AX52" s="98"/>
      <c r="AY52" s="117"/>
      <c r="AZ52" s="98"/>
      <c r="BA52" s="117"/>
      <c r="BB52" s="98"/>
      <c r="BC52" s="117"/>
      <c r="BD52" s="98"/>
      <c r="BE52" s="117"/>
      <c r="BF52" s="98"/>
      <c r="BG52" s="117"/>
      <c r="BH52" s="98"/>
      <c r="BI52" s="117"/>
      <c r="BJ52" s="98"/>
      <c r="BK52" s="117"/>
      <c r="BL52" s="98"/>
      <c r="BM52" s="117"/>
      <c r="BN52" s="98"/>
      <c r="BO52" s="117"/>
      <c r="BP52" s="98"/>
      <c r="BQ52" s="117"/>
      <c r="BR52" s="98"/>
      <c r="BS52" s="117"/>
      <c r="BT52" s="98"/>
      <c r="BU52" s="117"/>
      <c r="BV52" s="98"/>
      <c r="BW52" s="117"/>
      <c r="BX52" s="98"/>
      <c r="BY52" s="117"/>
      <c r="BZ52" s="98"/>
      <c r="CA52" s="117"/>
      <c r="CB52" s="98"/>
      <c r="CC52" s="117"/>
      <c r="CD52" s="98"/>
      <c r="CE52" s="117"/>
      <c r="CF52" s="98"/>
      <c r="CG52" s="117"/>
      <c r="CH52" s="98"/>
      <c r="CI52" s="117"/>
      <c r="CJ52" s="98"/>
      <c r="CK52" s="117"/>
      <c r="CL52" s="98"/>
      <c r="CM52" s="117"/>
      <c r="CN52" s="98"/>
      <c r="CO52" s="117"/>
      <c r="CP52" s="98"/>
      <c r="CQ52" s="486">
        <f>CQ46+CQ50+0.5*(SUM(CQ47:CQ49))</f>
        <v>459.5</v>
      </c>
      <c r="CR52" s="98" t="str">
        <f t="shared" si="183"/>
        <v>NA</v>
      </c>
      <c r="CS52" s="117">
        <f>CS46+CS50+0.5*(SUM(CS47:CS49))</f>
        <v>441</v>
      </c>
      <c r="CT52" s="98" t="str">
        <f t="shared" si="184"/>
        <v>NA</v>
      </c>
      <c r="CU52" s="117">
        <f>CU46+CU50+0.5*(SUM(CU47:CU49))</f>
        <v>483</v>
      </c>
      <c r="CV52" s="98" t="str">
        <f t="shared" si="185"/>
        <v>NA</v>
      </c>
      <c r="CW52" s="117">
        <f>CW46+CW50+0.5*(SUM(CW47:CW49))</f>
        <v>497.5</v>
      </c>
      <c r="CX52" s="98" t="str">
        <f t="shared" si="186"/>
        <v>NA</v>
      </c>
      <c r="CY52" s="117">
        <f>CY46+CY50+0.5*(SUM(CY47:CY49))</f>
        <v>500</v>
      </c>
      <c r="CZ52" s="98">
        <f t="shared" si="187"/>
        <v>8.8139281828073948</v>
      </c>
      <c r="DA52" s="117">
        <f>DA46+DA50+0.5*(SUM(DA47:DA49))</f>
        <v>511.5</v>
      </c>
      <c r="DB52" s="98">
        <f t="shared" si="188"/>
        <v>15.986394557823136</v>
      </c>
      <c r="DC52" s="117">
        <f>DC46+DC50+0.5*(SUM(DC47:DC49))</f>
        <v>525.5</v>
      </c>
      <c r="DD52" s="98">
        <f t="shared" si="189"/>
        <v>8.7991718426501109</v>
      </c>
      <c r="DE52" s="117">
        <f>DE46+DE50+0.5*(SUM(DE47:DE49))</f>
        <v>542</v>
      </c>
      <c r="DF52" s="98">
        <f t="shared" si="190"/>
        <v>8.9447236180904444</v>
      </c>
      <c r="DG52" s="117">
        <f>DG46+DG50+0.5*(SUM(DG47:DG49))</f>
        <v>562.5</v>
      </c>
      <c r="DH52" s="98">
        <f t="shared" si="191"/>
        <v>12.5</v>
      </c>
      <c r="DI52" s="117">
        <f>DI46+DI50+0.5*(SUM(DI47:DI49))</f>
        <v>601.5</v>
      </c>
      <c r="DJ52" s="98">
        <f t="shared" si="192"/>
        <v>17.595307917888569</v>
      </c>
      <c r="DK52" s="117">
        <f>DK46+DK50+0.5*(SUM(DK47:DK49))</f>
        <v>621.5</v>
      </c>
      <c r="DL52" s="98">
        <f t="shared" si="193"/>
        <v>18.268315889628916</v>
      </c>
      <c r="DM52" s="117">
        <f>DM46+DM50+0.5*(SUM(DM47:DM49))</f>
        <v>632.5</v>
      </c>
      <c r="DN52" s="98">
        <f t="shared" si="194"/>
        <v>16.697416974169734</v>
      </c>
      <c r="DO52" s="117">
        <f>DO46+DO50+0.5*(SUM(DO47:DO49))</f>
        <v>637.5</v>
      </c>
      <c r="DP52" s="98">
        <f t="shared" si="194"/>
        <v>13.33333333333333</v>
      </c>
      <c r="DQ52" s="117">
        <f>DQ46+DQ50+0.5*(SUM(DQ47:DQ49))</f>
        <v>640</v>
      </c>
      <c r="DR52" s="98">
        <f t="shared" si="194"/>
        <v>6.4006650041562807</v>
      </c>
      <c r="DS52" s="117">
        <f>DS46+DS50+0.5*(SUM(DS47:DS49))</f>
        <v>649</v>
      </c>
      <c r="DT52" s="98">
        <f t="shared" si="194"/>
        <v>4.4247787610619538</v>
      </c>
      <c r="DU52" s="117">
        <f>DU46+DU50+0.5*(SUM(DU47:DU49))</f>
        <v>651</v>
      </c>
      <c r="DV52" s="98">
        <f t="shared" si="194"/>
        <v>2.9249011857707563</v>
      </c>
      <c r="DW52" s="117">
        <f>DW46+DW50+0.5*(SUM(DW47:DW49))</f>
        <v>619</v>
      </c>
      <c r="DX52" s="98">
        <f t="shared" si="194"/>
        <v>-2.9019607843137285</v>
      </c>
      <c r="DY52" s="117">
        <f>DY46+DY50+0.5*(SUM(DY47:DY49))</f>
        <v>601.5</v>
      </c>
      <c r="DZ52" s="98">
        <f t="shared" si="194"/>
        <v>-6.0156250000000018</v>
      </c>
      <c r="EA52" s="117">
        <f>EA46+EA50+0.5*(SUM(EA47:EA49))</f>
        <v>607</v>
      </c>
      <c r="EB52" s="98">
        <f t="shared" si="195"/>
        <v>-6.4714946070878243</v>
      </c>
      <c r="EC52" s="117">
        <f>EC46+EC50+0.5*(SUM(EC47:EC49))</f>
        <v>601</v>
      </c>
      <c r="ED52" s="98">
        <f t="shared" si="196"/>
        <v>-7.6804915514592897</v>
      </c>
      <c r="EE52" s="117">
        <f>EE46+EE50+0.5*(SUM(EE47:EE49))</f>
        <v>661.5</v>
      </c>
      <c r="EF52" s="860">
        <f t="shared" si="197"/>
        <v>6.8659127625201988</v>
      </c>
      <c r="EG52" s="117">
        <f>EG46+EG50+0.5*(SUM(EG47:EG49))</f>
        <v>730.5</v>
      </c>
      <c r="EH52" s="860">
        <f t="shared" si="198"/>
        <v>21.446384039900245</v>
      </c>
      <c r="EI52" s="117">
        <f>EI46+EI50+0.5*(SUM(EI47:EI49))</f>
        <v>764</v>
      </c>
      <c r="EJ52" s="860">
        <f t="shared" si="199"/>
        <v>25.864909390444812</v>
      </c>
      <c r="EK52" s="117">
        <f>EK46+EK50+0.5*(SUM(EK47:EK49))</f>
        <v>796.5</v>
      </c>
      <c r="EL52" s="860">
        <f t="shared" si="200"/>
        <v>32.529118136439259</v>
      </c>
      <c r="EM52" s="117">
        <f>EM46+EM50+0.5*(SUM(EM47:EM49))</f>
        <v>818.5</v>
      </c>
      <c r="EN52" s="860">
        <f t="shared" si="201"/>
        <v>23.733938019652314</v>
      </c>
      <c r="EO52" s="117">
        <f>EO46+EO50+0.5*(SUM(EO47:EO49))</f>
        <v>846.5</v>
      </c>
      <c r="EP52" s="98">
        <f t="shared" si="202"/>
        <v>15.879534565366193</v>
      </c>
      <c r="EQ52" s="792">
        <f t="shared" ref="EQ52" si="235">AVERAGE(EQ46,EQ51)</f>
        <v>885.63004399066517</v>
      </c>
      <c r="ER52" s="98">
        <f t="shared" si="204"/>
        <v>15.920162826003303</v>
      </c>
      <c r="ES52" s="792">
        <f t="shared" ref="ES52" si="236">AVERAGE(ES46,ES51)</f>
        <v>884.16902359284484</v>
      </c>
      <c r="ET52" s="98">
        <f t="shared" si="206"/>
        <v>11.006782623081591</v>
      </c>
      <c r="EU52" s="792">
        <f t="shared" ref="EU52" si="237">AVERAGE(EU46,EU51)</f>
        <v>887.45425239103974</v>
      </c>
      <c r="EV52" s="98">
        <f t="shared" si="208"/>
        <v>8.4244657777690524</v>
      </c>
      <c r="EW52" s="792">
        <f t="shared" ref="EW52" si="238">AVERAGE(EW46,EW51)</f>
        <v>891.77632877382439</v>
      </c>
      <c r="EX52" s="98">
        <f t="shared" si="210"/>
        <v>5.3486507706821396</v>
      </c>
      <c r="EY52" s="118"/>
      <c r="EZ52" s="594"/>
      <c r="FA52" s="405"/>
      <c r="FB52" s="117"/>
      <c r="FC52" s="98"/>
      <c r="FD52" s="117"/>
      <c r="FE52" s="98"/>
      <c r="FF52" s="118"/>
      <c r="FG52" s="98"/>
      <c r="FH52" s="118"/>
      <c r="FI52" s="98"/>
      <c r="FJ52" s="118"/>
      <c r="FK52" s="98"/>
      <c r="FL52" s="118"/>
      <c r="FM52" s="98"/>
      <c r="FN52" s="118"/>
      <c r="FO52" s="98"/>
      <c r="FP52" s="118"/>
      <c r="FQ52" s="98"/>
      <c r="FR52" s="119"/>
      <c r="FS52" s="120"/>
      <c r="FT52" s="119"/>
      <c r="FU52" s="120"/>
      <c r="FV52" s="119"/>
      <c r="FW52" s="98"/>
      <c r="FX52" s="485"/>
      <c r="FY52" s="98"/>
      <c r="FZ52" s="119"/>
      <c r="GA52" s="98"/>
      <c r="GB52" s="485"/>
      <c r="GC52" s="98"/>
      <c r="GD52" s="119">
        <f>AVERAGE(GD46,GD51)</f>
        <v>505</v>
      </c>
      <c r="GE52" s="98" t="str">
        <f t="shared" si="211"/>
        <v>NA</v>
      </c>
      <c r="GF52" s="119">
        <f>AVERAGE(GF46,GF51)</f>
        <v>588</v>
      </c>
      <c r="GG52" s="98">
        <f t="shared" si="212"/>
        <v>16.435643564356429</v>
      </c>
      <c r="GH52" s="119">
        <f>AVERAGE(GH46,GH51)</f>
        <v>656.5</v>
      </c>
      <c r="GI52" s="98">
        <f t="shared" si="212"/>
        <v>11.649659863945573</v>
      </c>
      <c r="GJ52" s="119">
        <f>AVERAGE(GJ46,GJ51)</f>
        <v>653.5</v>
      </c>
      <c r="GK52" s="98">
        <f t="shared" si="212"/>
        <v>-0.45696877380045908</v>
      </c>
      <c r="GL52" s="119">
        <f>AVERAGE(GL46,GL51)</f>
        <v>699.5</v>
      </c>
      <c r="GM52" s="98">
        <f t="shared" si="212"/>
        <v>7.0390206579953984</v>
      </c>
      <c r="GN52" s="119">
        <f>AVERAGE(GN46,GN51)</f>
        <v>825</v>
      </c>
      <c r="GO52" s="98">
        <f t="shared" si="212"/>
        <v>17.941386704789132</v>
      </c>
      <c r="GP52" s="119">
        <f>AVERAGE(GP46,GP51)</f>
        <v>891.8610559849642</v>
      </c>
      <c r="GQ52" s="98">
        <f t="shared" si="212"/>
        <v>8.104370422419894</v>
      </c>
      <c r="GR52" s="118">
        <f>AVERAGE(GR46,GR51)</f>
        <v>908.22098251576608</v>
      </c>
      <c r="GS52" s="98">
        <f t="shared" si="212"/>
        <v>1.8343582132010594</v>
      </c>
      <c r="GT52" s="118">
        <f>AVERAGE(GT46,GT51)</f>
        <v>933.36233313583841</v>
      </c>
      <c r="GU52" s="98">
        <f t="shared" si="212"/>
        <v>2.7681975096447209</v>
      </c>
      <c r="GV52" s="118">
        <f>AVERAGE(GV46,GV51)</f>
        <v>954.65789295783566</v>
      </c>
      <c r="GW52" s="98">
        <f t="shared" si="212"/>
        <v>2.2815962318138538</v>
      </c>
      <c r="GX52" s="118">
        <f>AVERAGE(GX46,GX51)</f>
        <v>971.83322187755834</v>
      </c>
      <c r="GY52" s="98">
        <f t="shared" si="213"/>
        <v>1.7991082508633571</v>
      </c>
      <c r="GZ52" s="98">
        <f t="shared" si="214"/>
        <v>3.3302686538533965</v>
      </c>
      <c r="HA52" s="98"/>
      <c r="HB52" s="10"/>
      <c r="HC52"/>
      <c r="HD52"/>
      <c r="HE52"/>
      <c r="HF52"/>
      <c r="HG52"/>
      <c r="HH52"/>
      <c r="HI52" s="10"/>
    </row>
    <row r="53" spans="2:217" s="2" customFormat="1" ht="12.75" customHeight="1" x14ac:dyDescent="0.2">
      <c r="B53" s="91"/>
      <c r="C53" s="117"/>
      <c r="D53" s="98"/>
      <c r="E53" s="117"/>
      <c r="F53" s="98"/>
      <c r="G53" s="117"/>
      <c r="H53" s="98"/>
      <c r="I53" s="117"/>
      <c r="J53" s="98"/>
      <c r="K53" s="117"/>
      <c r="L53" s="98"/>
      <c r="M53" s="117"/>
      <c r="N53" s="98"/>
      <c r="O53" s="117"/>
      <c r="P53" s="98"/>
      <c r="Q53" s="117"/>
      <c r="R53" s="98"/>
      <c r="S53" s="117"/>
      <c r="T53" s="98"/>
      <c r="U53" s="117"/>
      <c r="V53" s="98"/>
      <c r="W53" s="117"/>
      <c r="X53" s="98"/>
      <c r="Y53" s="117"/>
      <c r="Z53" s="98"/>
      <c r="AA53" s="117"/>
      <c r="AB53" s="98"/>
      <c r="AC53" s="117"/>
      <c r="AD53" s="98"/>
      <c r="AE53" s="117"/>
      <c r="AF53" s="98"/>
      <c r="AG53" s="117"/>
      <c r="AH53" s="98"/>
      <c r="AI53" s="117"/>
      <c r="AJ53" s="98"/>
      <c r="AK53" s="117"/>
      <c r="AL53" s="98"/>
      <c r="AM53" s="117"/>
      <c r="AN53" s="98"/>
      <c r="AO53" s="117"/>
      <c r="AP53" s="98"/>
      <c r="AQ53" s="117"/>
      <c r="AR53" s="98"/>
      <c r="AS53" s="117"/>
      <c r="AT53" s="98"/>
      <c r="AU53" s="117"/>
      <c r="AV53" s="98"/>
      <c r="AW53" s="117"/>
      <c r="AX53" s="98"/>
      <c r="AY53" s="117"/>
      <c r="AZ53" s="98"/>
      <c r="BA53" s="117"/>
      <c r="BB53" s="98"/>
      <c r="BC53" s="117"/>
      <c r="BD53" s="98"/>
      <c r="BE53" s="117"/>
      <c r="BF53" s="98"/>
      <c r="BG53" s="117"/>
      <c r="BH53" s="98"/>
      <c r="BI53" s="117"/>
      <c r="BJ53" s="98"/>
      <c r="BK53" s="117"/>
      <c r="BL53" s="98"/>
      <c r="BM53" s="117"/>
      <c r="BN53" s="98"/>
      <c r="BO53" s="117"/>
      <c r="BP53" s="98"/>
      <c r="BQ53" s="117"/>
      <c r="BR53" s="98"/>
      <c r="BS53" s="117"/>
      <c r="BT53" s="98"/>
      <c r="BU53" s="117"/>
      <c r="BV53" s="98"/>
      <c r="BW53" s="117"/>
      <c r="BX53" s="98"/>
      <c r="BY53" s="117"/>
      <c r="BZ53" s="98"/>
      <c r="CA53" s="117"/>
      <c r="CB53" s="98"/>
      <c r="CC53" s="117"/>
      <c r="CD53" s="98"/>
      <c r="CE53" s="117"/>
      <c r="CF53" s="98"/>
      <c r="CG53" s="117"/>
      <c r="CH53" s="98"/>
      <c r="CI53" s="117"/>
      <c r="CJ53" s="98"/>
      <c r="CK53" s="117"/>
      <c r="CL53" s="98"/>
      <c r="CM53" s="117"/>
      <c r="CN53" s="98"/>
      <c r="CO53" s="117"/>
      <c r="CP53" s="98"/>
      <c r="CQ53" s="486"/>
      <c r="CR53" s="98"/>
      <c r="CS53" s="117"/>
      <c r="CT53" s="98"/>
      <c r="CU53" s="117"/>
      <c r="CV53" s="98"/>
      <c r="CW53" s="117"/>
      <c r="CX53" s="98"/>
      <c r="CY53" s="117"/>
      <c r="CZ53" s="98"/>
      <c r="DA53" s="117"/>
      <c r="DB53" s="98"/>
      <c r="DC53" s="117"/>
      <c r="DD53" s="98"/>
      <c r="DE53" s="117"/>
      <c r="DF53" s="98"/>
      <c r="DG53" s="117"/>
      <c r="DH53" s="98"/>
      <c r="DI53" s="117"/>
      <c r="DJ53" s="98"/>
      <c r="DK53" s="117"/>
      <c r="DL53" s="98"/>
      <c r="DM53" s="117"/>
      <c r="DN53" s="98"/>
      <c r="DO53" s="117"/>
      <c r="DP53" s="98"/>
      <c r="DQ53" s="117"/>
      <c r="DR53" s="98"/>
      <c r="DS53" s="117"/>
      <c r="DT53" s="98"/>
      <c r="DU53" s="117"/>
      <c r="DV53" s="98"/>
      <c r="DW53" s="117"/>
      <c r="DX53" s="98"/>
      <c r="DY53" s="117"/>
      <c r="DZ53" s="98"/>
      <c r="EA53" s="117"/>
      <c r="EB53" s="98"/>
      <c r="EC53" s="117"/>
      <c r="ED53" s="98"/>
      <c r="EE53" s="117"/>
      <c r="EF53" s="860"/>
      <c r="EG53" s="117"/>
      <c r="EH53" s="860"/>
      <c r="EI53" s="117"/>
      <c r="EJ53" s="860"/>
      <c r="EK53" s="117"/>
      <c r="EL53" s="860"/>
      <c r="EM53" s="117"/>
      <c r="EN53" s="860"/>
      <c r="EO53" s="117"/>
      <c r="EP53" s="98"/>
      <c r="EQ53" s="792"/>
      <c r="ER53" s="98"/>
      <c r="ES53" s="792"/>
      <c r="ET53" s="98"/>
      <c r="EU53" s="792"/>
      <c r="EV53" s="98"/>
      <c r="EW53" s="792"/>
      <c r="EX53" s="98"/>
      <c r="EY53" s="118"/>
      <c r="EZ53" s="594"/>
      <c r="FA53" s="405"/>
      <c r="FB53" s="117"/>
      <c r="FC53" s="98"/>
      <c r="FD53" s="117"/>
      <c r="FE53" s="98"/>
      <c r="FF53" s="118"/>
      <c r="FG53" s="98"/>
      <c r="FH53" s="118"/>
      <c r="FI53" s="98"/>
      <c r="FJ53" s="118"/>
      <c r="FK53" s="98"/>
      <c r="FL53" s="118"/>
      <c r="FM53" s="98"/>
      <c r="FN53" s="118"/>
      <c r="FO53" s="98"/>
      <c r="FP53" s="118"/>
      <c r="FQ53" s="98"/>
      <c r="FR53" s="119"/>
      <c r="FS53" s="120"/>
      <c r="FT53" s="119"/>
      <c r="FU53" s="120"/>
      <c r="FV53" s="119"/>
      <c r="FW53" s="98"/>
      <c r="FX53" s="485"/>
      <c r="FY53" s="98"/>
      <c r="FZ53" s="119"/>
      <c r="GA53" s="98"/>
      <c r="GB53" s="485"/>
      <c r="GC53" s="98"/>
      <c r="GD53" s="119"/>
      <c r="GE53" s="98"/>
      <c r="GF53" s="119"/>
      <c r="GG53" s="98"/>
      <c r="GH53" s="119"/>
      <c r="GI53" s="98"/>
      <c r="GJ53" s="119"/>
      <c r="GK53" s="98"/>
      <c r="GL53" s="119"/>
      <c r="GM53" s="98"/>
      <c r="GN53" s="119"/>
      <c r="GO53" s="98"/>
      <c r="GP53" s="119"/>
      <c r="GQ53" s="98"/>
      <c r="GR53" s="118"/>
      <c r="GS53" s="98"/>
      <c r="GT53" s="118"/>
      <c r="GU53" s="98"/>
      <c r="GV53" s="118"/>
      <c r="GW53" s="98"/>
      <c r="GX53" s="118"/>
      <c r="GY53" s="98"/>
      <c r="GZ53" s="98"/>
      <c r="HA53" s="98"/>
      <c r="HB53" s="10"/>
      <c r="HC53"/>
      <c r="HD53"/>
      <c r="HE53"/>
      <c r="HF53"/>
      <c r="HG53"/>
      <c r="HH53"/>
      <c r="HI53" s="10"/>
    </row>
    <row r="54" spans="2:217" s="2" customFormat="1" ht="12.75" customHeight="1" x14ac:dyDescent="0.2">
      <c r="B54" s="91" t="s">
        <v>27</v>
      </c>
      <c r="C54" s="124"/>
      <c r="D54" s="98"/>
      <c r="E54" s="124"/>
      <c r="F54" s="98"/>
      <c r="G54" s="124"/>
      <c r="H54" s="98"/>
      <c r="I54" s="124"/>
      <c r="J54" s="98"/>
      <c r="K54" s="124"/>
      <c r="L54" s="98"/>
      <c r="M54" s="124"/>
      <c r="N54" s="98"/>
      <c r="O54" s="124"/>
      <c r="P54" s="98"/>
      <c r="Q54" s="124"/>
      <c r="R54" s="98"/>
      <c r="S54" s="124"/>
      <c r="T54" s="98"/>
      <c r="U54" s="124"/>
      <c r="V54" s="98"/>
      <c r="W54" s="124"/>
      <c r="X54" s="98"/>
      <c r="Y54" s="124"/>
      <c r="Z54" s="98"/>
      <c r="AA54" s="124"/>
      <c r="AB54" s="98"/>
      <c r="AC54" s="124"/>
      <c r="AD54" s="98"/>
      <c r="AE54" s="124"/>
      <c r="AF54" s="98"/>
      <c r="AG54" s="124"/>
      <c r="AH54" s="98"/>
      <c r="AI54" s="124"/>
      <c r="AJ54" s="98"/>
      <c r="AK54" s="124"/>
      <c r="AL54" s="98"/>
      <c r="AM54" s="124"/>
      <c r="AN54" s="98"/>
      <c r="AO54" s="124"/>
      <c r="AP54" s="98"/>
      <c r="AQ54" s="124"/>
      <c r="AR54" s="98"/>
      <c r="AS54" s="124"/>
      <c r="AT54" s="98"/>
      <c r="AU54" s="124"/>
      <c r="AV54" s="98"/>
      <c r="AW54" s="124"/>
      <c r="AX54" s="98"/>
      <c r="AY54" s="106"/>
      <c r="AZ54" s="98"/>
      <c r="BA54" s="106"/>
      <c r="BB54" s="98"/>
      <c r="BC54" s="106"/>
      <c r="BD54" s="98"/>
      <c r="BE54" s="106"/>
      <c r="BF54" s="98"/>
      <c r="BG54" s="106"/>
      <c r="BH54" s="98"/>
      <c r="BI54" s="106"/>
      <c r="BJ54" s="98"/>
      <c r="BK54" s="106"/>
      <c r="BL54" s="98"/>
      <c r="BM54" s="106"/>
      <c r="BN54" s="98"/>
      <c r="BO54" s="106"/>
      <c r="BP54" s="98"/>
      <c r="BQ54" s="106"/>
      <c r="BR54" s="98"/>
      <c r="BS54" s="106"/>
      <c r="BT54" s="98"/>
      <c r="BU54" s="106"/>
      <c r="BV54" s="98"/>
      <c r="BW54" s="106"/>
      <c r="BX54" s="98"/>
      <c r="BY54" s="106"/>
      <c r="BZ54" s="98"/>
      <c r="CA54" s="106"/>
      <c r="CB54" s="98"/>
      <c r="CC54" s="106"/>
      <c r="CD54" s="98"/>
      <c r="CE54" s="106"/>
      <c r="CF54" s="98"/>
      <c r="CG54" s="106"/>
      <c r="CH54" s="98"/>
      <c r="CI54" s="106"/>
      <c r="CJ54" s="98"/>
      <c r="CK54" s="106"/>
      <c r="CL54" s="98"/>
      <c r="CM54" s="106"/>
      <c r="CN54" s="98"/>
      <c r="CO54" s="106"/>
      <c r="CP54" s="98"/>
      <c r="CQ54" s="483">
        <f>-CQ49/CQ46*400</f>
        <v>6.2015503875968996</v>
      </c>
      <c r="CR54" s="98"/>
      <c r="CS54" s="106">
        <f>-CS49/CS46*400</f>
        <v>6.3063063063063058</v>
      </c>
      <c r="CT54" s="98"/>
      <c r="CU54" s="106">
        <f>-CU49/CU46*400</f>
        <v>10.0418410041841</v>
      </c>
      <c r="CV54" s="98"/>
      <c r="CW54" s="106">
        <f>-CW49/CW46*400</f>
        <v>7.5757575757575761</v>
      </c>
      <c r="CX54" s="98"/>
      <c r="CY54" s="106">
        <f>-CY49/CY46*400</f>
        <v>7.8740157480314963</v>
      </c>
      <c r="CZ54" s="98"/>
      <c r="DA54" s="106">
        <f>-DA49/DA46*400</f>
        <v>10.506566604127581</v>
      </c>
      <c r="DB54" s="98"/>
      <c r="DC54" s="106">
        <f>-DC49/DC46*400</f>
        <v>9.7744360902255636</v>
      </c>
      <c r="DD54" s="98"/>
      <c r="DE54" s="106">
        <f>-DE49/DE46*400</f>
        <v>7.8291814946619214</v>
      </c>
      <c r="DF54" s="98"/>
      <c r="DG54" s="106">
        <f>-DG49/DG46*400</f>
        <v>8.4805653710247348</v>
      </c>
      <c r="DH54" s="98"/>
      <c r="DI54" s="106">
        <f>-DI49/DI46*400</f>
        <v>7.3089700996677749</v>
      </c>
      <c r="DJ54" s="98"/>
      <c r="DK54" s="106">
        <f>-DK49/DK46*400</f>
        <v>8.695652173913043</v>
      </c>
      <c r="DL54" s="98"/>
      <c r="DM54" s="106">
        <f>-DM49/DM46*400</f>
        <v>5.5727554179566559</v>
      </c>
      <c r="DN54" s="98">
        <f t="shared" ref="DN54:DZ56" si="239">IF(ISERROR((DM54/DE54-1)*100),"NA",IF(((DM54/DE54-1)*100)&gt;100,"NM",IF(((DM54/DE54-1)*100)&lt;-50,"NM",(DM54/DE54-1)*100)))</f>
        <v>-28.820714888826348</v>
      </c>
      <c r="DO54" s="106">
        <f>-DO49/DO46*400</f>
        <v>6.5967016491754125</v>
      </c>
      <c r="DP54" s="98">
        <f t="shared" si="239"/>
        <v>-22.213893053473257</v>
      </c>
      <c r="DQ54" s="106">
        <f>-DQ49/DQ46*400</f>
        <v>6.7073170731707323</v>
      </c>
      <c r="DR54" s="98">
        <f t="shared" si="239"/>
        <v>-8.2317073170731661</v>
      </c>
      <c r="DS54" s="106">
        <f>-DS49/DS46*400</f>
        <v>11.360239162929746</v>
      </c>
      <c r="DT54" s="98">
        <f t="shared" si="239"/>
        <v>30.642750373692085</v>
      </c>
      <c r="DU54" s="106">
        <f>-DU49/DU46*400</f>
        <v>7.0901033973412115</v>
      </c>
      <c r="DV54" s="98">
        <f t="shared" si="239"/>
        <v>27.227966518956205</v>
      </c>
      <c r="DW54" s="106">
        <f>-DW49/DW46*400</f>
        <v>10.089020771513352</v>
      </c>
      <c r="DX54" s="98">
        <f t="shared" si="239"/>
        <v>52.940383059077398</v>
      </c>
      <c r="DY54" s="106">
        <f>-DY49/DY46*400</f>
        <v>8.4690553745928341</v>
      </c>
      <c r="DZ54" s="98">
        <f t="shared" si="239"/>
        <v>26.26591649392951</v>
      </c>
      <c r="EA54" s="106">
        <f>-EA49/EA46*400</f>
        <v>9.4043887147335425</v>
      </c>
      <c r="EB54" s="98">
        <f t="shared" ref="EB54:EB56" si="240">IF(ISERROR((EA54/DS54-1)*100),"NA",IF(((EA54/DS54-1)*100)&gt;100,"NM",IF(((EA54/DS54-1)*100)&lt;-50,"NM",(EA54/DS54-1)*100)))</f>
        <v>-17.216630918990262</v>
      </c>
      <c r="EC54" s="106">
        <f>-EC49/EC46*400</f>
        <v>8.32</v>
      </c>
      <c r="ED54" s="98">
        <f t="shared" ref="ED54:ED56" si="241">IF(ISERROR((EC54/DU54-1)*100),"NA",IF(((EC54/DU54-1)*100)&gt;100,"NM",IF(((EC54/DU54-1)*100)&lt;-50,"NM",(EC54/DU54-1)*100)))</f>
        <v>17.346666666666664</v>
      </c>
      <c r="EE54" s="106">
        <f>-EE49/EE46*400</f>
        <v>8.2802547770700627</v>
      </c>
      <c r="EF54" s="860">
        <f t="shared" ref="EF54:EF56" si="242">IF(ISERROR((EE54/DW54-1)*100),"NA",IF(((EE54/DW54-1)*100)&gt;100,"NM",IF(((EE54/DW54-1)*100)&lt;-50,"NM",(EE54/DW54-1)*100)))</f>
        <v>-17.928062944923195</v>
      </c>
      <c r="EG54" s="106">
        <f>-EG49/EG46*400</f>
        <v>6.4085447263017361</v>
      </c>
      <c r="EH54" s="860">
        <f t="shared" ref="EH54:EH56" si="243">IF(ISERROR((EG54/DY54-1)*100),"NA",IF(((EG54/DY54-1)*100)&gt;100,"NM",IF(((EG54/DY54-1)*100)&lt;-50,"NM",(EG54/DY54-1)*100)))</f>
        <v>-24.329875731744888</v>
      </c>
      <c r="EI54" s="106">
        <f>-EI49/EI46*400</f>
        <v>9.4612352168199738</v>
      </c>
      <c r="EJ54" s="860">
        <f t="shared" ref="EJ54:EJ56" si="244">IF(ISERROR((EI54/EA54-1)*100),"NA",IF(((EI54/EA54-1)*100)&gt;100,"NM",IF(((EI54/EA54-1)*100)&lt;-50,"NM",(EI54/EA54-1)*100)))</f>
        <v>0.60446780551905999</v>
      </c>
      <c r="EK54" s="106">
        <f>-EK49/EK46*400</f>
        <v>5.9259259259259265</v>
      </c>
      <c r="EL54" s="860">
        <f t="shared" ref="EL54:EL56" si="245">IF(ISERROR((EK54/EC54-1)*100),"NA",IF(((EK54/EC54-1)*100)&gt;100,"NM",IF(((EK54/EC54-1)*100)&lt;-50,"NM",(EK54/EC54-1)*100)))</f>
        <v>-28.774928774928764</v>
      </c>
      <c r="EM54" s="106">
        <f>-EM49/EM46*400</f>
        <v>9.5693779904306222</v>
      </c>
      <c r="EN54" s="860">
        <f t="shared" ref="EN54:EN56" si="246">IF(ISERROR((EM54/EE54-1)*100),"NA",IF(((EM54/EE54-1)*100)&gt;100,"NM",IF(((EM54/EE54-1)*100)&lt;-50,"NM",(EM54/EE54-1)*100)))</f>
        <v>15.568641884431367</v>
      </c>
      <c r="EO54" s="106">
        <f>-EO49/EO46*400</f>
        <v>8.4014002333722289</v>
      </c>
      <c r="EP54" s="98">
        <f t="shared" ref="EP54:EP56" si="247">IF(ISERROR((EO54/EG54-1)*100),"NA",IF(((EO54/EG54-1)*100)&gt;100,"NM",IF(((EO54/EG54-1)*100)&lt;-50,"NM",(EO54/EG54-1)*100)))</f>
        <v>31.096849474912467</v>
      </c>
      <c r="EQ54" s="1026">
        <f t="shared" ref="EQ54" si="248">EO54</f>
        <v>8.4014002333722289</v>
      </c>
      <c r="ER54" s="98">
        <f t="shared" ref="ER54:ER56" si="249">IF(ISERROR((EQ54/EI54-1)*100),"NA",IF(((EQ54/EI54-1)*100)&gt;100,"NM",IF(((EQ54/EI54-1)*100)&lt;-50,"NM",(EQ54/EI54-1)*100)))</f>
        <v>-11.201866977829633</v>
      </c>
      <c r="ES54" s="1026">
        <f t="shared" ref="ES54" si="250">EQ54</f>
        <v>8.4014002333722289</v>
      </c>
      <c r="ET54" s="98">
        <f t="shared" ref="ET54:ET56" si="251">IF(ISERROR((ES54/EK54-1)*100),"NA",IF(((ES54/EK54-1)*100)&gt;100,"NM",IF(((ES54/EK54-1)*100)&lt;-50,"NM",(ES54/EK54-1)*100)))</f>
        <v>41.773628938156349</v>
      </c>
      <c r="EU54" s="1026">
        <f t="shared" ref="EU54" si="252">ES54</f>
        <v>8.4014002333722289</v>
      </c>
      <c r="EV54" s="98">
        <f t="shared" ref="EV54:EV56" si="253">IF(ISERROR((EU54/EM54-1)*100),"NA",IF(((EU54/EM54-1)*100)&gt;100,"NM",IF(((EU54/EM54-1)*100)&lt;-50,"NM",(EU54/EM54-1)*100)))</f>
        <v>-12.205367561260205</v>
      </c>
      <c r="EW54" s="1026">
        <f t="shared" ref="EW54" si="254">EU54</f>
        <v>8.4014002333722289</v>
      </c>
      <c r="EX54" s="98">
        <f t="shared" ref="EX54:EX56" si="255">IF(ISERROR((EW54/EO54-1)*100),"NA",IF(((EW54/EO54-1)*100)&gt;100,"NM",IF(((EW54/EO54-1)*100)&lt;-50,"NM",(EW54/EO54-1)*100)))</f>
        <v>0</v>
      </c>
      <c r="EY54" s="80"/>
      <c r="EZ54" s="596"/>
      <c r="FA54" s="407"/>
      <c r="FB54" s="126"/>
      <c r="FC54" s="127"/>
      <c r="FD54" s="128"/>
      <c r="FE54" s="127"/>
      <c r="FF54" s="129"/>
      <c r="FG54" s="127"/>
      <c r="FH54" s="129"/>
      <c r="FI54" s="127"/>
      <c r="FJ54" s="129"/>
      <c r="FK54" s="127"/>
      <c r="FL54" s="129"/>
      <c r="FM54" s="127"/>
      <c r="FN54" s="129"/>
      <c r="FO54" s="127"/>
      <c r="FP54" s="129"/>
      <c r="FQ54" s="127"/>
      <c r="FR54" s="130"/>
      <c r="FS54" s="120"/>
      <c r="FT54" s="130"/>
      <c r="FU54" s="120"/>
      <c r="FV54" s="130"/>
      <c r="FW54" s="98"/>
      <c r="FX54" s="487"/>
      <c r="FY54" s="98"/>
      <c r="FZ54" s="130"/>
      <c r="GA54" s="98"/>
      <c r="GB54" s="487"/>
      <c r="GC54" s="98"/>
      <c r="GD54" s="130">
        <f>-GD49/GD46*100</f>
        <v>9.6234309623430967</v>
      </c>
      <c r="GE54" s="98"/>
      <c r="GF54" s="130">
        <f>-GF49/GF46*100</f>
        <v>8.8345864661654137</v>
      </c>
      <c r="GG54" s="98"/>
      <c r="GH54" s="130">
        <f>-GH49/GH46*100</f>
        <v>6.9875776397515521</v>
      </c>
      <c r="GI54" s="98">
        <f t="shared" ref="GI54:GW55" si="256">IF(ISERROR((GH54/GF54-1)*100),"NA",IF(((GH54/GF54-1)*100)&gt;100,"NM",IF(((GH54/GF54-1)*100)&lt;-50,"NM",(GH54/GF54-1)*100)))</f>
        <v>-20.906567992599456</v>
      </c>
      <c r="GJ54" s="130">
        <f>-GJ49/GJ46*100</f>
        <v>9.1180866965620329</v>
      </c>
      <c r="GK54" s="98">
        <f t="shared" si="256"/>
        <v>30.489951835243325</v>
      </c>
      <c r="GL54" s="130">
        <f>-GL49/GL46*100</f>
        <v>8.307210031347962</v>
      </c>
      <c r="GM54" s="98">
        <f t="shared" si="256"/>
        <v>-8.893057197183829</v>
      </c>
      <c r="GN54" s="130">
        <f>-GN49/GN46*100</f>
        <v>8.9356110381077531</v>
      </c>
      <c r="GO54" s="98">
        <f t="shared" si="256"/>
        <v>7.5645253266555912</v>
      </c>
      <c r="GP54" s="130">
        <f>-GP49/GP46*100</f>
        <v>8.3781725654723793</v>
      </c>
      <c r="GQ54" s="98">
        <f t="shared" si="256"/>
        <v>-6.2383923187576347</v>
      </c>
      <c r="GR54" s="80">
        <f>GP54</f>
        <v>8.3781725654723793</v>
      </c>
      <c r="GS54" s="98">
        <f t="shared" si="256"/>
        <v>0</v>
      </c>
      <c r="GT54" s="80">
        <f>GR54</f>
        <v>8.3781725654723793</v>
      </c>
      <c r="GU54" s="98">
        <f t="shared" si="256"/>
        <v>0</v>
      </c>
      <c r="GV54" s="80">
        <f>GT54</f>
        <v>8.3781725654723793</v>
      </c>
      <c r="GW54" s="98">
        <f t="shared" si="256"/>
        <v>0</v>
      </c>
      <c r="GX54" s="80">
        <f>GV54</f>
        <v>8.3781725654723793</v>
      </c>
      <c r="GY54" s="98">
        <f t="shared" ref="GY54:GY55" si="257">IF(ISERROR((GX54/GV54-1)*100),"NA",IF(((GX54/GV54-1)*100)&gt;100,"NM",IF(((GX54/GV54-1)*100)&lt;-50,"NM",(GX54/GV54-1)*100)))</f>
        <v>0</v>
      </c>
      <c r="GZ54" s="98">
        <f>IF(ISERROR(((GX54/GN54)^0.2-1)*100),"NA",IF((((GX54/GN54)^0.2-1)*100)&gt;100,"NM",IF((((GX54/GN54)^0.2-1)*100)&lt;-50,"NM",((GX54/GN54)^0.2-1)*100)))</f>
        <v>-1.2800312820015591</v>
      </c>
      <c r="HA54" s="98"/>
      <c r="HB54" s="10"/>
      <c r="HC54"/>
      <c r="HD54"/>
      <c r="HE54"/>
      <c r="HF54"/>
      <c r="HG54"/>
      <c r="HH54"/>
      <c r="HI54" s="10"/>
    </row>
    <row r="55" spans="2:217" s="2" customFormat="1" ht="12.75" customHeight="1" x14ac:dyDescent="0.2">
      <c r="B55" s="467" t="s">
        <v>362</v>
      </c>
      <c r="C55" s="124"/>
      <c r="D55" s="98"/>
      <c r="E55" s="124"/>
      <c r="F55" s="98"/>
      <c r="G55" s="124"/>
      <c r="H55" s="98"/>
      <c r="I55" s="124"/>
      <c r="J55" s="98"/>
      <c r="K55" s="124"/>
      <c r="L55" s="98"/>
      <c r="M55" s="124"/>
      <c r="N55" s="98"/>
      <c r="O55" s="124"/>
      <c r="P55" s="98"/>
      <c r="Q55" s="124"/>
      <c r="R55" s="98"/>
      <c r="S55" s="124"/>
      <c r="T55" s="98"/>
      <c r="U55" s="124"/>
      <c r="V55" s="98"/>
      <c r="W55" s="124"/>
      <c r="X55" s="98"/>
      <c r="Y55" s="124"/>
      <c r="Z55" s="98"/>
      <c r="AA55" s="124"/>
      <c r="AB55" s="98"/>
      <c r="AC55" s="124"/>
      <c r="AD55" s="98"/>
      <c r="AE55" s="124"/>
      <c r="AF55" s="98"/>
      <c r="AG55" s="124"/>
      <c r="AH55" s="98"/>
      <c r="AI55" s="124"/>
      <c r="AJ55" s="98"/>
      <c r="AK55" s="124"/>
      <c r="AL55" s="98"/>
      <c r="AM55" s="124"/>
      <c r="AN55" s="98"/>
      <c r="AO55" s="124"/>
      <c r="AP55" s="98"/>
      <c r="AQ55" s="124"/>
      <c r="AR55" s="98"/>
      <c r="AS55" s="124"/>
      <c r="AT55" s="98"/>
      <c r="AU55" s="124"/>
      <c r="AV55" s="98"/>
      <c r="AW55" s="124"/>
      <c r="AX55" s="98"/>
      <c r="AY55" s="106"/>
      <c r="AZ55" s="98"/>
      <c r="BA55" s="106"/>
      <c r="BB55" s="98"/>
      <c r="BC55" s="106"/>
      <c r="BD55" s="98"/>
      <c r="BE55" s="106"/>
      <c r="BF55" s="98"/>
      <c r="BG55" s="106"/>
      <c r="BH55" s="98"/>
      <c r="BI55" s="106"/>
      <c r="BJ55" s="98"/>
      <c r="BK55" s="106"/>
      <c r="BL55" s="98"/>
      <c r="BM55" s="106"/>
      <c r="BN55" s="98"/>
      <c r="BO55" s="106"/>
      <c r="BP55" s="98"/>
      <c r="BQ55" s="106"/>
      <c r="BR55" s="98"/>
      <c r="BS55" s="106"/>
      <c r="BT55" s="98"/>
      <c r="BU55" s="106"/>
      <c r="BV55" s="98"/>
      <c r="BW55" s="106"/>
      <c r="BX55" s="98"/>
      <c r="BY55" s="106"/>
      <c r="BZ55" s="98"/>
      <c r="CA55" s="106"/>
      <c r="CB55" s="98"/>
      <c r="CC55" s="106"/>
      <c r="CD55" s="98"/>
      <c r="CE55" s="106"/>
      <c r="CF55" s="98"/>
      <c r="CG55" s="106"/>
      <c r="CH55" s="98"/>
      <c r="CI55" s="106"/>
      <c r="CJ55" s="98"/>
      <c r="CK55" s="106"/>
      <c r="CL55" s="98"/>
      <c r="CM55" s="106"/>
      <c r="CN55" s="98"/>
      <c r="CO55" s="106"/>
      <c r="CP55" s="98"/>
      <c r="CQ55" s="483">
        <f>CQ48/CQ46*400</f>
        <v>-54.263565891472865</v>
      </c>
      <c r="CR55" s="98"/>
      <c r="CS55" s="106">
        <f>CS48/CS46*400</f>
        <v>30.630630630630627</v>
      </c>
      <c r="CT55" s="98"/>
      <c r="CU55" s="106">
        <f>CU48/CU46*400</f>
        <v>44.35146443514644</v>
      </c>
      <c r="CV55" s="98"/>
      <c r="CW55" s="106">
        <f>CW48/CW46*400</f>
        <v>-13.636363636363635</v>
      </c>
      <c r="CX55" s="98"/>
      <c r="CY55" s="106">
        <f>CY48/CY46*400</f>
        <v>22.047244094488189</v>
      </c>
      <c r="CZ55" s="98"/>
      <c r="DA55" s="106">
        <f>DA48/DA46*400</f>
        <v>4.5028142589118199</v>
      </c>
      <c r="DB55" s="98"/>
      <c r="DC55" s="106">
        <f>DC48/DC46*400</f>
        <v>27.819548872180448</v>
      </c>
      <c r="DD55" s="98"/>
      <c r="DE55" s="106">
        <f>DE48/DE46*400</f>
        <v>6.4056939501779357</v>
      </c>
      <c r="DF55" s="98"/>
      <c r="DG55" s="106">
        <f>DG48/DG46*400</f>
        <v>27.561837455830389</v>
      </c>
      <c r="DH55" s="98"/>
      <c r="DI55" s="106">
        <f>DI48/DI46*400</f>
        <v>30.564784053156146</v>
      </c>
      <c r="DJ55" s="98"/>
      <c r="DK55" s="106">
        <f>DK48/DK46*400</f>
        <v>5.5900621118012426</v>
      </c>
      <c r="DL55" s="98"/>
      <c r="DM55" s="106">
        <f>DM48/DM46*400</f>
        <v>16.099071207430342</v>
      </c>
      <c r="DN55" s="98" t="str">
        <f t="shared" si="239"/>
        <v>NM</v>
      </c>
      <c r="DO55" s="106">
        <f>DO48/DO46*400</f>
        <v>-2.9985007496251872</v>
      </c>
      <c r="DP55" s="98" t="str">
        <f t="shared" si="239"/>
        <v>NM</v>
      </c>
      <c r="DQ55" s="106">
        <f>DQ48/DQ46*400</f>
        <v>10.365853658536585</v>
      </c>
      <c r="DR55" s="98" t="str">
        <f t="shared" si="239"/>
        <v>NM</v>
      </c>
      <c r="DS55" s="106">
        <f>DS48/DS46*400</f>
        <v>10.762331838565023</v>
      </c>
      <c r="DT55" s="98">
        <f t="shared" si="239"/>
        <v>92.52615844544097</v>
      </c>
      <c r="DU55" s="106">
        <f>DU48/DU46*400</f>
        <v>2.3633677991137372</v>
      </c>
      <c r="DV55" s="98" t="str">
        <f t="shared" si="239"/>
        <v>NM</v>
      </c>
      <c r="DW55" s="106">
        <f>DW48/DW46*400</f>
        <v>-28.486646884272997</v>
      </c>
      <c r="DX55" s="98" t="str">
        <f t="shared" si="239"/>
        <v>NM</v>
      </c>
      <c r="DY55" s="106">
        <f>DY48/DY46*400</f>
        <v>20.195439739413683</v>
      </c>
      <c r="DZ55" s="98">
        <f t="shared" si="239"/>
        <v>94.826595133167316</v>
      </c>
      <c r="EA55" s="106">
        <f>EA48/EA46*400</f>
        <v>-2.507836990595611</v>
      </c>
      <c r="EB55" s="98" t="str">
        <f t="shared" si="240"/>
        <v>NM</v>
      </c>
      <c r="EC55" s="106">
        <f>EC48/EC46*400</f>
        <v>7.68</v>
      </c>
      <c r="ED55" s="98" t="str">
        <f t="shared" si="241"/>
        <v>NM</v>
      </c>
      <c r="EE55" s="106">
        <f>EE48/EE46*400</f>
        <v>22.29299363057325</v>
      </c>
      <c r="EF55" s="860" t="str">
        <f t="shared" si="242"/>
        <v>NM</v>
      </c>
      <c r="EG55" s="106">
        <f>EG48/EG46*400</f>
        <v>7.4766355140186906</v>
      </c>
      <c r="EH55" s="860" t="str">
        <f t="shared" si="243"/>
        <v>NM</v>
      </c>
      <c r="EI55" s="106">
        <f>EI48/EI46*400</f>
        <v>24.704336399474375</v>
      </c>
      <c r="EJ55" s="860" t="str">
        <f t="shared" si="244"/>
        <v>NM</v>
      </c>
      <c r="EK55" s="106">
        <f>EK48/EK46*400</f>
        <v>15.308641975308642</v>
      </c>
      <c r="EL55" s="860">
        <f t="shared" si="245"/>
        <v>99.331275720164626</v>
      </c>
      <c r="EM55" s="106">
        <f>EM48/EM46*400</f>
        <v>16.746411483253588</v>
      </c>
      <c r="EN55" s="860">
        <f t="shared" si="246"/>
        <v>-24.880382775119624</v>
      </c>
      <c r="EO55" s="106">
        <f>EO48/EO46*400</f>
        <v>19.136522753792299</v>
      </c>
      <c r="EP55" s="98" t="str">
        <f t="shared" si="247"/>
        <v>NM</v>
      </c>
      <c r="EQ55" s="1029">
        <f t="shared" ref="EQ55" si="258">EQ48/EQ46*400</f>
        <v>-4.08</v>
      </c>
      <c r="ER55" s="98" t="str">
        <f t="shared" si="249"/>
        <v>NM</v>
      </c>
      <c r="ES55" s="1029">
        <f t="shared" ref="ES55" si="259">ES48/ES46*400</f>
        <v>6.8000000000000007</v>
      </c>
      <c r="ET55" s="98" t="str">
        <f t="shared" si="251"/>
        <v>NM</v>
      </c>
      <c r="EU55" s="1029">
        <f t="shared" ref="EU55" si="260">EU48/EU46*400</f>
        <v>6.8000000000000007</v>
      </c>
      <c r="EV55" s="98" t="str">
        <f t="shared" si="253"/>
        <v>NM</v>
      </c>
      <c r="EW55" s="1029">
        <f t="shared" ref="EW55" si="261">EW48/EW46*400</f>
        <v>6.8000000000000007</v>
      </c>
      <c r="EX55" s="98" t="str">
        <f t="shared" si="255"/>
        <v>NM</v>
      </c>
      <c r="EY55" s="125"/>
      <c r="EZ55" s="596"/>
      <c r="FA55" s="407"/>
      <c r="FB55" s="126"/>
      <c r="FC55" s="127"/>
      <c r="FD55" s="128"/>
      <c r="FE55" s="127"/>
      <c r="FF55" s="129"/>
      <c r="FG55" s="127"/>
      <c r="FH55" s="129"/>
      <c r="FI55" s="127"/>
      <c r="FJ55" s="129"/>
      <c r="FK55" s="127"/>
      <c r="FL55" s="129"/>
      <c r="FM55" s="127"/>
      <c r="FN55" s="129"/>
      <c r="FO55" s="127"/>
      <c r="FP55" s="129"/>
      <c r="FQ55" s="127"/>
      <c r="FR55" s="130"/>
      <c r="FS55" s="120"/>
      <c r="FT55" s="130"/>
      <c r="FU55" s="120"/>
      <c r="FV55" s="130"/>
      <c r="FW55" s="98"/>
      <c r="FX55" s="487"/>
      <c r="FY55" s="98"/>
      <c r="FZ55" s="130"/>
      <c r="GA55" s="98"/>
      <c r="GB55" s="487"/>
      <c r="GC55" s="98"/>
      <c r="GD55" s="130">
        <f>GD48/GD46*100</f>
        <v>14.435146443514643</v>
      </c>
      <c r="GE55" s="98"/>
      <c r="GF55" s="130">
        <f>GF48/GF46*100</f>
        <v>24.624060150375939</v>
      </c>
      <c r="GG55" s="98"/>
      <c r="GH55" s="130">
        <f>GH48/GH46*100</f>
        <v>7.2981366459627326</v>
      </c>
      <c r="GI55" s="98" t="str">
        <f t="shared" si="256"/>
        <v>NM</v>
      </c>
      <c r="GJ55" s="130">
        <f>GJ48/GJ46*100</f>
        <v>0.74738415545590431</v>
      </c>
      <c r="GK55" s="98" t="str">
        <f t="shared" si="256"/>
        <v>NM</v>
      </c>
      <c r="GL55" s="130">
        <f>GL48/GL46*100</f>
        <v>8.9341692789968654</v>
      </c>
      <c r="GM55" s="98" t="str">
        <f t="shared" si="256"/>
        <v>NM</v>
      </c>
      <c r="GN55" s="130">
        <f>GN48/GN46*100</f>
        <v>20.236530880420499</v>
      </c>
      <c r="GO55" s="98" t="str">
        <f t="shared" si="256"/>
        <v>NM</v>
      </c>
      <c r="GP55" s="130">
        <f>GP48/GP46*100</f>
        <v>4.0611997836870612</v>
      </c>
      <c r="GQ55" s="98" t="str">
        <f t="shared" si="256"/>
        <v>NM</v>
      </c>
      <c r="GR55" s="130">
        <f>GR48/GR46*100</f>
        <v>6.8000000000000007</v>
      </c>
      <c r="GS55" s="98">
        <f t="shared" si="256"/>
        <v>67.438204525522053</v>
      </c>
      <c r="GT55" s="130">
        <f>GT48/GT46*100</f>
        <v>6.8000000000000007</v>
      </c>
      <c r="GU55" s="98">
        <f t="shared" si="256"/>
        <v>0</v>
      </c>
      <c r="GV55" s="130">
        <f>GV48/GV46*100</f>
        <v>6.8000000000000007</v>
      </c>
      <c r="GW55" s="98">
        <f t="shared" si="256"/>
        <v>0</v>
      </c>
      <c r="GX55" s="130">
        <f>GX48/GX46*100</f>
        <v>6.8000000000000007</v>
      </c>
      <c r="GY55" s="98">
        <f t="shared" si="257"/>
        <v>0</v>
      </c>
      <c r="GZ55" s="98">
        <f>IF(ISERROR(((GX55/GN55)^0.2-1)*100),"NA",IF((((GX55/GN55)^0.2-1)*100)&gt;100,"NM",IF((((GX55/GN55)^0.2-1)*100)&lt;-50,"NM",((GX55/GN55)^0.2-1)*100)))</f>
        <v>-19.596571177908817</v>
      </c>
      <c r="HA55" s="98"/>
      <c r="HB55" s="10"/>
      <c r="HC55"/>
      <c r="HD55"/>
      <c r="HE55"/>
      <c r="HF55"/>
      <c r="HG55"/>
      <c r="HH55"/>
      <c r="HI55" s="10"/>
    </row>
    <row r="56" spans="2:217" s="2" customFormat="1" ht="12.75" customHeight="1" x14ac:dyDescent="0.2">
      <c r="B56" s="467" t="s">
        <v>363</v>
      </c>
      <c r="C56" s="124"/>
      <c r="D56" s="98"/>
      <c r="E56" s="124"/>
      <c r="F56" s="98"/>
      <c r="G56" s="124"/>
      <c r="H56" s="98"/>
      <c r="I56" s="124"/>
      <c r="J56" s="98"/>
      <c r="K56" s="124"/>
      <c r="L56" s="98"/>
      <c r="M56" s="124"/>
      <c r="N56" s="98"/>
      <c r="O56" s="124"/>
      <c r="P56" s="98"/>
      <c r="Q56" s="124"/>
      <c r="R56" s="98"/>
      <c r="S56" s="124"/>
      <c r="T56" s="98"/>
      <c r="U56" s="124"/>
      <c r="V56" s="98"/>
      <c r="W56" s="124"/>
      <c r="X56" s="98"/>
      <c r="Y56" s="124"/>
      <c r="Z56" s="98"/>
      <c r="AA56" s="124"/>
      <c r="AB56" s="98"/>
      <c r="AC56" s="124"/>
      <c r="AD56" s="98"/>
      <c r="AE56" s="124"/>
      <c r="AF56" s="98"/>
      <c r="AG56" s="124"/>
      <c r="AH56" s="98"/>
      <c r="AI56" s="124"/>
      <c r="AJ56" s="98"/>
      <c r="AK56" s="124"/>
      <c r="AL56" s="98"/>
      <c r="AM56" s="124"/>
      <c r="AN56" s="98"/>
      <c r="AO56" s="124"/>
      <c r="AP56" s="98"/>
      <c r="AQ56" s="124"/>
      <c r="AR56" s="98"/>
      <c r="AS56" s="124"/>
      <c r="AT56" s="98"/>
      <c r="AU56" s="124"/>
      <c r="AV56" s="98"/>
      <c r="AW56" s="124"/>
      <c r="AX56" s="98"/>
      <c r="AY56" s="106"/>
      <c r="AZ56" s="98"/>
      <c r="BA56" s="106"/>
      <c r="BB56" s="98"/>
      <c r="BC56" s="106"/>
      <c r="BD56" s="98"/>
      <c r="BE56" s="106"/>
      <c r="BF56" s="98"/>
      <c r="BG56" s="106"/>
      <c r="BH56" s="98"/>
      <c r="BI56" s="106"/>
      <c r="BJ56" s="98"/>
      <c r="BK56" s="106"/>
      <c r="BL56" s="98"/>
      <c r="BM56" s="106"/>
      <c r="BN56" s="98"/>
      <c r="BO56" s="106"/>
      <c r="BP56" s="98"/>
      <c r="BQ56" s="106"/>
      <c r="BR56" s="98"/>
      <c r="BS56" s="106"/>
      <c r="BT56" s="98"/>
      <c r="BU56" s="220"/>
      <c r="BV56" s="98"/>
      <c r="BW56" s="220"/>
      <c r="BX56" s="98"/>
      <c r="BY56" s="220"/>
      <c r="BZ56" s="98"/>
      <c r="CA56" s="220"/>
      <c r="CB56" s="98"/>
      <c r="CC56" s="220"/>
      <c r="CD56" s="98"/>
      <c r="CE56" s="220"/>
      <c r="CF56" s="98"/>
      <c r="CG56" s="220"/>
      <c r="CH56" s="98"/>
      <c r="CI56" s="220"/>
      <c r="CJ56" s="98"/>
      <c r="CK56" s="220"/>
      <c r="CL56" s="98"/>
      <c r="CM56" s="220"/>
      <c r="CN56" s="98"/>
      <c r="CO56" s="220"/>
      <c r="CP56" s="98"/>
      <c r="CQ56" s="509">
        <f>(CQ55/4)/CQ$26*100</f>
        <v>87.269233274705243</v>
      </c>
      <c r="CR56" s="98"/>
      <c r="CS56" s="220">
        <f>(CS55/4)/CS$26*100</f>
        <v>68.664082211406381</v>
      </c>
      <c r="CT56" s="98"/>
      <c r="CU56" s="220">
        <f>(CU55/4)/CU$26*100</f>
        <v>92.424538126662796</v>
      </c>
      <c r="CV56" s="98"/>
      <c r="CW56" s="220">
        <f>(CW55/4)/CW$26*100</f>
        <v>103.68391865098839</v>
      </c>
      <c r="CX56" s="98"/>
      <c r="CY56" s="220">
        <f>(CY55/4)/CY$26*100</f>
        <v>95.630728619755374</v>
      </c>
      <c r="CZ56" s="98"/>
      <c r="DA56" s="220">
        <f>(DA55/4)/DA$26*100</f>
        <v>-80.407397480568221</v>
      </c>
      <c r="DB56" s="98"/>
      <c r="DC56" s="220">
        <f>(DC55/4)/DC$26*100</f>
        <v>71.699868227269206</v>
      </c>
      <c r="DD56" s="98"/>
      <c r="DE56" s="220">
        <f>(DE55/4)/DE$26*100</f>
        <v>66.72597864768683</v>
      </c>
      <c r="DF56" s="98"/>
      <c r="DG56" s="220">
        <f>(DG55/4)/DG$26*100</f>
        <v>168.05998448677067</v>
      </c>
      <c r="DH56" s="98"/>
      <c r="DI56" s="220">
        <f>(DI55/4)/DI$26*100</f>
        <v>77.183798114030665</v>
      </c>
      <c r="DJ56" s="98"/>
      <c r="DK56" s="220">
        <f>(DK55/4)/DK$26*100</f>
        <v>107.5011944577162</v>
      </c>
      <c r="DL56" s="98"/>
      <c r="DM56" s="220">
        <f>(DM55/4)/DM$26*100</f>
        <v>85.63335748633159</v>
      </c>
      <c r="DN56" s="98">
        <f t="shared" si="239"/>
        <v>28.335858419515624</v>
      </c>
      <c r="DO56" s="220">
        <f>(DO55/4)/DO$26*100</f>
        <v>1436.0259196679874</v>
      </c>
      <c r="DP56" s="98" t="str">
        <f t="shared" si="239"/>
        <v>NM</v>
      </c>
      <c r="DQ56" s="220">
        <f>(DQ55/4)/DQ$26*100</f>
        <v>44.734809641869738</v>
      </c>
      <c r="DR56" s="98">
        <f t="shared" si="239"/>
        <v>-42.041191629648857</v>
      </c>
      <c r="DS56" s="220">
        <f>(DS55/4)/DS$26*100</f>
        <v>672.64573991031386</v>
      </c>
      <c r="DT56" s="98" t="str">
        <f t="shared" si="239"/>
        <v>NM</v>
      </c>
      <c r="DU56" s="220">
        <f>(DU55/4)/DU$26*100</f>
        <v>147.71048744460856</v>
      </c>
      <c r="DV56" s="98">
        <f t="shared" si="239"/>
        <v>72.491762299738681</v>
      </c>
      <c r="DW56" s="220">
        <f>(DW55/4)/DW$26*100</f>
        <v>94.000023461318449</v>
      </c>
      <c r="DX56" s="98" t="str">
        <f t="shared" si="239"/>
        <v>NM</v>
      </c>
      <c r="DY56" s="220">
        <f>(DY55/4)/DY$26*100</f>
        <v>80.861547859048528</v>
      </c>
      <c r="DZ56" s="98">
        <f t="shared" si="239"/>
        <v>80.757554366266532</v>
      </c>
      <c r="EA56" s="220">
        <f>(EA55/4)/EA$26*100</f>
        <v>-81.105511686044593</v>
      </c>
      <c r="EB56" s="98" t="str">
        <f t="shared" si="240"/>
        <v>NM</v>
      </c>
      <c r="EC56" s="220">
        <f>(EC55/4)/EC$26*100</f>
        <v>152.5967007795218</v>
      </c>
      <c r="ED56" s="98">
        <f t="shared" si="241"/>
        <v>3.307966427736253</v>
      </c>
      <c r="EE56" s="220">
        <f>(EE55/4)/EE$26*100</f>
        <v>179.42894403922665</v>
      </c>
      <c r="EF56" s="860">
        <f t="shared" si="242"/>
        <v>90.881807718976475</v>
      </c>
      <c r="EG56" s="220">
        <f>(EG55/4)/EG$26*100</f>
        <v>57.438137809662329</v>
      </c>
      <c r="EH56" s="860">
        <f t="shared" si="243"/>
        <v>-28.967303581939884</v>
      </c>
      <c r="EI56" s="220">
        <f>(EI55/4)/EI$26*100</f>
        <v>111.60860914391402</v>
      </c>
      <c r="EJ56" s="860" t="str">
        <f t="shared" si="244"/>
        <v>NM</v>
      </c>
      <c r="EK56" s="220">
        <f>(EK55/4)/EK$26*100</f>
        <v>147.19848053181386</v>
      </c>
      <c r="EL56" s="860">
        <f t="shared" si="245"/>
        <v>-3.5375733683177812</v>
      </c>
      <c r="EM56" s="220">
        <f>(EM55/4)/EM$26*100</f>
        <v>116.29452418926103</v>
      </c>
      <c r="EN56" s="860">
        <f t="shared" si="246"/>
        <v>-35.18630741992397</v>
      </c>
      <c r="EO56" s="220">
        <f>(EO55/4)/EO$26*100</f>
        <v>74.752042007001165</v>
      </c>
      <c r="EP56" s="98">
        <f t="shared" si="247"/>
        <v>30.143568119693231</v>
      </c>
      <c r="EQ56" s="1026">
        <v>85</v>
      </c>
      <c r="ER56" s="98">
        <f t="shared" si="249"/>
        <v>-23.841000571562965</v>
      </c>
      <c r="ES56" s="1026">
        <v>85</v>
      </c>
      <c r="ET56" s="98">
        <f t="shared" si="251"/>
        <v>-42.254838709677415</v>
      </c>
      <c r="EU56" s="1026">
        <v>85</v>
      </c>
      <c r="EV56" s="98">
        <f t="shared" si="253"/>
        <v>-26.90971428571428</v>
      </c>
      <c r="EW56" s="1026">
        <v>85</v>
      </c>
      <c r="EX56" s="98">
        <f t="shared" si="255"/>
        <v>13.70926829268293</v>
      </c>
      <c r="EY56" s="125"/>
      <c r="EZ56" s="596"/>
      <c r="FA56" s="407"/>
      <c r="FB56" s="126"/>
      <c r="FC56" s="127"/>
      <c r="FD56" s="128"/>
      <c r="FE56" s="127"/>
      <c r="FF56" s="129"/>
      <c r="FG56" s="127"/>
      <c r="FH56" s="129"/>
      <c r="FI56" s="127"/>
      <c r="FJ56" s="129"/>
      <c r="FK56" s="127"/>
      <c r="FL56" s="129"/>
      <c r="FM56" s="127"/>
      <c r="FN56" s="129"/>
      <c r="FO56" s="127"/>
      <c r="FP56" s="129"/>
      <c r="FQ56" s="127"/>
      <c r="FR56" s="130"/>
      <c r="FS56" s="120"/>
      <c r="FT56" s="130"/>
      <c r="FU56" s="120"/>
      <c r="FV56" s="130"/>
      <c r="FW56" s="98"/>
      <c r="FX56" s="487"/>
      <c r="FY56" s="98"/>
      <c r="FZ56" s="130"/>
      <c r="GA56" s="98"/>
      <c r="GB56" s="487"/>
      <c r="GC56" s="98"/>
      <c r="GD56" s="130"/>
      <c r="GE56" s="98"/>
      <c r="GF56" s="130"/>
      <c r="GG56" s="98"/>
      <c r="GH56" s="130"/>
      <c r="GI56" s="98"/>
      <c r="GJ56" s="130"/>
      <c r="GK56" s="98"/>
      <c r="GL56" s="130"/>
      <c r="GM56" s="98"/>
      <c r="GN56" s="130"/>
      <c r="GO56" s="98"/>
      <c r="GP56" s="130"/>
      <c r="GQ56" s="98"/>
      <c r="GR56" s="80">
        <v>85</v>
      </c>
      <c r="GS56" s="98"/>
      <c r="GT56" s="80">
        <v>85</v>
      </c>
      <c r="GU56" s="98"/>
      <c r="GV56" s="80">
        <v>85</v>
      </c>
      <c r="GW56" s="98"/>
      <c r="GX56" s="80">
        <v>85</v>
      </c>
      <c r="GY56" s="98"/>
      <c r="GZ56" s="98" t="str">
        <f>IF(ISERROR(((GX56/GN56)^0.2-1)*100),"NA",IF((((GX56/GN56)^0.2-1)*100)&gt;100,"NM",IF((((GX56/GN56)^0.2-1)*100)&lt;-50,"NM",((GX56/GN56)^0.2-1)*100)))</f>
        <v>NA</v>
      </c>
      <c r="HA56" s="98"/>
      <c r="HB56" s="10"/>
      <c r="HC56"/>
      <c r="HD56"/>
      <c r="HE56"/>
      <c r="HF56"/>
      <c r="HG56"/>
      <c r="HH56"/>
      <c r="HI56" s="10"/>
    </row>
    <row r="57" spans="2:217" s="2" customFormat="1" ht="12.75" customHeight="1" x14ac:dyDescent="0.2">
      <c r="B57" s="91"/>
      <c r="C57" s="94"/>
      <c r="D57" s="92"/>
      <c r="E57" s="94"/>
      <c r="F57" s="92"/>
      <c r="G57" s="94"/>
      <c r="H57" s="92"/>
      <c r="I57" s="94"/>
      <c r="J57" s="98"/>
      <c r="K57" s="94"/>
      <c r="L57" s="98"/>
      <c r="M57" s="94"/>
      <c r="N57" s="98"/>
      <c r="O57" s="94"/>
      <c r="P57" s="98"/>
      <c r="Q57" s="94"/>
      <c r="R57" s="98"/>
      <c r="S57" s="94"/>
      <c r="T57" s="98"/>
      <c r="U57" s="94"/>
      <c r="V57" s="98"/>
      <c r="W57" s="94"/>
      <c r="X57" s="98"/>
      <c r="Y57" s="94"/>
      <c r="Z57" s="98"/>
      <c r="AA57" s="94"/>
      <c r="AB57" s="98"/>
      <c r="AC57" s="94"/>
      <c r="AD57" s="98"/>
      <c r="AE57" s="94"/>
      <c r="AF57" s="98"/>
      <c r="AG57" s="94"/>
      <c r="AH57" s="98"/>
      <c r="AI57" s="94"/>
      <c r="AJ57" s="98"/>
      <c r="AK57" s="94"/>
      <c r="AL57" s="98"/>
      <c r="AM57" s="94"/>
      <c r="AN57" s="98"/>
      <c r="AO57" s="94"/>
      <c r="AP57" s="98"/>
      <c r="AQ57" s="94"/>
      <c r="AR57" s="98"/>
      <c r="AS57" s="94"/>
      <c r="AT57" s="98"/>
      <c r="AU57" s="94"/>
      <c r="AV57" s="98"/>
      <c r="AW57" s="94"/>
      <c r="AX57" s="98"/>
      <c r="AY57" s="94"/>
      <c r="AZ57" s="98"/>
      <c r="BA57" s="94"/>
      <c r="BB57" s="98"/>
      <c r="BC57" s="94"/>
      <c r="BD57" s="98"/>
      <c r="BE57" s="94"/>
      <c r="BF57" s="98"/>
      <c r="BG57" s="94"/>
      <c r="BH57" s="98"/>
      <c r="BI57" s="94"/>
      <c r="BJ57" s="98"/>
      <c r="BK57" s="94"/>
      <c r="BL57" s="98"/>
      <c r="BM57" s="94"/>
      <c r="BN57" s="98"/>
      <c r="BO57" s="94"/>
      <c r="BP57" s="98"/>
      <c r="BQ57" s="94"/>
      <c r="BR57" s="98"/>
      <c r="BS57" s="94"/>
      <c r="BT57" s="98"/>
      <c r="BU57" s="94"/>
      <c r="BV57" s="98"/>
      <c r="BW57" s="94"/>
      <c r="BX57" s="98"/>
      <c r="BY57" s="94"/>
      <c r="BZ57" s="98"/>
      <c r="CA57" s="94"/>
      <c r="CB57" s="98"/>
      <c r="CC57" s="94"/>
      <c r="CD57" s="98"/>
      <c r="CE57" s="94"/>
      <c r="CF57" s="98"/>
      <c r="CG57" s="94"/>
      <c r="CH57" s="98"/>
      <c r="CI57" s="94"/>
      <c r="CJ57" s="98"/>
      <c r="CK57" s="94"/>
      <c r="CL57" s="98"/>
      <c r="CM57" s="94"/>
      <c r="CN57" s="98"/>
      <c r="CO57" s="94"/>
      <c r="CP57" s="98"/>
      <c r="CQ57" s="533"/>
      <c r="CR57" s="98"/>
      <c r="CS57" s="94"/>
      <c r="CT57" s="98"/>
      <c r="CU57" s="94"/>
      <c r="CV57" s="98"/>
      <c r="CW57" s="94"/>
      <c r="CX57" s="98"/>
      <c r="CY57" s="94"/>
      <c r="CZ57" s="98"/>
      <c r="DA57" s="94"/>
      <c r="DB57" s="98"/>
      <c r="DC57" s="94"/>
      <c r="DD57" s="98"/>
      <c r="DE57" s="94"/>
      <c r="DF57" s="98"/>
      <c r="DG57" s="94"/>
      <c r="DH57" s="98"/>
      <c r="DI57" s="94"/>
      <c r="DJ57" s="98"/>
      <c r="DK57" s="94"/>
      <c r="DL57" s="98"/>
      <c r="DM57" s="94"/>
      <c r="DN57" s="98"/>
      <c r="DO57" s="94"/>
      <c r="DP57" s="98"/>
      <c r="DQ57" s="94"/>
      <c r="DR57" s="98"/>
      <c r="DS57" s="94"/>
      <c r="DT57" s="98"/>
      <c r="DU57" s="94"/>
      <c r="DV57" s="98"/>
      <c r="DW57" s="94"/>
      <c r="DX57" s="98"/>
      <c r="DY57" s="94"/>
      <c r="DZ57" s="98"/>
      <c r="EA57" s="94"/>
      <c r="EB57" s="98"/>
      <c r="EC57" s="94"/>
      <c r="ED57" s="98"/>
      <c r="EE57" s="94"/>
      <c r="EF57" s="860"/>
      <c r="EG57" s="94"/>
      <c r="EH57" s="860"/>
      <c r="EI57" s="94"/>
      <c r="EJ57" s="860"/>
      <c r="EK57" s="94"/>
      <c r="EL57" s="860"/>
      <c r="EM57" s="94"/>
      <c r="EN57" s="860"/>
      <c r="EO57" s="94"/>
      <c r="EP57" s="98"/>
      <c r="EQ57" s="789"/>
      <c r="ER57" s="98"/>
      <c r="ES57" s="789"/>
      <c r="ET57" s="98"/>
      <c r="EU57" s="789"/>
      <c r="EV57" s="98"/>
      <c r="EW57" s="789"/>
      <c r="EX57" s="98"/>
      <c r="EY57" s="95"/>
      <c r="EZ57" s="594"/>
      <c r="FA57" s="405"/>
      <c r="FB57" s="94"/>
      <c r="FC57" s="92"/>
      <c r="FD57" s="94"/>
      <c r="FE57" s="92"/>
      <c r="FF57" s="95"/>
      <c r="FG57" s="92"/>
      <c r="FH57" s="95"/>
      <c r="FI57" s="92"/>
      <c r="FJ57" s="95"/>
      <c r="FK57" s="92"/>
      <c r="FL57" s="95"/>
      <c r="FM57" s="92"/>
      <c r="FN57" s="95"/>
      <c r="FO57" s="92"/>
      <c r="FP57" s="95"/>
      <c r="FQ57" s="92"/>
      <c r="FR57" s="96"/>
      <c r="FS57" s="97"/>
      <c r="FT57" s="96"/>
      <c r="FU57" s="97"/>
      <c r="FV57" s="96"/>
      <c r="FW57" s="98"/>
      <c r="FX57" s="480"/>
      <c r="FY57" s="98"/>
      <c r="FZ57" s="96"/>
      <c r="GA57" s="98"/>
      <c r="GB57" s="480"/>
      <c r="GC57" s="98"/>
      <c r="GD57" s="96"/>
      <c r="GE57" s="98"/>
      <c r="GF57" s="96"/>
      <c r="GG57" s="98"/>
      <c r="GH57" s="96"/>
      <c r="GI57" s="98"/>
      <c r="GJ57" s="96"/>
      <c r="GK57" s="98"/>
      <c r="GL57" s="96"/>
      <c r="GM57" s="98"/>
      <c r="GN57" s="96"/>
      <c r="GO57" s="98"/>
      <c r="GP57" s="96"/>
      <c r="GQ57" s="98"/>
      <c r="GR57" s="95"/>
      <c r="GS57" s="98"/>
      <c r="GT57" s="95"/>
      <c r="GU57" s="98"/>
      <c r="GV57" s="95"/>
      <c r="GW57" s="98"/>
      <c r="GX57" s="95"/>
      <c r="GY57" s="98"/>
      <c r="GZ57" s="98"/>
      <c r="HA57" s="98"/>
      <c r="HB57" s="10"/>
      <c r="HC57"/>
      <c r="HD57"/>
      <c r="HE57"/>
      <c r="HF57"/>
      <c r="HG57"/>
      <c r="HH57"/>
      <c r="HI57" s="10"/>
    </row>
    <row r="58" spans="2:217" s="2" customFormat="1" ht="12.75" customHeight="1" x14ac:dyDescent="0.2">
      <c r="B58" s="91" t="s">
        <v>156</v>
      </c>
      <c r="C58" s="94"/>
      <c r="D58" s="92"/>
      <c r="E58" s="94"/>
      <c r="F58" s="92"/>
      <c r="G58" s="94"/>
      <c r="H58" s="92"/>
      <c r="I58" s="94"/>
      <c r="J58" s="98"/>
      <c r="K58" s="94"/>
      <c r="L58" s="98"/>
      <c r="M58" s="94"/>
      <c r="N58" s="98"/>
      <c r="O58" s="94"/>
      <c r="P58" s="98"/>
      <c r="Q58" s="94"/>
      <c r="R58" s="98"/>
      <c r="S58" s="94"/>
      <c r="T58" s="98"/>
      <c r="U58" s="94"/>
      <c r="V58" s="98"/>
      <c r="W58" s="94"/>
      <c r="X58" s="98"/>
      <c r="Y58" s="94"/>
      <c r="Z58" s="98"/>
      <c r="AA58" s="94"/>
      <c r="AB58" s="98"/>
      <c r="AC58" s="94"/>
      <c r="AD58" s="98"/>
      <c r="AE58" s="94"/>
      <c r="AF58" s="98"/>
      <c r="AG58" s="94"/>
      <c r="AH58" s="98"/>
      <c r="AI58" s="94"/>
      <c r="AJ58" s="98"/>
      <c r="AK58" s="94"/>
      <c r="AL58" s="98"/>
      <c r="AM58" s="94"/>
      <c r="AN58" s="98"/>
      <c r="AO58" s="94"/>
      <c r="AP58" s="98"/>
      <c r="AQ58" s="94"/>
      <c r="AR58" s="98"/>
      <c r="AS58" s="94"/>
      <c r="AT58" s="98"/>
      <c r="AU58" s="94"/>
      <c r="AV58" s="98"/>
      <c r="AW58" s="94"/>
      <c r="AX58" s="98"/>
      <c r="AY58" s="94"/>
      <c r="AZ58" s="98"/>
      <c r="BA58" s="94"/>
      <c r="BB58" s="98"/>
      <c r="BC58" s="94"/>
      <c r="BD58" s="98"/>
      <c r="BE58" s="94"/>
      <c r="BF58" s="98"/>
      <c r="BG58" s="94"/>
      <c r="BH58" s="98"/>
      <c r="BI58" s="94"/>
      <c r="BJ58" s="98"/>
      <c r="BK58" s="94"/>
      <c r="BL58" s="98"/>
      <c r="BM58" s="94"/>
      <c r="BN58" s="98"/>
      <c r="BO58" s="94"/>
      <c r="BP58" s="98"/>
      <c r="BQ58" s="94"/>
      <c r="BR58" s="98"/>
      <c r="BS58" s="96"/>
      <c r="BT58" s="98"/>
      <c r="BU58" s="96"/>
      <c r="BV58" s="98"/>
      <c r="BW58" s="96"/>
      <c r="BX58" s="98"/>
      <c r="BY58" s="96"/>
      <c r="BZ58" s="98"/>
      <c r="CA58" s="96"/>
      <c r="CB58" s="98"/>
      <c r="CC58" s="96"/>
      <c r="CD58" s="98"/>
      <c r="CE58" s="96"/>
      <c r="CF58" s="98"/>
      <c r="CG58" s="96"/>
      <c r="CH58" s="98"/>
      <c r="CI58" s="96"/>
      <c r="CJ58" s="98"/>
      <c r="CK58" s="96"/>
      <c r="CL58" s="98"/>
      <c r="CM58" s="96"/>
      <c r="CN58" s="98"/>
      <c r="CO58" s="96"/>
      <c r="CP58" s="98"/>
      <c r="CQ58" s="480">
        <f>CQ38+CQ51</f>
        <v>25817</v>
      </c>
      <c r="CR58" s="98" t="str">
        <f>IF(ISERROR((CQ58/CI58-1)*100),"NA",IF(((CQ58/CI58-1)*100)&gt;100,"NM",IF(((CQ58/CI58-1)*100)&lt;-50,"NM",(CQ58/CI58-1)*100)))</f>
        <v>NA</v>
      </c>
      <c r="CS58" s="96">
        <f>CS38+CS51</f>
        <v>26060</v>
      </c>
      <c r="CT58" s="98" t="str">
        <f>IF(ISERROR((CS58/CK58-1)*100),"NA",IF(((CS58/CK58-1)*100)&gt;100,"NM",IF(((CS58/CK58-1)*100)&lt;-50,"NM",(CS58/CK58-1)*100)))</f>
        <v>NA</v>
      </c>
      <c r="CU58" s="96">
        <f>CU38+CU51</f>
        <v>26189</v>
      </c>
      <c r="CV58" s="98" t="str">
        <f>IF(ISERROR((CU58/CM58-1)*100),"NA",IF(((CU58/CM58-1)*100)&gt;100,"NM",IF(((CU58/CM58-1)*100)&lt;-50,"NM",(CU58/CM58-1)*100)))</f>
        <v>NA</v>
      </c>
      <c r="CW58" s="96">
        <f>CW38+CW51</f>
        <v>27150</v>
      </c>
      <c r="CX58" s="98" t="str">
        <f>IF(ISERROR((CW58/CO58-1)*100),"NA",IF(((CW58/CO58-1)*100)&gt;100,"NM",IF(((CW58/CO58-1)*100)&lt;-50,"NM",(CW58/CO58-1)*100)))</f>
        <v>NA</v>
      </c>
      <c r="CY58" s="96">
        <f>CY38+CY51</f>
        <v>27455</v>
      </c>
      <c r="CZ58" s="98">
        <f>IF(ISERROR((CY58/CQ58-1)*100),"NA",IF(((CY58/CQ58-1)*100)&gt;100,"NM",IF(((CY58/CQ58-1)*100)&lt;-50,"NM",(CY58/CQ58-1)*100)))</f>
        <v>6.3446566216059264</v>
      </c>
      <c r="DA58" s="96">
        <f>DA38+DA51</f>
        <v>27304</v>
      </c>
      <c r="DB58" s="98">
        <f>IF(ISERROR((DA58/CS58-1)*100),"NA",IF(((DA58/CS58-1)*100)&gt;100,"NM",IF(((DA58/CS58-1)*100)&lt;-50,"NM",(DA58/CS58-1)*100)))</f>
        <v>4.7735993860322345</v>
      </c>
      <c r="DC58" s="96">
        <f>DC38+DC51</f>
        <v>27006</v>
      </c>
      <c r="DD58" s="98">
        <f>IF(ISERROR((DC58/CU58-1)*100),"NA",IF(((DC58/CU58-1)*100)&gt;100,"NM",IF(((DC58/CU58-1)*100)&lt;-50,"NM",(DC58/CU58-1)*100)))</f>
        <v>3.1196303791668267</v>
      </c>
      <c r="DE58" s="96">
        <f>DE38+DE51</f>
        <v>26540</v>
      </c>
      <c r="DF58" s="98">
        <f>IF(ISERROR((DE58/CW58-1)*100),"NA",IF(((DE58/CW58-1)*100)&gt;100,"NM",IF(((DE58/CW58-1)*100)&lt;-50,"NM",(DE58/CW58-1)*100)))</f>
        <v>-2.2467771639042344</v>
      </c>
      <c r="DG58" s="96">
        <f>DG38+DG51</f>
        <v>26666</v>
      </c>
      <c r="DH58" s="98">
        <f>IF(ISERROR((DG58/CY58-1)*100),"NA",IF(((DG58/CY58-1)*100)&gt;100,"NM",IF(((DG58/CY58-1)*100)&lt;-50,"NM",(DG58/CY58-1)*100)))</f>
        <v>-2.8737934802403942</v>
      </c>
      <c r="DI58" s="96">
        <f>DI38+DI51</f>
        <v>26872</v>
      </c>
      <c r="DJ58" s="98">
        <f>IF(ISERROR((DI58/DA58-1)*100),"NA",IF(((DI58/DA58-1)*100)&gt;100,"NM",IF(((DI58/DA58-1)*100)&lt;-50,"NM",(DI58/DA58-1)*100)))</f>
        <v>-1.5821857603281586</v>
      </c>
      <c r="DK58" s="96">
        <f>DK38+DK51</f>
        <v>27106</v>
      </c>
      <c r="DL58" s="98">
        <f>IF(ISERROR((DK58/DC58-1)*100),"NA",IF(((DK58/DC58-1)*100)&gt;100,"NM",IF(((DK58/DC58-1)*100)&lt;-50,"NM",(DK58/DC58-1)*100)))</f>
        <v>0.37028808412944425</v>
      </c>
      <c r="DM58" s="96">
        <f>DM38+DM51</f>
        <v>27324</v>
      </c>
      <c r="DN58" s="98">
        <f>IF(ISERROR((DM58/DE58-1)*100),"NA",IF(((DM58/DE58-1)*100)&gt;100,"NM",IF(((DM58/DE58-1)*100)&lt;-50,"NM",(DM58/DE58-1)*100)))</f>
        <v>2.9540316503391173</v>
      </c>
      <c r="DO58" s="96">
        <f>DO38+DO51</f>
        <v>27428</v>
      </c>
      <c r="DP58" s="98">
        <f>IF(ISERROR((DO58/DG58-1)*100),"NA",IF(((DO58/DG58-1)*100)&gt;100,"NM",IF(((DO58/DG58-1)*100)&lt;-50,"NM",(DO58/DG58-1)*100)))</f>
        <v>2.8575714392859775</v>
      </c>
      <c r="DQ58" s="96">
        <f>DQ38+DQ51</f>
        <v>27607</v>
      </c>
      <c r="DR58" s="98">
        <f>IF(ISERROR((DQ58/DI58-1)*100),"NA",IF(((DQ58/DI58-1)*100)&gt;100,"NM",IF(((DQ58/DI58-1)*100)&lt;-50,"NM",(DQ58/DI58-1)*100)))</f>
        <v>2.7351890443584326</v>
      </c>
      <c r="DS58" s="96">
        <f>DS38+DS51</f>
        <v>19355</v>
      </c>
      <c r="DT58" s="98">
        <f>IF(ISERROR((DS58/DK58-1)*100),"NA",IF(((DS58/DK58-1)*100)&gt;100,"NM",IF(((DS58/DK58-1)*100)&lt;-50,"NM",(DS58/DK58-1)*100)))</f>
        <v>-28.595144986349887</v>
      </c>
      <c r="DU58" s="96">
        <f>DU38+DU51</f>
        <v>19323</v>
      </c>
      <c r="DV58" s="98">
        <f>IF(ISERROR((DU58/DM58-1)*100),"NA",IF(((DU58/DM58-1)*100)&gt;100,"NM",IF(((DU58/DM58-1)*100)&lt;-50,"NM",(DU58/DM58-1)*100)))</f>
        <v>-29.281949934123851</v>
      </c>
      <c r="DW58" s="96">
        <f>DW38+DW51</f>
        <v>19257</v>
      </c>
      <c r="DX58" s="98">
        <f>IF(ISERROR((DW58/DO58-1)*100),"NA",IF(((DW58/DO58-1)*100)&gt;100,"NM",IF(((DW58/DO58-1)*100)&lt;-50,"NM",(DW58/DO58-1)*100)))</f>
        <v>-29.790724806766811</v>
      </c>
      <c r="DY58" s="96">
        <f>DY38+DY51</f>
        <v>19306</v>
      </c>
      <c r="DZ58" s="98">
        <f>IF(ISERROR((DY58/DQ58-1)*100),"NA",IF(((DY58/DQ58-1)*100)&gt;100,"NM",IF(((DY58/DQ58-1)*100)&lt;-50,"NM",(DY58/DQ58-1)*100)))</f>
        <v>-30.068460897598438</v>
      </c>
      <c r="EA58" s="96">
        <f>EA38+EA51</f>
        <v>19366</v>
      </c>
      <c r="EB58" s="98">
        <f>IF(ISERROR((EA58/DS58-1)*100),"NA",IF(((EA58/DS58-1)*100)&gt;100,"NM",IF(((EA58/DS58-1)*100)&lt;-50,"NM",(EA58/DS58-1)*100)))</f>
        <v>5.6832859726174689E-2</v>
      </c>
      <c r="EC58" s="96">
        <f>EC38+EC51</f>
        <v>19424</v>
      </c>
      <c r="ED58" s="98">
        <f>IF(ISERROR((EC58/DU58-1)*100),"NA",IF(((EC58/DU58-1)*100)&gt;100,"NM",IF(((EC58/DU58-1)*100)&lt;-50,"NM",(EC58/DU58-1)*100)))</f>
        <v>0.52269316358743989</v>
      </c>
      <c r="EE58" s="96">
        <f>EE38+EE51</f>
        <v>19651</v>
      </c>
      <c r="EF58" s="860">
        <f>IF(ISERROR((EE58/DW58-1)*100),"NA",IF(((EE58/DW58-1)*100)&gt;100,"NM",IF(((EE58/DW58-1)*100)&lt;-50,"NM",(EE58/DW58-1)*100)))</f>
        <v>2.0460092433920218</v>
      </c>
      <c r="EG58" s="96">
        <f>EG38+EG51</f>
        <v>19670</v>
      </c>
      <c r="EH58" s="860">
        <f>IF(ISERROR((EG58/DY58-1)*100),"NA",IF(((EG58/DY58-1)*100)&gt;100,"NM",IF(((EG58/DY58-1)*100)&lt;-50,"NM",(EG58/DY58-1)*100)))</f>
        <v>1.8854242204495941</v>
      </c>
      <c r="EI58" s="96">
        <f>EI38+EI51</f>
        <v>19792</v>
      </c>
      <c r="EJ58" s="860">
        <f t="shared" ref="EJ58" si="262">IF(ISERROR((EI58/EA58-1)*100),"NA",IF(((EI58/EA58-1)*100)&gt;100,"NM",IF(((EI58/EA58-1)*100)&lt;-50,"NM",(EI58/EA58-1)*100)))</f>
        <v>2.1997314881751606</v>
      </c>
      <c r="EK58" s="96">
        <f>EK38+EK51</f>
        <v>19790</v>
      </c>
      <c r="EL58" s="860">
        <f t="shared" ref="EL58" si="263">IF(ISERROR((EK58/EC58-1)*100),"NA",IF(((EK58/EC58-1)*100)&gt;100,"NM",IF(((EK58/EC58-1)*100)&lt;-50,"NM",(EK58/EC58-1)*100)))</f>
        <v>1.8842668863261913</v>
      </c>
      <c r="EM58" s="96">
        <f>EM38+EM51</f>
        <v>19796</v>
      </c>
      <c r="EN58" s="860">
        <f t="shared" ref="EN58" si="264">IF(ISERROR((EM58/EE58-1)*100),"NA",IF(((EM58/EE58-1)*100)&gt;100,"NM",IF(((EM58/EE58-1)*100)&lt;-50,"NM",(EM58/EE58-1)*100)))</f>
        <v>0.73787593506691174</v>
      </c>
      <c r="EO58" s="96">
        <f>EO38+EO51</f>
        <v>19816</v>
      </c>
      <c r="EP58" s="98">
        <f t="shared" ref="EP58" si="265">IF(ISERROR((EO58/EG58-1)*100),"NA",IF(((EO58/EG58-1)*100)&gt;100,"NM",IF(((EO58/EG58-1)*100)&lt;-50,"NM",(EO58/EG58-1)*100)))</f>
        <v>0.74224707676664448</v>
      </c>
      <c r="EQ58" s="778">
        <f t="shared" ref="EQ58" si="266">EQ38+EQ51</f>
        <v>19921.584691181077</v>
      </c>
      <c r="ER58" s="98">
        <f t="shared" ref="ER58" si="267">IF(ISERROR((EQ58/EI58-1)*100),"NA",IF(((EQ58/EI58-1)*100)&gt;100,"NM",IF(((EQ58/EI58-1)*100)&lt;-50,"NM",(EQ58/EI58-1)*100)))</f>
        <v>0.6547326757330163</v>
      </c>
      <c r="ES58" s="778">
        <f t="shared" ref="ES58" si="268">ES38+ES51</f>
        <v>19984.687132120449</v>
      </c>
      <c r="ET58" s="98">
        <f t="shared" ref="ET58" si="269">IF(ISERROR((ES58/EK58-1)*100),"NA",IF(((ES58/EK58-1)*100)&gt;100,"NM",IF(((ES58/EK58-1)*100)&lt;-50,"NM",(ES58/EK58-1)*100)))</f>
        <v>0.98376519515133154</v>
      </c>
      <c r="EU58" s="778">
        <f t="shared" ref="EU58" si="270">EU38+EU51</f>
        <v>20040.704201942775</v>
      </c>
      <c r="EV58" s="98">
        <f t="shared" ref="EV58" si="271">IF(ISERROR((EU58/EM58-1)*100),"NA",IF(((EU58/EM58-1)*100)&gt;100,"NM",IF(((EU58/EM58-1)*100)&lt;-50,"NM",(EU58/EM58-1)*100)))</f>
        <v>1.236129530929353</v>
      </c>
      <c r="EW58" s="778">
        <f t="shared" ref="EW58" si="272">EW38+EW51</f>
        <v>20045.62311088667</v>
      </c>
      <c r="EX58" s="98">
        <f t="shared" ref="EX58" si="273">IF(ISERROR((EW58/EO58-1)*100),"NA",IF(((EW58/EO58-1)*100)&gt;100,"NM",IF(((EW58/EO58-1)*100)&lt;-50,"NM",(EW58/EO58-1)*100)))</f>
        <v>1.1587762963598536</v>
      </c>
      <c r="EY58" s="96"/>
      <c r="EZ58" s="594"/>
      <c r="FA58" s="405"/>
      <c r="FB58" s="94"/>
      <c r="FC58" s="92"/>
      <c r="FD58" s="94"/>
      <c r="FE58" s="92"/>
      <c r="FF58" s="95"/>
      <c r="FG58" s="92"/>
      <c r="FH58" s="95"/>
      <c r="FI58" s="92"/>
      <c r="FJ58" s="95"/>
      <c r="FK58" s="92"/>
      <c r="FL58" s="95"/>
      <c r="FM58" s="92"/>
      <c r="FN58" s="95"/>
      <c r="FO58" s="92"/>
      <c r="FP58" s="95"/>
      <c r="FQ58" s="92"/>
      <c r="FR58" s="96"/>
      <c r="FS58" s="97"/>
      <c r="FT58" s="96"/>
      <c r="FU58" s="97"/>
      <c r="FV58" s="96"/>
      <c r="FW58" s="98"/>
      <c r="FX58" s="480"/>
      <c r="FY58" s="98"/>
      <c r="FZ58" s="96"/>
      <c r="GA58" s="98"/>
      <c r="GB58" s="480"/>
      <c r="GC58" s="98"/>
      <c r="GD58" s="96">
        <f>GD38+GD51</f>
        <v>27304</v>
      </c>
      <c r="GE58" s="98" t="str">
        <f>IF(ISERROR((GD58/GB58-1)*100),"NA",IF(((GD58/GB58-1)*100)&gt;100,"NM",IF(((GD58/GB58-1)*100)&lt;-50,"NM",(GD58/GB58-1)*100)))</f>
        <v>NA</v>
      </c>
      <c r="GF58" s="96">
        <f>GF38+GF51</f>
        <v>26872</v>
      </c>
      <c r="GG58" s="98">
        <f>IF(ISERROR((GF58/GD58-1)*100),"NA",IF(((GF58/GD58-1)*100)&gt;100,"NM",IF(((GF58/GD58-1)*100)&lt;-50,"NM",(GF58/GD58-1)*100)))</f>
        <v>-1.5821857603281586</v>
      </c>
      <c r="GH58" s="96">
        <f>GH38+GH51</f>
        <v>27607</v>
      </c>
      <c r="GI58" s="98">
        <f>IF(ISERROR((GH58/GF58-1)*100),"NA",IF(((GH58/GF58-1)*100)&gt;100,"NM",IF(((GH58/GF58-1)*100)&lt;-50,"NM",(GH58/GF58-1)*100)))</f>
        <v>2.7351890443584326</v>
      </c>
      <c r="GJ58" s="96">
        <f>GJ38+GJ51</f>
        <v>19306</v>
      </c>
      <c r="GK58" s="98">
        <f>IF(ISERROR((GJ58/GH58-1)*100),"NA",IF(((GJ58/GH58-1)*100)&gt;100,"NM",IF(((GJ58/GH58-1)*100)&lt;-50,"NM",(GJ58/GH58-1)*100)))</f>
        <v>-30.068460897598438</v>
      </c>
      <c r="GL58" s="96">
        <f>GL38+GL51</f>
        <v>19670</v>
      </c>
      <c r="GM58" s="98">
        <f>IF(ISERROR((GL58/GJ58-1)*100),"NA",IF(((GL58/GJ58-1)*100)&gt;100,"NM",IF(((GL58/GJ58-1)*100)&lt;-50,"NM",(GL58/GJ58-1)*100)))</f>
        <v>1.8854242204495941</v>
      </c>
      <c r="GN58" s="96">
        <f>GN38+GN51</f>
        <v>19816</v>
      </c>
      <c r="GO58" s="98">
        <f>IF(ISERROR((GN58/GL58-1)*100),"NA",IF(((GN58/GL58-1)*100)&gt;100,"NM",IF(((GN58/GL58-1)*100)&lt;-50,"NM",(GN58/GL58-1)*100)))</f>
        <v>0.74224707676664448</v>
      </c>
      <c r="GP58" s="96">
        <f>GP38+GP51</f>
        <v>20045.623110886667</v>
      </c>
      <c r="GQ58" s="98">
        <f>IF(ISERROR((GP58/GN58-1)*100),"NA",IF(((GP58/GN58-1)*100)&gt;100,"NM",IF(((GP58/GN58-1)*100)&lt;-50,"NM",(GP58/GN58-1)*100)))</f>
        <v>1.1587762963598536</v>
      </c>
      <c r="GR58" s="96">
        <f>GR38+GR51</f>
        <v>20347.624691981073</v>
      </c>
      <c r="GS58" s="98">
        <f>IF(ISERROR((GR58/GP58-1)*100),"NA",IF(((GR58/GP58-1)*100)&gt;100,"NM",IF(((GR58/GP58-1)*100)&lt;-50,"NM",(GR58/GP58-1)*100)))</f>
        <v>1.5065711822666694</v>
      </c>
      <c r="GT58" s="96">
        <f>GT38+GT51</f>
        <v>20692.820867518938</v>
      </c>
      <c r="GU58" s="98">
        <f>IF(ISERROR((GT58/GR58-1)*100),"NA",IF(((GT58/GR58-1)*100)&gt;100,"NM",IF(((GT58/GR58-1)*100)&lt;-50,"NM",(GT58/GR58-1)*100)))</f>
        <v>1.6964937223060916</v>
      </c>
      <c r="GV58" s="96">
        <f>GV38+GV51</f>
        <v>21077.363630152111</v>
      </c>
      <c r="GW58" s="98">
        <f>IF(ISERROR((GV58/GT58-1)*100),"NA",IF(((GV58/GT58-1)*100)&gt;100,"NM",IF(((GV58/GT58-1)*100)&lt;-50,"NM",(GV58/GT58-1)*100)))</f>
        <v>1.8583390108826592</v>
      </c>
      <c r="GX58" s="96">
        <f>GX38+GX51</f>
        <v>21497.924592695592</v>
      </c>
      <c r="GY58" s="98">
        <f>IF(ISERROR((GX58/GV58-1)*100),"NA",IF(((GX58/GV58-1)*100)&gt;100,"NM",IF(((GX58/GV58-1)*100)&lt;-50,"NM",(GX58/GV58-1)*100)))</f>
        <v>1.9953205245358596</v>
      </c>
      <c r="GZ58" s="98">
        <f>IF(ISERROR(((GX58/GN58)^0.2-1)*100),"NA",IF((((GX58/GN58)^0.2-1)*100)&gt;100,"NM",IF((((GX58/GN58)^0.2-1)*100)&lt;-50,"NM",((GX58/GN58)^0.2-1)*100)))</f>
        <v>1.6426801885371267</v>
      </c>
      <c r="HA58" s="98"/>
      <c r="HB58" s="10"/>
      <c r="HC58"/>
      <c r="HD58"/>
      <c r="HE58"/>
      <c r="HF58"/>
      <c r="HG58"/>
      <c r="HH58"/>
      <c r="HI58" s="10"/>
    </row>
    <row r="59" spans="2:217" s="2" customFormat="1" ht="12.75" customHeight="1" x14ac:dyDescent="0.2">
      <c r="B59" s="91"/>
      <c r="C59" s="94"/>
      <c r="D59" s="92"/>
      <c r="E59" s="94"/>
      <c r="F59" s="92"/>
      <c r="G59" s="94"/>
      <c r="H59" s="92"/>
      <c r="I59" s="94"/>
      <c r="J59" s="98"/>
      <c r="K59" s="94"/>
      <c r="L59" s="98"/>
      <c r="M59" s="94"/>
      <c r="N59" s="98"/>
      <c r="O59" s="94"/>
      <c r="P59" s="98"/>
      <c r="Q59" s="94"/>
      <c r="R59" s="98"/>
      <c r="S59" s="94"/>
      <c r="T59" s="98"/>
      <c r="U59" s="94"/>
      <c r="V59" s="98"/>
      <c r="W59" s="94"/>
      <c r="X59" s="98"/>
      <c r="Y59" s="94"/>
      <c r="Z59" s="98"/>
      <c r="AA59" s="94"/>
      <c r="AB59" s="98"/>
      <c r="AC59" s="94"/>
      <c r="AD59" s="98"/>
      <c r="AE59" s="94"/>
      <c r="AF59" s="98"/>
      <c r="AG59" s="94"/>
      <c r="AH59" s="98"/>
      <c r="AI59" s="94"/>
      <c r="AJ59" s="98"/>
      <c r="AK59" s="94"/>
      <c r="AL59" s="98"/>
      <c r="AM59" s="94"/>
      <c r="AN59" s="98"/>
      <c r="AO59" s="94"/>
      <c r="AP59" s="98"/>
      <c r="AQ59" s="94"/>
      <c r="AR59" s="98"/>
      <c r="AS59" s="94"/>
      <c r="AT59" s="98"/>
      <c r="AU59" s="94"/>
      <c r="AV59" s="98"/>
      <c r="AW59" s="94"/>
      <c r="AX59" s="98"/>
      <c r="AY59" s="94"/>
      <c r="AZ59" s="98"/>
      <c r="BA59" s="94"/>
      <c r="BB59" s="98"/>
      <c r="BC59" s="94"/>
      <c r="BD59" s="98"/>
      <c r="BE59" s="94"/>
      <c r="BF59" s="98"/>
      <c r="BG59" s="94"/>
      <c r="BH59" s="98"/>
      <c r="BI59" s="94"/>
      <c r="BJ59" s="98"/>
      <c r="BK59" s="94"/>
      <c r="BL59" s="98"/>
      <c r="BM59" s="94"/>
      <c r="BN59" s="98"/>
      <c r="BO59" s="94"/>
      <c r="BP59" s="98"/>
      <c r="BQ59" s="94"/>
      <c r="BR59" s="98"/>
      <c r="BS59" s="94"/>
      <c r="BT59" s="98"/>
      <c r="BU59" s="94"/>
      <c r="BV59" s="98"/>
      <c r="BW59" s="94"/>
      <c r="BX59" s="98"/>
      <c r="BY59" s="94"/>
      <c r="BZ59" s="98"/>
      <c r="CA59" s="94"/>
      <c r="CB59" s="98"/>
      <c r="CC59" s="94"/>
      <c r="CD59" s="98"/>
      <c r="CE59" s="94"/>
      <c r="CF59" s="98"/>
      <c r="CG59" s="94"/>
      <c r="CH59" s="98"/>
      <c r="CI59" s="94"/>
      <c r="CJ59" s="98"/>
      <c r="CK59" s="94"/>
      <c r="CL59" s="98"/>
      <c r="CM59" s="94"/>
      <c r="CN59" s="98"/>
      <c r="CO59" s="94"/>
      <c r="CP59" s="98"/>
      <c r="CQ59" s="533"/>
      <c r="CR59" s="98"/>
      <c r="CS59" s="94"/>
      <c r="CT59" s="98"/>
      <c r="CU59" s="94"/>
      <c r="CV59" s="98"/>
      <c r="CW59" s="94"/>
      <c r="CX59" s="98"/>
      <c r="CY59" s="94"/>
      <c r="CZ59" s="98"/>
      <c r="DA59" s="94"/>
      <c r="DB59" s="98"/>
      <c r="DC59" s="94"/>
      <c r="DD59" s="98"/>
      <c r="DE59" s="94"/>
      <c r="DF59" s="98"/>
      <c r="DG59" s="94"/>
      <c r="DH59" s="98"/>
      <c r="DI59" s="94"/>
      <c r="DJ59" s="98"/>
      <c r="DK59" s="94"/>
      <c r="DL59" s="98"/>
      <c r="DM59" s="94"/>
      <c r="DN59" s="98"/>
      <c r="DO59" s="94"/>
      <c r="DP59" s="98"/>
      <c r="DQ59" s="94"/>
      <c r="DR59" s="98"/>
      <c r="DS59" s="94"/>
      <c r="DT59" s="98"/>
      <c r="DU59" s="94"/>
      <c r="DV59" s="98"/>
      <c r="DW59" s="94"/>
      <c r="DX59" s="98"/>
      <c r="DY59" s="94"/>
      <c r="DZ59" s="98"/>
      <c r="EA59" s="94"/>
      <c r="EB59" s="98"/>
      <c r="EC59" s="94"/>
      <c r="ED59" s="98"/>
      <c r="EE59" s="94"/>
      <c r="EF59" s="860"/>
      <c r="EG59" s="94"/>
      <c r="EH59" s="860"/>
      <c r="EI59" s="94"/>
      <c r="EJ59" s="860"/>
      <c r="EK59" s="94"/>
      <c r="EL59" s="860"/>
      <c r="EM59" s="94"/>
      <c r="EN59" s="860"/>
      <c r="EO59" s="94"/>
      <c r="EP59" s="98"/>
      <c r="EQ59" s="789"/>
      <c r="ER59" s="98"/>
      <c r="ES59" s="789"/>
      <c r="ET59" s="98"/>
      <c r="EU59" s="789"/>
      <c r="EV59" s="98"/>
      <c r="EW59" s="789"/>
      <c r="EX59" s="98"/>
      <c r="EY59" s="95"/>
      <c r="EZ59" s="594"/>
      <c r="FA59" s="405"/>
      <c r="FB59" s="94"/>
      <c r="FC59" s="92"/>
      <c r="FD59" s="94"/>
      <c r="FE59" s="92"/>
      <c r="FF59" s="95"/>
      <c r="FG59" s="92"/>
      <c r="FH59" s="95"/>
      <c r="FI59" s="92"/>
      <c r="FJ59" s="95"/>
      <c r="FK59" s="92"/>
      <c r="FL59" s="95"/>
      <c r="FM59" s="92"/>
      <c r="FN59" s="95"/>
      <c r="FO59" s="92"/>
      <c r="FP59" s="95"/>
      <c r="FQ59" s="92"/>
      <c r="FR59" s="96"/>
      <c r="FS59" s="97"/>
      <c r="FT59" s="96"/>
      <c r="FU59" s="97"/>
      <c r="FV59" s="96"/>
      <c r="FW59" s="98"/>
      <c r="FX59" s="480"/>
      <c r="FY59" s="98"/>
      <c r="FZ59" s="96"/>
      <c r="GA59" s="98"/>
      <c r="GB59" s="480"/>
      <c r="GC59" s="98"/>
      <c r="GD59" s="96"/>
      <c r="GE59" s="98"/>
      <c r="GF59" s="96"/>
      <c r="GG59" s="98"/>
      <c r="GH59" s="96"/>
      <c r="GI59" s="98"/>
      <c r="GJ59" s="96"/>
      <c r="GK59" s="98"/>
      <c r="GL59" s="96"/>
      <c r="GM59" s="98"/>
      <c r="GN59" s="96"/>
      <c r="GO59" s="98"/>
      <c r="GP59" s="96"/>
      <c r="GQ59" s="98"/>
      <c r="GR59" s="95"/>
      <c r="GS59" s="98"/>
      <c r="GT59" s="95"/>
      <c r="GU59" s="98"/>
      <c r="GV59" s="95"/>
      <c r="GW59" s="98"/>
      <c r="GX59" s="95"/>
      <c r="GY59" s="98"/>
      <c r="GZ59" s="98"/>
      <c r="HA59" s="98"/>
      <c r="HB59" s="10"/>
      <c r="HC59"/>
      <c r="HD59"/>
      <c r="HE59"/>
      <c r="HF59"/>
      <c r="HG59"/>
      <c r="HH59"/>
      <c r="HI59" s="10"/>
    </row>
    <row r="60" spans="2:217" s="2" customFormat="1" ht="12.75" customHeight="1" x14ac:dyDescent="0.2">
      <c r="B60" s="131" t="s">
        <v>284</v>
      </c>
      <c r="C60" s="94"/>
      <c r="D60" s="92"/>
      <c r="E60" s="94"/>
      <c r="F60" s="92"/>
      <c r="G60" s="94"/>
      <c r="H60" s="92"/>
      <c r="I60" s="94"/>
      <c r="J60" s="98"/>
      <c r="K60" s="94"/>
      <c r="L60" s="98"/>
      <c r="M60" s="94"/>
      <c r="N60" s="98"/>
      <c r="O60" s="94"/>
      <c r="P60" s="98"/>
      <c r="Q60" s="94"/>
      <c r="R60" s="98"/>
      <c r="S60" s="94"/>
      <c r="T60" s="98"/>
      <c r="U60" s="94"/>
      <c r="V60" s="98"/>
      <c r="W60" s="94"/>
      <c r="X60" s="98"/>
      <c r="Y60" s="94"/>
      <c r="Z60" s="98"/>
      <c r="AA60" s="94"/>
      <c r="AB60" s="98"/>
      <c r="AC60" s="94"/>
      <c r="AD60" s="98"/>
      <c r="AE60" s="94"/>
      <c r="AF60" s="98"/>
      <c r="AG60" s="94"/>
      <c r="AH60" s="98"/>
      <c r="AI60" s="94"/>
      <c r="AJ60" s="98"/>
      <c r="AK60" s="94"/>
      <c r="AL60" s="98"/>
      <c r="AM60" s="94"/>
      <c r="AN60" s="98"/>
      <c r="AO60" s="101"/>
      <c r="AP60" s="98"/>
      <c r="AQ60" s="101"/>
      <c r="AR60" s="98"/>
      <c r="AS60" s="101"/>
      <c r="AT60" s="98"/>
      <c r="AU60" s="101"/>
      <c r="AV60" s="98"/>
      <c r="AW60" s="101"/>
      <c r="AX60" s="98"/>
      <c r="AY60" s="101"/>
      <c r="AZ60" s="98"/>
      <c r="BA60" s="101"/>
      <c r="BB60" s="98"/>
      <c r="BC60" s="101"/>
      <c r="BD60" s="98"/>
      <c r="BE60" s="101"/>
      <c r="BF60" s="98"/>
      <c r="BG60" s="101"/>
      <c r="BH60" s="98"/>
      <c r="BI60" s="101"/>
      <c r="BJ60" s="98"/>
      <c r="BK60" s="101"/>
      <c r="BL60" s="98"/>
      <c r="BM60" s="101"/>
      <c r="BN60" s="98"/>
      <c r="BO60" s="101"/>
      <c r="BP60" s="98"/>
      <c r="BQ60" s="101"/>
      <c r="BR60" s="98"/>
      <c r="BS60" s="101"/>
      <c r="BT60" s="98"/>
      <c r="BU60" s="94"/>
      <c r="BV60" s="98"/>
      <c r="BW60" s="94"/>
      <c r="BX60" s="98"/>
      <c r="BY60" s="94"/>
      <c r="BZ60" s="98"/>
      <c r="CA60" s="94"/>
      <c r="CB60" s="98"/>
      <c r="CC60" s="94"/>
      <c r="CD60" s="98"/>
      <c r="CE60" s="94"/>
      <c r="CF60" s="98"/>
      <c r="CG60" s="94"/>
      <c r="CH60" s="98"/>
      <c r="CI60" s="94"/>
      <c r="CJ60" s="98"/>
      <c r="CK60" s="94"/>
      <c r="CL60" s="98"/>
      <c r="CM60" s="94"/>
      <c r="CN60" s="98"/>
      <c r="CO60" s="94"/>
      <c r="CP60" s="98"/>
      <c r="CQ60" s="533"/>
      <c r="CR60" s="98"/>
      <c r="CS60" s="94"/>
      <c r="CT60" s="98"/>
      <c r="CU60" s="94"/>
      <c r="CV60" s="98"/>
      <c r="CW60" s="94"/>
      <c r="CX60" s="98"/>
      <c r="CY60" s="94"/>
      <c r="CZ60" s="98"/>
      <c r="DA60" s="94"/>
      <c r="DB60" s="98"/>
      <c r="DC60" s="94"/>
      <c r="DD60" s="98"/>
      <c r="DE60" s="94"/>
      <c r="DF60" s="98"/>
      <c r="DG60" s="94"/>
      <c r="DH60" s="98"/>
      <c r="DI60" s="94"/>
      <c r="DJ60" s="98"/>
      <c r="DK60" s="94"/>
      <c r="DL60" s="98"/>
      <c r="DM60" s="94"/>
      <c r="DN60" s="98"/>
      <c r="DO60" s="94"/>
      <c r="DP60" s="98"/>
      <c r="DQ60" s="94"/>
      <c r="DR60" s="98"/>
      <c r="DS60" s="94"/>
      <c r="DT60" s="98"/>
      <c r="DU60" s="94"/>
      <c r="DV60" s="98"/>
      <c r="DW60" s="94"/>
      <c r="DX60" s="98"/>
      <c r="DY60" s="94"/>
      <c r="DZ60" s="98"/>
      <c r="EA60" s="94"/>
      <c r="EB60" s="98"/>
      <c r="EC60" s="94"/>
      <c r="ED60" s="98"/>
      <c r="EE60" s="94"/>
      <c r="EF60" s="860"/>
      <c r="EG60" s="94"/>
      <c r="EH60" s="860"/>
      <c r="EI60" s="94"/>
      <c r="EJ60" s="860"/>
      <c r="EK60" s="94"/>
      <c r="EL60" s="860"/>
      <c r="EM60" s="94"/>
      <c r="EN60" s="860"/>
      <c r="EO60" s="94"/>
      <c r="EP60" s="98"/>
      <c r="EQ60" s="789"/>
      <c r="ER60" s="98"/>
      <c r="ES60" s="789"/>
      <c r="ET60" s="98"/>
      <c r="EU60" s="789"/>
      <c r="EV60" s="98"/>
      <c r="EW60" s="789"/>
      <c r="EX60" s="98"/>
      <c r="EY60" s="95"/>
      <c r="EZ60" s="594"/>
      <c r="FA60" s="405"/>
      <c r="FB60" s="94"/>
      <c r="FC60" s="92"/>
      <c r="FD60" s="94"/>
      <c r="FE60" s="92"/>
      <c r="FF60" s="95"/>
      <c r="FG60" s="92"/>
      <c r="FH60" s="95"/>
      <c r="FI60" s="92"/>
      <c r="FJ60" s="95"/>
      <c r="FK60" s="92"/>
      <c r="FL60" s="95"/>
      <c r="FM60" s="92"/>
      <c r="FN60" s="95"/>
      <c r="FO60" s="92"/>
      <c r="FP60" s="95"/>
      <c r="FQ60" s="92"/>
      <c r="FR60" s="96"/>
      <c r="FS60" s="97"/>
      <c r="FT60" s="96"/>
      <c r="FU60" s="97"/>
      <c r="FV60" s="96"/>
      <c r="FW60" s="98"/>
      <c r="FX60" s="480"/>
      <c r="FY60" s="98"/>
      <c r="FZ60" s="96"/>
      <c r="GA60" s="98"/>
      <c r="GB60" s="480"/>
      <c r="GC60" s="98"/>
      <c r="GD60" s="96"/>
      <c r="GE60" s="98"/>
      <c r="GF60" s="95"/>
      <c r="GG60" s="98"/>
      <c r="GH60" s="95"/>
      <c r="GI60" s="98"/>
      <c r="GJ60" s="95"/>
      <c r="GK60" s="98"/>
      <c r="GL60" s="95"/>
      <c r="GM60" s="98"/>
      <c r="GN60" s="95"/>
      <c r="GO60" s="98"/>
      <c r="GP60" s="95"/>
      <c r="GQ60" s="98"/>
      <c r="GR60" s="95"/>
      <c r="GS60" s="98"/>
      <c r="GT60" s="95"/>
      <c r="GU60" s="98"/>
      <c r="GV60" s="95"/>
      <c r="GW60" s="98"/>
      <c r="GX60" s="95"/>
      <c r="GY60" s="98"/>
      <c r="GZ60" s="98"/>
      <c r="HA60" s="98"/>
      <c r="HB60" s="10"/>
      <c r="HC60"/>
      <c r="HD60"/>
      <c r="HE60"/>
      <c r="HF60"/>
      <c r="HG60"/>
      <c r="HH60"/>
      <c r="HI60" s="10"/>
    </row>
    <row r="61" spans="2:217" s="2" customFormat="1" ht="12.75" customHeight="1" x14ac:dyDescent="0.2">
      <c r="B61" s="91" t="s">
        <v>493</v>
      </c>
      <c r="C61" s="94"/>
      <c r="D61" s="92"/>
      <c r="E61" s="94"/>
      <c r="F61" s="92"/>
      <c r="G61" s="94"/>
      <c r="H61" s="92"/>
      <c r="I61" s="94"/>
      <c r="J61" s="98"/>
      <c r="K61" s="94"/>
      <c r="L61" s="98"/>
      <c r="M61" s="94"/>
      <c r="N61" s="98"/>
      <c r="O61" s="94"/>
      <c r="P61" s="98"/>
      <c r="Q61" s="94"/>
      <c r="R61" s="98"/>
      <c r="S61" s="94"/>
      <c r="T61" s="98"/>
      <c r="U61" s="94"/>
      <c r="V61" s="98"/>
      <c r="W61" s="94"/>
      <c r="X61" s="98"/>
      <c r="Y61" s="94"/>
      <c r="Z61" s="98"/>
      <c r="AA61" s="94"/>
      <c r="AB61" s="98"/>
      <c r="AC61" s="94"/>
      <c r="AD61" s="98"/>
      <c r="AE61" s="94"/>
      <c r="AF61" s="98"/>
      <c r="AG61" s="94"/>
      <c r="AH61" s="98"/>
      <c r="AI61" s="94"/>
      <c r="AJ61" s="98"/>
      <c r="AK61" s="94"/>
      <c r="AL61" s="98"/>
      <c r="AM61" s="94"/>
      <c r="AN61" s="98"/>
      <c r="AO61" s="101"/>
      <c r="AP61" s="98"/>
      <c r="AQ61" s="101"/>
      <c r="AR61" s="98"/>
      <c r="AS61" s="101"/>
      <c r="AT61" s="98"/>
      <c r="AU61" s="101"/>
      <c r="AV61" s="98"/>
      <c r="AW61" s="101"/>
      <c r="AX61" s="98"/>
      <c r="AY61" s="101"/>
      <c r="AZ61" s="98"/>
      <c r="BA61" s="101"/>
      <c r="BB61" s="98"/>
      <c r="BC61" s="101"/>
      <c r="BD61" s="98"/>
      <c r="BE61" s="101"/>
      <c r="BF61" s="98"/>
      <c r="BG61" s="101"/>
      <c r="BH61" s="98"/>
      <c r="BI61" s="101"/>
      <c r="BJ61" s="98"/>
      <c r="BK61" s="101"/>
      <c r="BL61" s="98"/>
      <c r="BM61" s="101"/>
      <c r="BN61" s="98"/>
      <c r="BO61" s="101"/>
      <c r="BP61" s="98"/>
      <c r="BQ61" s="101"/>
      <c r="BR61" s="98"/>
      <c r="BS61" s="101"/>
      <c r="BT61" s="98"/>
      <c r="BU61" s="101"/>
      <c r="BV61" s="98"/>
      <c r="BW61" s="101"/>
      <c r="BX61" s="98"/>
      <c r="BY61" s="101"/>
      <c r="BZ61" s="98"/>
      <c r="CA61" s="101"/>
      <c r="CB61" s="98"/>
      <c r="CC61" s="101"/>
      <c r="CD61" s="98"/>
      <c r="CE61" s="101"/>
      <c r="CF61" s="98"/>
      <c r="CG61" s="101"/>
      <c r="CH61" s="98"/>
      <c r="CI61" s="101"/>
      <c r="CJ61" s="98"/>
      <c r="CK61" s="101"/>
      <c r="CL61" s="98"/>
      <c r="CM61" s="101"/>
      <c r="CN61" s="98"/>
      <c r="CO61" s="101"/>
      <c r="CP61" s="98"/>
      <c r="CQ61" s="542">
        <v>3431</v>
      </c>
      <c r="CR61" s="98" t="str">
        <f t="shared" ref="CR61:CR68" si="274">IF(ISERROR((CQ61/CI61-1)*100),"NA",IF(((CQ61/CI61-1)*100)&gt;100,"NM",IF(((CQ61/CI61-1)*100)&lt;-50,"NM",(CQ61/CI61-1)*100)))</f>
        <v>NA</v>
      </c>
      <c r="CS61" s="101">
        <v>3491</v>
      </c>
      <c r="CT61" s="98" t="str">
        <f t="shared" ref="CT61:CT68" si="275">IF(ISERROR((CS61/CK61-1)*100),"NA",IF(((CS61/CK61-1)*100)&gt;100,"NM",IF(((CS61/CK61-1)*100)&lt;-50,"NM",(CS61/CK61-1)*100)))</f>
        <v>NA</v>
      </c>
      <c r="CU61" s="101">
        <v>3585</v>
      </c>
      <c r="CV61" s="98" t="str">
        <f t="shared" ref="CV61:CV68" si="276">IF(ISERROR((CU61/CM61-1)*100),"NA",IF(((CU61/CM61-1)*100)&gt;100,"NM",IF(((CU61/CM61-1)*100)&lt;-50,"NM",(CU61/CM61-1)*100)))</f>
        <v>NA</v>
      </c>
      <c r="CW61" s="101">
        <v>3683</v>
      </c>
      <c r="CX61" s="98" t="str">
        <f t="shared" ref="CX61:CX68" si="277">IF(ISERROR((CW61/CO61-1)*100),"NA",IF(((CW61/CO61-1)*100)&gt;100,"NM",IF(((CW61/CO61-1)*100)&lt;-50,"NM",(CW61/CO61-1)*100)))</f>
        <v>NA</v>
      </c>
      <c r="CY61" s="101">
        <v>3753</v>
      </c>
      <c r="CZ61" s="98">
        <f t="shared" ref="CZ61:CZ68" si="278">IF(ISERROR((CY61/CQ61-1)*100),"NA",IF(((CY61/CQ61-1)*100)&gt;100,"NM",IF(((CY61/CQ61-1)*100)&lt;-50,"NM",(CY61/CQ61-1)*100)))</f>
        <v>9.3850189449140142</v>
      </c>
      <c r="DA61" s="101">
        <v>3773</v>
      </c>
      <c r="DB61" s="98">
        <f t="shared" ref="DB61:DB68" si="279">IF(ISERROR((DA61/CS61-1)*100),"NA",IF(((DA61/CS61-1)*100)&gt;100,"NM",IF(((DA61/CS61-1)*100)&lt;-50,"NM",(DA61/CS61-1)*100)))</f>
        <v>8.0779146376396493</v>
      </c>
      <c r="DC61" s="101">
        <v>3874</v>
      </c>
      <c r="DD61" s="98">
        <f t="shared" ref="DD61:DD68" si="280">IF(ISERROR((DC61/CU61-1)*100),"NA",IF(((DC61/CU61-1)*100)&gt;100,"NM",IF(((DC61/CU61-1)*100)&lt;-50,"NM",(DC61/CU61-1)*100)))</f>
        <v>8.0613668061366717</v>
      </c>
      <c r="DE61" s="101">
        <v>3797</v>
      </c>
      <c r="DF61" s="98">
        <f t="shared" ref="DF61:DF68" si="281">IF(ISERROR((DE61/CW61-1)*100),"NA",IF(((DE61/CW61-1)*100)&gt;100,"NM",IF(((DE61/CW61-1)*100)&lt;-50,"NM",(DE61/CW61-1)*100)))</f>
        <v>3.0953027423296309</v>
      </c>
      <c r="DG61" s="101">
        <v>3767</v>
      </c>
      <c r="DH61" s="98">
        <f t="shared" ref="DH61:DH68" si="282">IF(ISERROR((DG61/CY61-1)*100),"NA",IF(((DG61/CY61-1)*100)&gt;100,"NM",IF(((DG61/CY61-1)*100)&lt;-50,"NM",(DG61/CY61-1)*100)))</f>
        <v>0.37303490540900874</v>
      </c>
      <c r="DI61" s="101">
        <v>3812</v>
      </c>
      <c r="DJ61" s="98">
        <f t="shared" ref="DJ61:DJ68" si="283">IF(ISERROR((DI61/DA61-1)*100),"NA",IF(((DI61/DA61-1)*100)&gt;100,"NM",IF(((DI61/DA61-1)*100)&lt;-50,"NM",(DI61/DA61-1)*100)))</f>
        <v>1.0336602173336873</v>
      </c>
      <c r="DK61" s="101">
        <v>4002</v>
      </c>
      <c r="DL61" s="98">
        <f t="shared" ref="DL61:DL68" si="284">IF(ISERROR((DK61/DC61-1)*100),"NA",IF(((DK61/DC61-1)*100)&gt;100,"NM",IF(((DK61/DC61-1)*100)&lt;-50,"NM",(DK61/DC61-1)*100)))</f>
        <v>3.304078471863714</v>
      </c>
      <c r="DM61" s="101">
        <v>4038</v>
      </c>
      <c r="DN61" s="98">
        <f t="shared" ref="DN61:DZ68" si="285">IF(ISERROR((DM61/DE61-1)*100),"NA",IF(((DM61/DE61-1)*100)&gt;100,"NM",IF(((DM61/DE61-1)*100)&lt;-50,"NM",(DM61/DE61-1)*100)))</f>
        <v>6.3471161443244606</v>
      </c>
      <c r="DO61" s="101">
        <v>4010</v>
      </c>
      <c r="DP61" s="98">
        <f t="shared" si="285"/>
        <v>6.4507565702150327</v>
      </c>
      <c r="DQ61" s="101">
        <v>3929</v>
      </c>
      <c r="DR61" s="98">
        <f t="shared" si="285"/>
        <v>3.0692549842602279</v>
      </c>
      <c r="DS61" s="101">
        <v>3633</v>
      </c>
      <c r="DT61" s="98">
        <f t="shared" si="285"/>
        <v>-9.2203898050974509</v>
      </c>
      <c r="DU61" s="101">
        <v>3625</v>
      </c>
      <c r="DV61" s="98">
        <f t="shared" si="285"/>
        <v>-10.227835562159482</v>
      </c>
      <c r="DW61" s="101">
        <v>3605</v>
      </c>
      <c r="DX61" s="98">
        <f t="shared" si="285"/>
        <v>-10.099750623441395</v>
      </c>
      <c r="DY61" s="101">
        <v>3557</v>
      </c>
      <c r="DZ61" s="98">
        <f t="shared" si="285"/>
        <v>-9.4680580300330881</v>
      </c>
      <c r="EA61" s="101">
        <v>3810</v>
      </c>
      <c r="EB61" s="98">
        <f t="shared" ref="EB61:EB68" si="286">IF(ISERROR((EA61/DS61-1)*100),"NA",IF(((EA61/DS61-1)*100)&gt;100,"NM",IF(((EA61/DS61-1)*100)&lt;-50,"NM",(EA61/DS61-1)*100)))</f>
        <v>4.872006606110646</v>
      </c>
      <c r="EC61" s="101">
        <v>3787</v>
      </c>
      <c r="ED61" s="98">
        <f t="shared" ref="ED61:ED68" si="287">IF(ISERROR((EC61/DU61-1)*100),"NA",IF(((EC61/DU61-1)*100)&gt;100,"NM",IF(((EC61/DU61-1)*100)&lt;-50,"NM",(EC61/DU61-1)*100)))</f>
        <v>4.4689655172413856</v>
      </c>
      <c r="EE61" s="101">
        <v>3740</v>
      </c>
      <c r="EF61" s="860">
        <f t="shared" ref="EF61:EF68" si="288">IF(ISERROR((EE61/DW61-1)*100),"NA",IF(((EE61/DW61-1)*100)&gt;100,"NM",IF(((EE61/DW61-1)*100)&lt;-50,"NM",(EE61/DW61-1)*100)))</f>
        <v>3.7447988904299567</v>
      </c>
      <c r="EG61" s="101">
        <v>3722</v>
      </c>
      <c r="EH61" s="860">
        <f t="shared" ref="EH61:EH68" si="289">IF(ISERROR((EG61/DY61-1)*100),"NA",IF(((EG61/DY61-1)*100)&gt;100,"NM",IF(((EG61/DY61-1)*100)&lt;-50,"NM",(EG61/DY61-1)*100)))</f>
        <v>4.6387405116671276</v>
      </c>
      <c r="EI61" s="101">
        <v>3971</v>
      </c>
      <c r="EJ61" s="860">
        <f t="shared" ref="EJ61:EJ68" si="290">IF(ISERROR((EI61/EA61-1)*100),"NA",IF(((EI61/EA61-1)*100)&gt;100,"NM",IF(((EI61/EA61-1)*100)&lt;-50,"NM",(EI61/EA61-1)*100)))</f>
        <v>4.2257217847768924</v>
      </c>
      <c r="EK61" s="101">
        <v>3880</v>
      </c>
      <c r="EL61" s="860">
        <f t="shared" ref="EL61:EL68" si="291">IF(ISERROR((EK61/EC61-1)*100),"NA",IF(((EK61/EC61-1)*100)&gt;100,"NM",IF(((EK61/EC61-1)*100)&lt;-50,"NM",(EK61/EC61-1)*100)))</f>
        <v>2.4557697385793498</v>
      </c>
      <c r="EM61" s="101">
        <v>3756</v>
      </c>
      <c r="EN61" s="860">
        <f t="shared" ref="EN61:EN68" si="292">IF(ISERROR((EM61/EE61-1)*100),"NA",IF(((EM61/EE61-1)*100)&gt;100,"NM",IF(((EM61/EE61-1)*100)&lt;-50,"NM",(EM61/EE61-1)*100)))</f>
        <v>0.42780748663102663</v>
      </c>
      <c r="EO61" s="101">
        <v>3780</v>
      </c>
      <c r="EP61" s="98">
        <f t="shared" ref="EP61:EP68" si="293">IF(ISERROR((EO61/EG61-1)*100),"NA",IF(((EO61/EG61-1)*100)&gt;100,"NM",IF(((EO61/EG61-1)*100)&lt;-50,"NM",(EO61/EG61-1)*100)))</f>
        <v>1.5583019881783899</v>
      </c>
      <c r="EQ61" s="778">
        <f t="shared" ref="EQ61" si="294">(EQ39+EQ52)*(EQ70/400)</f>
        <v>3799.9065360941909</v>
      </c>
      <c r="ER61" s="98">
        <f t="shared" ref="ER61:ER68" si="295">IF(ISERROR((EQ61/EI61-1)*100),"NA",IF(((EQ61/EI61-1)*100)&gt;100,"NM",IF(((EQ61/EI61-1)*100)&lt;-50,"NM",(EQ61/EI61-1)*100)))</f>
        <v>-4.3085737573862808</v>
      </c>
      <c r="ES61" s="778">
        <f t="shared" ref="ES61" si="296">(ES39+ES52)*(ES70/400)</f>
        <v>3816.0372431032083</v>
      </c>
      <c r="ET61" s="98">
        <f t="shared" ref="ET61:ET68" si="297">IF(ISERROR((ES61/EK61-1)*100),"NA",IF(((ES61/EK61-1)*100)&gt;100,"NM",IF(((ES61/EK61-1)*100)&lt;-50,"NM",(ES61/EK61-1)*100)))</f>
        <v>-1.648524662288442</v>
      </c>
      <c r="EU61" s="778">
        <f t="shared" ref="EU61" si="298">(EU39+EU52)*(EU70/400)</f>
        <v>3827.4280463197956</v>
      </c>
      <c r="EV61" s="98">
        <f t="shared" ref="EV61:EV68" si="299">IF(ISERROR((EU61/EM61-1)*100),"NA",IF(((EU61/EM61-1)*100)&gt;100,"NM",IF(((EU61/EM61-1)*100)&lt;-50,"NM",(EU61/EM61-1)*100)))</f>
        <v>1.9017051735834789</v>
      </c>
      <c r="EW61" s="778">
        <f t="shared" ref="EW61" si="300">(EW39+EW52)*(EW70/400)</f>
        <v>3833.255049289316</v>
      </c>
      <c r="EX61" s="98">
        <f t="shared" ref="EX61:EX68" si="301">IF(ISERROR((EW61/EO61-1)*100),"NA",IF(((EW61/EO61-1)*100)&gt;100,"NM",IF(((EW61/EO61-1)*100)&lt;-50,"NM",(EW61/EO61-1)*100)))</f>
        <v>1.4088637378125934</v>
      </c>
      <c r="EY61" s="95"/>
      <c r="EZ61" s="594"/>
      <c r="FA61" s="405"/>
      <c r="FB61" s="94"/>
      <c r="FC61" s="92"/>
      <c r="FD61" s="94"/>
      <c r="FE61" s="92"/>
      <c r="FF61" s="95"/>
      <c r="FG61" s="92"/>
      <c r="FH61" s="95"/>
      <c r="FI61" s="92"/>
      <c r="FJ61" s="95"/>
      <c r="FK61" s="92"/>
      <c r="FL61" s="95"/>
      <c r="FM61" s="92"/>
      <c r="FN61" s="95"/>
      <c r="FO61" s="92"/>
      <c r="FP61" s="95"/>
      <c r="FQ61" s="92"/>
      <c r="FR61" s="96"/>
      <c r="FS61" s="97"/>
      <c r="FT61" s="96"/>
      <c r="FU61" s="97"/>
      <c r="FV61" s="95"/>
      <c r="FW61" s="98"/>
      <c r="FX61" s="480"/>
      <c r="FY61" s="98"/>
      <c r="FZ61" s="96"/>
      <c r="GA61" s="98"/>
      <c r="GB61" s="506">
        <v>13949</v>
      </c>
      <c r="GC61" s="98" t="str">
        <f t="shared" ref="GC61:GC68" si="302">IF(ISERROR((GB61/FZ61-1)*100),"NA",IF(((GB61/FZ61-1)*100)&gt;100,"NM",IF(((GB61/FZ61-1)*100)&lt;-50,"NM",(GB61/FZ61-1)*100)))</f>
        <v>NA</v>
      </c>
      <c r="GD61" s="96">
        <f>CU61+CW61+CY61+DA61</f>
        <v>14794</v>
      </c>
      <c r="GE61" s="98">
        <f t="shared" ref="GE61:GE68" si="303">IF(ISERROR((GD61/GB61-1)*100),"NA",IF(((GD61/GB61-1)*100)&gt;100,"NM",IF(((GD61/GB61-1)*100)&lt;-50,"NM",(GD61/GB61-1)*100)))</f>
        <v>6.0577819198508909</v>
      </c>
      <c r="GF61" s="96">
        <f>DC61+DE61+DG61+DI61</f>
        <v>15250</v>
      </c>
      <c r="GG61" s="98">
        <f t="shared" ref="GG61:GW68" si="304">IF(ISERROR((GF61/GD61-1)*100),"NA",IF(((GF61/GD61-1)*100)&gt;100,"NM",IF(((GF61/GD61-1)*100)&lt;-50,"NM",(GF61/GD61-1)*100)))</f>
        <v>3.0823306745977996</v>
      </c>
      <c r="GH61" s="96">
        <f>DK61+DM61+DO61+DQ61</f>
        <v>15979</v>
      </c>
      <c r="GI61" s="98">
        <f t="shared" si="304"/>
        <v>4.780327868852452</v>
      </c>
      <c r="GJ61" s="96">
        <f>DS61+DU61+DW61+DY61</f>
        <v>14420</v>
      </c>
      <c r="GK61" s="98">
        <f t="shared" si="304"/>
        <v>-9.7565554790662752</v>
      </c>
      <c r="GL61" s="96">
        <f>EA61+EC61+EE61+EG61</f>
        <v>15059</v>
      </c>
      <c r="GM61" s="98">
        <f t="shared" si="304"/>
        <v>4.4313453536754421</v>
      </c>
      <c r="GN61" s="96">
        <f>EI61+EK61+EM61+EO61</f>
        <v>15387</v>
      </c>
      <c r="GO61" s="98">
        <f t="shared" si="304"/>
        <v>2.1780994753967775</v>
      </c>
      <c r="GP61" s="96">
        <f>EQ61+ES61+EU61+EW61</f>
        <v>15276.626874806512</v>
      </c>
      <c r="GQ61" s="98">
        <f t="shared" si="304"/>
        <v>-0.71731413006751454</v>
      </c>
      <c r="GR61" s="96">
        <f>(GR39+GR52)*(GR70/100)</f>
        <v>15581.350620585637</v>
      </c>
      <c r="GS61" s="98">
        <f t="shared" si="304"/>
        <v>1.9947056917496653</v>
      </c>
      <c r="GT61" s="96">
        <f>(GT39+GT52)*(GT70/100)</f>
        <v>15831.001631966505</v>
      </c>
      <c r="GU61" s="98">
        <f t="shared" si="304"/>
        <v>1.6022424336632035</v>
      </c>
      <c r="GV61" s="96">
        <f>(GV39+GV52)*(GV70/100)</f>
        <v>16112.492199712571</v>
      </c>
      <c r="GW61" s="98">
        <f t="shared" si="304"/>
        <v>1.7780970167905918</v>
      </c>
      <c r="GX61" s="96">
        <f>(GX39+GX52)*(GX70/100)</f>
        <v>16423.054090876631</v>
      </c>
      <c r="GY61" s="98">
        <f t="shared" ref="GY61:GY68" si="305">IF(ISERROR((GX61/GV61-1)*100),"NA",IF(((GX61/GV61-1)*100)&gt;100,"NM",IF(((GX61/GV61-1)*100)&lt;-50,"NM",(GX61/GV61-1)*100)))</f>
        <v>1.9274603041831151</v>
      </c>
      <c r="GZ61" s="98">
        <f t="shared" ref="GZ61:GZ68" si="306">IF(ISERROR(((GX61/GN61)^0.2-1)*100),"NA",IF((((GX61/GN61)^0.2-1)*100)&gt;100,"NM",IF((((GX61/GN61)^0.2-1)*100)&lt;-50,"NM",((GX61/GN61)^0.2-1)*100)))</f>
        <v>1.3117912271356502</v>
      </c>
      <c r="HA61" s="98"/>
      <c r="HB61" s="10"/>
      <c r="HC61"/>
      <c r="HD61"/>
      <c r="HE61"/>
      <c r="HF61"/>
      <c r="HG61"/>
      <c r="HH61"/>
      <c r="HI61" s="10"/>
    </row>
    <row r="62" spans="2:217" s="2" customFormat="1" ht="12.75" customHeight="1" x14ac:dyDescent="0.2">
      <c r="B62" s="91" t="s">
        <v>344</v>
      </c>
      <c r="C62" s="94"/>
      <c r="D62" s="92"/>
      <c r="E62" s="94"/>
      <c r="F62" s="92"/>
      <c r="G62" s="94"/>
      <c r="H62" s="92"/>
      <c r="I62" s="94"/>
      <c r="J62" s="98"/>
      <c r="K62" s="94"/>
      <c r="L62" s="98"/>
      <c r="M62" s="94"/>
      <c r="N62" s="98"/>
      <c r="O62" s="94"/>
      <c r="P62" s="98"/>
      <c r="Q62" s="94"/>
      <c r="R62" s="98"/>
      <c r="S62" s="94"/>
      <c r="T62" s="98"/>
      <c r="U62" s="94"/>
      <c r="V62" s="98"/>
      <c r="W62" s="94"/>
      <c r="X62" s="98"/>
      <c r="Y62" s="94"/>
      <c r="Z62" s="98"/>
      <c r="AA62" s="94"/>
      <c r="AB62" s="98"/>
      <c r="AC62" s="94"/>
      <c r="AD62" s="98"/>
      <c r="AE62" s="94"/>
      <c r="AF62" s="98"/>
      <c r="AG62" s="94"/>
      <c r="AH62" s="98"/>
      <c r="AI62" s="94"/>
      <c r="AJ62" s="98"/>
      <c r="AK62" s="94"/>
      <c r="AL62" s="98"/>
      <c r="AM62" s="94"/>
      <c r="AN62" s="98"/>
      <c r="AO62" s="101"/>
      <c r="AP62" s="98"/>
      <c r="AQ62" s="101"/>
      <c r="AR62" s="98"/>
      <c r="AS62" s="101"/>
      <c r="AT62" s="98"/>
      <c r="AU62" s="101"/>
      <c r="AV62" s="98"/>
      <c r="AW62" s="101"/>
      <c r="AX62" s="98"/>
      <c r="AY62" s="101"/>
      <c r="AZ62" s="98"/>
      <c r="BA62" s="101"/>
      <c r="BB62" s="98"/>
      <c r="BC62" s="101"/>
      <c r="BD62" s="98"/>
      <c r="BE62" s="101"/>
      <c r="BF62" s="98"/>
      <c r="BG62" s="101"/>
      <c r="BH62" s="98"/>
      <c r="BI62" s="101"/>
      <c r="BJ62" s="98"/>
      <c r="BK62" s="101"/>
      <c r="BL62" s="98"/>
      <c r="BM62" s="101"/>
      <c r="BN62" s="98"/>
      <c r="BO62" s="101"/>
      <c r="BP62" s="98"/>
      <c r="BQ62" s="101"/>
      <c r="BR62" s="98"/>
      <c r="BS62" s="101"/>
      <c r="BT62" s="98"/>
      <c r="BU62" s="101"/>
      <c r="BV62" s="98"/>
      <c r="BW62" s="101"/>
      <c r="BX62" s="98"/>
      <c r="BY62" s="101"/>
      <c r="BZ62" s="98"/>
      <c r="CA62" s="101"/>
      <c r="CB62" s="98"/>
      <c r="CC62" s="101"/>
      <c r="CD62" s="98"/>
      <c r="CE62" s="101"/>
      <c r="CF62" s="98"/>
      <c r="CG62" s="101"/>
      <c r="CH62" s="98"/>
      <c r="CI62" s="101"/>
      <c r="CJ62" s="98"/>
      <c r="CK62" s="101"/>
      <c r="CL62" s="98"/>
      <c r="CM62" s="101"/>
      <c r="CN62" s="98"/>
      <c r="CO62" s="101"/>
      <c r="CP62" s="98"/>
      <c r="CQ62" s="542">
        <v>159</v>
      </c>
      <c r="CR62" s="98" t="str">
        <f t="shared" si="274"/>
        <v>NA</v>
      </c>
      <c r="CS62" s="101">
        <v>157</v>
      </c>
      <c r="CT62" s="98" t="str">
        <f t="shared" si="275"/>
        <v>NA</v>
      </c>
      <c r="CU62" s="101">
        <v>166</v>
      </c>
      <c r="CV62" s="98" t="str">
        <f t="shared" si="276"/>
        <v>NA</v>
      </c>
      <c r="CW62" s="101">
        <v>165</v>
      </c>
      <c r="CX62" s="98" t="str">
        <f t="shared" si="277"/>
        <v>NA</v>
      </c>
      <c r="CY62" s="101">
        <v>166</v>
      </c>
      <c r="CZ62" s="98">
        <f t="shared" si="278"/>
        <v>4.4025157232704393</v>
      </c>
      <c r="DA62" s="101">
        <v>165</v>
      </c>
      <c r="DB62" s="98">
        <f t="shared" si="279"/>
        <v>5.0955414012738842</v>
      </c>
      <c r="DC62" s="101">
        <v>180</v>
      </c>
      <c r="DD62" s="98">
        <f t="shared" si="280"/>
        <v>8.4337349397590309</v>
      </c>
      <c r="DE62" s="101">
        <v>170</v>
      </c>
      <c r="DF62" s="98">
        <f t="shared" si="281"/>
        <v>3.0303030303030276</v>
      </c>
      <c r="DG62" s="101">
        <v>171</v>
      </c>
      <c r="DH62" s="98">
        <f t="shared" si="282"/>
        <v>3.0120481927710774</v>
      </c>
      <c r="DI62" s="101">
        <v>167</v>
      </c>
      <c r="DJ62" s="98">
        <f t="shared" si="283"/>
        <v>1.2121212121212199</v>
      </c>
      <c r="DK62" s="101">
        <v>177</v>
      </c>
      <c r="DL62" s="98">
        <f t="shared" si="284"/>
        <v>-1.6666666666666718</v>
      </c>
      <c r="DM62" s="101">
        <v>181</v>
      </c>
      <c r="DN62" s="98">
        <f t="shared" si="285"/>
        <v>6.4705882352941169</v>
      </c>
      <c r="DO62" s="101">
        <v>180</v>
      </c>
      <c r="DP62" s="98">
        <f t="shared" si="285"/>
        <v>5.2631578947368363</v>
      </c>
      <c r="DQ62" s="101">
        <v>178</v>
      </c>
      <c r="DR62" s="98">
        <f t="shared" si="285"/>
        <v>6.5868263473053856</v>
      </c>
      <c r="DS62" s="101">
        <v>188</v>
      </c>
      <c r="DT62" s="98">
        <f t="shared" si="285"/>
        <v>6.2146892655367214</v>
      </c>
      <c r="DU62" s="101">
        <v>183</v>
      </c>
      <c r="DV62" s="98">
        <f t="shared" si="285"/>
        <v>1.1049723756906049</v>
      </c>
      <c r="DW62" s="101">
        <v>188</v>
      </c>
      <c r="DX62" s="98">
        <f t="shared" si="285"/>
        <v>4.4444444444444509</v>
      </c>
      <c r="DY62" s="101">
        <v>181</v>
      </c>
      <c r="DZ62" s="98">
        <f t="shared" si="285"/>
        <v>1.6853932584269593</v>
      </c>
      <c r="EA62" s="101">
        <v>185</v>
      </c>
      <c r="EB62" s="98">
        <f t="shared" si="286"/>
        <v>-1.5957446808510634</v>
      </c>
      <c r="EC62" s="101">
        <v>197</v>
      </c>
      <c r="ED62" s="98">
        <f t="shared" si="287"/>
        <v>7.6502732240437243</v>
      </c>
      <c r="EE62" s="101">
        <v>194</v>
      </c>
      <c r="EF62" s="860">
        <f t="shared" si="288"/>
        <v>3.1914893617021267</v>
      </c>
      <c r="EG62" s="101">
        <v>194</v>
      </c>
      <c r="EH62" s="860">
        <f t="shared" si="289"/>
        <v>7.182320441988943</v>
      </c>
      <c r="EI62" s="101">
        <v>204</v>
      </c>
      <c r="EJ62" s="860">
        <f t="shared" si="290"/>
        <v>10.270270270270277</v>
      </c>
      <c r="EK62" s="101">
        <v>200</v>
      </c>
      <c r="EL62" s="860">
        <f t="shared" si="291"/>
        <v>1.5228426395939021</v>
      </c>
      <c r="EM62" s="101">
        <v>197</v>
      </c>
      <c r="EN62" s="860">
        <f t="shared" si="292"/>
        <v>1.5463917525773141</v>
      </c>
      <c r="EO62" s="101">
        <v>198</v>
      </c>
      <c r="EP62" s="98">
        <f t="shared" si="293"/>
        <v>2.0618556701030855</v>
      </c>
      <c r="EQ62" s="778">
        <f>EQ39*EQ71/400</f>
        <v>198.52459386873579</v>
      </c>
      <c r="ER62" s="98">
        <f t="shared" si="295"/>
        <v>-2.6840226133648115</v>
      </c>
      <c r="ES62" s="778">
        <f t="shared" ref="ES62" si="307">ES39*ES71/400</f>
        <v>199.42193227885002</v>
      </c>
      <c r="ET62" s="98">
        <f t="shared" si="297"/>
        <v>-0.28903386057499425</v>
      </c>
      <c r="EU62" s="778">
        <f t="shared" ref="EU62" si="308">EU39*EU71/400</f>
        <v>200.01044737225126</v>
      </c>
      <c r="EV62" s="98">
        <f t="shared" si="299"/>
        <v>1.5281458742392173</v>
      </c>
      <c r="EW62" s="778">
        <f t="shared" ref="EW62" si="309">EW39*EW71/400</f>
        <v>200.28387951581354</v>
      </c>
      <c r="EX62" s="98">
        <f t="shared" si="301"/>
        <v>1.1534745029361249</v>
      </c>
      <c r="EY62" s="96"/>
      <c r="EZ62" s="594"/>
      <c r="FA62" s="405"/>
      <c r="FB62" s="94"/>
      <c r="FC62" s="92"/>
      <c r="FD62" s="94"/>
      <c r="FE62" s="92"/>
      <c r="FF62" s="95"/>
      <c r="FG62" s="92"/>
      <c r="FH62" s="95"/>
      <c r="FI62" s="92"/>
      <c r="FJ62" s="95"/>
      <c r="FK62" s="92"/>
      <c r="FL62" s="95"/>
      <c r="FM62" s="92"/>
      <c r="FN62" s="95"/>
      <c r="FO62" s="92"/>
      <c r="FP62" s="95"/>
      <c r="FQ62" s="92"/>
      <c r="FR62" s="96"/>
      <c r="FS62" s="97"/>
      <c r="FT62" s="96"/>
      <c r="FU62" s="97"/>
      <c r="FV62" s="95"/>
      <c r="FW62" s="98"/>
      <c r="FX62" s="480"/>
      <c r="FY62" s="98"/>
      <c r="FZ62" s="96"/>
      <c r="GA62" s="98"/>
      <c r="GB62" s="506">
        <v>630</v>
      </c>
      <c r="GC62" s="98" t="str">
        <f t="shared" si="302"/>
        <v>NA</v>
      </c>
      <c r="GD62" s="96">
        <f>CU62+CW62+CY62+DA62</f>
        <v>662</v>
      </c>
      <c r="GE62" s="98">
        <f t="shared" si="303"/>
        <v>5.0793650793650835</v>
      </c>
      <c r="GF62" s="96">
        <f>DC62+DE62+DG62+DI62</f>
        <v>688</v>
      </c>
      <c r="GG62" s="98">
        <f t="shared" si="304"/>
        <v>3.92749244712991</v>
      </c>
      <c r="GH62" s="96">
        <f>DK62+DM62+DO62+DQ62</f>
        <v>716</v>
      </c>
      <c r="GI62" s="98">
        <f t="shared" si="304"/>
        <v>4.0697674418604723</v>
      </c>
      <c r="GJ62" s="96">
        <f>DS62+DU62+DW62+DY62</f>
        <v>740</v>
      </c>
      <c r="GK62" s="98">
        <f t="shared" si="304"/>
        <v>3.3519553072625774</v>
      </c>
      <c r="GL62" s="96">
        <f>EA62+EC62+EE62+EG62</f>
        <v>770</v>
      </c>
      <c r="GM62" s="98">
        <f t="shared" si="304"/>
        <v>4.0540540540540571</v>
      </c>
      <c r="GN62" s="96">
        <f>EI62+EK62+EM62+EO62</f>
        <v>799</v>
      </c>
      <c r="GO62" s="98">
        <f t="shared" si="304"/>
        <v>3.766233766233773</v>
      </c>
      <c r="GP62" s="96">
        <f>EQ62+ES62+EU62+EW62</f>
        <v>798.24085303565062</v>
      </c>
      <c r="GQ62" s="98">
        <f t="shared" si="304"/>
        <v>-9.5012135713312684E-2</v>
      </c>
      <c r="GR62" s="778">
        <f>GR39*GR71/100</f>
        <v>808.69957617309512</v>
      </c>
      <c r="GS62" s="98">
        <f t="shared" si="304"/>
        <v>1.310221482359708</v>
      </c>
      <c r="GT62" s="778">
        <f>GT39*GT71/100</f>
        <v>821.21292303587495</v>
      </c>
      <c r="GU62" s="98">
        <f t="shared" si="304"/>
        <v>1.5473418351466428</v>
      </c>
      <c r="GV62" s="778">
        <f>GV39*GV71/100</f>
        <v>835.61785204806552</v>
      </c>
      <c r="GW62" s="98">
        <f t="shared" si="304"/>
        <v>1.754104034181303</v>
      </c>
      <c r="GX62" s="778">
        <f>GX39*GX71/100</f>
        <v>851.77542822246119</v>
      </c>
      <c r="GY62" s="98">
        <f t="shared" si="305"/>
        <v>1.9336083036993745</v>
      </c>
      <c r="GZ62" s="98">
        <f t="shared" si="306"/>
        <v>1.2874565563206763</v>
      </c>
      <c r="HA62" s="98"/>
      <c r="HB62" s="10"/>
      <c r="HC62"/>
      <c r="HD62"/>
      <c r="HE62"/>
      <c r="HF62"/>
      <c r="HG62"/>
      <c r="HH62"/>
      <c r="HI62" s="10"/>
    </row>
    <row r="63" spans="2:217" s="2" customFormat="1" ht="12.75" customHeight="1" x14ac:dyDescent="0.2">
      <c r="B63" s="9" t="s">
        <v>534</v>
      </c>
      <c r="C63" s="94"/>
      <c r="D63" s="92"/>
      <c r="E63" s="94"/>
      <c r="F63" s="92"/>
      <c r="G63" s="94"/>
      <c r="H63" s="92"/>
      <c r="I63" s="94"/>
      <c r="J63" s="98"/>
      <c r="K63" s="94"/>
      <c r="L63" s="98"/>
      <c r="M63" s="94"/>
      <c r="N63" s="98"/>
      <c r="O63" s="94"/>
      <c r="P63" s="98"/>
      <c r="Q63" s="94"/>
      <c r="R63" s="98"/>
      <c r="S63" s="94"/>
      <c r="T63" s="98"/>
      <c r="U63" s="94"/>
      <c r="V63" s="98"/>
      <c r="W63" s="94"/>
      <c r="X63" s="98"/>
      <c r="Y63" s="94"/>
      <c r="Z63" s="98"/>
      <c r="AA63" s="94"/>
      <c r="AB63" s="98"/>
      <c r="AC63" s="94"/>
      <c r="AD63" s="98"/>
      <c r="AE63" s="94"/>
      <c r="AF63" s="98"/>
      <c r="AG63" s="94"/>
      <c r="AH63" s="98"/>
      <c r="AI63" s="94"/>
      <c r="AJ63" s="98"/>
      <c r="AK63" s="94"/>
      <c r="AL63" s="98"/>
      <c r="AM63" s="94"/>
      <c r="AN63" s="98"/>
      <c r="AO63" s="101"/>
      <c r="AP63" s="98"/>
      <c r="AQ63" s="101"/>
      <c r="AR63" s="98"/>
      <c r="AS63" s="101"/>
      <c r="AT63" s="98"/>
      <c r="AU63" s="101"/>
      <c r="AV63" s="98"/>
      <c r="AW63" s="101"/>
      <c r="AX63" s="98"/>
      <c r="AY63" s="101"/>
      <c r="AZ63" s="98"/>
      <c r="BA63" s="101"/>
      <c r="BB63" s="98"/>
      <c r="BC63" s="101"/>
      <c r="BD63" s="98"/>
      <c r="BE63" s="101"/>
      <c r="BF63" s="98"/>
      <c r="BG63" s="101"/>
      <c r="BH63" s="98"/>
      <c r="BI63" s="101"/>
      <c r="BJ63" s="98"/>
      <c r="BK63" s="101"/>
      <c r="BL63" s="98"/>
      <c r="BM63" s="101"/>
      <c r="BN63" s="98"/>
      <c r="BO63" s="101"/>
      <c r="BP63" s="98"/>
      <c r="BQ63" s="101"/>
      <c r="BR63" s="98"/>
      <c r="BS63" s="101"/>
      <c r="BT63" s="98"/>
      <c r="BU63" s="101"/>
      <c r="BV63" s="98"/>
      <c r="BW63" s="101"/>
      <c r="BX63" s="98"/>
      <c r="BY63" s="101"/>
      <c r="BZ63" s="98"/>
      <c r="CA63" s="101"/>
      <c r="CB63" s="98"/>
      <c r="CC63" s="101"/>
      <c r="CD63" s="98"/>
      <c r="CE63" s="101"/>
      <c r="CF63" s="98"/>
      <c r="CG63" s="101"/>
      <c r="CH63" s="98"/>
      <c r="CI63" s="101"/>
      <c r="CJ63" s="98"/>
      <c r="CK63" s="101"/>
      <c r="CL63" s="98"/>
      <c r="CM63" s="101"/>
      <c r="CN63" s="98"/>
      <c r="CO63" s="101"/>
      <c r="CP63" s="98"/>
      <c r="CQ63" s="542">
        <v>448</v>
      </c>
      <c r="CR63" s="98" t="str">
        <f t="shared" si="274"/>
        <v>NA</v>
      </c>
      <c r="CS63" s="101">
        <v>438</v>
      </c>
      <c r="CT63" s="98" t="str">
        <f t="shared" si="275"/>
        <v>NA</v>
      </c>
      <c r="CU63" s="101">
        <v>436</v>
      </c>
      <c r="CV63" s="98" t="str">
        <f t="shared" si="276"/>
        <v>NA</v>
      </c>
      <c r="CW63" s="101">
        <v>439</v>
      </c>
      <c r="CX63" s="98" t="str">
        <f t="shared" si="277"/>
        <v>NA</v>
      </c>
      <c r="CY63" s="101">
        <v>450</v>
      </c>
      <c r="CZ63" s="98">
        <f t="shared" si="278"/>
        <v>0.44642857142858094</v>
      </c>
      <c r="DA63" s="101">
        <v>443</v>
      </c>
      <c r="DB63" s="98">
        <f t="shared" si="279"/>
        <v>1.1415525114155223</v>
      </c>
      <c r="DC63" s="101">
        <v>453</v>
      </c>
      <c r="DD63" s="98">
        <f t="shared" si="280"/>
        <v>3.8990825688073327</v>
      </c>
      <c r="DE63" s="101">
        <v>472</v>
      </c>
      <c r="DF63" s="98">
        <f t="shared" si="281"/>
        <v>7.5170842824601403</v>
      </c>
      <c r="DG63" s="101">
        <v>459</v>
      </c>
      <c r="DH63" s="98">
        <f t="shared" si="282"/>
        <v>2.0000000000000018</v>
      </c>
      <c r="DI63" s="101">
        <v>472</v>
      </c>
      <c r="DJ63" s="98">
        <f t="shared" si="283"/>
        <v>6.5462753950338515</v>
      </c>
      <c r="DK63" s="101">
        <v>456</v>
      </c>
      <c r="DL63" s="98">
        <f t="shared" si="284"/>
        <v>0.66225165562914245</v>
      </c>
      <c r="DM63" s="101">
        <v>465</v>
      </c>
      <c r="DN63" s="98">
        <f t="shared" si="285"/>
        <v>-1.4830508474576232</v>
      </c>
      <c r="DO63" s="101">
        <v>475</v>
      </c>
      <c r="DP63" s="98">
        <f t="shared" si="285"/>
        <v>3.4858387799564294</v>
      </c>
      <c r="DQ63" s="101">
        <v>465</v>
      </c>
      <c r="DR63" s="98">
        <f t="shared" si="285"/>
        <v>-1.4830508474576232</v>
      </c>
      <c r="DS63" s="101">
        <v>287</v>
      </c>
      <c r="DT63" s="98">
        <f t="shared" si="285"/>
        <v>-37.061403508771932</v>
      </c>
      <c r="DU63" s="101">
        <v>293</v>
      </c>
      <c r="DV63" s="98">
        <f t="shared" si="285"/>
        <v>-36.989247311827953</v>
      </c>
      <c r="DW63" s="101">
        <v>288</v>
      </c>
      <c r="DX63" s="98">
        <f t="shared" si="285"/>
        <v>-39.368421052631575</v>
      </c>
      <c r="DY63" s="101">
        <v>270</v>
      </c>
      <c r="DZ63" s="98">
        <f t="shared" si="285"/>
        <v>-41.935483870967737</v>
      </c>
      <c r="EA63" s="101">
        <v>274</v>
      </c>
      <c r="EB63" s="98">
        <f t="shared" si="286"/>
        <v>-4.5296167247386716</v>
      </c>
      <c r="EC63" s="101">
        <v>281</v>
      </c>
      <c r="ED63" s="98">
        <f t="shared" si="287"/>
        <v>-4.0955631399317465</v>
      </c>
      <c r="EE63" s="101">
        <v>309</v>
      </c>
      <c r="EF63" s="860">
        <f t="shared" si="288"/>
        <v>7.2916666666666741</v>
      </c>
      <c r="EG63" s="101">
        <v>276</v>
      </c>
      <c r="EH63" s="860">
        <f t="shared" si="289"/>
        <v>2.2222222222222143</v>
      </c>
      <c r="EI63" s="101">
        <v>285</v>
      </c>
      <c r="EJ63" s="860">
        <f t="shared" si="290"/>
        <v>4.014598540145986</v>
      </c>
      <c r="EK63" s="101">
        <v>280</v>
      </c>
      <c r="EL63" s="860">
        <f t="shared" si="291"/>
        <v>-0.3558718861209953</v>
      </c>
      <c r="EM63" s="101">
        <v>285</v>
      </c>
      <c r="EN63" s="860">
        <f t="shared" si="292"/>
        <v>-7.7669902912621325</v>
      </c>
      <c r="EO63" s="101">
        <v>275</v>
      </c>
      <c r="EP63" s="98">
        <f t="shared" si="293"/>
        <v>-0.36231884057971175</v>
      </c>
      <c r="EQ63" s="778">
        <f t="shared" ref="EQ63" si="310">EQ39*EQ72/400</f>
        <v>275.72860259546638</v>
      </c>
      <c r="ER63" s="98">
        <f t="shared" si="295"/>
        <v>-3.2531218963275821</v>
      </c>
      <c r="ES63" s="778">
        <f t="shared" ref="ES63" si="311">ES39*ES72/400</f>
        <v>276.97490594284727</v>
      </c>
      <c r="ET63" s="98">
        <f t="shared" si="297"/>
        <v>-1.0803907346974007</v>
      </c>
      <c r="EU63" s="778">
        <f t="shared" ref="EU63" si="312">EU39*EU72/400</f>
        <v>277.79228801701561</v>
      </c>
      <c r="EV63" s="98">
        <f t="shared" si="299"/>
        <v>-2.5290217484155719</v>
      </c>
      <c r="EW63" s="778">
        <f t="shared" ref="EW63" si="313">EW39*EW72/400</f>
        <v>278.1720548830744</v>
      </c>
      <c r="EX63" s="98">
        <f t="shared" si="301"/>
        <v>1.1534745029361471</v>
      </c>
      <c r="EY63" s="96"/>
      <c r="EZ63" s="594"/>
      <c r="FA63" s="405"/>
      <c r="FB63" s="94"/>
      <c r="FC63" s="92"/>
      <c r="FD63" s="94"/>
      <c r="FE63" s="92"/>
      <c r="FF63" s="95"/>
      <c r="FG63" s="92"/>
      <c r="FH63" s="95"/>
      <c r="FI63" s="92"/>
      <c r="FJ63" s="95"/>
      <c r="FK63" s="92"/>
      <c r="FL63" s="95"/>
      <c r="FM63" s="92"/>
      <c r="FN63" s="95"/>
      <c r="FO63" s="92"/>
      <c r="FP63" s="95"/>
      <c r="FQ63" s="92"/>
      <c r="FR63" s="96"/>
      <c r="FS63" s="97"/>
      <c r="FT63" s="96"/>
      <c r="FU63" s="97"/>
      <c r="FV63" s="95"/>
      <c r="FW63" s="98"/>
      <c r="FX63" s="480"/>
      <c r="FY63" s="98"/>
      <c r="FZ63" s="96"/>
      <c r="GA63" s="98"/>
      <c r="GB63" s="506">
        <v>1768</v>
      </c>
      <c r="GC63" s="98" t="str">
        <f t="shared" si="302"/>
        <v>NA</v>
      </c>
      <c r="GD63" s="96">
        <f>CU63+CW63+CY63+DA63</f>
        <v>1768</v>
      </c>
      <c r="GE63" s="98">
        <f t="shared" si="303"/>
        <v>0</v>
      </c>
      <c r="GF63" s="96">
        <f>DC63+DE63+DG63+DI63</f>
        <v>1856</v>
      </c>
      <c r="GG63" s="98">
        <f t="shared" si="304"/>
        <v>4.9773755656108642</v>
      </c>
      <c r="GH63" s="96">
        <f>DK63+DM63+DO63+DQ63</f>
        <v>1861</v>
      </c>
      <c r="GI63" s="98">
        <f t="shared" si="304"/>
        <v>0.26939655172413257</v>
      </c>
      <c r="GJ63" s="96">
        <f>DS63+DU63+DW63+DY63</f>
        <v>1138</v>
      </c>
      <c r="GK63" s="98">
        <f t="shared" si="304"/>
        <v>-38.850080601826974</v>
      </c>
      <c r="GL63" s="96">
        <f>EA63+EC63+EE63+EG63</f>
        <v>1140</v>
      </c>
      <c r="GM63" s="98">
        <f t="shared" si="304"/>
        <v>0.17574692442883233</v>
      </c>
      <c r="GN63" s="96">
        <f>EI63+EK63+EM63+EO63</f>
        <v>1125</v>
      </c>
      <c r="GO63" s="98">
        <f t="shared" si="304"/>
        <v>-1.3157894736842146</v>
      </c>
      <c r="GP63" s="96">
        <f>EQ63+ES63+EU63+EW63</f>
        <v>1108.6678514384037</v>
      </c>
      <c r="GQ63" s="98">
        <f t="shared" si="304"/>
        <v>-1.4517465388085626</v>
      </c>
      <c r="GR63" s="96">
        <f>GR39*GR72/100</f>
        <v>1103.9054528770473</v>
      </c>
      <c r="GS63" s="98">
        <f t="shared" si="304"/>
        <v>-0.42956044546412775</v>
      </c>
      <c r="GT63" s="96">
        <f>GT39*GT72/100</f>
        <v>1101.3997833232645</v>
      </c>
      <c r="GU63" s="98">
        <f t="shared" si="304"/>
        <v>-0.22698226077717543</v>
      </c>
      <c r="GV63" s="96">
        <f>GV39*GV72/100</f>
        <v>1100.7890469991246</v>
      </c>
      <c r="GW63" s="98">
        <f t="shared" si="304"/>
        <v>-5.5450921035882228E-2</v>
      </c>
      <c r="GX63" s="96">
        <f>GX39*GX72/100</f>
        <v>1101.7581845285667</v>
      </c>
      <c r="GY63" s="98">
        <f t="shared" si="305"/>
        <v>8.804025912905189E-2</v>
      </c>
      <c r="GZ63" s="98">
        <f t="shared" si="306"/>
        <v>-0.41664526081707232</v>
      </c>
      <c r="HA63" s="98"/>
      <c r="HB63" s="10"/>
      <c r="HC63"/>
      <c r="HD63"/>
      <c r="HE63"/>
      <c r="HF63"/>
      <c r="HG63"/>
      <c r="HH63"/>
      <c r="HI63" s="10"/>
    </row>
    <row r="64" spans="2:217" s="2" customFormat="1" ht="12.75" customHeight="1" x14ac:dyDescent="0.2">
      <c r="B64" s="9" t="s">
        <v>306</v>
      </c>
      <c r="C64" s="94"/>
      <c r="D64" s="92"/>
      <c r="E64" s="94"/>
      <c r="F64" s="92"/>
      <c r="G64" s="94"/>
      <c r="H64" s="92"/>
      <c r="I64" s="94"/>
      <c r="J64" s="98"/>
      <c r="K64" s="94"/>
      <c r="L64" s="98"/>
      <c r="M64" s="94"/>
      <c r="N64" s="98"/>
      <c r="O64" s="94"/>
      <c r="P64" s="98"/>
      <c r="Q64" s="94"/>
      <c r="R64" s="98"/>
      <c r="S64" s="94"/>
      <c r="T64" s="98"/>
      <c r="U64" s="94"/>
      <c r="V64" s="98"/>
      <c r="W64" s="94"/>
      <c r="X64" s="98"/>
      <c r="Y64" s="94"/>
      <c r="Z64" s="98"/>
      <c r="AA64" s="94"/>
      <c r="AB64" s="98"/>
      <c r="AC64" s="94"/>
      <c r="AD64" s="98"/>
      <c r="AE64" s="94"/>
      <c r="AF64" s="98"/>
      <c r="AG64" s="94"/>
      <c r="AH64" s="98"/>
      <c r="AI64" s="94"/>
      <c r="AJ64" s="98"/>
      <c r="AK64" s="94"/>
      <c r="AL64" s="98"/>
      <c r="AM64" s="94"/>
      <c r="AN64" s="98"/>
      <c r="AO64" s="101"/>
      <c r="AP64" s="98"/>
      <c r="AQ64" s="101"/>
      <c r="AR64" s="98"/>
      <c r="AS64" s="101"/>
      <c r="AT64" s="98"/>
      <c r="AU64" s="101"/>
      <c r="AV64" s="98"/>
      <c r="AW64" s="101"/>
      <c r="AX64" s="98"/>
      <c r="AY64" s="101"/>
      <c r="AZ64" s="98"/>
      <c r="BA64" s="101"/>
      <c r="BB64" s="98"/>
      <c r="BC64" s="101"/>
      <c r="BD64" s="98"/>
      <c r="BE64" s="101"/>
      <c r="BF64" s="98"/>
      <c r="BG64" s="101"/>
      <c r="BH64" s="98"/>
      <c r="BI64" s="101"/>
      <c r="BJ64" s="98"/>
      <c r="BK64" s="101"/>
      <c r="BL64" s="98"/>
      <c r="BM64" s="101"/>
      <c r="BN64" s="98"/>
      <c r="BO64" s="101"/>
      <c r="BP64" s="98"/>
      <c r="BQ64" s="101"/>
      <c r="BR64" s="98"/>
      <c r="BS64" s="101"/>
      <c r="BT64" s="98"/>
      <c r="BU64" s="101"/>
      <c r="BV64" s="98"/>
      <c r="BW64" s="101"/>
      <c r="BX64" s="98"/>
      <c r="BY64" s="101"/>
      <c r="BZ64" s="98"/>
      <c r="CA64" s="101"/>
      <c r="CB64" s="98"/>
      <c r="CC64" s="101"/>
      <c r="CD64" s="98"/>
      <c r="CE64" s="101"/>
      <c r="CF64" s="98"/>
      <c r="CG64" s="101"/>
      <c r="CH64" s="98"/>
      <c r="CI64" s="101"/>
      <c r="CJ64" s="98"/>
      <c r="CK64" s="101"/>
      <c r="CL64" s="98"/>
      <c r="CM64" s="101"/>
      <c r="CN64" s="98"/>
      <c r="CO64" s="101"/>
      <c r="CP64" s="98"/>
      <c r="CQ64" s="542">
        <v>46</v>
      </c>
      <c r="CR64" s="98" t="str">
        <f t="shared" si="274"/>
        <v>NA</v>
      </c>
      <c r="CS64" s="101">
        <v>44</v>
      </c>
      <c r="CT64" s="98" t="str">
        <f t="shared" si="275"/>
        <v>NA</v>
      </c>
      <c r="CU64" s="101">
        <v>42</v>
      </c>
      <c r="CV64" s="98" t="str">
        <f t="shared" si="276"/>
        <v>NA</v>
      </c>
      <c r="CW64" s="101">
        <v>43</v>
      </c>
      <c r="CX64" s="98" t="str">
        <f t="shared" si="277"/>
        <v>NA</v>
      </c>
      <c r="CY64" s="101">
        <v>42</v>
      </c>
      <c r="CZ64" s="98">
        <f t="shared" si="278"/>
        <v>-8.6956521739130483</v>
      </c>
      <c r="DA64" s="101">
        <v>40</v>
      </c>
      <c r="DB64" s="98">
        <f t="shared" si="279"/>
        <v>-9.0909090909090935</v>
      </c>
      <c r="DC64" s="101">
        <v>39</v>
      </c>
      <c r="DD64" s="98">
        <f t="shared" si="280"/>
        <v>-7.1428571428571397</v>
      </c>
      <c r="DE64" s="101">
        <v>39</v>
      </c>
      <c r="DF64" s="98">
        <f t="shared" si="281"/>
        <v>-9.3023255813953547</v>
      </c>
      <c r="DG64" s="101">
        <v>38</v>
      </c>
      <c r="DH64" s="98">
        <f t="shared" si="282"/>
        <v>-9.5238095238095237</v>
      </c>
      <c r="DI64" s="101">
        <v>39</v>
      </c>
      <c r="DJ64" s="98">
        <f t="shared" si="283"/>
        <v>-2.5000000000000022</v>
      </c>
      <c r="DK64" s="101">
        <v>40</v>
      </c>
      <c r="DL64" s="98">
        <f t="shared" si="284"/>
        <v>2.564102564102555</v>
      </c>
      <c r="DM64" s="101">
        <v>39</v>
      </c>
      <c r="DN64" s="98">
        <f t="shared" si="285"/>
        <v>0</v>
      </c>
      <c r="DO64" s="101">
        <v>38</v>
      </c>
      <c r="DP64" s="98">
        <f t="shared" si="285"/>
        <v>0</v>
      </c>
      <c r="DQ64" s="101">
        <v>39</v>
      </c>
      <c r="DR64" s="98">
        <f t="shared" si="285"/>
        <v>0</v>
      </c>
      <c r="DS64" s="101">
        <v>34</v>
      </c>
      <c r="DT64" s="98">
        <f t="shared" si="285"/>
        <v>-15.000000000000002</v>
      </c>
      <c r="DU64" s="101">
        <v>35</v>
      </c>
      <c r="DV64" s="98">
        <f t="shared" si="285"/>
        <v>-10.256410256410254</v>
      </c>
      <c r="DW64" s="101">
        <v>36</v>
      </c>
      <c r="DX64" s="98">
        <f t="shared" si="285"/>
        <v>-5.2631578947368478</v>
      </c>
      <c r="DY64" s="101">
        <v>34</v>
      </c>
      <c r="DZ64" s="98">
        <f t="shared" si="285"/>
        <v>-12.820512820512819</v>
      </c>
      <c r="EA64" s="101">
        <v>34</v>
      </c>
      <c r="EB64" s="98">
        <f t="shared" si="286"/>
        <v>0</v>
      </c>
      <c r="EC64" s="101">
        <v>34</v>
      </c>
      <c r="ED64" s="98">
        <f t="shared" si="287"/>
        <v>-2.8571428571428581</v>
      </c>
      <c r="EE64" s="101">
        <v>35</v>
      </c>
      <c r="EF64" s="860">
        <f t="shared" si="288"/>
        <v>-2.777777777777779</v>
      </c>
      <c r="EG64" s="101">
        <v>34</v>
      </c>
      <c r="EH64" s="860">
        <f t="shared" si="289"/>
        <v>0</v>
      </c>
      <c r="EI64" s="101">
        <v>34</v>
      </c>
      <c r="EJ64" s="860">
        <f t="shared" si="290"/>
        <v>0</v>
      </c>
      <c r="EK64" s="101">
        <v>34</v>
      </c>
      <c r="EL64" s="860">
        <f t="shared" si="291"/>
        <v>0</v>
      </c>
      <c r="EM64" s="101">
        <v>34</v>
      </c>
      <c r="EN64" s="860">
        <f t="shared" si="292"/>
        <v>-2.8571428571428581</v>
      </c>
      <c r="EO64" s="101">
        <v>34</v>
      </c>
      <c r="EP64" s="98">
        <f t="shared" si="293"/>
        <v>0</v>
      </c>
      <c r="EQ64" s="778">
        <f t="shared" ref="EQ64" si="314">EQ39*EQ73/400</f>
        <v>34.644271200419773</v>
      </c>
      <c r="ER64" s="98">
        <f t="shared" si="295"/>
        <v>1.8949152953522841</v>
      </c>
      <c r="ES64" s="778">
        <f t="shared" ref="ES64" si="315">ES39*ES73/400</f>
        <v>34.800864570705706</v>
      </c>
      <c r="ET64" s="98">
        <f t="shared" si="297"/>
        <v>2.355484031487376</v>
      </c>
      <c r="EU64" s="778">
        <f t="shared" ref="EU64" si="316">EU39*EU73/400</f>
        <v>34.903565581719043</v>
      </c>
      <c r="EV64" s="98">
        <f t="shared" si="299"/>
        <v>2.657545828585417</v>
      </c>
      <c r="EW64" s="778">
        <f t="shared" ref="EW64" si="317">EW39*EW73/400</f>
        <v>34.951281872944641</v>
      </c>
      <c r="EX64" s="98">
        <f t="shared" si="301"/>
        <v>2.7978878616018887</v>
      </c>
      <c r="EY64" s="96"/>
      <c r="EZ64" s="594"/>
      <c r="FA64" s="405"/>
      <c r="FB64" s="94"/>
      <c r="FC64" s="92"/>
      <c r="FD64" s="94"/>
      <c r="FE64" s="92"/>
      <c r="FF64" s="95"/>
      <c r="FG64" s="92"/>
      <c r="FH64" s="95"/>
      <c r="FI64" s="92"/>
      <c r="FJ64" s="95"/>
      <c r="FK64" s="92"/>
      <c r="FL64" s="95"/>
      <c r="FM64" s="92"/>
      <c r="FN64" s="95"/>
      <c r="FO64" s="92"/>
      <c r="FP64" s="95"/>
      <c r="FQ64" s="92"/>
      <c r="FR64" s="96"/>
      <c r="FS64" s="97"/>
      <c r="FT64" s="96"/>
      <c r="FU64" s="97"/>
      <c r="FV64" s="95"/>
      <c r="FW64" s="98"/>
      <c r="FX64" s="480"/>
      <c r="FY64" s="98"/>
      <c r="FZ64" s="96"/>
      <c r="GA64" s="98"/>
      <c r="GB64" s="506">
        <v>178</v>
      </c>
      <c r="GC64" s="98" t="str">
        <f t="shared" si="302"/>
        <v>NA</v>
      </c>
      <c r="GD64" s="96">
        <f>CU64+CW64+CY64+DA64</f>
        <v>167</v>
      </c>
      <c r="GE64" s="98">
        <f t="shared" si="303"/>
        <v>-6.1797752808988804</v>
      </c>
      <c r="GF64" s="96">
        <f>DC64+DE64+DG64+DI64</f>
        <v>155</v>
      </c>
      <c r="GG64" s="98">
        <f t="shared" si="304"/>
        <v>-7.1856287425149716</v>
      </c>
      <c r="GH64" s="96">
        <f>DK64+DM64+DO64+DQ64</f>
        <v>156</v>
      </c>
      <c r="GI64" s="98">
        <f t="shared" si="304"/>
        <v>0.64516129032257119</v>
      </c>
      <c r="GJ64" s="96">
        <f>DS64+DU64+DW64+DY64</f>
        <v>139</v>
      </c>
      <c r="GK64" s="98">
        <f t="shared" si="304"/>
        <v>-10.897435897435892</v>
      </c>
      <c r="GL64" s="96">
        <f>EA64+EC64+EE64+EG64</f>
        <v>137</v>
      </c>
      <c r="GM64" s="98">
        <f t="shared" si="304"/>
        <v>-1.4388489208633115</v>
      </c>
      <c r="GN64" s="96">
        <f>EI64+EK64+EM64+EO64</f>
        <v>136</v>
      </c>
      <c r="GO64" s="98">
        <f t="shared" si="304"/>
        <v>-0.72992700729926918</v>
      </c>
      <c r="GP64" s="96">
        <f>EQ64+ES64+EU64+EW64</f>
        <v>139.29998322578916</v>
      </c>
      <c r="GQ64" s="98">
        <f t="shared" si="304"/>
        <v>2.4264582542567359</v>
      </c>
      <c r="GR64" s="96">
        <f>GR39*GR73/100</f>
        <v>141.12512153093689</v>
      </c>
      <c r="GS64" s="98">
        <f t="shared" si="304"/>
        <v>1.3102214823596858</v>
      </c>
      <c r="GT64" s="96">
        <f>GT39*GT73/100</f>
        <v>143.30880957628662</v>
      </c>
      <c r="GU64" s="98">
        <f t="shared" si="304"/>
        <v>1.5473418351466428</v>
      </c>
      <c r="GV64" s="96">
        <f>GV39*GV73/100</f>
        <v>145.82259518640146</v>
      </c>
      <c r="GW64" s="98">
        <f t="shared" si="304"/>
        <v>1.754104034181303</v>
      </c>
      <c r="GX64" s="96">
        <f>GX39*GX73/100</f>
        <v>148.64223299559566</v>
      </c>
      <c r="GY64" s="98">
        <f t="shared" si="305"/>
        <v>1.9336083036993967</v>
      </c>
      <c r="GZ64" s="98">
        <f t="shared" si="306"/>
        <v>1.793644242514314</v>
      </c>
      <c r="HA64" s="98"/>
      <c r="HB64" s="10"/>
      <c r="HC64"/>
      <c r="HD64"/>
      <c r="HE64"/>
      <c r="HF64"/>
      <c r="HG64"/>
      <c r="HH64"/>
      <c r="HI64" s="10"/>
    </row>
    <row r="65" spans="2:217" s="2" customFormat="1" ht="12.75" customHeight="1" x14ac:dyDescent="0.2">
      <c r="B65" s="91" t="s">
        <v>535</v>
      </c>
      <c r="C65" s="94"/>
      <c r="D65" s="92"/>
      <c r="E65" s="94"/>
      <c r="F65" s="92"/>
      <c r="G65" s="94"/>
      <c r="H65" s="92"/>
      <c r="I65" s="94"/>
      <c r="J65" s="98"/>
      <c r="K65" s="94"/>
      <c r="L65" s="98"/>
      <c r="M65" s="94"/>
      <c r="N65" s="98"/>
      <c r="O65" s="94"/>
      <c r="P65" s="98"/>
      <c r="Q65" s="94"/>
      <c r="R65" s="98"/>
      <c r="S65" s="94"/>
      <c r="T65" s="98"/>
      <c r="U65" s="94"/>
      <c r="V65" s="98"/>
      <c r="W65" s="94"/>
      <c r="X65" s="98"/>
      <c r="Y65" s="94"/>
      <c r="Z65" s="98"/>
      <c r="AA65" s="94"/>
      <c r="AB65" s="98"/>
      <c r="AC65" s="94"/>
      <c r="AD65" s="98"/>
      <c r="AE65" s="94"/>
      <c r="AF65" s="98"/>
      <c r="AG65" s="94"/>
      <c r="AH65" s="98"/>
      <c r="AI65" s="94"/>
      <c r="AJ65" s="98"/>
      <c r="AK65" s="94"/>
      <c r="AL65" s="98"/>
      <c r="AM65" s="94"/>
      <c r="AN65" s="98"/>
      <c r="AO65" s="101"/>
      <c r="AP65" s="98"/>
      <c r="AQ65" s="101"/>
      <c r="AR65" s="98"/>
      <c r="AS65" s="101"/>
      <c r="AT65" s="98"/>
      <c r="AU65" s="101"/>
      <c r="AV65" s="98"/>
      <c r="AW65" s="101"/>
      <c r="AX65" s="98"/>
      <c r="AY65" s="94"/>
      <c r="AZ65" s="98"/>
      <c r="BA65" s="94"/>
      <c r="BB65" s="98"/>
      <c r="BC65" s="94"/>
      <c r="BD65" s="98"/>
      <c r="BE65" s="94"/>
      <c r="BF65" s="98"/>
      <c r="BG65" s="94"/>
      <c r="BH65" s="98"/>
      <c r="BI65" s="94"/>
      <c r="BJ65" s="98"/>
      <c r="BK65" s="94"/>
      <c r="BL65" s="98"/>
      <c r="BM65" s="94"/>
      <c r="BN65" s="98"/>
      <c r="BO65" s="94"/>
      <c r="BP65" s="98"/>
      <c r="BQ65" s="94"/>
      <c r="BR65" s="98"/>
      <c r="BS65" s="94"/>
      <c r="BT65" s="98"/>
      <c r="BU65" s="99"/>
      <c r="BV65" s="98"/>
      <c r="BW65" s="99"/>
      <c r="BX65" s="98"/>
      <c r="BY65" s="99"/>
      <c r="BZ65" s="98"/>
      <c r="CA65" s="99"/>
      <c r="CB65" s="98"/>
      <c r="CC65" s="99"/>
      <c r="CD65" s="98"/>
      <c r="CE65" s="99"/>
      <c r="CF65" s="98"/>
      <c r="CG65" s="99"/>
      <c r="CH65" s="98"/>
      <c r="CI65" s="99"/>
      <c r="CJ65" s="98"/>
      <c r="CK65" s="99"/>
      <c r="CL65" s="98"/>
      <c r="CM65" s="99"/>
      <c r="CN65" s="98"/>
      <c r="CO65" s="99"/>
      <c r="CP65" s="98"/>
      <c r="CQ65" s="482">
        <f>CQ63-CQ64</f>
        <v>402</v>
      </c>
      <c r="CR65" s="98" t="str">
        <f t="shared" si="274"/>
        <v>NA</v>
      </c>
      <c r="CS65" s="99">
        <f>CS63-CS64</f>
        <v>394</v>
      </c>
      <c r="CT65" s="98" t="str">
        <f t="shared" si="275"/>
        <v>NA</v>
      </c>
      <c r="CU65" s="99">
        <f>CU63-CU64</f>
        <v>394</v>
      </c>
      <c r="CV65" s="98" t="str">
        <f t="shared" si="276"/>
        <v>NA</v>
      </c>
      <c r="CW65" s="99">
        <f>CW63-CW64</f>
        <v>396</v>
      </c>
      <c r="CX65" s="98" t="str">
        <f t="shared" si="277"/>
        <v>NA</v>
      </c>
      <c r="CY65" s="99">
        <f>CY63-CY64</f>
        <v>408</v>
      </c>
      <c r="CZ65" s="98">
        <f t="shared" si="278"/>
        <v>1.4925373134328401</v>
      </c>
      <c r="DA65" s="99">
        <f>DA63-DA64</f>
        <v>403</v>
      </c>
      <c r="DB65" s="98">
        <f t="shared" si="279"/>
        <v>2.2842639593908531</v>
      </c>
      <c r="DC65" s="99">
        <f>DC63-DC64</f>
        <v>414</v>
      </c>
      <c r="DD65" s="98">
        <f t="shared" si="280"/>
        <v>5.0761421319796884</v>
      </c>
      <c r="DE65" s="99">
        <f>DE63-DE64</f>
        <v>433</v>
      </c>
      <c r="DF65" s="98">
        <f t="shared" si="281"/>
        <v>9.3434343434343425</v>
      </c>
      <c r="DG65" s="99">
        <f>DG63-DG64</f>
        <v>421</v>
      </c>
      <c r="DH65" s="98">
        <f t="shared" si="282"/>
        <v>3.1862745098039325</v>
      </c>
      <c r="DI65" s="99">
        <f>DI63-DI64</f>
        <v>433</v>
      </c>
      <c r="DJ65" s="98">
        <f t="shared" si="283"/>
        <v>7.4441687344913188</v>
      </c>
      <c r="DK65" s="99">
        <f>DK63-DK64</f>
        <v>416</v>
      </c>
      <c r="DL65" s="98">
        <f t="shared" si="284"/>
        <v>0.48309178743961567</v>
      </c>
      <c r="DM65" s="99">
        <f>DM63-DM64</f>
        <v>426</v>
      </c>
      <c r="DN65" s="98">
        <f t="shared" si="285"/>
        <v>-1.6166281755196299</v>
      </c>
      <c r="DO65" s="99">
        <f>DO63-DO64</f>
        <v>437</v>
      </c>
      <c r="DP65" s="98">
        <f t="shared" si="285"/>
        <v>3.8004750593824133</v>
      </c>
      <c r="DQ65" s="99">
        <f>DQ63-DQ64</f>
        <v>426</v>
      </c>
      <c r="DR65" s="98">
        <f t="shared" si="285"/>
        <v>-1.6166281755196299</v>
      </c>
      <c r="DS65" s="99">
        <f>DS63-DS64</f>
        <v>253</v>
      </c>
      <c r="DT65" s="98">
        <f t="shared" si="285"/>
        <v>-39.182692307692314</v>
      </c>
      <c r="DU65" s="99">
        <f>DU63-DU64</f>
        <v>258</v>
      </c>
      <c r="DV65" s="98">
        <f t="shared" si="285"/>
        <v>-39.436619718309863</v>
      </c>
      <c r="DW65" s="99">
        <f>DW63-DW64</f>
        <v>252</v>
      </c>
      <c r="DX65" s="98">
        <f t="shared" si="285"/>
        <v>-42.334096109839813</v>
      </c>
      <c r="DY65" s="99">
        <f>DY63-DY64</f>
        <v>236</v>
      </c>
      <c r="DZ65" s="98">
        <f t="shared" si="285"/>
        <v>-44.600938967136152</v>
      </c>
      <c r="EA65" s="99">
        <f>EA63-EA64</f>
        <v>240</v>
      </c>
      <c r="EB65" s="98">
        <f t="shared" si="286"/>
        <v>-5.1383399209486207</v>
      </c>
      <c r="EC65" s="99">
        <f>EC63-EC64</f>
        <v>247</v>
      </c>
      <c r="ED65" s="98">
        <f t="shared" si="287"/>
        <v>-4.2635658914728651</v>
      </c>
      <c r="EE65" s="99">
        <f>EE63-EE64</f>
        <v>274</v>
      </c>
      <c r="EF65" s="860">
        <f t="shared" si="288"/>
        <v>8.7301587301587205</v>
      </c>
      <c r="EG65" s="99">
        <f>EG63-EG64</f>
        <v>242</v>
      </c>
      <c r="EH65" s="860">
        <f t="shared" si="289"/>
        <v>2.5423728813559254</v>
      </c>
      <c r="EI65" s="99">
        <f>EI63-EI64</f>
        <v>251</v>
      </c>
      <c r="EJ65" s="860">
        <f t="shared" si="290"/>
        <v>4.5833333333333393</v>
      </c>
      <c r="EK65" s="99">
        <f>EK63-EK64</f>
        <v>246</v>
      </c>
      <c r="EL65" s="860">
        <f t="shared" si="291"/>
        <v>-0.40485829959514552</v>
      </c>
      <c r="EM65" s="99">
        <f>EM63-EM64</f>
        <v>251</v>
      </c>
      <c r="EN65" s="860">
        <f t="shared" si="292"/>
        <v>-8.394160583941602</v>
      </c>
      <c r="EO65" s="99">
        <f>EO63-EO64</f>
        <v>241</v>
      </c>
      <c r="EP65" s="98">
        <f t="shared" si="293"/>
        <v>-0.41322314049586639</v>
      </c>
      <c r="EQ65" s="1006">
        <f t="shared" ref="EQ65" si="318">EQ63-EQ64</f>
        <v>241.0843313950466</v>
      </c>
      <c r="ER65" s="98">
        <f t="shared" si="295"/>
        <v>-3.9504655796627097</v>
      </c>
      <c r="ES65" s="1006">
        <f t="shared" ref="ES65" si="319">ES63-ES64</f>
        <v>242.17404137214157</v>
      </c>
      <c r="ET65" s="98">
        <f t="shared" si="297"/>
        <v>-1.5552677349017996</v>
      </c>
      <c r="EU65" s="1006">
        <f t="shared" ref="EU65" si="320">EU63-EU64</f>
        <v>242.88872243529656</v>
      </c>
      <c r="EV65" s="98">
        <f t="shared" si="299"/>
        <v>-3.2315846871328491</v>
      </c>
      <c r="EW65" s="1006">
        <f t="shared" ref="EW65" si="321">EW63-EW64</f>
        <v>243.22077301012976</v>
      </c>
      <c r="EX65" s="98">
        <f t="shared" si="301"/>
        <v>0.92148257681732293</v>
      </c>
      <c r="EY65" s="99"/>
      <c r="EZ65" s="594"/>
      <c r="FA65" s="405"/>
      <c r="FB65" s="94"/>
      <c r="FC65" s="92"/>
      <c r="FD65" s="94"/>
      <c r="FE65" s="92"/>
      <c r="FF65" s="95"/>
      <c r="FG65" s="92"/>
      <c r="FH65" s="95"/>
      <c r="FI65" s="92"/>
      <c r="FJ65" s="95"/>
      <c r="FK65" s="92"/>
      <c r="FL65" s="95"/>
      <c r="FM65" s="92"/>
      <c r="FN65" s="95"/>
      <c r="FO65" s="92"/>
      <c r="FP65" s="95"/>
      <c r="FQ65" s="92"/>
      <c r="FR65" s="96"/>
      <c r="FS65" s="97"/>
      <c r="FT65" s="96"/>
      <c r="FU65" s="97"/>
      <c r="FV65" s="96"/>
      <c r="FW65" s="98"/>
      <c r="FX65" s="480"/>
      <c r="FY65" s="98"/>
      <c r="FZ65" s="96"/>
      <c r="GA65" s="98"/>
      <c r="GB65" s="482">
        <f>GB63-GB64</f>
        <v>1590</v>
      </c>
      <c r="GC65" s="98" t="str">
        <f t="shared" si="302"/>
        <v>NA</v>
      </c>
      <c r="GD65" s="99">
        <f>GD63-GD64</f>
        <v>1601</v>
      </c>
      <c r="GE65" s="98">
        <f t="shared" si="303"/>
        <v>0.69182389937108013</v>
      </c>
      <c r="GF65" s="99">
        <f>GF63-GF64</f>
        <v>1701</v>
      </c>
      <c r="GG65" s="98">
        <f t="shared" si="304"/>
        <v>6.2460961898813228</v>
      </c>
      <c r="GH65" s="99">
        <f>GH63-GH64</f>
        <v>1705</v>
      </c>
      <c r="GI65" s="98">
        <f t="shared" si="304"/>
        <v>0.23515579071133885</v>
      </c>
      <c r="GJ65" s="99">
        <f>GJ63-GJ64</f>
        <v>999</v>
      </c>
      <c r="GK65" s="98">
        <f t="shared" si="304"/>
        <v>-41.407624633431084</v>
      </c>
      <c r="GL65" s="99">
        <f>GL63-GL64</f>
        <v>1003</v>
      </c>
      <c r="GM65" s="98">
        <f t="shared" si="304"/>
        <v>0.40040040040039138</v>
      </c>
      <c r="GN65" s="99">
        <f>GN63-GN64</f>
        <v>989</v>
      </c>
      <c r="GO65" s="98">
        <f t="shared" si="304"/>
        <v>-1.3958125623130591</v>
      </c>
      <c r="GP65" s="99">
        <f>GP63-GP64</f>
        <v>969.36786821261444</v>
      </c>
      <c r="GQ65" s="98">
        <f t="shared" si="304"/>
        <v>-1.9850487145991469</v>
      </c>
      <c r="GR65" s="99">
        <f>GR63-GR64</f>
        <v>962.78033134611042</v>
      </c>
      <c r="GS65" s="98">
        <f t="shared" si="304"/>
        <v>-0.67957037596578784</v>
      </c>
      <c r="GT65" s="99">
        <f>GT63-GT64</f>
        <v>958.09097374697785</v>
      </c>
      <c r="GU65" s="98">
        <f t="shared" si="304"/>
        <v>-0.48706412526896559</v>
      </c>
      <c r="GV65" s="99">
        <f>GV63-GV64</f>
        <v>954.96645181272311</v>
      </c>
      <c r="GW65" s="98">
        <f t="shared" si="304"/>
        <v>-0.32611954604218063</v>
      </c>
      <c r="GX65" s="99">
        <f>GX63-GX64</f>
        <v>953.11595153297105</v>
      </c>
      <c r="GY65" s="98">
        <f t="shared" si="305"/>
        <v>-0.19377646997330578</v>
      </c>
      <c r="GZ65" s="98">
        <f t="shared" si="306"/>
        <v>-0.73643027228631475</v>
      </c>
      <c r="HA65" s="98"/>
      <c r="HB65" s="10"/>
      <c r="HC65"/>
      <c r="HD65"/>
      <c r="HE65"/>
      <c r="HF65"/>
      <c r="HG65"/>
      <c r="HH65"/>
      <c r="HI65" s="10"/>
    </row>
    <row r="66" spans="2:217" s="2" customFormat="1" ht="12.75" customHeight="1" x14ac:dyDescent="0.2">
      <c r="B66" s="91" t="s">
        <v>537</v>
      </c>
      <c r="C66" s="94"/>
      <c r="D66" s="92"/>
      <c r="E66" s="94"/>
      <c r="F66" s="92"/>
      <c r="G66" s="94"/>
      <c r="H66" s="92"/>
      <c r="I66" s="94"/>
      <c r="J66" s="98"/>
      <c r="K66" s="94"/>
      <c r="L66" s="98"/>
      <c r="M66" s="94"/>
      <c r="N66" s="98"/>
      <c r="O66" s="94"/>
      <c r="P66" s="98"/>
      <c r="Q66" s="94"/>
      <c r="R66" s="98"/>
      <c r="S66" s="94"/>
      <c r="T66" s="98"/>
      <c r="U66" s="94"/>
      <c r="V66" s="98"/>
      <c r="W66" s="94"/>
      <c r="X66" s="98"/>
      <c r="Y66" s="94"/>
      <c r="Z66" s="98"/>
      <c r="AA66" s="94"/>
      <c r="AB66" s="98"/>
      <c r="AC66" s="94"/>
      <c r="AD66" s="98"/>
      <c r="AE66" s="94"/>
      <c r="AF66" s="98"/>
      <c r="AG66" s="94"/>
      <c r="AH66" s="98"/>
      <c r="AI66" s="94"/>
      <c r="AJ66" s="98"/>
      <c r="AK66" s="94"/>
      <c r="AL66" s="98"/>
      <c r="AM66" s="94"/>
      <c r="AN66" s="98"/>
      <c r="AO66" s="101"/>
      <c r="AP66" s="98"/>
      <c r="AQ66" s="101"/>
      <c r="AR66" s="98"/>
      <c r="AS66" s="101"/>
      <c r="AT66" s="98"/>
      <c r="AU66" s="101"/>
      <c r="AV66" s="98"/>
      <c r="AW66" s="101"/>
      <c r="AX66" s="98"/>
      <c r="AY66" s="101"/>
      <c r="AZ66" s="98"/>
      <c r="BA66" s="101"/>
      <c r="BB66" s="98"/>
      <c r="BC66" s="101"/>
      <c r="BD66" s="98"/>
      <c r="BE66" s="101"/>
      <c r="BF66" s="98"/>
      <c r="BG66" s="101"/>
      <c r="BH66" s="98"/>
      <c r="BI66" s="101"/>
      <c r="BJ66" s="98"/>
      <c r="BK66" s="101"/>
      <c r="BL66" s="98"/>
      <c r="BM66" s="101"/>
      <c r="BN66" s="98"/>
      <c r="BO66" s="101"/>
      <c r="BP66" s="98"/>
      <c r="BQ66" s="101"/>
      <c r="BR66" s="98"/>
      <c r="BS66" s="101"/>
      <c r="BT66" s="98"/>
      <c r="BU66" s="101"/>
      <c r="BV66" s="98"/>
      <c r="BW66" s="101"/>
      <c r="BX66" s="98"/>
      <c r="BY66" s="101"/>
      <c r="BZ66" s="98"/>
      <c r="CA66" s="101"/>
      <c r="CB66" s="98"/>
      <c r="CC66" s="101"/>
      <c r="CD66" s="98"/>
      <c r="CE66" s="101"/>
      <c r="CF66" s="98"/>
      <c r="CG66" s="101"/>
      <c r="CH66" s="98"/>
      <c r="CI66" s="101"/>
      <c r="CJ66" s="98"/>
      <c r="CK66" s="101"/>
      <c r="CL66" s="98"/>
      <c r="CM66" s="101"/>
      <c r="CN66" s="98"/>
      <c r="CO66" s="101"/>
      <c r="CP66" s="98"/>
      <c r="CQ66" s="542">
        <v>97</v>
      </c>
      <c r="CR66" s="98" t="str">
        <f t="shared" si="274"/>
        <v>NA</v>
      </c>
      <c r="CS66" s="101">
        <v>103</v>
      </c>
      <c r="CT66" s="98" t="str">
        <f t="shared" si="275"/>
        <v>NA</v>
      </c>
      <c r="CU66" s="101">
        <v>108</v>
      </c>
      <c r="CV66" s="98" t="str">
        <f t="shared" si="276"/>
        <v>NA</v>
      </c>
      <c r="CW66" s="101">
        <v>112</v>
      </c>
      <c r="CX66" s="98" t="str">
        <f t="shared" si="277"/>
        <v>NA</v>
      </c>
      <c r="CY66" s="101">
        <v>100</v>
      </c>
      <c r="CZ66" s="98">
        <f t="shared" si="278"/>
        <v>3.0927835051546282</v>
      </c>
      <c r="DA66" s="101">
        <v>102</v>
      </c>
      <c r="DB66" s="98">
        <f t="shared" si="279"/>
        <v>-0.97087378640776656</v>
      </c>
      <c r="DC66" s="101">
        <v>108</v>
      </c>
      <c r="DD66" s="98">
        <f t="shared" si="280"/>
        <v>0</v>
      </c>
      <c r="DE66" s="101">
        <v>105</v>
      </c>
      <c r="DF66" s="98">
        <f t="shared" si="281"/>
        <v>-6.25</v>
      </c>
      <c r="DG66" s="101">
        <v>103</v>
      </c>
      <c r="DH66" s="98">
        <f t="shared" si="282"/>
        <v>3.0000000000000027</v>
      </c>
      <c r="DI66" s="101">
        <v>102</v>
      </c>
      <c r="DJ66" s="98">
        <f t="shared" si="283"/>
        <v>0</v>
      </c>
      <c r="DK66" s="101">
        <v>107</v>
      </c>
      <c r="DL66" s="98">
        <f t="shared" si="284"/>
        <v>-0.92592592592593004</v>
      </c>
      <c r="DM66" s="101">
        <v>104</v>
      </c>
      <c r="DN66" s="98">
        <f t="shared" si="285"/>
        <v>-0.952380952380949</v>
      </c>
      <c r="DO66" s="101">
        <v>103</v>
      </c>
      <c r="DP66" s="98">
        <f t="shared" si="285"/>
        <v>0</v>
      </c>
      <c r="DQ66" s="101">
        <v>106</v>
      </c>
      <c r="DR66" s="98">
        <f t="shared" si="285"/>
        <v>3.9215686274509887</v>
      </c>
      <c r="DS66" s="101">
        <v>111</v>
      </c>
      <c r="DT66" s="98">
        <f t="shared" si="285"/>
        <v>3.7383177570093462</v>
      </c>
      <c r="DU66" s="101">
        <v>112</v>
      </c>
      <c r="DV66" s="98">
        <f t="shared" si="285"/>
        <v>7.6923076923076872</v>
      </c>
      <c r="DW66" s="101">
        <v>110</v>
      </c>
      <c r="DX66" s="98">
        <f t="shared" si="285"/>
        <v>6.7961165048543659</v>
      </c>
      <c r="DY66" s="101">
        <v>109</v>
      </c>
      <c r="DZ66" s="98">
        <f t="shared" si="285"/>
        <v>2.8301886792452935</v>
      </c>
      <c r="EA66" s="101">
        <v>119</v>
      </c>
      <c r="EB66" s="98">
        <f t="shared" si="286"/>
        <v>7.2072072072072002</v>
      </c>
      <c r="EC66" s="101">
        <v>115</v>
      </c>
      <c r="ED66" s="98">
        <f t="shared" si="287"/>
        <v>2.6785714285714191</v>
      </c>
      <c r="EE66" s="101">
        <v>116</v>
      </c>
      <c r="EF66" s="860">
        <f t="shared" si="288"/>
        <v>5.4545454545454453</v>
      </c>
      <c r="EG66" s="101">
        <v>117</v>
      </c>
      <c r="EH66" s="860">
        <f t="shared" si="289"/>
        <v>7.3394495412844041</v>
      </c>
      <c r="EI66" s="101">
        <v>125</v>
      </c>
      <c r="EJ66" s="860">
        <f t="shared" si="290"/>
        <v>5.0420168067226934</v>
      </c>
      <c r="EK66" s="101">
        <v>122</v>
      </c>
      <c r="EL66" s="860">
        <f t="shared" si="291"/>
        <v>6.0869565217391397</v>
      </c>
      <c r="EM66" s="101">
        <v>120</v>
      </c>
      <c r="EN66" s="860">
        <f t="shared" si="292"/>
        <v>3.4482758620689724</v>
      </c>
      <c r="EO66" s="101">
        <v>127</v>
      </c>
      <c r="EP66" s="98">
        <f t="shared" si="293"/>
        <v>8.547008547008538</v>
      </c>
      <c r="EQ66" s="789">
        <f t="shared" ref="EQ66" si="322">EI66*1.04</f>
        <v>130</v>
      </c>
      <c r="ER66" s="98">
        <f t="shared" si="295"/>
        <v>4.0000000000000036</v>
      </c>
      <c r="ES66" s="789">
        <f t="shared" ref="ES66" si="323">EK66*1.04</f>
        <v>126.88000000000001</v>
      </c>
      <c r="ET66" s="98">
        <f t="shared" si="297"/>
        <v>4.0000000000000036</v>
      </c>
      <c r="EU66" s="789">
        <f t="shared" ref="EU66" si="324">EM66*1.04</f>
        <v>124.80000000000001</v>
      </c>
      <c r="EV66" s="98">
        <f t="shared" si="299"/>
        <v>4.0000000000000036</v>
      </c>
      <c r="EW66" s="789">
        <f t="shared" ref="EW66" si="325">EO66*1.04</f>
        <v>132.08000000000001</v>
      </c>
      <c r="EX66" s="98">
        <f t="shared" si="301"/>
        <v>4.0000000000000036</v>
      </c>
      <c r="EY66" s="95"/>
      <c r="EZ66" s="594"/>
      <c r="FA66" s="405"/>
      <c r="FB66" s="94"/>
      <c r="FC66" s="92"/>
      <c r="FD66" s="94"/>
      <c r="FE66" s="92"/>
      <c r="FF66" s="95"/>
      <c r="FG66" s="92"/>
      <c r="FH66" s="95"/>
      <c r="FI66" s="92"/>
      <c r="FJ66" s="95"/>
      <c r="FK66" s="92"/>
      <c r="FL66" s="95"/>
      <c r="FM66" s="92"/>
      <c r="FN66" s="95"/>
      <c r="FO66" s="92"/>
      <c r="FP66" s="95"/>
      <c r="FQ66" s="92"/>
      <c r="FR66" s="96"/>
      <c r="FS66" s="97"/>
      <c r="FT66" s="96"/>
      <c r="FU66" s="97"/>
      <c r="FV66" s="95"/>
      <c r="FW66" s="98"/>
      <c r="FX66" s="480"/>
      <c r="FY66" s="98"/>
      <c r="FZ66" s="96"/>
      <c r="GA66" s="98"/>
      <c r="GB66" s="506">
        <v>390</v>
      </c>
      <c r="GC66" s="98" t="str">
        <f t="shared" si="302"/>
        <v>NA</v>
      </c>
      <c r="GD66" s="96">
        <f>CU66+CW66+CY66+DA66</f>
        <v>422</v>
      </c>
      <c r="GE66" s="98">
        <f t="shared" si="303"/>
        <v>8.2051282051281973</v>
      </c>
      <c r="GF66" s="96">
        <f>DC66+DE66+DG66+DI66</f>
        <v>418</v>
      </c>
      <c r="GG66" s="98">
        <f t="shared" si="304"/>
        <v>-0.94786729857819774</v>
      </c>
      <c r="GH66" s="96">
        <f>DK66+DM66+DO66+DQ66</f>
        <v>420</v>
      </c>
      <c r="GI66" s="98">
        <f t="shared" si="304"/>
        <v>0.47846889952152249</v>
      </c>
      <c r="GJ66" s="96">
        <f>DS66+DU66+DW66+DY66</f>
        <v>442</v>
      </c>
      <c r="GK66" s="98">
        <f t="shared" si="304"/>
        <v>5.2380952380952417</v>
      </c>
      <c r="GL66" s="96">
        <f>EA66+EC66+EE66+EG66</f>
        <v>467</v>
      </c>
      <c r="GM66" s="98">
        <f t="shared" si="304"/>
        <v>5.65610859728507</v>
      </c>
      <c r="GN66" s="96">
        <f>EI66+EK66+EM66+EO66</f>
        <v>494</v>
      </c>
      <c r="GO66" s="98">
        <f t="shared" si="304"/>
        <v>5.7815845824411127</v>
      </c>
      <c r="GP66" s="96">
        <f>EQ66+ES66+EU66+EW66</f>
        <v>513.76</v>
      </c>
      <c r="GQ66" s="98">
        <f t="shared" si="304"/>
        <v>4.0000000000000036</v>
      </c>
      <c r="GR66" s="95">
        <f>GP66*1.05</f>
        <v>539.44799999999998</v>
      </c>
      <c r="GS66" s="98">
        <f t="shared" si="304"/>
        <v>5.0000000000000044</v>
      </c>
      <c r="GT66" s="95">
        <f>GR66*1.05</f>
        <v>566.42039999999997</v>
      </c>
      <c r="GU66" s="98">
        <f t="shared" si="304"/>
        <v>5.0000000000000044</v>
      </c>
      <c r="GV66" s="95">
        <f>GT66*1.05</f>
        <v>594.74141999999995</v>
      </c>
      <c r="GW66" s="98">
        <f t="shared" si="304"/>
        <v>5.0000000000000044</v>
      </c>
      <c r="GX66" s="95">
        <f>GV66*1.05</f>
        <v>624.47849099999996</v>
      </c>
      <c r="GY66" s="98">
        <f t="shared" si="305"/>
        <v>5.0000000000000044</v>
      </c>
      <c r="GZ66" s="98">
        <f t="shared" si="306"/>
        <v>4.7992337122599649</v>
      </c>
      <c r="HA66" s="98"/>
      <c r="HB66" s="10"/>
      <c r="HC66"/>
      <c r="HD66"/>
      <c r="HE66"/>
      <c r="HF66"/>
      <c r="HG66"/>
      <c r="HH66"/>
      <c r="HI66" s="10"/>
    </row>
    <row r="67" spans="2:217" s="2" customFormat="1" ht="12.75" customHeight="1" x14ac:dyDescent="0.2">
      <c r="B67" s="93" t="s">
        <v>210</v>
      </c>
      <c r="C67" s="94"/>
      <c r="D67" s="92"/>
      <c r="E67" s="94"/>
      <c r="F67" s="92"/>
      <c r="G67" s="94"/>
      <c r="H67" s="92"/>
      <c r="I67" s="94"/>
      <c r="J67" s="98"/>
      <c r="K67" s="94"/>
      <c r="L67" s="98"/>
      <c r="M67" s="94"/>
      <c r="N67" s="98"/>
      <c r="O67" s="94"/>
      <c r="P67" s="98"/>
      <c r="Q67" s="94"/>
      <c r="R67" s="98"/>
      <c r="S67" s="94"/>
      <c r="T67" s="98"/>
      <c r="U67" s="94"/>
      <c r="V67" s="98"/>
      <c r="W67" s="94"/>
      <c r="X67" s="98"/>
      <c r="Y67" s="94"/>
      <c r="Z67" s="98"/>
      <c r="AA67" s="94"/>
      <c r="AB67" s="98"/>
      <c r="AC67" s="94"/>
      <c r="AD67" s="98"/>
      <c r="AE67" s="94"/>
      <c r="AF67" s="98"/>
      <c r="AG67" s="94"/>
      <c r="AH67" s="98"/>
      <c r="AI67" s="94"/>
      <c r="AJ67" s="98"/>
      <c r="AK67" s="94"/>
      <c r="AL67" s="98"/>
      <c r="AM67" s="94"/>
      <c r="AN67" s="98"/>
      <c r="AO67" s="94"/>
      <c r="AP67" s="98"/>
      <c r="AQ67" s="94"/>
      <c r="AR67" s="98"/>
      <c r="AS67" s="94"/>
      <c r="AT67" s="98"/>
      <c r="AU67" s="94"/>
      <c r="AV67" s="98"/>
      <c r="AW67" s="94"/>
      <c r="AX67" s="98"/>
      <c r="AY67" s="132"/>
      <c r="AZ67" s="98"/>
      <c r="BA67" s="132"/>
      <c r="BB67" s="98"/>
      <c r="BC67" s="132"/>
      <c r="BD67" s="98"/>
      <c r="BE67" s="132"/>
      <c r="BF67" s="98"/>
      <c r="BG67" s="132"/>
      <c r="BH67" s="98"/>
      <c r="BI67" s="132"/>
      <c r="BJ67" s="98"/>
      <c r="BK67" s="132"/>
      <c r="BL67" s="98"/>
      <c r="BM67" s="132"/>
      <c r="BN67" s="98"/>
      <c r="BO67" s="132"/>
      <c r="BP67" s="98"/>
      <c r="BQ67" s="132"/>
      <c r="BR67" s="98"/>
      <c r="BS67" s="132"/>
      <c r="BT67" s="98"/>
      <c r="BU67" s="132"/>
      <c r="BV67" s="98"/>
      <c r="BW67" s="132"/>
      <c r="BX67" s="98"/>
      <c r="BY67" s="132"/>
      <c r="BZ67" s="98"/>
      <c r="CA67" s="132"/>
      <c r="CB67" s="98"/>
      <c r="CC67" s="132"/>
      <c r="CD67" s="98"/>
      <c r="CE67" s="132"/>
      <c r="CF67" s="98"/>
      <c r="CG67" s="132"/>
      <c r="CH67" s="98"/>
      <c r="CI67" s="132"/>
      <c r="CJ67" s="98"/>
      <c r="CK67" s="132"/>
      <c r="CL67" s="98"/>
      <c r="CM67" s="132"/>
      <c r="CN67" s="98"/>
      <c r="CO67" s="132"/>
      <c r="CP67" s="98"/>
      <c r="CQ67" s="488">
        <f>CQ61+CQ62+CQ63+CQ66</f>
        <v>4135</v>
      </c>
      <c r="CR67" s="98" t="str">
        <f t="shared" si="274"/>
        <v>NA</v>
      </c>
      <c r="CS67" s="132">
        <f>CS61+CS62+CS63+CS66</f>
        <v>4189</v>
      </c>
      <c r="CT67" s="98" t="str">
        <f t="shared" si="275"/>
        <v>NA</v>
      </c>
      <c r="CU67" s="132">
        <f>CU61+CU62+CU63+CU66</f>
        <v>4295</v>
      </c>
      <c r="CV67" s="98" t="str">
        <f t="shared" si="276"/>
        <v>NA</v>
      </c>
      <c r="CW67" s="132">
        <f>CW61+CW62+CW63+CW66</f>
        <v>4399</v>
      </c>
      <c r="CX67" s="98" t="str">
        <f t="shared" si="277"/>
        <v>NA</v>
      </c>
      <c r="CY67" s="132">
        <f>CY61+CY62+CY63+CY66</f>
        <v>4469</v>
      </c>
      <c r="CZ67" s="98">
        <f t="shared" si="278"/>
        <v>8.0773881499395461</v>
      </c>
      <c r="DA67" s="132">
        <f>DA61+DA62+DA63+DA66</f>
        <v>4483</v>
      </c>
      <c r="DB67" s="98">
        <f t="shared" si="279"/>
        <v>7.0183814752924345</v>
      </c>
      <c r="DC67" s="132">
        <f>DC61+DC62+DC63+DC66</f>
        <v>4615</v>
      </c>
      <c r="DD67" s="98">
        <f t="shared" si="280"/>
        <v>7.4505238649592576</v>
      </c>
      <c r="DE67" s="132">
        <f>DE61+DE62+DE63+DE66</f>
        <v>4544</v>
      </c>
      <c r="DF67" s="98">
        <f t="shared" si="281"/>
        <v>3.2962036826551522</v>
      </c>
      <c r="DG67" s="132">
        <f>DG61+DG62+DG63+DG66</f>
        <v>4500</v>
      </c>
      <c r="DH67" s="98">
        <f t="shared" si="282"/>
        <v>0.69366748713359794</v>
      </c>
      <c r="DI67" s="132">
        <f>DI61+DI62+DI63+DI66</f>
        <v>4553</v>
      </c>
      <c r="DJ67" s="98">
        <f t="shared" si="283"/>
        <v>1.5614543832255245</v>
      </c>
      <c r="DK67" s="132">
        <f>DK61+DK62+DK63+DK66</f>
        <v>4742</v>
      </c>
      <c r="DL67" s="98">
        <f t="shared" si="284"/>
        <v>2.7518959913326091</v>
      </c>
      <c r="DM67" s="132">
        <f>DM61+DM62+DM63+DM66</f>
        <v>4788</v>
      </c>
      <c r="DN67" s="98">
        <f t="shared" si="285"/>
        <v>5.3697183098591506</v>
      </c>
      <c r="DO67" s="132">
        <f>DO61+DO62+DO63+DO66</f>
        <v>4768</v>
      </c>
      <c r="DP67" s="98">
        <f t="shared" si="285"/>
        <v>5.9555555555555584</v>
      </c>
      <c r="DQ67" s="132">
        <f>DQ61+DQ62+DQ63+DQ66</f>
        <v>4678</v>
      </c>
      <c r="DR67" s="98">
        <f t="shared" si="285"/>
        <v>2.7454425653415271</v>
      </c>
      <c r="DS67" s="132">
        <f>DS61+DS62+DS63+DS66</f>
        <v>4219</v>
      </c>
      <c r="DT67" s="98">
        <f t="shared" si="285"/>
        <v>-11.029101644875583</v>
      </c>
      <c r="DU67" s="132">
        <f>DU61+DU62+DU63+DU66</f>
        <v>4213</v>
      </c>
      <c r="DV67" s="98">
        <f t="shared" si="285"/>
        <v>-12.009189640768591</v>
      </c>
      <c r="DW67" s="132">
        <f>DW61+DW62+DW63+DW66</f>
        <v>4191</v>
      </c>
      <c r="DX67" s="98">
        <f t="shared" si="285"/>
        <v>-12.101510067114097</v>
      </c>
      <c r="DY67" s="132">
        <f>DY61+DY62+DY63+DY66</f>
        <v>4117</v>
      </c>
      <c r="DZ67" s="98">
        <f t="shared" si="285"/>
        <v>-11.99230440359128</v>
      </c>
      <c r="EA67" s="132">
        <f>EA61+EA62+EA63+EA66</f>
        <v>4388</v>
      </c>
      <c r="EB67" s="98">
        <f t="shared" si="286"/>
        <v>4.0056885517895324</v>
      </c>
      <c r="EC67" s="132">
        <f>EC61+EC62+EC63+EC66</f>
        <v>4380</v>
      </c>
      <c r="ED67" s="98">
        <f t="shared" si="287"/>
        <v>3.9639211962971821</v>
      </c>
      <c r="EE67" s="132">
        <f>EE61+EE62+EE63+EE66</f>
        <v>4359</v>
      </c>
      <c r="EF67" s="860">
        <f t="shared" si="288"/>
        <v>4.0085898353614979</v>
      </c>
      <c r="EG67" s="132">
        <f>EG61+EG62+EG63+EG66</f>
        <v>4309</v>
      </c>
      <c r="EH67" s="860">
        <f t="shared" si="289"/>
        <v>4.6635899927131463</v>
      </c>
      <c r="EI67" s="132">
        <f>EI61+EI62+EI63+EI66</f>
        <v>4585</v>
      </c>
      <c r="EJ67" s="860">
        <f t="shared" si="290"/>
        <v>4.4895168641750249</v>
      </c>
      <c r="EK67" s="132">
        <f>EK61+EK62+EK63+EK66</f>
        <v>4482</v>
      </c>
      <c r="EL67" s="860">
        <f t="shared" si="291"/>
        <v>2.3287671232876672</v>
      </c>
      <c r="EM67" s="132">
        <f>EM61+EM62+EM63+EM66</f>
        <v>4358</v>
      </c>
      <c r="EN67" s="860">
        <f t="shared" si="292"/>
        <v>-2.2941041523283356E-2</v>
      </c>
      <c r="EO67" s="132">
        <f>EO61+EO62+EO63+EO66</f>
        <v>4380</v>
      </c>
      <c r="EP67" s="98">
        <f t="shared" si="293"/>
        <v>1.6477140867950713</v>
      </c>
      <c r="EQ67" s="1005">
        <f t="shared" ref="EQ67" si="326">EQ61+EQ62+EQ63+EQ66</f>
        <v>4404.1597325583934</v>
      </c>
      <c r="ER67" s="98">
        <f t="shared" si="295"/>
        <v>-3.9441715908747343</v>
      </c>
      <c r="ES67" s="1005">
        <f t="shared" ref="ES67" si="327">ES61+ES62+ES63+ES66</f>
        <v>4419.3140813249056</v>
      </c>
      <c r="ET67" s="98">
        <f t="shared" si="297"/>
        <v>-1.3986148745001037</v>
      </c>
      <c r="EU67" s="1005">
        <f t="shared" ref="EU67" si="328">EU61+EU62+EU63+EU66</f>
        <v>4430.0307817090625</v>
      </c>
      <c r="EV67" s="98">
        <f t="shared" si="299"/>
        <v>1.6528403329293839</v>
      </c>
      <c r="EW67" s="1005">
        <f t="shared" ref="EW67" si="329">EW61+EW62+EW63+EW66</f>
        <v>4443.7909836882036</v>
      </c>
      <c r="EX67" s="98">
        <f t="shared" si="301"/>
        <v>1.4564151526987201</v>
      </c>
      <c r="EY67" s="132"/>
      <c r="EZ67" s="594"/>
      <c r="FA67" s="405"/>
      <c r="FB67" s="94"/>
      <c r="FC67" s="92"/>
      <c r="FD67" s="94"/>
      <c r="FE67" s="92"/>
      <c r="FF67" s="95"/>
      <c r="FG67" s="92"/>
      <c r="FH67" s="95"/>
      <c r="FI67" s="92"/>
      <c r="FJ67" s="95"/>
      <c r="FK67" s="92"/>
      <c r="FL67" s="95"/>
      <c r="FM67" s="92"/>
      <c r="FN67" s="95"/>
      <c r="FO67" s="92"/>
      <c r="FP67" s="95"/>
      <c r="FQ67" s="92"/>
      <c r="FR67" s="96"/>
      <c r="FS67" s="97"/>
      <c r="FT67" s="96"/>
      <c r="FU67" s="97"/>
      <c r="FV67" s="132"/>
      <c r="FW67" s="98"/>
      <c r="FX67" s="488"/>
      <c r="FY67" s="98"/>
      <c r="FZ67" s="133"/>
      <c r="GA67" s="98"/>
      <c r="GB67" s="488">
        <f>GB61+GB62+GB63+GB66</f>
        <v>16737</v>
      </c>
      <c r="GC67" s="98" t="str">
        <f t="shared" si="302"/>
        <v>NA</v>
      </c>
      <c r="GD67" s="132">
        <f>GD61+GD62+GD63+GD66</f>
        <v>17646</v>
      </c>
      <c r="GE67" s="98">
        <f t="shared" si="303"/>
        <v>5.431080838860014</v>
      </c>
      <c r="GF67" s="132">
        <f>GF61+GF62+GF63+GF66</f>
        <v>18212</v>
      </c>
      <c r="GG67" s="98">
        <f t="shared" si="304"/>
        <v>3.2075257848804162</v>
      </c>
      <c r="GH67" s="132">
        <f>GH61+GH62+GH63+GH66</f>
        <v>18976</v>
      </c>
      <c r="GI67" s="98">
        <f t="shared" si="304"/>
        <v>4.1950362398418539</v>
      </c>
      <c r="GJ67" s="132">
        <f>GJ61+GJ62+GJ63+GJ66</f>
        <v>16740</v>
      </c>
      <c r="GK67" s="98">
        <f t="shared" si="304"/>
        <v>-11.783305227655983</v>
      </c>
      <c r="GL67" s="132">
        <f>GL61+GL62+GL63+GL66</f>
        <v>17436</v>
      </c>
      <c r="GM67" s="98">
        <f t="shared" si="304"/>
        <v>4.1577060931899723</v>
      </c>
      <c r="GN67" s="132">
        <f>GN61+GN62+GN63+GN66</f>
        <v>17805</v>
      </c>
      <c r="GO67" s="98">
        <f t="shared" si="304"/>
        <v>2.1163110805230589</v>
      </c>
      <c r="GP67" s="132">
        <f>GP61+GP62+GP63+GP66</f>
        <v>17697.295579280566</v>
      </c>
      <c r="GQ67" s="98">
        <f t="shared" si="304"/>
        <v>-0.60491109643040497</v>
      </c>
      <c r="GR67" s="132">
        <f>GR61+GR62+GR63+GR66</f>
        <v>18033.40364963578</v>
      </c>
      <c r="GS67" s="98">
        <f t="shared" si="304"/>
        <v>1.8992058354312613</v>
      </c>
      <c r="GT67" s="132">
        <f>GT61+GT62+GT63+GT66</f>
        <v>18320.034738325641</v>
      </c>
      <c r="GU67" s="98">
        <f t="shared" si="304"/>
        <v>1.589445310817128</v>
      </c>
      <c r="GV67" s="132">
        <f>GV61+GV62+GV63+GV66</f>
        <v>18643.640518759759</v>
      </c>
      <c r="GW67" s="98">
        <f t="shared" si="304"/>
        <v>1.7664037489903528</v>
      </c>
      <c r="GX67" s="132">
        <f>GX61+GX62+GX63+GX66</f>
        <v>19001.06619462766</v>
      </c>
      <c r="GY67" s="98">
        <f t="shared" si="305"/>
        <v>1.9171452888090634</v>
      </c>
      <c r="GZ67" s="98">
        <f t="shared" si="306"/>
        <v>1.3088063924991733</v>
      </c>
      <c r="HA67" s="98"/>
      <c r="HB67" s="10"/>
      <c r="HC67"/>
      <c r="HD67"/>
      <c r="HE67"/>
      <c r="HF67"/>
      <c r="HG67"/>
      <c r="HH67"/>
      <c r="HI67" s="10"/>
    </row>
    <row r="68" spans="2:217" s="2" customFormat="1" ht="12.75" customHeight="1" x14ac:dyDescent="0.2">
      <c r="B68" s="91" t="s">
        <v>539</v>
      </c>
      <c r="C68" s="94"/>
      <c r="D68" s="92"/>
      <c r="E68" s="94"/>
      <c r="F68" s="92"/>
      <c r="G68" s="94"/>
      <c r="H68" s="92"/>
      <c r="I68" s="94"/>
      <c r="J68" s="98"/>
      <c r="K68" s="94"/>
      <c r="L68" s="98"/>
      <c r="M68" s="94"/>
      <c r="N68" s="98"/>
      <c r="O68" s="94"/>
      <c r="P68" s="98"/>
      <c r="Q68" s="94"/>
      <c r="R68" s="98"/>
      <c r="S68" s="94"/>
      <c r="T68" s="98"/>
      <c r="U68" s="94"/>
      <c r="V68" s="98"/>
      <c r="W68" s="94"/>
      <c r="X68" s="98"/>
      <c r="Y68" s="94"/>
      <c r="Z68" s="98"/>
      <c r="AA68" s="94"/>
      <c r="AB68" s="98"/>
      <c r="AC68" s="94"/>
      <c r="AD68" s="98"/>
      <c r="AE68" s="94"/>
      <c r="AF68" s="98"/>
      <c r="AG68" s="94"/>
      <c r="AH68" s="98"/>
      <c r="AI68" s="94"/>
      <c r="AJ68" s="98"/>
      <c r="AK68" s="94"/>
      <c r="AL68" s="98"/>
      <c r="AM68" s="94"/>
      <c r="AN68" s="98"/>
      <c r="AO68" s="94"/>
      <c r="AP68" s="98"/>
      <c r="AQ68" s="94"/>
      <c r="AR68" s="98"/>
      <c r="AS68" s="94"/>
      <c r="AT68" s="98"/>
      <c r="AU68" s="94"/>
      <c r="AV68" s="98"/>
      <c r="AW68" s="94"/>
      <c r="AX68" s="98"/>
      <c r="AY68" s="99"/>
      <c r="AZ68" s="98"/>
      <c r="BA68" s="99"/>
      <c r="BB68" s="98"/>
      <c r="BC68" s="99"/>
      <c r="BD68" s="98"/>
      <c r="BE68" s="99"/>
      <c r="BF68" s="98"/>
      <c r="BG68" s="99"/>
      <c r="BH68" s="98"/>
      <c r="BI68" s="99"/>
      <c r="BJ68" s="98"/>
      <c r="BK68" s="99"/>
      <c r="BL68" s="98"/>
      <c r="BM68" s="99"/>
      <c r="BN68" s="98"/>
      <c r="BO68" s="99"/>
      <c r="BP68" s="98"/>
      <c r="BQ68" s="99"/>
      <c r="BR68" s="98"/>
      <c r="BS68" s="99"/>
      <c r="BT68" s="98"/>
      <c r="BU68" s="99"/>
      <c r="BV68" s="98"/>
      <c r="BW68" s="99"/>
      <c r="BX68" s="98"/>
      <c r="BY68" s="99"/>
      <c r="BZ68" s="98"/>
      <c r="CA68" s="99"/>
      <c r="CB68" s="98"/>
      <c r="CC68" s="99"/>
      <c r="CD68" s="98"/>
      <c r="CE68" s="99"/>
      <c r="CF68" s="98"/>
      <c r="CG68" s="99"/>
      <c r="CH68" s="98"/>
      <c r="CI68" s="99"/>
      <c r="CJ68" s="98"/>
      <c r="CK68" s="99"/>
      <c r="CL68" s="98"/>
      <c r="CM68" s="99"/>
      <c r="CN68" s="98"/>
      <c r="CO68" s="99"/>
      <c r="CP68" s="98"/>
      <c r="CQ68" s="482">
        <f>CQ67-CQ64</f>
        <v>4089</v>
      </c>
      <c r="CR68" s="98" t="str">
        <f t="shared" si="274"/>
        <v>NA</v>
      </c>
      <c r="CS68" s="99">
        <f>CS67-CS64</f>
        <v>4145</v>
      </c>
      <c r="CT68" s="98" t="str">
        <f t="shared" si="275"/>
        <v>NA</v>
      </c>
      <c r="CU68" s="99">
        <f>CU67-CU64</f>
        <v>4253</v>
      </c>
      <c r="CV68" s="98" t="str">
        <f t="shared" si="276"/>
        <v>NA</v>
      </c>
      <c r="CW68" s="99">
        <f>CW67-CW64</f>
        <v>4356</v>
      </c>
      <c r="CX68" s="98" t="str">
        <f t="shared" si="277"/>
        <v>NA</v>
      </c>
      <c r="CY68" s="99">
        <f>CY67-CY64</f>
        <v>4427</v>
      </c>
      <c r="CZ68" s="98">
        <f t="shared" si="278"/>
        <v>8.2660797260943895</v>
      </c>
      <c r="DA68" s="99">
        <f>DA67-DA64</f>
        <v>4443</v>
      </c>
      <c r="DB68" s="98">
        <f t="shared" si="279"/>
        <v>7.1893848009650263</v>
      </c>
      <c r="DC68" s="99">
        <f>DC67-DC64</f>
        <v>4576</v>
      </c>
      <c r="DD68" s="98">
        <f t="shared" si="280"/>
        <v>7.5946390782976714</v>
      </c>
      <c r="DE68" s="99">
        <f>DE67-DE64</f>
        <v>4505</v>
      </c>
      <c r="DF68" s="98">
        <f t="shared" si="281"/>
        <v>3.4205693296602391</v>
      </c>
      <c r="DG68" s="99">
        <f>DG67-DG64</f>
        <v>4462</v>
      </c>
      <c r="DH68" s="98">
        <f t="shared" si="282"/>
        <v>0.79060311723515575</v>
      </c>
      <c r="DI68" s="99">
        <f>DI67-DI64</f>
        <v>4514</v>
      </c>
      <c r="DJ68" s="98">
        <f t="shared" si="283"/>
        <v>1.5980193562908029</v>
      </c>
      <c r="DK68" s="99">
        <f>DK67-DK64</f>
        <v>4702</v>
      </c>
      <c r="DL68" s="98">
        <f t="shared" si="284"/>
        <v>2.7534965034964998</v>
      </c>
      <c r="DM68" s="99">
        <f>DM67-DM64</f>
        <v>4749</v>
      </c>
      <c r="DN68" s="98">
        <f t="shared" si="285"/>
        <v>5.4162042175360803</v>
      </c>
      <c r="DO68" s="99">
        <f>DO67-DO64</f>
        <v>4730</v>
      </c>
      <c r="DP68" s="98">
        <f t="shared" si="285"/>
        <v>6.006275212909018</v>
      </c>
      <c r="DQ68" s="99">
        <f>DQ67-DQ64</f>
        <v>4639</v>
      </c>
      <c r="DR68" s="98">
        <f t="shared" si="285"/>
        <v>2.7691626052281704</v>
      </c>
      <c r="DS68" s="99">
        <f>DS67-DS64</f>
        <v>4185</v>
      </c>
      <c r="DT68" s="98">
        <f t="shared" si="285"/>
        <v>-10.995321139940451</v>
      </c>
      <c r="DU68" s="99">
        <f>DU67-DU64</f>
        <v>4178</v>
      </c>
      <c r="DV68" s="98">
        <f t="shared" si="285"/>
        <v>-12.023583912402614</v>
      </c>
      <c r="DW68" s="99">
        <f>DW67-DW64</f>
        <v>4155</v>
      </c>
      <c r="DX68" s="98">
        <f t="shared" si="285"/>
        <v>-12.156448202959835</v>
      </c>
      <c r="DY68" s="99">
        <f>DY67-DY64</f>
        <v>4083</v>
      </c>
      <c r="DZ68" s="98">
        <f t="shared" si="285"/>
        <v>-11.985341668463034</v>
      </c>
      <c r="EA68" s="99">
        <f>EA67-EA64</f>
        <v>4354</v>
      </c>
      <c r="EB68" s="98">
        <f t="shared" si="286"/>
        <v>4.0382317801672674</v>
      </c>
      <c r="EC68" s="99">
        <f>EC67-EC64</f>
        <v>4346</v>
      </c>
      <c r="ED68" s="98">
        <f t="shared" si="287"/>
        <v>4.0210627094303453</v>
      </c>
      <c r="EE68" s="99">
        <f>EE67-EE64</f>
        <v>4324</v>
      </c>
      <c r="EF68" s="860">
        <f t="shared" si="288"/>
        <v>4.0673886883273225</v>
      </c>
      <c r="EG68" s="99">
        <f>EG67-EG64</f>
        <v>4275</v>
      </c>
      <c r="EH68" s="860">
        <f t="shared" si="289"/>
        <v>4.7024246877296116</v>
      </c>
      <c r="EI68" s="99">
        <f>EI67-EI64</f>
        <v>4551</v>
      </c>
      <c r="EJ68" s="860">
        <f t="shared" si="290"/>
        <v>4.5245751033532455</v>
      </c>
      <c r="EK68" s="99">
        <f>EK67-EK64</f>
        <v>4448</v>
      </c>
      <c r="EL68" s="860">
        <f t="shared" si="291"/>
        <v>2.3469857340082889</v>
      </c>
      <c r="EM68" s="99">
        <f>EM67-EM64</f>
        <v>4324</v>
      </c>
      <c r="EN68" s="860">
        <f t="shared" si="292"/>
        <v>0</v>
      </c>
      <c r="EO68" s="99">
        <f>EO67-EO64</f>
        <v>4346</v>
      </c>
      <c r="EP68" s="98">
        <f t="shared" si="293"/>
        <v>1.6608187134502961</v>
      </c>
      <c r="EQ68" s="1006">
        <f t="shared" ref="EQ68" si="330">EQ67-EQ64</f>
        <v>4369.5154613579734</v>
      </c>
      <c r="ER68" s="98">
        <f t="shared" si="295"/>
        <v>-3.9877947405411285</v>
      </c>
      <c r="ES68" s="1006">
        <f t="shared" ref="ES68" si="331">ES67-ES64</f>
        <v>4384.5132167541997</v>
      </c>
      <c r="ET68" s="98">
        <f t="shared" si="297"/>
        <v>-1.4273107744109836</v>
      </c>
      <c r="EU68" s="1006">
        <f t="shared" ref="EU68" si="332">EU67-EU64</f>
        <v>4395.1272161273437</v>
      </c>
      <c r="EV68" s="98">
        <f t="shared" si="299"/>
        <v>1.6449402434630889</v>
      </c>
      <c r="EW68" s="1006">
        <f t="shared" ref="EW68" si="333">EW67-EW64</f>
        <v>4408.8397018152591</v>
      </c>
      <c r="EX68" s="98">
        <f t="shared" si="301"/>
        <v>1.4459204283308491</v>
      </c>
      <c r="EY68" s="99"/>
      <c r="EZ68" s="594"/>
      <c r="FA68" s="405"/>
      <c r="FB68" s="94"/>
      <c r="FC68" s="92"/>
      <c r="FD68" s="94"/>
      <c r="FE68" s="92"/>
      <c r="FF68" s="95"/>
      <c r="FG68" s="92"/>
      <c r="FH68" s="95"/>
      <c r="FI68" s="92"/>
      <c r="FJ68" s="95"/>
      <c r="FK68" s="92"/>
      <c r="FL68" s="95"/>
      <c r="FM68" s="92"/>
      <c r="FN68" s="95"/>
      <c r="FO68" s="92"/>
      <c r="FP68" s="95"/>
      <c r="FQ68" s="92"/>
      <c r="FR68" s="96"/>
      <c r="FS68" s="97"/>
      <c r="FT68" s="96"/>
      <c r="FU68" s="97"/>
      <c r="FV68" s="96"/>
      <c r="FW68" s="98"/>
      <c r="FX68" s="480"/>
      <c r="FY68" s="98"/>
      <c r="FZ68" s="96"/>
      <c r="GA68" s="98"/>
      <c r="GB68" s="480">
        <f>GB67-GB64</f>
        <v>16559</v>
      </c>
      <c r="GC68" s="98" t="str">
        <f t="shared" si="302"/>
        <v>NA</v>
      </c>
      <c r="GD68" s="96">
        <f>GD67-GD64</f>
        <v>17479</v>
      </c>
      <c r="GE68" s="98">
        <f t="shared" si="303"/>
        <v>5.5558910562232056</v>
      </c>
      <c r="GF68" s="96">
        <f>GF67-GF64</f>
        <v>18057</v>
      </c>
      <c r="GG68" s="98">
        <f t="shared" si="304"/>
        <v>3.3068253332570574</v>
      </c>
      <c r="GH68" s="96">
        <f>GH67-GH64</f>
        <v>18820</v>
      </c>
      <c r="GI68" s="98">
        <f t="shared" si="304"/>
        <v>4.2255081131971073</v>
      </c>
      <c r="GJ68" s="96">
        <f>GJ67-GJ64</f>
        <v>16601</v>
      </c>
      <c r="GK68" s="98">
        <f t="shared" si="304"/>
        <v>-11.790648246546231</v>
      </c>
      <c r="GL68" s="96">
        <f>GL67-GL64</f>
        <v>17299</v>
      </c>
      <c r="GM68" s="98">
        <f t="shared" si="304"/>
        <v>4.2045659900006083</v>
      </c>
      <c r="GN68" s="96">
        <f>GN67-GN64</f>
        <v>17669</v>
      </c>
      <c r="GO68" s="98">
        <f t="shared" si="304"/>
        <v>2.1388519567605124</v>
      </c>
      <c r="GP68" s="96">
        <f>GP67-GP64</f>
        <v>17557.995596054778</v>
      </c>
      <c r="GQ68" s="98">
        <f t="shared" si="304"/>
        <v>-0.62824383918287374</v>
      </c>
      <c r="GR68" s="96">
        <f>GR67-GR64</f>
        <v>17892.278528104842</v>
      </c>
      <c r="GS68" s="98">
        <f t="shared" si="304"/>
        <v>1.9038786644027583</v>
      </c>
      <c r="GT68" s="96">
        <f>GT67-GT64</f>
        <v>18176.725928749354</v>
      </c>
      <c r="GU68" s="98">
        <f t="shared" si="304"/>
        <v>1.5897774014511867</v>
      </c>
      <c r="GV68" s="96">
        <f>GV67-GV64</f>
        <v>18497.817923573359</v>
      </c>
      <c r="GW68" s="98">
        <f t="shared" si="304"/>
        <v>1.766500722311859</v>
      </c>
      <c r="GX68" s="96">
        <f>GX67-GX64</f>
        <v>18852.423961632063</v>
      </c>
      <c r="GY68" s="98">
        <f t="shared" si="305"/>
        <v>1.9170155070387995</v>
      </c>
      <c r="GZ68" s="98">
        <f t="shared" si="306"/>
        <v>1.3050383778090202</v>
      </c>
      <c r="HA68" s="98"/>
      <c r="HB68" s="10"/>
      <c r="HC68"/>
      <c r="HD68"/>
      <c r="HE68"/>
      <c r="HF68"/>
      <c r="HG68"/>
      <c r="HH68"/>
      <c r="HI68" s="10"/>
    </row>
    <row r="69" spans="2:217" s="2" customFormat="1" ht="12.75" customHeight="1" x14ac:dyDescent="0.2">
      <c r="B69" s="91"/>
      <c r="C69" s="94"/>
      <c r="D69" s="92"/>
      <c r="E69" s="94"/>
      <c r="F69" s="92"/>
      <c r="G69" s="94"/>
      <c r="H69" s="92"/>
      <c r="I69" s="94"/>
      <c r="J69" s="98"/>
      <c r="K69" s="94"/>
      <c r="L69" s="98"/>
      <c r="M69" s="94"/>
      <c r="N69" s="98"/>
      <c r="O69" s="94"/>
      <c r="P69" s="98"/>
      <c r="Q69" s="94"/>
      <c r="R69" s="98"/>
      <c r="S69" s="94"/>
      <c r="T69" s="98"/>
      <c r="U69" s="94"/>
      <c r="V69" s="98"/>
      <c r="W69" s="94"/>
      <c r="X69" s="98"/>
      <c r="Y69" s="94"/>
      <c r="Z69" s="98"/>
      <c r="AA69" s="94"/>
      <c r="AB69" s="98"/>
      <c r="AC69" s="94"/>
      <c r="AD69" s="98"/>
      <c r="AE69" s="94"/>
      <c r="AF69" s="98"/>
      <c r="AG69" s="94"/>
      <c r="AH69" s="98"/>
      <c r="AI69" s="94"/>
      <c r="AJ69" s="98"/>
      <c r="AK69" s="94"/>
      <c r="AL69" s="98"/>
      <c r="AM69" s="94"/>
      <c r="AN69" s="98"/>
      <c r="AO69" s="94"/>
      <c r="AP69" s="98"/>
      <c r="AQ69" s="94"/>
      <c r="AR69" s="98"/>
      <c r="AS69" s="94"/>
      <c r="AT69" s="98"/>
      <c r="AU69" s="94"/>
      <c r="AV69" s="98"/>
      <c r="AW69" s="94"/>
      <c r="AX69" s="98"/>
      <c r="AY69" s="99"/>
      <c r="AZ69" s="98"/>
      <c r="BA69" s="99"/>
      <c r="BB69" s="98"/>
      <c r="BC69" s="99"/>
      <c r="BD69" s="98"/>
      <c r="BE69" s="99"/>
      <c r="BF69" s="98"/>
      <c r="BG69" s="99"/>
      <c r="BH69" s="98"/>
      <c r="BI69" s="99"/>
      <c r="BJ69" s="98"/>
      <c r="BK69" s="99"/>
      <c r="BL69" s="98"/>
      <c r="BM69" s="99"/>
      <c r="BN69" s="98"/>
      <c r="BO69" s="99"/>
      <c r="BP69" s="98"/>
      <c r="BQ69" s="99"/>
      <c r="BR69" s="98"/>
      <c r="BS69" s="99"/>
      <c r="BT69" s="98"/>
      <c r="BU69" s="99"/>
      <c r="BV69" s="98"/>
      <c r="BW69" s="99"/>
      <c r="BX69" s="98"/>
      <c r="BY69" s="99"/>
      <c r="BZ69" s="98"/>
      <c r="CA69" s="99"/>
      <c r="CB69" s="98"/>
      <c r="CC69" s="99"/>
      <c r="CD69" s="98"/>
      <c r="CE69" s="99"/>
      <c r="CF69" s="98"/>
      <c r="CG69" s="99"/>
      <c r="CH69" s="98"/>
      <c r="CI69" s="99"/>
      <c r="CJ69" s="98"/>
      <c r="CK69" s="99"/>
      <c r="CL69" s="98"/>
      <c r="CM69" s="99"/>
      <c r="CN69" s="98"/>
      <c r="CO69" s="99"/>
      <c r="CP69" s="98"/>
      <c r="CQ69" s="482"/>
      <c r="CR69" s="98"/>
      <c r="CS69" s="99"/>
      <c r="CT69" s="98"/>
      <c r="CU69" s="99"/>
      <c r="CV69" s="98"/>
      <c r="CW69" s="99"/>
      <c r="CX69" s="98"/>
      <c r="CY69" s="99"/>
      <c r="CZ69" s="98"/>
      <c r="DA69" s="99"/>
      <c r="DB69" s="98"/>
      <c r="DC69" s="99"/>
      <c r="DD69" s="98"/>
      <c r="DE69" s="99"/>
      <c r="DF69" s="98"/>
      <c r="DG69" s="99"/>
      <c r="DH69" s="98"/>
      <c r="DI69" s="99"/>
      <c r="DJ69" s="98"/>
      <c r="DK69" s="99"/>
      <c r="DL69" s="98"/>
      <c r="DM69" s="99"/>
      <c r="DN69" s="98"/>
      <c r="DO69" s="99"/>
      <c r="DP69" s="98"/>
      <c r="DQ69" s="99"/>
      <c r="DR69" s="98"/>
      <c r="DS69" s="99"/>
      <c r="DT69" s="98"/>
      <c r="DU69" s="99"/>
      <c r="DV69" s="98"/>
      <c r="DW69" s="99"/>
      <c r="DX69" s="98"/>
      <c r="DY69" s="99"/>
      <c r="DZ69" s="98"/>
      <c r="EA69" s="99"/>
      <c r="EB69" s="98"/>
      <c r="EC69" s="99"/>
      <c r="ED69" s="98"/>
      <c r="EE69" s="99"/>
      <c r="EF69" s="860"/>
      <c r="EG69" s="99"/>
      <c r="EH69" s="860"/>
      <c r="EI69" s="99"/>
      <c r="EJ69" s="860"/>
      <c r="EK69" s="99"/>
      <c r="EL69" s="860"/>
      <c r="EM69" s="99"/>
      <c r="EN69" s="860"/>
      <c r="EO69" s="99"/>
      <c r="EP69" s="98"/>
      <c r="EQ69" s="789"/>
      <c r="ER69" s="98"/>
      <c r="ES69" s="789"/>
      <c r="ET69" s="98"/>
      <c r="EU69" s="789"/>
      <c r="EV69" s="98"/>
      <c r="EW69" s="789"/>
      <c r="EX69" s="98"/>
      <c r="EY69" s="95"/>
      <c r="EZ69" s="594"/>
      <c r="FA69" s="405"/>
      <c r="FB69" s="94"/>
      <c r="FC69" s="92"/>
      <c r="FD69" s="94"/>
      <c r="FE69" s="92"/>
      <c r="FF69" s="95"/>
      <c r="FG69" s="92"/>
      <c r="FH69" s="95"/>
      <c r="FI69" s="92"/>
      <c r="FJ69" s="95"/>
      <c r="FK69" s="92"/>
      <c r="FL69" s="95"/>
      <c r="FM69" s="92"/>
      <c r="FN69" s="95"/>
      <c r="FO69" s="92"/>
      <c r="FP69" s="95"/>
      <c r="FQ69" s="92"/>
      <c r="FR69" s="96"/>
      <c r="FS69" s="97"/>
      <c r="FT69" s="96"/>
      <c r="FU69" s="97"/>
      <c r="FV69" s="96"/>
      <c r="FW69" s="98"/>
      <c r="FX69" s="480"/>
      <c r="FY69" s="98"/>
      <c r="FZ69" s="96"/>
      <c r="GA69" s="98"/>
      <c r="GB69" s="480"/>
      <c r="GC69" s="98"/>
      <c r="GD69" s="96"/>
      <c r="GE69" s="98"/>
      <c r="GF69" s="96"/>
      <c r="GG69" s="98"/>
      <c r="GH69" s="96"/>
      <c r="GI69" s="98"/>
      <c r="GJ69" s="96"/>
      <c r="GK69" s="98"/>
      <c r="GL69" s="96"/>
      <c r="GM69" s="98"/>
      <c r="GN69" s="96"/>
      <c r="GO69" s="98"/>
      <c r="GP69" s="96"/>
      <c r="GQ69" s="98"/>
      <c r="GR69" s="95"/>
      <c r="GS69" s="98"/>
      <c r="GT69" s="95"/>
      <c r="GU69" s="98"/>
      <c r="GV69" s="95"/>
      <c r="GW69" s="98"/>
      <c r="GX69" s="95"/>
      <c r="GY69" s="98"/>
      <c r="GZ69" s="98"/>
      <c r="HA69" s="98"/>
      <c r="HB69" s="10"/>
      <c r="HC69"/>
      <c r="HD69"/>
      <c r="HE69"/>
      <c r="HF69"/>
      <c r="HG69"/>
      <c r="HH69"/>
      <c r="HI69" s="10"/>
    </row>
    <row r="70" spans="2:217" s="2" customFormat="1" ht="12.75" customHeight="1" x14ac:dyDescent="0.2">
      <c r="B70" s="91" t="s">
        <v>283</v>
      </c>
      <c r="C70" s="94"/>
      <c r="D70" s="92"/>
      <c r="E70" s="94"/>
      <c r="F70" s="92"/>
      <c r="G70" s="94"/>
      <c r="H70" s="92"/>
      <c r="I70" s="94"/>
      <c r="J70" s="98"/>
      <c r="K70" s="94"/>
      <c r="L70" s="98"/>
      <c r="M70" s="94"/>
      <c r="N70" s="98"/>
      <c r="O70" s="94"/>
      <c r="P70" s="98"/>
      <c r="Q70" s="94"/>
      <c r="R70" s="98"/>
      <c r="S70" s="94"/>
      <c r="T70" s="98"/>
      <c r="U70" s="94"/>
      <c r="V70" s="98"/>
      <c r="W70" s="94"/>
      <c r="X70" s="98"/>
      <c r="Y70" s="94"/>
      <c r="Z70" s="98"/>
      <c r="AA70" s="94"/>
      <c r="AB70" s="98"/>
      <c r="AC70" s="94"/>
      <c r="AD70" s="98"/>
      <c r="AE70" s="94"/>
      <c r="AF70" s="98"/>
      <c r="AG70" s="94"/>
      <c r="AH70" s="98"/>
      <c r="AI70" s="94"/>
      <c r="AJ70" s="98"/>
      <c r="AK70" s="94"/>
      <c r="AL70" s="98"/>
      <c r="AM70" s="94"/>
      <c r="AN70" s="98"/>
      <c r="AO70" s="94"/>
      <c r="AP70" s="98"/>
      <c r="AQ70" s="94"/>
      <c r="AR70" s="98"/>
      <c r="AS70" s="94"/>
      <c r="AT70" s="98"/>
      <c r="AU70" s="94"/>
      <c r="AV70" s="98"/>
      <c r="AW70" s="94"/>
      <c r="AX70" s="98"/>
      <c r="AY70" s="99"/>
      <c r="AZ70" s="98"/>
      <c r="BA70" s="99"/>
      <c r="BB70" s="98"/>
      <c r="BC70" s="99"/>
      <c r="BD70" s="98"/>
      <c r="BE70" s="99"/>
      <c r="BF70" s="98"/>
      <c r="BG70" s="99"/>
      <c r="BH70" s="98"/>
      <c r="BI70" s="99"/>
      <c r="BJ70" s="98"/>
      <c r="BK70" s="99"/>
      <c r="BL70" s="98"/>
      <c r="BM70" s="99"/>
      <c r="BN70" s="98"/>
      <c r="BO70" s="99"/>
      <c r="BP70" s="98"/>
      <c r="BQ70" s="99"/>
      <c r="BR70" s="98"/>
      <c r="BS70" s="99"/>
      <c r="BT70" s="98"/>
      <c r="BU70" s="99"/>
      <c r="BV70" s="98"/>
      <c r="BW70" s="99"/>
      <c r="BX70" s="98"/>
      <c r="BY70" s="99"/>
      <c r="BZ70" s="98"/>
      <c r="CA70" s="99"/>
      <c r="CB70" s="98"/>
      <c r="CC70" s="99"/>
      <c r="CD70" s="98"/>
      <c r="CE70" s="99"/>
      <c r="CF70" s="98"/>
      <c r="CG70" s="99"/>
      <c r="CH70" s="98"/>
      <c r="CI70" s="99"/>
      <c r="CJ70" s="98"/>
      <c r="CK70" s="99"/>
      <c r="CL70" s="98"/>
      <c r="CM70" s="99"/>
      <c r="CN70" s="98"/>
      <c r="CO70" s="99"/>
      <c r="CP70" s="98"/>
      <c r="CQ70" s="489">
        <f>(CQ61*4)/(CQ39+CQ52)*100</f>
        <v>53.171128588586257</v>
      </c>
      <c r="CR70" s="574" t="str">
        <f>IF(ISERROR((CQ70/CI70-1)*100),"NA",IF(((CQ70/CI70-1)*100)&gt;100,"NM",IF(((CQ70/CI70-1)*100)&lt;-50,"NM",(CQ70/CI70-1)*100)))</f>
        <v>NA</v>
      </c>
      <c r="CS70" s="134">
        <f>(CS61*4)/(CS39+CS52)*100</f>
        <v>53.876574647452593</v>
      </c>
      <c r="CT70" s="574" t="str">
        <f>IF(ISERROR((CS70/CK70-1)*100),"NA",IF(((CS70/CK70-1)*100)&gt;100,"NM",IF(((CS70/CK70-1)*100)&lt;-50,"NM",(CS70/CK70-1)*100)))</f>
        <v>NA</v>
      </c>
      <c r="CU70" s="134">
        <f>(CU61*4)/(CU39+CU52)*100</f>
        <v>54.933057518818593</v>
      </c>
      <c r="CV70" s="574" t="str">
        <f>IF(ISERROR((CU70/CM70-1)*100),"NA",IF(((CU70/CM70-1)*100)&gt;100,"NM",IF(((CU70/CM70-1)*100)&lt;-50,"NM",(CU70/CM70-1)*100)))</f>
        <v>NA</v>
      </c>
      <c r="CW70" s="134">
        <f>(CW61*4)/(CW39+CW52)*100</f>
        <v>55.281624075950319</v>
      </c>
      <c r="CX70" s="98" t="str">
        <f>IF(ISERROR((CW70/CO70-1)*100),"NA",IF(((CW70/CO70-1)*100)&gt;100,"NM",IF(((CW70/CO70-1)*100)&lt;-50,"NM",(CW70/CO70-1)*100)))</f>
        <v>NA</v>
      </c>
      <c r="CY70" s="134">
        <f>(CY61*4)/(CY39+CY52)*100</f>
        <v>55.025291400923685</v>
      </c>
      <c r="CZ70" s="98">
        <f>IF(ISERROR((CY70/CQ70-1)*100),"NA",IF(((CY70/CQ70-1)*100)&gt;100,"NM",IF(((CY70/CQ70-1)*100)&lt;-50,"NM",(CY70/CQ70-1)*100)))</f>
        <v>3.4871609114865532</v>
      </c>
      <c r="DA70" s="134">
        <f>(DA61*4)/(DA39+DA52)*100</f>
        <v>55.163843046950674</v>
      </c>
      <c r="DB70" s="98">
        <f>IF(ISERROR((DA70/CS70-1)*100),"NA",IF(((DA70/CS70-1)*100)&gt;100,"NM",IF(((DA70/CS70-1)*100)&lt;-50,"NM",(DA70/CS70-1)*100)))</f>
        <v>2.3892914646513219</v>
      </c>
      <c r="DC70" s="134">
        <f>(DC61*4)/(DC39+DC52)*100</f>
        <v>57.11021431072291</v>
      </c>
      <c r="DD70" s="98">
        <f>IF(ISERROR((DC70/CU70-1)*100),"NA",IF(((DC70/CU70-1)*100)&gt;100,"NM",IF(((DC70/CU70-1)*100)&lt;-50,"NM",(DC70/CU70-1)*100)))</f>
        <v>3.9632907583170285</v>
      </c>
      <c r="DE70" s="134">
        <f>(DE61*4)/(DE39+DE52)*100</f>
        <v>56.775447646816943</v>
      </c>
      <c r="DF70" s="98">
        <f>IF(ISERROR((DE70/CW70-1)*100),"NA",IF(((DE70/CW70-1)*100)&gt;100,"NM",IF(((DE70/CW70-1)*100)&lt;-50,"NM",(DE70/CW70-1)*100)))</f>
        <v>2.7022063765968385</v>
      </c>
      <c r="DG70" s="134">
        <f>(DG61*4)/(DG39+DG52)*100</f>
        <v>56.686041043582946</v>
      </c>
      <c r="DH70" s="98">
        <f>IF(ISERROR((DG70/CY70-1)*100),"NA",IF(((DG70/CY70-1)*100)&gt;100,"NM",IF(((DG70/CY70-1)*100)&lt;-50,"NM",(DG70/CY70-1)*100)))</f>
        <v>3.0181569245290474</v>
      </c>
      <c r="DI70" s="134">
        <f>(DI61*4)/(DI39+DI52)*100</f>
        <v>57.007196934292928</v>
      </c>
      <c r="DJ70" s="98">
        <f>IF(ISERROR((DI70/DA70-1)*100),"NA",IF(((DI70/DA70-1)*100)&gt;100,"NM",IF(((DI70/DA70-1)*100)&lt;-50,"NM",(DI70/DA70-1)*100)))</f>
        <v>3.341598020597214</v>
      </c>
      <c r="DK70" s="134">
        <f>(DK61*4)/(DK39+DK52)*100</f>
        <v>59.364743839350275</v>
      </c>
      <c r="DL70" s="98">
        <f>IF(ISERROR((DK70/DC70-1)*100),"NA",IF(((DK70/DC70-1)*100)&gt;100,"NM",IF(((DK70/DC70-1)*100)&lt;-50,"NM",(DK70/DC70-1)*100)))</f>
        <v>3.9476817865907732</v>
      </c>
      <c r="DM70" s="134">
        <f>(DM61*4)/(DM39+DM52)*100</f>
        <v>59.402008017358689</v>
      </c>
      <c r="DN70" s="98">
        <f>IF(ISERROR((DM70/DE70-1)*100),"NA",IF(((DM70/DE70-1)*100)&gt;100,"NM",IF(((DM70/DE70-1)*100)&lt;-50,"NM",(DM70/DE70-1)*100)))</f>
        <v>4.6262257356045833</v>
      </c>
      <c r="DO70" s="134">
        <f>(DO61*4)/(DO39+DO52)*100</f>
        <v>58.642878034513011</v>
      </c>
      <c r="DP70" s="98">
        <f>IF(ISERROR((DO70/DG70-1)*100),"NA",IF(((DO70/DG70-1)*100)&gt;100,"NM",IF(((DO70/DG70-1)*100)&lt;-50,"NM",(DO70/DG70-1)*100)))</f>
        <v>3.452061486222946</v>
      </c>
      <c r="DQ70" s="134">
        <f>(DQ61*4)/(DQ39+DQ52)*100</f>
        <v>57.159483542462262</v>
      </c>
      <c r="DR70" s="98">
        <f>IF(ISERROR((DQ70/DI70-1)*100),"NA",IF(((DQ70/DI70-1)*100)&gt;100,"NM",IF(((DQ70/DI70-1)*100)&lt;-50,"NM",(DQ70/DI70-1)*100)))</f>
        <v>0.26713575891981201</v>
      </c>
      <c r="DS70" s="134">
        <f>(DS61*4)/(DS39+DS52)*100</f>
        <v>75.520332597115754</v>
      </c>
      <c r="DT70" s="98">
        <f>IF(ISERROR((DS70/DK70-1)*100),"NA",IF(((DS70/DK70-1)*100)&gt;100,"NM",IF(((DS70/DK70-1)*100)&lt;-50,"NM",(DS70/DK70-1)*100)))</f>
        <v>27.21411348372844</v>
      </c>
      <c r="DU70" s="134">
        <f>(DU61*4)/(DU39+DU52)*100</f>
        <v>75.073131585078571</v>
      </c>
      <c r="DV70" s="98">
        <f>IF(ISERROR((DU70/DM70-1)*100),"NA",IF(((DU70/DM70-1)*100)&gt;100,"NM",IF(((DU70/DM70-1)*100)&lt;-50,"NM",(DU70/DM70-1)*100)))</f>
        <v>26.381471082830068</v>
      </c>
      <c r="DW70" s="134">
        <f>(DW61*4)/(DW39+DW52)*100</f>
        <v>74.85076563716585</v>
      </c>
      <c r="DX70" s="98">
        <f>IF(ISERROR((DW70/DO70-1)*100),"NA",IF(((DW70/DO70-1)*100)&gt;100,"NM",IF(((DW70/DO70-1)*100)&lt;-50,"NM",(DW70/DO70-1)*100)))</f>
        <v>27.638288136394038</v>
      </c>
      <c r="DY70" s="134">
        <f>(DY61*4)/(DY39+DY52)*100</f>
        <v>73.884821104014122</v>
      </c>
      <c r="DZ70" s="98">
        <f>IF(ISERROR((DY70/DQ70-1)*100),"NA",IF(((DY70/DQ70-1)*100)&gt;100,"NM",IF(((DY70/DQ70-1)*100)&lt;-50,"NM",(DY70/DQ70-1)*100)))</f>
        <v>29.260826944188633</v>
      </c>
      <c r="EA70" s="134">
        <f>(EA61*4)/(EA39+EA52)*100</f>
        <v>78.916707661238121</v>
      </c>
      <c r="EB70" s="98">
        <f>IF(ISERROR((EA70/DS70-1)*100),"NA",IF(((EA70/DS70-1)*100)&gt;100,"NM",IF(((EA70/DS70-1)*100)&lt;-50,"NM",(EA70/DS70-1)*100)))</f>
        <v>4.4972988694862881</v>
      </c>
      <c r="EC70" s="134">
        <f>(EC61*4)/(EC39+EC52)*100</f>
        <v>78.205426056428919</v>
      </c>
      <c r="ED70" s="98">
        <f>IF(ISERROR((EC70/DU70-1)*100),"NA",IF(((EC70/DU70-1)*100)&gt;100,"NM",IF(((EC70/DU70-1)*100)&lt;-50,"NM",(EC70/DU70-1)*100)))</f>
        <v>4.1723242459928533</v>
      </c>
      <c r="EE70" s="134">
        <f>(EE61*4)/(EE39+EE52)*100</f>
        <v>76.676661284949134</v>
      </c>
      <c r="EF70" s="860">
        <f>IF(ISERROR((EE70/DW70-1)*100),"NA",IF(((EE70/DW70-1)*100)&gt;100,"NM",IF(((EE70/DW70-1)*100)&lt;-50,"NM",(EE70/DW70-1)*100)))</f>
        <v>2.4393813907451323</v>
      </c>
      <c r="EG70" s="134">
        <f>(EG61*4)/(EG39+EG52)*100</f>
        <v>75.819922591159099</v>
      </c>
      <c r="EH70" s="860">
        <f>IF(ISERROR((EG70/DY70-1)*100),"NA",IF(((EG70/DY70-1)*100)&gt;100,"NM",IF(((EG70/DY70-1)*100)&lt;-50,"NM",(EG70/DY70-1)*100)))</f>
        <v>2.6190785309214704</v>
      </c>
      <c r="EI70" s="134">
        <f>(EI61*4)/(EI39+EI52)*100</f>
        <v>80.590578147593803</v>
      </c>
      <c r="EJ70" s="860">
        <f t="shared" ref="EJ70:EJ74" si="334">IF(ISERROR((EI70/EA70-1)*100),"NA",IF(((EI70/EA70-1)*100)&gt;100,"NM",IF(((EI70/EA70-1)*100)&lt;-50,"NM",(EI70/EA70-1)*100)))</f>
        <v>2.1210597045444812</v>
      </c>
      <c r="EK70" s="134">
        <f>(EK61*4)/(EK39+EK52)*100</f>
        <v>78.524627488679201</v>
      </c>
      <c r="EL70" s="860">
        <f t="shared" ref="EL70:EL74" si="335">IF(ISERROR((EK70/EC70-1)*100),"NA",IF(((EK70/EC70-1)*100)&gt;100,"NM",IF(((EK70/EC70-1)*100)&lt;-50,"NM",(EK70/EC70-1)*100)))</f>
        <v>0.40815765394586201</v>
      </c>
      <c r="EM70" s="134">
        <f>(EM61*4)/(EM39+EM52)*100</f>
        <v>76.013154566152281</v>
      </c>
      <c r="EN70" s="860">
        <f t="shared" ref="EN70:EN74" si="336">IF(ISERROR((EM70/EE70-1)*100),"NA",IF(((EM70/EE70-1)*100)&gt;100,"NM",IF(((EM70/EE70-1)*100)&lt;-50,"NM",(EM70/EE70-1)*100)))</f>
        <v>-0.86533073777312897</v>
      </c>
      <c r="EO70" s="134">
        <f>(EO61*4)/(EO39+EO52)*100</f>
        <v>76.442781667888468</v>
      </c>
      <c r="EP70" s="98">
        <f t="shared" ref="EP70:EP74" si="337">IF(ISERROR((EO70/EG70-1)*100),"NA",IF(((EO70/EG70-1)*100)&gt;100,"NM",IF(((EO70/EG70-1)*100)&lt;-50,"NM",(EO70/EG70-1)*100)))</f>
        <v>0.82149790641172782</v>
      </c>
      <c r="EQ70" s="877">
        <v>76.5</v>
      </c>
      <c r="ER70" s="98">
        <f t="shared" ref="ER70:ER74" si="338">IF(ISERROR((EQ70/EI70-1)*100),"NA",IF(((EQ70/EI70-1)*100)&gt;100,"NM",IF(((EQ70/EI70-1)*100)&lt;-50,"NM",(EQ70/EI70-1)*100)))</f>
        <v>-5.0757523293880613</v>
      </c>
      <c r="ES70" s="877">
        <f t="shared" ref="ES70:ES73" si="339">EQ70</f>
        <v>76.5</v>
      </c>
      <c r="ET70" s="98">
        <f t="shared" ref="ET70:ET74" si="340">IF(ISERROR((ES70/EK70-1)*100),"NA",IF(((ES70/EK70-1)*100)&gt;100,"NM",IF(((ES70/EK70-1)*100)&lt;-50,"NM",(ES70/EK70-1)*100)))</f>
        <v>-2.5783344072164982</v>
      </c>
      <c r="EU70" s="877">
        <f t="shared" ref="EU70:EU73" si="341">ES70</f>
        <v>76.5</v>
      </c>
      <c r="EV70" s="98">
        <f t="shared" ref="EV70:EV74" si="342">IF(ISERROR((EU70/EM70-1)*100),"NA",IF(((EU70/EM70-1)*100)&gt;100,"NM",IF(((EU70/EM70-1)*100)&lt;-50,"NM",(EU70/EM70-1)*100)))</f>
        <v>0.64047523961663355</v>
      </c>
      <c r="EW70" s="877">
        <f t="shared" ref="EW70:EW73" si="343">EU70</f>
        <v>76.5</v>
      </c>
      <c r="EX70" s="98">
        <f t="shared" ref="EX70:EX74" si="344">IF(ISERROR((EW70/EO70-1)*100),"NA",IF(((EW70/EO70-1)*100)&gt;100,"NM",IF(((EW70/EO70-1)*100)&lt;-50,"NM",(EW70/EO70-1)*100)))</f>
        <v>7.4851190476188378E-2</v>
      </c>
      <c r="EY70" s="95"/>
      <c r="EZ70" s="594"/>
      <c r="FA70" s="405"/>
      <c r="FB70" s="94"/>
      <c r="FC70" s="92"/>
      <c r="FD70" s="94"/>
      <c r="FE70" s="92"/>
      <c r="FF70" s="95"/>
      <c r="FG70" s="92"/>
      <c r="FH70" s="95"/>
      <c r="FI70" s="92"/>
      <c r="FJ70" s="95"/>
      <c r="FK70" s="92"/>
      <c r="FL70" s="95"/>
      <c r="FM70" s="92"/>
      <c r="FN70" s="95"/>
      <c r="FO70" s="92"/>
      <c r="FP70" s="95"/>
      <c r="FQ70" s="92"/>
      <c r="FR70" s="96"/>
      <c r="FS70" s="97"/>
      <c r="FT70" s="96"/>
      <c r="FU70" s="97"/>
      <c r="FV70" s="96"/>
      <c r="FW70" s="98"/>
      <c r="FX70" s="480"/>
      <c r="FY70" s="98"/>
      <c r="FZ70" s="96"/>
      <c r="GA70" s="98"/>
      <c r="GB70" s="480"/>
      <c r="GC70" s="98"/>
      <c r="GD70" s="134">
        <f>(GD61)/(GD39+GD52)*100</f>
        <v>55.445618769207705</v>
      </c>
      <c r="GE70" s="98" t="str">
        <f>IF(ISERROR((GD70/GB70-1)*100),"NA",IF(((GD70/GB70-1)*100)&gt;100,"NM",IF(((GD70/GB70-1)*100)&lt;-50,"NM",(GD70/GB70-1)*100)))</f>
        <v>NA</v>
      </c>
      <c r="GF70" s="134">
        <f>(GF61)/(GF39+GF52)*100</f>
        <v>56.297991730655639</v>
      </c>
      <c r="GG70" s="98">
        <f>IF(ISERROR((GF70/GD70-1)*100),"NA",IF(((GF70/GD70-1)*100)&gt;100,"NM",IF(((GF70/GD70-1)*100)&lt;-50,"NM",(GF70/GD70-1)*100)))</f>
        <v>1.5373134620355389</v>
      </c>
      <c r="GH70" s="134">
        <f>(GH61)/(GH39+GH52)*100</f>
        <v>58.661135483397274</v>
      </c>
      <c r="GI70" s="98">
        <f>IF(ISERROR((GH70/GF70-1)*100),"NA",IF(((GH70/GF70-1)*100)&gt;100,"NM",IF(((GH70/GF70-1)*100)&lt;-50,"NM",(GH70/GF70-1)*100)))</f>
        <v>4.1975631458534668</v>
      </c>
      <c r="GJ70" s="134">
        <f>(GJ61)/(GJ39+GJ52)*100</f>
        <v>74.940234902816755</v>
      </c>
      <c r="GK70" s="98">
        <f>IF(ISERROR((GJ70/GH70-1)*100),"NA",IF(((GJ70/GH70-1)*100)&gt;100,"NM",IF(((GJ70/GH70-1)*100)&lt;-50,"NM",(GJ70/GH70-1)*100)))</f>
        <v>27.751081333955629</v>
      </c>
      <c r="GL70" s="134">
        <f>(GL61)/(GL39+GL52)*100</f>
        <v>77.273193760262728</v>
      </c>
      <c r="GM70" s="98">
        <f>IF(ISERROR((GL70/GJ70-1)*100),"NA",IF(((GL70/GJ70-1)*100)&gt;100,"NM",IF(((GL70/GJ70-1)*100)&lt;-50,"NM",(GL70/GJ70-1)*100)))</f>
        <v>3.1130925336321447</v>
      </c>
      <c r="GN70" s="134">
        <f>(GN61)/(GN39+GN52)*100</f>
        <v>77.93648381704908</v>
      </c>
      <c r="GO70" s="98">
        <f>IF(ISERROR((GN70/GL70-1)*100),"NA",IF(((GN70/GL70-1)*100)&gt;100,"NM",IF(((GN70/GL70-1)*100)&lt;-50,"NM",(GN70/GL70-1)*100)))</f>
        <v>0.85837018571301993</v>
      </c>
      <c r="GP70" s="134">
        <f>(GP61)/(GP39+GP52)*100</f>
        <v>76.648293183195989</v>
      </c>
      <c r="GQ70" s="98">
        <f>IF(ISERROR((GP70/GN70-1)*100),"NA",IF(((GP70/GN70-1)*100)&gt;100,"NM",IF(((GP70/GN70-1)*100)&lt;-50,"NM",(GP70/GN70-1)*100)))</f>
        <v>-1.6528724042478404</v>
      </c>
      <c r="GR70" s="135">
        <f>GP70+0.5</f>
        <v>77.148293183195989</v>
      </c>
      <c r="GS70" s="98">
        <f>IF(ISERROR((GR70/GP70-1)*100),"NA",IF(((GR70/GP70-1)*100)&gt;100,"NM",IF(((GR70/GP70-1)*100)&lt;-50,"NM",(GR70/GP70-1)*100)))</f>
        <v>0.65233024668267525</v>
      </c>
      <c r="GT70" s="135">
        <f>GR70</f>
        <v>77.148293183195989</v>
      </c>
      <c r="GU70" s="98">
        <f>IF(ISERROR((GT70/GR70-1)*100),"NA",IF(((GT70/GR70-1)*100)&gt;100,"NM",IF(((GT70/GR70-1)*100)&lt;-50,"NM",(GT70/GR70-1)*100)))</f>
        <v>0</v>
      </c>
      <c r="GV70" s="135">
        <f>GT70</f>
        <v>77.148293183195989</v>
      </c>
      <c r="GW70" s="98">
        <f>IF(ISERROR((GV70/GT70-1)*100),"NA",IF(((GV70/GT70-1)*100)&gt;100,"NM",IF(((GV70/GT70-1)*100)&lt;-50,"NM",(GV70/GT70-1)*100)))</f>
        <v>0</v>
      </c>
      <c r="GX70" s="135">
        <f>GV70</f>
        <v>77.148293183195989</v>
      </c>
      <c r="GY70" s="98">
        <f>IF(ISERROR((GX70/GV70-1)*100),"NA",IF(((GX70/GV70-1)*100)&gt;100,"NM",IF(((GX70/GV70-1)*100)&lt;-50,"NM",(GX70/GV70-1)*100)))</f>
        <v>0</v>
      </c>
      <c r="GZ70" s="98">
        <f>IF(ISERROR(((GX70/GN70)^0.2-1)*100),"NA",IF((((GX70/GN70)^0.2-1)*100)&gt;100,"NM",IF((((GX70/GN70)^0.2-1)*100)&lt;-50,"NM",((GX70/GN70)^0.2-1)*100)))</f>
        <v>-0.20308809072735468</v>
      </c>
      <c r="HA70" s="98"/>
      <c r="HB70" s="10"/>
      <c r="HC70"/>
      <c r="HD70"/>
      <c r="HE70"/>
      <c r="HF70"/>
      <c r="HG70"/>
      <c r="HH70"/>
      <c r="HI70" s="10"/>
    </row>
    <row r="71" spans="2:217" s="2" customFormat="1" ht="12.75" customHeight="1" x14ac:dyDescent="0.2">
      <c r="B71" s="18" t="s">
        <v>741</v>
      </c>
      <c r="C71" s="94"/>
      <c r="D71" s="92"/>
      <c r="E71" s="94"/>
      <c r="F71" s="92"/>
      <c r="G71" s="94"/>
      <c r="H71" s="92"/>
      <c r="I71" s="94"/>
      <c r="J71" s="98"/>
      <c r="K71" s="94"/>
      <c r="L71" s="98"/>
      <c r="M71" s="94"/>
      <c r="N71" s="98"/>
      <c r="O71" s="94"/>
      <c r="P71" s="98"/>
      <c r="Q71" s="94"/>
      <c r="R71" s="98"/>
      <c r="S71" s="94"/>
      <c r="T71" s="98"/>
      <c r="U71" s="94"/>
      <c r="V71" s="98"/>
      <c r="W71" s="94"/>
      <c r="X71" s="98"/>
      <c r="Y71" s="94"/>
      <c r="Z71" s="98"/>
      <c r="AA71" s="94"/>
      <c r="AB71" s="98"/>
      <c r="AC71" s="94"/>
      <c r="AD71" s="98"/>
      <c r="AE71" s="94"/>
      <c r="AF71" s="98"/>
      <c r="AG71" s="94"/>
      <c r="AH71" s="98"/>
      <c r="AI71" s="94"/>
      <c r="AJ71" s="98"/>
      <c r="AK71" s="94"/>
      <c r="AL71" s="98"/>
      <c r="AM71" s="94"/>
      <c r="AN71" s="98"/>
      <c r="AO71" s="94"/>
      <c r="AP71" s="98"/>
      <c r="AQ71" s="94"/>
      <c r="AR71" s="98"/>
      <c r="AS71" s="94"/>
      <c r="AT71" s="98"/>
      <c r="AU71" s="94"/>
      <c r="AV71" s="98"/>
      <c r="AW71" s="94"/>
      <c r="AX71" s="98"/>
      <c r="AY71" s="134"/>
      <c r="AZ71" s="98"/>
      <c r="BA71" s="134"/>
      <c r="BB71" s="98"/>
      <c r="BC71" s="134"/>
      <c r="BD71" s="98"/>
      <c r="BE71" s="134"/>
      <c r="BF71" s="98"/>
      <c r="BG71" s="134"/>
      <c r="BH71" s="98"/>
      <c r="BI71" s="134"/>
      <c r="BJ71" s="98"/>
      <c r="BK71" s="134"/>
      <c r="BL71" s="98"/>
      <c r="BM71" s="134"/>
      <c r="BN71" s="98"/>
      <c r="BO71" s="134"/>
      <c r="BP71" s="98"/>
      <c r="BQ71" s="134"/>
      <c r="BR71" s="98"/>
      <c r="BS71" s="134"/>
      <c r="BT71" s="98"/>
      <c r="BU71" s="134"/>
      <c r="BV71" s="98"/>
      <c r="BW71" s="134"/>
      <c r="BX71" s="98"/>
      <c r="BY71" s="134"/>
      <c r="BZ71" s="98"/>
      <c r="CA71" s="134"/>
      <c r="CB71" s="98"/>
      <c r="CC71" s="134"/>
      <c r="CD71" s="98"/>
      <c r="CE71" s="134"/>
      <c r="CF71" s="98"/>
      <c r="CG71" s="134"/>
      <c r="CH71" s="98"/>
      <c r="CI71" s="134"/>
      <c r="CJ71" s="98"/>
      <c r="CK71" s="134"/>
      <c r="CL71" s="98"/>
      <c r="CM71" s="134"/>
      <c r="CN71" s="98"/>
      <c r="CO71" s="134"/>
      <c r="CP71" s="98"/>
      <c r="CQ71" s="489">
        <f>(CQ62*4)/(CQ52)*100</f>
        <v>138.411316648531</v>
      </c>
      <c r="CR71" s="98" t="str">
        <f>IF(ISERROR((CQ71/CI71-1)*100),"NA",IF(((CQ71/CI71-1)*100)&gt;100,"NM",IF(((CQ71/CI71-1)*100)&lt;-50,"NM",(CQ71/CI71-1)*100)))</f>
        <v>NA</v>
      </c>
      <c r="CS71" s="134">
        <f>(CS62*4)/(CS52)*100</f>
        <v>142.40362811791383</v>
      </c>
      <c r="CT71" s="574" t="str">
        <f>IF(ISERROR((CS71/CK71-1)*100),"NA",IF(((CS71/CK71-1)*100)&gt;100,"NM",IF(((CS71/CK71-1)*100)&lt;-50,"NM",(CS71/CK71-1)*100)))</f>
        <v>NA</v>
      </c>
      <c r="CU71" s="134">
        <f>(CU62*4)/(CU52)*100</f>
        <v>137.47412008281574</v>
      </c>
      <c r="CV71" s="574" t="str">
        <f>IF(ISERROR((CU71/CM71-1)*100),"NA",IF(((CU71/CM71-1)*100)&gt;100,"NM",IF(((CU71/CM71-1)*100)&lt;-50,"NM",(CU71/CM71-1)*100)))</f>
        <v>NA</v>
      </c>
      <c r="CW71" s="134">
        <f>(CW62*4)/(CW52)*100</f>
        <v>132.66331658291458</v>
      </c>
      <c r="CX71" s="98" t="str">
        <f>IF(ISERROR((CW71/CO71-1)*100),"NA",IF(((CW71/CO71-1)*100)&gt;100,"NM",IF(((CW71/CO71-1)*100)&lt;-50,"NM",(CW71/CO71-1)*100)))</f>
        <v>NA</v>
      </c>
      <c r="CY71" s="134">
        <f>(CY62*4)/(CY52)*100</f>
        <v>132.80000000000001</v>
      </c>
      <c r="CZ71" s="98">
        <f>IF(ISERROR((CY71/CQ71-1)*100),"NA",IF(((CY71/CQ71-1)*100)&gt;100,"NM",IF(((CY71/CQ71-1)*100)&lt;-50,"NM",(CY71/CQ71-1)*100)))</f>
        <v>-4.0540880503144532</v>
      </c>
      <c r="DA71" s="134">
        <f>(DA62*4)/(DA52)*100</f>
        <v>129.03225806451613</v>
      </c>
      <c r="DB71" s="98">
        <f>IF(ISERROR((DA71/CS71-1)*100),"NA",IF(((DA71/CS71-1)*100)&gt;100,"NM",IF(((DA71/CS71-1)*100)&lt;-50,"NM",(DA71/CS71-1)*100)))</f>
        <v>-9.3897678241216305</v>
      </c>
      <c r="DC71" s="134">
        <f>(DC62*4)/(DC52)*100</f>
        <v>137.01236917221692</v>
      </c>
      <c r="DD71" s="98">
        <f>IF(ISERROR((DC71/CU71-1)*100),"NA",IF(((DC71/CU71-1)*100)&gt;100,"NM",IF(((DC71/CU71-1)*100)&lt;-50,"NM",(DC71/CU71-1)*100)))</f>
        <v>-0.33588206298077461</v>
      </c>
      <c r="DE71" s="134">
        <f>(DE62*4)/(DE52)*100</f>
        <v>125.46125461254614</v>
      </c>
      <c r="DF71" s="98">
        <f>IF(ISERROR((DE71/CW71-1)*100),"NA",IF(((DE71/CW71-1)*100)&gt;100,"NM",IF(((DE71/CW71-1)*100)&lt;-50,"NM",(DE71/CW71-1)*100)))</f>
        <v>-5.4288270155428702</v>
      </c>
      <c r="DG71" s="134">
        <f>(DG62*4)/(DG52)*100</f>
        <v>121.6</v>
      </c>
      <c r="DH71" s="98">
        <f>IF(ISERROR((DG71/CY71-1)*100),"NA",IF(((DG71/CY71-1)*100)&gt;100,"NM",IF(((DG71/CY71-1)*100)&lt;-50,"NM",(DG71/CY71-1)*100)))</f>
        <v>-8.4337349397590522</v>
      </c>
      <c r="DI71" s="134">
        <f>(DI62*4)/(DI52)*100</f>
        <v>111.05569409808811</v>
      </c>
      <c r="DJ71" s="98">
        <f>IF(ISERROR((DI71/DA71-1)*100),"NA",IF(((DI71/DA71-1)*100)&gt;100,"NM",IF(((DI71/DA71-1)*100)&lt;-50,"NM",(DI71/DA71-1)*100)))</f>
        <v>-13.931837073981711</v>
      </c>
      <c r="DK71" s="134">
        <f>(DK62*4)/(DK52)*100</f>
        <v>113.91794046661303</v>
      </c>
      <c r="DL71" s="98">
        <f>IF(ISERROR((DK71/DC71-1)*100),"NA",IF(((DK71/DC71-1)*100)&gt;100,"NM",IF(((DK71/DC71-1)*100)&lt;-50,"NM",(DK71/DC71-1)*100)))</f>
        <v>-16.855725395548394</v>
      </c>
      <c r="DM71" s="134">
        <f>(DM62*4)/(DM52)*100</f>
        <v>114.46640316205534</v>
      </c>
      <c r="DN71" s="98">
        <f>IF(ISERROR((DM71/DE71-1)*100),"NA",IF(((DM71/DE71-1)*100)&gt;100,"NM",IF(((DM71/DE71-1)*100)&lt;-50,"NM",(DM71/DE71-1)*100)))</f>
        <v>-8.763543362008841</v>
      </c>
      <c r="DO71" s="134">
        <f>(DO62*4)/(DO52)*100</f>
        <v>112.94117647058823</v>
      </c>
      <c r="DP71" s="98">
        <f>IF(ISERROR((DO71/DG71-1)*100),"NA",IF(((DO71/DG71-1)*100)&gt;100,"NM",IF(((DO71/DG71-1)*100)&lt;-50,"NM",(DO71/DG71-1)*100)))</f>
        <v>-7.120743034055721</v>
      </c>
      <c r="DQ71" s="134">
        <f>(DQ62*4)/(DQ52)*100</f>
        <v>111.25</v>
      </c>
      <c r="DR71" s="98">
        <f>IF(ISERROR((DQ71/DI71-1)*100),"NA",IF(((DQ71/DI71-1)*100)&gt;100,"NM",IF(((DQ71/DI71-1)*100)&lt;-50,"NM",(DQ71/DI71-1)*100)))</f>
        <v>0.17496257485030142</v>
      </c>
      <c r="DS71" s="134">
        <f>(DS62*4)/(DS39)*100</f>
        <v>4.0444241267109469</v>
      </c>
      <c r="DT71" s="98" t="str">
        <f>IF(ISERROR((DS71/DK71-1)*100),"NA",IF(((DS71/DK71-1)*100)&gt;100,"NM",IF(((DS71/DK71-1)*100)&lt;-50,"NM",(DS71/DK71-1)*100)))</f>
        <v>NM</v>
      </c>
      <c r="DU71" s="134">
        <f>(DU62*4)/(DU39)*100</f>
        <v>3.9220939266482708</v>
      </c>
      <c r="DV71" s="98" t="str">
        <f>IF(ISERROR((DU71/DM71-1)*100),"NA",IF(((DU71/DM71-1)*100)&gt;100,"NM",IF(((DU71/DM71-1)*100)&lt;-50,"NM",(DU71/DM71-1)*100)))</f>
        <v>NM</v>
      </c>
      <c r="DW71" s="134">
        <f>(DW62*4)/(DW39)*100</f>
        <v>4.0330365762093745</v>
      </c>
      <c r="DX71" s="98" t="str">
        <f>IF(ISERROR((DW71/DO71-1)*100),"NA",IF(((DW71/DO71-1)*100)&gt;100,"NM",IF(((DW71/DO71-1)*100)&lt;-50,"NM",(DW71/DO71-1)*100)))</f>
        <v>NM</v>
      </c>
      <c r="DY71" s="134">
        <f>(DY62*4)/(DY39)*100</f>
        <v>3.8808930342258319</v>
      </c>
      <c r="DZ71" s="98" t="str">
        <f>IF(ISERROR((DY71/DQ71-1)*100),"NA",IF(((DY71/DQ71-1)*100)&gt;100,"NM",IF(((DY71/DQ71-1)*100)&lt;-50,"NM",(DY71/DQ71-1)*100)))</f>
        <v>NM</v>
      </c>
      <c r="EA71" s="134">
        <f>(EA62*4)/(EA39)*100</f>
        <v>3.9562672084257802</v>
      </c>
      <c r="EB71" s="98">
        <f>IF(ISERROR((EA71/DS71-1)*100),"NA",IF(((EA71/DS71-1)*100)&gt;100,"NM",IF(((EA71/DS71-1)*100)&lt;-50,"NM",(EA71/DS71-1)*100)))</f>
        <v>-2.1797149735841015</v>
      </c>
      <c r="EC71" s="134">
        <f>(EC62*4)/(EC39)*100</f>
        <v>4.1985241228654395</v>
      </c>
      <c r="ED71" s="98">
        <f>IF(ISERROR((EC71/DU71-1)*100),"NA",IF(((EC71/DU71-1)*100)&gt;100,"NM",IF(((EC71/DU71-1)*100)&lt;-50,"NM",(EC71/DU71-1)*100)))</f>
        <v>7.0480259113375965</v>
      </c>
      <c r="EE71" s="134">
        <f>(EE62*4)/(EE39)*100</f>
        <v>4.1169292800679083</v>
      </c>
      <c r="EF71" s="860">
        <f>IF(ISERROR((EE71/DW71-1)*100),"NA",IF(((EE71/DW71-1)*100)&gt;100,"NM",IF(((EE71/DW71-1)*100)&lt;-50,"NM",(EE71/DW71-1)*100)))</f>
        <v>2.0801374416838048</v>
      </c>
      <c r="EG71" s="134">
        <f>(EG62*4)/(EG39)*100</f>
        <v>4.1046256380418393</v>
      </c>
      <c r="EH71" s="860">
        <f>IF(ISERROR((EG71/DY71-1)*100),"NA",IF(((EG71/DY71-1)*100)&gt;100,"NM",IF(((EG71/DY71-1)*100)&lt;-50,"NM",(EG71/DY71-1)*100)))</f>
        <v>5.764977334930288</v>
      </c>
      <c r="EI71" s="134">
        <f>(EI62*4)/(EI39)*100</f>
        <v>4.3070913937346598</v>
      </c>
      <c r="EJ71" s="860">
        <f t="shared" si="334"/>
        <v>8.8675553704188346</v>
      </c>
      <c r="EK71" s="134">
        <f>(EK62*4)/(EK39)*100</f>
        <v>4.2176296921130323</v>
      </c>
      <c r="EL71" s="860">
        <f t="shared" si="335"/>
        <v>0.45505441170488048</v>
      </c>
      <c r="EM71" s="134">
        <f>(EM62*4)/(EM39)*100</f>
        <v>4.159079513366585</v>
      </c>
      <c r="EN71" s="860">
        <f t="shared" si="336"/>
        <v>1.0238269941324152</v>
      </c>
      <c r="EO71" s="134">
        <f>(EO62*4)/(EO39)*100</f>
        <v>4.1831722389478685</v>
      </c>
      <c r="EP71" s="98">
        <f t="shared" si="337"/>
        <v>1.913611808542437</v>
      </c>
      <c r="EQ71" s="877">
        <f t="shared" ref="EQ71" si="345">EO71</f>
        <v>4.1831722389478685</v>
      </c>
      <c r="ER71" s="98">
        <f t="shared" si="338"/>
        <v>-2.8770960134965162</v>
      </c>
      <c r="ES71" s="877">
        <f t="shared" si="339"/>
        <v>4.1831722389478685</v>
      </c>
      <c r="ET71" s="98">
        <f t="shared" si="340"/>
        <v>-0.81698621454603382</v>
      </c>
      <c r="EU71" s="877">
        <f t="shared" si="341"/>
        <v>4.1831722389478685</v>
      </c>
      <c r="EV71" s="98">
        <f t="shared" si="342"/>
        <v>0.57928023505811055</v>
      </c>
      <c r="EW71" s="877">
        <f t="shared" si="343"/>
        <v>4.1831722389478685</v>
      </c>
      <c r="EX71" s="98">
        <f t="shared" si="344"/>
        <v>0</v>
      </c>
      <c r="EY71" s="135"/>
      <c r="EZ71" s="594"/>
      <c r="FA71" s="405"/>
      <c r="FB71" s="94"/>
      <c r="FC71" s="92"/>
      <c r="FD71" s="94"/>
      <c r="FE71" s="92"/>
      <c r="FF71" s="95"/>
      <c r="FG71" s="92"/>
      <c r="FH71" s="95"/>
      <c r="FI71" s="92"/>
      <c r="FJ71" s="95"/>
      <c r="FK71" s="92"/>
      <c r="FL71" s="95"/>
      <c r="FM71" s="92"/>
      <c r="FN71" s="95"/>
      <c r="FO71" s="92"/>
      <c r="FP71" s="95"/>
      <c r="FQ71" s="92"/>
      <c r="FR71" s="96"/>
      <c r="FS71" s="97"/>
      <c r="FT71" s="96"/>
      <c r="FU71" s="97"/>
      <c r="FV71" s="134"/>
      <c r="FW71" s="98"/>
      <c r="FX71" s="489"/>
      <c r="FY71" s="98"/>
      <c r="FZ71" s="134"/>
      <c r="GA71" s="98"/>
      <c r="GB71" s="489"/>
      <c r="GC71" s="98"/>
      <c r="GD71" s="134">
        <f>(GD62)/(GD52)*100</f>
        <v>131.0891089108911</v>
      </c>
      <c r="GE71" s="98" t="str">
        <f>IF(ISERROR((GD71/GB71-1)*100),"NA",IF(((GD71/GB71-1)*100)&gt;100,"NM",IF(((GD71/GB71-1)*100)&lt;-50,"NM",(GD71/GB71-1)*100)))</f>
        <v>NA</v>
      </c>
      <c r="GF71" s="134">
        <f>(GF62)/(GF52)*100</f>
        <v>117.00680272108843</v>
      </c>
      <c r="GG71" s="98">
        <f>IF(ISERROR((GF71/GD71-1)*100),"NA",IF(((GF71/GD71-1)*100)&gt;100,"NM",IF(((GF71/GD71-1)*100)&lt;-50,"NM",(GF71/GD71-1)*100)))</f>
        <v>-10.742544752039795</v>
      </c>
      <c r="GH71" s="134">
        <f>(GH62)/(GH52)*100</f>
        <v>109.06321401370906</v>
      </c>
      <c r="GI71" s="98">
        <f>IF(ISERROR((GH71/GF71-1)*100),"NA",IF(((GH71/GF71-1)*100)&gt;100,"NM",IF(((GH71/GF71-1)*100)&lt;-50,"NM",(GH71/GF71-1)*100)))</f>
        <v>-6.78899732549284</v>
      </c>
      <c r="GJ71" s="134">
        <f>(GJ62)/(GJ39)*100</f>
        <v>3.9809559673991983</v>
      </c>
      <c r="GK71" s="98" t="str">
        <f>IF(ISERROR((GJ71/GH71-1)*100),"NA",IF(((GJ71/GH71-1)*100)&gt;100,"NM",IF(((GJ71/GH71-1)*100)&lt;-50,"NM",(GJ71/GH71-1)*100)))</f>
        <v>NM</v>
      </c>
      <c r="GL71" s="134">
        <f>(GL62)/(GL39)*100</f>
        <v>4.0982515900683927</v>
      </c>
      <c r="GM71" s="98">
        <f>IF(ISERROR((GL71/GJ71-1)*100),"NA",IF(((GL71/GJ71-1)*100)&gt;100,"NM",IF(((GL71/GJ71-1)*100)&lt;-50,"NM",(GL71/GJ71-1)*100)))</f>
        <v>2.946418489170699</v>
      </c>
      <c r="GN71" s="134">
        <f>(GN62)/(GN39)*100</f>
        <v>4.2234908552701134</v>
      </c>
      <c r="GO71" s="98">
        <f>IF(ISERROR((GN71/GL71-1)*100),"NA",IF(((GN71/GL71-1)*100)&gt;100,"NM",IF(((GN71/GL71-1)*100)&lt;-50,"NM",(GN71/GL71-1)*100)))</f>
        <v>3.0559193951201769</v>
      </c>
      <c r="GP71" s="134">
        <f>(GP62)/(GP39)*100</f>
        <v>4.1926725585969642</v>
      </c>
      <c r="GQ71" s="98">
        <f>IF(ISERROR((GP71/GN71-1)*100),"NA",IF(((GP71/GN71-1)*100)&gt;100,"NM",IF(((GP71/GN71-1)*100)&lt;-50,"NM",(GP71/GN71-1)*100)))</f>
        <v>-0.72968778030367831</v>
      </c>
      <c r="GR71" s="135">
        <f>GP71</f>
        <v>4.1926725585969642</v>
      </c>
      <c r="GS71" s="98">
        <f>IF(ISERROR((GR71/GP71-1)*100),"NA",IF(((GR71/GP71-1)*100)&gt;100,"NM",IF(((GR71/GP71-1)*100)&lt;-50,"NM",(GR71/GP71-1)*100)))</f>
        <v>0</v>
      </c>
      <c r="GT71" s="135">
        <f>GR71</f>
        <v>4.1926725585969642</v>
      </c>
      <c r="GU71" s="98">
        <f>IF(ISERROR((GT71/GR71-1)*100),"NA",IF(((GT71/GR71-1)*100)&gt;100,"NM",IF(((GT71/GR71-1)*100)&lt;-50,"NM",(GT71/GR71-1)*100)))</f>
        <v>0</v>
      </c>
      <c r="GV71" s="135">
        <f>GT71</f>
        <v>4.1926725585969642</v>
      </c>
      <c r="GW71" s="98">
        <f>IF(ISERROR((GV71/GT71-1)*100),"NA",IF(((GV71/GT71-1)*100)&gt;100,"NM",IF(((GV71/GT71-1)*100)&lt;-50,"NM",(GV71/GT71-1)*100)))</f>
        <v>0</v>
      </c>
      <c r="GX71" s="135">
        <f>GV71</f>
        <v>4.1926725585969642</v>
      </c>
      <c r="GY71" s="98">
        <f>IF(ISERROR((GX71/GV71-1)*100),"NA",IF(((GX71/GV71-1)*100)&gt;100,"NM",IF(((GX71/GV71-1)*100)&lt;-50,"NM",(GX71/GV71-1)*100)))</f>
        <v>0</v>
      </c>
      <c r="GZ71" s="98">
        <f>IF(ISERROR(((GX71/GN71)^0.2-1)*100),"NA",IF((((GX71/GN71)^0.2-1)*100)&gt;100,"NM",IF((((GX71/GN71)^0.2-1)*100)&lt;-50,"NM",((GX71/GN71)^0.2-1)*100)))</f>
        <v>-0.14636538593146842</v>
      </c>
      <c r="HA71" s="98"/>
      <c r="HB71" s="10"/>
      <c r="HC71"/>
      <c r="HD71"/>
      <c r="HE71"/>
      <c r="HF71"/>
      <c r="HG71"/>
      <c r="HH71"/>
      <c r="HI71" s="10"/>
    </row>
    <row r="72" spans="2:217" s="2" customFormat="1" ht="12.75" customHeight="1" x14ac:dyDescent="0.2">
      <c r="B72" s="102" t="s">
        <v>157</v>
      </c>
      <c r="C72" s="94"/>
      <c r="D72" s="92"/>
      <c r="E72" s="94"/>
      <c r="F72" s="92"/>
      <c r="G72" s="94"/>
      <c r="H72" s="92"/>
      <c r="I72" s="94"/>
      <c r="J72" s="98"/>
      <c r="K72" s="94"/>
      <c r="L72" s="98"/>
      <c r="M72" s="94"/>
      <c r="N72" s="98"/>
      <c r="O72" s="94"/>
      <c r="P72" s="98"/>
      <c r="Q72" s="94"/>
      <c r="R72" s="98"/>
      <c r="S72" s="94"/>
      <c r="T72" s="98"/>
      <c r="U72" s="94"/>
      <c r="V72" s="98"/>
      <c r="W72" s="94"/>
      <c r="X72" s="98"/>
      <c r="Y72" s="94"/>
      <c r="Z72" s="98"/>
      <c r="AA72" s="94"/>
      <c r="AB72" s="98"/>
      <c r="AC72" s="94"/>
      <c r="AD72" s="98"/>
      <c r="AE72" s="94"/>
      <c r="AF72" s="98"/>
      <c r="AG72" s="94"/>
      <c r="AH72" s="98"/>
      <c r="AI72" s="94"/>
      <c r="AJ72" s="98"/>
      <c r="AK72" s="94"/>
      <c r="AL72" s="98"/>
      <c r="AM72" s="94"/>
      <c r="AN72" s="98"/>
      <c r="AO72" s="94"/>
      <c r="AP72" s="98"/>
      <c r="AQ72" s="94"/>
      <c r="AR72" s="98"/>
      <c r="AS72" s="94"/>
      <c r="AT72" s="98"/>
      <c r="AU72" s="94"/>
      <c r="AV72" s="98"/>
      <c r="AW72" s="94"/>
      <c r="AX72" s="98"/>
      <c r="AY72" s="134"/>
      <c r="AZ72" s="98"/>
      <c r="BA72" s="134"/>
      <c r="BB72" s="98"/>
      <c r="BC72" s="134"/>
      <c r="BD72" s="98"/>
      <c r="BE72" s="134"/>
      <c r="BF72" s="98"/>
      <c r="BG72" s="134"/>
      <c r="BH72" s="98"/>
      <c r="BI72" s="134"/>
      <c r="BJ72" s="98"/>
      <c r="BK72" s="134"/>
      <c r="BL72" s="98"/>
      <c r="BM72" s="134"/>
      <c r="BN72" s="98"/>
      <c r="BO72" s="134"/>
      <c r="BP72" s="98"/>
      <c r="BQ72" s="134"/>
      <c r="BR72" s="98"/>
      <c r="BS72" s="134"/>
      <c r="BT72" s="98"/>
      <c r="BU72" s="134"/>
      <c r="BV72" s="98"/>
      <c r="BW72" s="134"/>
      <c r="BX72" s="98"/>
      <c r="BY72" s="134"/>
      <c r="BZ72" s="98"/>
      <c r="CA72" s="134"/>
      <c r="CB72" s="98"/>
      <c r="CC72" s="134"/>
      <c r="CD72" s="98"/>
      <c r="CE72" s="134"/>
      <c r="CF72" s="98"/>
      <c r="CG72" s="134"/>
      <c r="CH72" s="98"/>
      <c r="CI72" s="134"/>
      <c r="CJ72" s="98"/>
      <c r="CK72" s="134"/>
      <c r="CL72" s="98"/>
      <c r="CM72" s="134"/>
      <c r="CN72" s="98"/>
      <c r="CO72" s="134"/>
      <c r="CP72" s="98"/>
      <c r="CQ72" s="489">
        <f>(CQ63*4)/CQ39*100</f>
        <v>7.0686152693134527</v>
      </c>
      <c r="CR72" s="98" t="str">
        <f>IF(ISERROR((CQ72/CI72-1)*100),"NA",IF(((CQ72/CI72-1)*100)&gt;100,"NM",IF(((CQ72/CI72-1)*100)&lt;-50,"NM",(CQ72/CI72-1)*100)))</f>
        <v>NA</v>
      </c>
      <c r="CS72" s="134">
        <f>(CS63*4)/CS39*100</f>
        <v>6.8766558728289668</v>
      </c>
      <c r="CT72" s="98" t="str">
        <f>IF(ISERROR((CS72/CK72-1)*100),"NA",IF(((CS72/CK72-1)*100)&gt;100,"NM",IF(((CS72/CK72-1)*100)&lt;-50,"NM",(CS72/CK72-1)*100)))</f>
        <v>NA</v>
      </c>
      <c r="CU72" s="134">
        <f>(CU63*4)/CU39*100</f>
        <v>6.8067833655328531</v>
      </c>
      <c r="CV72" s="98" t="str">
        <f>IF(ISERROR((CU72/CM72-1)*100),"NA",IF(((CU72/CM72-1)*100)&gt;100,"NM",IF(((CU72/CM72-1)*100)&lt;-50,"NM",(CU72/CM72-1)*100)))</f>
        <v>NA</v>
      </c>
      <c r="CW72" s="134">
        <f>(CW63*4)/CW39*100</f>
        <v>6.7147199969409019</v>
      </c>
      <c r="CX72" s="98" t="str">
        <f>IF(ISERROR((CW72/CO72-1)*100),"NA",IF(((CW72/CO72-1)*100)&gt;100,"NM",IF(((CW72/CO72-1)*100)&lt;-50,"NM",(CW72/CO72-1)*100)))</f>
        <v>NA</v>
      </c>
      <c r="CY72" s="134">
        <f>(CY63*4)/CY39*100</f>
        <v>6.7209319692330665</v>
      </c>
      <c r="CZ72" s="98">
        <f>IF(ISERROR((CY72/CQ72-1)*100),"NA",IF(((CY72/CQ72-1)*100)&gt;100,"NM",IF(((CY72/CQ72-1)*100)&lt;-50,"NM",(CY72/CQ72-1)*100)))</f>
        <v>-4.9186903917343265</v>
      </c>
      <c r="DA72" s="134">
        <f>(DA63*4)/DA39*100</f>
        <v>6.6003650314746531</v>
      </c>
      <c r="DB72" s="98">
        <f>IF(ISERROR((DA72/CS72-1)*100),"NA",IF(((DA72/CS72-1)*100)&gt;100,"NM",IF(((DA72/CS72-1)*100)&lt;-50,"NM",(DA72/CS72-1)*100)))</f>
        <v>-4.0178081681532696</v>
      </c>
      <c r="DC72" s="134">
        <f>(DC63*4)/DC39*100</f>
        <v>6.8099819603126877</v>
      </c>
      <c r="DD72" s="98">
        <f>IF(ISERROR((DC72/CU72-1)*100),"NA",IF(((DC72/CU72-1)*100)&gt;100,"NM",IF(((DC72/CU72-1)*100)&lt;-50,"NM",(DC72/CU72-1)*100)))</f>
        <v>4.699128219698423E-2</v>
      </c>
      <c r="DE72" s="134">
        <f>(DE63*4)/DE39*100</f>
        <v>7.2036323400358659</v>
      </c>
      <c r="DF72" s="98">
        <f>IF(ISERROR((DE72/CW72-1)*100),"NA",IF(((DE72/CW72-1)*100)&gt;100,"NM",IF(((DE72/CW72-1)*100)&lt;-50,"NM",(DE72/CW72-1)*100)))</f>
        <v>7.2812022439908697</v>
      </c>
      <c r="DG72" s="134">
        <f>(DG63*4)/DG39*100</f>
        <v>7.0563818747838125</v>
      </c>
      <c r="DH72" s="98">
        <f>IF(ISERROR((DG72/CY72-1)*100),"NA",IF(((DG72/CY72-1)*100)&gt;100,"NM",IF(((DG72/CY72-1)*100)&lt;-50,"NM",(DG72/CY72-1)*100)))</f>
        <v>4.9911218724778328</v>
      </c>
      <c r="DI72" s="134">
        <f>(DI63*4)/DI39*100</f>
        <v>7.2209898263596726</v>
      </c>
      <c r="DJ72" s="98">
        <f>IF(ISERROR((DI72/DA72-1)*100),"NA",IF(((DI72/DA72-1)*100)&gt;100,"NM",IF(((DI72/DA72-1)*100)&lt;-50,"NM",(DI72/DA72-1)*100)))</f>
        <v>9.4028859301795276</v>
      </c>
      <c r="DK72" s="134">
        <f>(DK63*4)/DK39*100</f>
        <v>6.9237777102945639</v>
      </c>
      <c r="DL72" s="98">
        <f>IF(ISERROR((DK72/DC72-1)*100),"NA",IF(((DK72/DC72-1)*100)&gt;100,"NM",IF(((DK72/DC72-1)*100)&lt;-50,"NM",(DK72/DC72-1)*100)))</f>
        <v>1.6710139710362837</v>
      </c>
      <c r="DM72" s="134">
        <f>(DM63*4)/DM39*100</f>
        <v>7.0034075719637778</v>
      </c>
      <c r="DN72" s="98">
        <f>IF(ISERROR((DM72/DE72-1)*100),"NA",IF(((DM72/DE72-1)*100)&gt;100,"NM",IF(((DM72/DE72-1)*100)&lt;-50,"NM",(DM72/DE72-1)*100)))</f>
        <v>-2.7794973233058018</v>
      </c>
      <c r="DO72" s="134">
        <f>(DO63*4)/DO39*100</f>
        <v>7.1122424151677928</v>
      </c>
      <c r="DP72" s="98">
        <f>IF(ISERROR((DO72/DG72-1)*100),"NA",IF(((DO72/DG72-1)*100)&gt;100,"NM",IF(((DO72/DG72-1)*100)&lt;-50,"NM",(DO72/DG72-1)*100)))</f>
        <v>0.7916314816180714</v>
      </c>
      <c r="DQ72" s="134">
        <f>(DQ63*4)/DQ39*100</f>
        <v>6.9260845280208523</v>
      </c>
      <c r="DR72" s="98">
        <f>IF(ISERROR((DQ72/DI72-1)*100),"NA",IF(((DQ72/DI72-1)*100)&gt;100,"NM",IF(((DQ72/DI72-1)*100)&lt;-50,"NM",(DQ72/DI72-1)*100)))</f>
        <v>-4.0840010224400425</v>
      </c>
      <c r="DS72" s="134">
        <f>(DS63*4)/DS39*100</f>
        <v>6.1742006615214988</v>
      </c>
      <c r="DT72" s="98">
        <f>IF(ISERROR((DS72/DK72-1)*100),"NA",IF(((DS72/DK72-1)*100)&gt;100,"NM",IF(((DS72/DK72-1)*100)&lt;-50,"NM",(DS72/DK72-1)*100)))</f>
        <v>-10.82612816495484</v>
      </c>
      <c r="DU72" s="134">
        <f>(DU63*4)/DU39*100</f>
        <v>6.2796367240871218</v>
      </c>
      <c r="DV72" s="98">
        <f>IF(ISERROR((DU72/DM72-1)*100),"NA",IF(((DU72/DM72-1)*100)&gt;100,"NM",IF(((DU72/DM72-1)*100)&lt;-50,"NM",(DU72/DM72-1)*100)))</f>
        <v>-10.334552722221602</v>
      </c>
      <c r="DW72" s="134">
        <f>(DW63*4)/DW39*100</f>
        <v>6.1782687975973403</v>
      </c>
      <c r="DX72" s="98">
        <f>IF(ISERROR((DW72/DO72-1)*100),"NA",IF(((DW72/DO72-1)*100)&gt;100,"NM",IF(((DW72/DO72-1)*100)&lt;-50,"NM",(DW72/DO72-1)*100)))</f>
        <v>-13.131914845571501</v>
      </c>
      <c r="DY72" s="134">
        <f>(DY63*4)/DY39*100</f>
        <v>5.7891774543700247</v>
      </c>
      <c r="DZ72" s="98">
        <f>IF(ISERROR((DY72/DQ72-1)*100),"NA",IF(((DY72/DQ72-1)*100)&gt;100,"NM",IF(((DY72/DQ72-1)*100)&lt;-50,"NM",(DY72/DQ72-1)*100)))</f>
        <v>-16.414859926286553</v>
      </c>
      <c r="EA72" s="134">
        <f>(EA63*4)/EA39*100</f>
        <v>5.8595525141008844</v>
      </c>
      <c r="EB72" s="98">
        <f>IF(ISERROR((EA72/DS72-1)*100),"NA",IF(((EA72/DS72-1)*100)&gt;100,"NM",IF(((EA72/DS72-1)*100)&lt;-50,"NM",(EA72/DS72-1)*100)))</f>
        <v>-5.0961762448303087</v>
      </c>
      <c r="EC72" s="134">
        <f>(EC63*4)/EC39*100</f>
        <v>5.9887577590111087</v>
      </c>
      <c r="ED72" s="98">
        <f>IF(ISERROR((EC72/DU72-1)*100),"NA",IF(((EC72/DU72-1)*100)&gt;100,"NM",IF(((EC72/DU72-1)*100)&lt;-50,"NM",(EC72/DU72-1)*100)))</f>
        <v>-4.6320986046895607</v>
      </c>
      <c r="EE72" s="134">
        <f>(EE63*4)/EE39*100</f>
        <v>6.557377049180328</v>
      </c>
      <c r="EF72" s="860">
        <f>IF(ISERROR((EE72/DW72-1)*100),"NA",IF(((EE72/DW72-1)*100)&gt;100,"NM",IF(((EE72/DW72-1)*100)&lt;-50,"NM",(EE72/DW72-1)*100)))</f>
        <v>6.1361566484517294</v>
      </c>
      <c r="EG72" s="134">
        <f>(EG63*4)/EG39*100</f>
        <v>5.839570495358493</v>
      </c>
      <c r="EH72" s="860">
        <f>IF(ISERROR((EG72/DY72-1)*100),"NA",IF(((EG72/DY72-1)*100)&gt;100,"NM",IF(((EG72/DY72-1)*100)&lt;-50,"NM",(EG72/DY72-1)*100)))</f>
        <v>0.87046979274107983</v>
      </c>
      <c r="EI72" s="134">
        <f>(EI63*4)/EI39*100</f>
        <v>6.0172600353645986</v>
      </c>
      <c r="EJ72" s="860">
        <f t="shared" si="334"/>
        <v>2.6914601564572482</v>
      </c>
      <c r="EK72" s="134">
        <f>(EK63*4)/EK39*100</f>
        <v>5.9046815689582459</v>
      </c>
      <c r="EL72" s="860">
        <f t="shared" si="335"/>
        <v>-1.4039003318568999</v>
      </c>
      <c r="EM72" s="134">
        <f>(EM63*4)/EM39*100</f>
        <v>6.0169424431953136</v>
      </c>
      <c r="EN72" s="860">
        <f t="shared" si="336"/>
        <v>-8.2416277412714738</v>
      </c>
      <c r="EO72" s="134">
        <f>(EO63*4)/EO39*100</f>
        <v>5.809961442983151</v>
      </c>
      <c r="EP72" s="98">
        <f t="shared" si="337"/>
        <v>-0.50704161203082299</v>
      </c>
      <c r="EQ72" s="877">
        <f>EO72</f>
        <v>5.809961442983151</v>
      </c>
      <c r="ER72" s="98">
        <f t="shared" si="338"/>
        <v>-3.4450662122479936</v>
      </c>
      <c r="ES72" s="877">
        <f t="shared" si="339"/>
        <v>5.809961442983151</v>
      </c>
      <c r="ET72" s="98">
        <f t="shared" si="340"/>
        <v>-1.6041529906210772</v>
      </c>
      <c r="EU72" s="877">
        <f t="shared" si="341"/>
        <v>5.809961442983151</v>
      </c>
      <c r="EV72" s="98">
        <f t="shared" si="342"/>
        <v>-3.4399697548418762</v>
      </c>
      <c r="EW72" s="877">
        <f t="shared" si="343"/>
        <v>5.809961442983151</v>
      </c>
      <c r="EX72" s="98">
        <f t="shared" si="344"/>
        <v>0</v>
      </c>
      <c r="EY72" s="135"/>
      <c r="EZ72" s="594"/>
      <c r="FA72" s="405"/>
      <c r="FB72" s="94"/>
      <c r="FC72" s="92"/>
      <c r="FD72" s="94"/>
      <c r="FE72" s="92"/>
      <c r="FF72" s="95"/>
      <c r="FG72" s="92"/>
      <c r="FH72" s="95"/>
      <c r="FI72" s="92"/>
      <c r="FJ72" s="95"/>
      <c r="FK72" s="92"/>
      <c r="FL72" s="95"/>
      <c r="FM72" s="92"/>
      <c r="FN72" s="95"/>
      <c r="FO72" s="92"/>
      <c r="FP72" s="95"/>
      <c r="FQ72" s="92"/>
      <c r="FR72" s="96"/>
      <c r="FS72" s="97"/>
      <c r="FT72" s="96"/>
      <c r="FU72" s="97"/>
      <c r="FV72" s="134"/>
      <c r="FW72" s="98"/>
      <c r="FX72" s="489"/>
      <c r="FY72" s="98"/>
      <c r="FZ72" s="134"/>
      <c r="GA72" s="98"/>
      <c r="GB72" s="489"/>
      <c r="GC72" s="98"/>
      <c r="GD72" s="134">
        <f>(GD63)/GD39*100</f>
        <v>6.7540207051992205</v>
      </c>
      <c r="GE72" s="98" t="str">
        <f>IF(ISERROR((GD72/GB72-1)*100),"NA",IF(((GD72/GB72-1)*100)&gt;100,"NM",IF(((GD72/GB72-1)*100)&lt;-50,"NM",(GD72/GB72-1)*100)))</f>
        <v>NA</v>
      </c>
      <c r="GF72" s="134">
        <f>(GF63)/GF39*100</f>
        <v>7.0037735849056606</v>
      </c>
      <c r="GG72" s="98">
        <f>IF(ISERROR((GF72/GD72-1)*100),"NA",IF(((GF72/GD72-1)*100)&gt;100,"NM",IF(((GF72/GD72-1)*100)&lt;-50,"NM",(GF72/GD72-1)*100)))</f>
        <v>3.6978400068300221</v>
      </c>
      <c r="GH72" s="134">
        <f>(GH63)/GH39*100</f>
        <v>7.0007147425046083</v>
      </c>
      <c r="GI72" s="98">
        <f>IF(ISERROR((GH72/GF72-1)*100),"NA",IF(((GH72/GF72-1)*100)&gt;100,"NM",IF(((GH72/GF72-1)*100)&lt;-50,"NM",(GH72/GF72-1)*100)))</f>
        <v>-4.3674204540888883E-2</v>
      </c>
      <c r="GJ72" s="134">
        <f>(GJ63)/GJ39*100</f>
        <v>6.1220647174328215</v>
      </c>
      <c r="GK72" s="98">
        <f>IF(ISERROR((GJ72/GH72-1)*100),"NA",IF(((GJ72/GH72-1)*100)&gt;100,"NM",IF(((GJ72/GH72-1)*100)&lt;-50,"NM",(GJ72/GH72-1)*100)))</f>
        <v>-12.550861696122141</v>
      </c>
      <c r="GL72" s="134">
        <f>(GL63)/GL39*100</f>
        <v>6.0675413151661921</v>
      </c>
      <c r="GM72" s="98">
        <f>IF(ISERROR((GL72/GJ72-1)*100),"NA",IF(((GL72/GJ72-1)*100)&gt;100,"NM",IF(((GL72/GJ72-1)*100)&lt;-50,"NM",(GL72/GJ72-1)*100)))</f>
        <v>-0.89060480055644931</v>
      </c>
      <c r="GN72" s="134">
        <f>(GN63)/GN39*100</f>
        <v>5.9467174119885824</v>
      </c>
      <c r="GO72" s="98">
        <f>IF(ISERROR((GN72/GL72-1)*100),"NA",IF(((GN72/GL72-1)*100)&gt;100,"NM",IF(((GN72/GL72-1)*100)&lt;-50,"NM",(GN72/GL72-1)*100)))</f>
        <v>-1.9913157060109876</v>
      </c>
      <c r="GP72" s="134">
        <f>(GP63)/GP39*100</f>
        <v>5.8231563313846717</v>
      </c>
      <c r="GQ72" s="98">
        <f>IF(ISERROR((GP72/GN72-1)*100),"NA",IF(((GP72/GN72-1)*100)&gt;100,"NM",IF(((GP72/GN72-1)*100)&lt;-50,"NM",(GP72/GN72-1)*100)))</f>
        <v>-2.0778031314353629</v>
      </c>
      <c r="GR72" s="135">
        <f>GP72-0.1</f>
        <v>5.7231563313846721</v>
      </c>
      <c r="GS72" s="98">
        <f>IF(ISERROR((GR72/GP72-1)*100),"NA",IF(((GR72/GP72-1)*100)&gt;100,"NM",IF(((GR72/GP72-1)*100)&lt;-50,"NM",(GR72/GP72-1)*100)))</f>
        <v>-1.7172817336370771</v>
      </c>
      <c r="GT72" s="135">
        <f>GR72-0.1</f>
        <v>5.6231563313846724</v>
      </c>
      <c r="GU72" s="98">
        <f>IF(ISERROR((GT72/GR72-1)*100),"NA",IF(((GT72/GR72-1)*100)&gt;100,"NM",IF(((GT72/GR72-1)*100)&lt;-50,"NM",(GT72/GR72-1)*100)))</f>
        <v>-1.747287584153856</v>
      </c>
      <c r="GV72" s="135">
        <f>GT72-0.1</f>
        <v>5.5231563313846728</v>
      </c>
      <c r="GW72" s="98">
        <f>IF(ISERROR((GV72/GT72-1)*100),"NA",IF(((GV72/GT72-1)*100)&gt;100,"NM",IF(((GV72/GT72-1)*100)&lt;-50,"NM",(GV72/GT72-1)*100)))</f>
        <v>-1.7783606591527112</v>
      </c>
      <c r="GX72" s="135">
        <f>GV72-0.1</f>
        <v>5.4231563313846731</v>
      </c>
      <c r="GY72" s="98">
        <f>IF(ISERROR((GX72/GV72-1)*100),"NA",IF(((GX72/GV72-1)*100)&gt;100,"NM",IF(((GX72/GV72-1)*100)&lt;-50,"NM",(GX72/GV72-1)*100)))</f>
        <v>-1.8105589268180178</v>
      </c>
      <c r="GZ72" s="98">
        <f>IF(ISERROR(((GX72/GN72)^0.2-1)*100),"NA",IF((((GX72/GN72)^0.2-1)*100)&gt;100,"NM",IF((((GX72/GN72)^0.2-1)*100)&lt;-50,"NM",((GX72/GN72)^0.2-1)*100)))</f>
        <v>-1.8263439931445413</v>
      </c>
      <c r="HA72" s="98"/>
      <c r="HB72" s="10"/>
      <c r="HC72"/>
      <c r="HD72"/>
      <c r="HE72"/>
      <c r="HF72"/>
      <c r="HG72"/>
      <c r="HH72"/>
      <c r="HI72" s="10"/>
    </row>
    <row r="73" spans="2:217" s="2" customFormat="1" ht="12.75" customHeight="1" x14ac:dyDescent="0.2">
      <c r="B73" s="102" t="s">
        <v>158</v>
      </c>
      <c r="C73" s="94"/>
      <c r="D73" s="92"/>
      <c r="E73" s="94"/>
      <c r="F73" s="92"/>
      <c r="G73" s="94"/>
      <c r="H73" s="92"/>
      <c r="I73" s="94"/>
      <c r="J73" s="98"/>
      <c r="K73" s="94"/>
      <c r="L73" s="98"/>
      <c r="M73" s="94"/>
      <c r="N73" s="98"/>
      <c r="O73" s="94"/>
      <c r="P73" s="98"/>
      <c r="Q73" s="94"/>
      <c r="R73" s="98"/>
      <c r="S73" s="94"/>
      <c r="T73" s="98"/>
      <c r="U73" s="94"/>
      <c r="V73" s="98"/>
      <c r="W73" s="94"/>
      <c r="X73" s="98"/>
      <c r="Y73" s="94"/>
      <c r="Z73" s="98"/>
      <c r="AA73" s="94"/>
      <c r="AB73" s="98"/>
      <c r="AC73" s="94"/>
      <c r="AD73" s="98"/>
      <c r="AE73" s="94"/>
      <c r="AF73" s="98"/>
      <c r="AG73" s="94"/>
      <c r="AH73" s="98"/>
      <c r="AI73" s="94"/>
      <c r="AJ73" s="98"/>
      <c r="AK73" s="94"/>
      <c r="AL73" s="98"/>
      <c r="AM73" s="94"/>
      <c r="AN73" s="98"/>
      <c r="AO73" s="94"/>
      <c r="AP73" s="98"/>
      <c r="AQ73" s="94"/>
      <c r="AR73" s="98"/>
      <c r="AS73" s="94"/>
      <c r="AT73" s="98"/>
      <c r="AU73" s="94"/>
      <c r="AV73" s="98"/>
      <c r="AW73" s="94"/>
      <c r="AX73" s="98"/>
      <c r="AY73" s="134"/>
      <c r="AZ73" s="98"/>
      <c r="BA73" s="134"/>
      <c r="BB73" s="98"/>
      <c r="BC73" s="134"/>
      <c r="BD73" s="98"/>
      <c r="BE73" s="134"/>
      <c r="BF73" s="98"/>
      <c r="BG73" s="134"/>
      <c r="BH73" s="98"/>
      <c r="BI73" s="134"/>
      <c r="BJ73" s="98"/>
      <c r="BK73" s="134"/>
      <c r="BL73" s="98"/>
      <c r="BM73" s="134"/>
      <c r="BN73" s="98"/>
      <c r="BO73" s="134"/>
      <c r="BP73" s="98"/>
      <c r="BQ73" s="134"/>
      <c r="BR73" s="98"/>
      <c r="BS73" s="134"/>
      <c r="BT73" s="98"/>
      <c r="BU73" s="134"/>
      <c r="BV73" s="98"/>
      <c r="BW73" s="134"/>
      <c r="BX73" s="98"/>
      <c r="BY73" s="134"/>
      <c r="BZ73" s="98"/>
      <c r="CA73" s="134"/>
      <c r="CB73" s="98"/>
      <c r="CC73" s="134"/>
      <c r="CD73" s="98"/>
      <c r="CE73" s="134"/>
      <c r="CF73" s="98"/>
      <c r="CG73" s="134"/>
      <c r="CH73" s="98"/>
      <c r="CI73" s="134"/>
      <c r="CJ73" s="98"/>
      <c r="CK73" s="134"/>
      <c r="CL73" s="98"/>
      <c r="CM73" s="134"/>
      <c r="CN73" s="98"/>
      <c r="CO73" s="134"/>
      <c r="CP73" s="98"/>
      <c r="CQ73" s="489">
        <f>(CQ64*4)/CQ39*100</f>
        <v>0.72579531783129203</v>
      </c>
      <c r="CR73" s="98" t="str">
        <f>IF(ISERROR((CQ73/CI73-1)*100),"NA",IF(((CQ73/CI73-1)*100)&gt;100,"NM",IF(((CQ73/CI73-1)*100)&lt;-50,"NM",(CQ73/CI73-1)*100)))</f>
        <v>NA</v>
      </c>
      <c r="CS73" s="134">
        <f>(CS64*4)/CS39*100</f>
        <v>0.69080561279560404</v>
      </c>
      <c r="CT73" s="98" t="str">
        <f>IF(ISERROR((CS73/CK73-1)*100),"NA",IF(((CS73/CK73-1)*100)&gt;100,"NM",IF(((CS73/CK73-1)*100)&lt;-50,"NM",(CS73/CK73-1)*100)))</f>
        <v>NA</v>
      </c>
      <c r="CU73" s="134">
        <f>(CU64*4)/CU39*100</f>
        <v>0.65569931502839407</v>
      </c>
      <c r="CV73" s="98" t="str">
        <f>IF(ISERROR((CU73/CM73-1)*100),"NA",IF(((CU73/CM73-1)*100)&gt;100,"NM",IF(((CU73/CM73-1)*100)&lt;-50,"NM",(CU73/CM73-1)*100)))</f>
        <v>NA</v>
      </c>
      <c r="CW73" s="134">
        <f>(CW64*4)/CW39*100</f>
        <v>0.6577060589258743</v>
      </c>
      <c r="CX73" s="98" t="str">
        <f>IF(ISERROR((CW73/CO73-1)*100),"NA",IF(((CW73/CO73-1)*100)&gt;100,"NM",IF(((CW73/CO73-1)*100)&lt;-50,"NM",(CW73/CO73-1)*100)))</f>
        <v>NA</v>
      </c>
      <c r="CY73" s="134">
        <f>(CY64*4)/CY39*100</f>
        <v>0.62728698379508629</v>
      </c>
      <c r="CZ73" s="98">
        <f>IF(ISERROR((CY73/CQ73-1)*100),"NA",IF(((CY73/CQ73-1)*100)&gt;100,"NM",IF(((CY73/CQ73-1)*100)&lt;-50,"NM",(CY73/CQ73-1)*100)))</f>
        <v>-13.572467556080813</v>
      </c>
      <c r="DA73" s="134">
        <f>(DA64*4)/DA39*100</f>
        <v>0.59596975453495737</v>
      </c>
      <c r="DB73" s="98">
        <f>IF(ISERROR((DA73/CS73-1)*100),"NA",IF(((DA73/CS73-1)*100)&gt;100,"NM",IF(((DA73/CS73-1)*100)&lt;-50,"NM",(DA73/CS73-1)*100)))</f>
        <v>-13.728298743384237</v>
      </c>
      <c r="DC73" s="134">
        <f>(DC64*4)/DC39*100</f>
        <v>0.58628983764281417</v>
      </c>
      <c r="DD73" s="98">
        <f>IF(ISERROR((DC73/CU73-1)*100),"NA",IF(((DC73/CU73-1)*100)&gt;100,"NM",IF(((DC73/CU73-1)*100)&lt;-50,"NM",(DC73/CU73-1)*100)))</f>
        <v>-10.585565028777587</v>
      </c>
      <c r="DE73" s="134">
        <f>(DE64*4)/DE39*100</f>
        <v>0.59521538402838714</v>
      </c>
      <c r="DF73" s="98">
        <f>IF(ISERROR((DE73/CW73-1)*100),"NA",IF(((DE73/CW73-1)*100)&gt;100,"NM",IF(((DE73/CW73-1)*100)&lt;-50,"NM",(DE73/CW73-1)*100)))</f>
        <v>-9.5013074684978776</v>
      </c>
      <c r="DG73" s="134">
        <f>(DG64*4)/DG39*100</f>
        <v>0.58418847765094739</v>
      </c>
      <c r="DH73" s="98">
        <f>IF(ISERROR((DG73/CY73-1)*100),"NA",IF(((DG73/CY73-1)*100)&gt;100,"NM",IF(((DG73/CY73-1)*100)&lt;-50,"NM",(DG73/CY73-1)*100)))</f>
        <v>-6.8706201878114719</v>
      </c>
      <c r="DI73" s="134">
        <f>(DI64*4)/DI39*100</f>
        <v>0.5966495831102272</v>
      </c>
      <c r="DJ73" s="98">
        <f>IF(ISERROR((DI73/DA73-1)*100),"NA",IF(((DI73/DA73-1)*100)&gt;100,"NM",IF(((DI73/DA73-1)*100)&lt;-50,"NM",(DI73/DA73-1)*100)))</f>
        <v>0.11407098600169086</v>
      </c>
      <c r="DK73" s="134">
        <f>(DK64*4)/DK39*100</f>
        <v>0.60734892195566359</v>
      </c>
      <c r="DL73" s="98">
        <f>IF(ISERROR((DK73/DC73-1)*100),"NA",IF(((DK73/DC73-1)*100)&gt;100,"NM",IF(((DK73/DC73-1)*100)&lt;-50,"NM",(DK73/DC73-1)*100)))</f>
        <v>3.5919238166429279</v>
      </c>
      <c r="DM73" s="134">
        <f>(DM64*4)/DM39*100</f>
        <v>0.58738257055180076</v>
      </c>
      <c r="DN73" s="98">
        <f>IF(ISERROR((DM73/DE73-1)*100),"NA",IF(((DM73/DE73-1)*100)&gt;100,"NM",IF(((DM73/DE73-1)*100)&lt;-50,"NM",(DM73/DE73-1)*100)))</f>
        <v>-1.3159628744093044</v>
      </c>
      <c r="DO73" s="134">
        <f>(DO64*4)/DO39*100</f>
        <v>0.56897939321342339</v>
      </c>
      <c r="DP73" s="98">
        <f>IF(ISERROR((DO73/DG73-1)*100),"NA",IF(((DO73/DG73-1)*100)&gt;100,"NM",IF(((DO73/DG73-1)*100)&lt;-50,"NM",(DO73/DG73-1)*100)))</f>
        <v>-2.6034550524995814</v>
      </c>
      <c r="DQ73" s="134">
        <f>(DQ64*4)/DQ39*100</f>
        <v>0.5808974120275554</v>
      </c>
      <c r="DR73" s="98">
        <f>IF(ISERROR((DQ73/DI73-1)*100),"NA",IF(((DQ73/DI73-1)*100)&gt;100,"NM",IF(((DQ73/DI73-1)*100)&lt;-50,"NM",(DQ73/DI73-1)*100)))</f>
        <v>-2.6401042636380545</v>
      </c>
      <c r="DS73" s="134">
        <f>(DS64*4)/DS39*100</f>
        <v>0.73143840589453302</v>
      </c>
      <c r="DT73" s="98">
        <f>IF(ISERROR((DS73/DK73-1)*100),"NA",IF(((DS73/DK73-1)*100)&gt;100,"NM",IF(((DS73/DK73-1)*100)&lt;-50,"NM",(DS73/DK73-1)*100)))</f>
        <v>20.431333530534857</v>
      </c>
      <c r="DU73" s="134">
        <f>(DU64*4)/DU39*100</f>
        <v>0.75012725373054356</v>
      </c>
      <c r="DV73" s="98">
        <f>IF(ISERROR((DU73/DM73-1)*100),"NA",IF(((DU73/DM73-1)*100)&gt;100,"NM",IF(((DU73/DM73-1)*100)&lt;-50,"NM",(DU73/DM73-1)*100)))</f>
        <v>27.706760693606668</v>
      </c>
      <c r="DW73" s="134">
        <f>(DW64*4)/DW39*100</f>
        <v>0.77228359969966753</v>
      </c>
      <c r="DX73" s="98">
        <f>IF(ISERROR((DW73/DO73-1)*100),"NA",IF(((DW73/DO73-1)*100)&gt;100,"NM",IF(((DW73/DO73-1)*100)&lt;-50,"NM",(DW73/DO73-1)*100)))</f>
        <v>35.731383053794531</v>
      </c>
      <c r="DY73" s="134">
        <f>(DY64*4)/DY39*100</f>
        <v>0.72900753129104012</v>
      </c>
      <c r="DZ73" s="98">
        <f>IF(ISERROR((DY73/DQ73-1)*100),"NA",IF(((DY73/DQ73-1)*100)&gt;100,"NM",IF(((DY73/DQ73-1)*100)&lt;-50,"NM",(DY73/DQ73-1)*100)))</f>
        <v>25.496777261672321</v>
      </c>
      <c r="EA73" s="134">
        <f>(EA64*4)/EA39*100</f>
        <v>0.72709775722419745</v>
      </c>
      <c r="EB73" s="98">
        <f>IF(ISERROR((EA73/DS73-1)*100),"NA",IF(((EA73/DS73-1)*100)&gt;100,"NM",IF(((EA73/DS73-1)*100)&lt;-50,"NM",(EA73/DS73-1)*100)))</f>
        <v>-0.59344008126385184</v>
      </c>
      <c r="EC73" s="134">
        <f>(EC64*4)/EC39*100</f>
        <v>0.72461837653515193</v>
      </c>
      <c r="ED73" s="98">
        <f>IF(ISERROR((EC73/DU73-1)*100),"NA",IF(((EC73/DU73-1)*100)&gt;100,"NM",IF(((EC73/DU73-1)*100)&lt;-50,"NM",(EC73/DU73-1)*100)))</f>
        <v>-3.4006066395442236</v>
      </c>
      <c r="EE73" s="134">
        <f>(EE64*4)/EE39*100</f>
        <v>0.74274497320812771</v>
      </c>
      <c r="EF73" s="860">
        <f>IF(ISERROR((EE73/DW73-1)*100),"NA",IF(((EE73/DW73-1)*100)&gt;100,"NM",IF(((EE73/DW73-1)*100)&lt;-50,"NM",(EE73/DW73-1)*100)))</f>
        <v>-3.824841871953133</v>
      </c>
      <c r="EG73" s="134">
        <f>(EG64*4)/EG39*100</f>
        <v>0.71936737986300292</v>
      </c>
      <c r="EH73" s="860">
        <f>IF(ISERROR((EG73/DY73-1)*100),"NA",IF(((EG73/DY73-1)*100)&gt;100,"NM",IF(((EG73/DY73-1)*100)&lt;-50,"NM",(EG73/DY73-1)*100)))</f>
        <v>-1.3223665071010915</v>
      </c>
      <c r="EI73" s="134">
        <f>(EI64*4)/EI39*100</f>
        <v>0.71784856562244337</v>
      </c>
      <c r="EJ73" s="860">
        <f t="shared" si="334"/>
        <v>-1.2720698846691803</v>
      </c>
      <c r="EK73" s="134">
        <f>(EK64*4)/EK39*100</f>
        <v>0.71699704765921546</v>
      </c>
      <c r="EL73" s="860">
        <f t="shared" si="335"/>
        <v>-1.0517714044706916</v>
      </c>
      <c r="EM73" s="134">
        <f>(EM64*4)/EM39*100</f>
        <v>0.71781067743382676</v>
      </c>
      <c r="EN73" s="860">
        <f t="shared" si="336"/>
        <v>-3.3570467217842737</v>
      </c>
      <c r="EO73" s="134">
        <f>(EO64*4)/EO39*100</f>
        <v>0.71832250567791689</v>
      </c>
      <c r="EP73" s="98">
        <f t="shared" si="337"/>
        <v>-0.14524903607459061</v>
      </c>
      <c r="EQ73" s="877">
        <v>0.73</v>
      </c>
      <c r="ER73" s="98">
        <f t="shared" si="338"/>
        <v>1.6927573529411655</v>
      </c>
      <c r="ES73" s="877">
        <f t="shared" si="339"/>
        <v>0.73</v>
      </c>
      <c r="ET73" s="98">
        <f t="shared" si="340"/>
        <v>1.8135294117647138</v>
      </c>
      <c r="EU73" s="877">
        <f t="shared" si="341"/>
        <v>0.73</v>
      </c>
      <c r="EV73" s="98">
        <f t="shared" si="342"/>
        <v>1.698125000000017</v>
      </c>
      <c r="EW73" s="877">
        <f t="shared" si="343"/>
        <v>0.73</v>
      </c>
      <c r="EX73" s="98">
        <f t="shared" si="344"/>
        <v>1.6256617647058658</v>
      </c>
      <c r="EY73" s="135"/>
      <c r="EZ73" s="594"/>
      <c r="FA73" s="405"/>
      <c r="FB73" s="94"/>
      <c r="FC73" s="92"/>
      <c r="FD73" s="94"/>
      <c r="FE73" s="92"/>
      <c r="FF73" s="95"/>
      <c r="FG73" s="92"/>
      <c r="FH73" s="95"/>
      <c r="FI73" s="92"/>
      <c r="FJ73" s="95"/>
      <c r="FK73" s="92"/>
      <c r="FL73" s="95"/>
      <c r="FM73" s="92"/>
      <c r="FN73" s="95"/>
      <c r="FO73" s="92"/>
      <c r="FP73" s="95"/>
      <c r="FQ73" s="92"/>
      <c r="FR73" s="96"/>
      <c r="FS73" s="97"/>
      <c r="FT73" s="96"/>
      <c r="FU73" s="97"/>
      <c r="FV73" s="134"/>
      <c r="FW73" s="98"/>
      <c r="FX73" s="489"/>
      <c r="FY73" s="98"/>
      <c r="FZ73" s="134"/>
      <c r="GA73" s="98"/>
      <c r="GB73" s="489"/>
      <c r="GC73" s="98"/>
      <c r="GD73" s="134">
        <f>(GD64)/GD39*100</f>
        <v>0.6379646254345418</v>
      </c>
      <c r="GE73" s="98" t="str">
        <f>IF(ISERROR((GD73/GB73-1)*100),"NA",IF(((GD73/GB73-1)*100)&gt;100,"NM",IF(((GD73/GB73-1)*100)&lt;-50,"NM",(GD73/GB73-1)*100)))</f>
        <v>NA</v>
      </c>
      <c r="GF73" s="134">
        <f>(GF64)/GF39*100</f>
        <v>0.58490566037735847</v>
      </c>
      <c r="GG73" s="98">
        <f>IF(ISERROR((GF73/GD73-1)*100),"NA",IF(((GF73/GD73-1)*100)&gt;100,"NM",IF(((GF73/GD73-1)*100)&lt;-50,"NM",(GF73/GD73-1)*100)))</f>
        <v>-8.3169133431250764</v>
      </c>
      <c r="GH73" s="134">
        <f>(GH64)/GH39*100</f>
        <v>0.58684121430989722</v>
      </c>
      <c r="GI73" s="98">
        <f>IF(ISERROR((GH73/GF73-1)*100),"NA",IF(((GH73/GF73-1)*100)&gt;100,"NM",IF(((GH73/GF73-1)*100)&lt;-50,"NM",(GH73/GF73-1)*100)))</f>
        <v>0.33091728524050623</v>
      </c>
      <c r="GJ73" s="134">
        <f>(GJ64)/GJ39*100</f>
        <v>0.74777416144390352</v>
      </c>
      <c r="GK73" s="98">
        <f>IF(ISERROR((GJ73/GH73-1)*100),"NA",IF(((GJ73/GH73-1)*100)&gt;100,"NM",IF(((GJ73/GH73-1)*100)&lt;-50,"NM",(GJ73/GH73-1)*100)))</f>
        <v>27.423593164508265</v>
      </c>
      <c r="GL73" s="134">
        <f>(GL64)/GL39*100</f>
        <v>0.72916943875242834</v>
      </c>
      <c r="GM73" s="98">
        <f>IF(ISERROR((GL73/GJ73-1)*100),"NA",IF(((GL73/GJ73-1)*100)&gt;100,"NM",IF(((GL73/GJ73-1)*100)&lt;-50,"NM",(GL73/GJ73-1)*100)))</f>
        <v>-2.4880135809387527</v>
      </c>
      <c r="GN73" s="134">
        <f>(GN64)/GN39*100</f>
        <v>0.71889206047150855</v>
      </c>
      <c r="GO73" s="98">
        <f>IF(ISERROR((GN73/GL73-1)*100),"NA",IF(((GN73/GL73-1)*100)&gt;100,"NM",IF(((GN73/GL73-1)*100)&lt;-50,"NM",(GN73/GL73-1)*100)))</f>
        <v>-1.4094636630004542</v>
      </c>
      <c r="GP73" s="134">
        <f>(GP64)/GP39*100</f>
        <v>0.73165788854670344</v>
      </c>
      <c r="GQ73" s="98">
        <f>IF(ISERROR((GP73/GN73-1)*100),"NA",IF(((GP73/GN73-1)*100)&gt;100,"NM",IF(((GP73/GN73-1)*100)&lt;-50,"NM",(GP73/GN73-1)*100)))</f>
        <v>1.775764231812782</v>
      </c>
      <c r="GR73" s="135">
        <f>GP73</f>
        <v>0.73165788854670344</v>
      </c>
      <c r="GS73" s="98">
        <f>IF(ISERROR((GR73/GP73-1)*100),"NA",IF(((GR73/GP73-1)*100)&gt;100,"NM",IF(((GR73/GP73-1)*100)&lt;-50,"NM",(GR73/GP73-1)*100)))</f>
        <v>0</v>
      </c>
      <c r="GT73" s="135">
        <f>GR73</f>
        <v>0.73165788854670344</v>
      </c>
      <c r="GU73" s="98">
        <f>IF(ISERROR((GT73/GR73-1)*100),"NA",IF(((GT73/GR73-1)*100)&gt;100,"NM",IF(((GT73/GR73-1)*100)&lt;-50,"NM",(GT73/GR73-1)*100)))</f>
        <v>0</v>
      </c>
      <c r="GV73" s="135">
        <f>GT73</f>
        <v>0.73165788854670344</v>
      </c>
      <c r="GW73" s="98">
        <f>IF(ISERROR((GV73/GT73-1)*100),"NA",IF(((GV73/GT73-1)*100)&gt;100,"NM",IF(((GV73/GT73-1)*100)&lt;-50,"NM",(GV73/GT73-1)*100)))</f>
        <v>0</v>
      </c>
      <c r="GX73" s="135">
        <f>GV73</f>
        <v>0.73165788854670344</v>
      </c>
      <c r="GY73" s="98">
        <f>IF(ISERROR((GX73/GV73-1)*100),"NA",IF(((GX73/GV73-1)*100)&gt;100,"NM",IF(((GX73/GV73-1)*100)&lt;-50,"NM",(GX73/GV73-1)*100)))</f>
        <v>0</v>
      </c>
      <c r="GZ73" s="98">
        <f>IF(ISERROR(((GX73/GN73)^0.2-1)*100),"NA",IF((((GX73/GN73)^0.2-1)*100)&gt;100,"NM",IF((((GX73/GN73)^0.2-1)*100)&lt;-50,"NM",((GX73/GN73)^0.2-1)*100)))</f>
        <v>0.35265672383211211</v>
      </c>
      <c r="HA73" s="98"/>
      <c r="HB73" s="10"/>
      <c r="HC73"/>
      <c r="HD73"/>
      <c r="HE73"/>
      <c r="HF73"/>
      <c r="HG73"/>
      <c r="HH73"/>
      <c r="HI73" s="10"/>
    </row>
    <row r="74" spans="2:217" s="2" customFormat="1" ht="12.75" customHeight="1" x14ac:dyDescent="0.2">
      <c r="B74" s="102" t="s">
        <v>603</v>
      </c>
      <c r="C74" s="94"/>
      <c r="D74" s="92"/>
      <c r="E74" s="94"/>
      <c r="F74" s="92"/>
      <c r="G74" s="94"/>
      <c r="H74" s="92"/>
      <c r="I74" s="94"/>
      <c r="J74" s="98"/>
      <c r="K74" s="94"/>
      <c r="L74" s="98"/>
      <c r="M74" s="94"/>
      <c r="N74" s="98"/>
      <c r="O74" s="94"/>
      <c r="P74" s="98"/>
      <c r="Q74" s="94"/>
      <c r="R74" s="98"/>
      <c r="S74" s="94"/>
      <c r="T74" s="98"/>
      <c r="U74" s="94"/>
      <c r="V74" s="98"/>
      <c r="W74" s="94"/>
      <c r="X74" s="98"/>
      <c r="Y74" s="94"/>
      <c r="Z74" s="98"/>
      <c r="AA74" s="94"/>
      <c r="AB74" s="98"/>
      <c r="AC74" s="94"/>
      <c r="AD74" s="98"/>
      <c r="AE74" s="94"/>
      <c r="AF74" s="98"/>
      <c r="AG74" s="94"/>
      <c r="AH74" s="98"/>
      <c r="AI74" s="94"/>
      <c r="AJ74" s="98"/>
      <c r="AK74" s="94"/>
      <c r="AL74" s="98"/>
      <c r="AM74" s="94"/>
      <c r="AN74" s="98"/>
      <c r="AO74" s="94"/>
      <c r="AP74" s="98"/>
      <c r="AQ74" s="94"/>
      <c r="AR74" s="98"/>
      <c r="AS74" s="94"/>
      <c r="AT74" s="98"/>
      <c r="AU74" s="94"/>
      <c r="AV74" s="98"/>
      <c r="AW74" s="94"/>
      <c r="AX74" s="98"/>
      <c r="AY74" s="134"/>
      <c r="AZ74" s="98"/>
      <c r="BA74" s="134"/>
      <c r="BB74" s="98"/>
      <c r="BC74" s="134"/>
      <c r="BD74" s="98"/>
      <c r="BE74" s="134"/>
      <c r="BF74" s="98"/>
      <c r="BG74" s="134"/>
      <c r="BH74" s="98"/>
      <c r="BI74" s="134"/>
      <c r="BJ74" s="98"/>
      <c r="BK74" s="134"/>
      <c r="BL74" s="98"/>
      <c r="BM74" s="134"/>
      <c r="BN74" s="98"/>
      <c r="BO74" s="134"/>
      <c r="BP74" s="98"/>
      <c r="BQ74" s="134"/>
      <c r="BR74" s="98"/>
      <c r="BS74" s="134"/>
      <c r="BT74" s="98"/>
      <c r="BU74" s="134"/>
      <c r="BV74" s="98"/>
      <c r="BW74" s="134"/>
      <c r="BX74" s="98"/>
      <c r="BY74" s="134"/>
      <c r="BZ74" s="98"/>
      <c r="CA74" s="134"/>
      <c r="CB74" s="98"/>
      <c r="CC74" s="134"/>
      <c r="CD74" s="98"/>
      <c r="CE74" s="134"/>
      <c r="CF74" s="98"/>
      <c r="CG74" s="134"/>
      <c r="CH74" s="98"/>
      <c r="CI74" s="134"/>
      <c r="CJ74" s="98"/>
      <c r="CK74" s="134"/>
      <c r="CL74" s="98"/>
      <c r="CM74" s="134"/>
      <c r="CN74" s="98"/>
      <c r="CO74" s="134"/>
      <c r="CP74" s="98"/>
      <c r="CQ74" s="489">
        <f>CQ72-CQ73</f>
        <v>6.342819951482161</v>
      </c>
      <c r="CR74" s="98" t="str">
        <f>IF(ISERROR((CQ74/CI74-1)*100),"NA",IF(((CQ74/CI74-1)*100)&gt;100,"NM",IF(((CQ74/CI74-1)*100)&lt;-50,"NM",(CQ74/CI74-1)*100)))</f>
        <v>NA</v>
      </c>
      <c r="CS74" s="134">
        <f>CS72-CS73</f>
        <v>6.1858502600333631</v>
      </c>
      <c r="CT74" s="98" t="str">
        <f>IF(ISERROR((CS74/CK74-1)*100),"NA",IF(((CS74/CK74-1)*100)&gt;100,"NM",IF(((CS74/CK74-1)*100)&lt;-50,"NM",(CS74/CK74-1)*100)))</f>
        <v>NA</v>
      </c>
      <c r="CU74" s="134">
        <f>CU72-CU73</f>
        <v>6.1510840505044593</v>
      </c>
      <c r="CV74" s="98" t="str">
        <f>IF(ISERROR((CU74/CM74-1)*100),"NA",IF(((CU74/CM74-1)*100)&gt;100,"NM",IF(((CU74/CM74-1)*100)&lt;-50,"NM",(CU74/CM74-1)*100)))</f>
        <v>NA</v>
      </c>
      <c r="CW74" s="134">
        <f>CW72-CW73</f>
        <v>6.0570139380150279</v>
      </c>
      <c r="CX74" s="98" t="str">
        <f>IF(ISERROR((CW74/CO74-1)*100),"NA",IF(((CW74/CO74-1)*100)&gt;100,"NM",IF(((CW74/CO74-1)*100)&lt;-50,"NM",(CW74/CO74-1)*100)))</f>
        <v>NA</v>
      </c>
      <c r="CY74" s="134">
        <f>CY72-CY73</f>
        <v>6.0936449854379804</v>
      </c>
      <c r="CZ74" s="98">
        <f>IF(ISERROR((CY74/CQ74-1)*100),"NA",IF(((CY74/CQ74-1)*100)&gt;100,"NM",IF(((CY74/CQ74-1)*100)&lt;-50,"NM",(CY74/CQ74-1)*100)))</f>
        <v>-3.9284571838737792</v>
      </c>
      <c r="DA74" s="134">
        <f>DA72-DA73</f>
        <v>6.0043952769396958</v>
      </c>
      <c r="DB74" s="98">
        <f>IF(ISERROR((DA74/CS74-1)*100),"NA",IF(((DA74/CS74-1)*100)&gt;100,"NM",IF(((DA74/CS74-1)*100)&lt;-50,"NM",(DA74/CS74-1)*100)))</f>
        <v>-2.9333879008686004</v>
      </c>
      <c r="DC74" s="134">
        <f>DC72-DC73</f>
        <v>6.2236921226698732</v>
      </c>
      <c r="DD74" s="98">
        <f>IF(ISERROR((DC74/CU74-1)*100),"NA",IF(((DC74/CU74-1)*100)&gt;100,"NM",IF(((DC74/CU74-1)*100)&lt;-50,"NM",(DC74/CU74-1)*100)))</f>
        <v>1.1804109904734572</v>
      </c>
      <c r="DE74" s="134">
        <f>DE72-DE73</f>
        <v>6.6084169560074786</v>
      </c>
      <c r="DF74" s="98">
        <f>IF(ISERROR((DE74/CW74-1)*100),"NA",IF(((DE74/CW74-1)*100)&gt;100,"NM",IF(((DE74/CW74-1)*100)&lt;-50,"NM",(DE74/CW74-1)*100)))</f>
        <v>9.1035454703469512</v>
      </c>
      <c r="DG74" s="134">
        <f>DG72-DG73</f>
        <v>6.4721933971328651</v>
      </c>
      <c r="DH74" s="98">
        <f>IF(ISERROR((DG74/CY74-1)*100),"NA",IF(((DG74/CY74-1)*100)&gt;100,"NM",IF(((DG74/CY74-1)*100)&lt;-50,"NM",(DG74/CY74-1)*100)))</f>
        <v>6.2121835551546489</v>
      </c>
      <c r="DI74" s="134">
        <f>DI72-DI73</f>
        <v>6.6243402432494456</v>
      </c>
      <c r="DJ74" s="98">
        <f>IF(ISERROR((DI74/DA74-1)*100),"NA",IF(((DI74/DA74-1)*100)&gt;100,"NM",IF(((DI74/DA74-1)*100)&lt;-50,"NM",(DI74/DA74-1)*100)))</f>
        <v>10.324852674018526</v>
      </c>
      <c r="DK74" s="134">
        <f>DK72-DK73</f>
        <v>6.3164287883389001</v>
      </c>
      <c r="DL74" s="98">
        <f>IF(ISERROR((DK74/DC74-1)*100),"NA",IF(((DK74/DC74-1)*100)&gt;100,"NM",IF(((DK74/DC74-1)*100)&lt;-50,"NM",(DK74/DC74-1)*100)))</f>
        <v>1.4900586957255157</v>
      </c>
      <c r="DM74" s="134">
        <f>DM72-DM73</f>
        <v>6.4160250014119775</v>
      </c>
      <c r="DN74" s="98">
        <f>IF(ISERROR((DM74/DE74-1)*100),"NA",IF(((DM74/DE74-1)*100)&gt;100,"NM",IF(((DM74/DE74-1)*100)&lt;-50,"NM",(DM74/DE74-1)*100)))</f>
        <v>-2.9113168233218745</v>
      </c>
      <c r="DO74" s="134">
        <f>DO72-DO73</f>
        <v>6.5432630219543695</v>
      </c>
      <c r="DP74" s="98">
        <f>IF(ISERROR((DO74/DG74-1)*100),"NA",IF(((DO74/DG74-1)*100)&gt;100,"NM",IF(((DO74/DG74-1)*100)&lt;-50,"NM",(DO74/DG74-1)*100)))</f>
        <v>1.0980763469303545</v>
      </c>
      <c r="DQ74" s="134">
        <f>DQ72-DQ73</f>
        <v>6.3451871159932969</v>
      </c>
      <c r="DR74" s="98">
        <f>IF(ISERROR((DQ74/DI74-1)*100),"NA",IF(((DQ74/DI74-1)*100)&gt;100,"NM",IF(((DQ74/DI74-1)*100)&lt;-50,"NM",(DQ74/DI74-1)*100)))</f>
        <v>-4.2140517697686235</v>
      </c>
      <c r="DS74" s="134">
        <f>DS72-DS73</f>
        <v>5.4427622556269659</v>
      </c>
      <c r="DT74" s="98">
        <f>IF(ISERROR((DS74/DK74-1)*100),"NA",IF(((DS74/DK74-1)*100)&gt;100,"NM",IF(((DS74/DK74-1)*100)&lt;-50,"NM",(DS74/DK74-1)*100)))</f>
        <v>-13.831653327982686</v>
      </c>
      <c r="DU74" s="134">
        <f>DU72-DU73</f>
        <v>5.5295094703565786</v>
      </c>
      <c r="DV74" s="98">
        <f>IF(ISERROR((DU74/DM74-1)*100),"NA",IF(((DU74/DM74-1)*100)&gt;100,"NM",IF(((DU74/DM74-1)*100)&lt;-50,"NM",(DU74/DM74-1)*100)))</f>
        <v>-13.817208175783335</v>
      </c>
      <c r="DW74" s="134">
        <f>DW72-DW73</f>
        <v>5.4059851978976727</v>
      </c>
      <c r="DX74" s="98">
        <f>IF(ISERROR((DW74/DO74-1)*100),"NA",IF(((DW74/DO74-1)*100)&gt;100,"NM",IF(((DW74/DO74-1)*100)&lt;-50,"NM",(DW74/DO74-1)*100)))</f>
        <v>-17.380897271603335</v>
      </c>
      <c r="DY74" s="134">
        <f>DY72-DY73</f>
        <v>5.0601699230789849</v>
      </c>
      <c r="DZ74" s="98">
        <f>IF(ISERROR((DY74/DQ74-1)*100),"NA",IF(((DY74/DQ74-1)*100)&gt;100,"NM",IF(((DY74/DQ74-1)*100)&lt;-50,"NM",(DY74/DQ74-1)*100)))</f>
        <v>-20.251840795606725</v>
      </c>
      <c r="EA74" s="134">
        <f>EA72-EA73</f>
        <v>5.1324547568766867</v>
      </c>
      <c r="EB74" s="98">
        <f>IF(ISERROR((EA74/DS74-1)*100),"NA",IF(((EA74/DS74-1)*100)&gt;100,"NM",IF(((EA74/DS74-1)*100)&lt;-50,"NM",(EA74/DS74-1)*100)))</f>
        <v>-5.7012870336099919</v>
      </c>
      <c r="EC74" s="134">
        <f>EC72-EC73</f>
        <v>5.2641393824759568</v>
      </c>
      <c r="ED74" s="98">
        <f>IF(ISERROR((EC74/DU74-1)*100),"NA",IF(((EC74/DU74-1)*100)&gt;100,"NM",IF(((EC74/DU74-1)*100)&lt;-50,"NM",(EC74/DU74-1)*100)))</f>
        <v>-4.7991614681782817</v>
      </c>
      <c r="EE74" s="134">
        <f>EE72-EE73</f>
        <v>5.8146320759722006</v>
      </c>
      <c r="EF74" s="860">
        <f>IF(ISERROR((EE74/DW74-1)*100),"NA",IF(((EE74/DW74-1)*100)&gt;100,"NM",IF(((EE74/DW74-1)*100)&lt;-50,"NM",(EE74/DW74-1)*100)))</f>
        <v>7.5591564370810049</v>
      </c>
      <c r="EG74" s="134">
        <f>EG72-EG73</f>
        <v>5.1202031154954906</v>
      </c>
      <c r="EH74" s="860">
        <f>IF(ISERROR((EG74/DY74-1)*100),"NA",IF(((EG74/DY74-1)*100)&gt;100,"NM",IF(((EG74/DY74-1)*100)&lt;-50,"NM",(EG74/DY74-1)*100)))</f>
        <v>1.1863868867861393</v>
      </c>
      <c r="EI74" s="134">
        <f>EI72-EI73</f>
        <v>5.2994114697421555</v>
      </c>
      <c r="EJ74" s="860">
        <f t="shared" si="334"/>
        <v>3.2529602456168316</v>
      </c>
      <c r="EK74" s="134">
        <f>EK72-EK73</f>
        <v>5.1876845212990306</v>
      </c>
      <c r="EL74" s="860">
        <f t="shared" si="335"/>
        <v>-1.4523715202420462</v>
      </c>
      <c r="EM74" s="134">
        <f>EM72-EM73</f>
        <v>5.2991317657614871</v>
      </c>
      <c r="EN74" s="860">
        <f t="shared" si="336"/>
        <v>-8.865570572227865</v>
      </c>
      <c r="EO74" s="134">
        <f>EO72-EO73</f>
        <v>5.091638937305234</v>
      </c>
      <c r="EP74" s="98">
        <f t="shared" si="337"/>
        <v>-0.5578719739420368</v>
      </c>
      <c r="EQ74" s="1037">
        <f t="shared" ref="EQ74" si="346">EQ72-EQ73</f>
        <v>5.0799614429831514</v>
      </c>
      <c r="ER74" s="98">
        <f t="shared" si="338"/>
        <v>-4.14102637645688</v>
      </c>
      <c r="ES74" s="1037">
        <f t="shared" ref="ES74" si="347">ES72-ES73</f>
        <v>5.0799614429831514</v>
      </c>
      <c r="ET74" s="98">
        <f t="shared" si="340"/>
        <v>-2.0765155990808859</v>
      </c>
      <c r="EU74" s="1037">
        <f t="shared" ref="EU74" si="348">EU72-EU73</f>
        <v>5.0799614429831514</v>
      </c>
      <c r="EV74" s="98">
        <f t="shared" si="342"/>
        <v>-4.1359666539041218</v>
      </c>
      <c r="EW74" s="1037">
        <f t="shared" ref="EW74" si="349">EW72-EW73</f>
        <v>5.0799614429831514</v>
      </c>
      <c r="EX74" s="98">
        <f t="shared" si="344"/>
        <v>-0.2293464730290351</v>
      </c>
      <c r="EY74" s="134"/>
      <c r="EZ74" s="594"/>
      <c r="FA74" s="405"/>
      <c r="FB74" s="94"/>
      <c r="FC74" s="92"/>
      <c r="FD74" s="94"/>
      <c r="FE74" s="92"/>
      <c r="FF74" s="95"/>
      <c r="FG74" s="92"/>
      <c r="FH74" s="95"/>
      <c r="FI74" s="92"/>
      <c r="FJ74" s="95"/>
      <c r="FK74" s="92"/>
      <c r="FL74" s="95"/>
      <c r="FM74" s="92"/>
      <c r="FN74" s="95"/>
      <c r="FO74" s="92"/>
      <c r="FP74" s="95"/>
      <c r="FQ74" s="92"/>
      <c r="FR74" s="96"/>
      <c r="FS74" s="97"/>
      <c r="FT74" s="96"/>
      <c r="FU74" s="97"/>
      <c r="FV74" s="134"/>
      <c r="FW74" s="98"/>
      <c r="FX74" s="489"/>
      <c r="FY74" s="98"/>
      <c r="FZ74" s="134"/>
      <c r="GA74" s="98"/>
      <c r="GB74" s="489"/>
      <c r="GC74" s="98"/>
      <c r="GD74" s="134">
        <f>GD72-GD73</f>
        <v>6.1160560797646788</v>
      </c>
      <c r="GE74" s="98" t="str">
        <f>IF(ISERROR((GD74/GB74-1)*100),"NA",IF(((GD74/GB74-1)*100)&gt;100,"NM",IF(((GD74/GB74-1)*100)&lt;-50,"NM",(GD74/GB74-1)*100)))</f>
        <v>NA</v>
      </c>
      <c r="GF74" s="134">
        <f>GF72-GF73</f>
        <v>6.4188679245283025</v>
      </c>
      <c r="GG74" s="98">
        <f>IF(ISERROR((GF74/GD74-1)*100),"NA",IF(((GF74/GD74-1)*100)&gt;100,"NM",IF(((GF74/GD74-1)*100)&lt;-50,"NM",(GF74/GD74-1)*100)))</f>
        <v>4.951096602359395</v>
      </c>
      <c r="GH74" s="134">
        <f>GH72-GH73</f>
        <v>6.4138735281947108</v>
      </c>
      <c r="GI74" s="98">
        <f>IF(ISERROR((GH74/GF74-1)*100),"NA",IF(((GH74/GF74-1)*100)&gt;100,"NM",IF(((GH74/GF74-1)*100)&lt;-50,"NM",(GH74/GF74-1)*100)))</f>
        <v>-7.7808055755546057E-2</v>
      </c>
      <c r="GJ74" s="134">
        <f>GJ72-GJ73</f>
        <v>5.3742905559889182</v>
      </c>
      <c r="GK74" s="98">
        <f>IF(ISERROR((GJ74/GH74-1)*100),"NA",IF(((GJ74/GH74-1)*100)&gt;100,"NM",IF(((GJ74/GH74-1)*100)&lt;-50,"NM",(GJ74/GH74-1)*100)))</f>
        <v>-16.208348475159283</v>
      </c>
      <c r="GL74" s="134">
        <f>GL72-GL73</f>
        <v>5.3383718764137633</v>
      </c>
      <c r="GM74" s="98">
        <f>IF(ISERROR((GL74/GJ74-1)*100),"NA",IF(((GL74/GJ74-1)*100)&gt;100,"NM",IF(((GL74/GJ74-1)*100)&lt;-50,"NM",(GL74/GJ74-1)*100)))</f>
        <v>-0.6683427180007695</v>
      </c>
      <c r="GN74" s="134">
        <f>GN72-GN73</f>
        <v>5.2278253515170743</v>
      </c>
      <c r="GO74" s="98">
        <f>IF(ISERROR((GN74/GL74-1)*100),"NA",IF(((GN74/GL74-1)*100)&gt;100,"NM",IF(((GN74/GL74-1)*100)&lt;-50,"NM",(GN74/GL74-1)*100)))</f>
        <v>-2.0707910099914684</v>
      </c>
      <c r="GP74" s="134">
        <f>GP72-GP73</f>
        <v>5.0914984428379686</v>
      </c>
      <c r="GQ74" s="98">
        <f>IF(ISERROR((GP74/GN74-1)*100),"NA",IF(((GP74/GN74-1)*100)&gt;100,"NM",IF(((GP74/GN74-1)*100)&lt;-50,"NM",(GP74/GN74-1)*100)))</f>
        <v>-2.6077173492328853</v>
      </c>
      <c r="GR74" s="134">
        <f>GR72-GR73</f>
        <v>4.991498442837969</v>
      </c>
      <c r="GS74" s="98">
        <f>IF(ISERROR((GR74/GP74-1)*100),"NA",IF(((GR74/GP74-1)*100)&gt;100,"NM",IF(((GR74/GP74-1)*100)&lt;-50,"NM",(GR74/GP74-1)*100)))</f>
        <v>-1.9640583439766379</v>
      </c>
      <c r="GT74" s="134">
        <f>GT72-GT73</f>
        <v>4.8914984428379693</v>
      </c>
      <c r="GU74" s="98">
        <f>IF(ISERROR((GT74/GR74-1)*100),"NA",IF(((GT74/GR74-1)*100)&gt;100,"NM",IF(((GT74/GR74-1)*100)&lt;-50,"NM",(GT74/GR74-1)*100)))</f>
        <v>-2.0034064148308883</v>
      </c>
      <c r="GV74" s="134">
        <f>GV72-GV73</f>
        <v>4.7914984428379697</v>
      </c>
      <c r="GW74" s="98">
        <f>IF(ISERROR((GV74/GT74-1)*100),"NA",IF(((GV74/GT74-1)*100)&gt;100,"NM",IF(((GV74/GT74-1)*100)&lt;-50,"NM",(GV74/GT74-1)*100)))</f>
        <v>-2.0443633207410605</v>
      </c>
      <c r="GX74" s="134">
        <f>GX72-GX73</f>
        <v>4.69149844283797</v>
      </c>
      <c r="GY74" s="98">
        <f>IF(ISERROR((GX74/GV74-1)*100),"NA",IF(((GX74/GV74-1)*100)&gt;100,"NM",IF(((GX74/GV74-1)*100)&lt;-50,"NM",(GX74/GV74-1)*100)))</f>
        <v>-2.0870297923079484</v>
      </c>
      <c r="GZ74" s="98">
        <f>IF(ISERROR(((GX74/GN74)^0.2-1)*100),"NA",IF((((GX74/GN74)^0.2-1)*100)&gt;100,"NM",IF((((GX74/GN74)^0.2-1)*100)&lt;-50,"NM",((GX74/GN74)^0.2-1)*100)))</f>
        <v>-2.141602138387344</v>
      </c>
      <c r="HA74" s="98"/>
      <c r="HB74" s="10"/>
      <c r="HC74"/>
      <c r="HD74"/>
      <c r="HE74"/>
      <c r="HF74"/>
      <c r="HG74"/>
      <c r="HH74"/>
      <c r="HI74" s="10"/>
    </row>
    <row r="75" spans="2:217" s="2" customFormat="1" ht="12.75" customHeight="1" x14ac:dyDescent="0.2">
      <c r="B75" s="91"/>
      <c r="C75" s="94"/>
      <c r="D75" s="92"/>
      <c r="E75" s="94"/>
      <c r="F75" s="92"/>
      <c r="G75" s="94"/>
      <c r="H75" s="92"/>
      <c r="I75" s="94"/>
      <c r="J75" s="98"/>
      <c r="K75" s="94"/>
      <c r="L75" s="98"/>
      <c r="M75" s="94"/>
      <c r="N75" s="98"/>
      <c r="O75" s="94"/>
      <c r="P75" s="98"/>
      <c r="Q75" s="94"/>
      <c r="R75" s="98"/>
      <c r="S75" s="94"/>
      <c r="T75" s="98"/>
      <c r="U75" s="94"/>
      <c r="V75" s="98"/>
      <c r="W75" s="94"/>
      <c r="X75" s="98"/>
      <c r="Y75" s="94"/>
      <c r="Z75" s="98"/>
      <c r="AA75" s="94"/>
      <c r="AB75" s="98"/>
      <c r="AC75" s="94"/>
      <c r="AD75" s="98"/>
      <c r="AE75" s="94"/>
      <c r="AF75" s="98"/>
      <c r="AG75" s="94"/>
      <c r="AH75" s="98"/>
      <c r="AI75" s="94"/>
      <c r="AJ75" s="98"/>
      <c r="AK75" s="94"/>
      <c r="AL75" s="98"/>
      <c r="AM75" s="94"/>
      <c r="AN75" s="98"/>
      <c r="AO75" s="94"/>
      <c r="AP75" s="98"/>
      <c r="AQ75" s="94"/>
      <c r="AR75" s="98"/>
      <c r="AS75" s="94"/>
      <c r="AT75" s="98"/>
      <c r="AU75" s="94"/>
      <c r="AV75" s="98"/>
      <c r="AW75" s="94"/>
      <c r="AX75" s="98"/>
      <c r="AY75" s="99"/>
      <c r="AZ75" s="98"/>
      <c r="BA75" s="99"/>
      <c r="BB75" s="98"/>
      <c r="BC75" s="99"/>
      <c r="BD75" s="98"/>
      <c r="BE75" s="99"/>
      <c r="BF75" s="98"/>
      <c r="BG75" s="99"/>
      <c r="BH75" s="98"/>
      <c r="BI75" s="99"/>
      <c r="BJ75" s="98"/>
      <c r="BK75" s="99"/>
      <c r="BL75" s="98"/>
      <c r="BM75" s="99"/>
      <c r="BN75" s="98"/>
      <c r="BO75" s="99"/>
      <c r="BP75" s="98"/>
      <c r="BQ75" s="99"/>
      <c r="BR75" s="98"/>
      <c r="BS75" s="99"/>
      <c r="BT75" s="98"/>
      <c r="BU75" s="99"/>
      <c r="BV75" s="98"/>
      <c r="BW75" s="134"/>
      <c r="BX75" s="98"/>
      <c r="BY75" s="99"/>
      <c r="BZ75" s="98"/>
      <c r="CA75" s="99"/>
      <c r="CB75" s="98"/>
      <c r="CC75" s="99"/>
      <c r="CD75" s="98"/>
      <c r="CE75" s="99"/>
      <c r="CF75" s="98"/>
      <c r="CG75" s="99"/>
      <c r="CH75" s="98"/>
      <c r="CI75" s="99"/>
      <c r="CJ75" s="98"/>
      <c r="CK75" s="99"/>
      <c r="CL75" s="98"/>
      <c r="CM75" s="99"/>
      <c r="CN75" s="98"/>
      <c r="CO75" s="99"/>
      <c r="CP75" s="98"/>
      <c r="CQ75" s="482"/>
      <c r="CR75" s="98"/>
      <c r="CS75" s="99"/>
      <c r="CT75" s="98"/>
      <c r="CU75" s="99"/>
      <c r="CV75" s="98"/>
      <c r="CW75" s="99"/>
      <c r="CX75" s="98"/>
      <c r="CY75" s="99"/>
      <c r="CZ75" s="98"/>
      <c r="DA75" s="99"/>
      <c r="DB75" s="98"/>
      <c r="DC75" s="99"/>
      <c r="DD75" s="98"/>
      <c r="DE75" s="99"/>
      <c r="DF75" s="98"/>
      <c r="DG75" s="99"/>
      <c r="DH75" s="98"/>
      <c r="DI75" s="99"/>
      <c r="DJ75" s="98"/>
      <c r="DK75" s="99"/>
      <c r="DL75" s="98"/>
      <c r="DM75" s="99"/>
      <c r="DN75" s="98"/>
      <c r="DO75" s="99"/>
      <c r="DP75" s="98"/>
      <c r="DQ75" s="99"/>
      <c r="DR75" s="98"/>
      <c r="DS75" s="99"/>
      <c r="DT75" s="98"/>
      <c r="DU75" s="99"/>
      <c r="DV75" s="98"/>
      <c r="DW75" s="99"/>
      <c r="DX75" s="98"/>
      <c r="DY75" s="99"/>
      <c r="DZ75" s="98"/>
      <c r="EA75" s="99"/>
      <c r="EB75" s="98"/>
      <c r="EC75" s="99"/>
      <c r="ED75" s="98"/>
      <c r="EE75" s="99"/>
      <c r="EF75" s="860"/>
      <c r="EG75" s="99"/>
      <c r="EH75" s="860"/>
      <c r="EI75" s="99"/>
      <c r="EJ75" s="860"/>
      <c r="EK75" s="99"/>
      <c r="EL75" s="860"/>
      <c r="EM75" s="99"/>
      <c r="EN75" s="860"/>
      <c r="EO75" s="99"/>
      <c r="EP75" s="98"/>
      <c r="EQ75" s="789"/>
      <c r="ER75" s="98"/>
      <c r="ES75" s="789"/>
      <c r="ET75" s="98"/>
      <c r="EU75" s="789"/>
      <c r="EV75" s="98"/>
      <c r="EW75" s="789"/>
      <c r="EX75" s="98"/>
      <c r="EY75" s="95"/>
      <c r="EZ75" s="594"/>
      <c r="FA75" s="405"/>
      <c r="FB75" s="94"/>
      <c r="FC75" s="92"/>
      <c r="FD75" s="94"/>
      <c r="FE75" s="92"/>
      <c r="FF75" s="95"/>
      <c r="FG75" s="92"/>
      <c r="FH75" s="95"/>
      <c r="FI75" s="92"/>
      <c r="FJ75" s="95"/>
      <c r="FK75" s="92"/>
      <c r="FL75" s="95"/>
      <c r="FM75" s="92"/>
      <c r="FN75" s="95"/>
      <c r="FO75" s="92"/>
      <c r="FP75" s="95"/>
      <c r="FQ75" s="92"/>
      <c r="FR75" s="96"/>
      <c r="FS75" s="97"/>
      <c r="FT75" s="96"/>
      <c r="FU75" s="97"/>
      <c r="FV75" s="96"/>
      <c r="FW75" s="98"/>
      <c r="FX75" s="480"/>
      <c r="FY75" s="98"/>
      <c r="FZ75" s="96"/>
      <c r="GA75" s="98"/>
      <c r="GB75" s="480"/>
      <c r="GC75" s="98"/>
      <c r="GD75" s="96"/>
      <c r="GE75" s="98"/>
      <c r="GF75" s="96"/>
      <c r="GG75" s="98"/>
      <c r="GH75" s="96"/>
      <c r="GI75" s="98"/>
      <c r="GJ75" s="96"/>
      <c r="GK75" s="98"/>
      <c r="GL75" s="96"/>
      <c r="GM75" s="98"/>
      <c r="GN75" s="96"/>
      <c r="GO75" s="98"/>
      <c r="GP75" s="96"/>
      <c r="GQ75" s="98"/>
      <c r="GR75" s="95"/>
      <c r="GS75" s="98"/>
      <c r="GT75" s="95"/>
      <c r="GU75" s="98"/>
      <c r="GV75" s="95"/>
      <c r="GW75" s="98"/>
      <c r="GX75" s="95"/>
      <c r="GY75" s="98"/>
      <c r="GZ75" s="98"/>
      <c r="HA75" s="98"/>
      <c r="HB75" s="10"/>
      <c r="HC75"/>
      <c r="HD75"/>
      <c r="HE75"/>
      <c r="HF75"/>
      <c r="HG75"/>
      <c r="HH75"/>
      <c r="HI75" s="10"/>
    </row>
    <row r="76" spans="2:217" s="2" customFormat="1" ht="12.75" hidden="1" customHeight="1" outlineLevel="1" x14ac:dyDescent="0.2">
      <c r="B76" s="636" t="s">
        <v>493</v>
      </c>
      <c r="C76" s="637"/>
      <c r="D76" s="638"/>
      <c r="E76" s="637"/>
      <c r="F76" s="638"/>
      <c r="G76" s="637"/>
      <c r="H76" s="638"/>
      <c r="I76" s="637"/>
      <c r="J76" s="175"/>
      <c r="K76" s="637"/>
      <c r="L76" s="175"/>
      <c r="M76" s="637"/>
      <c r="N76" s="175"/>
      <c r="O76" s="637"/>
      <c r="P76" s="175"/>
      <c r="Q76" s="637"/>
      <c r="R76" s="175"/>
      <c r="S76" s="637"/>
      <c r="T76" s="175"/>
      <c r="U76" s="637"/>
      <c r="V76" s="175"/>
      <c r="W76" s="637"/>
      <c r="X76" s="175"/>
      <c r="Y76" s="637"/>
      <c r="Z76" s="175"/>
      <c r="AA76" s="637"/>
      <c r="AB76" s="175"/>
      <c r="AC76" s="637"/>
      <c r="AD76" s="175"/>
      <c r="AE76" s="637"/>
      <c r="AF76" s="175"/>
      <c r="AG76" s="637"/>
      <c r="AH76" s="175"/>
      <c r="AI76" s="637"/>
      <c r="AJ76" s="175"/>
      <c r="AK76" s="637"/>
      <c r="AL76" s="175"/>
      <c r="AM76" s="637"/>
      <c r="AN76" s="175"/>
      <c r="AO76" s="637"/>
      <c r="AP76" s="175"/>
      <c r="AQ76" s="637"/>
      <c r="AR76" s="175"/>
      <c r="AS76" s="637"/>
      <c r="AT76" s="175"/>
      <c r="AU76" s="637"/>
      <c r="AV76" s="175"/>
      <c r="AW76" s="637"/>
      <c r="AX76" s="175"/>
      <c r="AY76" s="639"/>
      <c r="AZ76" s="175"/>
      <c r="BA76" s="639"/>
      <c r="BB76" s="175"/>
      <c r="BC76" s="639"/>
      <c r="BD76" s="175"/>
      <c r="BE76" s="639"/>
      <c r="BF76" s="175"/>
      <c r="BG76" s="639"/>
      <c r="BH76" s="175"/>
      <c r="BI76" s="639"/>
      <c r="BJ76" s="175"/>
      <c r="BK76" s="639"/>
      <c r="BL76" s="175"/>
      <c r="BM76" s="639"/>
      <c r="BN76" s="175"/>
      <c r="BO76" s="639"/>
      <c r="BP76" s="175"/>
      <c r="BQ76" s="639"/>
      <c r="BR76" s="175"/>
      <c r="BS76" s="639"/>
      <c r="BT76" s="175"/>
      <c r="BU76" s="639"/>
      <c r="BV76" s="175"/>
      <c r="BW76" s="640"/>
      <c r="BX76" s="175"/>
      <c r="BY76" s="639"/>
      <c r="BZ76" s="175"/>
      <c r="CA76" s="639"/>
      <c r="CB76" s="175"/>
      <c r="CC76" s="639"/>
      <c r="CD76" s="175"/>
      <c r="CE76" s="639"/>
      <c r="CF76" s="175"/>
      <c r="CG76" s="639"/>
      <c r="CH76" s="175"/>
      <c r="CI76" s="639"/>
      <c r="CJ76" s="175"/>
      <c r="CK76" s="639"/>
      <c r="CL76" s="175"/>
      <c r="CM76" s="639"/>
      <c r="CN76" s="175"/>
      <c r="CO76" s="639"/>
      <c r="CP76" s="175"/>
      <c r="CQ76" s="641"/>
      <c r="CR76" s="175"/>
      <c r="CS76" s="639"/>
      <c r="CT76" s="175"/>
      <c r="CU76" s="639"/>
      <c r="CV76" s="175"/>
      <c r="CW76" s="639"/>
      <c r="CX76" s="175"/>
      <c r="CY76" s="639"/>
      <c r="CZ76" s="175"/>
      <c r="DA76" s="639"/>
      <c r="DB76" s="175"/>
      <c r="DC76" s="639"/>
      <c r="DD76" s="175"/>
      <c r="DE76" s="639"/>
      <c r="DF76" s="175"/>
      <c r="DG76" s="639"/>
      <c r="DH76" s="175"/>
      <c r="DI76" s="639"/>
      <c r="DJ76" s="175"/>
      <c r="DK76" s="639"/>
      <c r="DL76" s="175"/>
      <c r="DM76" s="639"/>
      <c r="DN76" s="175"/>
      <c r="DO76" s="639"/>
      <c r="DP76" s="175"/>
      <c r="DQ76" s="639"/>
      <c r="DR76" s="175"/>
      <c r="DS76" s="639"/>
      <c r="DT76" s="175"/>
      <c r="DU76" s="639"/>
      <c r="DV76" s="175"/>
      <c r="DW76" s="639"/>
      <c r="DX76" s="175"/>
      <c r="DY76" s="639"/>
      <c r="DZ76" s="175"/>
      <c r="EA76" s="639"/>
      <c r="EB76" s="175"/>
      <c r="EC76" s="639"/>
      <c r="ED76" s="175"/>
      <c r="EE76" s="639"/>
      <c r="EF76" s="860"/>
      <c r="EG76" s="639"/>
      <c r="EH76" s="860"/>
      <c r="EI76" s="639"/>
      <c r="EJ76" s="860"/>
      <c r="EK76" s="639"/>
      <c r="EL76" s="860"/>
      <c r="EM76" s="639"/>
      <c r="EN76" s="860"/>
      <c r="EO76" s="639"/>
      <c r="EP76" s="175"/>
      <c r="EQ76" s="789"/>
      <c r="ER76" s="175"/>
      <c r="ES76" s="789"/>
      <c r="ET76" s="175"/>
      <c r="EU76" s="789"/>
      <c r="EV76" s="175"/>
      <c r="EW76" s="789"/>
      <c r="EX76" s="175"/>
      <c r="EY76" s="95"/>
      <c r="EZ76" s="594"/>
      <c r="FA76" s="405"/>
      <c r="FB76" s="94"/>
      <c r="FC76" s="92"/>
      <c r="FD76" s="94"/>
      <c r="FE76" s="92"/>
      <c r="FF76" s="95"/>
      <c r="FG76" s="92"/>
      <c r="FH76" s="95"/>
      <c r="FI76" s="92"/>
      <c r="FJ76" s="95"/>
      <c r="FK76" s="92"/>
      <c r="FL76" s="95"/>
      <c r="FM76" s="92"/>
      <c r="FN76" s="95"/>
      <c r="FO76" s="92"/>
      <c r="FP76" s="95"/>
      <c r="FQ76" s="92"/>
      <c r="FR76" s="96"/>
      <c r="FS76" s="97"/>
      <c r="FT76" s="96"/>
      <c r="FU76" s="97"/>
      <c r="FV76" s="96"/>
      <c r="FW76" s="98"/>
      <c r="FX76" s="480"/>
      <c r="FY76" s="98"/>
      <c r="FZ76" s="96"/>
      <c r="GA76" s="98"/>
      <c r="GB76" s="480"/>
      <c r="GC76" s="98"/>
      <c r="GD76" s="96"/>
      <c r="GE76" s="98"/>
      <c r="GF76" s="96"/>
      <c r="GG76" s="98"/>
      <c r="GH76" s="96"/>
      <c r="GI76" s="98"/>
      <c r="GJ76" s="96"/>
      <c r="GK76" s="98"/>
      <c r="GL76" s="96"/>
      <c r="GM76" s="98"/>
      <c r="GN76" s="96"/>
      <c r="GO76" s="98"/>
      <c r="GP76" s="96"/>
      <c r="GQ76" s="98"/>
      <c r="GR76" s="95"/>
      <c r="GS76" s="98"/>
      <c r="GT76" s="95"/>
      <c r="GU76" s="98"/>
      <c r="GV76" s="95"/>
      <c r="GW76" s="98"/>
      <c r="GX76" s="95"/>
      <c r="GY76" s="98"/>
      <c r="GZ76" s="98"/>
      <c r="HA76" s="98"/>
      <c r="HB76" s="10"/>
      <c r="HC76"/>
      <c r="HD76"/>
      <c r="HE76"/>
      <c r="HF76"/>
      <c r="HG76"/>
      <c r="HH76"/>
      <c r="HI76" s="10"/>
    </row>
    <row r="77" spans="2:217" s="2" customFormat="1" ht="12.75" hidden="1" customHeight="1" outlineLevel="1" x14ac:dyDescent="0.2">
      <c r="B77" s="642" t="s">
        <v>78</v>
      </c>
      <c r="C77" s="637"/>
      <c r="D77" s="638"/>
      <c r="E77" s="637"/>
      <c r="F77" s="638"/>
      <c r="G77" s="637"/>
      <c r="H77" s="638"/>
      <c r="I77" s="637"/>
      <c r="J77" s="175"/>
      <c r="K77" s="637"/>
      <c r="L77" s="175"/>
      <c r="M77" s="637"/>
      <c r="N77" s="175"/>
      <c r="O77" s="637"/>
      <c r="P77" s="175"/>
      <c r="Q77" s="637"/>
      <c r="R77" s="175"/>
      <c r="S77" s="637"/>
      <c r="T77" s="175"/>
      <c r="U77" s="637"/>
      <c r="V77" s="175"/>
      <c r="W77" s="637"/>
      <c r="X77" s="175"/>
      <c r="Y77" s="637"/>
      <c r="Z77" s="175"/>
      <c r="AA77" s="637"/>
      <c r="AB77" s="175"/>
      <c r="AC77" s="637"/>
      <c r="AD77" s="175"/>
      <c r="AE77" s="637"/>
      <c r="AF77" s="175"/>
      <c r="AG77" s="637"/>
      <c r="AH77" s="175"/>
      <c r="AI77" s="637"/>
      <c r="AJ77" s="175"/>
      <c r="AK77" s="637"/>
      <c r="AL77" s="175"/>
      <c r="AM77" s="637"/>
      <c r="AN77" s="175"/>
      <c r="AO77" s="637"/>
      <c r="AP77" s="175"/>
      <c r="AQ77" s="637"/>
      <c r="AR77" s="175"/>
      <c r="AS77" s="637"/>
      <c r="AT77" s="175"/>
      <c r="AU77" s="637"/>
      <c r="AV77" s="175"/>
      <c r="AW77" s="637"/>
      <c r="AX77" s="175"/>
      <c r="AY77" s="639"/>
      <c r="AZ77" s="175"/>
      <c r="BA77" s="639"/>
      <c r="BB77" s="175"/>
      <c r="BC77" s="639"/>
      <c r="BD77" s="175"/>
      <c r="BE77" s="639"/>
      <c r="BF77" s="175"/>
      <c r="BG77" s="639"/>
      <c r="BH77" s="175"/>
      <c r="BI77" s="639"/>
      <c r="BJ77" s="175"/>
      <c r="BK77" s="639"/>
      <c r="BL77" s="175"/>
      <c r="BM77" s="639"/>
      <c r="BN77" s="175"/>
      <c r="BO77" s="639"/>
      <c r="BP77" s="175"/>
      <c r="BQ77" s="639"/>
      <c r="BR77" s="175"/>
      <c r="BS77" s="639"/>
      <c r="BT77" s="175"/>
      <c r="BU77" s="639"/>
      <c r="BV77" s="175"/>
      <c r="BW77" s="640"/>
      <c r="BX77" s="175"/>
      <c r="BY77" s="639"/>
      <c r="BZ77" s="175"/>
      <c r="CA77" s="639"/>
      <c r="CB77" s="175"/>
      <c r="CC77" s="639"/>
      <c r="CD77" s="175"/>
      <c r="CE77" s="639"/>
      <c r="CF77" s="175"/>
      <c r="CG77" s="639"/>
      <c r="CH77" s="175"/>
      <c r="CI77" s="639"/>
      <c r="CJ77" s="175"/>
      <c r="CK77" s="639"/>
      <c r="CL77" s="175"/>
      <c r="CM77" s="639"/>
      <c r="CN77" s="175"/>
      <c r="CO77" s="639"/>
      <c r="CP77" s="175"/>
      <c r="CQ77" s="641"/>
      <c r="CR77" s="175"/>
      <c r="CS77" s="639"/>
      <c r="CT77" s="175"/>
      <c r="CU77" s="639">
        <v>1362</v>
      </c>
      <c r="CV77" s="175"/>
      <c r="CW77" s="639">
        <v>1392</v>
      </c>
      <c r="CX77" s="175"/>
      <c r="CY77" s="639">
        <v>1379</v>
      </c>
      <c r="CZ77" s="175"/>
      <c r="DA77" s="639">
        <v>1370</v>
      </c>
      <c r="DB77" s="175"/>
      <c r="DC77" s="639">
        <v>1438</v>
      </c>
      <c r="DD77" s="175">
        <f>IF(ISERROR((DC77/CU77-1)*100),"NA",IF(((DC77/CU77-1)*100)&gt;100,"NM",IF(((DC77/CU77-1)*100)&lt;-50,"NM",(DC77/CU77-1)*100)))</f>
        <v>5.580029368575623</v>
      </c>
      <c r="DE77" s="639">
        <v>1406</v>
      </c>
      <c r="DF77" s="175">
        <f t="shared" ref="DF77:DF87" si="350">IF(ISERROR((DE77/CW77-1)*100),"NA",IF(((DE77/CW77-1)*100)&gt;100,"NM",IF(((DE77/CW77-1)*100)&lt;-50,"NM",(DE77/CW77-1)*100)))</f>
        <v>1.0057471264367734</v>
      </c>
      <c r="DG77" s="639">
        <v>1352</v>
      </c>
      <c r="DH77" s="175">
        <f>IF(ISERROR((DG77/CY77-1)*100),"NA",IF(((DG77/CY77-1)*100)&gt;100,"NM",IF(((DG77/CY77-1)*100)&lt;-50,"NM",(DG77/CY77-1)*100)))</f>
        <v>-1.9579405366207392</v>
      </c>
      <c r="DI77" s="639">
        <v>1352</v>
      </c>
      <c r="DJ77" s="175">
        <f t="shared" ref="DJ77:DJ82" si="351">IF(ISERROR((DI77/DA77-1)*100),"NA",IF(((DI77/DA77-1)*100)&gt;100,"NM",IF(((DI77/DA77-1)*100)&lt;-50,"NM",(DI77/DA77-1)*100)))</f>
        <v>-1.3138686131386912</v>
      </c>
      <c r="DK77" s="639">
        <v>1352</v>
      </c>
      <c r="DL77" s="175">
        <f t="shared" ref="DL77:DL82" si="352">IF(ISERROR((DK77/DC77-1)*100),"NA",IF(((DK77/DC77-1)*100)&gt;100,"NM",IF(((DK77/DC77-1)*100)&lt;-50,"NM",(DK77/DC77-1)*100)))</f>
        <v>-5.9805285118219693</v>
      </c>
      <c r="DM77" s="639">
        <v>1352</v>
      </c>
      <c r="DN77" s="175">
        <f t="shared" ref="DN77:DZ82" si="353">IF(ISERROR((DM77/DE77-1)*100),"NA",IF(((DM77/DE77-1)*100)&gt;100,"NM",IF(((DM77/DE77-1)*100)&lt;-50,"NM",(DM77/DE77-1)*100)))</f>
        <v>-3.8406827880512084</v>
      </c>
      <c r="DO77" s="639">
        <v>1352</v>
      </c>
      <c r="DP77" s="175">
        <f t="shared" si="353"/>
        <v>0</v>
      </c>
      <c r="DQ77" s="639">
        <v>1352</v>
      </c>
      <c r="DR77" s="175">
        <f t="shared" si="353"/>
        <v>0</v>
      </c>
      <c r="DS77" s="639">
        <v>1352</v>
      </c>
      <c r="DT77" s="175">
        <f t="shared" si="353"/>
        <v>0</v>
      </c>
      <c r="DU77" s="639">
        <v>1352</v>
      </c>
      <c r="DV77" s="175">
        <f t="shared" si="353"/>
        <v>0</v>
      </c>
      <c r="DW77" s="639">
        <v>1352</v>
      </c>
      <c r="DX77" s="175">
        <f t="shared" si="353"/>
        <v>0</v>
      </c>
      <c r="DY77" s="639">
        <v>1352</v>
      </c>
      <c r="DZ77" s="175">
        <f t="shared" si="353"/>
        <v>0</v>
      </c>
      <c r="EA77" s="639">
        <v>1352</v>
      </c>
      <c r="EB77" s="175">
        <f t="shared" ref="EB77:EB82" si="354">IF(ISERROR((EA77/DS77-1)*100),"NA",IF(((EA77/DS77-1)*100)&gt;100,"NM",IF(((EA77/DS77-1)*100)&lt;-50,"NM",(EA77/DS77-1)*100)))</f>
        <v>0</v>
      </c>
      <c r="EC77" s="639">
        <v>1352</v>
      </c>
      <c r="ED77" s="175">
        <f t="shared" ref="ED77:ED82" si="355">IF(ISERROR((EC77/DU77-1)*100),"NA",IF(((EC77/DU77-1)*100)&gt;100,"NM",IF(((EC77/DU77-1)*100)&lt;-50,"NM",(EC77/DU77-1)*100)))</f>
        <v>0</v>
      </c>
      <c r="EE77" s="639">
        <v>1352</v>
      </c>
      <c r="EF77" s="860">
        <f t="shared" ref="EF77:EF82" si="356">IF(ISERROR((EE77/DW77-1)*100),"NA",IF(((EE77/DW77-1)*100)&gt;100,"NM",IF(((EE77/DW77-1)*100)&lt;-50,"NM",(EE77/DW77-1)*100)))</f>
        <v>0</v>
      </c>
      <c r="EG77" s="639">
        <v>1352</v>
      </c>
      <c r="EH77" s="860">
        <f t="shared" ref="EH77:EH82" si="357">IF(ISERROR((EG77/DY77-1)*100),"NA",IF(((EG77/DY77-1)*100)&gt;100,"NM",IF(((EG77/DY77-1)*100)&lt;-50,"NM",(EG77/DY77-1)*100)))</f>
        <v>0</v>
      </c>
      <c r="EI77" s="639">
        <v>1352</v>
      </c>
      <c r="EJ77" s="860">
        <f t="shared" ref="EJ77:EJ82" si="358">IF(ISERROR((EI77/EA77-1)*100),"NA",IF(((EI77/EA77-1)*100)&gt;100,"NM",IF(((EI77/EA77-1)*100)&lt;-50,"NM",(EI77/EA77-1)*100)))</f>
        <v>0</v>
      </c>
      <c r="EK77" s="639">
        <v>1352</v>
      </c>
      <c r="EL77" s="860">
        <f t="shared" ref="EL77:EL82" si="359">IF(ISERROR((EK77/EC77-1)*100),"NA",IF(((EK77/EC77-1)*100)&gt;100,"NM",IF(((EK77/EC77-1)*100)&lt;-50,"NM",(EK77/EC77-1)*100)))</f>
        <v>0</v>
      </c>
      <c r="EM77" s="639">
        <v>1352</v>
      </c>
      <c r="EN77" s="860">
        <f t="shared" ref="EN77:EN82" si="360">IF(ISERROR((EM77/EE77-1)*100),"NA",IF(((EM77/EE77-1)*100)&gt;100,"NM",IF(((EM77/EE77-1)*100)&lt;-50,"NM",(EM77/EE77-1)*100)))</f>
        <v>0</v>
      </c>
      <c r="EO77" s="639">
        <v>1352</v>
      </c>
      <c r="EP77" s="175">
        <f t="shared" ref="EP77:EP82" si="361">IF(ISERROR((EO77/EG77-1)*100),"NA",IF(((EO77/EG77-1)*100)&gt;100,"NM",IF(((EO77/EG77-1)*100)&lt;-50,"NM",(EO77/EG77-1)*100)))</f>
        <v>0</v>
      </c>
      <c r="EQ77" s="789">
        <f t="shared" ref="EQ77" si="362">EI77*1.01</f>
        <v>1365.52</v>
      </c>
      <c r="ER77" s="175">
        <f t="shared" ref="ER77:ER82" si="363">IF(ISERROR((EQ77/EI77-1)*100),"NA",IF(((EQ77/EI77-1)*100)&gt;100,"NM",IF(((EQ77/EI77-1)*100)&lt;-50,"NM",(EQ77/EI77-1)*100)))</f>
        <v>1.0000000000000009</v>
      </c>
      <c r="ES77" s="789">
        <f t="shared" ref="ES77" si="364">EK77*1.01</f>
        <v>1365.52</v>
      </c>
      <c r="ET77" s="175">
        <f t="shared" ref="ET77:ET82" si="365">IF(ISERROR((ES77/EK77-1)*100),"NA",IF(((ES77/EK77-1)*100)&gt;100,"NM",IF(((ES77/EK77-1)*100)&lt;-50,"NM",(ES77/EK77-1)*100)))</f>
        <v>1.0000000000000009</v>
      </c>
      <c r="EU77" s="789">
        <f t="shared" ref="EU77" si="366">EM77*1.01</f>
        <v>1365.52</v>
      </c>
      <c r="EV77" s="175">
        <f t="shared" ref="EV77:EV82" si="367">IF(ISERROR((EU77/EM77-1)*100),"NA",IF(((EU77/EM77-1)*100)&gt;100,"NM",IF(((EU77/EM77-1)*100)&lt;-50,"NM",(EU77/EM77-1)*100)))</f>
        <v>1.0000000000000009</v>
      </c>
      <c r="EW77" s="789">
        <f t="shared" ref="EW77" si="368">EO77*1.01</f>
        <v>1365.52</v>
      </c>
      <c r="EX77" s="175">
        <f t="shared" ref="EX77:EX82" si="369">IF(ISERROR((EW77/EO77-1)*100),"NA",IF(((EW77/EO77-1)*100)&gt;100,"NM",IF(((EW77/EO77-1)*100)&lt;-50,"NM",(EW77/EO77-1)*100)))</f>
        <v>1.0000000000000009</v>
      </c>
      <c r="EY77" s="95"/>
      <c r="EZ77" s="594"/>
      <c r="FA77" s="405"/>
      <c r="FB77" s="94"/>
      <c r="FC77" s="92"/>
      <c r="FD77" s="94"/>
      <c r="FE77" s="92"/>
      <c r="FF77" s="95"/>
      <c r="FG77" s="92"/>
      <c r="FH77" s="95"/>
      <c r="FI77" s="92"/>
      <c r="FJ77" s="95"/>
      <c r="FK77" s="92"/>
      <c r="FL77" s="95"/>
      <c r="FM77" s="92"/>
      <c r="FN77" s="95"/>
      <c r="FO77" s="92"/>
      <c r="FP77" s="95"/>
      <c r="FQ77" s="92"/>
      <c r="FR77" s="96"/>
      <c r="FS77" s="97"/>
      <c r="FT77" s="96"/>
      <c r="FU77" s="97"/>
      <c r="FV77" s="96"/>
      <c r="FW77" s="98"/>
      <c r="FX77" s="480"/>
      <c r="FY77" s="98"/>
      <c r="FZ77" s="96"/>
      <c r="GA77" s="98"/>
      <c r="GB77" s="480"/>
      <c r="GC77" s="98"/>
      <c r="GD77" s="96"/>
      <c r="GE77" s="98"/>
      <c r="GF77" s="96"/>
      <c r="GG77" s="98"/>
      <c r="GH77" s="96"/>
      <c r="GI77" s="98"/>
      <c r="GJ77" s="96"/>
      <c r="GK77" s="98"/>
      <c r="GL77" s="96"/>
      <c r="GM77" s="98"/>
      <c r="GN77" s="96"/>
      <c r="GO77" s="98"/>
      <c r="GP77" s="96"/>
      <c r="GQ77" s="98"/>
      <c r="GR77" s="95"/>
      <c r="GS77" s="98"/>
      <c r="GT77" s="95"/>
      <c r="GU77" s="98"/>
      <c r="GV77" s="95"/>
      <c r="GW77" s="98"/>
      <c r="GX77" s="95"/>
      <c r="GY77" s="98"/>
      <c r="GZ77" s="98"/>
      <c r="HA77" s="98"/>
      <c r="HB77" s="10"/>
      <c r="HC77"/>
      <c r="HD77"/>
      <c r="HE77"/>
      <c r="HF77"/>
      <c r="HG77"/>
      <c r="HH77"/>
      <c r="HI77" s="10"/>
    </row>
    <row r="78" spans="2:217" s="2" customFormat="1" ht="12.75" hidden="1" customHeight="1" outlineLevel="1" x14ac:dyDescent="0.2">
      <c r="B78" s="642" t="s">
        <v>79</v>
      </c>
      <c r="C78" s="637"/>
      <c r="D78" s="638"/>
      <c r="E78" s="637"/>
      <c r="F78" s="638"/>
      <c r="G78" s="637"/>
      <c r="H78" s="638"/>
      <c r="I78" s="637"/>
      <c r="J78" s="175"/>
      <c r="K78" s="637"/>
      <c r="L78" s="175"/>
      <c r="M78" s="637"/>
      <c r="N78" s="175"/>
      <c r="O78" s="637"/>
      <c r="P78" s="175"/>
      <c r="Q78" s="637"/>
      <c r="R78" s="175"/>
      <c r="S78" s="637"/>
      <c r="T78" s="175"/>
      <c r="U78" s="637"/>
      <c r="V78" s="175"/>
      <c r="W78" s="637"/>
      <c r="X78" s="175"/>
      <c r="Y78" s="637"/>
      <c r="Z78" s="175"/>
      <c r="AA78" s="637"/>
      <c r="AB78" s="175"/>
      <c r="AC78" s="637"/>
      <c r="AD78" s="175"/>
      <c r="AE78" s="637"/>
      <c r="AF78" s="175"/>
      <c r="AG78" s="637"/>
      <c r="AH78" s="175"/>
      <c r="AI78" s="637"/>
      <c r="AJ78" s="175"/>
      <c r="AK78" s="637"/>
      <c r="AL78" s="175"/>
      <c r="AM78" s="637"/>
      <c r="AN78" s="175"/>
      <c r="AO78" s="637"/>
      <c r="AP78" s="175"/>
      <c r="AQ78" s="637"/>
      <c r="AR78" s="175"/>
      <c r="AS78" s="637"/>
      <c r="AT78" s="175"/>
      <c r="AU78" s="637"/>
      <c r="AV78" s="175"/>
      <c r="AW78" s="637"/>
      <c r="AX78" s="175"/>
      <c r="AY78" s="639"/>
      <c r="AZ78" s="175"/>
      <c r="BA78" s="639"/>
      <c r="BB78" s="175"/>
      <c r="BC78" s="639"/>
      <c r="BD78" s="175"/>
      <c r="BE78" s="639"/>
      <c r="BF78" s="175"/>
      <c r="BG78" s="639"/>
      <c r="BH78" s="175"/>
      <c r="BI78" s="639"/>
      <c r="BJ78" s="175"/>
      <c r="BK78" s="639"/>
      <c r="BL78" s="175"/>
      <c r="BM78" s="639"/>
      <c r="BN78" s="175"/>
      <c r="BO78" s="639"/>
      <c r="BP78" s="175"/>
      <c r="BQ78" s="639"/>
      <c r="BR78" s="175"/>
      <c r="BS78" s="639"/>
      <c r="BT78" s="175"/>
      <c r="BU78" s="639"/>
      <c r="BV78" s="175"/>
      <c r="BW78" s="640"/>
      <c r="BX78" s="175"/>
      <c r="BY78" s="639"/>
      <c r="BZ78" s="175"/>
      <c r="CA78" s="639"/>
      <c r="CB78" s="175"/>
      <c r="CC78" s="639"/>
      <c r="CD78" s="175"/>
      <c r="CE78" s="639"/>
      <c r="CF78" s="175"/>
      <c r="CG78" s="639"/>
      <c r="CH78" s="175"/>
      <c r="CI78" s="639"/>
      <c r="CJ78" s="175"/>
      <c r="CK78" s="639"/>
      <c r="CL78" s="175"/>
      <c r="CM78" s="639"/>
      <c r="CN78" s="175"/>
      <c r="CO78" s="639"/>
      <c r="CP78" s="175"/>
      <c r="CQ78" s="641"/>
      <c r="CR78" s="175"/>
      <c r="CS78" s="639"/>
      <c r="CT78" s="175"/>
      <c r="CU78" s="639">
        <v>1415</v>
      </c>
      <c r="CV78" s="175"/>
      <c r="CW78" s="639">
        <v>1497</v>
      </c>
      <c r="CX78" s="175"/>
      <c r="CY78" s="639">
        <v>1555</v>
      </c>
      <c r="CZ78" s="175"/>
      <c r="DA78" s="639">
        <v>1560</v>
      </c>
      <c r="DB78" s="175"/>
      <c r="DC78" s="639">
        <v>1604</v>
      </c>
      <c r="DD78" s="175">
        <f>IF(ISERROR((DC78/CU78-1)*100),"NA",IF(((DC78/CU78-1)*100)&gt;100,"NM",IF(((DC78/CU78-1)*100)&lt;-50,"NM",(DC78/CU78-1)*100)))</f>
        <v>13.356890459363967</v>
      </c>
      <c r="DE78" s="639">
        <v>1605</v>
      </c>
      <c r="DF78" s="175">
        <f t="shared" si="350"/>
        <v>7.2144288577154381</v>
      </c>
      <c r="DG78" s="639">
        <v>1602</v>
      </c>
      <c r="DH78" s="175">
        <f>IF(ISERROR((DG78/CY78-1)*100),"NA",IF(((DG78/CY78-1)*100)&gt;100,"NM",IF(((DG78/CY78-1)*100)&lt;-50,"NM",(DG78/CY78-1)*100)))</f>
        <v>3.0225080385852143</v>
      </c>
      <c r="DI78" s="639">
        <v>1602</v>
      </c>
      <c r="DJ78" s="175">
        <f t="shared" si="351"/>
        <v>2.6923076923076827</v>
      </c>
      <c r="DK78" s="639">
        <v>1602</v>
      </c>
      <c r="DL78" s="175">
        <f t="shared" si="352"/>
        <v>-0.12468827930174342</v>
      </c>
      <c r="DM78" s="639">
        <v>1602</v>
      </c>
      <c r="DN78" s="175">
        <f t="shared" si="353"/>
        <v>-0.18691588785046953</v>
      </c>
      <c r="DO78" s="639">
        <v>1602</v>
      </c>
      <c r="DP78" s="175">
        <f t="shared" si="353"/>
        <v>0</v>
      </c>
      <c r="DQ78" s="639">
        <v>1602</v>
      </c>
      <c r="DR78" s="175">
        <f t="shared" si="353"/>
        <v>0</v>
      </c>
      <c r="DS78" s="639">
        <v>1602</v>
      </c>
      <c r="DT78" s="175">
        <f t="shared" si="353"/>
        <v>0</v>
      </c>
      <c r="DU78" s="639">
        <v>1602</v>
      </c>
      <c r="DV78" s="175">
        <f t="shared" si="353"/>
        <v>0</v>
      </c>
      <c r="DW78" s="639">
        <v>1602</v>
      </c>
      <c r="DX78" s="175">
        <f t="shared" si="353"/>
        <v>0</v>
      </c>
      <c r="DY78" s="639">
        <v>1602</v>
      </c>
      <c r="DZ78" s="175">
        <f t="shared" si="353"/>
        <v>0</v>
      </c>
      <c r="EA78" s="639">
        <v>1602</v>
      </c>
      <c r="EB78" s="175">
        <f t="shared" si="354"/>
        <v>0</v>
      </c>
      <c r="EC78" s="639">
        <v>1602</v>
      </c>
      <c r="ED78" s="175">
        <f t="shared" si="355"/>
        <v>0</v>
      </c>
      <c r="EE78" s="639">
        <v>1602</v>
      </c>
      <c r="EF78" s="860">
        <f t="shared" si="356"/>
        <v>0</v>
      </c>
      <c r="EG78" s="639">
        <v>1602</v>
      </c>
      <c r="EH78" s="860">
        <f t="shared" si="357"/>
        <v>0</v>
      </c>
      <c r="EI78" s="639">
        <v>1602</v>
      </c>
      <c r="EJ78" s="860">
        <f t="shared" si="358"/>
        <v>0</v>
      </c>
      <c r="EK78" s="639">
        <v>1602</v>
      </c>
      <c r="EL78" s="860">
        <f t="shared" si="359"/>
        <v>0</v>
      </c>
      <c r="EM78" s="639">
        <v>1602</v>
      </c>
      <c r="EN78" s="860">
        <f t="shared" si="360"/>
        <v>0</v>
      </c>
      <c r="EO78" s="639">
        <v>1602</v>
      </c>
      <c r="EP78" s="175">
        <f t="shared" si="361"/>
        <v>0</v>
      </c>
      <c r="EQ78" s="789">
        <f t="shared" ref="EQ78" si="370">EI78*1.07</f>
        <v>1714.14</v>
      </c>
      <c r="ER78" s="175">
        <f t="shared" si="363"/>
        <v>7.0000000000000062</v>
      </c>
      <c r="ES78" s="789">
        <f t="shared" ref="ES78" si="371">EK78*1.07</f>
        <v>1714.14</v>
      </c>
      <c r="ET78" s="175">
        <f t="shared" si="365"/>
        <v>7.0000000000000062</v>
      </c>
      <c r="EU78" s="789">
        <f t="shared" ref="EU78" si="372">EM78*1.07</f>
        <v>1714.14</v>
      </c>
      <c r="EV78" s="175">
        <f t="shared" si="367"/>
        <v>7.0000000000000062</v>
      </c>
      <c r="EW78" s="789">
        <f t="shared" ref="EW78" si="373">EO78*1.07</f>
        <v>1714.14</v>
      </c>
      <c r="EX78" s="175">
        <f t="shared" si="369"/>
        <v>7.0000000000000062</v>
      </c>
      <c r="EY78" s="95"/>
      <c r="EZ78" s="594"/>
      <c r="FA78" s="405"/>
      <c r="FB78" s="94"/>
      <c r="FC78" s="92"/>
      <c r="FD78" s="94"/>
      <c r="FE78" s="92"/>
      <c r="FF78" s="95"/>
      <c r="FG78" s="92"/>
      <c r="FH78" s="95"/>
      <c r="FI78" s="92"/>
      <c r="FJ78" s="95"/>
      <c r="FK78" s="92"/>
      <c r="FL78" s="95"/>
      <c r="FM78" s="92"/>
      <c r="FN78" s="95"/>
      <c r="FO78" s="92"/>
      <c r="FP78" s="95"/>
      <c r="FQ78" s="92"/>
      <c r="FR78" s="96"/>
      <c r="FS78" s="97"/>
      <c r="FT78" s="96"/>
      <c r="FU78" s="97"/>
      <c r="FV78" s="96"/>
      <c r="FW78" s="98"/>
      <c r="FX78" s="480"/>
      <c r="FY78" s="98"/>
      <c r="FZ78" s="96"/>
      <c r="GA78" s="98"/>
      <c r="GB78" s="480"/>
      <c r="GC78" s="98"/>
      <c r="GD78" s="96"/>
      <c r="GE78" s="98"/>
      <c r="GF78" s="96"/>
      <c r="GG78" s="98"/>
      <c r="GH78" s="96"/>
      <c r="GI78" s="98"/>
      <c r="GJ78" s="96"/>
      <c r="GK78" s="98"/>
      <c r="GL78" s="96"/>
      <c r="GM78" s="98"/>
      <c r="GN78" s="96"/>
      <c r="GO78" s="98"/>
      <c r="GP78" s="96"/>
      <c r="GQ78" s="98"/>
      <c r="GR78" s="95"/>
      <c r="GS78" s="98"/>
      <c r="GT78" s="95"/>
      <c r="GU78" s="98"/>
      <c r="GV78" s="95"/>
      <c r="GW78" s="98"/>
      <c r="GX78" s="95"/>
      <c r="GY78" s="98"/>
      <c r="GZ78" s="98"/>
      <c r="HA78" s="98"/>
      <c r="HB78" s="10"/>
      <c r="HC78"/>
      <c r="HD78"/>
      <c r="HE78"/>
      <c r="HF78"/>
      <c r="HG78"/>
      <c r="HH78"/>
      <c r="HI78" s="10"/>
    </row>
    <row r="79" spans="2:217" s="2" customFormat="1" ht="12.75" hidden="1" customHeight="1" outlineLevel="1" x14ac:dyDescent="0.2">
      <c r="B79" s="642" t="s">
        <v>126</v>
      </c>
      <c r="C79" s="637"/>
      <c r="D79" s="638"/>
      <c r="E79" s="637"/>
      <c r="F79" s="638"/>
      <c r="G79" s="637"/>
      <c r="H79" s="638"/>
      <c r="I79" s="637"/>
      <c r="J79" s="175"/>
      <c r="K79" s="637"/>
      <c r="L79" s="175"/>
      <c r="M79" s="637"/>
      <c r="N79" s="175"/>
      <c r="O79" s="637"/>
      <c r="P79" s="175"/>
      <c r="Q79" s="637"/>
      <c r="R79" s="175"/>
      <c r="S79" s="637"/>
      <c r="T79" s="175"/>
      <c r="U79" s="637"/>
      <c r="V79" s="175"/>
      <c r="W79" s="637"/>
      <c r="X79" s="175"/>
      <c r="Y79" s="637"/>
      <c r="Z79" s="175"/>
      <c r="AA79" s="637"/>
      <c r="AB79" s="175"/>
      <c r="AC79" s="637"/>
      <c r="AD79" s="175"/>
      <c r="AE79" s="637"/>
      <c r="AF79" s="175"/>
      <c r="AG79" s="637"/>
      <c r="AH79" s="175"/>
      <c r="AI79" s="637"/>
      <c r="AJ79" s="175"/>
      <c r="AK79" s="637"/>
      <c r="AL79" s="175"/>
      <c r="AM79" s="637"/>
      <c r="AN79" s="175"/>
      <c r="AO79" s="637"/>
      <c r="AP79" s="175"/>
      <c r="AQ79" s="637"/>
      <c r="AR79" s="175"/>
      <c r="AS79" s="637"/>
      <c r="AT79" s="175"/>
      <c r="AU79" s="637"/>
      <c r="AV79" s="175"/>
      <c r="AW79" s="637"/>
      <c r="AX79" s="175"/>
      <c r="AY79" s="639"/>
      <c r="AZ79" s="175"/>
      <c r="BA79" s="639"/>
      <c r="BB79" s="175"/>
      <c r="BC79" s="639"/>
      <c r="BD79" s="175"/>
      <c r="BE79" s="639"/>
      <c r="BF79" s="175"/>
      <c r="BG79" s="639"/>
      <c r="BH79" s="175"/>
      <c r="BI79" s="639"/>
      <c r="BJ79" s="175"/>
      <c r="BK79" s="639"/>
      <c r="BL79" s="175"/>
      <c r="BM79" s="639"/>
      <c r="BN79" s="175"/>
      <c r="BO79" s="639"/>
      <c r="BP79" s="175"/>
      <c r="BQ79" s="639"/>
      <c r="BR79" s="175"/>
      <c r="BS79" s="639"/>
      <c r="BT79" s="175"/>
      <c r="BU79" s="639"/>
      <c r="BV79" s="175"/>
      <c r="BW79" s="640"/>
      <c r="BX79" s="175"/>
      <c r="BY79" s="639"/>
      <c r="BZ79" s="175"/>
      <c r="CA79" s="639"/>
      <c r="CB79" s="175"/>
      <c r="CC79" s="639"/>
      <c r="CD79" s="175"/>
      <c r="CE79" s="639"/>
      <c r="CF79" s="175"/>
      <c r="CG79" s="639"/>
      <c r="CH79" s="175"/>
      <c r="CI79" s="639"/>
      <c r="CJ79" s="175"/>
      <c r="CK79" s="639"/>
      <c r="CL79" s="175"/>
      <c r="CM79" s="639"/>
      <c r="CN79" s="175"/>
      <c r="CO79" s="639"/>
      <c r="CP79" s="175"/>
      <c r="CQ79" s="641"/>
      <c r="CR79" s="175"/>
      <c r="CS79" s="639"/>
      <c r="CT79" s="175"/>
      <c r="CU79" s="639">
        <v>343</v>
      </c>
      <c r="CV79" s="175"/>
      <c r="CW79" s="639">
        <v>357</v>
      </c>
      <c r="CX79" s="175"/>
      <c r="CY79" s="639">
        <v>356</v>
      </c>
      <c r="CZ79" s="175"/>
      <c r="DA79" s="639">
        <v>357</v>
      </c>
      <c r="DB79" s="175"/>
      <c r="DC79" s="639">
        <v>345</v>
      </c>
      <c r="DD79" s="175">
        <f>IF(ISERROR((DC79/CU79-1)*100),"NA",IF(((DC79/CU79-1)*100)&gt;100,"NM",IF(((DC79/CU79-1)*100)&lt;-50,"NM",(DC79/CU79-1)*100)))</f>
        <v>0.58309037900874383</v>
      </c>
      <c r="DE79" s="639">
        <v>358</v>
      </c>
      <c r="DF79" s="175">
        <f t="shared" si="350"/>
        <v>0.28011204481792618</v>
      </c>
      <c r="DG79" s="639">
        <v>363</v>
      </c>
      <c r="DH79" s="175">
        <f>IF(ISERROR((DG79/CY79-1)*100),"NA",IF(((DG79/CY79-1)*100)&gt;100,"NM",IF(((DG79/CY79-1)*100)&lt;-50,"NM",(DG79/CY79-1)*100)))</f>
        <v>1.9662921348314599</v>
      </c>
      <c r="DI79" s="639">
        <v>363</v>
      </c>
      <c r="DJ79" s="175">
        <f t="shared" si="351"/>
        <v>1.6806722689075571</v>
      </c>
      <c r="DK79" s="639">
        <v>363</v>
      </c>
      <c r="DL79" s="175">
        <f t="shared" si="352"/>
        <v>5.2173913043478182</v>
      </c>
      <c r="DM79" s="639">
        <v>363</v>
      </c>
      <c r="DN79" s="175">
        <f t="shared" si="353"/>
        <v>1.3966480446927276</v>
      </c>
      <c r="DO79" s="639">
        <v>363</v>
      </c>
      <c r="DP79" s="175">
        <f t="shared" si="353"/>
        <v>0</v>
      </c>
      <c r="DQ79" s="639">
        <v>363</v>
      </c>
      <c r="DR79" s="175">
        <f t="shared" si="353"/>
        <v>0</v>
      </c>
      <c r="DS79" s="639">
        <v>363</v>
      </c>
      <c r="DT79" s="175">
        <f t="shared" si="353"/>
        <v>0</v>
      </c>
      <c r="DU79" s="639">
        <v>363</v>
      </c>
      <c r="DV79" s="175">
        <f t="shared" si="353"/>
        <v>0</v>
      </c>
      <c r="DW79" s="639">
        <v>363</v>
      </c>
      <c r="DX79" s="175">
        <f t="shared" si="353"/>
        <v>0</v>
      </c>
      <c r="DY79" s="639">
        <v>363</v>
      </c>
      <c r="DZ79" s="175">
        <f t="shared" si="353"/>
        <v>0</v>
      </c>
      <c r="EA79" s="639">
        <v>363</v>
      </c>
      <c r="EB79" s="175">
        <f t="shared" si="354"/>
        <v>0</v>
      </c>
      <c r="EC79" s="639">
        <v>363</v>
      </c>
      <c r="ED79" s="175">
        <f t="shared" si="355"/>
        <v>0</v>
      </c>
      <c r="EE79" s="639">
        <v>363</v>
      </c>
      <c r="EF79" s="860">
        <f t="shared" si="356"/>
        <v>0</v>
      </c>
      <c r="EG79" s="639">
        <v>363</v>
      </c>
      <c r="EH79" s="860">
        <f t="shared" si="357"/>
        <v>0</v>
      </c>
      <c r="EI79" s="639">
        <v>363</v>
      </c>
      <c r="EJ79" s="860">
        <f t="shared" si="358"/>
        <v>0</v>
      </c>
      <c r="EK79" s="639">
        <v>363</v>
      </c>
      <c r="EL79" s="860">
        <f t="shared" si="359"/>
        <v>0</v>
      </c>
      <c r="EM79" s="639">
        <v>363</v>
      </c>
      <c r="EN79" s="860">
        <f t="shared" si="360"/>
        <v>0</v>
      </c>
      <c r="EO79" s="639">
        <v>363</v>
      </c>
      <c r="EP79" s="175">
        <f t="shared" si="361"/>
        <v>0</v>
      </c>
      <c r="EQ79" s="789">
        <f t="shared" ref="EQ79" si="374">EI79*1.01</f>
        <v>366.63</v>
      </c>
      <c r="ER79" s="175">
        <f t="shared" si="363"/>
        <v>1.0000000000000009</v>
      </c>
      <c r="ES79" s="789">
        <f t="shared" ref="ES79" si="375">EK79*1.01</f>
        <v>366.63</v>
      </c>
      <c r="ET79" s="175">
        <f t="shared" si="365"/>
        <v>1.0000000000000009</v>
      </c>
      <c r="EU79" s="789">
        <f t="shared" ref="EU79" si="376">EM79*1.01</f>
        <v>366.63</v>
      </c>
      <c r="EV79" s="175">
        <f t="shared" si="367"/>
        <v>1.0000000000000009</v>
      </c>
      <c r="EW79" s="789">
        <f t="shared" ref="EW79" si="377">EO79*1.01</f>
        <v>366.63</v>
      </c>
      <c r="EX79" s="175">
        <f t="shared" si="369"/>
        <v>1.0000000000000009</v>
      </c>
      <c r="EY79" s="95"/>
      <c r="EZ79" s="594"/>
      <c r="FA79" s="405"/>
      <c r="FB79" s="94"/>
      <c r="FC79" s="92"/>
      <c r="FD79" s="94"/>
      <c r="FE79" s="92"/>
      <c r="FF79" s="95"/>
      <c r="FG79" s="92"/>
      <c r="FH79" s="95"/>
      <c r="FI79" s="92"/>
      <c r="FJ79" s="95"/>
      <c r="FK79" s="92"/>
      <c r="FL79" s="95"/>
      <c r="FM79" s="92"/>
      <c r="FN79" s="95"/>
      <c r="FO79" s="92"/>
      <c r="FP79" s="95"/>
      <c r="FQ79" s="92"/>
      <c r="FR79" s="96"/>
      <c r="FS79" s="97"/>
      <c r="FT79" s="96"/>
      <c r="FU79" s="97"/>
      <c r="FV79" s="96"/>
      <c r="FW79" s="98"/>
      <c r="FX79" s="480"/>
      <c r="FY79" s="98"/>
      <c r="FZ79" s="96"/>
      <c r="GA79" s="98"/>
      <c r="GB79" s="480"/>
      <c r="GC79" s="98"/>
      <c r="GD79" s="96"/>
      <c r="GE79" s="98"/>
      <c r="GF79" s="96"/>
      <c r="GG79" s="98"/>
      <c r="GH79" s="96"/>
      <c r="GI79" s="98"/>
      <c r="GJ79" s="96"/>
      <c r="GK79" s="98"/>
      <c r="GL79" s="96"/>
      <c r="GM79" s="98"/>
      <c r="GN79" s="96"/>
      <c r="GO79" s="98"/>
      <c r="GP79" s="96"/>
      <c r="GQ79" s="98"/>
      <c r="GR79" s="95"/>
      <c r="GS79" s="98"/>
      <c r="GT79" s="95"/>
      <c r="GU79" s="98"/>
      <c r="GV79" s="95"/>
      <c r="GW79" s="98"/>
      <c r="GX79" s="95"/>
      <c r="GY79" s="98"/>
      <c r="GZ79" s="98"/>
      <c r="HA79" s="98"/>
      <c r="HB79" s="10"/>
      <c r="HC79"/>
      <c r="HD79"/>
      <c r="HE79"/>
      <c r="HF79"/>
      <c r="HG79"/>
      <c r="HH79"/>
      <c r="HI79" s="10"/>
    </row>
    <row r="80" spans="2:217" s="5" customFormat="1" ht="12.75" hidden="1" customHeight="1" outlineLevel="1" x14ac:dyDescent="0.2">
      <c r="B80" s="636" t="s">
        <v>0</v>
      </c>
      <c r="C80" s="643"/>
      <c r="D80" s="644"/>
      <c r="E80" s="643"/>
      <c r="F80" s="644"/>
      <c r="G80" s="643"/>
      <c r="H80" s="644"/>
      <c r="I80" s="643"/>
      <c r="J80" s="645"/>
      <c r="K80" s="643"/>
      <c r="L80" s="645"/>
      <c r="M80" s="643"/>
      <c r="N80" s="645"/>
      <c r="O80" s="643"/>
      <c r="P80" s="645"/>
      <c r="Q80" s="643"/>
      <c r="R80" s="645"/>
      <c r="S80" s="643"/>
      <c r="T80" s="645"/>
      <c r="U80" s="643"/>
      <c r="V80" s="645"/>
      <c r="W80" s="643"/>
      <c r="X80" s="645"/>
      <c r="Y80" s="643"/>
      <c r="Z80" s="645"/>
      <c r="AA80" s="643"/>
      <c r="AB80" s="645"/>
      <c r="AC80" s="643"/>
      <c r="AD80" s="645"/>
      <c r="AE80" s="643"/>
      <c r="AF80" s="645"/>
      <c r="AG80" s="643"/>
      <c r="AH80" s="645"/>
      <c r="AI80" s="643"/>
      <c r="AJ80" s="645"/>
      <c r="AK80" s="643"/>
      <c r="AL80" s="645"/>
      <c r="AM80" s="643"/>
      <c r="AN80" s="645"/>
      <c r="AO80" s="643"/>
      <c r="AP80" s="645"/>
      <c r="AQ80" s="643"/>
      <c r="AR80" s="645"/>
      <c r="AS80" s="643"/>
      <c r="AT80" s="645"/>
      <c r="AU80" s="643"/>
      <c r="AV80" s="645"/>
      <c r="AW80" s="643"/>
      <c r="AX80" s="645"/>
      <c r="AY80" s="646"/>
      <c r="AZ80" s="645"/>
      <c r="BA80" s="646"/>
      <c r="BB80" s="645"/>
      <c r="BC80" s="646"/>
      <c r="BD80" s="645"/>
      <c r="BE80" s="646"/>
      <c r="BF80" s="645"/>
      <c r="BG80" s="646"/>
      <c r="BH80" s="645"/>
      <c r="BI80" s="646"/>
      <c r="BJ80" s="645"/>
      <c r="BK80" s="646"/>
      <c r="BL80" s="645"/>
      <c r="BM80" s="646"/>
      <c r="BN80" s="645"/>
      <c r="BO80" s="646"/>
      <c r="BP80" s="645"/>
      <c r="BQ80" s="646"/>
      <c r="BR80" s="645"/>
      <c r="BS80" s="646"/>
      <c r="BT80" s="645"/>
      <c r="BU80" s="646"/>
      <c r="BV80" s="645"/>
      <c r="BW80" s="647"/>
      <c r="BX80" s="645"/>
      <c r="BY80" s="646"/>
      <c r="BZ80" s="645"/>
      <c r="CA80" s="646"/>
      <c r="CB80" s="645"/>
      <c r="CC80" s="646"/>
      <c r="CD80" s="645"/>
      <c r="CE80" s="646"/>
      <c r="CF80" s="645"/>
      <c r="CG80" s="646"/>
      <c r="CH80" s="645"/>
      <c r="CI80" s="646"/>
      <c r="CJ80" s="645"/>
      <c r="CK80" s="646"/>
      <c r="CL80" s="645"/>
      <c r="CM80" s="646"/>
      <c r="CN80" s="645"/>
      <c r="CO80" s="646"/>
      <c r="CP80" s="645"/>
      <c r="CQ80" s="648"/>
      <c r="CR80" s="645"/>
      <c r="CS80" s="646"/>
      <c r="CT80" s="645"/>
      <c r="CU80" s="646">
        <f>+CU79+CU78+CU77</f>
        <v>3120</v>
      </c>
      <c r="CV80" s="645"/>
      <c r="CW80" s="646">
        <f>+CW79+CW78+CW77</f>
        <v>3246</v>
      </c>
      <c r="CX80" s="645"/>
      <c r="CY80" s="646">
        <f>+CY79+CY78+CY77</f>
        <v>3290</v>
      </c>
      <c r="CZ80" s="646">
        <f t="shared" ref="CZ80:DK80" si="378">+CZ79+CZ78+CZ77</f>
        <v>0</v>
      </c>
      <c r="DA80" s="646">
        <f t="shared" si="378"/>
        <v>3287</v>
      </c>
      <c r="DB80" s="646">
        <f t="shared" si="378"/>
        <v>0</v>
      </c>
      <c r="DC80" s="646">
        <f t="shared" si="378"/>
        <v>3387</v>
      </c>
      <c r="DD80" s="175">
        <f>IF(ISERROR((DC80/CU80-1)*100),"NA",IF(((DC80/CU80-1)*100)&gt;100,"NM",IF(((DC80/CU80-1)*100)&lt;-50,"NM",(DC80/CU80-1)*100)))</f>
        <v>8.5576923076922995</v>
      </c>
      <c r="DE80" s="646">
        <f t="shared" si="378"/>
        <v>3369</v>
      </c>
      <c r="DF80" s="175">
        <f t="shared" si="350"/>
        <v>3.7892791127541514</v>
      </c>
      <c r="DG80" s="646">
        <f t="shared" si="378"/>
        <v>3317</v>
      </c>
      <c r="DH80" s="175">
        <f>IF(ISERROR((DG80/CY80-1)*100),"NA",IF(((DG80/CY80-1)*100)&gt;100,"NM",IF(((DG80/CY80-1)*100)&lt;-50,"NM",(DG80/CY80-1)*100)))</f>
        <v>0.82066869300911893</v>
      </c>
      <c r="DI80" s="646">
        <f t="shared" si="378"/>
        <v>3317</v>
      </c>
      <c r="DJ80" s="175">
        <f t="shared" si="351"/>
        <v>0.91268634012777738</v>
      </c>
      <c r="DK80" s="646">
        <f t="shared" si="378"/>
        <v>3317</v>
      </c>
      <c r="DL80" s="175">
        <f t="shared" si="352"/>
        <v>-2.0667257159728392</v>
      </c>
      <c r="DM80" s="646">
        <f t="shared" ref="DM80:DO80" si="379">+DM79+DM78+DM77</f>
        <v>3317</v>
      </c>
      <c r="DN80" s="175">
        <f t="shared" si="353"/>
        <v>-1.5434847135648577</v>
      </c>
      <c r="DO80" s="646">
        <f t="shared" si="379"/>
        <v>3317</v>
      </c>
      <c r="DP80" s="175">
        <f t="shared" si="353"/>
        <v>0</v>
      </c>
      <c r="DQ80" s="646">
        <f t="shared" ref="DQ80:DS80" si="380">+DQ79+DQ78+DQ77</f>
        <v>3317</v>
      </c>
      <c r="DR80" s="175">
        <f t="shared" si="353"/>
        <v>0</v>
      </c>
      <c r="DS80" s="646">
        <f t="shared" si="380"/>
        <v>3317</v>
      </c>
      <c r="DT80" s="175">
        <f t="shared" si="353"/>
        <v>0</v>
      </c>
      <c r="DU80" s="646">
        <f t="shared" ref="DU80:DW80" si="381">+DU79+DU78+DU77</f>
        <v>3317</v>
      </c>
      <c r="DV80" s="175">
        <f t="shared" si="353"/>
        <v>0</v>
      </c>
      <c r="DW80" s="646">
        <f t="shared" si="381"/>
        <v>3317</v>
      </c>
      <c r="DX80" s="175">
        <f t="shared" si="353"/>
        <v>0</v>
      </c>
      <c r="DY80" s="646">
        <f t="shared" ref="DY80:EA80" si="382">+DY79+DY78+DY77</f>
        <v>3317</v>
      </c>
      <c r="DZ80" s="175">
        <f t="shared" si="353"/>
        <v>0</v>
      </c>
      <c r="EA80" s="646">
        <f t="shared" si="382"/>
        <v>3317</v>
      </c>
      <c r="EB80" s="175">
        <f t="shared" si="354"/>
        <v>0</v>
      </c>
      <c r="EC80" s="646">
        <f t="shared" ref="EC80:EE80" si="383">+EC79+EC78+EC77</f>
        <v>3317</v>
      </c>
      <c r="ED80" s="175">
        <f t="shared" si="355"/>
        <v>0</v>
      </c>
      <c r="EE80" s="646">
        <f t="shared" si="383"/>
        <v>3317</v>
      </c>
      <c r="EF80" s="860">
        <f t="shared" si="356"/>
        <v>0</v>
      </c>
      <c r="EG80" s="646">
        <f t="shared" ref="EG80:EI80" si="384">+EG79+EG78+EG77</f>
        <v>3317</v>
      </c>
      <c r="EH80" s="860">
        <f t="shared" si="357"/>
        <v>0</v>
      </c>
      <c r="EI80" s="646">
        <f t="shared" si="384"/>
        <v>3317</v>
      </c>
      <c r="EJ80" s="860">
        <f t="shared" si="358"/>
        <v>0</v>
      </c>
      <c r="EK80" s="646">
        <f t="shared" ref="EK80:EM80" si="385">+EK79+EK78+EK77</f>
        <v>3317</v>
      </c>
      <c r="EL80" s="860">
        <f t="shared" si="359"/>
        <v>0</v>
      </c>
      <c r="EM80" s="646">
        <f t="shared" si="385"/>
        <v>3317</v>
      </c>
      <c r="EN80" s="860">
        <f t="shared" si="360"/>
        <v>0</v>
      </c>
      <c r="EO80" s="646">
        <f t="shared" ref="EO80" si="386">+EO79+EO78+EO77</f>
        <v>3317</v>
      </c>
      <c r="EP80" s="175">
        <f t="shared" si="361"/>
        <v>0</v>
      </c>
      <c r="EQ80" s="1005">
        <f t="shared" ref="EQ80" si="387">+EQ79+EQ78+EQ77</f>
        <v>3446.29</v>
      </c>
      <c r="ER80" s="175">
        <f t="shared" si="363"/>
        <v>3.8977992161591812</v>
      </c>
      <c r="ES80" s="1005">
        <f t="shared" ref="ES80" si="388">+ES79+ES78+ES77</f>
        <v>3446.29</v>
      </c>
      <c r="ET80" s="175">
        <f t="shared" si="365"/>
        <v>3.8977992161591812</v>
      </c>
      <c r="EU80" s="1005">
        <f t="shared" ref="EU80" si="389">+EU79+EU78+EU77</f>
        <v>3446.29</v>
      </c>
      <c r="EV80" s="175">
        <f t="shared" si="367"/>
        <v>3.8977992161591812</v>
      </c>
      <c r="EW80" s="1005">
        <f t="shared" ref="EW80" si="390">+EW79+EW78+EW77</f>
        <v>3446.29</v>
      </c>
      <c r="EX80" s="175">
        <f t="shared" si="369"/>
        <v>3.8977992161591812</v>
      </c>
      <c r="EY80" s="320"/>
      <c r="EZ80" s="604"/>
      <c r="FA80" s="414"/>
      <c r="FB80" s="312"/>
      <c r="FC80" s="319"/>
      <c r="FD80" s="312"/>
      <c r="FE80" s="319"/>
      <c r="FF80" s="320"/>
      <c r="FG80" s="319"/>
      <c r="FH80" s="320"/>
      <c r="FI80" s="319"/>
      <c r="FJ80" s="320"/>
      <c r="FK80" s="319"/>
      <c r="FL80" s="320"/>
      <c r="FM80" s="319"/>
      <c r="FN80" s="320"/>
      <c r="FO80" s="319"/>
      <c r="FP80" s="320"/>
      <c r="FQ80" s="319"/>
      <c r="FR80" s="133"/>
      <c r="FS80" s="635"/>
      <c r="FT80" s="133"/>
      <c r="FU80" s="635"/>
      <c r="FV80" s="133"/>
      <c r="FW80" s="230"/>
      <c r="FX80" s="523"/>
      <c r="FY80" s="230"/>
      <c r="FZ80" s="133"/>
      <c r="GA80" s="230"/>
      <c r="GB80" s="523"/>
      <c r="GC80" s="230"/>
      <c r="GD80" s="133"/>
      <c r="GE80" s="230"/>
      <c r="GF80" s="133"/>
      <c r="GG80" s="230"/>
      <c r="GH80" s="133"/>
      <c r="GI80" s="230"/>
      <c r="GJ80" s="133"/>
      <c r="GK80" s="230"/>
      <c r="GL80" s="133"/>
      <c r="GM80" s="230"/>
      <c r="GN80" s="133"/>
      <c r="GO80" s="230"/>
      <c r="GP80" s="133"/>
      <c r="GQ80" s="230"/>
      <c r="GR80" s="320"/>
      <c r="GS80" s="230"/>
      <c r="GT80" s="320"/>
      <c r="GU80" s="230"/>
      <c r="GV80" s="320"/>
      <c r="GW80" s="230"/>
      <c r="GX80" s="320"/>
      <c r="GY80" s="230"/>
      <c r="GZ80" s="230"/>
      <c r="HA80" s="230"/>
      <c r="HB80" s="15"/>
      <c r="HC80"/>
      <c r="HD80"/>
      <c r="HE80"/>
      <c r="HF80"/>
      <c r="HG80"/>
      <c r="HH80"/>
      <c r="HI80" s="15"/>
    </row>
    <row r="81" spans="2:217" s="5" customFormat="1" ht="12.75" hidden="1" customHeight="1" outlineLevel="1" x14ac:dyDescent="0.2">
      <c r="B81" s="636"/>
      <c r="C81" s="643"/>
      <c r="D81" s="644"/>
      <c r="E81" s="643"/>
      <c r="F81" s="644"/>
      <c r="G81" s="643"/>
      <c r="H81" s="644"/>
      <c r="I81" s="643"/>
      <c r="J81" s="645"/>
      <c r="K81" s="643"/>
      <c r="L81" s="645"/>
      <c r="M81" s="643"/>
      <c r="N81" s="645"/>
      <c r="O81" s="643"/>
      <c r="P81" s="645"/>
      <c r="Q81" s="643"/>
      <c r="R81" s="645"/>
      <c r="S81" s="643"/>
      <c r="T81" s="645"/>
      <c r="U81" s="643"/>
      <c r="V81" s="645"/>
      <c r="W81" s="643"/>
      <c r="X81" s="645"/>
      <c r="Y81" s="643"/>
      <c r="Z81" s="645"/>
      <c r="AA81" s="643"/>
      <c r="AB81" s="645"/>
      <c r="AC81" s="643"/>
      <c r="AD81" s="645"/>
      <c r="AE81" s="643"/>
      <c r="AF81" s="645"/>
      <c r="AG81" s="643"/>
      <c r="AH81" s="645"/>
      <c r="AI81" s="643"/>
      <c r="AJ81" s="645"/>
      <c r="AK81" s="643"/>
      <c r="AL81" s="645"/>
      <c r="AM81" s="643"/>
      <c r="AN81" s="645"/>
      <c r="AO81" s="643"/>
      <c r="AP81" s="645"/>
      <c r="AQ81" s="643"/>
      <c r="AR81" s="645"/>
      <c r="AS81" s="643"/>
      <c r="AT81" s="645"/>
      <c r="AU81" s="643"/>
      <c r="AV81" s="645"/>
      <c r="AW81" s="643"/>
      <c r="AX81" s="645"/>
      <c r="AY81" s="646"/>
      <c r="AZ81" s="645"/>
      <c r="BA81" s="646"/>
      <c r="BB81" s="645"/>
      <c r="BC81" s="646"/>
      <c r="BD81" s="645"/>
      <c r="BE81" s="646"/>
      <c r="BF81" s="645"/>
      <c r="BG81" s="646"/>
      <c r="BH81" s="645"/>
      <c r="BI81" s="646"/>
      <c r="BJ81" s="645"/>
      <c r="BK81" s="646"/>
      <c r="BL81" s="645"/>
      <c r="BM81" s="646"/>
      <c r="BN81" s="645"/>
      <c r="BO81" s="646"/>
      <c r="BP81" s="645"/>
      <c r="BQ81" s="646"/>
      <c r="BR81" s="645"/>
      <c r="BS81" s="646"/>
      <c r="BT81" s="645"/>
      <c r="BU81" s="646"/>
      <c r="BV81" s="645"/>
      <c r="BW81" s="647"/>
      <c r="BX81" s="645"/>
      <c r="BY81" s="646"/>
      <c r="BZ81" s="645"/>
      <c r="CA81" s="646"/>
      <c r="CB81" s="645"/>
      <c r="CC81" s="646"/>
      <c r="CD81" s="645"/>
      <c r="CE81" s="646"/>
      <c r="CF81" s="645"/>
      <c r="CG81" s="646"/>
      <c r="CH81" s="645"/>
      <c r="CI81" s="646"/>
      <c r="CJ81" s="645"/>
      <c r="CK81" s="646"/>
      <c r="CL81" s="645"/>
      <c r="CM81" s="646"/>
      <c r="CN81" s="645"/>
      <c r="CO81" s="646"/>
      <c r="CP81" s="645"/>
      <c r="CQ81" s="648"/>
      <c r="CR81" s="645"/>
      <c r="CS81" s="646"/>
      <c r="CT81" s="645"/>
      <c r="CU81" s="639">
        <f>CU80-CU61-CU62</f>
        <v>-631</v>
      </c>
      <c r="CV81" s="645"/>
      <c r="CW81" s="639">
        <f>CW80-CW61-CW62</f>
        <v>-602</v>
      </c>
      <c r="CX81" s="645"/>
      <c r="CY81" s="639">
        <f>CY80-CY61-CY62</f>
        <v>-629</v>
      </c>
      <c r="CZ81" s="639">
        <f t="shared" ref="CZ81:DK81" si="391">CZ80-CZ61-CZ62</f>
        <v>-13.787534668184453</v>
      </c>
      <c r="DA81" s="639">
        <f t="shared" si="391"/>
        <v>-651</v>
      </c>
      <c r="DB81" s="639">
        <f t="shared" si="391"/>
        <v>-13.173456038913534</v>
      </c>
      <c r="DC81" s="639">
        <f t="shared" si="391"/>
        <v>-667</v>
      </c>
      <c r="DD81" s="175">
        <f>IF(ISERROR((DC81/CU81-1)*100),"NA",IF(((DC81/CU81-1)*100)&gt;100,"NM",IF(((DC81/CU81-1)*100)&lt;-50,"NM",(DC81/CU81-1)*100)))</f>
        <v>5.7052297939778063</v>
      </c>
      <c r="DE81" s="639">
        <f t="shared" si="391"/>
        <v>-598</v>
      </c>
      <c r="DF81" s="175">
        <f t="shared" si="350"/>
        <v>-0.66445182724252927</v>
      </c>
      <c r="DG81" s="639">
        <f t="shared" si="391"/>
        <v>-621</v>
      </c>
      <c r="DH81" s="175">
        <f>IF(ISERROR((DG81/CY81-1)*100),"NA",IF(((DG81/CY81-1)*100)&gt;100,"NM",IF(((DG81/CY81-1)*100)&lt;-50,"NM",(DG81/CY81-1)*100)))</f>
        <v>-1.2718600953895098</v>
      </c>
      <c r="DI81" s="639">
        <f t="shared" si="391"/>
        <v>-662</v>
      </c>
      <c r="DJ81" s="175">
        <f t="shared" si="351"/>
        <v>1.6897081413210335</v>
      </c>
      <c r="DK81" s="639">
        <f t="shared" si="391"/>
        <v>-862</v>
      </c>
      <c r="DL81" s="175">
        <f t="shared" si="352"/>
        <v>29.235382308845569</v>
      </c>
      <c r="DM81" s="639">
        <f t="shared" ref="DM81:DO81" si="392">DM80-DM61-DM62</f>
        <v>-902</v>
      </c>
      <c r="DN81" s="175">
        <f t="shared" si="353"/>
        <v>50.836120401337801</v>
      </c>
      <c r="DO81" s="639">
        <f t="shared" si="392"/>
        <v>-873</v>
      </c>
      <c r="DP81" s="175">
        <f t="shared" si="353"/>
        <v>40.579710144927539</v>
      </c>
      <c r="DQ81" s="639">
        <f t="shared" ref="DQ81:DS81" si="393">DQ80-DQ61-DQ62</f>
        <v>-790</v>
      </c>
      <c r="DR81" s="175">
        <f t="shared" si="353"/>
        <v>19.335347432024165</v>
      </c>
      <c r="DS81" s="639">
        <f t="shared" si="393"/>
        <v>-504</v>
      </c>
      <c r="DT81" s="175">
        <f t="shared" si="353"/>
        <v>-41.53132250580046</v>
      </c>
      <c r="DU81" s="639">
        <f t="shared" ref="DU81:DW81" si="394">DU80-DU61-DU62</f>
        <v>-491</v>
      </c>
      <c r="DV81" s="175">
        <f t="shared" si="353"/>
        <v>-45.565410199556545</v>
      </c>
      <c r="DW81" s="639">
        <f t="shared" si="394"/>
        <v>-476</v>
      </c>
      <c r="DX81" s="175">
        <f t="shared" si="353"/>
        <v>-45.475372279495993</v>
      </c>
      <c r="DY81" s="639">
        <f t="shared" ref="DY81:EA81" si="395">DY80-DY61-DY62</f>
        <v>-421</v>
      </c>
      <c r="DZ81" s="175">
        <f t="shared" si="353"/>
        <v>-46.708860759493675</v>
      </c>
      <c r="EA81" s="639">
        <f t="shared" si="395"/>
        <v>-678</v>
      </c>
      <c r="EB81" s="175">
        <f t="shared" si="354"/>
        <v>34.523809523809533</v>
      </c>
      <c r="EC81" s="639">
        <f t="shared" ref="EC81:EE81" si="396">EC80-EC61-EC62</f>
        <v>-667</v>
      </c>
      <c r="ED81" s="175">
        <f t="shared" si="355"/>
        <v>35.845213849287163</v>
      </c>
      <c r="EE81" s="639">
        <f t="shared" si="396"/>
        <v>-617</v>
      </c>
      <c r="EF81" s="860">
        <f t="shared" si="356"/>
        <v>29.621848739495803</v>
      </c>
      <c r="EG81" s="639">
        <f t="shared" ref="EG81:EI81" si="397">EG80-EG61-EG62</f>
        <v>-599</v>
      </c>
      <c r="EH81" s="860">
        <f t="shared" si="357"/>
        <v>42.280285035629461</v>
      </c>
      <c r="EI81" s="639">
        <f t="shared" si="397"/>
        <v>-858</v>
      </c>
      <c r="EJ81" s="860">
        <f t="shared" si="358"/>
        <v>26.548672566371678</v>
      </c>
      <c r="EK81" s="639">
        <f t="shared" ref="EK81:EM81" si="398">EK80-EK61-EK62</f>
        <v>-763</v>
      </c>
      <c r="EL81" s="860">
        <f t="shared" si="359"/>
        <v>14.392803598200899</v>
      </c>
      <c r="EM81" s="639">
        <f t="shared" si="398"/>
        <v>-636</v>
      </c>
      <c r="EN81" s="860">
        <f t="shared" si="360"/>
        <v>3.0794165316045286</v>
      </c>
      <c r="EO81" s="639">
        <f t="shared" ref="EO81" si="399">EO80-EO61-EO62</f>
        <v>-661</v>
      </c>
      <c r="EP81" s="175">
        <f t="shared" si="361"/>
        <v>10.350584307178634</v>
      </c>
      <c r="EQ81" s="1038">
        <f t="shared" ref="EQ81" si="400">EI81*1.04</f>
        <v>-892.32</v>
      </c>
      <c r="ER81" s="175">
        <f t="shared" si="363"/>
        <v>4.0000000000000036</v>
      </c>
      <c r="ES81" s="1038">
        <f t="shared" ref="ES81" si="401">EK81*1.04</f>
        <v>-793.52</v>
      </c>
      <c r="ET81" s="175">
        <f t="shared" si="365"/>
        <v>4.0000000000000036</v>
      </c>
      <c r="EU81" s="1038">
        <f t="shared" ref="EU81" si="402">EM81*1.04</f>
        <v>-661.44</v>
      </c>
      <c r="EV81" s="175">
        <f t="shared" si="367"/>
        <v>4.0000000000000036</v>
      </c>
      <c r="EW81" s="1038">
        <f t="shared" ref="EW81" si="403">EO81*1.04</f>
        <v>-687.44</v>
      </c>
      <c r="EX81" s="175">
        <f t="shared" si="369"/>
        <v>4.0000000000000036</v>
      </c>
      <c r="EY81" s="320"/>
      <c r="EZ81" s="604"/>
      <c r="FA81" s="414"/>
      <c r="FB81" s="312"/>
      <c r="FC81" s="319"/>
      <c r="FD81" s="312"/>
      <c r="FE81" s="319"/>
      <c r="FF81" s="320"/>
      <c r="FG81" s="319"/>
      <c r="FH81" s="320"/>
      <c r="FI81" s="319"/>
      <c r="FJ81" s="320"/>
      <c r="FK81" s="319"/>
      <c r="FL81" s="320"/>
      <c r="FM81" s="319"/>
      <c r="FN81" s="320"/>
      <c r="FO81" s="319"/>
      <c r="FP81" s="320"/>
      <c r="FQ81" s="319"/>
      <c r="FR81" s="133"/>
      <c r="FS81" s="635"/>
      <c r="FT81" s="133"/>
      <c r="FU81" s="635"/>
      <c r="FV81" s="133"/>
      <c r="FW81" s="230"/>
      <c r="FX81" s="523"/>
      <c r="FY81" s="230"/>
      <c r="FZ81" s="133"/>
      <c r="GA81" s="230"/>
      <c r="GB81" s="523"/>
      <c r="GC81" s="230"/>
      <c r="GD81" s="133"/>
      <c r="GE81" s="230"/>
      <c r="GF81" s="133"/>
      <c r="GG81" s="230"/>
      <c r="GH81" s="133"/>
      <c r="GI81" s="230"/>
      <c r="GJ81" s="133"/>
      <c r="GK81" s="230"/>
      <c r="GL81" s="133"/>
      <c r="GM81" s="230"/>
      <c r="GN81" s="133"/>
      <c r="GO81" s="230"/>
      <c r="GP81" s="133"/>
      <c r="GQ81" s="230"/>
      <c r="GR81" s="320"/>
      <c r="GS81" s="230"/>
      <c r="GT81" s="320"/>
      <c r="GU81" s="230"/>
      <c r="GV81" s="320"/>
      <c r="GW81" s="230"/>
      <c r="GX81" s="320"/>
      <c r="GY81" s="230"/>
      <c r="GZ81" s="230"/>
      <c r="HA81" s="230"/>
      <c r="HB81" s="15"/>
      <c r="HC81"/>
      <c r="HD81"/>
      <c r="HE81"/>
      <c r="HF81"/>
      <c r="HG81"/>
      <c r="HH81"/>
      <c r="HI81" s="15"/>
    </row>
    <row r="82" spans="2:217" s="5" customFormat="1" ht="12.75" hidden="1" customHeight="1" outlineLevel="1" x14ac:dyDescent="0.2">
      <c r="B82" s="636" t="s">
        <v>82</v>
      </c>
      <c r="C82" s="643"/>
      <c r="D82" s="644"/>
      <c r="E82" s="643"/>
      <c r="F82" s="644"/>
      <c r="G82" s="643"/>
      <c r="H82" s="644"/>
      <c r="I82" s="643"/>
      <c r="J82" s="645"/>
      <c r="K82" s="643"/>
      <c r="L82" s="645"/>
      <c r="M82" s="643"/>
      <c r="N82" s="645"/>
      <c r="O82" s="643"/>
      <c r="P82" s="645"/>
      <c r="Q82" s="643"/>
      <c r="R82" s="645"/>
      <c r="S82" s="643"/>
      <c r="T82" s="645"/>
      <c r="U82" s="643"/>
      <c r="V82" s="645"/>
      <c r="W82" s="643"/>
      <c r="X82" s="645"/>
      <c r="Y82" s="643"/>
      <c r="Z82" s="645"/>
      <c r="AA82" s="643"/>
      <c r="AB82" s="645"/>
      <c r="AC82" s="643"/>
      <c r="AD82" s="645"/>
      <c r="AE82" s="643"/>
      <c r="AF82" s="645"/>
      <c r="AG82" s="643"/>
      <c r="AH82" s="645"/>
      <c r="AI82" s="643"/>
      <c r="AJ82" s="645"/>
      <c r="AK82" s="643"/>
      <c r="AL82" s="645"/>
      <c r="AM82" s="643"/>
      <c r="AN82" s="645"/>
      <c r="AO82" s="643"/>
      <c r="AP82" s="645"/>
      <c r="AQ82" s="643"/>
      <c r="AR82" s="645"/>
      <c r="AS82" s="643"/>
      <c r="AT82" s="645"/>
      <c r="AU82" s="643"/>
      <c r="AV82" s="645"/>
      <c r="AW82" s="643"/>
      <c r="AX82" s="645"/>
      <c r="AY82" s="646"/>
      <c r="AZ82" s="645"/>
      <c r="BA82" s="646"/>
      <c r="BB82" s="645"/>
      <c r="BC82" s="646"/>
      <c r="BD82" s="645"/>
      <c r="BE82" s="646"/>
      <c r="BF82" s="645"/>
      <c r="BG82" s="646"/>
      <c r="BH82" s="645"/>
      <c r="BI82" s="646"/>
      <c r="BJ82" s="645"/>
      <c r="BK82" s="646"/>
      <c r="BL82" s="645"/>
      <c r="BM82" s="646"/>
      <c r="BN82" s="645"/>
      <c r="BO82" s="646"/>
      <c r="BP82" s="645"/>
      <c r="BQ82" s="646"/>
      <c r="BR82" s="645"/>
      <c r="BS82" s="646"/>
      <c r="BT82" s="645"/>
      <c r="BU82" s="646"/>
      <c r="BV82" s="645"/>
      <c r="BW82" s="647"/>
      <c r="BX82" s="645"/>
      <c r="BY82" s="646"/>
      <c r="BZ82" s="645"/>
      <c r="CA82" s="646"/>
      <c r="CB82" s="645"/>
      <c r="CC82" s="646"/>
      <c r="CD82" s="645"/>
      <c r="CE82" s="646"/>
      <c r="CF82" s="645"/>
      <c r="CG82" s="646"/>
      <c r="CH82" s="645"/>
      <c r="CI82" s="646"/>
      <c r="CJ82" s="645"/>
      <c r="CK82" s="646"/>
      <c r="CL82" s="645"/>
      <c r="CM82" s="646"/>
      <c r="CN82" s="645"/>
      <c r="CO82" s="646"/>
      <c r="CP82" s="645"/>
      <c r="CQ82" s="648"/>
      <c r="CR82" s="645"/>
      <c r="CS82" s="646"/>
      <c r="CT82" s="645"/>
      <c r="CU82" s="639">
        <f>CU80-CU81</f>
        <v>3751</v>
      </c>
      <c r="CV82" s="645"/>
      <c r="CW82" s="646">
        <f>CW80-CW81</f>
        <v>3848</v>
      </c>
      <c r="CX82" s="645"/>
      <c r="CY82" s="646">
        <f>CY80-CY81</f>
        <v>3919</v>
      </c>
      <c r="CZ82" s="639"/>
      <c r="DA82" s="646">
        <f>DA80-DA81</f>
        <v>3938</v>
      </c>
      <c r="DB82" s="639"/>
      <c r="DC82" s="646">
        <f>DC80-DC81</f>
        <v>4054</v>
      </c>
      <c r="DD82" s="175"/>
      <c r="DE82" s="646">
        <f>DE80-DE81</f>
        <v>3967</v>
      </c>
      <c r="DF82" s="175"/>
      <c r="DG82" s="646">
        <f>DG80-DG81</f>
        <v>3938</v>
      </c>
      <c r="DH82" s="175"/>
      <c r="DI82" s="646">
        <f>DI80-DI81</f>
        <v>3979</v>
      </c>
      <c r="DJ82" s="175">
        <f t="shared" si="351"/>
        <v>1.0411376333164135</v>
      </c>
      <c r="DK82" s="646">
        <f>DK80-DK81</f>
        <v>4179</v>
      </c>
      <c r="DL82" s="175">
        <f t="shared" si="352"/>
        <v>3.0833744449926037</v>
      </c>
      <c r="DM82" s="646">
        <f>DM80-DM81</f>
        <v>4219</v>
      </c>
      <c r="DN82" s="175">
        <f t="shared" si="353"/>
        <v>6.3524073607259979</v>
      </c>
      <c r="DO82" s="646">
        <f>DO80-DO81</f>
        <v>4190</v>
      </c>
      <c r="DP82" s="175">
        <f t="shared" si="353"/>
        <v>6.3991874047739872</v>
      </c>
      <c r="DQ82" s="646">
        <f>DQ80-DQ81</f>
        <v>4107</v>
      </c>
      <c r="DR82" s="175">
        <f t="shared" si="353"/>
        <v>3.2168886654938333</v>
      </c>
      <c r="DS82" s="646">
        <f>DS80-DS81</f>
        <v>3821</v>
      </c>
      <c r="DT82" s="175">
        <f t="shared" si="353"/>
        <v>-8.5666427374970091</v>
      </c>
      <c r="DU82" s="646">
        <f>DU80-DU81</f>
        <v>3808</v>
      </c>
      <c r="DV82" s="175">
        <f t="shared" si="353"/>
        <v>-9.7416449395591354</v>
      </c>
      <c r="DW82" s="646">
        <f>DW80-DW81</f>
        <v>3793</v>
      </c>
      <c r="DX82" s="175">
        <f t="shared" si="353"/>
        <v>-9.4749403341288776</v>
      </c>
      <c r="DY82" s="646">
        <f>DY80-DY81</f>
        <v>3738</v>
      </c>
      <c r="DZ82" s="175">
        <f t="shared" si="353"/>
        <v>-8.9846603360116859</v>
      </c>
      <c r="EA82" s="646">
        <f>EA80-EA81</f>
        <v>3995</v>
      </c>
      <c r="EB82" s="175">
        <f t="shared" si="354"/>
        <v>4.5537817325307595</v>
      </c>
      <c r="EC82" s="646">
        <f>EC80-EC81</f>
        <v>3984</v>
      </c>
      <c r="ED82" s="175">
        <f t="shared" si="355"/>
        <v>4.6218487394958041</v>
      </c>
      <c r="EE82" s="646">
        <f>EE80-EE81</f>
        <v>3934</v>
      </c>
      <c r="EF82" s="860">
        <f t="shared" si="356"/>
        <v>3.7173741102030089</v>
      </c>
      <c r="EG82" s="646">
        <f>EG80-EG81</f>
        <v>3916</v>
      </c>
      <c r="EH82" s="860">
        <f t="shared" si="357"/>
        <v>4.7619047619047672</v>
      </c>
      <c r="EI82" s="646">
        <f>EI80-EI81</f>
        <v>4175</v>
      </c>
      <c r="EJ82" s="860">
        <f t="shared" si="358"/>
        <v>4.505632040050056</v>
      </c>
      <c r="EK82" s="646">
        <f>EK80-EK81</f>
        <v>4080</v>
      </c>
      <c r="EL82" s="860">
        <f t="shared" si="359"/>
        <v>2.4096385542168752</v>
      </c>
      <c r="EM82" s="646">
        <f>EM80-EM81</f>
        <v>3953</v>
      </c>
      <c r="EN82" s="860">
        <f t="shared" si="360"/>
        <v>0.48296898830706425</v>
      </c>
      <c r="EO82" s="646">
        <f>EO80-EO81</f>
        <v>3978</v>
      </c>
      <c r="EP82" s="175">
        <f t="shared" si="361"/>
        <v>1.5832482124616964</v>
      </c>
      <c r="EQ82" s="1005">
        <f t="shared" ref="EQ82" si="404">EQ80-EQ81</f>
        <v>4338.6099999999997</v>
      </c>
      <c r="ER82" s="175">
        <f t="shared" si="363"/>
        <v>3.9188023952095641</v>
      </c>
      <c r="ES82" s="1005">
        <f t="shared" ref="ES82" si="405">ES80-ES81</f>
        <v>4239.8099999999995</v>
      </c>
      <c r="ET82" s="175">
        <f t="shared" si="365"/>
        <v>3.9169117647058771</v>
      </c>
      <c r="EU82" s="1005">
        <f t="shared" ref="EU82" si="406">EU80-EU81</f>
        <v>4107.7299999999996</v>
      </c>
      <c r="EV82" s="175">
        <f t="shared" si="367"/>
        <v>3.9142423475841071</v>
      </c>
      <c r="EW82" s="1005">
        <f t="shared" ref="EW82" si="407">EW80-EW81</f>
        <v>4133.7299999999996</v>
      </c>
      <c r="EX82" s="175">
        <f t="shared" si="369"/>
        <v>3.9147812971342288</v>
      </c>
      <c r="EY82" s="320"/>
      <c r="EZ82" s="604"/>
      <c r="FA82" s="414"/>
      <c r="FB82" s="312"/>
      <c r="FC82" s="319"/>
      <c r="FD82" s="312"/>
      <c r="FE82" s="319"/>
      <c r="FF82" s="320"/>
      <c r="FG82" s="319"/>
      <c r="FH82" s="320"/>
      <c r="FI82" s="319"/>
      <c r="FJ82" s="320"/>
      <c r="FK82" s="319"/>
      <c r="FL82" s="320"/>
      <c r="FM82" s="319"/>
      <c r="FN82" s="320"/>
      <c r="FO82" s="319"/>
      <c r="FP82" s="320"/>
      <c r="FQ82" s="319"/>
      <c r="FR82" s="133"/>
      <c r="FS82" s="635"/>
      <c r="FT82" s="133"/>
      <c r="FU82" s="635"/>
      <c r="FV82" s="133"/>
      <c r="FW82" s="230"/>
      <c r="FX82" s="523"/>
      <c r="FY82" s="230"/>
      <c r="FZ82" s="133"/>
      <c r="GA82" s="230"/>
      <c r="GB82" s="523"/>
      <c r="GC82" s="230"/>
      <c r="GD82" s="133"/>
      <c r="GE82" s="230"/>
      <c r="GF82" s="133"/>
      <c r="GG82" s="230"/>
      <c r="GH82" s="133"/>
      <c r="GI82" s="230"/>
      <c r="GJ82" s="133"/>
      <c r="GK82" s="230"/>
      <c r="GL82" s="133"/>
      <c r="GM82" s="230"/>
      <c r="GN82" s="133"/>
      <c r="GO82" s="230"/>
      <c r="GP82" s="133"/>
      <c r="GQ82" s="230"/>
      <c r="GR82" s="320"/>
      <c r="GS82" s="230"/>
      <c r="GT82" s="320"/>
      <c r="GU82" s="230"/>
      <c r="GV82" s="320"/>
      <c r="GW82" s="230"/>
      <c r="GX82" s="320"/>
      <c r="GY82" s="230"/>
      <c r="GZ82" s="230"/>
      <c r="HA82" s="230"/>
      <c r="HB82" s="15"/>
      <c r="HC82"/>
      <c r="HD82"/>
      <c r="HE82"/>
      <c r="HF82"/>
      <c r="HG82"/>
      <c r="HH82"/>
      <c r="HI82" s="15"/>
    </row>
    <row r="83" spans="2:217" s="5" customFormat="1" ht="12.75" hidden="1" customHeight="1" outlineLevel="1" x14ac:dyDescent="0.2">
      <c r="B83" s="636"/>
      <c r="C83" s="643"/>
      <c r="D83" s="644"/>
      <c r="E83" s="643"/>
      <c r="F83" s="644"/>
      <c r="G83" s="643"/>
      <c r="H83" s="644"/>
      <c r="I83" s="643"/>
      <c r="J83" s="645"/>
      <c r="K83" s="643"/>
      <c r="L83" s="645"/>
      <c r="M83" s="643"/>
      <c r="N83" s="645"/>
      <c r="O83" s="643"/>
      <c r="P83" s="645"/>
      <c r="Q83" s="643"/>
      <c r="R83" s="645"/>
      <c r="S83" s="643"/>
      <c r="T83" s="645"/>
      <c r="U83" s="643"/>
      <c r="V83" s="645"/>
      <c r="W83" s="643"/>
      <c r="X83" s="645"/>
      <c r="Y83" s="643"/>
      <c r="Z83" s="645"/>
      <c r="AA83" s="643"/>
      <c r="AB83" s="645"/>
      <c r="AC83" s="643"/>
      <c r="AD83" s="645"/>
      <c r="AE83" s="643"/>
      <c r="AF83" s="645"/>
      <c r="AG83" s="643"/>
      <c r="AH83" s="645"/>
      <c r="AI83" s="643"/>
      <c r="AJ83" s="645"/>
      <c r="AK83" s="643"/>
      <c r="AL83" s="645"/>
      <c r="AM83" s="643"/>
      <c r="AN83" s="645"/>
      <c r="AO83" s="643"/>
      <c r="AP83" s="645"/>
      <c r="AQ83" s="643"/>
      <c r="AR83" s="645"/>
      <c r="AS83" s="643"/>
      <c r="AT83" s="645"/>
      <c r="AU83" s="643"/>
      <c r="AV83" s="645"/>
      <c r="AW83" s="643"/>
      <c r="AX83" s="645"/>
      <c r="AY83" s="646"/>
      <c r="AZ83" s="645"/>
      <c r="BA83" s="646"/>
      <c r="BB83" s="645"/>
      <c r="BC83" s="646"/>
      <c r="BD83" s="645"/>
      <c r="BE83" s="646"/>
      <c r="BF83" s="645"/>
      <c r="BG83" s="646"/>
      <c r="BH83" s="645"/>
      <c r="BI83" s="646"/>
      <c r="BJ83" s="645"/>
      <c r="BK83" s="646"/>
      <c r="BL83" s="645"/>
      <c r="BM83" s="646"/>
      <c r="BN83" s="645"/>
      <c r="BO83" s="646"/>
      <c r="BP83" s="645"/>
      <c r="BQ83" s="646"/>
      <c r="BR83" s="645"/>
      <c r="BS83" s="646"/>
      <c r="BT83" s="645"/>
      <c r="BU83" s="646"/>
      <c r="BV83" s="645"/>
      <c r="BW83" s="647"/>
      <c r="BX83" s="645"/>
      <c r="BY83" s="646"/>
      <c r="BZ83" s="645"/>
      <c r="CA83" s="646"/>
      <c r="CB83" s="645"/>
      <c r="CC83" s="646"/>
      <c r="CD83" s="645"/>
      <c r="CE83" s="646"/>
      <c r="CF83" s="645"/>
      <c r="CG83" s="646"/>
      <c r="CH83" s="645"/>
      <c r="CI83" s="646"/>
      <c r="CJ83" s="645"/>
      <c r="CK83" s="646"/>
      <c r="CL83" s="645"/>
      <c r="CM83" s="646"/>
      <c r="CN83" s="645"/>
      <c r="CO83" s="646"/>
      <c r="CP83" s="645"/>
      <c r="CQ83" s="648"/>
      <c r="CR83" s="645"/>
      <c r="CS83" s="646"/>
      <c r="CT83" s="645"/>
      <c r="CU83" s="639"/>
      <c r="CV83" s="645"/>
      <c r="CW83" s="639"/>
      <c r="CX83" s="645"/>
      <c r="CY83" s="639"/>
      <c r="CZ83" s="639"/>
      <c r="DA83" s="639"/>
      <c r="DB83" s="639"/>
      <c r="DC83" s="639"/>
      <c r="DD83" s="175"/>
      <c r="DE83" s="639"/>
      <c r="DF83" s="175"/>
      <c r="DG83" s="639"/>
      <c r="DH83" s="175"/>
      <c r="DI83" s="639"/>
      <c r="DJ83" s="645"/>
      <c r="DK83" s="639"/>
      <c r="DL83" s="645"/>
      <c r="DM83" s="639"/>
      <c r="DN83" s="645"/>
      <c r="DO83" s="639"/>
      <c r="DP83" s="645"/>
      <c r="DQ83" s="639"/>
      <c r="DR83" s="645"/>
      <c r="DS83" s="639"/>
      <c r="DT83" s="645"/>
      <c r="DU83" s="639"/>
      <c r="DV83" s="645"/>
      <c r="DW83" s="639"/>
      <c r="DX83" s="645"/>
      <c r="DY83" s="639"/>
      <c r="DZ83" s="645"/>
      <c r="EA83" s="639"/>
      <c r="EB83" s="645"/>
      <c r="EC83" s="639"/>
      <c r="ED83" s="645"/>
      <c r="EE83" s="639"/>
      <c r="EF83" s="1039"/>
      <c r="EG83" s="639"/>
      <c r="EH83" s="1039"/>
      <c r="EI83" s="639"/>
      <c r="EJ83" s="1039"/>
      <c r="EK83" s="639"/>
      <c r="EL83" s="1039"/>
      <c r="EM83" s="639"/>
      <c r="EN83" s="1039"/>
      <c r="EO83" s="639"/>
      <c r="EP83" s="645"/>
      <c r="EQ83" s="1038"/>
      <c r="ER83" s="645"/>
      <c r="ES83" s="1038"/>
      <c r="ET83" s="645"/>
      <c r="EU83" s="1038"/>
      <c r="EV83" s="645"/>
      <c r="EW83" s="1038"/>
      <c r="EX83" s="645"/>
      <c r="EY83" s="320"/>
      <c r="EZ83" s="604"/>
      <c r="FA83" s="414"/>
      <c r="FB83" s="312"/>
      <c r="FC83" s="319"/>
      <c r="FD83" s="312"/>
      <c r="FE83" s="319"/>
      <c r="FF83" s="320"/>
      <c r="FG83" s="319"/>
      <c r="FH83" s="320"/>
      <c r="FI83" s="319"/>
      <c r="FJ83" s="320"/>
      <c r="FK83" s="319"/>
      <c r="FL83" s="320"/>
      <c r="FM83" s="319"/>
      <c r="FN83" s="320"/>
      <c r="FO83" s="319"/>
      <c r="FP83" s="320"/>
      <c r="FQ83" s="319"/>
      <c r="FR83" s="133"/>
      <c r="FS83" s="635"/>
      <c r="FT83" s="133"/>
      <c r="FU83" s="635"/>
      <c r="FV83" s="133"/>
      <c r="FW83" s="230"/>
      <c r="FX83" s="523"/>
      <c r="FY83" s="230"/>
      <c r="FZ83" s="133"/>
      <c r="GA83" s="230"/>
      <c r="GB83" s="523"/>
      <c r="GC83" s="230"/>
      <c r="GD83" s="133"/>
      <c r="GE83" s="230"/>
      <c r="GF83" s="133"/>
      <c r="GG83" s="230"/>
      <c r="GH83" s="133"/>
      <c r="GI83" s="230"/>
      <c r="GJ83" s="133"/>
      <c r="GK83" s="230"/>
      <c r="GL83" s="133"/>
      <c r="GM83" s="230"/>
      <c r="GN83" s="133"/>
      <c r="GO83" s="230"/>
      <c r="GP83" s="133"/>
      <c r="GQ83" s="230"/>
      <c r="GR83" s="320"/>
      <c r="GS83" s="230"/>
      <c r="GT83" s="320"/>
      <c r="GU83" s="230"/>
      <c r="GV83" s="320"/>
      <c r="GW83" s="230"/>
      <c r="GX83" s="320"/>
      <c r="GY83" s="230"/>
      <c r="GZ83" s="230"/>
      <c r="HA83" s="230"/>
      <c r="HB83" s="15"/>
      <c r="HC83"/>
      <c r="HD83"/>
      <c r="HE83"/>
      <c r="HF83"/>
      <c r="HG83"/>
      <c r="HH83"/>
      <c r="HI83" s="15"/>
    </row>
    <row r="84" spans="2:217" s="2" customFormat="1" ht="12.75" hidden="1" customHeight="1" outlineLevel="1" x14ac:dyDescent="0.2">
      <c r="B84" s="636" t="s">
        <v>80</v>
      </c>
      <c r="C84" s="637"/>
      <c r="D84" s="638"/>
      <c r="E84" s="637"/>
      <c r="F84" s="638"/>
      <c r="G84" s="637"/>
      <c r="H84" s="638"/>
      <c r="I84" s="637"/>
      <c r="J84" s="175"/>
      <c r="K84" s="637"/>
      <c r="L84" s="175"/>
      <c r="M84" s="637"/>
      <c r="N84" s="175"/>
      <c r="O84" s="637"/>
      <c r="P84" s="175"/>
      <c r="Q84" s="637"/>
      <c r="R84" s="175"/>
      <c r="S84" s="637"/>
      <c r="T84" s="175"/>
      <c r="U84" s="637"/>
      <c r="V84" s="175"/>
      <c r="W84" s="637"/>
      <c r="X84" s="175"/>
      <c r="Y84" s="637"/>
      <c r="Z84" s="175"/>
      <c r="AA84" s="637"/>
      <c r="AB84" s="175"/>
      <c r="AC84" s="637"/>
      <c r="AD84" s="175"/>
      <c r="AE84" s="637"/>
      <c r="AF84" s="175"/>
      <c r="AG84" s="637"/>
      <c r="AH84" s="175"/>
      <c r="AI84" s="637"/>
      <c r="AJ84" s="175"/>
      <c r="AK84" s="637"/>
      <c r="AL84" s="175"/>
      <c r="AM84" s="637"/>
      <c r="AN84" s="175"/>
      <c r="AO84" s="637"/>
      <c r="AP84" s="175"/>
      <c r="AQ84" s="637"/>
      <c r="AR84" s="175"/>
      <c r="AS84" s="637"/>
      <c r="AT84" s="175"/>
      <c r="AU84" s="637"/>
      <c r="AV84" s="175"/>
      <c r="AW84" s="637"/>
      <c r="AX84" s="175"/>
      <c r="AY84" s="639"/>
      <c r="AZ84" s="175"/>
      <c r="BA84" s="639"/>
      <c r="BB84" s="175"/>
      <c r="BC84" s="639"/>
      <c r="BD84" s="175"/>
      <c r="BE84" s="639"/>
      <c r="BF84" s="175"/>
      <c r="BG84" s="639"/>
      <c r="BH84" s="175"/>
      <c r="BI84" s="639"/>
      <c r="BJ84" s="175"/>
      <c r="BK84" s="639"/>
      <c r="BL84" s="175"/>
      <c r="BM84" s="639"/>
      <c r="BN84" s="175"/>
      <c r="BO84" s="639"/>
      <c r="BP84" s="175"/>
      <c r="BQ84" s="639"/>
      <c r="BR84" s="175"/>
      <c r="BS84" s="639"/>
      <c r="BT84" s="175"/>
      <c r="BU84" s="639"/>
      <c r="BV84" s="175"/>
      <c r="BW84" s="640"/>
      <c r="BX84" s="175"/>
      <c r="BY84" s="639"/>
      <c r="BZ84" s="175"/>
      <c r="CA84" s="639"/>
      <c r="CB84" s="175"/>
      <c r="CC84" s="639"/>
      <c r="CD84" s="175"/>
      <c r="CE84" s="639"/>
      <c r="CF84" s="175"/>
      <c r="CG84" s="639"/>
      <c r="CH84" s="175"/>
      <c r="CI84" s="639"/>
      <c r="CJ84" s="175"/>
      <c r="CK84" s="639"/>
      <c r="CL84" s="175"/>
      <c r="CM84" s="639"/>
      <c r="CN84" s="175"/>
      <c r="CO84" s="639"/>
      <c r="CP84" s="175"/>
      <c r="CQ84" s="641"/>
      <c r="CR84" s="175"/>
      <c r="CS84" s="639"/>
      <c r="CT84" s="175"/>
      <c r="CU84" s="639"/>
      <c r="CV84" s="175"/>
      <c r="CW84" s="639"/>
      <c r="CX84" s="175"/>
      <c r="CY84" s="588"/>
      <c r="CZ84" s="588"/>
      <c r="DA84" s="588"/>
      <c r="DB84" s="588"/>
      <c r="DC84" s="588"/>
      <c r="DD84" s="588"/>
      <c r="DE84" s="588"/>
      <c r="DF84" s="588"/>
      <c r="DG84" s="588"/>
      <c r="DH84" s="175"/>
      <c r="DI84" s="588"/>
      <c r="DJ84" s="175"/>
      <c r="DK84" s="588"/>
      <c r="DL84" s="175"/>
      <c r="DM84" s="588"/>
      <c r="DN84" s="175"/>
      <c r="DO84" s="588"/>
      <c r="DP84" s="175"/>
      <c r="DQ84" s="588"/>
      <c r="DR84" s="175"/>
      <c r="DS84" s="588"/>
      <c r="DT84" s="175"/>
      <c r="DU84" s="588"/>
      <c r="DV84" s="175"/>
      <c r="DW84" s="588"/>
      <c r="DX84" s="175"/>
      <c r="DY84" s="588"/>
      <c r="DZ84" s="175"/>
      <c r="EA84" s="588"/>
      <c r="EB84" s="175"/>
      <c r="EC84" s="588"/>
      <c r="ED84" s="175"/>
      <c r="EE84" s="588"/>
      <c r="EF84" s="860"/>
      <c r="EG84" s="588"/>
      <c r="EH84" s="860"/>
      <c r="EI84" s="588"/>
      <c r="EJ84" s="860"/>
      <c r="EK84" s="588"/>
      <c r="EL84" s="860"/>
      <c r="EM84" s="588"/>
      <c r="EN84" s="860"/>
      <c r="EO84" s="588"/>
      <c r="EP84" s="175"/>
      <c r="EQ84" s="789"/>
      <c r="ER84" s="175"/>
      <c r="ES84" s="789"/>
      <c r="ET84" s="175"/>
      <c r="EU84" s="789"/>
      <c r="EV84" s="175"/>
      <c r="EW84" s="789"/>
      <c r="EX84" s="175"/>
      <c r="EY84" s="95"/>
      <c r="EZ84" s="594"/>
      <c r="FA84" s="405"/>
      <c r="FB84" s="94"/>
      <c r="FC84" s="92"/>
      <c r="FD84" s="94"/>
      <c r="FE84" s="92"/>
      <c r="FF84" s="95"/>
      <c r="FG84" s="92"/>
      <c r="FH84" s="95"/>
      <c r="FI84" s="92"/>
      <c r="FJ84" s="95"/>
      <c r="FK84" s="92"/>
      <c r="FL84" s="95"/>
      <c r="FM84" s="92"/>
      <c r="FN84" s="95"/>
      <c r="FO84" s="92"/>
      <c r="FP84" s="95"/>
      <c r="FQ84" s="92"/>
      <c r="FR84" s="96"/>
      <c r="FS84" s="97"/>
      <c r="FT84" s="96"/>
      <c r="FU84" s="97"/>
      <c r="FV84" s="96"/>
      <c r="FW84" s="98"/>
      <c r="FX84" s="480"/>
      <c r="FY84" s="98"/>
      <c r="FZ84" s="96"/>
      <c r="GA84" s="98"/>
      <c r="GB84" s="480"/>
      <c r="GC84" s="98"/>
      <c r="GD84" s="96"/>
      <c r="GE84" s="98"/>
      <c r="GF84" s="96"/>
      <c r="GG84" s="98"/>
      <c r="GH84" s="96"/>
      <c r="GI84" s="98"/>
      <c r="GJ84" s="96"/>
      <c r="GK84" s="98"/>
      <c r="GL84" s="96"/>
      <c r="GM84" s="98"/>
      <c r="GN84" s="96"/>
      <c r="GO84" s="98"/>
      <c r="GP84" s="96"/>
      <c r="GQ84" s="98"/>
      <c r="GR84" s="95"/>
      <c r="GS84" s="98"/>
      <c r="GT84" s="95"/>
      <c r="GU84" s="98"/>
      <c r="GV84" s="95"/>
      <c r="GW84" s="98"/>
      <c r="GX84" s="95"/>
      <c r="GY84" s="98"/>
      <c r="GZ84" s="98"/>
      <c r="HA84" s="98"/>
      <c r="HB84" s="10"/>
      <c r="HC84"/>
      <c r="HD84"/>
      <c r="HE84"/>
      <c r="HF84"/>
      <c r="HG84"/>
      <c r="HH84"/>
      <c r="HI84" s="10"/>
    </row>
    <row r="85" spans="2:217" s="2" customFormat="1" ht="12.75" hidden="1" customHeight="1" outlineLevel="1" x14ac:dyDescent="0.2">
      <c r="B85" s="642" t="str">
        <f>B77</f>
        <v>Group life</v>
      </c>
      <c r="C85" s="637"/>
      <c r="D85" s="638"/>
      <c r="E85" s="637"/>
      <c r="F85" s="638"/>
      <c r="G85" s="637"/>
      <c r="H85" s="638"/>
      <c r="I85" s="637"/>
      <c r="J85" s="175"/>
      <c r="K85" s="637"/>
      <c r="L85" s="175"/>
      <c r="M85" s="637"/>
      <c r="N85" s="175"/>
      <c r="O85" s="637"/>
      <c r="P85" s="175"/>
      <c r="Q85" s="637"/>
      <c r="R85" s="175"/>
      <c r="S85" s="637"/>
      <c r="T85" s="175"/>
      <c r="U85" s="637"/>
      <c r="V85" s="175"/>
      <c r="W85" s="637"/>
      <c r="X85" s="175"/>
      <c r="Y85" s="637"/>
      <c r="Z85" s="175"/>
      <c r="AA85" s="637"/>
      <c r="AB85" s="175"/>
      <c r="AC85" s="637"/>
      <c r="AD85" s="175"/>
      <c r="AE85" s="637"/>
      <c r="AF85" s="175"/>
      <c r="AG85" s="637"/>
      <c r="AH85" s="175"/>
      <c r="AI85" s="637"/>
      <c r="AJ85" s="175"/>
      <c r="AK85" s="637"/>
      <c r="AL85" s="175"/>
      <c r="AM85" s="637"/>
      <c r="AN85" s="175"/>
      <c r="AO85" s="637"/>
      <c r="AP85" s="175"/>
      <c r="AQ85" s="637"/>
      <c r="AR85" s="175"/>
      <c r="AS85" s="637"/>
      <c r="AT85" s="175"/>
      <c r="AU85" s="637"/>
      <c r="AV85" s="175"/>
      <c r="AW85" s="637"/>
      <c r="AX85" s="175"/>
      <c r="AY85" s="639"/>
      <c r="AZ85" s="175"/>
      <c r="BA85" s="639"/>
      <c r="BB85" s="175"/>
      <c r="BC85" s="639"/>
      <c r="BD85" s="175"/>
      <c r="BE85" s="639"/>
      <c r="BF85" s="175"/>
      <c r="BG85" s="639"/>
      <c r="BH85" s="175"/>
      <c r="BI85" s="639"/>
      <c r="BJ85" s="175"/>
      <c r="BK85" s="639"/>
      <c r="BL85" s="175"/>
      <c r="BM85" s="639"/>
      <c r="BN85" s="175"/>
      <c r="BO85" s="639"/>
      <c r="BP85" s="175"/>
      <c r="BQ85" s="639"/>
      <c r="BR85" s="175"/>
      <c r="BS85" s="639"/>
      <c r="BT85" s="175"/>
      <c r="BU85" s="639"/>
      <c r="BV85" s="175"/>
      <c r="BW85" s="640"/>
      <c r="BX85" s="175"/>
      <c r="BY85" s="639"/>
      <c r="BZ85" s="175"/>
      <c r="CA85" s="639"/>
      <c r="CB85" s="175"/>
      <c r="CC85" s="639"/>
      <c r="CD85" s="175"/>
      <c r="CE85" s="639"/>
      <c r="CF85" s="175"/>
      <c r="CG85" s="639"/>
      <c r="CH85" s="175"/>
      <c r="CI85" s="639"/>
      <c r="CJ85" s="175"/>
      <c r="CK85" s="639"/>
      <c r="CL85" s="175"/>
      <c r="CM85" s="639"/>
      <c r="CN85" s="175"/>
      <c r="CO85" s="639"/>
      <c r="CP85" s="175"/>
      <c r="CQ85" s="641"/>
      <c r="CR85" s="175"/>
      <c r="CS85" s="639"/>
      <c r="CT85" s="175"/>
      <c r="CU85" s="639">
        <v>89.1</v>
      </c>
      <c r="CV85" s="175"/>
      <c r="CW85" s="639">
        <v>87.3</v>
      </c>
      <c r="CX85" s="175"/>
      <c r="CY85" s="639">
        <v>88.1</v>
      </c>
      <c r="CZ85" s="175"/>
      <c r="DA85" s="639">
        <v>84.6</v>
      </c>
      <c r="DB85" s="175"/>
      <c r="DC85" s="639">
        <v>91.3</v>
      </c>
      <c r="DD85" s="175"/>
      <c r="DE85" s="639">
        <v>86.5</v>
      </c>
      <c r="DF85" s="175">
        <f t="shared" si="350"/>
        <v>-0.91638029782359354</v>
      </c>
      <c r="DG85" s="639">
        <v>90.3</v>
      </c>
      <c r="DH85" s="175"/>
      <c r="DI85" s="639">
        <v>90.3</v>
      </c>
      <c r="DJ85" s="175"/>
      <c r="DK85" s="639">
        <v>90.3</v>
      </c>
      <c r="DL85" s="175"/>
      <c r="DM85" s="639">
        <v>90.3</v>
      </c>
      <c r="DN85" s="175"/>
      <c r="DO85" s="639">
        <v>90.3</v>
      </c>
      <c r="DP85" s="175"/>
      <c r="DQ85" s="639">
        <v>90.3</v>
      </c>
      <c r="DR85" s="175"/>
      <c r="DS85" s="639">
        <v>90.3</v>
      </c>
      <c r="DT85" s="175"/>
      <c r="DU85" s="639">
        <v>90.3</v>
      </c>
      <c r="DV85" s="175"/>
      <c r="DW85" s="639">
        <v>90.3</v>
      </c>
      <c r="DX85" s="175"/>
      <c r="DY85" s="639">
        <v>90.3</v>
      </c>
      <c r="DZ85" s="175"/>
      <c r="EA85" s="639">
        <v>90.3</v>
      </c>
      <c r="EB85" s="175"/>
      <c r="EC85" s="639">
        <v>90.3</v>
      </c>
      <c r="ED85" s="175"/>
      <c r="EE85" s="639">
        <v>90.3</v>
      </c>
      <c r="EF85" s="860"/>
      <c r="EG85" s="639">
        <v>90.3</v>
      </c>
      <c r="EH85" s="860"/>
      <c r="EI85" s="639">
        <v>90.3</v>
      </c>
      <c r="EJ85" s="860"/>
      <c r="EK85" s="639">
        <v>90.3</v>
      </c>
      <c r="EL85" s="860"/>
      <c r="EM85" s="639">
        <v>90.3</v>
      </c>
      <c r="EN85" s="860"/>
      <c r="EO85" s="639">
        <v>90.3</v>
      </c>
      <c r="EP85" s="175"/>
      <c r="EQ85" s="789">
        <f t="shared" ref="EQ85:EW85" si="408">AVERAGE(85,90)</f>
        <v>87.5</v>
      </c>
      <c r="ER85" s="175"/>
      <c r="ES85" s="789">
        <f t="shared" si="408"/>
        <v>87.5</v>
      </c>
      <c r="ET85" s="175"/>
      <c r="EU85" s="789">
        <f t="shared" si="408"/>
        <v>87.5</v>
      </c>
      <c r="EV85" s="175"/>
      <c r="EW85" s="789">
        <f t="shared" si="408"/>
        <v>87.5</v>
      </c>
      <c r="EX85" s="175"/>
      <c r="EY85" s="95"/>
      <c r="EZ85" s="594"/>
      <c r="FA85" s="405"/>
      <c r="FB85" s="94"/>
      <c r="FC85" s="92"/>
      <c r="FD85" s="94"/>
      <c r="FE85" s="92"/>
      <c r="FF85" s="95"/>
      <c r="FG85" s="92"/>
      <c r="FH85" s="95"/>
      <c r="FI85" s="92"/>
      <c r="FJ85" s="95"/>
      <c r="FK85" s="92"/>
      <c r="FL85" s="95"/>
      <c r="FM85" s="92"/>
      <c r="FN85" s="95"/>
      <c r="FO85" s="92"/>
      <c r="FP85" s="95"/>
      <c r="FQ85" s="92"/>
      <c r="FR85" s="96"/>
      <c r="FS85" s="97"/>
      <c r="FT85" s="96"/>
      <c r="FU85" s="97"/>
      <c r="FV85" s="96"/>
      <c r="FW85" s="98"/>
      <c r="FX85" s="480"/>
      <c r="FY85" s="98"/>
      <c r="FZ85" s="96"/>
      <c r="GA85" s="98"/>
      <c r="GB85" s="480"/>
      <c r="GC85" s="98"/>
      <c r="GD85" s="96"/>
      <c r="GE85" s="98"/>
      <c r="GF85" s="96"/>
      <c r="GG85" s="98"/>
      <c r="GH85" s="96"/>
      <c r="GI85" s="98"/>
      <c r="GJ85" s="96"/>
      <c r="GK85" s="98"/>
      <c r="GL85" s="96"/>
      <c r="GM85" s="98"/>
      <c r="GN85" s="96"/>
      <c r="GO85" s="98"/>
      <c r="GP85" s="96"/>
      <c r="GQ85" s="98"/>
      <c r="GR85" s="95"/>
      <c r="GS85" s="98"/>
      <c r="GT85" s="95"/>
      <c r="GU85" s="98"/>
      <c r="GV85" s="95"/>
      <c r="GW85" s="98"/>
      <c r="GX85" s="95"/>
      <c r="GY85" s="98"/>
      <c r="GZ85" s="98"/>
      <c r="HA85" s="98"/>
      <c r="HB85" s="10"/>
      <c r="HC85"/>
      <c r="HD85"/>
      <c r="HE85"/>
      <c r="HF85"/>
      <c r="HG85"/>
      <c r="HH85"/>
      <c r="HI85" s="10"/>
    </row>
    <row r="86" spans="2:217" s="2" customFormat="1" ht="12.75" hidden="1" customHeight="1" outlineLevel="1" x14ac:dyDescent="0.2">
      <c r="B86" s="642" t="str">
        <f>B78</f>
        <v>Non-Medical</v>
      </c>
      <c r="C86" s="637"/>
      <c r="D86" s="638"/>
      <c r="E86" s="637"/>
      <c r="F86" s="638"/>
      <c r="G86" s="637"/>
      <c r="H86" s="638"/>
      <c r="I86" s="637"/>
      <c r="J86" s="175"/>
      <c r="K86" s="637"/>
      <c r="L86" s="175"/>
      <c r="M86" s="637"/>
      <c r="N86" s="175"/>
      <c r="O86" s="637"/>
      <c r="P86" s="175"/>
      <c r="Q86" s="637"/>
      <c r="R86" s="175"/>
      <c r="S86" s="637"/>
      <c r="T86" s="175"/>
      <c r="U86" s="637"/>
      <c r="V86" s="175"/>
      <c r="W86" s="637"/>
      <c r="X86" s="175"/>
      <c r="Y86" s="637"/>
      <c r="Z86" s="175"/>
      <c r="AA86" s="637"/>
      <c r="AB86" s="175"/>
      <c r="AC86" s="637"/>
      <c r="AD86" s="175"/>
      <c r="AE86" s="637"/>
      <c r="AF86" s="175"/>
      <c r="AG86" s="637"/>
      <c r="AH86" s="175"/>
      <c r="AI86" s="637"/>
      <c r="AJ86" s="175"/>
      <c r="AK86" s="637"/>
      <c r="AL86" s="175"/>
      <c r="AM86" s="637"/>
      <c r="AN86" s="175"/>
      <c r="AO86" s="637"/>
      <c r="AP86" s="175"/>
      <c r="AQ86" s="637"/>
      <c r="AR86" s="175"/>
      <c r="AS86" s="637"/>
      <c r="AT86" s="175"/>
      <c r="AU86" s="637"/>
      <c r="AV86" s="175"/>
      <c r="AW86" s="637"/>
      <c r="AX86" s="175"/>
      <c r="AY86" s="639"/>
      <c r="AZ86" s="175"/>
      <c r="BA86" s="639"/>
      <c r="BB86" s="175"/>
      <c r="BC86" s="639"/>
      <c r="BD86" s="175"/>
      <c r="BE86" s="639"/>
      <c r="BF86" s="175"/>
      <c r="BG86" s="639"/>
      <c r="BH86" s="175"/>
      <c r="BI86" s="639"/>
      <c r="BJ86" s="175"/>
      <c r="BK86" s="639"/>
      <c r="BL86" s="175"/>
      <c r="BM86" s="639"/>
      <c r="BN86" s="175"/>
      <c r="BO86" s="639"/>
      <c r="BP86" s="175"/>
      <c r="BQ86" s="639"/>
      <c r="BR86" s="175"/>
      <c r="BS86" s="639"/>
      <c r="BT86" s="175"/>
      <c r="BU86" s="639"/>
      <c r="BV86" s="175"/>
      <c r="BW86" s="640"/>
      <c r="BX86" s="175"/>
      <c r="BY86" s="639"/>
      <c r="BZ86" s="175"/>
      <c r="CA86" s="639"/>
      <c r="CB86" s="175"/>
      <c r="CC86" s="639"/>
      <c r="CD86" s="175"/>
      <c r="CE86" s="639"/>
      <c r="CF86" s="175"/>
      <c r="CG86" s="639"/>
      <c r="CH86" s="175"/>
      <c r="CI86" s="639"/>
      <c r="CJ86" s="175"/>
      <c r="CK86" s="639"/>
      <c r="CL86" s="175"/>
      <c r="CM86" s="639"/>
      <c r="CN86" s="175"/>
      <c r="CO86" s="639"/>
      <c r="CP86" s="175"/>
      <c r="CQ86" s="641"/>
      <c r="CR86" s="175"/>
      <c r="CS86" s="639"/>
      <c r="CT86" s="175"/>
      <c r="CU86" s="639">
        <v>87.5</v>
      </c>
      <c r="CV86" s="175"/>
      <c r="CW86" s="639">
        <v>87.4</v>
      </c>
      <c r="CX86" s="175"/>
      <c r="CY86" s="639">
        <v>88.5</v>
      </c>
      <c r="CZ86" s="175"/>
      <c r="DA86" s="639">
        <v>91.6</v>
      </c>
      <c r="DB86" s="175"/>
      <c r="DC86" s="639">
        <v>88.9</v>
      </c>
      <c r="DD86" s="175"/>
      <c r="DE86" s="639">
        <v>89.5</v>
      </c>
      <c r="DF86" s="175">
        <f t="shared" si="350"/>
        <v>2.4027459954233388</v>
      </c>
      <c r="DG86" s="639">
        <v>90.5</v>
      </c>
      <c r="DH86" s="175"/>
      <c r="DI86" s="639">
        <v>90.5</v>
      </c>
      <c r="DJ86" s="175"/>
      <c r="DK86" s="639">
        <v>90.5</v>
      </c>
      <c r="DL86" s="175"/>
      <c r="DM86" s="639">
        <v>90.5</v>
      </c>
      <c r="DN86" s="175"/>
      <c r="DO86" s="639">
        <v>90.5</v>
      </c>
      <c r="DP86" s="175"/>
      <c r="DQ86" s="639">
        <v>90.5</v>
      </c>
      <c r="DR86" s="175"/>
      <c r="DS86" s="639">
        <v>90.5</v>
      </c>
      <c r="DT86" s="175"/>
      <c r="DU86" s="639">
        <v>90.5</v>
      </c>
      <c r="DV86" s="175"/>
      <c r="DW86" s="639">
        <v>90.5</v>
      </c>
      <c r="DX86" s="175"/>
      <c r="DY86" s="639">
        <v>90.5</v>
      </c>
      <c r="DZ86" s="175"/>
      <c r="EA86" s="639">
        <v>90.5</v>
      </c>
      <c r="EB86" s="175"/>
      <c r="EC86" s="639">
        <v>90.5</v>
      </c>
      <c r="ED86" s="175"/>
      <c r="EE86" s="639">
        <v>90.5</v>
      </c>
      <c r="EF86" s="860"/>
      <c r="EG86" s="639">
        <v>90.5</v>
      </c>
      <c r="EH86" s="860"/>
      <c r="EI86" s="639">
        <v>90.5</v>
      </c>
      <c r="EJ86" s="860"/>
      <c r="EK86" s="639">
        <v>90.5</v>
      </c>
      <c r="EL86" s="860"/>
      <c r="EM86" s="639">
        <v>90.5</v>
      </c>
      <c r="EN86" s="860"/>
      <c r="EO86" s="639">
        <v>90.5</v>
      </c>
      <c r="EP86" s="175"/>
      <c r="EQ86" s="789">
        <f t="shared" ref="EQ86" si="409">EO86</f>
        <v>90.5</v>
      </c>
      <c r="ER86" s="175"/>
      <c r="ES86" s="789">
        <f t="shared" ref="ES86" si="410">EQ86</f>
        <v>90.5</v>
      </c>
      <c r="ET86" s="175"/>
      <c r="EU86" s="789">
        <f t="shared" ref="EU86" si="411">ES86</f>
        <v>90.5</v>
      </c>
      <c r="EV86" s="175"/>
      <c r="EW86" s="789">
        <f t="shared" ref="EW86" si="412">EU86</f>
        <v>90.5</v>
      </c>
      <c r="EX86" s="175"/>
      <c r="EY86" s="95"/>
      <c r="EZ86" s="594"/>
      <c r="FA86" s="405"/>
      <c r="FB86" s="94"/>
      <c r="FC86" s="92"/>
      <c r="FD86" s="94"/>
      <c r="FE86" s="92"/>
      <c r="FF86" s="95"/>
      <c r="FG86" s="92"/>
      <c r="FH86" s="95"/>
      <c r="FI86" s="92"/>
      <c r="FJ86" s="95"/>
      <c r="FK86" s="92"/>
      <c r="FL86" s="95"/>
      <c r="FM86" s="92"/>
      <c r="FN86" s="95"/>
      <c r="FO86" s="92"/>
      <c r="FP86" s="95"/>
      <c r="FQ86" s="92"/>
      <c r="FR86" s="96"/>
      <c r="FS86" s="97"/>
      <c r="FT86" s="96"/>
      <c r="FU86" s="97"/>
      <c r="FV86" s="96"/>
      <c r="FW86" s="98"/>
      <c r="FX86" s="480"/>
      <c r="FY86" s="98"/>
      <c r="FZ86" s="96"/>
      <c r="GA86" s="98"/>
      <c r="GB86" s="480"/>
      <c r="GC86" s="98"/>
      <c r="GD86" s="96"/>
      <c r="GE86" s="98"/>
      <c r="GF86" s="96"/>
      <c r="GG86" s="98"/>
      <c r="GH86" s="96"/>
      <c r="GI86" s="98"/>
      <c r="GJ86" s="96"/>
      <c r="GK86" s="98"/>
      <c r="GL86" s="96"/>
      <c r="GM86" s="98"/>
      <c r="GN86" s="96"/>
      <c r="GO86" s="98"/>
      <c r="GP86" s="96"/>
      <c r="GQ86" s="98"/>
      <c r="GR86" s="95"/>
      <c r="GS86" s="98"/>
      <c r="GT86" s="95"/>
      <c r="GU86" s="98"/>
      <c r="GV86" s="95"/>
      <c r="GW86" s="98"/>
      <c r="GX86" s="95"/>
      <c r="GY86" s="98"/>
      <c r="GZ86" s="98"/>
      <c r="HA86" s="98"/>
      <c r="HB86" s="10"/>
      <c r="HC86"/>
      <c r="HD86"/>
      <c r="HE86"/>
      <c r="HF86"/>
      <c r="HG86"/>
      <c r="HH86"/>
      <c r="HI86" s="10"/>
    </row>
    <row r="87" spans="2:217" s="2" customFormat="1" ht="12.75" hidden="1" customHeight="1" outlineLevel="1" x14ac:dyDescent="0.2">
      <c r="B87" s="642" t="str">
        <f>B79</f>
        <v>P&amp;C</v>
      </c>
      <c r="C87" s="637"/>
      <c r="D87" s="638"/>
      <c r="E87" s="637"/>
      <c r="F87" s="638"/>
      <c r="G87" s="637"/>
      <c r="H87" s="638"/>
      <c r="I87" s="637"/>
      <c r="J87" s="175"/>
      <c r="K87" s="637"/>
      <c r="L87" s="175"/>
      <c r="M87" s="637"/>
      <c r="N87" s="175"/>
      <c r="O87" s="637"/>
      <c r="P87" s="175"/>
      <c r="Q87" s="637"/>
      <c r="R87" s="175"/>
      <c r="S87" s="637"/>
      <c r="T87" s="175"/>
      <c r="U87" s="637"/>
      <c r="V87" s="175"/>
      <c r="W87" s="637"/>
      <c r="X87" s="175"/>
      <c r="Y87" s="637"/>
      <c r="Z87" s="175"/>
      <c r="AA87" s="637"/>
      <c r="AB87" s="175"/>
      <c r="AC87" s="637"/>
      <c r="AD87" s="175"/>
      <c r="AE87" s="637"/>
      <c r="AF87" s="175"/>
      <c r="AG87" s="637"/>
      <c r="AH87" s="175"/>
      <c r="AI87" s="637"/>
      <c r="AJ87" s="175"/>
      <c r="AK87" s="637"/>
      <c r="AL87" s="175"/>
      <c r="AM87" s="637"/>
      <c r="AN87" s="175"/>
      <c r="AO87" s="637"/>
      <c r="AP87" s="175"/>
      <c r="AQ87" s="637"/>
      <c r="AR87" s="175"/>
      <c r="AS87" s="637"/>
      <c r="AT87" s="175"/>
      <c r="AU87" s="637"/>
      <c r="AV87" s="175"/>
      <c r="AW87" s="637"/>
      <c r="AX87" s="175"/>
      <c r="AY87" s="639"/>
      <c r="AZ87" s="175"/>
      <c r="BA87" s="639"/>
      <c r="BB87" s="175"/>
      <c r="BC87" s="639"/>
      <c r="BD87" s="175"/>
      <c r="BE87" s="639"/>
      <c r="BF87" s="175"/>
      <c r="BG87" s="639"/>
      <c r="BH87" s="175"/>
      <c r="BI87" s="639"/>
      <c r="BJ87" s="175"/>
      <c r="BK87" s="639"/>
      <c r="BL87" s="175"/>
      <c r="BM87" s="639"/>
      <c r="BN87" s="175"/>
      <c r="BO87" s="639"/>
      <c r="BP87" s="175"/>
      <c r="BQ87" s="639"/>
      <c r="BR87" s="175"/>
      <c r="BS87" s="639"/>
      <c r="BT87" s="175"/>
      <c r="BU87" s="639"/>
      <c r="BV87" s="175"/>
      <c r="BW87" s="640"/>
      <c r="BX87" s="175"/>
      <c r="BY87" s="639"/>
      <c r="BZ87" s="175"/>
      <c r="CA87" s="639"/>
      <c r="CB87" s="175"/>
      <c r="CC87" s="639"/>
      <c r="CD87" s="175"/>
      <c r="CE87" s="639"/>
      <c r="CF87" s="175"/>
      <c r="CG87" s="639"/>
      <c r="CH87" s="175"/>
      <c r="CI87" s="639"/>
      <c r="CJ87" s="175"/>
      <c r="CK87" s="639"/>
      <c r="CL87" s="175"/>
      <c r="CM87" s="639"/>
      <c r="CN87" s="175"/>
      <c r="CO87" s="639"/>
      <c r="CP87" s="175"/>
      <c r="CQ87" s="641"/>
      <c r="CR87" s="175"/>
      <c r="CS87" s="639"/>
      <c r="CT87" s="175"/>
      <c r="CU87" s="639">
        <v>92.3</v>
      </c>
      <c r="CV87" s="175"/>
      <c r="CW87" s="639">
        <v>98.7</v>
      </c>
      <c r="CX87" s="175"/>
      <c r="CY87" s="639">
        <v>87.8</v>
      </c>
      <c r="CZ87" s="175"/>
      <c r="DA87" s="639">
        <v>107.2</v>
      </c>
      <c r="DB87" s="175"/>
      <c r="DC87" s="639">
        <v>92.8</v>
      </c>
      <c r="DD87" s="175"/>
      <c r="DE87" s="639">
        <v>97.7</v>
      </c>
      <c r="DF87" s="175">
        <f t="shared" si="350"/>
        <v>-1.0131712259371817</v>
      </c>
      <c r="DG87" s="639">
        <v>90.2</v>
      </c>
      <c r="DH87" s="175"/>
      <c r="DI87" s="639">
        <v>90.2</v>
      </c>
      <c r="DJ87" s="175"/>
      <c r="DK87" s="639">
        <v>90.2</v>
      </c>
      <c r="DL87" s="175"/>
      <c r="DM87" s="639">
        <v>90.2</v>
      </c>
      <c r="DN87" s="175"/>
      <c r="DO87" s="639">
        <v>90.2</v>
      </c>
      <c r="DP87" s="175"/>
      <c r="DQ87" s="639">
        <v>90.2</v>
      </c>
      <c r="DR87" s="175"/>
      <c r="DS87" s="639">
        <v>90.2</v>
      </c>
      <c r="DT87" s="175"/>
      <c r="DU87" s="639">
        <v>90.2</v>
      </c>
      <c r="DV87" s="175"/>
      <c r="DW87" s="639">
        <v>90.2</v>
      </c>
      <c r="DX87" s="175"/>
      <c r="DY87" s="639">
        <v>90.2</v>
      </c>
      <c r="DZ87" s="175"/>
      <c r="EA87" s="639">
        <v>90.2</v>
      </c>
      <c r="EB87" s="175"/>
      <c r="EC87" s="639">
        <v>90.2</v>
      </c>
      <c r="ED87" s="175"/>
      <c r="EE87" s="639">
        <v>90.2</v>
      </c>
      <c r="EF87" s="860"/>
      <c r="EG87" s="639">
        <v>90.2</v>
      </c>
      <c r="EH87" s="860"/>
      <c r="EI87" s="639">
        <v>90.2</v>
      </c>
      <c r="EJ87" s="860"/>
      <c r="EK87" s="639">
        <v>90.2</v>
      </c>
      <c r="EL87" s="860"/>
      <c r="EM87" s="639">
        <v>90.2</v>
      </c>
      <c r="EN87" s="860"/>
      <c r="EO87" s="639">
        <v>90.2</v>
      </c>
      <c r="EP87" s="175"/>
      <c r="EQ87" s="789">
        <f t="shared" ref="EQ87:EW87" si="413">AVERAGE(94,98)</f>
        <v>96</v>
      </c>
      <c r="ER87" s="175"/>
      <c r="ES87" s="789">
        <f t="shared" si="413"/>
        <v>96</v>
      </c>
      <c r="ET87" s="175"/>
      <c r="EU87" s="789">
        <f t="shared" si="413"/>
        <v>96</v>
      </c>
      <c r="EV87" s="175"/>
      <c r="EW87" s="789">
        <f t="shared" si="413"/>
        <v>96</v>
      </c>
      <c r="EX87" s="175"/>
      <c r="EY87" s="95"/>
      <c r="EZ87" s="594"/>
      <c r="FA87" s="405"/>
      <c r="FB87" s="94"/>
      <c r="FC87" s="92"/>
      <c r="FD87" s="94"/>
      <c r="FE87" s="92"/>
      <c r="FF87" s="95"/>
      <c r="FG87" s="92"/>
      <c r="FH87" s="95"/>
      <c r="FI87" s="92"/>
      <c r="FJ87" s="95"/>
      <c r="FK87" s="92"/>
      <c r="FL87" s="95"/>
      <c r="FM87" s="92"/>
      <c r="FN87" s="95"/>
      <c r="FO87" s="92"/>
      <c r="FP87" s="95"/>
      <c r="FQ87" s="92"/>
      <c r="FR87" s="96"/>
      <c r="FS87" s="97"/>
      <c r="FT87" s="96"/>
      <c r="FU87" s="97"/>
      <c r="FV87" s="96"/>
      <c r="FW87" s="98"/>
      <c r="FX87" s="480"/>
      <c r="FY87" s="98"/>
      <c r="FZ87" s="96"/>
      <c r="GA87" s="98"/>
      <c r="GB87" s="480"/>
      <c r="GC87" s="98"/>
      <c r="GD87" s="96"/>
      <c r="GE87" s="98"/>
      <c r="GF87" s="96"/>
      <c r="GG87" s="98"/>
      <c r="GH87" s="96"/>
      <c r="GI87" s="98"/>
      <c r="GJ87" s="96"/>
      <c r="GK87" s="98"/>
      <c r="GL87" s="96"/>
      <c r="GM87" s="98"/>
      <c r="GN87" s="96"/>
      <c r="GO87" s="98"/>
      <c r="GP87" s="96"/>
      <c r="GQ87" s="98"/>
      <c r="GR87" s="95"/>
      <c r="GS87" s="98"/>
      <c r="GT87" s="95"/>
      <c r="GU87" s="98"/>
      <c r="GV87" s="95"/>
      <c r="GW87" s="98"/>
      <c r="GX87" s="95"/>
      <c r="GY87" s="98"/>
      <c r="GZ87" s="98"/>
      <c r="HA87" s="98"/>
      <c r="HB87" s="10"/>
      <c r="HC87"/>
      <c r="HD87"/>
      <c r="HE87"/>
      <c r="HF87"/>
      <c r="HG87"/>
      <c r="HH87"/>
      <c r="HI87" s="10"/>
    </row>
    <row r="88" spans="2:217" s="2" customFormat="1" ht="12.75" hidden="1" customHeight="1" outlineLevel="1" x14ac:dyDescent="0.2">
      <c r="B88" s="642"/>
      <c r="C88" s="637"/>
      <c r="D88" s="638"/>
      <c r="E88" s="637"/>
      <c r="F88" s="638"/>
      <c r="G88" s="637"/>
      <c r="H88" s="638"/>
      <c r="I88" s="637"/>
      <c r="J88" s="175"/>
      <c r="K88" s="637"/>
      <c r="L88" s="175"/>
      <c r="M88" s="637"/>
      <c r="N88" s="175"/>
      <c r="O88" s="637"/>
      <c r="P88" s="175"/>
      <c r="Q88" s="637"/>
      <c r="R88" s="175"/>
      <c r="S88" s="637"/>
      <c r="T88" s="175"/>
      <c r="U88" s="637"/>
      <c r="V88" s="175"/>
      <c r="W88" s="637"/>
      <c r="X88" s="175"/>
      <c r="Y88" s="637"/>
      <c r="Z88" s="175"/>
      <c r="AA88" s="637"/>
      <c r="AB88" s="175"/>
      <c r="AC88" s="637"/>
      <c r="AD88" s="175"/>
      <c r="AE88" s="637"/>
      <c r="AF88" s="175"/>
      <c r="AG88" s="637"/>
      <c r="AH88" s="175"/>
      <c r="AI88" s="637"/>
      <c r="AJ88" s="175"/>
      <c r="AK88" s="637"/>
      <c r="AL88" s="175"/>
      <c r="AM88" s="637"/>
      <c r="AN88" s="175"/>
      <c r="AO88" s="637"/>
      <c r="AP88" s="175"/>
      <c r="AQ88" s="637"/>
      <c r="AR88" s="175"/>
      <c r="AS88" s="637"/>
      <c r="AT88" s="175"/>
      <c r="AU88" s="637"/>
      <c r="AV88" s="175"/>
      <c r="AW88" s="637"/>
      <c r="AX88" s="175"/>
      <c r="AY88" s="639"/>
      <c r="AZ88" s="175"/>
      <c r="BA88" s="639"/>
      <c r="BB88" s="175"/>
      <c r="BC88" s="639"/>
      <c r="BD88" s="175"/>
      <c r="BE88" s="639"/>
      <c r="BF88" s="175"/>
      <c r="BG88" s="639"/>
      <c r="BH88" s="175"/>
      <c r="BI88" s="639"/>
      <c r="BJ88" s="175"/>
      <c r="BK88" s="639"/>
      <c r="BL88" s="175"/>
      <c r="BM88" s="639"/>
      <c r="BN88" s="175"/>
      <c r="BO88" s="639"/>
      <c r="BP88" s="175"/>
      <c r="BQ88" s="639"/>
      <c r="BR88" s="175"/>
      <c r="BS88" s="639"/>
      <c r="BT88" s="175"/>
      <c r="BU88" s="639"/>
      <c r="BV88" s="175"/>
      <c r="BW88" s="640"/>
      <c r="BX88" s="175"/>
      <c r="BY88" s="639"/>
      <c r="BZ88" s="175"/>
      <c r="CA88" s="639"/>
      <c r="CB88" s="175"/>
      <c r="CC88" s="639"/>
      <c r="CD88" s="175"/>
      <c r="CE88" s="639"/>
      <c r="CF88" s="175"/>
      <c r="CG88" s="639"/>
      <c r="CH88" s="175"/>
      <c r="CI88" s="639"/>
      <c r="CJ88" s="175"/>
      <c r="CK88" s="639"/>
      <c r="CL88" s="175"/>
      <c r="CM88" s="639"/>
      <c r="CN88" s="175"/>
      <c r="CO88" s="639"/>
      <c r="CP88" s="175"/>
      <c r="CQ88" s="641"/>
      <c r="CR88" s="175"/>
      <c r="CS88" s="639"/>
      <c r="CT88" s="175"/>
      <c r="CU88" s="639"/>
      <c r="CV88" s="175"/>
      <c r="CW88" s="639"/>
      <c r="CX88" s="175"/>
      <c r="CY88" s="639"/>
      <c r="CZ88" s="175"/>
      <c r="DA88" s="639"/>
      <c r="DB88" s="175"/>
      <c r="DC88" s="639"/>
      <c r="DD88" s="175"/>
      <c r="DE88" s="639"/>
      <c r="DF88" s="175"/>
      <c r="DG88" s="639"/>
      <c r="DH88" s="175"/>
      <c r="DI88" s="639"/>
      <c r="DJ88" s="175"/>
      <c r="DK88" s="639"/>
      <c r="DL88" s="175"/>
      <c r="DM88" s="639"/>
      <c r="DN88" s="175"/>
      <c r="DO88" s="639"/>
      <c r="DP88" s="175"/>
      <c r="DQ88" s="639"/>
      <c r="DR88" s="175"/>
      <c r="DS88" s="639"/>
      <c r="DT88" s="175"/>
      <c r="DU88" s="639"/>
      <c r="DV88" s="175"/>
      <c r="DW88" s="639"/>
      <c r="DX88" s="175"/>
      <c r="DY88" s="639"/>
      <c r="DZ88" s="175"/>
      <c r="EA88" s="639"/>
      <c r="EB88" s="175"/>
      <c r="EC88" s="639"/>
      <c r="ED88" s="175"/>
      <c r="EE88" s="639"/>
      <c r="EF88" s="860"/>
      <c r="EG88" s="639"/>
      <c r="EH88" s="860"/>
      <c r="EI88" s="639"/>
      <c r="EJ88" s="860"/>
      <c r="EK88" s="639"/>
      <c r="EL88" s="860"/>
      <c r="EM88" s="639"/>
      <c r="EN88" s="860"/>
      <c r="EO88" s="639"/>
      <c r="EP88" s="175"/>
      <c r="EQ88" s="789"/>
      <c r="ER88" s="175"/>
      <c r="ES88" s="789"/>
      <c r="ET88" s="175"/>
      <c r="EU88" s="789"/>
      <c r="EV88" s="175"/>
      <c r="EW88" s="789"/>
      <c r="EX88" s="175"/>
      <c r="EY88" s="95"/>
      <c r="EZ88" s="594"/>
      <c r="FA88" s="405"/>
      <c r="FB88" s="94"/>
      <c r="FC88" s="92"/>
      <c r="FD88" s="94"/>
      <c r="FE88" s="92"/>
      <c r="FF88" s="95"/>
      <c r="FG88" s="92"/>
      <c r="FH88" s="95"/>
      <c r="FI88" s="92"/>
      <c r="FJ88" s="95"/>
      <c r="FK88" s="92"/>
      <c r="FL88" s="95"/>
      <c r="FM88" s="92"/>
      <c r="FN88" s="95"/>
      <c r="FO88" s="92"/>
      <c r="FP88" s="95"/>
      <c r="FQ88" s="92"/>
      <c r="FR88" s="96"/>
      <c r="FS88" s="97"/>
      <c r="FT88" s="96"/>
      <c r="FU88" s="97"/>
      <c r="FV88" s="96"/>
      <c r="FW88" s="98"/>
      <c r="FX88" s="480"/>
      <c r="FY88" s="98"/>
      <c r="FZ88" s="96"/>
      <c r="GA88" s="98"/>
      <c r="GB88" s="480"/>
      <c r="GC88" s="98"/>
      <c r="GD88" s="96"/>
      <c r="GE88" s="98"/>
      <c r="GF88" s="96"/>
      <c r="GG88" s="98"/>
      <c r="GH88" s="96"/>
      <c r="GI88" s="98"/>
      <c r="GJ88" s="96"/>
      <c r="GK88" s="98"/>
      <c r="GL88" s="96"/>
      <c r="GM88" s="98"/>
      <c r="GN88" s="96"/>
      <c r="GO88" s="98"/>
      <c r="GP88" s="96"/>
      <c r="GQ88" s="98"/>
      <c r="GR88" s="95"/>
      <c r="GS88" s="98"/>
      <c r="GT88" s="95"/>
      <c r="GU88" s="98"/>
      <c r="GV88" s="95"/>
      <c r="GW88" s="98"/>
      <c r="GX88" s="95"/>
      <c r="GY88" s="98"/>
      <c r="GZ88" s="98"/>
      <c r="HA88" s="98"/>
      <c r="HB88" s="10"/>
      <c r="HC88"/>
      <c r="HD88"/>
      <c r="HE88"/>
      <c r="HF88"/>
      <c r="HG88"/>
      <c r="HH88"/>
      <c r="HI88" s="10"/>
    </row>
    <row r="89" spans="2:217" s="2" customFormat="1" ht="12.75" hidden="1" customHeight="1" outlineLevel="1" x14ac:dyDescent="0.2">
      <c r="B89" s="636" t="s">
        <v>81</v>
      </c>
      <c r="C89" s="637"/>
      <c r="D89" s="638"/>
      <c r="E89" s="637"/>
      <c r="F89" s="638"/>
      <c r="G89" s="637"/>
      <c r="H89" s="638"/>
      <c r="I89" s="637"/>
      <c r="J89" s="175"/>
      <c r="K89" s="637"/>
      <c r="L89" s="175"/>
      <c r="M89" s="637"/>
      <c r="N89" s="175"/>
      <c r="O89" s="637"/>
      <c r="P89" s="175"/>
      <c r="Q89" s="637"/>
      <c r="R89" s="175"/>
      <c r="S89" s="637"/>
      <c r="T89" s="175"/>
      <c r="U89" s="637"/>
      <c r="V89" s="175"/>
      <c r="W89" s="637"/>
      <c r="X89" s="175"/>
      <c r="Y89" s="637"/>
      <c r="Z89" s="175"/>
      <c r="AA89" s="637"/>
      <c r="AB89" s="175"/>
      <c r="AC89" s="637"/>
      <c r="AD89" s="175"/>
      <c r="AE89" s="637"/>
      <c r="AF89" s="175"/>
      <c r="AG89" s="637"/>
      <c r="AH89" s="175"/>
      <c r="AI89" s="637"/>
      <c r="AJ89" s="175"/>
      <c r="AK89" s="637"/>
      <c r="AL89" s="175"/>
      <c r="AM89" s="637"/>
      <c r="AN89" s="175"/>
      <c r="AO89" s="637"/>
      <c r="AP89" s="175"/>
      <c r="AQ89" s="637"/>
      <c r="AR89" s="175"/>
      <c r="AS89" s="637"/>
      <c r="AT89" s="175"/>
      <c r="AU89" s="637"/>
      <c r="AV89" s="175"/>
      <c r="AW89" s="637"/>
      <c r="AX89" s="175"/>
      <c r="AY89" s="639"/>
      <c r="AZ89" s="175"/>
      <c r="BA89" s="639"/>
      <c r="BB89" s="175"/>
      <c r="BC89" s="639"/>
      <c r="BD89" s="175"/>
      <c r="BE89" s="639"/>
      <c r="BF89" s="175"/>
      <c r="BG89" s="639"/>
      <c r="BH89" s="175"/>
      <c r="BI89" s="639"/>
      <c r="BJ89" s="175"/>
      <c r="BK89" s="639"/>
      <c r="BL89" s="175"/>
      <c r="BM89" s="639"/>
      <c r="BN89" s="175"/>
      <c r="BO89" s="639"/>
      <c r="BP89" s="175"/>
      <c r="BQ89" s="639"/>
      <c r="BR89" s="175"/>
      <c r="BS89" s="639"/>
      <c r="BT89" s="175"/>
      <c r="BU89" s="639"/>
      <c r="BV89" s="175"/>
      <c r="BW89" s="640"/>
      <c r="BX89" s="175"/>
      <c r="BY89" s="639"/>
      <c r="BZ89" s="175"/>
      <c r="CA89" s="639"/>
      <c r="CB89" s="175"/>
      <c r="CC89" s="639"/>
      <c r="CD89" s="175"/>
      <c r="CE89" s="639"/>
      <c r="CF89" s="175"/>
      <c r="CG89" s="639"/>
      <c r="CH89" s="175"/>
      <c r="CI89" s="639"/>
      <c r="CJ89" s="175"/>
      <c r="CK89" s="639"/>
      <c r="CL89" s="175"/>
      <c r="CM89" s="639"/>
      <c r="CN89" s="175"/>
      <c r="CO89" s="639"/>
      <c r="CP89" s="175"/>
      <c r="CQ89" s="641"/>
      <c r="CR89" s="175"/>
      <c r="CS89" s="639"/>
      <c r="CT89" s="175"/>
      <c r="CU89" s="639"/>
      <c r="CV89" s="175"/>
      <c r="CW89" s="639"/>
      <c r="CX89" s="175"/>
      <c r="CY89" s="639"/>
      <c r="CZ89" s="175"/>
      <c r="DA89" s="639"/>
      <c r="DB89" s="175"/>
      <c r="DC89" s="639"/>
      <c r="DD89" s="175"/>
      <c r="DE89" s="639"/>
      <c r="DF89" s="175"/>
      <c r="DG89" s="639"/>
      <c r="DH89" s="175"/>
      <c r="DI89" s="639"/>
      <c r="DJ89" s="175"/>
      <c r="DK89" s="639"/>
      <c r="DL89" s="175"/>
      <c r="DM89" s="639"/>
      <c r="DN89" s="175"/>
      <c r="DO89" s="639"/>
      <c r="DP89" s="175"/>
      <c r="DQ89" s="639"/>
      <c r="DR89" s="175"/>
      <c r="DS89" s="639"/>
      <c r="DT89" s="175"/>
      <c r="DU89" s="639"/>
      <c r="DV89" s="175"/>
      <c r="DW89" s="639"/>
      <c r="DX89" s="175"/>
      <c r="DY89" s="639"/>
      <c r="DZ89" s="175"/>
      <c r="EA89" s="639"/>
      <c r="EB89" s="175"/>
      <c r="EC89" s="639"/>
      <c r="ED89" s="175"/>
      <c r="EE89" s="639"/>
      <c r="EF89" s="860"/>
      <c r="EG89" s="639"/>
      <c r="EH89" s="860"/>
      <c r="EI89" s="639"/>
      <c r="EJ89" s="860"/>
      <c r="EK89" s="639"/>
      <c r="EL89" s="860"/>
      <c r="EM89" s="639"/>
      <c r="EN89" s="860"/>
      <c r="EO89" s="639"/>
      <c r="EP89" s="175"/>
      <c r="EQ89" s="789"/>
      <c r="ER89" s="175"/>
      <c r="ES89" s="789"/>
      <c r="ET89" s="175"/>
      <c r="EU89" s="789"/>
      <c r="EV89" s="175"/>
      <c r="EW89" s="789"/>
      <c r="EX89" s="175"/>
      <c r="EY89" s="95"/>
      <c r="EZ89" s="594"/>
      <c r="FA89" s="405"/>
      <c r="FB89" s="94"/>
      <c r="FC89" s="92"/>
      <c r="FD89" s="94"/>
      <c r="FE89" s="92"/>
      <c r="FF89" s="95"/>
      <c r="FG89" s="92"/>
      <c r="FH89" s="95"/>
      <c r="FI89" s="92"/>
      <c r="FJ89" s="95"/>
      <c r="FK89" s="92"/>
      <c r="FL89" s="95"/>
      <c r="FM89" s="92"/>
      <c r="FN89" s="95"/>
      <c r="FO89" s="92"/>
      <c r="FP89" s="95"/>
      <c r="FQ89" s="92"/>
      <c r="FR89" s="96"/>
      <c r="FS89" s="97"/>
      <c r="FT89" s="96"/>
      <c r="FU89" s="97"/>
      <c r="FV89" s="96"/>
      <c r="FW89" s="98"/>
      <c r="FX89" s="480"/>
      <c r="FY89" s="98"/>
      <c r="FZ89" s="96"/>
      <c r="GA89" s="98"/>
      <c r="GB89" s="480"/>
      <c r="GC89" s="98"/>
      <c r="GD89" s="96"/>
      <c r="GE89" s="98"/>
      <c r="GF89" s="96"/>
      <c r="GG89" s="98"/>
      <c r="GH89" s="96"/>
      <c r="GI89" s="98"/>
      <c r="GJ89" s="96"/>
      <c r="GK89" s="98"/>
      <c r="GL89" s="96"/>
      <c r="GM89" s="98"/>
      <c r="GN89" s="96"/>
      <c r="GO89" s="98"/>
      <c r="GP89" s="96"/>
      <c r="GQ89" s="98"/>
      <c r="GR89" s="95"/>
      <c r="GS89" s="98"/>
      <c r="GT89" s="95"/>
      <c r="GU89" s="98"/>
      <c r="GV89" s="95"/>
      <c r="GW89" s="98"/>
      <c r="GX89" s="95"/>
      <c r="GY89" s="98"/>
      <c r="GZ89" s="98"/>
      <c r="HA89" s="98"/>
      <c r="HB89" s="10"/>
      <c r="HC89"/>
      <c r="HD89"/>
      <c r="HE89"/>
      <c r="HF89"/>
      <c r="HG89"/>
      <c r="HH89"/>
      <c r="HI89" s="10"/>
    </row>
    <row r="90" spans="2:217" s="2" customFormat="1" ht="12.75" hidden="1" customHeight="1" outlineLevel="1" x14ac:dyDescent="0.2">
      <c r="B90" s="642" t="str">
        <f>B85</f>
        <v>Group life</v>
      </c>
      <c r="C90" s="637"/>
      <c r="D90" s="638"/>
      <c r="E90" s="637"/>
      <c r="F90" s="638"/>
      <c r="G90" s="637"/>
      <c r="H90" s="638"/>
      <c r="I90" s="637"/>
      <c r="J90" s="175"/>
      <c r="K90" s="637"/>
      <c r="L90" s="175"/>
      <c r="M90" s="637"/>
      <c r="N90" s="175"/>
      <c r="O90" s="637"/>
      <c r="P90" s="175"/>
      <c r="Q90" s="637"/>
      <c r="R90" s="175"/>
      <c r="S90" s="637"/>
      <c r="T90" s="175"/>
      <c r="U90" s="637"/>
      <c r="V90" s="175"/>
      <c r="W90" s="637"/>
      <c r="X90" s="175"/>
      <c r="Y90" s="637"/>
      <c r="Z90" s="175"/>
      <c r="AA90" s="637"/>
      <c r="AB90" s="175"/>
      <c r="AC90" s="637"/>
      <c r="AD90" s="175"/>
      <c r="AE90" s="637"/>
      <c r="AF90" s="175"/>
      <c r="AG90" s="637"/>
      <c r="AH90" s="175"/>
      <c r="AI90" s="637"/>
      <c r="AJ90" s="175"/>
      <c r="AK90" s="637"/>
      <c r="AL90" s="175"/>
      <c r="AM90" s="637"/>
      <c r="AN90" s="175"/>
      <c r="AO90" s="637"/>
      <c r="AP90" s="175"/>
      <c r="AQ90" s="637"/>
      <c r="AR90" s="175"/>
      <c r="AS90" s="637"/>
      <c r="AT90" s="175"/>
      <c r="AU90" s="637"/>
      <c r="AV90" s="175"/>
      <c r="AW90" s="637"/>
      <c r="AX90" s="175"/>
      <c r="AY90" s="639"/>
      <c r="AZ90" s="175"/>
      <c r="BA90" s="639"/>
      <c r="BB90" s="175"/>
      <c r="BC90" s="639"/>
      <c r="BD90" s="175"/>
      <c r="BE90" s="639"/>
      <c r="BF90" s="175"/>
      <c r="BG90" s="639"/>
      <c r="BH90" s="175"/>
      <c r="BI90" s="639"/>
      <c r="BJ90" s="175"/>
      <c r="BK90" s="639"/>
      <c r="BL90" s="175"/>
      <c r="BM90" s="639"/>
      <c r="BN90" s="175"/>
      <c r="BO90" s="639"/>
      <c r="BP90" s="175"/>
      <c r="BQ90" s="639"/>
      <c r="BR90" s="175"/>
      <c r="BS90" s="639"/>
      <c r="BT90" s="175"/>
      <c r="BU90" s="639"/>
      <c r="BV90" s="175"/>
      <c r="BW90" s="640"/>
      <c r="BX90" s="175"/>
      <c r="BY90" s="639"/>
      <c r="BZ90" s="175"/>
      <c r="CA90" s="639"/>
      <c r="CB90" s="175"/>
      <c r="CC90" s="639"/>
      <c r="CD90" s="175"/>
      <c r="CE90" s="639"/>
      <c r="CF90" s="175"/>
      <c r="CG90" s="639"/>
      <c r="CH90" s="175"/>
      <c r="CI90" s="639"/>
      <c r="CJ90" s="175"/>
      <c r="CK90" s="639"/>
      <c r="CL90" s="175"/>
      <c r="CM90" s="639"/>
      <c r="CN90" s="175"/>
      <c r="CO90" s="639"/>
      <c r="CP90" s="175"/>
      <c r="CQ90" s="641"/>
      <c r="CR90" s="175"/>
      <c r="CS90" s="639"/>
      <c r="CT90" s="175"/>
      <c r="CU90" s="639">
        <f>(CU85/100)*CU77</f>
        <v>1213.5419999999999</v>
      </c>
      <c r="CV90" s="175"/>
      <c r="CW90" s="639">
        <f>(CW85/100)*CW77</f>
        <v>1215.2159999999999</v>
      </c>
      <c r="CX90" s="175"/>
      <c r="CY90" s="639">
        <f>(CY85/100)*CY77</f>
        <v>1214.8989999999999</v>
      </c>
      <c r="CZ90" s="639">
        <f t="shared" ref="CZ90:DH90" si="414">(CZ85/100)*CZ77</f>
        <v>0</v>
      </c>
      <c r="DA90" s="639">
        <f t="shared" si="414"/>
        <v>1159.02</v>
      </c>
      <c r="DB90" s="639">
        <f t="shared" si="414"/>
        <v>0</v>
      </c>
      <c r="DC90" s="639">
        <f t="shared" si="414"/>
        <v>1312.8939999999998</v>
      </c>
      <c r="DD90" s="639">
        <f t="shared" si="414"/>
        <v>0</v>
      </c>
      <c r="DE90" s="639">
        <f t="shared" si="414"/>
        <v>1216.19</v>
      </c>
      <c r="DF90" s="175">
        <f t="shared" ref="DF90:DF95" si="415">IF(ISERROR((DE90/CW90-1)*100),"NA",IF(((DE90/CW90-1)*100)&gt;100,"NM",IF(((DE90/CW90-1)*100)&lt;-50,"NM",(DE90/CW90-1)*100)))</f>
        <v>8.0150360100605944E-2</v>
      </c>
      <c r="DG90" s="639">
        <f t="shared" si="414"/>
        <v>1220.856</v>
      </c>
      <c r="DH90" s="639">
        <f t="shared" si="414"/>
        <v>0</v>
      </c>
      <c r="DI90" s="639">
        <f>(DI85/100)*DI77</f>
        <v>1220.856</v>
      </c>
      <c r="DJ90" s="175"/>
      <c r="DK90" s="639">
        <f>(DK85/100)*DK77</f>
        <v>1220.856</v>
      </c>
      <c r="DL90" s="175"/>
      <c r="DM90" s="639">
        <f>(DM85/100)*DM77</f>
        <v>1220.856</v>
      </c>
      <c r="DN90" s="175"/>
      <c r="DO90" s="639">
        <f>(DO85/100)*DO77</f>
        <v>1220.856</v>
      </c>
      <c r="DP90" s="175"/>
      <c r="DQ90" s="639">
        <f>(DQ85/100)*DQ77</f>
        <v>1220.856</v>
      </c>
      <c r="DR90" s="175"/>
      <c r="DS90" s="639">
        <f>(DS85/100)*DS77</f>
        <v>1220.856</v>
      </c>
      <c r="DT90" s="175"/>
      <c r="DU90" s="639">
        <f>(DU85/100)*DU77</f>
        <v>1220.856</v>
      </c>
      <c r="DV90" s="175"/>
      <c r="DW90" s="639">
        <f>(DW85/100)*DW77</f>
        <v>1220.856</v>
      </c>
      <c r="DX90" s="175"/>
      <c r="DY90" s="639">
        <f>(DY85/100)*DY77</f>
        <v>1220.856</v>
      </c>
      <c r="DZ90" s="175"/>
      <c r="EA90" s="639">
        <f>(EA85/100)*EA77</f>
        <v>1220.856</v>
      </c>
      <c r="EB90" s="175"/>
      <c r="EC90" s="639">
        <f>(EC85/100)*EC77</f>
        <v>1220.856</v>
      </c>
      <c r="ED90" s="175"/>
      <c r="EE90" s="639">
        <f>(EE85/100)*EE77</f>
        <v>1220.856</v>
      </c>
      <c r="EF90" s="860"/>
      <c r="EG90" s="639">
        <f>(EG85/100)*EG77</f>
        <v>1220.856</v>
      </c>
      <c r="EH90" s="860"/>
      <c r="EI90" s="639">
        <f>(EI85/100)*EI77</f>
        <v>1220.856</v>
      </c>
      <c r="EJ90" s="860"/>
      <c r="EK90" s="639">
        <f>(EK85/100)*EK77</f>
        <v>1220.856</v>
      </c>
      <c r="EL90" s="860"/>
      <c r="EM90" s="639">
        <f>(EM85/100)*EM77</f>
        <v>1220.856</v>
      </c>
      <c r="EN90" s="860"/>
      <c r="EO90" s="639">
        <f>(EO85/100)*EO77</f>
        <v>1220.856</v>
      </c>
      <c r="EP90" s="175"/>
      <c r="EQ90" s="1006">
        <f t="shared" ref="EQ90" si="416">(EQ85/100)*EQ77</f>
        <v>1194.83</v>
      </c>
      <c r="ER90" s="175"/>
      <c r="ES90" s="1006">
        <f t="shared" ref="ES90" si="417">(ES85/100)*ES77</f>
        <v>1194.83</v>
      </c>
      <c r="ET90" s="175"/>
      <c r="EU90" s="1006">
        <f t="shared" ref="EU90" si="418">(EU85/100)*EU77</f>
        <v>1194.83</v>
      </c>
      <c r="EV90" s="175"/>
      <c r="EW90" s="1006">
        <f t="shared" ref="EW90" si="419">(EW85/100)*EW77</f>
        <v>1194.83</v>
      </c>
      <c r="EX90" s="175"/>
      <c r="EY90" s="95"/>
      <c r="EZ90" s="594"/>
      <c r="FA90" s="405"/>
      <c r="FB90" s="94"/>
      <c r="FC90" s="92"/>
      <c r="FD90" s="94"/>
      <c r="FE90" s="92"/>
      <c r="FF90" s="95"/>
      <c r="FG90" s="92"/>
      <c r="FH90" s="95"/>
      <c r="FI90" s="92"/>
      <c r="FJ90" s="95"/>
      <c r="FK90" s="92"/>
      <c r="FL90" s="95"/>
      <c r="FM90" s="92"/>
      <c r="FN90" s="95"/>
      <c r="FO90" s="92"/>
      <c r="FP90" s="95"/>
      <c r="FQ90" s="92"/>
      <c r="FR90" s="96"/>
      <c r="FS90" s="97"/>
      <c r="FT90" s="96"/>
      <c r="FU90" s="97"/>
      <c r="FV90" s="96"/>
      <c r="FW90" s="98"/>
      <c r="FX90" s="480"/>
      <c r="FY90" s="98"/>
      <c r="FZ90" s="96"/>
      <c r="GA90" s="98"/>
      <c r="GB90" s="480"/>
      <c r="GC90" s="98"/>
      <c r="GD90" s="96"/>
      <c r="GE90" s="98"/>
      <c r="GF90" s="96"/>
      <c r="GG90" s="98"/>
      <c r="GH90" s="96"/>
      <c r="GI90" s="98"/>
      <c r="GJ90" s="96"/>
      <c r="GK90" s="98"/>
      <c r="GL90" s="96"/>
      <c r="GM90" s="98"/>
      <c r="GN90" s="96"/>
      <c r="GO90" s="98"/>
      <c r="GP90" s="96"/>
      <c r="GQ90" s="98"/>
      <c r="GR90" s="95"/>
      <c r="GS90" s="98"/>
      <c r="GT90" s="95"/>
      <c r="GU90" s="98"/>
      <c r="GV90" s="95"/>
      <c r="GW90" s="98"/>
      <c r="GX90" s="95"/>
      <c r="GY90" s="98"/>
      <c r="GZ90" s="98"/>
      <c r="HA90" s="98"/>
      <c r="HB90" s="10"/>
      <c r="HC90"/>
      <c r="HD90"/>
      <c r="HE90"/>
      <c r="HF90"/>
      <c r="HG90"/>
      <c r="HH90"/>
      <c r="HI90" s="10"/>
    </row>
    <row r="91" spans="2:217" s="2" customFormat="1" ht="12.75" hidden="1" customHeight="1" outlineLevel="1" x14ac:dyDescent="0.2">
      <c r="B91" s="642" t="str">
        <f>B86</f>
        <v>Non-Medical</v>
      </c>
      <c r="C91" s="637"/>
      <c r="D91" s="638"/>
      <c r="E91" s="637"/>
      <c r="F91" s="638"/>
      <c r="G91" s="637"/>
      <c r="H91" s="638"/>
      <c r="I91" s="637"/>
      <c r="J91" s="175"/>
      <c r="K91" s="637"/>
      <c r="L91" s="175"/>
      <c r="M91" s="637"/>
      <c r="N91" s="175"/>
      <c r="O91" s="637"/>
      <c r="P91" s="175"/>
      <c r="Q91" s="637"/>
      <c r="R91" s="175"/>
      <c r="S91" s="637"/>
      <c r="T91" s="175"/>
      <c r="U91" s="637"/>
      <c r="V91" s="175"/>
      <c r="W91" s="637"/>
      <c r="X91" s="175"/>
      <c r="Y91" s="637"/>
      <c r="Z91" s="175"/>
      <c r="AA91" s="637"/>
      <c r="AB91" s="175"/>
      <c r="AC91" s="637"/>
      <c r="AD91" s="175"/>
      <c r="AE91" s="637"/>
      <c r="AF91" s="175"/>
      <c r="AG91" s="637"/>
      <c r="AH91" s="175"/>
      <c r="AI91" s="637"/>
      <c r="AJ91" s="175"/>
      <c r="AK91" s="637"/>
      <c r="AL91" s="175"/>
      <c r="AM91" s="637"/>
      <c r="AN91" s="175"/>
      <c r="AO91" s="637"/>
      <c r="AP91" s="175"/>
      <c r="AQ91" s="637"/>
      <c r="AR91" s="175"/>
      <c r="AS91" s="637"/>
      <c r="AT91" s="175"/>
      <c r="AU91" s="637"/>
      <c r="AV91" s="175"/>
      <c r="AW91" s="637"/>
      <c r="AX91" s="175"/>
      <c r="AY91" s="639"/>
      <c r="AZ91" s="175"/>
      <c r="BA91" s="639"/>
      <c r="BB91" s="175"/>
      <c r="BC91" s="639"/>
      <c r="BD91" s="175"/>
      <c r="BE91" s="639"/>
      <c r="BF91" s="175"/>
      <c r="BG91" s="639"/>
      <c r="BH91" s="175"/>
      <c r="BI91" s="639"/>
      <c r="BJ91" s="175"/>
      <c r="BK91" s="639"/>
      <c r="BL91" s="175"/>
      <c r="BM91" s="639"/>
      <c r="BN91" s="175"/>
      <c r="BO91" s="639"/>
      <c r="BP91" s="175"/>
      <c r="BQ91" s="639"/>
      <c r="BR91" s="175"/>
      <c r="BS91" s="639"/>
      <c r="BT91" s="175"/>
      <c r="BU91" s="639"/>
      <c r="BV91" s="175"/>
      <c r="BW91" s="640"/>
      <c r="BX91" s="175"/>
      <c r="BY91" s="639"/>
      <c r="BZ91" s="175"/>
      <c r="CA91" s="639"/>
      <c r="CB91" s="175"/>
      <c r="CC91" s="639"/>
      <c r="CD91" s="175"/>
      <c r="CE91" s="639"/>
      <c r="CF91" s="175"/>
      <c r="CG91" s="639"/>
      <c r="CH91" s="175"/>
      <c r="CI91" s="639"/>
      <c r="CJ91" s="175"/>
      <c r="CK91" s="639"/>
      <c r="CL91" s="175"/>
      <c r="CM91" s="639"/>
      <c r="CN91" s="175"/>
      <c r="CO91" s="639"/>
      <c r="CP91" s="175"/>
      <c r="CQ91" s="641"/>
      <c r="CR91" s="175"/>
      <c r="CS91" s="639"/>
      <c r="CT91" s="175"/>
      <c r="CU91" s="639">
        <f>(CU86/100)*CU78</f>
        <v>1238.125</v>
      </c>
      <c r="CV91" s="175"/>
      <c r="CW91" s="639">
        <f>(CW86/100)*CW78</f>
        <v>1308.3780000000002</v>
      </c>
      <c r="CX91" s="175"/>
      <c r="CY91" s="639">
        <f>(CY86/100)*CY78</f>
        <v>1376.175</v>
      </c>
      <c r="CZ91" s="639">
        <f t="shared" ref="CZ91:DH91" si="420">(CZ86/100)*CZ78</f>
        <v>0</v>
      </c>
      <c r="DA91" s="639">
        <f t="shared" si="420"/>
        <v>1428.9599999999998</v>
      </c>
      <c r="DB91" s="639">
        <f t="shared" si="420"/>
        <v>0</v>
      </c>
      <c r="DC91" s="639">
        <f t="shared" si="420"/>
        <v>1425.9560000000001</v>
      </c>
      <c r="DD91" s="639">
        <f t="shared" si="420"/>
        <v>0</v>
      </c>
      <c r="DE91" s="639">
        <f t="shared" si="420"/>
        <v>1436.4750000000001</v>
      </c>
      <c r="DF91" s="175">
        <f t="shared" si="415"/>
        <v>9.790519253610185</v>
      </c>
      <c r="DG91" s="639">
        <f t="shared" si="420"/>
        <v>1449.81</v>
      </c>
      <c r="DH91" s="639">
        <f t="shared" si="420"/>
        <v>0</v>
      </c>
      <c r="DI91" s="639">
        <f>(DI86/100)*DI78</f>
        <v>1449.81</v>
      </c>
      <c r="DJ91" s="175"/>
      <c r="DK91" s="639">
        <f>(DK86/100)*DK78</f>
        <v>1449.81</v>
      </c>
      <c r="DL91" s="175"/>
      <c r="DM91" s="639">
        <f>(DM86/100)*DM78</f>
        <v>1449.81</v>
      </c>
      <c r="DN91" s="175"/>
      <c r="DO91" s="639">
        <f>(DO86/100)*DO78</f>
        <v>1449.81</v>
      </c>
      <c r="DP91" s="175"/>
      <c r="DQ91" s="639">
        <f>(DQ86/100)*DQ78</f>
        <v>1449.81</v>
      </c>
      <c r="DR91" s="175"/>
      <c r="DS91" s="639">
        <f>(DS86/100)*DS78</f>
        <v>1449.81</v>
      </c>
      <c r="DT91" s="175"/>
      <c r="DU91" s="639">
        <f>(DU86/100)*DU78</f>
        <v>1449.81</v>
      </c>
      <c r="DV91" s="175"/>
      <c r="DW91" s="639">
        <f>(DW86/100)*DW78</f>
        <v>1449.81</v>
      </c>
      <c r="DX91" s="175"/>
      <c r="DY91" s="639">
        <f>(DY86/100)*DY78</f>
        <v>1449.81</v>
      </c>
      <c r="DZ91" s="175"/>
      <c r="EA91" s="639">
        <f>(EA86/100)*EA78</f>
        <v>1449.81</v>
      </c>
      <c r="EB91" s="175"/>
      <c r="EC91" s="639">
        <f>(EC86/100)*EC78</f>
        <v>1449.81</v>
      </c>
      <c r="ED91" s="175"/>
      <c r="EE91" s="639">
        <f>(EE86/100)*EE78</f>
        <v>1449.81</v>
      </c>
      <c r="EF91" s="860"/>
      <c r="EG91" s="639">
        <f>(EG86/100)*EG78</f>
        <v>1449.81</v>
      </c>
      <c r="EH91" s="860"/>
      <c r="EI91" s="639">
        <f>(EI86/100)*EI78</f>
        <v>1449.81</v>
      </c>
      <c r="EJ91" s="860"/>
      <c r="EK91" s="639">
        <f>(EK86/100)*EK78</f>
        <v>1449.81</v>
      </c>
      <c r="EL91" s="860"/>
      <c r="EM91" s="639">
        <f>(EM86/100)*EM78</f>
        <v>1449.81</v>
      </c>
      <c r="EN91" s="860"/>
      <c r="EO91" s="639">
        <f>(EO86/100)*EO78</f>
        <v>1449.81</v>
      </c>
      <c r="EP91" s="175"/>
      <c r="EQ91" s="1006">
        <f t="shared" ref="EQ91" si="421">(EQ86/100)*EQ78</f>
        <v>1551.2967000000001</v>
      </c>
      <c r="ER91" s="175"/>
      <c r="ES91" s="1006">
        <f t="shared" ref="ES91" si="422">(ES86/100)*ES78</f>
        <v>1551.2967000000001</v>
      </c>
      <c r="ET91" s="175"/>
      <c r="EU91" s="1006">
        <f t="shared" ref="EU91" si="423">(EU86/100)*EU78</f>
        <v>1551.2967000000001</v>
      </c>
      <c r="EV91" s="175"/>
      <c r="EW91" s="1006">
        <f t="shared" ref="EW91" si="424">(EW86/100)*EW78</f>
        <v>1551.2967000000001</v>
      </c>
      <c r="EX91" s="175"/>
      <c r="EY91" s="95"/>
      <c r="EZ91" s="594"/>
      <c r="FA91" s="405"/>
      <c r="FB91" s="94"/>
      <c r="FC91" s="92"/>
      <c r="FD91" s="94"/>
      <c r="FE91" s="92"/>
      <c r="FF91" s="95"/>
      <c r="FG91" s="92"/>
      <c r="FH91" s="95"/>
      <c r="FI91" s="92"/>
      <c r="FJ91" s="95"/>
      <c r="FK91" s="92"/>
      <c r="FL91" s="95"/>
      <c r="FM91" s="92"/>
      <c r="FN91" s="95"/>
      <c r="FO91" s="92"/>
      <c r="FP91" s="95"/>
      <c r="FQ91" s="92"/>
      <c r="FR91" s="96"/>
      <c r="FS91" s="97"/>
      <c r="FT91" s="96"/>
      <c r="FU91" s="97"/>
      <c r="FV91" s="96"/>
      <c r="FW91" s="98"/>
      <c r="FX91" s="480"/>
      <c r="FY91" s="98"/>
      <c r="FZ91" s="96"/>
      <c r="GA91" s="98"/>
      <c r="GB91" s="480"/>
      <c r="GC91" s="98"/>
      <c r="GD91" s="96"/>
      <c r="GE91" s="98"/>
      <c r="GF91" s="96"/>
      <c r="GG91" s="98"/>
      <c r="GH91" s="96"/>
      <c r="GI91" s="98"/>
      <c r="GJ91" s="96"/>
      <c r="GK91" s="98"/>
      <c r="GL91" s="96"/>
      <c r="GM91" s="98"/>
      <c r="GN91" s="96"/>
      <c r="GO91" s="98"/>
      <c r="GP91" s="96"/>
      <c r="GQ91" s="98"/>
      <c r="GR91" s="95"/>
      <c r="GS91" s="98"/>
      <c r="GT91" s="95"/>
      <c r="GU91" s="98"/>
      <c r="GV91" s="95"/>
      <c r="GW91" s="98"/>
      <c r="GX91" s="95"/>
      <c r="GY91" s="98"/>
      <c r="GZ91" s="98"/>
      <c r="HA91" s="98"/>
      <c r="HB91" s="10"/>
      <c r="HC91"/>
      <c r="HD91"/>
      <c r="HE91"/>
      <c r="HF91"/>
      <c r="HG91"/>
      <c r="HH91"/>
      <c r="HI91" s="10"/>
    </row>
    <row r="92" spans="2:217" s="2" customFormat="1" ht="12.75" hidden="1" customHeight="1" outlineLevel="1" x14ac:dyDescent="0.2">
      <c r="B92" s="642" t="str">
        <f>B87</f>
        <v>P&amp;C</v>
      </c>
      <c r="C92" s="637"/>
      <c r="D92" s="638"/>
      <c r="E92" s="637"/>
      <c r="F92" s="638"/>
      <c r="G92" s="637"/>
      <c r="H92" s="638"/>
      <c r="I92" s="637"/>
      <c r="J92" s="175"/>
      <c r="K92" s="637"/>
      <c r="L92" s="175"/>
      <c r="M92" s="637"/>
      <c r="N92" s="175"/>
      <c r="O92" s="637"/>
      <c r="P92" s="175"/>
      <c r="Q92" s="637"/>
      <c r="R92" s="175"/>
      <c r="S92" s="637"/>
      <c r="T92" s="175"/>
      <c r="U92" s="637"/>
      <c r="V92" s="175"/>
      <c r="W92" s="637"/>
      <c r="X92" s="175"/>
      <c r="Y92" s="637"/>
      <c r="Z92" s="175"/>
      <c r="AA92" s="637"/>
      <c r="AB92" s="175"/>
      <c r="AC92" s="637"/>
      <c r="AD92" s="175"/>
      <c r="AE92" s="637"/>
      <c r="AF92" s="175"/>
      <c r="AG92" s="637"/>
      <c r="AH92" s="175"/>
      <c r="AI92" s="637"/>
      <c r="AJ92" s="175"/>
      <c r="AK92" s="637"/>
      <c r="AL92" s="175"/>
      <c r="AM92" s="637"/>
      <c r="AN92" s="175"/>
      <c r="AO92" s="637"/>
      <c r="AP92" s="175"/>
      <c r="AQ92" s="637"/>
      <c r="AR92" s="175"/>
      <c r="AS92" s="637"/>
      <c r="AT92" s="175"/>
      <c r="AU92" s="637"/>
      <c r="AV92" s="175"/>
      <c r="AW92" s="637"/>
      <c r="AX92" s="175"/>
      <c r="AY92" s="639"/>
      <c r="AZ92" s="175"/>
      <c r="BA92" s="639"/>
      <c r="BB92" s="175"/>
      <c r="BC92" s="639"/>
      <c r="BD92" s="175"/>
      <c r="BE92" s="639"/>
      <c r="BF92" s="175"/>
      <c r="BG92" s="639"/>
      <c r="BH92" s="175"/>
      <c r="BI92" s="639"/>
      <c r="BJ92" s="175"/>
      <c r="BK92" s="639"/>
      <c r="BL92" s="175"/>
      <c r="BM92" s="639"/>
      <c r="BN92" s="175"/>
      <c r="BO92" s="639"/>
      <c r="BP92" s="175"/>
      <c r="BQ92" s="639"/>
      <c r="BR92" s="175"/>
      <c r="BS92" s="639"/>
      <c r="BT92" s="175"/>
      <c r="BU92" s="639"/>
      <c r="BV92" s="175"/>
      <c r="BW92" s="640"/>
      <c r="BX92" s="175"/>
      <c r="BY92" s="639"/>
      <c r="BZ92" s="175"/>
      <c r="CA92" s="639"/>
      <c r="CB92" s="175"/>
      <c r="CC92" s="639"/>
      <c r="CD92" s="175"/>
      <c r="CE92" s="639"/>
      <c r="CF92" s="175"/>
      <c r="CG92" s="639"/>
      <c r="CH92" s="175"/>
      <c r="CI92" s="639"/>
      <c r="CJ92" s="175"/>
      <c r="CK92" s="639"/>
      <c r="CL92" s="175"/>
      <c r="CM92" s="639"/>
      <c r="CN92" s="175"/>
      <c r="CO92" s="639"/>
      <c r="CP92" s="175"/>
      <c r="CQ92" s="641"/>
      <c r="CR92" s="175"/>
      <c r="CS92" s="639"/>
      <c r="CT92" s="175"/>
      <c r="CU92" s="639">
        <f>((CU87-0)/100)*CU79</f>
        <v>316.589</v>
      </c>
      <c r="CV92" s="175"/>
      <c r="CW92" s="639">
        <f>((CW87-0)/100)*CW79</f>
        <v>352.35899999999998</v>
      </c>
      <c r="CX92" s="175"/>
      <c r="CY92" s="639">
        <f>((CY87-0)/100)*CY79</f>
        <v>312.56799999999998</v>
      </c>
      <c r="CZ92" s="639">
        <f t="shared" ref="CZ92:DG92" si="425">((CZ87-0)/100)*CZ79</f>
        <v>0</v>
      </c>
      <c r="DA92" s="639">
        <f t="shared" si="425"/>
        <v>382.70400000000001</v>
      </c>
      <c r="DB92" s="639">
        <f t="shared" si="425"/>
        <v>0</v>
      </c>
      <c r="DC92" s="639">
        <f t="shared" si="425"/>
        <v>320.15999999999997</v>
      </c>
      <c r="DD92" s="639">
        <f t="shared" si="425"/>
        <v>0</v>
      </c>
      <c r="DE92" s="639">
        <f t="shared" si="425"/>
        <v>349.76600000000002</v>
      </c>
      <c r="DF92" s="175">
        <f t="shared" si="415"/>
        <v>-0.73589719575772872</v>
      </c>
      <c r="DG92" s="639">
        <f t="shared" si="425"/>
        <v>327.42599999999999</v>
      </c>
      <c r="DH92" s="639">
        <f>((DH87-28)/100)*DH79</f>
        <v>-0.55056179775280878</v>
      </c>
      <c r="DI92" s="639">
        <f>((DI87-0)/100)*DI79</f>
        <v>327.42599999999999</v>
      </c>
      <c r="DJ92" s="175"/>
      <c r="DK92" s="639">
        <f>((DK87-0)/100)*DK79</f>
        <v>327.42599999999999</v>
      </c>
      <c r="DL92" s="175"/>
      <c r="DM92" s="639">
        <f>((DM87-0)/100)*DM79</f>
        <v>327.42599999999999</v>
      </c>
      <c r="DN92" s="175"/>
      <c r="DO92" s="639">
        <f>((DO87-0)/100)*DO79</f>
        <v>327.42599999999999</v>
      </c>
      <c r="DP92" s="175"/>
      <c r="DQ92" s="639">
        <f>((DQ87-0)/100)*DQ79</f>
        <v>327.42599999999999</v>
      </c>
      <c r="DR92" s="175"/>
      <c r="DS92" s="639">
        <f>((DS87-0)/100)*DS79</f>
        <v>327.42599999999999</v>
      </c>
      <c r="DT92" s="175"/>
      <c r="DU92" s="639">
        <f>((DU87-0)/100)*DU79</f>
        <v>327.42599999999999</v>
      </c>
      <c r="DV92" s="175"/>
      <c r="DW92" s="639">
        <f>((DW87-0)/100)*DW79</f>
        <v>327.42599999999999</v>
      </c>
      <c r="DX92" s="175"/>
      <c r="DY92" s="639">
        <f>((DY87-0)/100)*DY79</f>
        <v>327.42599999999999</v>
      </c>
      <c r="DZ92" s="175"/>
      <c r="EA92" s="639">
        <f>((EA87-0)/100)*EA79</f>
        <v>327.42599999999999</v>
      </c>
      <c r="EB92" s="175"/>
      <c r="EC92" s="639">
        <f>((EC87-0)/100)*EC79</f>
        <v>327.42599999999999</v>
      </c>
      <c r="ED92" s="175"/>
      <c r="EE92" s="639">
        <f>((EE87-0)/100)*EE79</f>
        <v>327.42599999999999</v>
      </c>
      <c r="EF92" s="860"/>
      <c r="EG92" s="639">
        <f>((EG87-0)/100)*EG79</f>
        <v>327.42599999999999</v>
      </c>
      <c r="EH92" s="860"/>
      <c r="EI92" s="639">
        <f>((EI87-0)/100)*EI79</f>
        <v>327.42599999999999</v>
      </c>
      <c r="EJ92" s="860"/>
      <c r="EK92" s="639">
        <f>((EK87-0)/100)*EK79</f>
        <v>327.42599999999999</v>
      </c>
      <c r="EL92" s="860"/>
      <c r="EM92" s="639">
        <f>((EM87-0)/100)*EM79</f>
        <v>327.42599999999999</v>
      </c>
      <c r="EN92" s="860"/>
      <c r="EO92" s="639">
        <f>((EO87-0)/100)*EO79</f>
        <v>327.42599999999999</v>
      </c>
      <c r="EP92" s="175"/>
      <c r="EQ92" s="1006">
        <f t="shared" ref="EQ92" si="426">((EQ87-0)/100)*EQ79</f>
        <v>351.96479999999997</v>
      </c>
      <c r="ER92" s="175"/>
      <c r="ES92" s="1006">
        <f t="shared" ref="ES92" si="427">((ES87-0)/100)*ES79</f>
        <v>351.96479999999997</v>
      </c>
      <c r="ET92" s="175"/>
      <c r="EU92" s="1006">
        <f t="shared" ref="EU92" si="428">((EU87-0)/100)*EU79</f>
        <v>351.96479999999997</v>
      </c>
      <c r="EV92" s="175"/>
      <c r="EW92" s="1006">
        <f t="shared" ref="EW92" si="429">((EW87-0)/100)*EW79</f>
        <v>351.96479999999997</v>
      </c>
      <c r="EX92" s="175"/>
      <c r="EY92" s="95"/>
      <c r="EZ92" s="594"/>
      <c r="FA92" s="405"/>
      <c r="FB92" s="94"/>
      <c r="FC92" s="92"/>
      <c r="FD92" s="94"/>
      <c r="FE92" s="92"/>
      <c r="FF92" s="95"/>
      <c r="FG92" s="92"/>
      <c r="FH92" s="95"/>
      <c r="FI92" s="92"/>
      <c r="FJ92" s="95"/>
      <c r="FK92" s="92"/>
      <c r="FL92" s="95"/>
      <c r="FM92" s="92"/>
      <c r="FN92" s="95"/>
      <c r="FO92" s="92"/>
      <c r="FP92" s="95"/>
      <c r="FQ92" s="92"/>
      <c r="FR92" s="96"/>
      <c r="FS92" s="97"/>
      <c r="FT92" s="96"/>
      <c r="FU92" s="97"/>
      <c r="FV92" s="96"/>
      <c r="FW92" s="98"/>
      <c r="FX92" s="480"/>
      <c r="FY92" s="98"/>
      <c r="FZ92" s="96"/>
      <c r="GA92" s="98"/>
      <c r="GB92" s="480"/>
      <c r="GC92" s="98"/>
      <c r="GD92" s="96"/>
      <c r="GE92" s="98"/>
      <c r="GF92" s="96"/>
      <c r="GG92" s="98"/>
      <c r="GH92" s="96"/>
      <c r="GI92" s="98"/>
      <c r="GJ92" s="96"/>
      <c r="GK92" s="98"/>
      <c r="GL92" s="96"/>
      <c r="GM92" s="98"/>
      <c r="GN92" s="96"/>
      <c r="GO92" s="98"/>
      <c r="GP92" s="96"/>
      <c r="GQ92" s="98"/>
      <c r="GR92" s="95"/>
      <c r="GS92" s="98"/>
      <c r="GT92" s="95"/>
      <c r="GU92" s="98"/>
      <c r="GV92" s="95"/>
      <c r="GW92" s="98"/>
      <c r="GX92" s="95"/>
      <c r="GY92" s="98"/>
      <c r="GZ92" s="98"/>
      <c r="HA92" s="98"/>
      <c r="HB92" s="10"/>
      <c r="HC92"/>
      <c r="HD92"/>
      <c r="HE92"/>
      <c r="HF92"/>
      <c r="HG92"/>
      <c r="HH92"/>
      <c r="HI92" s="10"/>
    </row>
    <row r="93" spans="2:217" s="5" customFormat="1" ht="12.75" hidden="1" customHeight="1" outlineLevel="1" x14ac:dyDescent="0.2">
      <c r="B93" s="636" t="s">
        <v>0</v>
      </c>
      <c r="C93" s="643"/>
      <c r="D93" s="644"/>
      <c r="E93" s="643"/>
      <c r="F93" s="644"/>
      <c r="G93" s="643"/>
      <c r="H93" s="644"/>
      <c r="I93" s="643"/>
      <c r="J93" s="645"/>
      <c r="K93" s="643"/>
      <c r="L93" s="645"/>
      <c r="M93" s="643"/>
      <c r="N93" s="645"/>
      <c r="O93" s="643"/>
      <c r="P93" s="645"/>
      <c r="Q93" s="643"/>
      <c r="R93" s="645"/>
      <c r="S93" s="643"/>
      <c r="T93" s="645"/>
      <c r="U93" s="643"/>
      <c r="V93" s="645"/>
      <c r="W93" s="643"/>
      <c r="X93" s="645"/>
      <c r="Y93" s="643"/>
      <c r="Z93" s="645"/>
      <c r="AA93" s="643"/>
      <c r="AB93" s="645"/>
      <c r="AC93" s="643"/>
      <c r="AD93" s="645"/>
      <c r="AE93" s="643"/>
      <c r="AF93" s="645"/>
      <c r="AG93" s="643"/>
      <c r="AH93" s="645"/>
      <c r="AI93" s="643"/>
      <c r="AJ93" s="645"/>
      <c r="AK93" s="643"/>
      <c r="AL93" s="645"/>
      <c r="AM93" s="643"/>
      <c r="AN93" s="645"/>
      <c r="AO93" s="643"/>
      <c r="AP93" s="645"/>
      <c r="AQ93" s="643"/>
      <c r="AR93" s="645"/>
      <c r="AS93" s="643"/>
      <c r="AT93" s="645"/>
      <c r="AU93" s="643"/>
      <c r="AV93" s="645"/>
      <c r="AW93" s="643"/>
      <c r="AX93" s="645"/>
      <c r="AY93" s="646"/>
      <c r="AZ93" s="645"/>
      <c r="BA93" s="646"/>
      <c r="BB93" s="645"/>
      <c r="BC93" s="646"/>
      <c r="BD93" s="645"/>
      <c r="BE93" s="646"/>
      <c r="BF93" s="645"/>
      <c r="BG93" s="646"/>
      <c r="BH93" s="645"/>
      <c r="BI93" s="646"/>
      <c r="BJ93" s="645"/>
      <c r="BK93" s="646"/>
      <c r="BL93" s="645"/>
      <c r="BM93" s="646"/>
      <c r="BN93" s="645"/>
      <c r="BO93" s="646"/>
      <c r="BP93" s="645"/>
      <c r="BQ93" s="646"/>
      <c r="BR93" s="645"/>
      <c r="BS93" s="646"/>
      <c r="BT93" s="645"/>
      <c r="BU93" s="646"/>
      <c r="BV93" s="645"/>
      <c r="BW93" s="647"/>
      <c r="BX93" s="645"/>
      <c r="BY93" s="646"/>
      <c r="BZ93" s="645"/>
      <c r="CA93" s="646"/>
      <c r="CB93" s="645"/>
      <c r="CC93" s="646"/>
      <c r="CD93" s="645"/>
      <c r="CE93" s="646"/>
      <c r="CF93" s="645"/>
      <c r="CG93" s="646"/>
      <c r="CH93" s="645"/>
      <c r="CI93" s="646"/>
      <c r="CJ93" s="645"/>
      <c r="CK93" s="646"/>
      <c r="CL93" s="645"/>
      <c r="CM93" s="646"/>
      <c r="CN93" s="645"/>
      <c r="CO93" s="646"/>
      <c r="CP93" s="645"/>
      <c r="CQ93" s="648"/>
      <c r="CR93" s="645"/>
      <c r="CS93" s="646"/>
      <c r="CT93" s="645"/>
      <c r="CU93" s="646">
        <f>+CU92+CU91+CU90</f>
        <v>2768.2559999999999</v>
      </c>
      <c r="CV93" s="645"/>
      <c r="CW93" s="646">
        <f>+CW92+CW91+CW90</f>
        <v>2875.953</v>
      </c>
      <c r="CX93" s="645"/>
      <c r="CY93" s="646">
        <f>+CY92+CY91+CY90</f>
        <v>2903.6419999999998</v>
      </c>
      <c r="CZ93" s="646">
        <f t="shared" ref="CZ93:DK93" si="430">+CZ92+CZ91+CZ90</f>
        <v>0</v>
      </c>
      <c r="DA93" s="646">
        <f t="shared" si="430"/>
        <v>2970.6839999999997</v>
      </c>
      <c r="DB93" s="646">
        <f t="shared" si="430"/>
        <v>0</v>
      </c>
      <c r="DC93" s="646">
        <f t="shared" si="430"/>
        <v>3059.0099999999998</v>
      </c>
      <c r="DD93" s="646">
        <f t="shared" si="430"/>
        <v>0</v>
      </c>
      <c r="DE93" s="646">
        <f t="shared" si="430"/>
        <v>3002.4310000000005</v>
      </c>
      <c r="DF93" s="175">
        <f t="shared" si="415"/>
        <v>4.3977770151320428</v>
      </c>
      <c r="DG93" s="646">
        <f t="shared" si="430"/>
        <v>2998.0919999999996</v>
      </c>
      <c r="DH93" s="645"/>
      <c r="DI93" s="646">
        <f t="shared" si="430"/>
        <v>2998.0919999999996</v>
      </c>
      <c r="DJ93" s="645"/>
      <c r="DK93" s="646">
        <f t="shared" si="430"/>
        <v>2998.0919999999996</v>
      </c>
      <c r="DL93" s="645"/>
      <c r="DM93" s="646">
        <f t="shared" ref="DM93:DO93" si="431">+DM92+DM91+DM90</f>
        <v>2998.0919999999996</v>
      </c>
      <c r="DN93" s="645"/>
      <c r="DO93" s="646">
        <f t="shared" si="431"/>
        <v>2998.0919999999996</v>
      </c>
      <c r="DP93" s="645"/>
      <c r="DQ93" s="646">
        <f t="shared" ref="DQ93:DS93" si="432">+DQ92+DQ91+DQ90</f>
        <v>2998.0919999999996</v>
      </c>
      <c r="DR93" s="645"/>
      <c r="DS93" s="646">
        <f t="shared" si="432"/>
        <v>2998.0919999999996</v>
      </c>
      <c r="DT93" s="645"/>
      <c r="DU93" s="646">
        <f t="shared" ref="DU93:DW93" si="433">+DU92+DU91+DU90</f>
        <v>2998.0919999999996</v>
      </c>
      <c r="DV93" s="645"/>
      <c r="DW93" s="646">
        <f t="shared" si="433"/>
        <v>2998.0919999999996</v>
      </c>
      <c r="DX93" s="645"/>
      <c r="DY93" s="646">
        <f t="shared" ref="DY93:EA93" si="434">+DY92+DY91+DY90</f>
        <v>2998.0919999999996</v>
      </c>
      <c r="DZ93" s="645"/>
      <c r="EA93" s="646">
        <f t="shared" si="434"/>
        <v>2998.0919999999996</v>
      </c>
      <c r="EB93" s="645"/>
      <c r="EC93" s="646">
        <f t="shared" ref="EC93:EE93" si="435">+EC92+EC91+EC90</f>
        <v>2998.0919999999996</v>
      </c>
      <c r="ED93" s="645"/>
      <c r="EE93" s="646">
        <f t="shared" si="435"/>
        <v>2998.0919999999996</v>
      </c>
      <c r="EF93" s="1039"/>
      <c r="EG93" s="646">
        <f t="shared" ref="EG93:EI93" si="436">+EG92+EG91+EG90</f>
        <v>2998.0919999999996</v>
      </c>
      <c r="EH93" s="1039"/>
      <c r="EI93" s="646">
        <f t="shared" si="436"/>
        <v>2998.0919999999996</v>
      </c>
      <c r="EJ93" s="1039"/>
      <c r="EK93" s="646">
        <f t="shared" ref="EK93:EM93" si="437">+EK92+EK91+EK90</f>
        <v>2998.0919999999996</v>
      </c>
      <c r="EL93" s="1039"/>
      <c r="EM93" s="646">
        <f t="shared" si="437"/>
        <v>2998.0919999999996</v>
      </c>
      <c r="EN93" s="1039"/>
      <c r="EO93" s="646">
        <f t="shared" ref="EO93" si="438">+EO92+EO91+EO90</f>
        <v>2998.0919999999996</v>
      </c>
      <c r="EP93" s="645"/>
      <c r="EQ93" s="1005">
        <f t="shared" ref="EQ93" si="439">+EQ92+EQ91+EQ90</f>
        <v>3098.0915</v>
      </c>
      <c r="ER93" s="645"/>
      <c r="ES93" s="1005">
        <f t="shared" ref="ES93" si="440">+ES92+ES91+ES90</f>
        <v>3098.0915</v>
      </c>
      <c r="ET93" s="645"/>
      <c r="EU93" s="1005">
        <f t="shared" ref="EU93" si="441">+EU92+EU91+EU90</f>
        <v>3098.0915</v>
      </c>
      <c r="EV93" s="645"/>
      <c r="EW93" s="1005">
        <f t="shared" ref="EW93" si="442">+EW92+EW91+EW90</f>
        <v>3098.0915</v>
      </c>
      <c r="EX93" s="645"/>
      <c r="EY93" s="320"/>
      <c r="EZ93" s="604"/>
      <c r="FA93" s="414"/>
      <c r="FB93" s="312"/>
      <c r="FC93" s="319"/>
      <c r="FD93" s="312"/>
      <c r="FE93" s="319"/>
      <c r="FF93" s="320"/>
      <c r="FG93" s="319"/>
      <c r="FH93" s="320"/>
      <c r="FI93" s="319"/>
      <c r="FJ93" s="320"/>
      <c r="FK93" s="319"/>
      <c r="FL93" s="320"/>
      <c r="FM93" s="319"/>
      <c r="FN93" s="320"/>
      <c r="FO93" s="319"/>
      <c r="FP93" s="320"/>
      <c r="FQ93" s="319"/>
      <c r="FR93" s="133"/>
      <c r="FS93" s="635"/>
      <c r="FT93" s="133"/>
      <c r="FU93" s="635"/>
      <c r="FV93" s="133"/>
      <c r="FW93" s="230"/>
      <c r="FX93" s="523"/>
      <c r="FY93" s="230"/>
      <c r="FZ93" s="133"/>
      <c r="GA93" s="230"/>
      <c r="GB93" s="523"/>
      <c r="GC93" s="230"/>
      <c r="GD93" s="133"/>
      <c r="GE93" s="230"/>
      <c r="GF93" s="133"/>
      <c r="GG93" s="230"/>
      <c r="GH93" s="133"/>
      <c r="GI93" s="230"/>
      <c r="GJ93" s="133"/>
      <c r="GK93" s="230"/>
      <c r="GL93" s="133"/>
      <c r="GM93" s="230"/>
      <c r="GN93" s="133"/>
      <c r="GO93" s="230"/>
      <c r="GP93" s="133"/>
      <c r="GQ93" s="230"/>
      <c r="GR93" s="320"/>
      <c r="GS93" s="230"/>
      <c r="GT93" s="320"/>
      <c r="GU93" s="230"/>
      <c r="GV93" s="320"/>
      <c r="GW93" s="230"/>
      <c r="GX93" s="320"/>
      <c r="GY93" s="230"/>
      <c r="GZ93" s="230"/>
      <c r="HA93" s="230"/>
      <c r="HB93" s="15"/>
      <c r="HC93"/>
      <c r="HD93"/>
      <c r="HE93"/>
      <c r="HF93"/>
      <c r="HG93"/>
      <c r="HH93"/>
      <c r="HI93" s="15"/>
    </row>
    <row r="94" spans="2:217" s="2" customFormat="1" ht="12.75" hidden="1" customHeight="1" outlineLevel="1" x14ac:dyDescent="0.2">
      <c r="B94" s="642"/>
      <c r="C94" s="637"/>
      <c r="D94" s="638"/>
      <c r="E94" s="637"/>
      <c r="F94" s="638"/>
      <c r="G94" s="637"/>
      <c r="H94" s="638"/>
      <c r="I94" s="637"/>
      <c r="J94" s="175"/>
      <c r="K94" s="637"/>
      <c r="L94" s="175"/>
      <c r="M94" s="637"/>
      <c r="N94" s="175"/>
      <c r="O94" s="637"/>
      <c r="P94" s="175"/>
      <c r="Q94" s="637"/>
      <c r="R94" s="175"/>
      <c r="S94" s="637"/>
      <c r="T94" s="175"/>
      <c r="U94" s="637"/>
      <c r="V94" s="175"/>
      <c r="W94" s="637"/>
      <c r="X94" s="175"/>
      <c r="Y94" s="637"/>
      <c r="Z94" s="175"/>
      <c r="AA94" s="637"/>
      <c r="AB94" s="175"/>
      <c r="AC94" s="637"/>
      <c r="AD94" s="175"/>
      <c r="AE94" s="637"/>
      <c r="AF94" s="175"/>
      <c r="AG94" s="637"/>
      <c r="AH94" s="175"/>
      <c r="AI94" s="637"/>
      <c r="AJ94" s="175"/>
      <c r="AK94" s="637"/>
      <c r="AL94" s="175"/>
      <c r="AM94" s="637"/>
      <c r="AN94" s="175"/>
      <c r="AO94" s="637"/>
      <c r="AP94" s="175"/>
      <c r="AQ94" s="637"/>
      <c r="AR94" s="175"/>
      <c r="AS94" s="637"/>
      <c r="AT94" s="175"/>
      <c r="AU94" s="637"/>
      <c r="AV94" s="175"/>
      <c r="AW94" s="637"/>
      <c r="AX94" s="175"/>
      <c r="AY94" s="639"/>
      <c r="AZ94" s="175"/>
      <c r="BA94" s="639"/>
      <c r="BB94" s="175"/>
      <c r="BC94" s="639"/>
      <c r="BD94" s="175"/>
      <c r="BE94" s="639"/>
      <c r="BF94" s="175"/>
      <c r="BG94" s="639"/>
      <c r="BH94" s="175"/>
      <c r="BI94" s="639"/>
      <c r="BJ94" s="175"/>
      <c r="BK94" s="639"/>
      <c r="BL94" s="175"/>
      <c r="BM94" s="639"/>
      <c r="BN94" s="175"/>
      <c r="BO94" s="639"/>
      <c r="BP94" s="175"/>
      <c r="BQ94" s="639"/>
      <c r="BR94" s="175"/>
      <c r="BS94" s="639"/>
      <c r="BT94" s="175"/>
      <c r="BU94" s="639"/>
      <c r="BV94" s="175"/>
      <c r="BW94" s="640"/>
      <c r="BX94" s="175"/>
      <c r="BY94" s="639"/>
      <c r="BZ94" s="175"/>
      <c r="CA94" s="639"/>
      <c r="CB94" s="175"/>
      <c r="CC94" s="639"/>
      <c r="CD94" s="175"/>
      <c r="CE94" s="639"/>
      <c r="CF94" s="175"/>
      <c r="CG94" s="639"/>
      <c r="CH94" s="175"/>
      <c r="CI94" s="639"/>
      <c r="CJ94" s="175"/>
      <c r="CK94" s="639"/>
      <c r="CL94" s="175"/>
      <c r="CM94" s="639"/>
      <c r="CN94" s="175"/>
      <c r="CO94" s="639"/>
      <c r="CP94" s="175"/>
      <c r="CQ94" s="641"/>
      <c r="CR94" s="175"/>
      <c r="CS94" s="639"/>
      <c r="CT94" s="175"/>
      <c r="CU94" s="639">
        <f>CU93-CU100</f>
        <v>-544.74400000000014</v>
      </c>
      <c r="CV94" s="175"/>
      <c r="CW94" s="639">
        <f>CW93-CW100</f>
        <v>-515.04700000000003</v>
      </c>
      <c r="CX94" s="175"/>
      <c r="CY94" s="639">
        <f>CY93-CY100</f>
        <v>-545.35800000000017</v>
      </c>
      <c r="CZ94" s="639">
        <f t="shared" ref="CZ94:DK94" si="443">CZ93-CZ100</f>
        <v>-3.9168424224163889</v>
      </c>
      <c r="DA94" s="639">
        <f t="shared" si="443"/>
        <v>-567.31600000000026</v>
      </c>
      <c r="DB94" s="639">
        <f t="shared" si="443"/>
        <v>-10.149439601494393</v>
      </c>
      <c r="DC94" s="639">
        <f t="shared" si="443"/>
        <v>-580.99000000000024</v>
      </c>
      <c r="DD94" s="639">
        <f t="shared" si="443"/>
        <v>-9.8702082704497549</v>
      </c>
      <c r="DE94" s="639">
        <f t="shared" si="443"/>
        <v>-511.56899999999951</v>
      </c>
      <c r="DF94" s="175">
        <f t="shared" si="415"/>
        <v>-0.67527817849643013</v>
      </c>
      <c r="DG94" s="639">
        <f t="shared" si="443"/>
        <v>-528.90800000000036</v>
      </c>
      <c r="DH94" s="175"/>
      <c r="DI94" s="639">
        <f t="shared" si="443"/>
        <v>-547.90800000000036</v>
      </c>
      <c r="DJ94" s="175"/>
      <c r="DK94" s="639">
        <f t="shared" si="443"/>
        <v>-782.90800000000036</v>
      </c>
      <c r="DL94" s="175"/>
      <c r="DM94" s="639">
        <f t="shared" ref="DM94:DO94" si="444">DM93-DM100</f>
        <v>-790.90800000000036</v>
      </c>
      <c r="DN94" s="175"/>
      <c r="DO94" s="639">
        <f t="shared" si="444"/>
        <v>-730.90800000000036</v>
      </c>
      <c r="DP94" s="175"/>
      <c r="DQ94" s="639">
        <f t="shared" ref="DQ94:DS94" si="445">DQ93-DQ100</f>
        <v>-599.90800000000036</v>
      </c>
      <c r="DR94" s="175"/>
      <c r="DS94" s="639">
        <f t="shared" si="445"/>
        <v>-401.90800000000036</v>
      </c>
      <c r="DT94" s="175"/>
      <c r="DU94" s="639">
        <f t="shared" ref="DU94:DW94" si="446">DU93-DU100</f>
        <v>-341.90800000000036</v>
      </c>
      <c r="DV94" s="175"/>
      <c r="DW94" s="639">
        <f t="shared" si="446"/>
        <v>-319.90800000000036</v>
      </c>
      <c r="DX94" s="175"/>
      <c r="DY94" s="639">
        <f t="shared" ref="DY94:EA94" si="447">DY93-DY100</f>
        <v>-250.90800000000036</v>
      </c>
      <c r="DZ94" s="175"/>
      <c r="EA94" s="639">
        <f t="shared" si="447"/>
        <v>-526.90800000000036</v>
      </c>
      <c r="EB94" s="175"/>
      <c r="EC94" s="639">
        <f t="shared" ref="EC94:EE94" si="448">EC93-EC100</f>
        <v>-476.90800000000036</v>
      </c>
      <c r="ED94" s="175"/>
      <c r="EE94" s="639">
        <f t="shared" si="448"/>
        <v>-454.90800000000036</v>
      </c>
      <c r="EF94" s="860"/>
      <c r="EG94" s="639">
        <f t="shared" ref="EG94:EI94" si="449">EG93-EG100</f>
        <v>-405.90800000000036</v>
      </c>
      <c r="EH94" s="860"/>
      <c r="EI94" s="639">
        <f t="shared" si="449"/>
        <v>-671.90800000000036</v>
      </c>
      <c r="EJ94" s="860"/>
      <c r="EK94" s="639">
        <f t="shared" ref="EK94:EM94" si="450">EK93-EK100</f>
        <v>-561.90800000000036</v>
      </c>
      <c r="EL94" s="860"/>
      <c r="EM94" s="639">
        <f t="shared" si="450"/>
        <v>-375.90800000000036</v>
      </c>
      <c r="EN94" s="860"/>
      <c r="EO94" s="639">
        <f t="shared" ref="EO94" si="451">EO93-EO100</f>
        <v>-414.90800000000036</v>
      </c>
      <c r="EP94" s="175"/>
      <c r="EQ94" s="789">
        <f t="shared" ref="EQ94" si="452">(EQ95/100)*EQ81</f>
        <v>-767.39520000000005</v>
      </c>
      <c r="ER94" s="175"/>
      <c r="ES94" s="789">
        <f t="shared" ref="ES94" si="453">(ES95/100)*ES81</f>
        <v>-682.42719999999997</v>
      </c>
      <c r="ET94" s="175"/>
      <c r="EU94" s="789">
        <f t="shared" ref="EU94" si="454">(EU95/100)*EU81</f>
        <v>-568.83840000000009</v>
      </c>
      <c r="EV94" s="175"/>
      <c r="EW94" s="789">
        <f t="shared" ref="EW94" si="455">(EW95/100)*EW81</f>
        <v>-591.19839999999999</v>
      </c>
      <c r="EX94" s="175"/>
      <c r="EY94" s="95"/>
      <c r="EZ94" s="594"/>
      <c r="FA94" s="405"/>
      <c r="FB94" s="94"/>
      <c r="FC94" s="92"/>
      <c r="FD94" s="94"/>
      <c r="FE94" s="92"/>
      <c r="FF94" s="95"/>
      <c r="FG94" s="92"/>
      <c r="FH94" s="95"/>
      <c r="FI94" s="92"/>
      <c r="FJ94" s="95"/>
      <c r="FK94" s="92"/>
      <c r="FL94" s="95"/>
      <c r="FM94" s="92"/>
      <c r="FN94" s="95"/>
      <c r="FO94" s="92"/>
      <c r="FP94" s="95"/>
      <c r="FQ94" s="92"/>
      <c r="FR94" s="96"/>
      <c r="FS94" s="97"/>
      <c r="FT94" s="96"/>
      <c r="FU94" s="97"/>
      <c r="FV94" s="96"/>
      <c r="FW94" s="98"/>
      <c r="FX94" s="480"/>
      <c r="FY94" s="98"/>
      <c r="FZ94" s="96"/>
      <c r="GA94" s="98"/>
      <c r="GB94" s="480"/>
      <c r="GC94" s="98"/>
      <c r="GD94" s="96"/>
      <c r="GE94" s="98"/>
      <c r="GF94" s="96"/>
      <c r="GG94" s="98"/>
      <c r="GH94" s="96"/>
      <c r="GI94" s="98"/>
      <c r="GJ94" s="96"/>
      <c r="GK94" s="98"/>
      <c r="GL94" s="96"/>
      <c r="GM94" s="98"/>
      <c r="GN94" s="96"/>
      <c r="GO94" s="98"/>
      <c r="GP94" s="96"/>
      <c r="GQ94" s="98"/>
      <c r="GR94" s="95"/>
      <c r="GS94" s="98"/>
      <c r="GT94" s="95"/>
      <c r="GU94" s="98"/>
      <c r="GV94" s="95"/>
      <c r="GW94" s="98"/>
      <c r="GX94" s="95"/>
      <c r="GY94" s="98"/>
      <c r="GZ94" s="98"/>
      <c r="HA94" s="98"/>
      <c r="HB94" s="10"/>
      <c r="HC94"/>
      <c r="HD94"/>
      <c r="HE94"/>
      <c r="HF94"/>
      <c r="HG94"/>
      <c r="HH94"/>
      <c r="HI94" s="10"/>
    </row>
    <row r="95" spans="2:217" s="2" customFormat="1" ht="12.75" hidden="1" customHeight="1" outlineLevel="1" x14ac:dyDescent="0.2">
      <c r="B95" s="642"/>
      <c r="C95" s="637"/>
      <c r="D95" s="638"/>
      <c r="E95" s="637"/>
      <c r="F95" s="638"/>
      <c r="G95" s="637"/>
      <c r="H95" s="638"/>
      <c r="I95" s="637"/>
      <c r="J95" s="175"/>
      <c r="K95" s="637"/>
      <c r="L95" s="175"/>
      <c r="M95" s="637"/>
      <c r="N95" s="175"/>
      <c r="O95" s="637"/>
      <c r="P95" s="175"/>
      <c r="Q95" s="637"/>
      <c r="R95" s="175"/>
      <c r="S95" s="637"/>
      <c r="T95" s="175"/>
      <c r="U95" s="637"/>
      <c r="V95" s="175"/>
      <c r="W95" s="637"/>
      <c r="X95" s="175"/>
      <c r="Y95" s="637"/>
      <c r="Z95" s="175"/>
      <c r="AA95" s="637"/>
      <c r="AB95" s="175"/>
      <c r="AC95" s="637"/>
      <c r="AD95" s="175"/>
      <c r="AE95" s="637"/>
      <c r="AF95" s="175"/>
      <c r="AG95" s="637"/>
      <c r="AH95" s="175"/>
      <c r="AI95" s="637"/>
      <c r="AJ95" s="175"/>
      <c r="AK95" s="637"/>
      <c r="AL95" s="175"/>
      <c r="AM95" s="637"/>
      <c r="AN95" s="175"/>
      <c r="AO95" s="637"/>
      <c r="AP95" s="175"/>
      <c r="AQ95" s="637"/>
      <c r="AR95" s="175"/>
      <c r="AS95" s="637"/>
      <c r="AT95" s="175"/>
      <c r="AU95" s="637"/>
      <c r="AV95" s="175"/>
      <c r="AW95" s="637"/>
      <c r="AX95" s="175"/>
      <c r="AY95" s="639"/>
      <c r="AZ95" s="175"/>
      <c r="BA95" s="639"/>
      <c r="BB95" s="175"/>
      <c r="BC95" s="639"/>
      <c r="BD95" s="175"/>
      <c r="BE95" s="639"/>
      <c r="BF95" s="175"/>
      <c r="BG95" s="639"/>
      <c r="BH95" s="175"/>
      <c r="BI95" s="639"/>
      <c r="BJ95" s="175"/>
      <c r="BK95" s="639"/>
      <c r="BL95" s="175"/>
      <c r="BM95" s="639"/>
      <c r="BN95" s="175"/>
      <c r="BO95" s="639"/>
      <c r="BP95" s="175"/>
      <c r="BQ95" s="639"/>
      <c r="BR95" s="175"/>
      <c r="BS95" s="639"/>
      <c r="BT95" s="175"/>
      <c r="BU95" s="639"/>
      <c r="BV95" s="175"/>
      <c r="BW95" s="640"/>
      <c r="BX95" s="175"/>
      <c r="BY95" s="639"/>
      <c r="BZ95" s="175"/>
      <c r="CA95" s="639"/>
      <c r="CB95" s="175"/>
      <c r="CC95" s="639"/>
      <c r="CD95" s="175"/>
      <c r="CE95" s="639"/>
      <c r="CF95" s="175"/>
      <c r="CG95" s="639"/>
      <c r="CH95" s="175"/>
      <c r="CI95" s="639"/>
      <c r="CJ95" s="175"/>
      <c r="CK95" s="639"/>
      <c r="CL95" s="175"/>
      <c r="CM95" s="639"/>
      <c r="CN95" s="175"/>
      <c r="CO95" s="639"/>
      <c r="CP95" s="175"/>
      <c r="CQ95" s="641"/>
      <c r="CR95" s="175"/>
      <c r="CS95" s="639"/>
      <c r="CT95" s="175"/>
      <c r="CU95" s="639">
        <f t="shared" ref="CU95:DE95" si="456">CU94/CU81*100</f>
        <v>86.330269413629182</v>
      </c>
      <c r="CV95" s="175"/>
      <c r="CW95" s="639">
        <f t="shared" si="456"/>
        <v>85.555980066445187</v>
      </c>
      <c r="CX95" s="175"/>
      <c r="CY95" s="639">
        <f t="shared" si="456"/>
        <v>86.702384737678884</v>
      </c>
      <c r="CZ95" s="639">
        <f t="shared" si="456"/>
        <v>28.408577143633469</v>
      </c>
      <c r="DA95" s="639">
        <f t="shared" si="456"/>
        <v>87.14531490015365</v>
      </c>
      <c r="DB95" s="639">
        <f t="shared" si="456"/>
        <v>77.044623457303899</v>
      </c>
      <c r="DC95" s="639">
        <f t="shared" si="456"/>
        <v>87.104947526236913</v>
      </c>
      <c r="DD95" s="639">
        <f t="shared" si="456"/>
        <v>-173.00281718482785</v>
      </c>
      <c r="DE95" s="639">
        <f t="shared" si="456"/>
        <v>85.546655518394559</v>
      </c>
      <c r="DF95" s="175">
        <f t="shared" si="415"/>
        <v>-1.0898768319156371E-2</v>
      </c>
      <c r="DG95" s="639">
        <f>DG94/DG81*100</f>
        <v>85.170370370370435</v>
      </c>
      <c r="DH95" s="175"/>
      <c r="DI95" s="639">
        <f>DI94/DI81*100</f>
        <v>82.765558912386766</v>
      </c>
      <c r="DJ95" s="175"/>
      <c r="DK95" s="639">
        <f>DK94/DK81*100</f>
        <v>90.824593967517444</v>
      </c>
      <c r="DL95" s="175"/>
      <c r="DM95" s="639">
        <f>DM94/DM81*100</f>
        <v>87.683813747228427</v>
      </c>
      <c r="DN95" s="175"/>
      <c r="DO95" s="639">
        <f>DO94/DO81*100</f>
        <v>83.723711340206236</v>
      </c>
      <c r="DP95" s="175"/>
      <c r="DQ95" s="639">
        <f>DQ94/DQ81*100</f>
        <v>75.937721518987388</v>
      </c>
      <c r="DR95" s="175"/>
      <c r="DS95" s="639">
        <f>DS94/DS81*100</f>
        <v>79.743650793650872</v>
      </c>
      <c r="DT95" s="175"/>
      <c r="DU95" s="639">
        <f>DU94/DU81*100</f>
        <v>69.635030549898232</v>
      </c>
      <c r="DV95" s="175"/>
      <c r="DW95" s="639">
        <f>DW94/DW81*100</f>
        <v>67.207563025210163</v>
      </c>
      <c r="DX95" s="175"/>
      <c r="DY95" s="639">
        <f>DY94/DY81*100</f>
        <v>59.59809976247039</v>
      </c>
      <c r="DZ95" s="175"/>
      <c r="EA95" s="639">
        <f>EA94/EA81*100</f>
        <v>77.715044247787674</v>
      </c>
      <c r="EB95" s="175"/>
      <c r="EC95" s="639">
        <f>EC94/EC81*100</f>
        <v>71.5004497751125</v>
      </c>
      <c r="ED95" s="175"/>
      <c r="EE95" s="639">
        <f>EE94/EE81*100</f>
        <v>73.729011345218851</v>
      </c>
      <c r="EF95" s="860"/>
      <c r="EG95" s="639">
        <f>EG94/EG81*100</f>
        <v>67.764273789649479</v>
      </c>
      <c r="EH95" s="860"/>
      <c r="EI95" s="639">
        <f>EI94/EI81*100</f>
        <v>78.310955710955753</v>
      </c>
      <c r="EJ95" s="860"/>
      <c r="EK95" s="639">
        <f>EK94/EK81*100</f>
        <v>73.644560943643555</v>
      </c>
      <c r="EL95" s="860"/>
      <c r="EM95" s="639">
        <f>EM94/EM81*100</f>
        <v>59.105031446540934</v>
      </c>
      <c r="EN95" s="860"/>
      <c r="EO95" s="639">
        <f>EO94/EO81*100</f>
        <v>62.769742813918363</v>
      </c>
      <c r="EP95" s="175"/>
      <c r="EQ95" s="789">
        <v>86</v>
      </c>
      <c r="ER95" s="175"/>
      <c r="ES95" s="789">
        <v>86</v>
      </c>
      <c r="ET95" s="175"/>
      <c r="EU95" s="789">
        <v>86</v>
      </c>
      <c r="EV95" s="175"/>
      <c r="EW95" s="789">
        <v>86</v>
      </c>
      <c r="EX95" s="175"/>
      <c r="EY95" s="95"/>
      <c r="EZ95" s="594"/>
      <c r="FA95" s="405"/>
      <c r="FB95" s="94"/>
      <c r="FC95" s="92"/>
      <c r="FD95" s="94"/>
      <c r="FE95" s="92"/>
      <c r="FF95" s="95"/>
      <c r="FG95" s="92"/>
      <c r="FH95" s="95"/>
      <c r="FI95" s="92"/>
      <c r="FJ95" s="95"/>
      <c r="FK95" s="92"/>
      <c r="FL95" s="95"/>
      <c r="FM95" s="92"/>
      <c r="FN95" s="95"/>
      <c r="FO95" s="92"/>
      <c r="FP95" s="95"/>
      <c r="FQ95" s="92"/>
      <c r="FR95" s="96"/>
      <c r="FS95" s="97"/>
      <c r="FT95" s="96"/>
      <c r="FU95" s="97"/>
      <c r="FV95" s="96"/>
      <c r="FW95" s="98"/>
      <c r="FX95" s="480"/>
      <c r="FY95" s="98"/>
      <c r="FZ95" s="96"/>
      <c r="GA95" s="98"/>
      <c r="GB95" s="480"/>
      <c r="GC95" s="98"/>
      <c r="GD95" s="96"/>
      <c r="GE95" s="98"/>
      <c r="GF95" s="96"/>
      <c r="GG95" s="98"/>
      <c r="GH95" s="96"/>
      <c r="GI95" s="98"/>
      <c r="GJ95" s="96"/>
      <c r="GK95" s="98"/>
      <c r="GL95" s="96"/>
      <c r="GM95" s="98"/>
      <c r="GN95" s="96"/>
      <c r="GO95" s="98"/>
      <c r="GP95" s="96"/>
      <c r="GQ95" s="98"/>
      <c r="GR95" s="95"/>
      <c r="GS95" s="98"/>
      <c r="GT95" s="95"/>
      <c r="GU95" s="98"/>
      <c r="GV95" s="95"/>
      <c r="GW95" s="98"/>
      <c r="GX95" s="95"/>
      <c r="GY95" s="98"/>
      <c r="GZ95" s="98"/>
      <c r="HA95" s="98"/>
      <c r="HB95" s="10"/>
      <c r="HC95"/>
      <c r="HD95"/>
      <c r="HE95"/>
      <c r="HF95"/>
      <c r="HG95"/>
      <c r="HH95"/>
      <c r="HI95" s="10"/>
    </row>
    <row r="96" spans="2:217" s="2" customFormat="1" ht="12.75" hidden="1" customHeight="1" outlineLevel="1" x14ac:dyDescent="0.2">
      <c r="B96" s="636" t="s">
        <v>83</v>
      </c>
      <c r="C96" s="643"/>
      <c r="D96" s="644"/>
      <c r="E96" s="643"/>
      <c r="F96" s="644"/>
      <c r="G96" s="643"/>
      <c r="H96" s="644"/>
      <c r="I96" s="643"/>
      <c r="J96" s="645"/>
      <c r="K96" s="643"/>
      <c r="L96" s="645"/>
      <c r="M96" s="643"/>
      <c r="N96" s="645"/>
      <c r="O96" s="643"/>
      <c r="P96" s="645"/>
      <c r="Q96" s="643"/>
      <c r="R96" s="645"/>
      <c r="S96" s="643"/>
      <c r="T96" s="645"/>
      <c r="U96" s="643"/>
      <c r="V96" s="645"/>
      <c r="W96" s="643"/>
      <c r="X96" s="645"/>
      <c r="Y96" s="643"/>
      <c r="Z96" s="645"/>
      <c r="AA96" s="643"/>
      <c r="AB96" s="645"/>
      <c r="AC96" s="643"/>
      <c r="AD96" s="645"/>
      <c r="AE96" s="643"/>
      <c r="AF96" s="645"/>
      <c r="AG96" s="643"/>
      <c r="AH96" s="645"/>
      <c r="AI96" s="643"/>
      <c r="AJ96" s="645"/>
      <c r="AK96" s="643"/>
      <c r="AL96" s="645"/>
      <c r="AM96" s="643"/>
      <c r="AN96" s="645"/>
      <c r="AO96" s="643"/>
      <c r="AP96" s="645"/>
      <c r="AQ96" s="643"/>
      <c r="AR96" s="645"/>
      <c r="AS96" s="643"/>
      <c r="AT96" s="645"/>
      <c r="AU96" s="643"/>
      <c r="AV96" s="645"/>
      <c r="AW96" s="643"/>
      <c r="AX96" s="645"/>
      <c r="AY96" s="646"/>
      <c r="AZ96" s="645"/>
      <c r="BA96" s="646"/>
      <c r="BB96" s="645"/>
      <c r="BC96" s="646"/>
      <c r="BD96" s="645"/>
      <c r="BE96" s="646"/>
      <c r="BF96" s="645"/>
      <c r="BG96" s="646"/>
      <c r="BH96" s="645"/>
      <c r="BI96" s="646"/>
      <c r="BJ96" s="645"/>
      <c r="BK96" s="646"/>
      <c r="BL96" s="645"/>
      <c r="BM96" s="646"/>
      <c r="BN96" s="645"/>
      <c r="BO96" s="646"/>
      <c r="BP96" s="645"/>
      <c r="BQ96" s="646"/>
      <c r="BR96" s="645"/>
      <c r="BS96" s="646"/>
      <c r="BT96" s="645"/>
      <c r="BU96" s="646"/>
      <c r="BV96" s="645"/>
      <c r="BW96" s="647"/>
      <c r="BX96" s="645"/>
      <c r="BY96" s="646"/>
      <c r="BZ96" s="645"/>
      <c r="CA96" s="646"/>
      <c r="CB96" s="645"/>
      <c r="CC96" s="646"/>
      <c r="CD96" s="645"/>
      <c r="CE96" s="646"/>
      <c r="CF96" s="645"/>
      <c r="CG96" s="646"/>
      <c r="CH96" s="645"/>
      <c r="CI96" s="646"/>
      <c r="CJ96" s="645"/>
      <c r="CK96" s="646"/>
      <c r="CL96" s="645"/>
      <c r="CM96" s="646"/>
      <c r="CN96" s="645"/>
      <c r="CO96" s="646"/>
      <c r="CP96" s="645"/>
      <c r="CQ96" s="648"/>
      <c r="CR96" s="645"/>
      <c r="CS96" s="646"/>
      <c r="CT96" s="645"/>
      <c r="CU96" s="646">
        <f>CU93-CU94</f>
        <v>3313</v>
      </c>
      <c r="CV96" s="645"/>
      <c r="CW96" s="646">
        <f>CW93-CW94</f>
        <v>3391</v>
      </c>
      <c r="CX96" s="645"/>
      <c r="CY96" s="646">
        <f>CY93-CY94</f>
        <v>3449</v>
      </c>
      <c r="CZ96" s="646"/>
      <c r="DA96" s="646">
        <f>DA93-DA94</f>
        <v>3538</v>
      </c>
      <c r="DB96" s="646"/>
      <c r="DC96" s="646">
        <f>DC93-DC94</f>
        <v>3640</v>
      </c>
      <c r="DD96" s="646"/>
      <c r="DE96" s="646">
        <f>DE93-DE94</f>
        <v>3514</v>
      </c>
      <c r="DF96" s="645"/>
      <c r="DG96" s="646">
        <f>DG93-DG94</f>
        <v>3527</v>
      </c>
      <c r="DH96" s="645"/>
      <c r="DI96" s="646">
        <f>DI93-DI94</f>
        <v>3546</v>
      </c>
      <c r="DJ96" s="645"/>
      <c r="DK96" s="646">
        <f>DK93-DK94</f>
        <v>3781</v>
      </c>
      <c r="DL96" s="645"/>
      <c r="DM96" s="646">
        <f>DM93-DM94</f>
        <v>3789</v>
      </c>
      <c r="DN96" s="645"/>
      <c r="DO96" s="646">
        <f>DO93-DO94</f>
        <v>3729</v>
      </c>
      <c r="DP96" s="645"/>
      <c r="DQ96" s="646">
        <f>DQ93-DQ94</f>
        <v>3598</v>
      </c>
      <c r="DR96" s="645"/>
      <c r="DS96" s="646">
        <f>DS93-DS94</f>
        <v>3400</v>
      </c>
      <c r="DT96" s="645"/>
      <c r="DU96" s="646">
        <f>DU93-DU94</f>
        <v>3340</v>
      </c>
      <c r="DV96" s="645"/>
      <c r="DW96" s="646">
        <f>DW93-DW94</f>
        <v>3318</v>
      </c>
      <c r="DX96" s="645"/>
      <c r="DY96" s="646">
        <f>DY93-DY94</f>
        <v>3249</v>
      </c>
      <c r="DZ96" s="645"/>
      <c r="EA96" s="646">
        <f>EA93-EA94</f>
        <v>3525</v>
      </c>
      <c r="EB96" s="645"/>
      <c r="EC96" s="646">
        <f>EC93-EC94</f>
        <v>3475</v>
      </c>
      <c r="ED96" s="645"/>
      <c r="EE96" s="646">
        <f>EE93-EE94</f>
        <v>3453</v>
      </c>
      <c r="EF96" s="1039"/>
      <c r="EG96" s="646">
        <f>EG93-EG94</f>
        <v>3404</v>
      </c>
      <c r="EH96" s="1039"/>
      <c r="EI96" s="646">
        <f>EI93-EI94</f>
        <v>3670</v>
      </c>
      <c r="EJ96" s="1039"/>
      <c r="EK96" s="646">
        <f>EK93-EK94</f>
        <v>3560</v>
      </c>
      <c r="EL96" s="1039"/>
      <c r="EM96" s="646">
        <f>EM93-EM94</f>
        <v>3374</v>
      </c>
      <c r="EN96" s="1039"/>
      <c r="EO96" s="646">
        <f>EO93-EO94</f>
        <v>3413</v>
      </c>
      <c r="EP96" s="645"/>
      <c r="EQ96" s="1005">
        <f t="shared" ref="EQ96" si="457">EQ93-EQ94</f>
        <v>3865.4866999999999</v>
      </c>
      <c r="ER96" s="645"/>
      <c r="ES96" s="1005">
        <f t="shared" ref="ES96" si="458">ES93-ES94</f>
        <v>3780.5187000000001</v>
      </c>
      <c r="ET96" s="645"/>
      <c r="EU96" s="1005">
        <f t="shared" ref="EU96" si="459">EU93-EU94</f>
        <v>3666.9299000000001</v>
      </c>
      <c r="EV96" s="645"/>
      <c r="EW96" s="1005">
        <f t="shared" ref="EW96" si="460">EW93-EW94</f>
        <v>3689.2898999999998</v>
      </c>
      <c r="EX96" s="645"/>
      <c r="EY96" s="95"/>
      <c r="EZ96" s="594"/>
      <c r="FA96" s="405"/>
      <c r="FB96" s="94"/>
      <c r="FC96" s="92"/>
      <c r="FD96" s="94"/>
      <c r="FE96" s="92"/>
      <c r="FF96" s="95"/>
      <c r="FG96" s="92"/>
      <c r="FH96" s="95"/>
      <c r="FI96" s="92"/>
      <c r="FJ96" s="95"/>
      <c r="FK96" s="92"/>
      <c r="FL96" s="95"/>
      <c r="FM96" s="92"/>
      <c r="FN96" s="95"/>
      <c r="FO96" s="92"/>
      <c r="FP96" s="95"/>
      <c r="FQ96" s="92"/>
      <c r="FR96" s="96"/>
      <c r="FS96" s="97"/>
      <c r="FT96" s="96"/>
      <c r="FU96" s="97"/>
      <c r="FV96" s="96"/>
      <c r="FW96" s="98"/>
      <c r="FX96" s="480"/>
      <c r="FY96" s="98"/>
      <c r="FZ96" s="96"/>
      <c r="GA96" s="98"/>
      <c r="GB96" s="480"/>
      <c r="GC96" s="98"/>
      <c r="GD96" s="96"/>
      <c r="GE96" s="98"/>
      <c r="GF96" s="96"/>
      <c r="GG96" s="98"/>
      <c r="GH96" s="96"/>
      <c r="GI96" s="98"/>
      <c r="GJ96" s="96"/>
      <c r="GK96" s="98"/>
      <c r="GL96" s="96"/>
      <c r="GM96" s="98"/>
      <c r="GN96" s="96"/>
      <c r="GO96" s="98"/>
      <c r="GP96" s="96"/>
      <c r="GQ96" s="98"/>
      <c r="GR96" s="95"/>
      <c r="GS96" s="98"/>
      <c r="GT96" s="95"/>
      <c r="GU96" s="98"/>
      <c r="GV96" s="95"/>
      <c r="GW96" s="98"/>
      <c r="GX96" s="95"/>
      <c r="GY96" s="98"/>
      <c r="GZ96" s="98"/>
      <c r="HA96" s="98"/>
      <c r="HB96" s="10"/>
      <c r="HC96"/>
      <c r="HD96"/>
      <c r="HE96"/>
      <c r="HF96"/>
      <c r="HG96"/>
      <c r="HH96"/>
      <c r="HI96" s="10"/>
    </row>
    <row r="97" spans="1:217" s="2" customFormat="1" ht="12.75" hidden="1" customHeight="1" outlineLevel="1" x14ac:dyDescent="0.2">
      <c r="B97" s="642"/>
      <c r="C97" s="637"/>
      <c r="D97" s="638"/>
      <c r="E97" s="637"/>
      <c r="F97" s="638"/>
      <c r="G97" s="637"/>
      <c r="H97" s="638"/>
      <c r="I97" s="637"/>
      <c r="J97" s="175"/>
      <c r="K97" s="637"/>
      <c r="L97" s="175"/>
      <c r="M97" s="637"/>
      <c r="N97" s="175"/>
      <c r="O97" s="637"/>
      <c r="P97" s="175"/>
      <c r="Q97" s="637"/>
      <c r="R97" s="175"/>
      <c r="S97" s="637"/>
      <c r="T97" s="175"/>
      <c r="U97" s="637"/>
      <c r="V97" s="175"/>
      <c r="W97" s="637"/>
      <c r="X97" s="175"/>
      <c r="Y97" s="637"/>
      <c r="Z97" s="175"/>
      <c r="AA97" s="637"/>
      <c r="AB97" s="175"/>
      <c r="AC97" s="637"/>
      <c r="AD97" s="175"/>
      <c r="AE97" s="637"/>
      <c r="AF97" s="175"/>
      <c r="AG97" s="637"/>
      <c r="AH97" s="175"/>
      <c r="AI97" s="637"/>
      <c r="AJ97" s="175"/>
      <c r="AK97" s="637"/>
      <c r="AL97" s="175"/>
      <c r="AM97" s="637"/>
      <c r="AN97" s="175"/>
      <c r="AO97" s="637"/>
      <c r="AP97" s="175"/>
      <c r="AQ97" s="637"/>
      <c r="AR97" s="175"/>
      <c r="AS97" s="637"/>
      <c r="AT97" s="175"/>
      <c r="AU97" s="637"/>
      <c r="AV97" s="175"/>
      <c r="AW97" s="637"/>
      <c r="AX97" s="175"/>
      <c r="AY97" s="639"/>
      <c r="AZ97" s="175"/>
      <c r="BA97" s="639"/>
      <c r="BB97" s="175"/>
      <c r="BC97" s="639"/>
      <c r="BD97" s="175"/>
      <c r="BE97" s="639"/>
      <c r="BF97" s="175"/>
      <c r="BG97" s="639"/>
      <c r="BH97" s="175"/>
      <c r="BI97" s="639"/>
      <c r="BJ97" s="175"/>
      <c r="BK97" s="639"/>
      <c r="BL97" s="175"/>
      <c r="BM97" s="639"/>
      <c r="BN97" s="175"/>
      <c r="BO97" s="639"/>
      <c r="BP97" s="175"/>
      <c r="BQ97" s="639"/>
      <c r="BR97" s="175"/>
      <c r="BS97" s="639"/>
      <c r="BT97" s="175"/>
      <c r="BU97" s="639"/>
      <c r="BV97" s="175"/>
      <c r="BW97" s="640"/>
      <c r="BX97" s="175"/>
      <c r="BY97" s="639"/>
      <c r="BZ97" s="175"/>
      <c r="CA97" s="639"/>
      <c r="CB97" s="175"/>
      <c r="CC97" s="639"/>
      <c r="CD97" s="175"/>
      <c r="CE97" s="639"/>
      <c r="CF97" s="175"/>
      <c r="CG97" s="639"/>
      <c r="CH97" s="175"/>
      <c r="CI97" s="639"/>
      <c r="CJ97" s="175"/>
      <c r="CK97" s="639"/>
      <c r="CL97" s="175"/>
      <c r="CM97" s="639"/>
      <c r="CN97" s="175"/>
      <c r="CO97" s="639"/>
      <c r="CP97" s="175"/>
      <c r="CQ97" s="641"/>
      <c r="CR97" s="175"/>
      <c r="CS97" s="639"/>
      <c r="CT97" s="175"/>
      <c r="CU97" s="639"/>
      <c r="CV97" s="175"/>
      <c r="CW97" s="639"/>
      <c r="CX97" s="175"/>
      <c r="CY97" s="639"/>
      <c r="CZ97" s="175"/>
      <c r="DA97" s="639"/>
      <c r="DB97" s="175"/>
      <c r="DC97" s="639"/>
      <c r="DD97" s="175"/>
      <c r="DE97" s="639"/>
      <c r="DF97" s="175"/>
      <c r="DG97" s="639"/>
      <c r="DH97" s="175"/>
      <c r="DI97" s="639"/>
      <c r="DJ97" s="175"/>
      <c r="DK97" s="639"/>
      <c r="DL97" s="175"/>
      <c r="DM97" s="639"/>
      <c r="DN97" s="175"/>
      <c r="DO97" s="639"/>
      <c r="DP97" s="175"/>
      <c r="DQ97" s="639"/>
      <c r="DR97" s="175"/>
      <c r="DS97" s="639"/>
      <c r="DT97" s="175"/>
      <c r="DU97" s="639"/>
      <c r="DV97" s="175"/>
      <c r="DW97" s="639"/>
      <c r="DX97" s="175"/>
      <c r="DY97" s="639"/>
      <c r="DZ97" s="175"/>
      <c r="EA97" s="639"/>
      <c r="EB97" s="175"/>
      <c r="EC97" s="639"/>
      <c r="ED97" s="175"/>
      <c r="EE97" s="639"/>
      <c r="EF97" s="860"/>
      <c r="EG97" s="639"/>
      <c r="EH97" s="860"/>
      <c r="EI97" s="639"/>
      <c r="EJ97" s="860"/>
      <c r="EK97" s="639"/>
      <c r="EL97" s="860"/>
      <c r="EM97" s="639"/>
      <c r="EN97" s="860"/>
      <c r="EO97" s="639"/>
      <c r="EP97" s="175"/>
      <c r="EQ97" s="778">
        <f t="shared" ref="EQ97" si="461">EQ96/(EQ82-EQ62)*100</f>
        <v>93.367317840240773</v>
      </c>
      <c r="ER97" s="175"/>
      <c r="ES97" s="778">
        <f t="shared" ref="ES97" si="462">ES96/(ES82-ES62)*100</f>
        <v>93.568207722489376</v>
      </c>
      <c r="ET97" s="175"/>
      <c r="EU97" s="778">
        <f t="shared" ref="EU97" si="463">EU96/(EU82-EU62)*100</f>
        <v>93.838103032091212</v>
      </c>
      <c r="EV97" s="175"/>
      <c r="EW97" s="778">
        <f t="shared" ref="EW97" si="464">EW96/(EW82-EW62)*100</f>
        <v>93.792816451388632</v>
      </c>
      <c r="EX97" s="175"/>
      <c r="EY97" s="95"/>
      <c r="EZ97" s="594"/>
      <c r="FA97" s="405"/>
      <c r="FB97" s="94"/>
      <c r="FC97" s="92"/>
      <c r="FD97" s="94"/>
      <c r="FE97" s="92"/>
      <c r="FF97" s="95"/>
      <c r="FG97" s="92"/>
      <c r="FH97" s="95"/>
      <c r="FI97" s="92"/>
      <c r="FJ97" s="95"/>
      <c r="FK97" s="92"/>
      <c r="FL97" s="95"/>
      <c r="FM97" s="92"/>
      <c r="FN97" s="95"/>
      <c r="FO97" s="92"/>
      <c r="FP97" s="95"/>
      <c r="FQ97" s="92"/>
      <c r="FR97" s="96"/>
      <c r="FS97" s="97"/>
      <c r="FT97" s="96"/>
      <c r="FU97" s="97"/>
      <c r="FV97" s="96"/>
      <c r="FW97" s="98"/>
      <c r="FX97" s="480"/>
      <c r="FY97" s="98"/>
      <c r="FZ97" s="96"/>
      <c r="GA97" s="98"/>
      <c r="GB97" s="480"/>
      <c r="GC97" s="98"/>
      <c r="GD97" s="96"/>
      <c r="GE97" s="98"/>
      <c r="GF97" s="96"/>
      <c r="GG97" s="98"/>
      <c r="GH97" s="96"/>
      <c r="GI97" s="98"/>
      <c r="GJ97" s="96"/>
      <c r="GK97" s="98"/>
      <c r="GL97" s="96"/>
      <c r="GM97" s="98"/>
      <c r="GN97" s="96"/>
      <c r="GO97" s="98"/>
      <c r="GP97" s="96"/>
      <c r="GQ97" s="98"/>
      <c r="GR97" s="95"/>
      <c r="GS97" s="98"/>
      <c r="GT97" s="95"/>
      <c r="GU97" s="98"/>
      <c r="GV97" s="95"/>
      <c r="GW97" s="98"/>
      <c r="GX97" s="95"/>
      <c r="GY97" s="98"/>
      <c r="GZ97" s="98"/>
      <c r="HA97" s="98"/>
      <c r="HB97" s="10"/>
      <c r="HC97"/>
      <c r="HD97"/>
      <c r="HE97"/>
      <c r="HF97"/>
      <c r="HG97"/>
      <c r="HH97"/>
      <c r="HI97" s="10"/>
    </row>
    <row r="98" spans="1:217" s="2" customFormat="1" ht="12.75" hidden="1" customHeight="1" outlineLevel="1" x14ac:dyDescent="0.2">
      <c r="B98" s="642"/>
      <c r="C98" s="637"/>
      <c r="D98" s="638"/>
      <c r="E98" s="637"/>
      <c r="F98" s="638"/>
      <c r="G98" s="637"/>
      <c r="H98" s="638"/>
      <c r="I98" s="637"/>
      <c r="J98" s="175"/>
      <c r="K98" s="637"/>
      <c r="L98" s="175"/>
      <c r="M98" s="637"/>
      <c r="N98" s="175"/>
      <c r="O98" s="637"/>
      <c r="P98" s="175"/>
      <c r="Q98" s="637"/>
      <c r="R98" s="175"/>
      <c r="S98" s="637"/>
      <c r="T98" s="175"/>
      <c r="U98" s="637"/>
      <c r="V98" s="175"/>
      <c r="W98" s="637"/>
      <c r="X98" s="175"/>
      <c r="Y98" s="637"/>
      <c r="Z98" s="175"/>
      <c r="AA98" s="637"/>
      <c r="AB98" s="175"/>
      <c r="AC98" s="637"/>
      <c r="AD98" s="175"/>
      <c r="AE98" s="637"/>
      <c r="AF98" s="175"/>
      <c r="AG98" s="637"/>
      <c r="AH98" s="175"/>
      <c r="AI98" s="637"/>
      <c r="AJ98" s="175"/>
      <c r="AK98" s="637"/>
      <c r="AL98" s="175"/>
      <c r="AM98" s="637"/>
      <c r="AN98" s="175"/>
      <c r="AO98" s="637"/>
      <c r="AP98" s="175"/>
      <c r="AQ98" s="637"/>
      <c r="AR98" s="175"/>
      <c r="AS98" s="637"/>
      <c r="AT98" s="175"/>
      <c r="AU98" s="637"/>
      <c r="AV98" s="175"/>
      <c r="AW98" s="637"/>
      <c r="AX98" s="175"/>
      <c r="AY98" s="639"/>
      <c r="AZ98" s="175"/>
      <c r="BA98" s="639"/>
      <c r="BB98" s="175"/>
      <c r="BC98" s="639"/>
      <c r="BD98" s="175"/>
      <c r="BE98" s="639"/>
      <c r="BF98" s="175"/>
      <c r="BG98" s="639"/>
      <c r="BH98" s="175"/>
      <c r="BI98" s="639"/>
      <c r="BJ98" s="175"/>
      <c r="BK98" s="639"/>
      <c r="BL98" s="175"/>
      <c r="BM98" s="639"/>
      <c r="BN98" s="175"/>
      <c r="BO98" s="639"/>
      <c r="BP98" s="175"/>
      <c r="BQ98" s="639"/>
      <c r="BR98" s="175"/>
      <c r="BS98" s="639"/>
      <c r="BT98" s="175"/>
      <c r="BU98" s="639"/>
      <c r="BV98" s="175"/>
      <c r="BW98" s="640"/>
      <c r="BX98" s="175"/>
      <c r="BY98" s="639"/>
      <c r="BZ98" s="175"/>
      <c r="CA98" s="639"/>
      <c r="CB98" s="175"/>
      <c r="CC98" s="639"/>
      <c r="CD98" s="175"/>
      <c r="CE98" s="639"/>
      <c r="CF98" s="175"/>
      <c r="CG98" s="639"/>
      <c r="CH98" s="175"/>
      <c r="CI98" s="639"/>
      <c r="CJ98" s="175"/>
      <c r="CK98" s="639"/>
      <c r="CL98" s="175"/>
      <c r="CM98" s="639"/>
      <c r="CN98" s="175"/>
      <c r="CO98" s="639"/>
      <c r="CP98" s="175"/>
      <c r="CQ98" s="641"/>
      <c r="CR98" s="175"/>
      <c r="CS98" s="639"/>
      <c r="CT98" s="175"/>
      <c r="CU98" s="639"/>
      <c r="CV98" s="175"/>
      <c r="CW98" s="639"/>
      <c r="CX98" s="175"/>
      <c r="CY98" s="639"/>
      <c r="CZ98" s="175"/>
      <c r="DA98" s="639"/>
      <c r="DB98" s="175"/>
      <c r="DC98" s="639"/>
      <c r="DD98" s="175"/>
      <c r="DE98" s="639"/>
      <c r="DF98" s="175"/>
      <c r="DG98" s="639"/>
      <c r="DH98" s="175"/>
      <c r="DI98" s="639"/>
      <c r="DJ98" s="175"/>
      <c r="DK98" s="639"/>
      <c r="DL98" s="175"/>
      <c r="DM98" s="639"/>
      <c r="DN98" s="175"/>
      <c r="DO98" s="639"/>
      <c r="DP98" s="175"/>
      <c r="DQ98" s="639"/>
      <c r="DR98" s="175"/>
      <c r="DS98" s="639"/>
      <c r="DT98" s="175"/>
      <c r="DU98" s="639"/>
      <c r="DV98" s="175"/>
      <c r="DW98" s="639"/>
      <c r="DX98" s="175"/>
      <c r="DY98" s="639"/>
      <c r="DZ98" s="175"/>
      <c r="EA98" s="639"/>
      <c r="EB98" s="175"/>
      <c r="EC98" s="639"/>
      <c r="ED98" s="175"/>
      <c r="EE98" s="639"/>
      <c r="EF98" s="860"/>
      <c r="EG98" s="639"/>
      <c r="EH98" s="860"/>
      <c r="EI98" s="639"/>
      <c r="EJ98" s="860"/>
      <c r="EK98" s="639"/>
      <c r="EL98" s="860"/>
      <c r="EM98" s="639"/>
      <c r="EN98" s="860"/>
      <c r="EO98" s="639"/>
      <c r="EP98" s="175"/>
      <c r="EQ98" s="778">
        <f t="shared" ref="EQ98" si="465">(EQ97/100)*EQ61</f>
        <v>3547.8708131871467</v>
      </c>
      <c r="ER98" s="175"/>
      <c r="ES98" s="778">
        <f t="shared" ref="ES98" si="466">(ES97/100)*ES61</f>
        <v>3570.5976543943666</v>
      </c>
      <c r="ET98" s="175"/>
      <c r="EU98" s="778">
        <f t="shared" ref="EU98" si="467">(EU97/100)*EU61</f>
        <v>3591.5858735847255</v>
      </c>
      <c r="EV98" s="175"/>
      <c r="EW98" s="778">
        <f t="shared" ref="EW98" si="468">(EW97/100)*EW61</f>
        <v>3595.3178724935146</v>
      </c>
      <c r="EX98" s="175"/>
      <c r="EY98" s="95"/>
      <c r="EZ98" s="594"/>
      <c r="FA98" s="405"/>
      <c r="FB98" s="94"/>
      <c r="FC98" s="92"/>
      <c r="FD98" s="94"/>
      <c r="FE98" s="92"/>
      <c r="FF98" s="95"/>
      <c r="FG98" s="92"/>
      <c r="FH98" s="95"/>
      <c r="FI98" s="92"/>
      <c r="FJ98" s="95"/>
      <c r="FK98" s="92"/>
      <c r="FL98" s="95"/>
      <c r="FM98" s="92"/>
      <c r="FN98" s="95"/>
      <c r="FO98" s="92"/>
      <c r="FP98" s="95"/>
      <c r="FQ98" s="92"/>
      <c r="FR98" s="96"/>
      <c r="FS98" s="97"/>
      <c r="FT98" s="96"/>
      <c r="FU98" s="97"/>
      <c r="FV98" s="96"/>
      <c r="FW98" s="98"/>
      <c r="FX98" s="480"/>
      <c r="FY98" s="98"/>
      <c r="FZ98" s="96"/>
      <c r="GA98" s="98"/>
      <c r="GB98" s="480"/>
      <c r="GC98" s="98"/>
      <c r="GD98" s="96"/>
      <c r="GE98" s="98"/>
      <c r="GF98" s="96"/>
      <c r="GG98" s="98"/>
      <c r="GH98" s="96"/>
      <c r="GI98" s="98"/>
      <c r="GJ98" s="96"/>
      <c r="GK98" s="98"/>
      <c r="GL98" s="96"/>
      <c r="GM98" s="98"/>
      <c r="GN98" s="96"/>
      <c r="GO98" s="98"/>
      <c r="GP98" s="96"/>
      <c r="GQ98" s="98"/>
      <c r="GR98" s="95"/>
      <c r="GS98" s="98"/>
      <c r="GT98" s="95"/>
      <c r="GU98" s="98"/>
      <c r="GV98" s="95"/>
      <c r="GW98" s="98"/>
      <c r="GX98" s="95"/>
      <c r="GY98" s="98"/>
      <c r="GZ98" s="98"/>
      <c r="HA98" s="98"/>
      <c r="HB98" s="10"/>
      <c r="HC98"/>
      <c r="HD98"/>
      <c r="HE98"/>
      <c r="HF98"/>
      <c r="HG98"/>
      <c r="HH98"/>
      <c r="HI98" s="10"/>
    </row>
    <row r="99" spans="1:217" s="2" customFormat="1" ht="12.75" customHeight="1" collapsed="1" x14ac:dyDescent="0.2">
      <c r="B99" s="19" t="s">
        <v>620</v>
      </c>
      <c r="C99" s="94"/>
      <c r="D99" s="92"/>
      <c r="E99" s="94"/>
      <c r="F99" s="92"/>
      <c r="G99" s="94"/>
      <c r="H99" s="92"/>
      <c r="I99" s="94"/>
      <c r="J99" s="98"/>
      <c r="K99" s="94"/>
      <c r="L99" s="98"/>
      <c r="M99" s="94"/>
      <c r="N99" s="98"/>
      <c r="O99" s="94"/>
      <c r="P99" s="98"/>
      <c r="Q99" s="94"/>
      <c r="R99" s="98"/>
      <c r="S99" s="94"/>
      <c r="T99" s="98"/>
      <c r="U99" s="94"/>
      <c r="V99" s="98"/>
      <c r="W99" s="94"/>
      <c r="X99" s="98"/>
      <c r="Y99" s="94"/>
      <c r="Z99" s="98"/>
      <c r="AA99" s="94"/>
      <c r="AB99" s="98"/>
      <c r="AC99" s="94"/>
      <c r="AD99" s="98"/>
      <c r="AE99" s="94"/>
      <c r="AF99" s="98"/>
      <c r="AG99" s="94"/>
      <c r="AH99" s="98"/>
      <c r="AI99" s="94"/>
      <c r="AJ99" s="98"/>
      <c r="AK99" s="94"/>
      <c r="AL99" s="98"/>
      <c r="AM99" s="94"/>
      <c r="AN99" s="98"/>
      <c r="AO99" s="94"/>
      <c r="AP99" s="98"/>
      <c r="AQ99" s="94"/>
      <c r="AR99" s="98"/>
      <c r="AS99" s="94"/>
      <c r="AT99" s="98"/>
      <c r="AU99" s="94"/>
      <c r="AV99" s="98"/>
      <c r="AW99" s="94"/>
      <c r="AX99" s="98"/>
      <c r="AY99" s="94"/>
      <c r="AZ99" s="98"/>
      <c r="BA99" s="94"/>
      <c r="BB99" s="98"/>
      <c r="BC99" s="94"/>
      <c r="BD99" s="98"/>
      <c r="BE99" s="94"/>
      <c r="BF99" s="98"/>
      <c r="BG99" s="94"/>
      <c r="BH99" s="98"/>
      <c r="BI99" s="94"/>
      <c r="BJ99" s="98"/>
      <c r="BK99" s="94"/>
      <c r="BL99" s="98"/>
      <c r="BM99" s="94"/>
      <c r="BN99" s="98"/>
      <c r="BO99" s="94"/>
      <c r="BP99" s="98"/>
      <c r="BQ99" s="94"/>
      <c r="BR99" s="98"/>
      <c r="BS99" s="94"/>
      <c r="BT99" s="98"/>
      <c r="BU99" s="94"/>
      <c r="BV99" s="98"/>
      <c r="BW99" s="94"/>
      <c r="BX99" s="98"/>
      <c r="BY99" s="94"/>
      <c r="BZ99" s="98"/>
      <c r="CA99" s="94"/>
      <c r="CB99" s="98"/>
      <c r="CC99" s="94"/>
      <c r="CD99" s="98"/>
      <c r="CE99" s="94"/>
      <c r="CF99" s="98"/>
      <c r="CG99" s="94"/>
      <c r="CH99" s="98"/>
      <c r="CI99" s="94"/>
      <c r="CJ99" s="98"/>
      <c r="CK99" s="94"/>
      <c r="CL99" s="98"/>
      <c r="CM99" s="94"/>
      <c r="CN99" s="98"/>
      <c r="CO99" s="94"/>
      <c r="CP99" s="98"/>
      <c r="CQ99" s="533"/>
      <c r="CR99" s="98"/>
      <c r="CS99" s="94"/>
      <c r="CT99" s="98"/>
      <c r="CU99" s="94"/>
      <c r="CV99" s="98"/>
      <c r="CW99" s="94"/>
      <c r="CX99" s="98"/>
      <c r="CY99" s="94"/>
      <c r="CZ99" s="98"/>
      <c r="DA99" s="94"/>
      <c r="DB99" s="98"/>
      <c r="DC99" s="94"/>
      <c r="DD99" s="98"/>
      <c r="DE99" s="94"/>
      <c r="DF99" s="98"/>
      <c r="DG99" s="94"/>
      <c r="DH99" s="98"/>
      <c r="DI99" s="94"/>
      <c r="DJ99" s="98"/>
      <c r="DK99" s="94"/>
      <c r="DL99" s="98"/>
      <c r="DM99" s="94"/>
      <c r="DN99" s="98"/>
      <c r="DO99" s="94"/>
      <c r="DP99" s="98"/>
      <c r="DQ99" s="94"/>
      <c r="DR99" s="98"/>
      <c r="DS99" s="94"/>
      <c r="DT99" s="98"/>
      <c r="DU99" s="94"/>
      <c r="DV99" s="98"/>
      <c r="DW99" s="94"/>
      <c r="DX99" s="98"/>
      <c r="DY99" s="94"/>
      <c r="DZ99" s="98"/>
      <c r="EA99" s="94"/>
      <c r="EB99" s="98"/>
      <c r="EC99" s="94"/>
      <c r="ED99" s="98"/>
      <c r="EE99" s="94"/>
      <c r="EF99" s="860"/>
      <c r="EG99" s="94"/>
      <c r="EH99" s="860"/>
      <c r="EI99" s="94"/>
      <c r="EJ99" s="860"/>
      <c r="EK99" s="94"/>
      <c r="EL99" s="860"/>
      <c r="EM99" s="94"/>
      <c r="EN99" s="860"/>
      <c r="EO99" s="94"/>
      <c r="EP99" s="98"/>
      <c r="EQ99" s="789"/>
      <c r="ER99" s="98"/>
      <c r="ES99" s="789"/>
      <c r="ET99" s="98"/>
      <c r="EU99" s="789"/>
      <c r="EV99" s="98"/>
      <c r="EW99" s="789"/>
      <c r="EX99" s="98"/>
      <c r="EY99" s="95"/>
      <c r="EZ99" s="594"/>
      <c r="FA99" s="405"/>
      <c r="FB99" s="94"/>
      <c r="FC99" s="92"/>
      <c r="FD99" s="94"/>
      <c r="FE99" s="92"/>
      <c r="FF99" s="95"/>
      <c r="FG99" s="92"/>
      <c r="FH99" s="95"/>
      <c r="FI99" s="92"/>
      <c r="FJ99" s="95"/>
      <c r="FK99" s="92"/>
      <c r="FL99" s="95"/>
      <c r="FM99" s="92"/>
      <c r="FN99" s="95"/>
      <c r="FO99" s="92"/>
      <c r="FP99" s="95"/>
      <c r="FQ99" s="92"/>
      <c r="FR99" s="96"/>
      <c r="FS99" s="97"/>
      <c r="FT99" s="96"/>
      <c r="FU99" s="97"/>
      <c r="FV99" s="96"/>
      <c r="FW99" s="98"/>
      <c r="FX99" s="480"/>
      <c r="FY99" s="98"/>
      <c r="FZ99" s="96"/>
      <c r="GA99" s="98"/>
      <c r="GB99" s="480"/>
      <c r="GC99" s="98"/>
      <c r="GD99" s="96"/>
      <c r="GE99" s="98"/>
      <c r="GF99" s="96"/>
      <c r="GG99" s="98"/>
      <c r="GH99" s="96"/>
      <c r="GI99" s="98"/>
      <c r="GJ99" s="96"/>
      <c r="GK99" s="98"/>
      <c r="GL99" s="96"/>
      <c r="GM99" s="98"/>
      <c r="GN99" s="96"/>
      <c r="GO99" s="98"/>
      <c r="GP99" s="96"/>
      <c r="GQ99" s="98"/>
      <c r="GR99" s="95"/>
      <c r="GS99" s="98"/>
      <c r="GT99" s="95"/>
      <c r="GU99" s="98"/>
      <c r="GV99" s="95"/>
      <c r="GW99" s="98"/>
      <c r="GX99" s="95"/>
      <c r="GY99" s="98"/>
      <c r="GZ99" s="98"/>
      <c r="HA99" s="98"/>
      <c r="HB99" s="10"/>
      <c r="HC99"/>
      <c r="HD99"/>
      <c r="HE99"/>
      <c r="HF99"/>
      <c r="HG99"/>
      <c r="HH99"/>
      <c r="HI99" s="10"/>
    </row>
    <row r="100" spans="1:217" s="2" customFormat="1" ht="12.75" customHeight="1" x14ac:dyDescent="0.2">
      <c r="B100" s="102" t="s">
        <v>540</v>
      </c>
      <c r="C100" s="94"/>
      <c r="D100" s="92"/>
      <c r="E100" s="94"/>
      <c r="F100" s="92"/>
      <c r="G100" s="94"/>
      <c r="H100" s="92"/>
      <c r="I100" s="94"/>
      <c r="J100" s="98"/>
      <c r="K100" s="94"/>
      <c r="L100" s="98"/>
      <c r="M100" s="94"/>
      <c r="N100" s="98"/>
      <c r="O100" s="94"/>
      <c r="P100" s="98"/>
      <c r="Q100" s="94"/>
      <c r="R100" s="98"/>
      <c r="S100" s="94"/>
      <c r="T100" s="98"/>
      <c r="U100" s="94"/>
      <c r="V100" s="98"/>
      <c r="W100" s="94"/>
      <c r="X100" s="98"/>
      <c r="Y100" s="94"/>
      <c r="Z100" s="98"/>
      <c r="AA100" s="94"/>
      <c r="AB100" s="98"/>
      <c r="AC100" s="94"/>
      <c r="AD100" s="98"/>
      <c r="AE100" s="94"/>
      <c r="AF100" s="98"/>
      <c r="AG100" s="94"/>
      <c r="AH100" s="98"/>
      <c r="AI100" s="94"/>
      <c r="AJ100" s="98"/>
      <c r="AK100" s="94"/>
      <c r="AL100" s="98"/>
      <c r="AM100" s="94"/>
      <c r="AN100" s="98"/>
      <c r="AO100" s="94"/>
      <c r="AP100" s="98"/>
      <c r="AQ100" s="94"/>
      <c r="AR100" s="98"/>
      <c r="AS100" s="94"/>
      <c r="AT100" s="98"/>
      <c r="AU100" s="94"/>
      <c r="AV100" s="98"/>
      <c r="AW100" s="94"/>
      <c r="AX100" s="98"/>
      <c r="AY100" s="94"/>
      <c r="AZ100" s="98"/>
      <c r="BA100" s="94"/>
      <c r="BB100" s="98"/>
      <c r="BC100" s="94"/>
      <c r="BD100" s="98"/>
      <c r="BE100" s="94"/>
      <c r="BF100" s="98"/>
      <c r="BG100" s="94"/>
      <c r="BH100" s="98"/>
      <c r="BI100" s="94"/>
      <c r="BJ100" s="98"/>
      <c r="BK100" s="94"/>
      <c r="BL100" s="98"/>
      <c r="BM100" s="94"/>
      <c r="BN100" s="98"/>
      <c r="BO100" s="94"/>
      <c r="BP100" s="98"/>
      <c r="BQ100" s="94"/>
      <c r="BR100" s="98"/>
      <c r="BS100" s="94"/>
      <c r="BT100" s="98"/>
      <c r="BU100" s="94"/>
      <c r="BV100" s="98"/>
      <c r="BW100" s="94"/>
      <c r="BX100" s="98"/>
      <c r="BY100" s="94"/>
      <c r="BZ100" s="98"/>
      <c r="CA100" s="101"/>
      <c r="CB100" s="98"/>
      <c r="CC100" s="101"/>
      <c r="CD100" s="98"/>
      <c r="CE100" s="101"/>
      <c r="CF100" s="98"/>
      <c r="CG100" s="101"/>
      <c r="CH100" s="98"/>
      <c r="CI100" s="101"/>
      <c r="CJ100" s="98"/>
      <c r="CK100" s="101"/>
      <c r="CL100" s="98"/>
      <c r="CM100" s="101"/>
      <c r="CN100" s="98"/>
      <c r="CO100" s="101"/>
      <c r="CP100" s="98"/>
      <c r="CQ100" s="542">
        <v>3319</v>
      </c>
      <c r="CR100" s="98" t="str">
        <f>IF(ISERROR((CQ100/CI100-1)*100),"NA",IF(((CQ100/CI100-1)*100)&gt;100,"NM",IF(((CQ100/CI100-1)*100)&lt;-50,"NM",(CQ100/CI100-1)*100)))</f>
        <v>NA</v>
      </c>
      <c r="CS100" s="101">
        <v>3212</v>
      </c>
      <c r="CT100" s="98" t="str">
        <f>IF(ISERROR((CS100/CK100-1)*100),"NA",IF(((CS100/CK100-1)*100)&gt;100,"NM",IF(((CS100/CK100-1)*100)&lt;-50,"NM",(CS100/CK100-1)*100)))</f>
        <v>NA</v>
      </c>
      <c r="CU100" s="101">
        <v>3313</v>
      </c>
      <c r="CV100" s="98" t="str">
        <f>IF(ISERROR((CU100/CM100-1)*100),"NA",IF(((CU100/CM100-1)*100)&gt;100,"NM",IF(((CU100/CM100-1)*100)&lt;-50,"NM",(CU100/CM100-1)*100)))</f>
        <v>NA</v>
      </c>
      <c r="CW100" s="101">
        <v>3391</v>
      </c>
      <c r="CX100" s="98" t="str">
        <f>IF(ISERROR((CW100/CO100-1)*100),"NA",IF(((CW100/CO100-1)*100)&gt;100,"NM",IF(((CW100/CO100-1)*100)&lt;-50,"NM",(CW100/CO100-1)*100)))</f>
        <v>NA</v>
      </c>
      <c r="CY100" s="101">
        <v>3449</v>
      </c>
      <c r="CZ100" s="98">
        <f>IF(ISERROR((CY100/CQ100-1)*100),"NA",IF(((CY100/CQ100-1)*100)&gt;100,"NM",IF(((CY100/CQ100-1)*100)&lt;-50,"NM",(CY100/CQ100-1)*100)))</f>
        <v>3.9168424224163889</v>
      </c>
      <c r="DA100" s="101">
        <v>3538</v>
      </c>
      <c r="DB100" s="98">
        <f>IF(ISERROR((DA100/CS100-1)*100),"NA",IF(((DA100/CS100-1)*100)&gt;100,"NM",IF(((DA100/CS100-1)*100)&lt;-50,"NM",(DA100/CS100-1)*100)))</f>
        <v>10.149439601494393</v>
      </c>
      <c r="DC100" s="101">
        <v>3640</v>
      </c>
      <c r="DD100" s="98">
        <f>IF(ISERROR((DC100/CU100-1)*100),"NA",IF(((DC100/CU100-1)*100)&gt;100,"NM",IF(((DC100/CU100-1)*100)&lt;-50,"NM",(DC100/CU100-1)*100)))</f>
        <v>9.8702082704497549</v>
      </c>
      <c r="DE100" s="101">
        <v>3514</v>
      </c>
      <c r="DF100" s="98">
        <f>IF(ISERROR((DE100/CW100-1)*100),"NA",IF(((DE100/CW100-1)*100)&gt;100,"NM",IF(((DE100/CW100-1)*100)&lt;-50,"NM",(DE100/CW100-1)*100)))</f>
        <v>3.6272485992332681</v>
      </c>
      <c r="DG100" s="101">
        <v>3527</v>
      </c>
      <c r="DH100" s="98">
        <f>IF(ISERROR((DG100/CY100-1)*100),"NA",IF(((DG100/CY100-1)*100)&gt;100,"NM",IF(((DG100/CY100-1)*100)&lt;-50,"NM",(DG100/CY100-1)*100)))</f>
        <v>2.2615250797332509</v>
      </c>
      <c r="DI100" s="101">
        <v>3546</v>
      </c>
      <c r="DJ100" s="98">
        <f>IF(ISERROR((DI100/DA100-1)*100),"NA",IF(((DI100/DA100-1)*100)&gt;100,"NM",IF(((DI100/DA100-1)*100)&lt;-50,"NM",(DI100/DA100-1)*100)))</f>
        <v>0.22611644997172498</v>
      </c>
      <c r="DK100" s="101">
        <v>3781</v>
      </c>
      <c r="DL100" s="98">
        <f>IF(ISERROR((DK100/DC100-1)*100),"NA",IF(((DK100/DC100-1)*100)&gt;100,"NM",IF(((DK100/DC100-1)*100)&lt;-50,"NM",(DK100/DC100-1)*100)))</f>
        <v>3.8736263736263821</v>
      </c>
      <c r="DM100" s="101">
        <v>3789</v>
      </c>
      <c r="DN100" s="98">
        <f>IF(ISERROR((DM100/DE100-1)*100),"NA",IF(((DM100/DE100-1)*100)&gt;100,"NM",IF(((DM100/DE100-1)*100)&lt;-50,"NM",(DM100/DE100-1)*100)))</f>
        <v>7.825839499146281</v>
      </c>
      <c r="DO100" s="101">
        <v>3729</v>
      </c>
      <c r="DP100" s="98">
        <f>IF(ISERROR((DO100/DG100-1)*100),"NA",IF(((DO100/DG100-1)*100)&gt;100,"NM",IF(((DO100/DG100-1)*100)&lt;-50,"NM",(DO100/DG100-1)*100)))</f>
        <v>5.7272469520839309</v>
      </c>
      <c r="DQ100" s="101">
        <v>3598</v>
      </c>
      <c r="DR100" s="98">
        <f>IF(ISERROR((DQ100/DI100-1)*100),"NA",IF(((DQ100/DI100-1)*100)&gt;100,"NM",IF(((DQ100/DI100-1)*100)&lt;-50,"NM",(DQ100/DI100-1)*100)))</f>
        <v>1.4664410603496991</v>
      </c>
      <c r="DS100" s="101">
        <v>3400</v>
      </c>
      <c r="DT100" s="98">
        <f>IF(ISERROR((DS100/DK100-1)*100),"NA",IF(((DS100/DK100-1)*100)&gt;100,"NM",IF(((DS100/DK100-1)*100)&lt;-50,"NM",(DS100/DK100-1)*100)))</f>
        <v>-10.076699285903201</v>
      </c>
      <c r="DU100" s="101">
        <v>3340</v>
      </c>
      <c r="DV100" s="98">
        <f>IF(ISERROR((DU100/DM100-1)*100),"NA",IF(((DU100/DM100-1)*100)&gt;100,"NM",IF(((DU100/DM100-1)*100)&lt;-50,"NM",(DU100/DM100-1)*100)))</f>
        <v>-11.850092372657695</v>
      </c>
      <c r="DW100" s="101">
        <v>3318</v>
      </c>
      <c r="DX100" s="98">
        <f>IF(ISERROR((DW100/DO100-1)*100),"NA",IF(((DW100/DO100-1)*100)&gt;100,"NM",IF(((DW100/DO100-1)*100)&lt;-50,"NM",(DW100/DO100-1)*100)))</f>
        <v>-11.021721641190663</v>
      </c>
      <c r="DY100" s="101">
        <v>3249</v>
      </c>
      <c r="DZ100" s="98">
        <f>IF(ISERROR((DY100/DQ100-1)*100),"NA",IF(((DY100/DQ100-1)*100)&gt;100,"NM",IF(((DY100/DQ100-1)*100)&lt;-50,"NM",(DY100/DQ100-1)*100)))</f>
        <v>-9.6998332406892711</v>
      </c>
      <c r="EA100" s="101">
        <v>3525</v>
      </c>
      <c r="EB100" s="98">
        <f>IF(ISERROR((EA100/DS100-1)*100),"NA",IF(((EA100/DS100-1)*100)&gt;100,"NM",IF(((EA100/DS100-1)*100)&lt;-50,"NM",(EA100/DS100-1)*100)))</f>
        <v>3.6764705882353033</v>
      </c>
      <c r="EC100" s="101">
        <v>3475</v>
      </c>
      <c r="ED100" s="98">
        <f>IF(ISERROR((EC100/DU100-1)*100),"NA",IF(((EC100/DU100-1)*100)&gt;100,"NM",IF(((EC100/DU100-1)*100)&lt;-50,"NM",(EC100/DU100-1)*100)))</f>
        <v>4.041916167664672</v>
      </c>
      <c r="EE100" s="101">
        <v>3453</v>
      </c>
      <c r="EF100" s="860">
        <f>IF(ISERROR((EE100/DW100-1)*100),"NA",IF(((EE100/DW100-1)*100)&gt;100,"NM",IF(((EE100/DW100-1)*100)&lt;-50,"NM",(EE100/DW100-1)*100)))</f>
        <v>4.0687160940325429</v>
      </c>
      <c r="EG100" s="101">
        <v>3404</v>
      </c>
      <c r="EH100" s="860">
        <f>IF(ISERROR((EG100/DY100-1)*100),"NA",IF(((EG100/DY100-1)*100)&gt;100,"NM",IF(((EG100/DY100-1)*100)&lt;-50,"NM",(EG100/DY100-1)*100)))</f>
        <v>4.7706986765158499</v>
      </c>
      <c r="EI100" s="101">
        <v>3670</v>
      </c>
      <c r="EJ100" s="860">
        <f t="shared" ref="EJ100:EJ103" si="469">IF(ISERROR((EI100/EA100-1)*100),"NA",IF(((EI100/EA100-1)*100)&gt;100,"NM",IF(((EI100/EA100-1)*100)&lt;-50,"NM",(EI100/EA100-1)*100)))</f>
        <v>4.1134751773049594</v>
      </c>
      <c r="EK100" s="101">
        <v>3560</v>
      </c>
      <c r="EL100" s="860">
        <f t="shared" ref="EL100:EL103" si="470">IF(ISERROR((EK100/EC100-1)*100),"NA",IF(((EK100/EC100-1)*100)&gt;100,"NM",IF(((EK100/EC100-1)*100)&lt;-50,"NM",(EK100/EC100-1)*100)))</f>
        <v>2.4460431654676151</v>
      </c>
      <c r="EM100" s="101">
        <v>3374</v>
      </c>
      <c r="EN100" s="860">
        <f t="shared" ref="EN100:EN103" si="471">IF(ISERROR((EM100/EE100-1)*100),"NA",IF(((EM100/EE100-1)*100)&gt;100,"NM",IF(((EM100/EE100-1)*100)&lt;-50,"NM",(EM100/EE100-1)*100)))</f>
        <v>-2.2878656240949868</v>
      </c>
      <c r="EO100" s="101">
        <v>3413</v>
      </c>
      <c r="EP100" s="98">
        <f t="shared" ref="EP100:EP103" si="472">IF(ISERROR((EO100/EG100-1)*100),"NA",IF(((EO100/EG100-1)*100)&gt;100,"NM",IF(((EO100/EG100-1)*100)&lt;-50,"NM",(EO100/EG100-1)*100)))</f>
        <v>0.26439482961222449</v>
      </c>
      <c r="EQ100" s="778">
        <f t="shared" ref="EQ100" si="473">EQ67*EQ107/100</f>
        <v>3457.2653900583391</v>
      </c>
      <c r="ER100" s="98">
        <f t="shared" ref="ER100:ER103" si="474">IF(ISERROR((EQ100/EI100-1)*100),"NA",IF(((EQ100/EI100-1)*100)&gt;100,"NM",IF(((EQ100/EI100-1)*100)&lt;-50,"NM",(EQ100/EI100-1)*100)))</f>
        <v>-5.7965833771569724</v>
      </c>
      <c r="ES100" s="778">
        <f t="shared" ref="ES100" si="475">ES67*ES107/100</f>
        <v>3458.1132686367387</v>
      </c>
      <c r="ET100" s="98">
        <f t="shared" ref="ET100:ET103" si="476">IF(ISERROR((ES100/EK100-1)*100),"NA",IF(((ES100/EK100-1)*100)&gt;100,"NM",IF(((ES100/EK100-1)*100)&lt;-50,"NM",(ES100/EK100-1)*100)))</f>
        <v>-2.8619868360466705</v>
      </c>
      <c r="EU100" s="778">
        <f t="shared" ref="EU100" si="477">EU67*EU107/100</f>
        <v>3455.4240097330685</v>
      </c>
      <c r="EV100" s="98">
        <f t="shared" ref="EV100:EV103" si="478">IF(ISERROR((EU100/EM100-1)*100),"NA",IF(((EU100/EM100-1)*100)&gt;100,"NM",IF(((EU100/EM100-1)*100)&lt;-50,"NM",(EU100/EM100-1)*100)))</f>
        <v>2.4132782967714483</v>
      </c>
      <c r="EW100" s="778">
        <f t="shared" ref="EW100" si="479">EW67*EW107/100</f>
        <v>3455.0474898175785</v>
      </c>
      <c r="EX100" s="98">
        <f t="shared" ref="EX100:EX103" si="480">IF(ISERROR((EW100/EO100-1)*100),"NA",IF(((EW100/EO100-1)*100)&gt;100,"NM",IF(((EW100/EO100-1)*100)&lt;-50,"NM",(EW100/EO100-1)*100)))</f>
        <v>1.2319803638317639</v>
      </c>
      <c r="EY100" s="96"/>
      <c r="EZ100" s="594"/>
      <c r="FA100" s="405"/>
      <c r="FB100" s="94"/>
      <c r="FC100" s="92"/>
      <c r="FD100" s="94"/>
      <c r="FE100" s="92"/>
      <c r="FF100" s="95"/>
      <c r="FG100" s="92"/>
      <c r="FH100" s="95"/>
      <c r="FI100" s="92"/>
      <c r="FJ100" s="95"/>
      <c r="FK100" s="92"/>
      <c r="FL100" s="95"/>
      <c r="FM100" s="92"/>
      <c r="FN100" s="95"/>
      <c r="FO100" s="92"/>
      <c r="FP100" s="95"/>
      <c r="FQ100" s="92"/>
      <c r="FR100" s="96"/>
      <c r="FS100" s="97"/>
      <c r="FT100" s="96"/>
      <c r="FU100" s="97"/>
      <c r="FV100" s="95"/>
      <c r="FW100" s="98"/>
      <c r="FX100" s="480"/>
      <c r="FY100" s="98"/>
      <c r="FZ100" s="96"/>
      <c r="GA100" s="98"/>
      <c r="GB100" s="506">
        <v>13015</v>
      </c>
      <c r="GC100" s="98" t="str">
        <f>IF(ISERROR((GB100/FZ100-1)*100),"NA",IF(((GB100/FZ100-1)*100)&gt;100,"NM",IF(((GB100/FZ100-1)*100)&lt;-50,"NM",(GB100/FZ100-1)*100)))</f>
        <v>NA</v>
      </c>
      <c r="GD100" s="96">
        <f>CU100+CW100+CY100+DA100</f>
        <v>13691</v>
      </c>
      <c r="GE100" s="98">
        <f>IF(ISERROR((GD100/GB100-1)*100),"NA",IF(((GD100/GB100-1)*100)&gt;100,"NM",IF(((GD100/GB100-1)*100)&lt;-50,"NM",(GD100/GB100-1)*100)))</f>
        <v>5.1940069150979706</v>
      </c>
      <c r="GF100" s="96">
        <f>DC100+DE100+DG100+DI100</f>
        <v>14227</v>
      </c>
      <c r="GG100" s="98">
        <f>IF(ISERROR((GF100/GD100-1)*100),"NA",IF(((GF100/GD100-1)*100)&gt;100,"NM",IF(((GF100/GD100-1)*100)&lt;-50,"NM",(GF100/GD100-1)*100)))</f>
        <v>3.914980644218824</v>
      </c>
      <c r="GH100" s="96">
        <f>DK100+DM100+DO100+DQ100</f>
        <v>14897</v>
      </c>
      <c r="GI100" s="98">
        <f>IF(ISERROR((GH100/GF100-1)*100),"NA",IF(((GH100/GF100-1)*100)&gt;100,"NM",IF(((GH100/GF100-1)*100)&lt;-50,"NM",(GH100/GF100-1)*100)))</f>
        <v>4.7093554509032076</v>
      </c>
      <c r="GJ100" s="96">
        <f>DS100+DU100+DW100+DY100</f>
        <v>13307</v>
      </c>
      <c r="GK100" s="98">
        <f>IF(ISERROR((GJ100/GH100-1)*100),"NA",IF(((GJ100/GH100-1)*100)&gt;100,"NM",IF(((GJ100/GH100-1)*100)&lt;-50,"NM",(GJ100/GH100-1)*100)))</f>
        <v>-10.673289924145802</v>
      </c>
      <c r="GL100" s="96">
        <f>EA100+EC100+EE100+EG100</f>
        <v>13857</v>
      </c>
      <c r="GM100" s="98">
        <f>IF(ISERROR((GL100/GJ100-1)*100),"NA",IF(((GL100/GJ100-1)*100)&gt;100,"NM",IF(((GL100/GJ100-1)*100)&lt;-50,"NM",(GL100/GJ100-1)*100)))</f>
        <v>4.1331629969189043</v>
      </c>
      <c r="GN100" s="96">
        <f>EI100+EK100+EM100+EO100</f>
        <v>14017</v>
      </c>
      <c r="GO100" s="98">
        <f>IF(ISERROR((GN100/GL100-1)*100),"NA",IF(((GN100/GL100-1)*100)&gt;100,"NM",IF(((GN100/GL100-1)*100)&lt;-50,"NM",(GN100/GL100-1)*100)))</f>
        <v>1.1546510788771114</v>
      </c>
      <c r="GP100" s="96">
        <f>EQ100+ES100+EU100+EW100</f>
        <v>13825.850158245725</v>
      </c>
      <c r="GQ100" s="98">
        <f>IF(ISERROR((GP100/GN100-1)*100),"NA",IF(((GP100/GN100-1)*100)&gt;100,"NM",IF(((GP100/GN100-1)*100)&lt;-50,"NM",(GP100/GN100-1)*100)))</f>
        <v>-1.3637000909914709</v>
      </c>
      <c r="GR100" s="96">
        <f>GR67*GR107/100</f>
        <v>14061.381405774653</v>
      </c>
      <c r="GS100" s="98">
        <f>IF(ISERROR((GR100/GP100-1)*100),"NA",IF(((GR100/GP100-1)*100)&gt;100,"NM",IF(((GR100/GP100-1)*100)&lt;-50,"NM",(GR100/GP100-1)*100)))</f>
        <v>1.7035570676169787</v>
      </c>
      <c r="GT100" s="96">
        <f>GT67*GT107/100</f>
        <v>14284.879373164849</v>
      </c>
      <c r="GU100" s="98">
        <f>IF(ISERROR((GT100/GR100-1)*100),"NA",IF(((GT100/GR100-1)*100)&gt;100,"NM",IF(((GT100/GR100-1)*100)&lt;-50,"NM",(GT100/GR100-1)*100)))</f>
        <v>1.589445310817128</v>
      </c>
      <c r="GV100" s="96">
        <f>GV67*GV107/100</f>
        <v>14537.208017951183</v>
      </c>
      <c r="GW100" s="98">
        <f>IF(ISERROR((GV100/GT100-1)*100),"NA",IF(((GV100/GT100-1)*100)&gt;100,"NM",IF(((GV100/GT100-1)*100)&lt;-50,"NM",(GV100/GT100-1)*100)))</f>
        <v>1.7664037489903528</v>
      </c>
      <c r="GX100" s="96">
        <f>GX67*GX107/100</f>
        <v>14815.907416591706</v>
      </c>
      <c r="GY100" s="98">
        <f>IF(ISERROR((GX100/GV100-1)*100),"NA",IF(((GX100/GV100-1)*100)&gt;100,"NM",IF(((GX100/GV100-1)*100)&lt;-50,"NM",(GX100/GV100-1)*100)))</f>
        <v>1.9171452888090634</v>
      </c>
      <c r="GZ100" s="98">
        <f>IF(ISERROR(((GX100/GN100)^0.2-1)*100),"NA",IF((((GX100/GN100)^0.2-1)*100)&gt;100,"NM",IF((((GX100/GN100)^0.2-1)*100)&lt;-50,"NM",((GX100/GN100)^0.2-1)*100)))</f>
        <v>1.1147788697476679</v>
      </c>
      <c r="HA100" s="98"/>
      <c r="HB100" s="10"/>
      <c r="HC100"/>
      <c r="HD100"/>
      <c r="HE100"/>
      <c r="HF100"/>
      <c r="HG100"/>
      <c r="HH100"/>
      <c r="HI100" s="10"/>
    </row>
    <row r="101" spans="1:217" s="2" customFormat="1" ht="12.75" customHeight="1" x14ac:dyDescent="0.2">
      <c r="B101" s="102" t="s">
        <v>356</v>
      </c>
      <c r="C101" s="94"/>
      <c r="D101" s="92"/>
      <c r="E101" s="94"/>
      <c r="F101" s="92"/>
      <c r="G101" s="94"/>
      <c r="H101" s="92"/>
      <c r="I101" s="94"/>
      <c r="J101" s="98"/>
      <c r="K101" s="94"/>
      <c r="L101" s="98"/>
      <c r="M101" s="94"/>
      <c r="N101" s="98"/>
      <c r="O101" s="94"/>
      <c r="P101" s="98"/>
      <c r="Q101" s="94"/>
      <c r="R101" s="98"/>
      <c r="S101" s="94"/>
      <c r="T101" s="98"/>
      <c r="U101" s="94"/>
      <c r="V101" s="98"/>
      <c r="W101" s="94"/>
      <c r="X101" s="98"/>
      <c r="Y101" s="94"/>
      <c r="Z101" s="98"/>
      <c r="AA101" s="94"/>
      <c r="AB101" s="98"/>
      <c r="AC101" s="94"/>
      <c r="AD101" s="98"/>
      <c r="AE101" s="94"/>
      <c r="AF101" s="98"/>
      <c r="AG101" s="94"/>
      <c r="AH101" s="98"/>
      <c r="AI101" s="94"/>
      <c r="AJ101" s="98"/>
      <c r="AK101" s="94"/>
      <c r="AL101" s="98"/>
      <c r="AM101" s="94"/>
      <c r="AN101" s="98"/>
      <c r="AO101" s="94"/>
      <c r="AP101" s="98"/>
      <c r="AQ101" s="94"/>
      <c r="AR101" s="98"/>
      <c r="AS101" s="94"/>
      <c r="AT101" s="98"/>
      <c r="AU101" s="94"/>
      <c r="AV101" s="98"/>
      <c r="AW101" s="94"/>
      <c r="AX101" s="98"/>
      <c r="AY101" s="94"/>
      <c r="AZ101" s="98"/>
      <c r="BA101" s="94"/>
      <c r="BB101" s="98"/>
      <c r="BC101" s="94"/>
      <c r="BD101" s="98"/>
      <c r="BE101" s="94"/>
      <c r="BF101" s="98"/>
      <c r="BG101" s="94"/>
      <c r="BH101" s="98"/>
      <c r="BI101" s="94"/>
      <c r="BJ101" s="98"/>
      <c r="BK101" s="94"/>
      <c r="BL101" s="98"/>
      <c r="BM101" s="94"/>
      <c r="BN101" s="98"/>
      <c r="BO101" s="94"/>
      <c r="BP101" s="98"/>
      <c r="BQ101" s="94"/>
      <c r="BR101" s="98"/>
      <c r="BS101" s="94"/>
      <c r="BT101" s="98"/>
      <c r="BU101" s="94"/>
      <c r="BV101" s="98"/>
      <c r="BW101" s="94"/>
      <c r="BX101" s="98"/>
      <c r="BY101" s="94"/>
      <c r="BZ101" s="98"/>
      <c r="CA101" s="101"/>
      <c r="CB101" s="98"/>
      <c r="CC101" s="101"/>
      <c r="CD101" s="98"/>
      <c r="CE101" s="101"/>
      <c r="CF101" s="98"/>
      <c r="CG101" s="101"/>
      <c r="CH101" s="98"/>
      <c r="CI101" s="101"/>
      <c r="CJ101" s="98"/>
      <c r="CK101" s="101"/>
      <c r="CL101" s="98"/>
      <c r="CM101" s="101"/>
      <c r="CN101" s="98"/>
      <c r="CO101" s="101"/>
      <c r="CP101" s="98"/>
      <c r="CQ101" s="542">
        <v>547</v>
      </c>
      <c r="CR101" s="98" t="str">
        <f>IF(ISERROR((CQ101/CI101-1)*100),"NA",IF(((CQ101/CI101-1)*100)&gt;100,"NM",IF(((CQ101/CI101-1)*100)&lt;-50,"NM",(CQ101/CI101-1)*100)))</f>
        <v>NA</v>
      </c>
      <c r="CS101" s="101">
        <v>559</v>
      </c>
      <c r="CT101" s="98" t="str">
        <f>IF(ISERROR((CS101/CK101-1)*100),"NA",IF(((CS101/CK101-1)*100)&gt;100,"NM",IF(((CS101/CK101-1)*100)&lt;-50,"NM",(CS101/CK101-1)*100)))</f>
        <v>NA</v>
      </c>
      <c r="CU101" s="101">
        <v>575</v>
      </c>
      <c r="CV101" s="98" t="str">
        <f>IF(ISERROR((CU101/CM101-1)*100),"NA",IF(((CU101/CM101-1)*100)&gt;100,"NM",IF(((CU101/CM101-1)*100)&lt;-50,"NM",(CU101/CM101-1)*100)))</f>
        <v>NA</v>
      </c>
      <c r="CW101" s="101">
        <v>570</v>
      </c>
      <c r="CX101" s="98" t="str">
        <f>IF(ISERROR((CW101/CO101-1)*100),"NA",IF(((CW101/CO101-1)*100)&gt;100,"NM",IF(((CW101/CO101-1)*100)&lt;-50,"NM",(CW101/CO101-1)*100)))</f>
        <v>NA</v>
      </c>
      <c r="CY101" s="101">
        <f>1+547</f>
        <v>548</v>
      </c>
      <c r="CZ101" s="98">
        <f>IF(ISERROR((CY101/CQ101-1)*100),"NA",IF(((CY101/CQ101-1)*100)&gt;100,"NM",IF(((CY101/CQ101-1)*100)&lt;-50,"NM",(CY101/CQ101-1)*100)))</f>
        <v>0.18281535648994041</v>
      </c>
      <c r="DA101" s="101">
        <v>659</v>
      </c>
      <c r="DB101" s="98">
        <f>IF(ISERROR((DA101/CS101-1)*100),"NA",IF(((DA101/CS101-1)*100)&gt;100,"NM",IF(((DA101/CS101-1)*100)&lt;-50,"NM",(DA101/CS101-1)*100)))</f>
        <v>17.889087656529522</v>
      </c>
      <c r="DC101" s="101">
        <v>588</v>
      </c>
      <c r="DD101" s="98">
        <f>IF(ISERROR((DC101/CU101-1)*100),"NA",IF(((DC101/CU101-1)*100)&gt;100,"NM",IF(((DC101/CU101-1)*100)&lt;-50,"NM",(DC101/CU101-1)*100)))</f>
        <v>2.2608695652173827</v>
      </c>
      <c r="DE101" s="101">
        <v>578</v>
      </c>
      <c r="DF101" s="98">
        <f>IF(ISERROR((DE101/CW101-1)*100),"NA",IF(((DE101/CW101-1)*100)&gt;100,"NM",IF(((DE101/CW101-1)*100)&lt;-50,"NM",(DE101/CW101-1)*100)))</f>
        <v>1.4035087719298289</v>
      </c>
      <c r="DG101" s="101">
        <v>595</v>
      </c>
      <c r="DH101" s="98">
        <f>IF(ISERROR((DG101/CY101-1)*100),"NA",IF(((DG101/CY101-1)*100)&gt;100,"NM",IF(((DG101/CY101-1)*100)&lt;-50,"NM",(DG101/CY101-1)*100)))</f>
        <v>8.5766423357664259</v>
      </c>
      <c r="DI101" s="101">
        <v>619</v>
      </c>
      <c r="DJ101" s="98">
        <f>IF(ISERROR((DI101/DA101-1)*100),"NA",IF(((DI101/DA101-1)*100)&gt;100,"NM",IF(((DI101/DA101-1)*100)&lt;-50,"NM",(DI101/DA101-1)*100)))</f>
        <v>-6.0698027314112331</v>
      </c>
      <c r="DK101" s="101">
        <v>628</v>
      </c>
      <c r="DL101" s="98">
        <f>IF(ISERROR((DK101/DC101-1)*100),"NA",IF(((DK101/DC101-1)*100)&gt;100,"NM",IF(((DK101/DC101-1)*100)&lt;-50,"NM",(DK101/DC101-1)*100)))</f>
        <v>6.8027210884353817</v>
      </c>
      <c r="DM101" s="101">
        <v>638</v>
      </c>
      <c r="DN101" s="98">
        <f>IF(ISERROR((DM101/DE101-1)*100),"NA",IF(((DM101/DE101-1)*100)&gt;100,"NM",IF(((DM101/DE101-1)*100)&lt;-50,"NM",(DM101/DE101-1)*100)))</f>
        <v>10.380622837370247</v>
      </c>
      <c r="DO101" s="101">
        <v>634</v>
      </c>
      <c r="DP101" s="98">
        <f>IF(ISERROR((DO101/DG101-1)*100),"NA",IF(((DO101/DG101-1)*100)&gt;100,"NM",IF(((DO101/DG101-1)*100)&lt;-50,"NM",(DO101/DG101-1)*100)))</f>
        <v>6.5546218487394947</v>
      </c>
      <c r="DQ101" s="101">
        <f>671+1</f>
        <v>672</v>
      </c>
      <c r="DR101" s="98">
        <f>IF(ISERROR((DQ101/DI101-1)*100),"NA",IF(((DQ101/DI101-1)*100)&gt;100,"NM",IF(((DQ101/DI101-1)*100)&lt;-50,"NM",(DQ101/DI101-1)*100)))</f>
        <v>8.5621970920840127</v>
      </c>
      <c r="DS101" s="101">
        <v>565</v>
      </c>
      <c r="DT101" s="98">
        <f>IF(ISERROR((DS101/DK101-1)*100),"NA",IF(((DS101/DK101-1)*100)&gt;100,"NM",IF(((DS101/DK101-1)*100)&lt;-50,"NM",(DS101/DK101-1)*100)))</f>
        <v>-10.031847133757966</v>
      </c>
      <c r="DU101" s="101">
        <v>575</v>
      </c>
      <c r="DV101" s="98">
        <f>IF(ISERROR((DU101/DM101-1)*100),"NA",IF(((DU101/DM101-1)*100)&gt;100,"NM",IF(((DU101/DM101-1)*100)&lt;-50,"NM",(DU101/DM101-1)*100)))</f>
        <v>-9.8746081504702214</v>
      </c>
      <c r="DW101" s="101">
        <v>559</v>
      </c>
      <c r="DX101" s="98">
        <f>IF(ISERROR((DW101/DO101-1)*100),"NA",IF(((DW101/DO101-1)*100)&gt;100,"NM",IF(((DW101/DO101-1)*100)&lt;-50,"NM",(DW101/DO101-1)*100)))</f>
        <v>-11.82965299684543</v>
      </c>
      <c r="DY101" s="101">
        <v>592</v>
      </c>
      <c r="DZ101" s="98">
        <f>IF(ISERROR((DY101/DQ101-1)*100),"NA",IF(((DY101/DQ101-1)*100)&gt;100,"NM",IF(((DY101/DQ101-1)*100)&lt;-50,"NM",(DY101/DQ101-1)*100)))</f>
        <v>-11.904761904761907</v>
      </c>
      <c r="EA101" s="101">
        <v>604</v>
      </c>
      <c r="EB101" s="98">
        <f>IF(ISERROR((EA101/DS101-1)*100),"NA",IF(((EA101/DS101-1)*100)&gt;100,"NM",IF(((EA101/DS101-1)*100)&lt;-50,"NM",(EA101/DS101-1)*100)))</f>
        <v>6.9026548672566301</v>
      </c>
      <c r="EC101" s="101">
        <v>584</v>
      </c>
      <c r="ED101" s="98">
        <f>IF(ISERROR((EC101/DU101-1)*100),"NA",IF(((EC101/DU101-1)*100)&gt;100,"NM",IF(((EC101/DU101-1)*100)&lt;-50,"NM",(EC101/DU101-1)*100)))</f>
        <v>1.5652173913043521</v>
      </c>
      <c r="EE101" s="101">
        <v>576</v>
      </c>
      <c r="EF101" s="860">
        <f>IF(ISERROR((EE101/DW101-1)*100),"NA",IF(((EE101/DW101-1)*100)&gt;100,"NM",IF(((EE101/DW101-1)*100)&lt;-50,"NM",(EE101/DW101-1)*100)))</f>
        <v>3.0411449016100267</v>
      </c>
      <c r="EG101" s="101">
        <v>596</v>
      </c>
      <c r="EH101" s="860">
        <f>IF(ISERROR((EG101/DY101-1)*100),"NA",IF(((EG101/DY101-1)*100)&gt;100,"NM",IF(((EG101/DY101-1)*100)&lt;-50,"NM",(EG101/DY101-1)*100)))</f>
        <v>0.67567567567567988</v>
      </c>
      <c r="EI101" s="101">
        <v>582</v>
      </c>
      <c r="EJ101" s="860">
        <f t="shared" si="469"/>
        <v>-3.6423841059602613</v>
      </c>
      <c r="EK101" s="101">
        <f>572+1</f>
        <v>573</v>
      </c>
      <c r="EL101" s="860">
        <f t="shared" si="470"/>
        <v>-1.8835616438356184</v>
      </c>
      <c r="EM101" s="101">
        <v>579</v>
      </c>
      <c r="EN101" s="860">
        <f t="shared" si="471"/>
        <v>0.52083333333332593</v>
      </c>
      <c r="EO101" s="101">
        <f>580+1</f>
        <v>581</v>
      </c>
      <c r="EP101" s="98">
        <f t="shared" si="472"/>
        <v>-2.5167785234899376</v>
      </c>
      <c r="EQ101" s="778">
        <f t="shared" ref="EQ101" si="481">EQ67*EQ109/100</f>
        <v>575.39643044730951</v>
      </c>
      <c r="ER101" s="98">
        <f t="shared" si="474"/>
        <v>-1.134633943761254</v>
      </c>
      <c r="ES101" s="778">
        <f t="shared" ref="ES101" si="482">ES67*ES109/100</f>
        <v>577.37632189437545</v>
      </c>
      <c r="ET101" s="98">
        <f t="shared" si="476"/>
        <v>0.76375600250879749</v>
      </c>
      <c r="EU101" s="778">
        <f t="shared" ref="EU101" si="483">EU67*EU109/100</f>
        <v>578.77644167241874</v>
      </c>
      <c r="EV101" s="98">
        <f t="shared" si="478"/>
        <v>-3.8611110117658942E-2</v>
      </c>
      <c r="EW101" s="778">
        <f t="shared" ref="EW101" si="484">EW67*EW109/100</f>
        <v>580.57419006980319</v>
      </c>
      <c r="EX101" s="98">
        <f t="shared" si="480"/>
        <v>-7.3289144612187496E-2</v>
      </c>
      <c r="EY101" s="96"/>
      <c r="EZ101" s="594"/>
      <c r="FA101" s="405"/>
      <c r="FB101" s="94"/>
      <c r="FC101" s="92"/>
      <c r="FD101" s="94"/>
      <c r="FE101" s="92"/>
      <c r="FF101" s="95"/>
      <c r="FG101" s="92"/>
      <c r="FH101" s="95"/>
      <c r="FI101" s="92"/>
      <c r="FJ101" s="95"/>
      <c r="FK101" s="92"/>
      <c r="FL101" s="95"/>
      <c r="FM101" s="92"/>
      <c r="FN101" s="95"/>
      <c r="FO101" s="92"/>
      <c r="FP101" s="95"/>
      <c r="FQ101" s="92"/>
      <c r="FR101" s="96"/>
      <c r="FS101" s="97"/>
      <c r="FT101" s="96"/>
      <c r="FU101" s="97"/>
      <c r="FV101" s="95"/>
      <c r="FW101" s="98"/>
      <c r="FX101" s="480"/>
      <c r="FY101" s="98"/>
      <c r="FZ101" s="96"/>
      <c r="GA101" s="98"/>
      <c r="GB101" s="506">
        <v>2198</v>
      </c>
      <c r="GC101" s="98" t="str">
        <f>IF(ISERROR((GB101/FZ101-1)*100),"NA",IF(((GB101/FZ101-1)*100)&gt;100,"NM",IF(((GB101/FZ101-1)*100)&lt;-50,"NM",(GB101/FZ101-1)*100)))</f>
        <v>NA</v>
      </c>
      <c r="GD101" s="96">
        <f>CU101+CW101+CY101+DA101</f>
        <v>2352</v>
      </c>
      <c r="GE101" s="98">
        <f>IF(ISERROR((GD101/GB101-1)*100),"NA",IF(((GD101/GB101-1)*100)&gt;100,"NM",IF(((GD101/GB101-1)*100)&lt;-50,"NM",(GD101/GB101-1)*100)))</f>
        <v>7.0063694267515908</v>
      </c>
      <c r="GF101" s="96">
        <f>DC101+DE101+DG101+DI101</f>
        <v>2380</v>
      </c>
      <c r="GG101" s="98">
        <f>IF(ISERROR((GF101/GD101-1)*100),"NA",IF(((GF101/GD101-1)*100)&gt;100,"NM",IF(((GF101/GD101-1)*100)&lt;-50,"NM",(GF101/GD101-1)*100)))</f>
        <v>1.1904761904761862</v>
      </c>
      <c r="GH101" s="96">
        <f>DK101+DM101+DO101+DQ101</f>
        <v>2572</v>
      </c>
      <c r="GI101" s="98">
        <f>IF(ISERROR((GH101/GF101-1)*100),"NA",IF(((GH101/GF101-1)*100)&gt;100,"NM",IF(((GH101/GF101-1)*100)&lt;-50,"NM",(GH101/GF101-1)*100)))</f>
        <v>8.0672268907562952</v>
      </c>
      <c r="GJ101" s="96">
        <f>DS101+DU101+DW101+DY101</f>
        <v>2291</v>
      </c>
      <c r="GK101" s="98">
        <f>IF(ISERROR((GJ101/GH101-1)*100),"NA",IF(((GJ101/GH101-1)*100)&gt;100,"NM",IF(((GJ101/GH101-1)*100)&lt;-50,"NM",(GJ101/GH101-1)*100)))</f>
        <v>-10.925349922239501</v>
      </c>
      <c r="GL101" s="96">
        <f>EA101+EC101+EE101+EG101</f>
        <v>2360</v>
      </c>
      <c r="GM101" s="98">
        <f>IF(ISERROR((GL101/GJ101-1)*100),"NA",IF(((GL101/GJ101-1)*100)&gt;100,"NM",IF(((GL101/GJ101-1)*100)&lt;-50,"NM",(GL101/GJ101-1)*100)))</f>
        <v>3.0117852466172046</v>
      </c>
      <c r="GN101" s="96">
        <f>EI101+EK101+EM101+EO101</f>
        <v>2315</v>
      </c>
      <c r="GO101" s="98">
        <f>IF(ISERROR((GN101/GL101-1)*100),"NA",IF(((GN101/GL101-1)*100)&gt;100,"NM",IF(((GN101/GL101-1)*100)&lt;-50,"NM",(GN101/GL101-1)*100)))</f>
        <v>-1.9067796610169441</v>
      </c>
      <c r="GP101" s="96">
        <f>EQ101+ES101+EU101+EW101</f>
        <v>2312.1233840839068</v>
      </c>
      <c r="GQ101" s="98">
        <f>IF(ISERROR((GP101/GN101-1)*100),"NA",IF(((GP101/GN101-1)*100)&gt;100,"NM",IF(((GP101/GN101-1)*100)&lt;-50,"NM",(GP101/GN101-1)*100)))</f>
        <v>-0.12425986678588075</v>
      </c>
      <c r="GR101" s="96">
        <f>GR67*GR109/100</f>
        <v>2344.3424744526515</v>
      </c>
      <c r="GS101" s="98">
        <f>IF(ISERROR((GR101/GP101-1)*100),"NA",IF(((GR101/GP101-1)*100)&gt;100,"NM",IF(((GR101/GP101-1)*100)&lt;-50,"NM",(GR101/GP101-1)*100)))</f>
        <v>1.3934849061487453</v>
      </c>
      <c r="GT101" s="96">
        <f>GT67*GT109/100</f>
        <v>2381.6045159823334</v>
      </c>
      <c r="GU101" s="98">
        <f>IF(ISERROR((GT101/GR101-1)*100),"NA",IF(((GT101/GR101-1)*100)&gt;100,"NM",IF(((GT101/GR101-1)*100)&lt;-50,"NM",(GT101/GR101-1)*100)))</f>
        <v>1.589445310817128</v>
      </c>
      <c r="GV101" s="96">
        <f>GV67*GV109/100</f>
        <v>2423.673267438769</v>
      </c>
      <c r="GW101" s="98">
        <f>IF(ISERROR((GV101/GT101-1)*100),"NA",IF(((GV101/GT101-1)*100)&gt;100,"NM",IF(((GV101/GT101-1)*100)&lt;-50,"NM",(GV101/GT101-1)*100)))</f>
        <v>1.7664037489903528</v>
      </c>
      <c r="GX101" s="96">
        <f>GX67*GX109/100</f>
        <v>2470.1386053015958</v>
      </c>
      <c r="GY101" s="98">
        <f>IF(ISERROR((GX101/GV101-1)*100),"NA",IF(((GX101/GV101-1)*100)&gt;100,"NM",IF(((GX101/GV101-1)*100)&lt;-50,"NM",(GX101/GV101-1)*100)))</f>
        <v>1.9171452888090634</v>
      </c>
      <c r="GZ101" s="98">
        <f>IF(ISERROR(((GX101/GN101)^0.2-1)*100),"NA",IF((((GX101/GN101)^0.2-1)*100)&gt;100,"NM",IF((((GX101/GN101)^0.2-1)*100)&lt;-50,"NM",((GX101/GN101)^0.2-1)*100)))</f>
        <v>1.3057428739881471</v>
      </c>
      <c r="HA101" s="98"/>
      <c r="HB101" s="10"/>
      <c r="HC101"/>
      <c r="HD101"/>
      <c r="HE101"/>
      <c r="HF101"/>
      <c r="HG101"/>
      <c r="HH101"/>
      <c r="HI101" s="10"/>
    </row>
    <row r="102" spans="1:217" s="2" customFormat="1" ht="12.75" customHeight="1" x14ac:dyDescent="0.2">
      <c r="B102" s="102" t="s">
        <v>22</v>
      </c>
      <c r="C102" s="94"/>
      <c r="D102" s="92"/>
      <c r="E102" s="94"/>
      <c r="F102" s="92"/>
      <c r="G102" s="94"/>
      <c r="H102" s="92"/>
      <c r="I102" s="94"/>
      <c r="J102" s="98"/>
      <c r="K102" s="94"/>
      <c r="L102" s="98"/>
      <c r="M102" s="94"/>
      <c r="N102" s="98"/>
      <c r="O102" s="94"/>
      <c r="P102" s="98"/>
      <c r="Q102" s="94"/>
      <c r="R102" s="98"/>
      <c r="S102" s="94"/>
      <c r="T102" s="98"/>
      <c r="U102" s="94"/>
      <c r="V102" s="98"/>
      <c r="W102" s="94"/>
      <c r="X102" s="98"/>
      <c r="Y102" s="94"/>
      <c r="Z102" s="98"/>
      <c r="AA102" s="94"/>
      <c r="AB102" s="98"/>
      <c r="AC102" s="94"/>
      <c r="AD102" s="98"/>
      <c r="AE102" s="94"/>
      <c r="AF102" s="98"/>
      <c r="AG102" s="94"/>
      <c r="AH102" s="98"/>
      <c r="AI102" s="94"/>
      <c r="AJ102" s="98"/>
      <c r="AK102" s="94"/>
      <c r="AL102" s="98"/>
      <c r="AM102" s="94"/>
      <c r="AN102" s="98"/>
      <c r="AO102" s="94"/>
      <c r="AP102" s="98"/>
      <c r="AQ102" s="94"/>
      <c r="AR102" s="98"/>
      <c r="AS102" s="94"/>
      <c r="AT102" s="98"/>
      <c r="AU102" s="94"/>
      <c r="AV102" s="98"/>
      <c r="AW102" s="94"/>
      <c r="AX102" s="98"/>
      <c r="AY102" s="101"/>
      <c r="AZ102" s="98"/>
      <c r="BA102" s="101"/>
      <c r="BB102" s="98"/>
      <c r="BC102" s="101"/>
      <c r="BD102" s="98"/>
      <c r="BE102" s="101"/>
      <c r="BF102" s="98"/>
      <c r="BG102" s="101"/>
      <c r="BH102" s="98"/>
      <c r="BI102" s="101"/>
      <c r="BJ102" s="98"/>
      <c r="BK102" s="101"/>
      <c r="BL102" s="98"/>
      <c r="BM102" s="101"/>
      <c r="BN102" s="98"/>
      <c r="BO102" s="101"/>
      <c r="BP102" s="98"/>
      <c r="BQ102" s="101"/>
      <c r="BR102" s="98"/>
      <c r="BS102" s="101"/>
      <c r="BT102" s="98"/>
      <c r="BU102" s="101"/>
      <c r="BV102" s="98"/>
      <c r="BW102" s="101"/>
      <c r="BX102" s="98"/>
      <c r="BY102" s="101"/>
      <c r="BZ102" s="98"/>
      <c r="CA102" s="101"/>
      <c r="CB102" s="98"/>
      <c r="CC102" s="101"/>
      <c r="CD102" s="98"/>
      <c r="CE102" s="101"/>
      <c r="CF102" s="98"/>
      <c r="CG102" s="101"/>
      <c r="CH102" s="98"/>
      <c r="CI102" s="101"/>
      <c r="CJ102" s="98"/>
      <c r="CK102" s="101"/>
      <c r="CL102" s="98"/>
      <c r="CM102" s="101"/>
      <c r="CN102" s="98"/>
      <c r="CO102" s="101"/>
      <c r="CP102" s="98"/>
      <c r="CQ102" s="542">
        <f>-47+43</f>
        <v>-4</v>
      </c>
      <c r="CR102" s="98" t="str">
        <f>IF(ISERROR((CQ102/CI102-1)*100),"NA",IF(((CQ102/CI102-1)*100)&gt;100,"NM",IF(((CQ102/CI102-1)*100)&lt;-50,"NM",(CQ102/CI102-1)*100)))</f>
        <v>NA</v>
      </c>
      <c r="CS102" s="101">
        <f>-32+46</f>
        <v>14</v>
      </c>
      <c r="CT102" s="98" t="str">
        <f>IF(ISERROR((CS102/CK102-1)*100),"NA",IF(((CS102/CK102-1)*100)&gt;100,"NM",IF(((CS102/CK102-1)*100)&lt;-50,"NM",(CS102/CK102-1)*100)))</f>
        <v>NA</v>
      </c>
      <c r="CU102" s="101">
        <f>-31+30</f>
        <v>-1</v>
      </c>
      <c r="CV102" s="98" t="str">
        <f>IF(ISERROR((CU102/CM102-1)*100),"NA",IF(((CU102/CM102-1)*100)&gt;100,"NM",IF(((CU102/CM102-1)*100)&lt;-50,"NM",(CU102/CM102-1)*100)))</f>
        <v>NA</v>
      </c>
      <c r="CW102" s="101">
        <f>-33+28</f>
        <v>-5</v>
      </c>
      <c r="CX102" s="98" t="str">
        <f>IF(ISERROR((CW102/CO102-1)*100),"NA",IF(((CW102/CO102-1)*100)&gt;100,"NM",IF(((CW102/CO102-1)*100)&lt;-50,"NM",(CW102/CO102-1)*100)))</f>
        <v>NA</v>
      </c>
      <c r="CY102" s="101">
        <f>-38+40</f>
        <v>2</v>
      </c>
      <c r="CZ102" s="98" t="str">
        <f>IF(ISERROR((CY102/CQ102-1)*100),"NA",IF(((CY102/CQ102-1)*100)&gt;100,"NM",IF(((CY102/CQ102-1)*100)&lt;-50,"NM",(CY102/CQ102-1)*100)))</f>
        <v>NM</v>
      </c>
      <c r="DA102" s="101">
        <f>-36+35</f>
        <v>-1</v>
      </c>
      <c r="DB102" s="98" t="str">
        <f>IF(ISERROR((DA102/CS102-1)*100),"NA",IF(((DA102/CS102-1)*100)&gt;100,"NM",IF(((DA102/CS102-1)*100)&lt;-50,"NM",(DA102/CS102-1)*100)))</f>
        <v>NM</v>
      </c>
      <c r="DC102" s="101">
        <f>-33+34</f>
        <v>1</v>
      </c>
      <c r="DD102" s="98" t="str">
        <f>IF(ISERROR((DC102/CU102-1)*100),"NA",IF(((DC102/CU102-1)*100)&gt;100,"NM",IF(((DC102/CU102-1)*100)&lt;-50,"NM",(DC102/CU102-1)*100)))</f>
        <v>NM</v>
      </c>
      <c r="DE102" s="101">
        <f>-35+33+1</f>
        <v>-1</v>
      </c>
      <c r="DF102" s="98" t="str">
        <f>IF(ISERROR((DE102/CW102-1)*100),"NA",IF(((DE102/CW102-1)*100)&gt;100,"NM",IF(((DE102/CW102-1)*100)&lt;-50,"NM",(DE102/CW102-1)*100)))</f>
        <v>NM</v>
      </c>
      <c r="DG102" s="101">
        <f>-37+37</f>
        <v>0</v>
      </c>
      <c r="DH102" s="98" t="str">
        <f>IF(ISERROR((DG102/CY102-1)*100),"NA",IF(((DG102/CY102-1)*100)&gt;100,"NM",IF(((DG102/CY102-1)*100)&lt;-50,"NM",(DG102/CY102-1)*100)))</f>
        <v>NM</v>
      </c>
      <c r="DI102" s="101">
        <f>-36+36</f>
        <v>0</v>
      </c>
      <c r="DJ102" s="98" t="str">
        <f>IF(ISERROR((DI102/DA102-1)*100),"NA",IF(((DI102/DA102-1)*100)&gt;100,"NM",IF(((DI102/DA102-1)*100)&lt;-50,"NM",(DI102/DA102-1)*100)))</f>
        <v>NM</v>
      </c>
      <c r="DK102" s="101">
        <f>-34+36</f>
        <v>2</v>
      </c>
      <c r="DL102" s="98">
        <f>IF(ISERROR((DK102/DC102-1)*100),"NA",IF(((DK102/DC102-1)*100)&gt;100,"NM",IF(((DK102/DC102-1)*100)&lt;-50,"NM",(DK102/DC102-1)*100)))</f>
        <v>100</v>
      </c>
      <c r="DM102" s="101">
        <f>-36+35</f>
        <v>-1</v>
      </c>
      <c r="DN102" s="98">
        <f>IF(ISERROR((DM102/DE102-1)*100),"NA",IF(((DM102/DE102-1)*100)&gt;100,"NM",IF(((DM102/DE102-1)*100)&lt;-50,"NM",(DM102/DE102-1)*100)))</f>
        <v>0</v>
      </c>
      <c r="DO102" s="101">
        <f>-37+38</f>
        <v>1</v>
      </c>
      <c r="DP102" s="98" t="str">
        <f>IF(ISERROR((DO102/DG102-1)*100),"NA",IF(((DO102/DG102-1)*100)&gt;100,"NM",IF(((DO102/DG102-1)*100)&lt;-50,"NM",(DO102/DG102-1)*100)))</f>
        <v>NA</v>
      </c>
      <c r="DQ102" s="101">
        <f>-36+40</f>
        <v>4</v>
      </c>
      <c r="DR102" s="98" t="str">
        <f>IF(ISERROR((DQ102/DI102-1)*100),"NA",IF(((DQ102/DI102-1)*100)&gt;100,"NM",IF(((DQ102/DI102-1)*100)&lt;-50,"NM",(DQ102/DI102-1)*100)))</f>
        <v>NA</v>
      </c>
      <c r="DS102" s="101">
        <f>-13+10</f>
        <v>-3</v>
      </c>
      <c r="DT102" s="98" t="str">
        <f>IF(ISERROR((DS102/DK102-1)*100),"NA",IF(((DS102/DK102-1)*100)&gt;100,"NM",IF(((DS102/DK102-1)*100)&lt;-50,"NM",(DS102/DK102-1)*100)))</f>
        <v>NM</v>
      </c>
      <c r="DU102" s="101">
        <f>-13+11</f>
        <v>-2</v>
      </c>
      <c r="DV102" s="98">
        <f>IF(ISERROR((DU102/DM102-1)*100),"NA",IF(((DU102/DM102-1)*100)&gt;100,"NM",IF(((DU102/DM102-1)*100)&lt;-50,"NM",(DU102/DM102-1)*100)))</f>
        <v>100</v>
      </c>
      <c r="DW102" s="101">
        <f>-14+9</f>
        <v>-5</v>
      </c>
      <c r="DX102" s="98" t="str">
        <f>IF(ISERROR((DW102/DO102-1)*100),"NA",IF(((DW102/DO102-1)*100)&gt;100,"NM",IF(((DW102/DO102-1)*100)&lt;-50,"NM",(DW102/DO102-1)*100)))</f>
        <v>NM</v>
      </c>
      <c r="DY102" s="101">
        <f>-12+9</f>
        <v>-3</v>
      </c>
      <c r="DZ102" s="98" t="str">
        <f>IF(ISERROR((DY102/DQ102-1)*100),"NA",IF(((DY102/DQ102-1)*100)&gt;100,"NM",IF(((DY102/DQ102-1)*100)&lt;-50,"NM",(DY102/DQ102-1)*100)))</f>
        <v>NM</v>
      </c>
      <c r="EA102" s="101">
        <f>-13+9</f>
        <v>-4</v>
      </c>
      <c r="EB102" s="98">
        <f>IF(ISERROR((EA102/DS102-1)*100),"NA",IF(((EA102/DS102-1)*100)&gt;100,"NM",IF(((EA102/DS102-1)*100)&lt;-50,"NM",(EA102/DS102-1)*100)))</f>
        <v>33.333333333333329</v>
      </c>
      <c r="EC102" s="101">
        <f>-13+11+1</f>
        <v>-1</v>
      </c>
      <c r="ED102" s="98">
        <f>IF(ISERROR((EC102/DU102-1)*100),"NA",IF(((EC102/DU102-1)*100)&gt;100,"NM",IF(((EC102/DU102-1)*100)&lt;-50,"NM",(EC102/DU102-1)*100)))</f>
        <v>-50</v>
      </c>
      <c r="EE102" s="101">
        <f>-11+10</f>
        <v>-1</v>
      </c>
      <c r="EF102" s="860" t="str">
        <f>IF(ISERROR((EE102/DW102-1)*100),"NA",IF(((EE102/DW102-1)*100)&gt;100,"NM",IF(((EE102/DW102-1)*100)&lt;-50,"NM",(EE102/DW102-1)*100)))</f>
        <v>NM</v>
      </c>
      <c r="EG102" s="101">
        <f>-11+9</f>
        <v>-2</v>
      </c>
      <c r="EH102" s="860">
        <f>IF(ISERROR((EG102/DY102-1)*100),"NA",IF(((EG102/DY102-1)*100)&gt;100,"NM",IF(((EG102/DY102-1)*100)&lt;-50,"NM",(EG102/DY102-1)*100)))</f>
        <v>-33.333333333333336</v>
      </c>
      <c r="EI102" s="101">
        <f>-9+10</f>
        <v>1</v>
      </c>
      <c r="EJ102" s="860" t="str">
        <f t="shared" si="469"/>
        <v>NM</v>
      </c>
      <c r="EK102" s="101">
        <f>-7+10</f>
        <v>3</v>
      </c>
      <c r="EL102" s="860" t="str">
        <f t="shared" si="470"/>
        <v>NM</v>
      </c>
      <c r="EM102" s="101">
        <f>-8+9</f>
        <v>1</v>
      </c>
      <c r="EN102" s="860" t="str">
        <f t="shared" si="471"/>
        <v>NM</v>
      </c>
      <c r="EO102" s="101">
        <f>-7+7</f>
        <v>0</v>
      </c>
      <c r="EP102" s="98" t="str">
        <f t="shared" si="472"/>
        <v>NM</v>
      </c>
      <c r="EQ102" s="950">
        <f t="shared" ref="EQ102" si="485">EO102</f>
        <v>0</v>
      </c>
      <c r="ER102" s="98" t="str">
        <f t="shared" si="474"/>
        <v>NM</v>
      </c>
      <c r="ES102" s="950">
        <f t="shared" ref="ES102" si="486">EQ102</f>
        <v>0</v>
      </c>
      <c r="ET102" s="98" t="str">
        <f t="shared" si="476"/>
        <v>NM</v>
      </c>
      <c r="EU102" s="950">
        <f t="shared" ref="EU102" si="487">ES102</f>
        <v>0</v>
      </c>
      <c r="EV102" s="98" t="str">
        <f t="shared" si="478"/>
        <v>NM</v>
      </c>
      <c r="EW102" s="950">
        <f t="shared" ref="EW102" si="488">EU102</f>
        <v>0</v>
      </c>
      <c r="EX102" s="98" t="str">
        <f t="shared" si="480"/>
        <v>NA</v>
      </c>
      <c r="EY102" s="101"/>
      <c r="EZ102" s="594"/>
      <c r="FA102" s="405"/>
      <c r="FB102" s="94"/>
      <c r="FC102" s="92"/>
      <c r="FD102" s="94"/>
      <c r="FE102" s="92"/>
      <c r="FF102" s="95"/>
      <c r="FG102" s="92"/>
      <c r="FH102" s="95"/>
      <c r="FI102" s="92"/>
      <c r="FJ102" s="95"/>
      <c r="FK102" s="92"/>
      <c r="FL102" s="95"/>
      <c r="FM102" s="92"/>
      <c r="FN102" s="95"/>
      <c r="FO102" s="92"/>
      <c r="FP102" s="95"/>
      <c r="FQ102" s="92"/>
      <c r="FR102" s="96"/>
      <c r="FS102" s="97"/>
      <c r="FT102" s="96"/>
      <c r="FU102" s="97"/>
      <c r="FV102" s="101"/>
      <c r="FW102" s="98"/>
      <c r="FX102" s="481"/>
      <c r="FY102" s="98"/>
      <c r="FZ102" s="96"/>
      <c r="GA102" s="98"/>
      <c r="GB102" s="506">
        <f>-176+186</f>
        <v>10</v>
      </c>
      <c r="GC102" s="98" t="str">
        <f>IF(ISERROR((GB102/FZ102-1)*100),"NA",IF(((GB102/FZ102-1)*100)&gt;100,"NM",IF(((GB102/FZ102-1)*100)&lt;-50,"NM",(GB102/FZ102-1)*100)))</f>
        <v>NA</v>
      </c>
      <c r="GD102" s="96">
        <f>CU102+CW102+CY102+DA102</f>
        <v>-5</v>
      </c>
      <c r="GE102" s="98" t="str">
        <f>IF(ISERROR((GD102/GB102-1)*100),"NA",IF(((GD102/GB102-1)*100)&gt;100,"NM",IF(((GD102/GB102-1)*100)&lt;-50,"NM",(GD102/GB102-1)*100)))</f>
        <v>NM</v>
      </c>
      <c r="GF102" s="96">
        <f>DC102+DE102+DG102+DI102</f>
        <v>0</v>
      </c>
      <c r="GG102" s="98" t="str">
        <f>IF(ISERROR((GF102/GD102-1)*100),"NA",IF(((GF102/GD102-1)*100)&gt;100,"NM",IF(((GF102/GD102-1)*100)&lt;-50,"NM",(GF102/GD102-1)*100)))</f>
        <v>NM</v>
      </c>
      <c r="GH102" s="96">
        <f>DK102+DM102+DO102+DQ102</f>
        <v>6</v>
      </c>
      <c r="GI102" s="98" t="str">
        <f>IF(ISERROR((GH102/GF102-1)*100),"NA",IF(((GH102/GF102-1)*100)&gt;100,"NM",IF(((GH102/GF102-1)*100)&lt;-50,"NM",(GH102/GF102-1)*100)))</f>
        <v>NA</v>
      </c>
      <c r="GJ102" s="96">
        <f>DS102+DU102+DW102+DY102</f>
        <v>-13</v>
      </c>
      <c r="GK102" s="98" t="str">
        <f>IF(ISERROR((GJ102/GH102-1)*100),"NA",IF(((GJ102/GH102-1)*100)&gt;100,"NM",IF(((GJ102/GH102-1)*100)&lt;-50,"NM",(GJ102/GH102-1)*100)))</f>
        <v>NM</v>
      </c>
      <c r="GL102" s="96">
        <f>EA102+EC102+EE102+EG102</f>
        <v>-8</v>
      </c>
      <c r="GM102" s="98">
        <f>IF(ISERROR((GL102/GJ102-1)*100),"NA",IF(((GL102/GJ102-1)*100)&gt;100,"NM",IF(((GL102/GJ102-1)*100)&lt;-50,"NM",(GL102/GJ102-1)*100)))</f>
        <v>-38.46153846153846</v>
      </c>
      <c r="GN102" s="96">
        <f>EI102+EK102+EM102+EO102</f>
        <v>5</v>
      </c>
      <c r="GO102" s="98" t="str">
        <f>IF(ISERROR((GN102/GL102-1)*100),"NA",IF(((GN102/GL102-1)*100)&gt;100,"NM",IF(((GN102/GL102-1)*100)&lt;-50,"NM",(GN102/GL102-1)*100)))</f>
        <v>NM</v>
      </c>
      <c r="GP102" s="96">
        <f>EQ102+ES102+EU102+EW102</f>
        <v>0</v>
      </c>
      <c r="GQ102" s="98" t="str">
        <f>IF(ISERROR((GP102/GN102-1)*100),"NA",IF(((GP102/GN102-1)*100)&gt;100,"NM",IF(((GP102/GN102-1)*100)&lt;-50,"NM",(GP102/GN102-1)*100)))</f>
        <v>NM</v>
      </c>
      <c r="GR102" s="95">
        <f>GP102*1.05</f>
        <v>0</v>
      </c>
      <c r="GS102" s="98" t="str">
        <f>IF(ISERROR((GR102/GP102-1)*100),"NA",IF(((GR102/GP102-1)*100)&gt;100,"NM",IF(((GR102/GP102-1)*100)&lt;-50,"NM",(GR102/GP102-1)*100)))</f>
        <v>NA</v>
      </c>
      <c r="GT102" s="95">
        <f>GR102*1.05</f>
        <v>0</v>
      </c>
      <c r="GU102" s="98" t="str">
        <f>IF(ISERROR((GT102/GR102-1)*100),"NA",IF(((GT102/GR102-1)*100)&gt;100,"NM",IF(((GT102/GR102-1)*100)&lt;-50,"NM",(GT102/GR102-1)*100)))</f>
        <v>NA</v>
      </c>
      <c r="GV102" s="95">
        <f>GT102*1.05</f>
        <v>0</v>
      </c>
      <c r="GW102" s="98" t="str">
        <f>IF(ISERROR((GV102/GT102-1)*100),"NA",IF(((GV102/GT102-1)*100)&gt;100,"NM",IF(((GV102/GT102-1)*100)&lt;-50,"NM",(GV102/GT102-1)*100)))</f>
        <v>NA</v>
      </c>
      <c r="GX102" s="95">
        <f>GV102*1.05</f>
        <v>0</v>
      </c>
      <c r="GY102" s="98" t="str">
        <f>IF(ISERROR((GX102/GV102-1)*100),"NA",IF(((GX102/GV102-1)*100)&gt;100,"NM",IF(((GX102/GV102-1)*100)&lt;-50,"NM",(GX102/GV102-1)*100)))</f>
        <v>NA</v>
      </c>
      <c r="GZ102" s="98" t="str">
        <f>IF(ISERROR(((GX102/GN102)^0.2-1)*100),"NA",IF((((GX102/GN102)^0.2-1)*100)&gt;100,"NM",IF((((GX102/GN102)^0.2-1)*100)&lt;-50,"NM",((GX102/GN102)^0.2-1)*100)))</f>
        <v>NM</v>
      </c>
      <c r="HA102" s="98"/>
      <c r="HB102" s="10"/>
      <c r="HC102"/>
      <c r="HD102"/>
      <c r="HE102"/>
      <c r="HF102"/>
      <c r="HG102"/>
      <c r="HH102"/>
      <c r="HI102" s="10"/>
    </row>
    <row r="103" spans="1:217" s="2" customFormat="1" ht="12.75" customHeight="1" x14ac:dyDescent="0.2">
      <c r="B103" s="208" t="s">
        <v>160</v>
      </c>
      <c r="C103" s="94"/>
      <c r="D103" s="92"/>
      <c r="E103" s="94"/>
      <c r="F103" s="92"/>
      <c r="G103" s="94"/>
      <c r="H103" s="92"/>
      <c r="I103" s="94"/>
      <c r="J103" s="98"/>
      <c r="K103" s="94"/>
      <c r="L103" s="98"/>
      <c r="M103" s="94"/>
      <c r="N103" s="98"/>
      <c r="O103" s="94"/>
      <c r="P103" s="98"/>
      <c r="Q103" s="94"/>
      <c r="R103" s="98"/>
      <c r="S103" s="94"/>
      <c r="T103" s="98"/>
      <c r="U103" s="94"/>
      <c r="V103" s="98"/>
      <c r="W103" s="94"/>
      <c r="X103" s="98"/>
      <c r="Y103" s="94"/>
      <c r="Z103" s="98"/>
      <c r="AA103" s="94"/>
      <c r="AB103" s="98"/>
      <c r="AC103" s="94"/>
      <c r="AD103" s="98"/>
      <c r="AE103" s="94"/>
      <c r="AF103" s="98"/>
      <c r="AG103" s="94"/>
      <c r="AH103" s="98"/>
      <c r="AI103" s="94"/>
      <c r="AJ103" s="98"/>
      <c r="AK103" s="94"/>
      <c r="AL103" s="98"/>
      <c r="AM103" s="94"/>
      <c r="AN103" s="98"/>
      <c r="AO103" s="94"/>
      <c r="AP103" s="98"/>
      <c r="AQ103" s="94"/>
      <c r="AR103" s="98"/>
      <c r="AS103" s="94"/>
      <c r="AT103" s="98"/>
      <c r="AU103" s="94"/>
      <c r="AV103" s="98"/>
      <c r="AW103" s="94"/>
      <c r="AX103" s="98"/>
      <c r="AY103" s="312"/>
      <c r="AZ103" s="98"/>
      <c r="BA103" s="132"/>
      <c r="BB103" s="98"/>
      <c r="BC103" s="132"/>
      <c r="BD103" s="98"/>
      <c r="BE103" s="132"/>
      <c r="BF103" s="98"/>
      <c r="BG103" s="132"/>
      <c r="BH103" s="98"/>
      <c r="BI103" s="132"/>
      <c r="BJ103" s="98"/>
      <c r="BK103" s="132"/>
      <c r="BL103" s="98"/>
      <c r="BM103" s="132"/>
      <c r="BN103" s="98"/>
      <c r="BO103" s="132"/>
      <c r="BP103" s="98"/>
      <c r="BQ103" s="132"/>
      <c r="BR103" s="98"/>
      <c r="BS103" s="132"/>
      <c r="BT103" s="98"/>
      <c r="BU103" s="132"/>
      <c r="BV103" s="98"/>
      <c r="BW103" s="132"/>
      <c r="BX103" s="98"/>
      <c r="BY103" s="132"/>
      <c r="BZ103" s="98"/>
      <c r="CA103" s="132"/>
      <c r="CB103" s="98"/>
      <c r="CC103" s="132"/>
      <c r="CD103" s="98"/>
      <c r="CE103" s="132"/>
      <c r="CF103" s="98"/>
      <c r="CG103" s="132"/>
      <c r="CH103" s="98"/>
      <c r="CI103" s="132"/>
      <c r="CJ103" s="98"/>
      <c r="CK103" s="132"/>
      <c r="CL103" s="98"/>
      <c r="CM103" s="132"/>
      <c r="CN103" s="98"/>
      <c r="CO103" s="132"/>
      <c r="CP103" s="98"/>
      <c r="CQ103" s="488">
        <f>CQ100+CQ101+CQ102+CQ64</f>
        <v>3908</v>
      </c>
      <c r="CR103" s="98" t="str">
        <f>IF(ISERROR((CQ103/CI103-1)*100),"NA",IF(((CQ103/CI103-1)*100)&gt;100,"NM",IF(((CQ103/CI103-1)*100)&lt;-50,"NM",(CQ103/CI103-1)*100)))</f>
        <v>NA</v>
      </c>
      <c r="CS103" s="132">
        <f>CS100+CS101+CS102+CS64</f>
        <v>3829</v>
      </c>
      <c r="CT103" s="98" t="str">
        <f>IF(ISERROR((CS103/CK103-1)*100),"NA",IF(((CS103/CK103-1)*100)&gt;100,"NM",IF(((CS103/CK103-1)*100)&lt;-50,"NM",(CS103/CK103-1)*100)))</f>
        <v>NA</v>
      </c>
      <c r="CU103" s="132">
        <f>CU100+CU101+CU102+CU64</f>
        <v>3929</v>
      </c>
      <c r="CV103" s="98" t="str">
        <f>IF(ISERROR((CU103/CM103-1)*100),"NA",IF(((CU103/CM103-1)*100)&gt;100,"NM",IF(((CU103/CM103-1)*100)&lt;-50,"NM",(CU103/CM103-1)*100)))</f>
        <v>NA</v>
      </c>
      <c r="CW103" s="132">
        <f>CW100+CW101+CW102+CW64</f>
        <v>3999</v>
      </c>
      <c r="CX103" s="98" t="str">
        <f>IF(ISERROR((CW103/CO103-1)*100),"NA",IF(((CW103/CO103-1)*100)&gt;100,"NM",IF(((CW103/CO103-1)*100)&lt;-50,"NM",(CW103/CO103-1)*100)))</f>
        <v>NA</v>
      </c>
      <c r="CY103" s="132">
        <f>CY100+CY101+CY102+CY64</f>
        <v>4041</v>
      </c>
      <c r="CZ103" s="98">
        <f>IF(ISERROR((CY103/CQ103-1)*100),"NA",IF(((CY103/CQ103-1)*100)&gt;100,"NM",IF(((CY103/CQ103-1)*100)&lt;-50,"NM",(CY103/CQ103-1)*100)))</f>
        <v>3.4032753326509679</v>
      </c>
      <c r="DA103" s="132">
        <f>DA100+DA101+DA102+DA64</f>
        <v>4236</v>
      </c>
      <c r="DB103" s="98">
        <f>IF(ISERROR((DA103/CS103-1)*100),"NA",IF(((DA103/CS103-1)*100)&gt;100,"NM",IF(((DA103/CS103-1)*100)&lt;-50,"NM",(DA103/CS103-1)*100)))</f>
        <v>10.629407155915382</v>
      </c>
      <c r="DC103" s="132">
        <f>DC100+DC101+DC102+DC64</f>
        <v>4268</v>
      </c>
      <c r="DD103" s="98">
        <f>IF(ISERROR((DC103/CU103-1)*100),"NA",IF(((DC103/CU103-1)*100)&gt;100,"NM",IF(((DC103/CU103-1)*100)&lt;-50,"NM",(DC103/CU103-1)*100)))</f>
        <v>8.6281496564011295</v>
      </c>
      <c r="DE103" s="132">
        <f>DE100+DE101+DE102+DE64</f>
        <v>4130</v>
      </c>
      <c r="DF103" s="98">
        <f>IF(ISERROR((DE103/CW103-1)*100),"NA",IF(((DE103/CW103-1)*100)&gt;100,"NM",IF(((DE103/CW103-1)*100)&lt;-50,"NM",(DE103/CW103-1)*100)))</f>
        <v>3.275818954738674</v>
      </c>
      <c r="DG103" s="132">
        <f>DG100+DG101+DG102+DG64</f>
        <v>4160</v>
      </c>
      <c r="DH103" s="98">
        <f>IF(ISERROR((DG103/CY103-1)*100),"NA",IF(((DG103/CY103-1)*100)&gt;100,"NM",IF(((DG103/CY103-1)*100)&lt;-50,"NM",(DG103/CY103-1)*100)))</f>
        <v>2.9448156396931546</v>
      </c>
      <c r="DI103" s="132">
        <f>DI100+DI101+DI102+DI64</f>
        <v>4204</v>
      </c>
      <c r="DJ103" s="98">
        <f>IF(ISERROR((DI103/DA103-1)*100),"NA",IF(((DI103/DA103-1)*100)&gt;100,"NM",IF(((DI103/DA103-1)*100)&lt;-50,"NM",(DI103/DA103-1)*100)))</f>
        <v>-0.75542965061378142</v>
      </c>
      <c r="DK103" s="132">
        <f>DK100+DK101+DK102+DK64</f>
        <v>4451</v>
      </c>
      <c r="DL103" s="98">
        <f>IF(ISERROR((DK103/DC103-1)*100),"NA",IF(((DK103/DC103-1)*100)&gt;100,"NM",IF(((DK103/DC103-1)*100)&lt;-50,"NM",(DK103/DC103-1)*100)))</f>
        <v>4.2877225866916557</v>
      </c>
      <c r="DM103" s="132">
        <f>DM100+DM101+DM102+DM64</f>
        <v>4465</v>
      </c>
      <c r="DN103" s="98">
        <f>IF(ISERROR((DM103/DE103-1)*100),"NA",IF(((DM103/DE103-1)*100)&gt;100,"NM",IF(((DM103/DE103-1)*100)&lt;-50,"NM",(DM103/DE103-1)*100)))</f>
        <v>8.1113801452784564</v>
      </c>
      <c r="DO103" s="132">
        <f>DO100+DO101+DO102+DO64</f>
        <v>4402</v>
      </c>
      <c r="DP103" s="98">
        <f>IF(ISERROR((DO103/DG103-1)*100),"NA",IF(((DO103/DG103-1)*100)&gt;100,"NM",IF(((DO103/DG103-1)*100)&lt;-50,"NM",(DO103/DG103-1)*100)))</f>
        <v>5.8173076923076827</v>
      </c>
      <c r="DQ103" s="132">
        <f>DQ100+DQ101+DQ102+DQ64</f>
        <v>4313</v>
      </c>
      <c r="DR103" s="98">
        <f>IF(ISERROR((DQ103/DI103-1)*100),"NA",IF(((DQ103/DI103-1)*100)&gt;100,"NM",IF(((DQ103/DI103-1)*100)&lt;-50,"NM",(DQ103/DI103-1)*100)))</f>
        <v>2.5927687916270203</v>
      </c>
      <c r="DS103" s="132">
        <f>DS100+DS101+DS102+DS64</f>
        <v>3996</v>
      </c>
      <c r="DT103" s="98">
        <f>IF(ISERROR((DS103/DK103-1)*100),"NA",IF(((DS103/DK103-1)*100)&gt;100,"NM",IF(((DS103/DK103-1)*100)&lt;-50,"NM",(DS103/DK103-1)*100)))</f>
        <v>-10.222421927656711</v>
      </c>
      <c r="DU103" s="132">
        <f>DU100+DU101+DU102+DU64</f>
        <v>3948</v>
      </c>
      <c r="DV103" s="98">
        <f>IF(ISERROR((DU103/DM103-1)*100),"NA",IF(((DU103/DM103-1)*100)&gt;100,"NM",IF(((DU103/DM103-1)*100)&lt;-50,"NM",(DU103/DM103-1)*100)))</f>
        <v>-11.578947368421055</v>
      </c>
      <c r="DW103" s="132">
        <f>DW100+DW101+DW102+DW64</f>
        <v>3908</v>
      </c>
      <c r="DX103" s="98">
        <f>IF(ISERROR((DW103/DO103-1)*100),"NA",IF(((DW103/DO103-1)*100)&gt;100,"NM",IF(((DW103/DO103-1)*100)&lt;-50,"NM",(DW103/DO103-1)*100)))</f>
        <v>-11.222171740118124</v>
      </c>
      <c r="DY103" s="132">
        <f>DY100+DY101+DY102+DY64</f>
        <v>3872</v>
      </c>
      <c r="DZ103" s="98">
        <f>IF(ISERROR((DY103/DQ103-1)*100),"NA",IF(((DY103/DQ103-1)*100)&gt;100,"NM",IF(((DY103/DQ103-1)*100)&lt;-50,"NM",(DY103/DQ103-1)*100)))</f>
        <v>-10.22490146070021</v>
      </c>
      <c r="EA103" s="132">
        <f>EA100+EA101+EA102+EA64</f>
        <v>4159</v>
      </c>
      <c r="EB103" s="98">
        <f>IF(ISERROR((EA103/DS103-1)*100),"NA",IF(((EA103/DS103-1)*100)&gt;100,"NM",IF(((EA103/DS103-1)*100)&lt;-50,"NM",(EA103/DS103-1)*100)))</f>
        <v>4.0790790790790732</v>
      </c>
      <c r="EC103" s="132">
        <f>EC100+EC101+EC102+EC64</f>
        <v>4092</v>
      </c>
      <c r="ED103" s="98">
        <f>IF(ISERROR((EC103/DU103-1)*100),"NA",IF(((EC103/DU103-1)*100)&gt;100,"NM",IF(((EC103/DU103-1)*100)&lt;-50,"NM",(EC103/DU103-1)*100)))</f>
        <v>3.6474164133738496</v>
      </c>
      <c r="EE103" s="132">
        <f>EE100+EE101+EE102+EE64</f>
        <v>4063</v>
      </c>
      <c r="EF103" s="860">
        <f>IF(ISERROR((EE103/DW103-1)*100),"NA",IF(((EE103/DW103-1)*100)&gt;100,"NM",IF(((EE103/DW103-1)*100)&lt;-50,"NM",(EE103/DW103-1)*100)))</f>
        <v>3.9662231320368502</v>
      </c>
      <c r="EG103" s="132">
        <f>EG100+EG101+EG102+EG64</f>
        <v>4032</v>
      </c>
      <c r="EH103" s="860">
        <f>IF(ISERROR((EG103/DY103-1)*100),"NA",IF(((EG103/DY103-1)*100)&gt;100,"NM",IF(((EG103/DY103-1)*100)&lt;-50,"NM",(EG103/DY103-1)*100)))</f>
        <v>4.1322314049586861</v>
      </c>
      <c r="EI103" s="132">
        <f>EI100+EI101+EI102+EI64</f>
        <v>4287</v>
      </c>
      <c r="EJ103" s="860">
        <f t="shared" si="469"/>
        <v>3.0776628997355227</v>
      </c>
      <c r="EK103" s="132">
        <f>EK100+EK101+EK102+EK64</f>
        <v>4170</v>
      </c>
      <c r="EL103" s="860">
        <f t="shared" si="470"/>
        <v>1.9061583577712593</v>
      </c>
      <c r="EM103" s="132">
        <f>EM100+EM101+EM102+EM64</f>
        <v>3988</v>
      </c>
      <c r="EN103" s="860">
        <f t="shared" si="471"/>
        <v>-1.8459266551808962</v>
      </c>
      <c r="EO103" s="132">
        <f>EO100+EO101+EO102+EO64</f>
        <v>4028</v>
      </c>
      <c r="EP103" s="98">
        <f t="shared" si="472"/>
        <v>-9.9206349206348854E-2</v>
      </c>
      <c r="EQ103" s="1005">
        <f t="shared" ref="EQ103" si="489">EQ100+EQ101+EQ102+EQ64</f>
        <v>4067.3060917060679</v>
      </c>
      <c r="ER103" s="98">
        <f t="shared" si="474"/>
        <v>-5.1246537973858697</v>
      </c>
      <c r="ES103" s="1005">
        <f t="shared" ref="ES103" si="490">ES100+ES101+ES102+ES64</f>
        <v>4070.29045510182</v>
      </c>
      <c r="ET103" s="98">
        <f t="shared" si="476"/>
        <v>-2.3911161846086326</v>
      </c>
      <c r="EU103" s="1005">
        <f t="shared" ref="EU103" si="491">EU100+EU101+EU102+EU64</f>
        <v>4069.1040169872063</v>
      </c>
      <c r="EV103" s="98">
        <f t="shared" si="478"/>
        <v>2.0337015292679617</v>
      </c>
      <c r="EW103" s="1005">
        <f t="shared" ref="EW103" si="492">EW100+EW101+EW102+EW64</f>
        <v>4070.5729617603261</v>
      </c>
      <c r="EX103" s="98">
        <f t="shared" si="480"/>
        <v>1.0569255650527909</v>
      </c>
      <c r="EY103" s="132"/>
      <c r="EZ103" s="594"/>
      <c r="FA103" s="405"/>
      <c r="FB103" s="94"/>
      <c r="FC103" s="92"/>
      <c r="FD103" s="94"/>
      <c r="FE103" s="92"/>
      <c r="FF103" s="95"/>
      <c r="FG103" s="92"/>
      <c r="FH103" s="95"/>
      <c r="FI103" s="92"/>
      <c r="FJ103" s="95"/>
      <c r="FK103" s="92"/>
      <c r="FL103" s="95"/>
      <c r="FM103" s="92"/>
      <c r="FN103" s="95"/>
      <c r="FO103" s="92"/>
      <c r="FP103" s="95"/>
      <c r="FQ103" s="92"/>
      <c r="FR103" s="96"/>
      <c r="FS103" s="97"/>
      <c r="FT103" s="96"/>
      <c r="FU103" s="97"/>
      <c r="FV103" s="132"/>
      <c r="FW103" s="98"/>
      <c r="FX103" s="488"/>
      <c r="FY103" s="98"/>
      <c r="FZ103" s="132"/>
      <c r="GA103" s="98"/>
      <c r="GB103" s="488">
        <f>GB100+GB101+GB102+GB64</f>
        <v>15401</v>
      </c>
      <c r="GC103" s="98" t="str">
        <f>IF(ISERROR((GB103/FZ103-1)*100),"NA",IF(((GB103/FZ103-1)*100)&gt;100,"NM",IF(((GB103/FZ103-1)*100)&lt;-50,"NM",(GB103/FZ103-1)*100)))</f>
        <v>NA</v>
      </c>
      <c r="GD103" s="132">
        <f>GD100+GD101+GD102+GD64</f>
        <v>16205</v>
      </c>
      <c r="GE103" s="98">
        <f>IF(ISERROR((GD103/GB103-1)*100),"NA",IF(((GD103/GB103-1)*100)&gt;100,"NM",IF(((GD103/GB103-1)*100)&lt;-50,"NM",(GD103/GB103-1)*100)))</f>
        <v>5.2204402311538223</v>
      </c>
      <c r="GF103" s="132">
        <f>GF100+GF101+GF102+GF64</f>
        <v>16762</v>
      </c>
      <c r="GG103" s="98">
        <f>IF(ISERROR((GF103/GD103-1)*100),"NA",IF(((GF103/GD103-1)*100)&gt;100,"NM",IF(((GF103/GD103-1)*100)&lt;-50,"NM",(GF103/GD103-1)*100)))</f>
        <v>3.4372107374267102</v>
      </c>
      <c r="GH103" s="132">
        <f>GH100+GH101+GH102+GH64</f>
        <v>17631</v>
      </c>
      <c r="GI103" s="98">
        <f>IF(ISERROR((GH103/GF103-1)*100),"NA",IF(((GH103/GF103-1)*100)&gt;100,"NM",IF(((GH103/GF103-1)*100)&lt;-50,"NM",(GH103/GF103-1)*100)))</f>
        <v>5.1843455434912311</v>
      </c>
      <c r="GJ103" s="132">
        <f>GJ100+GJ101+GJ102+GJ64</f>
        <v>15724</v>
      </c>
      <c r="GK103" s="98">
        <f>IF(ISERROR((GJ103/GH103-1)*100),"NA",IF(((GJ103/GH103-1)*100)&gt;100,"NM",IF(((GJ103/GH103-1)*100)&lt;-50,"NM",(GJ103/GH103-1)*100)))</f>
        <v>-10.816176053542058</v>
      </c>
      <c r="GL103" s="132">
        <f>GL100+GL101+GL102+GL64</f>
        <v>16346</v>
      </c>
      <c r="GM103" s="98">
        <f>IF(ISERROR((GL103/GJ103-1)*100),"NA",IF(((GL103/GJ103-1)*100)&gt;100,"NM",IF(((GL103/GJ103-1)*100)&lt;-50,"NM",(GL103/GJ103-1)*100)))</f>
        <v>3.95573645382854</v>
      </c>
      <c r="GN103" s="132">
        <f>GN100+GN101+GN102+GN64</f>
        <v>16473</v>
      </c>
      <c r="GO103" s="98">
        <f>IF(ISERROR((GN103/GL103-1)*100),"NA",IF(((GN103/GL103-1)*100)&gt;100,"NM",IF(((GN103/GL103-1)*100)&lt;-50,"NM",(GN103/GL103-1)*100)))</f>
        <v>0.77694848892695401</v>
      </c>
      <c r="GP103" s="132">
        <f>GP100+GP101+GP102+GP64</f>
        <v>16277.27352555542</v>
      </c>
      <c r="GQ103" s="98">
        <f>IF(ISERROR((GP103/GN103-1)*100),"NA",IF(((GP103/GN103-1)*100)&gt;100,"NM",IF(((GP103/GN103-1)*100)&lt;-50,"NM",(GP103/GN103-1)*100)))</f>
        <v>-1.1881653277762361</v>
      </c>
      <c r="GR103" s="132">
        <f>GR100+GR101+GR102+GR64</f>
        <v>16546.849001758244</v>
      </c>
      <c r="GS103" s="98">
        <f>IF(ISERROR((GR103/GP103-1)*100),"NA",IF(((GR103/GP103-1)*100)&gt;100,"NM",IF(((GR103/GP103-1)*100)&lt;-50,"NM",(GR103/GP103-1)*100)))</f>
        <v>1.6561463796721743</v>
      </c>
      <c r="GT103" s="132">
        <f>GT100+GT101+GT102+GT64</f>
        <v>16809.792698723468</v>
      </c>
      <c r="GU103" s="98">
        <f>IF(ISERROR((GT103/GR103-1)*100),"NA",IF(((GT103/GR103-1)*100)&gt;100,"NM",IF(((GT103/GR103-1)*100)&lt;-50,"NM",(GT103/GR103-1)*100)))</f>
        <v>1.589086217788549</v>
      </c>
      <c r="GV103" s="132">
        <f>GV100+GV101+GV102+GV64</f>
        <v>17106.703880576351</v>
      </c>
      <c r="GW103" s="98">
        <f>IF(ISERROR((GV103/GT103-1)*100),"NA",IF(((GV103/GT103-1)*100)&gt;100,"NM",IF(((GV103/GT103-1)*100)&lt;-50,"NM",(GV103/GT103-1)*100)))</f>
        <v>1.7662988900239762</v>
      </c>
      <c r="GX103" s="132">
        <f>GX100+GX101+GX102+GX64</f>
        <v>17434.688254888897</v>
      </c>
      <c r="GY103" s="98">
        <f>IF(ISERROR((GX103/GV103-1)*100),"NA",IF(((GX103/GV103-1)*100)&gt;100,"NM",IF(((GX103/GV103-1)*100)&lt;-50,"NM",(GX103/GV103-1)*100)))</f>
        <v>1.9172856244092262</v>
      </c>
      <c r="GZ103" s="98">
        <f>IF(ISERROR(((GX103/GN103)^0.2-1)*100),"NA",IF((((GX103/GN103)^0.2-1)*100)&gt;100,"NM",IF((((GX103/GN103)^0.2-1)*100)&lt;-50,"NM",((GX103/GN103)^0.2-1)*100)))</f>
        <v>1.141245531898627</v>
      </c>
      <c r="HA103" s="98"/>
      <c r="HB103" s="10"/>
      <c r="HC103"/>
      <c r="HD103"/>
      <c r="HE103"/>
      <c r="HF103"/>
      <c r="HG103"/>
      <c r="HH103"/>
      <c r="HI103" s="10"/>
    </row>
    <row r="104" spans="1:217" s="2" customFormat="1" ht="12.75" customHeight="1" x14ac:dyDescent="0.2">
      <c r="B104" s="91"/>
      <c r="C104" s="94"/>
      <c r="D104" s="92"/>
      <c r="E104" s="94"/>
      <c r="F104" s="92"/>
      <c r="G104" s="94"/>
      <c r="H104" s="92"/>
      <c r="I104" s="94"/>
      <c r="J104" s="98"/>
      <c r="K104" s="94"/>
      <c r="L104" s="98"/>
      <c r="M104" s="94"/>
      <c r="N104" s="98"/>
      <c r="O104" s="94"/>
      <c r="P104" s="98"/>
      <c r="Q104" s="94"/>
      <c r="R104" s="98"/>
      <c r="S104" s="94"/>
      <c r="T104" s="98"/>
      <c r="U104" s="94"/>
      <c r="V104" s="98"/>
      <c r="W104" s="94"/>
      <c r="X104" s="98"/>
      <c r="Y104" s="94"/>
      <c r="Z104" s="98"/>
      <c r="AA104" s="94"/>
      <c r="AB104" s="98"/>
      <c r="AC104" s="94"/>
      <c r="AD104" s="98"/>
      <c r="AE104" s="94"/>
      <c r="AF104" s="98"/>
      <c r="AG104" s="94"/>
      <c r="AH104" s="98"/>
      <c r="AI104" s="94"/>
      <c r="AJ104" s="98"/>
      <c r="AK104" s="94"/>
      <c r="AL104" s="98"/>
      <c r="AM104" s="94"/>
      <c r="AN104" s="98"/>
      <c r="AO104" s="94"/>
      <c r="AP104" s="98"/>
      <c r="AQ104" s="94"/>
      <c r="AR104" s="98"/>
      <c r="AS104" s="94"/>
      <c r="AT104" s="98"/>
      <c r="AU104" s="94"/>
      <c r="AV104" s="98"/>
      <c r="AW104" s="94"/>
      <c r="AX104" s="98"/>
      <c r="AY104" s="137"/>
      <c r="AZ104" s="98"/>
      <c r="BA104" s="137"/>
      <c r="BB104" s="98"/>
      <c r="BC104" s="137"/>
      <c r="BD104" s="98"/>
      <c r="BE104" s="137"/>
      <c r="BF104" s="98"/>
      <c r="BG104" s="137"/>
      <c r="BH104" s="98"/>
      <c r="BI104" s="137"/>
      <c r="BJ104" s="98"/>
      <c r="BK104" s="137"/>
      <c r="BL104" s="98"/>
      <c r="BM104" s="137"/>
      <c r="BN104" s="98"/>
      <c r="BO104" s="137"/>
      <c r="BP104" s="98"/>
      <c r="BQ104" s="137"/>
      <c r="BR104" s="98"/>
      <c r="BS104" s="137"/>
      <c r="BT104" s="98"/>
      <c r="BU104" s="137"/>
      <c r="BV104" s="98"/>
      <c r="BW104" s="94"/>
      <c r="BX104" s="98"/>
      <c r="BY104" s="94"/>
      <c r="BZ104" s="98"/>
      <c r="CA104" s="94"/>
      <c r="CB104" s="98"/>
      <c r="CC104" s="94"/>
      <c r="CD104" s="98"/>
      <c r="CE104" s="94"/>
      <c r="CF104" s="98"/>
      <c r="CG104" s="94"/>
      <c r="CH104" s="98"/>
      <c r="CI104" s="94"/>
      <c r="CJ104" s="98"/>
      <c r="CK104" s="94"/>
      <c r="CL104" s="98"/>
      <c r="CM104" s="94"/>
      <c r="CN104" s="98"/>
      <c r="CO104" s="94"/>
      <c r="CP104" s="98"/>
      <c r="CQ104" s="533"/>
      <c r="CR104" s="98"/>
      <c r="CS104" s="94"/>
      <c r="CT104" s="98"/>
      <c r="CU104" s="94"/>
      <c r="CV104" s="98"/>
      <c r="CW104" s="94"/>
      <c r="CX104" s="98"/>
      <c r="CY104" s="94"/>
      <c r="CZ104" s="98"/>
      <c r="DA104" s="94"/>
      <c r="DB104" s="98"/>
      <c r="DC104" s="94"/>
      <c r="DD104" s="98"/>
      <c r="DE104" s="94"/>
      <c r="DF104" s="98"/>
      <c r="DG104" s="94"/>
      <c r="DH104" s="98"/>
      <c r="DI104" s="94"/>
      <c r="DJ104" s="98"/>
      <c r="DK104" s="94"/>
      <c r="DL104" s="98"/>
      <c r="DM104" s="94"/>
      <c r="DN104" s="98"/>
      <c r="DO104" s="94"/>
      <c r="DP104" s="98"/>
      <c r="DQ104" s="94"/>
      <c r="DR104" s="98"/>
      <c r="DS104" s="94"/>
      <c r="DT104" s="98"/>
      <c r="DU104" s="94"/>
      <c r="DV104" s="98"/>
      <c r="DW104" s="94"/>
      <c r="DX104" s="98"/>
      <c r="DY104" s="94"/>
      <c r="DZ104" s="98"/>
      <c r="EA104" s="94"/>
      <c r="EB104" s="98"/>
      <c r="EC104" s="94"/>
      <c r="ED104" s="98"/>
      <c r="EE104" s="94"/>
      <c r="EF104" s="860"/>
      <c r="EG104" s="94"/>
      <c r="EH104" s="860"/>
      <c r="EI104" s="94"/>
      <c r="EJ104" s="860"/>
      <c r="EK104" s="94"/>
      <c r="EL104" s="860"/>
      <c r="EM104" s="94"/>
      <c r="EN104" s="860"/>
      <c r="EO104" s="94"/>
      <c r="EP104" s="98"/>
      <c r="EQ104" s="789"/>
      <c r="ER104" s="98"/>
      <c r="ES104" s="789"/>
      <c r="ET104" s="98"/>
      <c r="EU104" s="789"/>
      <c r="EV104" s="98"/>
      <c r="EW104" s="789"/>
      <c r="EX104" s="98"/>
      <c r="EY104" s="95"/>
      <c r="EZ104" s="594"/>
      <c r="FA104" s="405"/>
      <c r="FB104" s="94"/>
      <c r="FC104" s="92"/>
      <c r="FD104" s="94"/>
      <c r="FE104" s="92"/>
      <c r="FF104" s="95"/>
      <c r="FG104" s="92"/>
      <c r="FH104" s="95"/>
      <c r="FI104" s="92"/>
      <c r="FJ104" s="95"/>
      <c r="FK104" s="92"/>
      <c r="FL104" s="95"/>
      <c r="FM104" s="92"/>
      <c r="FN104" s="95"/>
      <c r="FO104" s="92"/>
      <c r="FP104" s="95"/>
      <c r="FQ104" s="92"/>
      <c r="FR104" s="96"/>
      <c r="FS104" s="97"/>
      <c r="FT104" s="96"/>
      <c r="FU104" s="97"/>
      <c r="FV104" s="96"/>
      <c r="FW104" s="98"/>
      <c r="FX104" s="480"/>
      <c r="FY104" s="98"/>
      <c r="FZ104" s="96"/>
      <c r="GA104" s="98"/>
      <c r="GB104" s="480"/>
      <c r="GC104" s="98"/>
      <c r="GD104" s="96"/>
      <c r="GE104" s="98"/>
      <c r="GF104" s="96"/>
      <c r="GG104" s="98"/>
      <c r="GH104" s="96"/>
      <c r="GI104" s="98"/>
      <c r="GJ104" s="96"/>
      <c r="GK104" s="98"/>
      <c r="GL104" s="96"/>
      <c r="GM104" s="98"/>
      <c r="GN104" s="96"/>
      <c r="GO104" s="98"/>
      <c r="GP104" s="96"/>
      <c r="GQ104" s="98"/>
      <c r="GR104" s="95"/>
      <c r="GS104" s="98"/>
      <c r="GT104" s="95"/>
      <c r="GU104" s="98"/>
      <c r="GV104" s="95"/>
      <c r="GW104" s="98"/>
      <c r="GX104" s="95"/>
      <c r="GY104" s="98"/>
      <c r="GZ104" s="98"/>
      <c r="HA104" s="98"/>
      <c r="HB104" s="10"/>
      <c r="HC104"/>
      <c r="HD104"/>
      <c r="HE104"/>
      <c r="HF104"/>
      <c r="HG104"/>
      <c r="HH104"/>
      <c r="HI104" s="10"/>
    </row>
    <row r="105" spans="1:217" s="2" customFormat="1" ht="12.75" customHeight="1" x14ac:dyDescent="0.2">
      <c r="B105" s="131" t="s">
        <v>367</v>
      </c>
      <c r="C105" s="112"/>
      <c r="D105" s="113"/>
      <c r="E105" s="112"/>
      <c r="F105" s="113"/>
      <c r="G105" s="112"/>
      <c r="H105" s="113"/>
      <c r="I105" s="112"/>
      <c r="J105" s="98"/>
      <c r="K105" s="112"/>
      <c r="L105" s="98"/>
      <c r="M105" s="112"/>
      <c r="N105" s="98"/>
      <c r="O105" s="112"/>
      <c r="P105" s="98"/>
      <c r="Q105" s="112"/>
      <c r="R105" s="98"/>
      <c r="S105" s="112"/>
      <c r="T105" s="98"/>
      <c r="U105" s="112"/>
      <c r="V105" s="98"/>
      <c r="W105" s="112"/>
      <c r="X105" s="98"/>
      <c r="Y105" s="112"/>
      <c r="Z105" s="98"/>
      <c r="AA105" s="112"/>
      <c r="AB105" s="98"/>
      <c r="AC105" s="112"/>
      <c r="AD105" s="98"/>
      <c r="AE105" s="112"/>
      <c r="AF105" s="98"/>
      <c r="AG105" s="112"/>
      <c r="AH105" s="98"/>
      <c r="AI105" s="112"/>
      <c r="AJ105" s="98"/>
      <c r="AK105" s="112"/>
      <c r="AL105" s="98"/>
      <c r="AM105" s="112"/>
      <c r="AN105" s="98"/>
      <c r="AO105" s="112"/>
      <c r="AP105" s="98"/>
      <c r="AQ105" s="112"/>
      <c r="AR105" s="98"/>
      <c r="AS105" s="112"/>
      <c r="AT105" s="98"/>
      <c r="AU105" s="112"/>
      <c r="AV105" s="98"/>
      <c r="AW105" s="112"/>
      <c r="AX105" s="98"/>
      <c r="AY105" s="112"/>
      <c r="AZ105" s="98"/>
      <c r="BA105" s="112"/>
      <c r="BB105" s="98"/>
      <c r="BC105" s="112"/>
      <c r="BD105" s="98"/>
      <c r="BE105" s="112"/>
      <c r="BF105" s="98"/>
      <c r="BG105" s="112"/>
      <c r="BH105" s="98"/>
      <c r="BI105" s="112"/>
      <c r="BJ105" s="98"/>
      <c r="BK105" s="112"/>
      <c r="BL105" s="98"/>
      <c r="BM105" s="112"/>
      <c r="BN105" s="98"/>
      <c r="BO105" s="112"/>
      <c r="BP105" s="98"/>
      <c r="BQ105" s="112"/>
      <c r="BR105" s="98"/>
      <c r="BS105" s="112"/>
      <c r="BT105" s="98"/>
      <c r="BU105" s="112"/>
      <c r="BV105" s="98"/>
      <c r="BW105" s="112"/>
      <c r="BX105" s="98"/>
      <c r="BY105" s="112"/>
      <c r="BZ105" s="98"/>
      <c r="CA105" s="112"/>
      <c r="CB105" s="98"/>
      <c r="CC105" s="112"/>
      <c r="CD105" s="98"/>
      <c r="CE105" s="112"/>
      <c r="CF105" s="98"/>
      <c r="CG105" s="112"/>
      <c r="CH105" s="98"/>
      <c r="CI105" s="112"/>
      <c r="CJ105" s="98"/>
      <c r="CK105" s="112"/>
      <c r="CL105" s="98"/>
      <c r="CM105" s="112"/>
      <c r="CN105" s="98"/>
      <c r="CO105" s="112"/>
      <c r="CP105" s="98"/>
      <c r="CQ105" s="543"/>
      <c r="CR105" s="98"/>
      <c r="CS105" s="112"/>
      <c r="CT105" s="98"/>
      <c r="CU105" s="112"/>
      <c r="CV105" s="98"/>
      <c r="CW105" s="112"/>
      <c r="CX105" s="98"/>
      <c r="CY105" s="112"/>
      <c r="CZ105" s="98"/>
      <c r="DA105" s="112"/>
      <c r="DB105" s="98"/>
      <c r="DC105" s="112"/>
      <c r="DD105" s="98"/>
      <c r="DE105" s="112"/>
      <c r="DF105" s="98"/>
      <c r="DG105" s="112"/>
      <c r="DH105" s="98"/>
      <c r="DI105" s="112"/>
      <c r="DJ105" s="98"/>
      <c r="DK105" s="112"/>
      <c r="DL105" s="98"/>
      <c r="DM105" s="112"/>
      <c r="DN105" s="98"/>
      <c r="DO105" s="112"/>
      <c r="DP105" s="98"/>
      <c r="DQ105" s="112"/>
      <c r="DR105" s="98"/>
      <c r="DS105" s="112"/>
      <c r="DT105" s="98"/>
      <c r="DU105" s="112"/>
      <c r="DV105" s="98"/>
      <c r="DW105" s="112"/>
      <c r="DX105" s="98"/>
      <c r="DY105" s="112"/>
      <c r="DZ105" s="98"/>
      <c r="EA105" s="112"/>
      <c r="EB105" s="98"/>
      <c r="EC105" s="112"/>
      <c r="ED105" s="98"/>
      <c r="EE105" s="112"/>
      <c r="EF105" s="860"/>
      <c r="EG105" s="112"/>
      <c r="EH105" s="860"/>
      <c r="EI105" s="112"/>
      <c r="EJ105" s="860"/>
      <c r="EK105" s="112"/>
      <c r="EL105" s="860"/>
      <c r="EM105" s="112"/>
      <c r="EN105" s="860"/>
      <c r="EO105" s="112"/>
      <c r="EP105" s="98"/>
      <c r="EQ105" s="1022"/>
      <c r="ER105" s="98"/>
      <c r="ES105" s="1022"/>
      <c r="ET105" s="98"/>
      <c r="EU105" s="1022"/>
      <c r="EV105" s="98"/>
      <c r="EW105" s="1022"/>
      <c r="EX105" s="98"/>
      <c r="EY105" s="114"/>
      <c r="EZ105" s="594"/>
      <c r="FA105" s="405"/>
      <c r="FB105" s="112"/>
      <c r="FC105" s="113"/>
      <c r="FD105" s="112"/>
      <c r="FE105" s="113"/>
      <c r="FF105" s="114"/>
      <c r="FG105" s="113"/>
      <c r="FH105" s="114"/>
      <c r="FI105" s="113"/>
      <c r="FJ105" s="114"/>
      <c r="FK105" s="113"/>
      <c r="FL105" s="114"/>
      <c r="FM105" s="113"/>
      <c r="FN105" s="114"/>
      <c r="FO105" s="113"/>
      <c r="FP105" s="114"/>
      <c r="FQ105" s="113"/>
      <c r="FR105" s="115"/>
      <c r="FS105" s="116"/>
      <c r="FT105" s="115"/>
      <c r="FU105" s="116"/>
      <c r="FV105" s="115"/>
      <c r="FW105" s="98"/>
      <c r="FX105" s="484"/>
      <c r="FY105" s="98"/>
      <c r="FZ105" s="115"/>
      <c r="GA105" s="98"/>
      <c r="GB105" s="484"/>
      <c r="GC105" s="98"/>
      <c r="GD105" s="115"/>
      <c r="GE105" s="98"/>
      <c r="GF105" s="115"/>
      <c r="GG105" s="98"/>
      <c r="GH105" s="115"/>
      <c r="GI105" s="98"/>
      <c r="GJ105" s="115"/>
      <c r="GK105" s="98"/>
      <c r="GL105" s="115"/>
      <c r="GM105" s="98"/>
      <c r="GN105" s="115"/>
      <c r="GO105" s="98"/>
      <c r="GP105" s="1168"/>
      <c r="GQ105" s="98"/>
      <c r="GR105" s="114"/>
      <c r="GS105" s="98"/>
      <c r="GT105" s="114"/>
      <c r="GU105" s="98"/>
      <c r="GV105" s="114"/>
      <c r="GW105" s="98"/>
      <c r="GX105" s="114"/>
      <c r="GY105" s="98"/>
      <c r="GZ105" s="98"/>
      <c r="HA105" s="98"/>
      <c r="HB105" s="10"/>
      <c r="HC105"/>
      <c r="HD105"/>
      <c r="HE105"/>
      <c r="HF105"/>
      <c r="HG105"/>
      <c r="HH105"/>
      <c r="HI105" s="10"/>
    </row>
    <row r="106" spans="1:217" s="2" customFormat="1" ht="12.75" customHeight="1" x14ac:dyDescent="0.2">
      <c r="B106" s="91" t="s">
        <v>585</v>
      </c>
      <c r="C106" s="137"/>
      <c r="D106" s="98"/>
      <c r="E106" s="137"/>
      <c r="F106" s="98"/>
      <c r="G106" s="137"/>
      <c r="H106" s="98"/>
      <c r="I106" s="137"/>
      <c r="J106" s="98"/>
      <c r="K106" s="137"/>
      <c r="L106" s="98"/>
      <c r="M106" s="137"/>
      <c r="N106" s="98"/>
      <c r="O106" s="137"/>
      <c r="P106" s="98"/>
      <c r="Q106" s="137"/>
      <c r="R106" s="98"/>
      <c r="S106" s="137"/>
      <c r="T106" s="98"/>
      <c r="U106" s="137"/>
      <c r="V106" s="98"/>
      <c r="W106" s="137"/>
      <c r="X106" s="98"/>
      <c r="Y106" s="137"/>
      <c r="Z106" s="98"/>
      <c r="AA106" s="137"/>
      <c r="AB106" s="98"/>
      <c r="AC106" s="137"/>
      <c r="AD106" s="98"/>
      <c r="AE106" s="137"/>
      <c r="AF106" s="98"/>
      <c r="AG106" s="137"/>
      <c r="AH106" s="98"/>
      <c r="AI106" s="137"/>
      <c r="AJ106" s="98"/>
      <c r="AK106" s="137"/>
      <c r="AL106" s="98"/>
      <c r="AM106" s="137"/>
      <c r="AN106" s="98"/>
      <c r="AO106" s="137"/>
      <c r="AP106" s="98"/>
      <c r="AQ106" s="137"/>
      <c r="AR106" s="98"/>
      <c r="AS106" s="137"/>
      <c r="AT106" s="98"/>
      <c r="AU106" s="137"/>
      <c r="AV106" s="98"/>
      <c r="AW106" s="137"/>
      <c r="AX106" s="98"/>
      <c r="AY106" s="137"/>
      <c r="AZ106" s="98"/>
      <c r="BA106" s="137"/>
      <c r="BB106" s="98"/>
      <c r="BC106" s="137"/>
      <c r="BD106" s="98"/>
      <c r="BE106" s="137"/>
      <c r="BF106" s="98"/>
      <c r="BG106" s="137"/>
      <c r="BH106" s="98"/>
      <c r="BI106" s="137"/>
      <c r="BJ106" s="98"/>
      <c r="BK106" s="137"/>
      <c r="BL106" s="98"/>
      <c r="BM106" s="137"/>
      <c r="BN106" s="98"/>
      <c r="BO106" s="137"/>
      <c r="BP106" s="98"/>
      <c r="BQ106" s="137"/>
      <c r="BR106" s="98"/>
      <c r="BS106" s="137"/>
      <c r="BT106" s="98"/>
      <c r="BU106" s="137"/>
      <c r="BV106" s="98"/>
      <c r="BW106" s="137"/>
      <c r="BX106" s="98"/>
      <c r="BY106" s="137"/>
      <c r="BZ106" s="98"/>
      <c r="CA106" s="137"/>
      <c r="CB106" s="98"/>
      <c r="CC106" s="137"/>
      <c r="CD106" s="98"/>
      <c r="CE106" s="137"/>
      <c r="CF106" s="98"/>
      <c r="CG106" s="137"/>
      <c r="CH106" s="98"/>
      <c r="CI106" s="137"/>
      <c r="CJ106" s="98"/>
      <c r="CK106" s="137"/>
      <c r="CL106" s="98"/>
      <c r="CM106" s="137"/>
      <c r="CN106" s="98"/>
      <c r="CO106" s="137"/>
      <c r="CP106" s="98"/>
      <c r="CQ106" s="494">
        <f>+CQ100/CQ67*100</f>
        <v>80.266021765417179</v>
      </c>
      <c r="CR106" s="98" t="str">
        <f>IF(ISERROR((CQ106/CI106-1)*100),"NA",IF(((CQ106/CI106-1)*100)&gt;100,"NM",IF(((CQ106/CI106-1)*100)&lt;-50,"NM",(CQ106/CI106-1)*100)))</f>
        <v>NA</v>
      </c>
      <c r="CS106" s="137">
        <f>+CS100/CS67*100</f>
        <v>76.677011219861541</v>
      </c>
      <c r="CT106" s="98" t="str">
        <f>IF(ISERROR((CS106/CK106-1)*100),"NA",IF(((CS106/CK106-1)*100)&gt;100,"NM",IF(((CS106/CK106-1)*100)&lt;-50,"NM",(CS106/CK106-1)*100)))</f>
        <v>NA</v>
      </c>
      <c r="CU106" s="137">
        <f>+CU100/CU67*100</f>
        <v>77.136204889406287</v>
      </c>
      <c r="CV106" s="98" t="str">
        <f>IF(ISERROR((CU106/CM106-1)*100),"NA",IF(((CU106/CM106-1)*100)&gt;100,"NM",IF(((CU106/CM106-1)*100)&lt;-50,"NM",(CU106/CM106-1)*100)))</f>
        <v>NA</v>
      </c>
      <c r="CW106" s="137">
        <f>+CW100/CW67*100</f>
        <v>77.085701295749033</v>
      </c>
      <c r="CX106" s="98" t="str">
        <f>IF(ISERROR((CW106/CO106-1)*100),"NA",IF(((CW106/CO106-1)*100)&gt;100,"NM",IF(((CW106/CO106-1)*100)&lt;-50,"NM",(CW106/CO106-1)*100)))</f>
        <v>NA</v>
      </c>
      <c r="CY106" s="137">
        <f>+CY100/CY67*100</f>
        <v>77.176102036249716</v>
      </c>
      <c r="CZ106" s="98">
        <f>IF(ISERROR((CY106/CQ106-1)*100),"NA",IF(((CY106/CQ106-1)*100)&gt;100,"NM",IF(((CY106/CQ106-1)*100)&lt;-50,"NM",(CY106/CQ106-1)*100)))</f>
        <v>-3.8495986984355079</v>
      </c>
      <c r="DA106" s="137">
        <f>+DA100/DA67*100</f>
        <v>78.920365826455495</v>
      </c>
      <c r="DB106" s="98">
        <f>IF(ISERROR((DA106/CS106-1)*100),"NA",IF(((DA106/CS106-1)*100)&gt;100,"NM",IF(((DA106/CS106-1)*100)&lt;-50,"NM",(DA106/CS106-1)*100)))</f>
        <v>2.925719939919702</v>
      </c>
      <c r="DC106" s="137">
        <f>+DC100/DC67*100</f>
        <v>78.873239436619713</v>
      </c>
      <c r="DD106" s="98">
        <f>IF(ISERROR((DC106/CU106-1)*100),"NA",IF(((DC106/CU106-1)*100)&gt;100,"NM",IF(((DC106/CU106-1)*100)&lt;-50,"NM",(DC106/CU106-1)*100)))</f>
        <v>2.2519056384792124</v>
      </c>
      <c r="DE106" s="137">
        <f>+DE100/DE67*100</f>
        <v>77.332746478873233</v>
      </c>
      <c r="DF106" s="98">
        <f>IF(ISERROR((DE106/CW106-1)*100),"NA",IF(((DE106/CW106-1)*100)&gt;100,"NM",IF(((DE106/CW106-1)*100)&lt;-50,"NM",(DE106/CW106-1)*100)))</f>
        <v>0.3204812033510418</v>
      </c>
      <c r="DG106" s="137">
        <f>+DG100/DG67*100</f>
        <v>78.37777777777778</v>
      </c>
      <c r="DH106" s="98">
        <f>IF(ISERROR((DG106/CY106-1)*100),"NA",IF(((DG106/CY106-1)*100)&gt;100,"NM",IF(((DG106/CY106-1)*100)&lt;-50,"NM",(DG106/CY106-1)*100)))</f>
        <v>1.5570567958506532</v>
      </c>
      <c r="DI106" s="137">
        <f>+DI100/DI67*100</f>
        <v>77.882714693608619</v>
      </c>
      <c r="DJ106" s="98">
        <f>IF(ISERROR((DI106/DA106-1)*100),"NA",IF(((DI106/DA106-1)*100)&gt;100,"NM",IF(((DI106/DA106-1)*100)&lt;-50,"NM",(DI106/DA106-1)*100)))</f>
        <v>-1.3148078090877702</v>
      </c>
      <c r="DK106" s="137">
        <f>+DK100/DK67*100</f>
        <v>79.734289329396873</v>
      </c>
      <c r="DL106" s="98">
        <f>IF(ISERROR((DK106/DC106-1)*100),"NA",IF(((DK106/DC106-1)*100)&gt;100,"NM",IF(((DK106/DC106-1)*100)&lt;-50,"NM",(DK106/DC106-1)*100)))</f>
        <v>1.091688256913903</v>
      </c>
      <c r="DM106" s="137">
        <f>+DM100/DM67*100</f>
        <v>79.135338345864653</v>
      </c>
      <c r="DN106" s="98">
        <f>IF(ISERROR((DM106/DE106-1)*100),"NA",IF(((DM106/DE106-1)*100)&gt;100,"NM",IF(((DM106/DE106-1)*100)&lt;-50,"NM",(DM106/DE106-1)*100)))</f>
        <v>2.3309554478113226</v>
      </c>
      <c r="DO106" s="137">
        <f>+DO100/DO67*100</f>
        <v>78.208892617449663</v>
      </c>
      <c r="DP106" s="98">
        <f>IF(ISERROR((DO106/DG106-1)*100),"NA",IF(((DO106/DG106-1)*100)&gt;100,"NM",IF(((DO106/DG106-1)*100)&lt;-50,"NM",(DO106/DG106-1)*100)))</f>
        <v>-0.21547582122952713</v>
      </c>
      <c r="DQ106" s="137">
        <f>+DQ100/DQ67*100</f>
        <v>76.913210773834976</v>
      </c>
      <c r="DR106" s="98">
        <f>IF(ISERROR((DQ106/DI106-1)*100),"NA",IF(((DQ106/DI106-1)*100)&gt;100,"NM",IF(((DQ106/DI106-1)*100)&lt;-50,"NM",(DQ106/DI106-1)*100)))</f>
        <v>-1.2448255348926685</v>
      </c>
      <c r="DS106" s="137">
        <f>+DS100/DS67*100</f>
        <v>80.587817018250774</v>
      </c>
      <c r="DT106" s="98">
        <f>IF(ISERROR((DS106/DK106-1)*100),"NA",IF(((DS106/DK106-1)*100)&gt;100,"NM",IF(((DS106/DK106-1)*100)&lt;-50,"NM",(DS106/DK106-1)*100)))</f>
        <v>1.0704650358490442</v>
      </c>
      <c r="DU106" s="137">
        <f>+DU100/DU67*100</f>
        <v>79.278423925943514</v>
      </c>
      <c r="DV106" s="98">
        <f>IF(ISERROR((DU106/DM106-1)*100),"NA",IF(((DU106/DM106-1)*100)&gt;100,"NM",IF(((DU106/DM106-1)*100)&lt;-50,"NM",(DU106/DM106-1)*100)))</f>
        <v>0.18081123183362191</v>
      </c>
      <c r="DW106" s="137">
        <f>+DW100/DW67*100</f>
        <v>79.169649248389405</v>
      </c>
      <c r="DX106" s="98">
        <f>IF(ISERROR((DW106/DO106-1)*100),"NA",IF(((DW106/DO106-1)*100)&gt;100,"NM",IF(((DW106/DO106-1)*100)&lt;-50,"NM",(DW106/DO106-1)*100)))</f>
        <v>1.2284493473640801</v>
      </c>
      <c r="DY106" s="137">
        <f>+DY100/DY67*100</f>
        <v>78.916686907942676</v>
      </c>
      <c r="DZ106" s="98">
        <f>IF(ISERROR((DY106/DQ106-1)*100),"NA",IF(((DY106/DQ106-1)*100)&gt;100,"NM",IF(((DY106/DQ106-1)*100)&lt;-50,"NM",(DY106/DQ106-1)*100)))</f>
        <v>2.6048530726392016</v>
      </c>
      <c r="EA106" s="137">
        <f>+EA100/EA67*100</f>
        <v>80.332725615314487</v>
      </c>
      <c r="EB106" s="98">
        <f>IF(ISERROR((EA106/DS106-1)*100),"NA",IF(((EA106/DS106-1)*100)&gt;100,"NM",IF(((EA106/DS106-1)*100)&lt;-50,"NM",(EA106/DS106-1)*100)))</f>
        <v>-0.31653842029064627</v>
      </c>
      <c r="EC106" s="137">
        <f>+EC100/EC67*100</f>
        <v>79.337899543378995</v>
      </c>
      <c r="ED106" s="98">
        <f>IF(ISERROR((EC106/DU106-1)*100),"NA",IF(((EC106/DU106-1)*100)&gt;100,"NM",IF(((EC106/DU106-1)*100)&lt;-50,"NM",(EC106/DU106-1)*100)))</f>
        <v>7.5021190495716539E-2</v>
      </c>
      <c r="EE106" s="137">
        <f>+EE100/EE67*100</f>
        <v>79.215416379903644</v>
      </c>
      <c r="EF106" s="860">
        <f>IF(ISERROR((EE106/DW106-1)*100),"NA",IF(((EE106/DW106-1)*100)&gt;100,"NM",IF(((EE106/DW106-1)*100)&lt;-50,"NM",(EE106/DW106-1)*100)))</f>
        <v>5.7808935556402652E-2</v>
      </c>
      <c r="EG106" s="137">
        <f>+EG100/EG67*100</f>
        <v>78.9974472035275</v>
      </c>
      <c r="EH106" s="860">
        <f>IF(ISERROR((EG106/DY106-1)*100),"NA",IF(((EG106/DY106-1)*100)&gt;100,"NM",IF(((EG106/DY106-1)*100)&lt;-50,"NM",(EG106/DY106-1)*100)))</f>
        <v>0.10233614555947845</v>
      </c>
      <c r="EI106" s="137">
        <f>+EI100/EI67*100</f>
        <v>80.043620501635772</v>
      </c>
      <c r="EJ106" s="860">
        <f t="shared" ref="EJ106" si="493">IF(ISERROR((EI106/EA106-1)*100),"NA",IF(((EI106/EA106-1)*100)&gt;100,"NM",IF(((EI106/EA106-1)*100)&lt;-50,"NM",(EI106/EA106-1)*100)))</f>
        <v>-0.35988460675807632</v>
      </c>
      <c r="EK106" s="137">
        <f>+EK100/EK67*100</f>
        <v>79.428826416778222</v>
      </c>
      <c r="EL106" s="860">
        <f t="shared" ref="EL106" si="494">IF(ISERROR((EK106/EC106-1)*100),"NA",IF(((EK106/EC106-1)*100)&gt;100,"NM",IF(((EK106/EC106-1)*100)&lt;-50,"NM",(EK106/EC106-1)*100)))</f>
        <v>0.11460710949311448</v>
      </c>
      <c r="EM106" s="137">
        <f>+EM100/EM67*100</f>
        <v>77.420835245525467</v>
      </c>
      <c r="EN106" s="860">
        <f t="shared" ref="EN106" si="495">IF(ISERROR((EM106/EE106-1)*100),"NA",IF(((EM106/EE106-1)*100)&gt;100,"NM",IF(((EM106/EE106-1)*100)&lt;-50,"NM",(EM106/EE106-1)*100)))</f>
        <v>-2.2654442990890478</v>
      </c>
      <c r="EO106" s="137">
        <f>+EO100/EO67*100</f>
        <v>77.922374429223737</v>
      </c>
      <c r="EP106" s="98">
        <f t="shared" ref="EP106" si="496">IF(ISERROR((EO106/EG106-1)*100),"NA",IF(((EO106/EG106-1)*100)&gt;100,"NM",IF(((EO106/EG106-1)*100)&lt;-50,"NM",(EO106/EG106-1)*100)))</f>
        <v>-1.3608955888586682</v>
      </c>
      <c r="EQ106" s="1040">
        <v>78.5</v>
      </c>
      <c r="ER106" s="98">
        <f t="shared" ref="ER106" si="497">IF(ISERROR((EQ106/EI106-1)*100),"NA",IF(((EQ106/EI106-1)*100)&gt;100,"NM",IF(((EQ106/EI106-1)*100)&lt;-50,"NM",(EQ106/EI106-1)*100)))</f>
        <v>-1.9284741144414252</v>
      </c>
      <c r="ES106" s="1040">
        <f>EQ106-0.25</f>
        <v>78.25</v>
      </c>
      <c r="ET106" s="98">
        <f t="shared" ref="ET106" si="498">IF(ISERROR((ES106/EK106-1)*100),"NA",IF(((ES106/EK106-1)*100)&gt;100,"NM",IF(((ES106/EK106-1)*100)&lt;-50,"NM",(ES106/EK106-1)*100)))</f>
        <v>-1.484129213483143</v>
      </c>
      <c r="EU106" s="1040">
        <f>ES106-0.25</f>
        <v>78</v>
      </c>
      <c r="EV106" s="98">
        <f t="shared" ref="EV106" si="499">IF(ISERROR((EU106/EM106-1)*100),"NA",IF(((EU106/EM106-1)*100)&gt;100,"NM",IF(((EU106/EM106-1)*100)&lt;-50,"NM",(EU106/EM106-1)*100)))</f>
        <v>0.74807350326022704</v>
      </c>
      <c r="EW106" s="1040">
        <f>EU106-0.25</f>
        <v>77.75</v>
      </c>
      <c r="EX106" s="98">
        <f t="shared" ref="EX106" si="500">IF(ISERROR((EW106/EO106-1)*100),"NA",IF(((EW106/EO106-1)*100)&gt;100,"NM",IF(((EW106/EO106-1)*100)&lt;-50,"NM",(EW106/EO106-1)*100)))</f>
        <v>-0.22121300908291008</v>
      </c>
      <c r="EY106" s="138"/>
      <c r="EZ106" s="594"/>
      <c r="FA106" s="405"/>
      <c r="FB106" s="137"/>
      <c r="FC106" s="98"/>
      <c r="FD106" s="137"/>
      <c r="FE106" s="98"/>
      <c r="FF106" s="125"/>
      <c r="FG106" s="98"/>
      <c r="FH106" s="125"/>
      <c r="FI106" s="98"/>
      <c r="FJ106" s="125"/>
      <c r="FK106" s="98"/>
      <c r="FL106" s="125"/>
      <c r="FM106" s="98"/>
      <c r="FN106" s="125"/>
      <c r="FO106" s="98"/>
      <c r="FP106" s="125"/>
      <c r="FQ106" s="98"/>
      <c r="FR106" s="139"/>
      <c r="FS106" s="120"/>
      <c r="FT106" s="139"/>
      <c r="FU106" s="120"/>
      <c r="FV106" s="137"/>
      <c r="FW106" s="98"/>
      <c r="FX106" s="490"/>
      <c r="FY106" s="98"/>
      <c r="FZ106" s="139"/>
      <c r="GA106" s="98"/>
      <c r="GB106" s="490">
        <f>+GB100/GB67*100</f>
        <v>77.761845014040759</v>
      </c>
      <c r="GC106" s="98" t="str">
        <f>IF(ISERROR((GB106/FZ106-1)*100),"NA",IF(((GB106/FZ106-1)*100)&gt;100,"NM",IF(((GB106/FZ106-1)*100)&lt;-50,"NM",(GB106/FZ106-1)*100)))</f>
        <v>NA</v>
      </c>
      <c r="GD106" s="139">
        <f>+GD100/GD67*100</f>
        <v>77.586988552646503</v>
      </c>
      <c r="GE106" s="98">
        <f>IF(ISERROR((GD106/GB106-1)*100),"NA",IF(((GD106/GB106-1)*100)&gt;100,"NM",IF(((GD106/GB106-1)*100)&lt;-50,"NM",(GD106/GB106-1)*100)))</f>
        <v>-0.22486151320443293</v>
      </c>
      <c r="GF106" s="139">
        <f>+GF100/GF67*100</f>
        <v>78.118822754227978</v>
      </c>
      <c r="GG106" s="98">
        <f>IF(ISERROR((GF106/GD106-1)*100),"NA",IF(((GF106/GD106-1)*100)&gt;100,"NM",IF(((GF106/GD106-1)*100)&lt;-50,"NM",(GF106/GD106-1)*100)))</f>
        <v>0.68546828727680253</v>
      </c>
      <c r="GH106" s="139">
        <f>+GH100/GH67*100</f>
        <v>78.504426644182118</v>
      </c>
      <c r="GI106" s="98">
        <f>IF(ISERROR((GH106/GF106-1)*100),"NA",IF(((GH106/GF106-1)*100)&gt;100,"NM",IF(((GH106/GF106-1)*100)&lt;-50,"NM",(GH106/GF106-1)*100)))</f>
        <v>0.49361200842374942</v>
      </c>
      <c r="GJ106" s="139">
        <f>+GJ100/GJ67*100</f>
        <v>79.492234169653514</v>
      </c>
      <c r="GK106" s="98">
        <f>IF(ISERROR((GJ106/GH106-1)*100),"NA",IF(((GJ106/GH106-1)*100)&gt;100,"NM",IF(((GJ106/GH106-1)*100)&lt;-50,"NM",(GJ106/GH106-1)*100)))</f>
        <v>1.2582825806098707</v>
      </c>
      <c r="GL106" s="139">
        <f>+GL100/GL67*100</f>
        <v>79.473503097040606</v>
      </c>
      <c r="GM106" s="98">
        <f>IF(ISERROR((GL106/GJ106-1)*100),"NA",IF(((GL106/GJ106-1)*100)&gt;100,"NM",IF(((GL106/GJ106-1)*100)&lt;-50,"NM",(GL106/GJ106-1)*100)))</f>
        <v>-2.3563399379278316E-2</v>
      </c>
      <c r="GN106" s="139">
        <f>+GN100/GN67*100</f>
        <v>78.725077225498453</v>
      </c>
      <c r="GO106" s="98">
        <f>IF(ISERROR((GN106/GL106-1)*100),"NA",IF(((GN106/GL106-1)*100)&gt;100,"NM",IF(((GN106/GL106-1)*100)&lt;-50,"NM",(GN106/GL106-1)*100)))</f>
        <v>-0.94173006395388281</v>
      </c>
      <c r="GP106" s="139">
        <f>+GP100/GP67*100</f>
        <v>78.124084532060323</v>
      </c>
      <c r="GQ106" s="98">
        <f>IF(ISERROR((GP106/GN106-1)*100),"NA",IF(((GP106/GN106-1)*100)&gt;100,"NM",IF(((GP106/GN106-1)*100)&lt;-50,"NM",(GP106/GN106-1)*100)))</f>
        <v>-0.7634069277781208</v>
      </c>
      <c r="GR106" s="138">
        <f>GP106-0.15</f>
        <v>77.974084532060317</v>
      </c>
      <c r="GS106" s="98">
        <f>IF(ISERROR((GR106/GP106-1)*100),"NA",IF(((GR106/GP106-1)*100)&gt;100,"NM",IF(((GR106/GP106-1)*100)&lt;-50,"NM",(GR106/GP106-1)*100)))</f>
        <v>-0.19200224988038528</v>
      </c>
      <c r="GT106" s="138">
        <f>GR106</f>
        <v>77.974084532060317</v>
      </c>
      <c r="GU106" s="98">
        <f>IF(ISERROR((GT106/GR106-1)*100),"NA",IF(((GT106/GR106-1)*100)&gt;100,"NM",IF(((GT106/GR106-1)*100)&lt;-50,"NM",(GT106/GR106-1)*100)))</f>
        <v>0</v>
      </c>
      <c r="GV106" s="138">
        <f>GT106</f>
        <v>77.974084532060317</v>
      </c>
      <c r="GW106" s="98">
        <f>IF(ISERROR((GV106/GT106-1)*100),"NA",IF(((GV106/GT106-1)*100)&gt;100,"NM",IF(((GV106/GT106-1)*100)&lt;-50,"NM",(GV106/GT106-1)*100)))</f>
        <v>0</v>
      </c>
      <c r="GX106" s="138">
        <f>GV106</f>
        <v>77.974084532060317</v>
      </c>
      <c r="GY106" s="98">
        <f>IF(ISERROR((GX106/GV106-1)*100),"NA",IF(((GX106/GV106-1)*100)&gt;100,"NM",IF(((GX106/GV106-1)*100)&lt;-50,"NM",(GX106/GV106-1)*100)))</f>
        <v>0</v>
      </c>
      <c r="GZ106" s="98">
        <f>IF(ISERROR(((GX106/GN106)^0.2-1)*100),"NA",IF((((GX106/GN106)^0.2-1)*100)&gt;100,"NM",IF((((GX106/GN106)^0.2-1)*100)&lt;-50,"NM",((GX106/GN106)^0.2-1)*100)))</f>
        <v>-0.19152088516352084</v>
      </c>
      <c r="HA106" s="98"/>
      <c r="HB106" s="10"/>
      <c r="HC106"/>
      <c r="HD106"/>
      <c r="HE106"/>
      <c r="HF106"/>
      <c r="HG106"/>
      <c r="HH106"/>
      <c r="HI106" s="10"/>
    </row>
    <row r="107" spans="1:217" s="143" customFormat="1" ht="12.75" hidden="1" customHeight="1" outlineLevel="1" x14ac:dyDescent="0.2">
      <c r="B107" s="140" t="s">
        <v>63</v>
      </c>
      <c r="C107" s="105"/>
      <c r="D107" s="104"/>
      <c r="E107" s="105"/>
      <c r="F107" s="104"/>
      <c r="G107" s="105"/>
      <c r="H107" s="104"/>
      <c r="I107" s="105"/>
      <c r="J107" s="104"/>
      <c r="K107" s="105"/>
      <c r="L107" s="104"/>
      <c r="M107" s="105"/>
      <c r="N107" s="104"/>
      <c r="O107" s="105"/>
      <c r="P107" s="104"/>
      <c r="Q107" s="105"/>
      <c r="R107" s="104"/>
      <c r="S107" s="105"/>
      <c r="T107" s="104"/>
      <c r="U107" s="105"/>
      <c r="V107" s="104"/>
      <c r="W107" s="105"/>
      <c r="X107" s="104"/>
      <c r="Y107" s="105"/>
      <c r="Z107" s="104"/>
      <c r="AA107" s="105"/>
      <c r="AB107" s="104"/>
      <c r="AC107" s="105"/>
      <c r="AD107" s="104"/>
      <c r="AE107" s="105"/>
      <c r="AF107" s="104"/>
      <c r="AG107" s="105"/>
      <c r="AH107" s="104"/>
      <c r="AI107" s="105"/>
      <c r="AJ107" s="104"/>
      <c r="AK107" s="105"/>
      <c r="AL107" s="104"/>
      <c r="AM107" s="105"/>
      <c r="AN107" s="104"/>
      <c r="AO107" s="105"/>
      <c r="AP107" s="104"/>
      <c r="AQ107" s="105"/>
      <c r="AR107" s="104"/>
      <c r="AS107" s="105"/>
      <c r="AT107" s="104"/>
      <c r="AU107" s="105"/>
      <c r="AV107" s="104"/>
      <c r="AW107" s="105"/>
      <c r="AX107" s="104"/>
      <c r="AY107" s="105"/>
      <c r="AZ107" s="104"/>
      <c r="BA107" s="105"/>
      <c r="BB107" s="104"/>
      <c r="BC107" s="105"/>
      <c r="BD107" s="104"/>
      <c r="BE107" s="105"/>
      <c r="BF107" s="104"/>
      <c r="BG107" s="105"/>
      <c r="BH107" s="104"/>
      <c r="BI107" s="105"/>
      <c r="BJ107" s="104"/>
      <c r="BK107" s="105"/>
      <c r="BL107" s="104"/>
      <c r="BM107" s="105"/>
      <c r="BN107" s="104"/>
      <c r="BO107" s="105"/>
      <c r="BP107" s="104"/>
      <c r="BQ107" s="105"/>
      <c r="BR107" s="104"/>
      <c r="BS107" s="105"/>
      <c r="BT107" s="104"/>
      <c r="BU107" s="105"/>
      <c r="BV107" s="104"/>
      <c r="BW107" s="105"/>
      <c r="BX107" s="104"/>
      <c r="BY107" s="105"/>
      <c r="BZ107" s="104"/>
      <c r="CA107" s="105"/>
      <c r="CB107" s="104"/>
      <c r="CC107" s="105"/>
      <c r="CD107" s="104"/>
      <c r="CE107" s="105"/>
      <c r="CF107" s="104"/>
      <c r="CG107" s="105"/>
      <c r="CH107" s="104"/>
      <c r="CI107" s="105"/>
      <c r="CJ107" s="104"/>
      <c r="CK107" s="105"/>
      <c r="CL107" s="104"/>
      <c r="CM107" s="105"/>
      <c r="CN107" s="104"/>
      <c r="CO107" s="105"/>
      <c r="CP107" s="104"/>
      <c r="CQ107" s="522"/>
      <c r="CR107" s="104"/>
      <c r="CS107" s="105"/>
      <c r="CT107" s="104"/>
      <c r="CU107" s="105"/>
      <c r="CV107" s="104"/>
      <c r="CW107" s="105"/>
      <c r="CX107" s="104"/>
      <c r="CY107" s="105"/>
      <c r="CZ107" s="104"/>
      <c r="DA107" s="105"/>
      <c r="DB107" s="104"/>
      <c r="DC107" s="105"/>
      <c r="DD107" s="104"/>
      <c r="DE107" s="105"/>
      <c r="DF107" s="104"/>
      <c r="DG107" s="105"/>
      <c r="DH107" s="104"/>
      <c r="DI107" s="105"/>
      <c r="DJ107" s="104"/>
      <c r="DK107" s="105"/>
      <c r="DL107" s="104"/>
      <c r="DM107" s="105"/>
      <c r="DN107" s="104"/>
      <c r="DO107" s="105"/>
      <c r="DP107" s="104"/>
      <c r="DQ107" s="105"/>
      <c r="DR107" s="104"/>
      <c r="DS107" s="105"/>
      <c r="DT107" s="104"/>
      <c r="DU107" s="105"/>
      <c r="DV107" s="104"/>
      <c r="DW107" s="105"/>
      <c r="DX107" s="104"/>
      <c r="DY107" s="105"/>
      <c r="DZ107" s="104"/>
      <c r="EA107" s="105"/>
      <c r="EB107" s="104"/>
      <c r="EC107" s="105"/>
      <c r="ED107" s="104"/>
      <c r="EE107" s="105"/>
      <c r="EF107" s="1019"/>
      <c r="EG107" s="105"/>
      <c r="EH107" s="1019"/>
      <c r="EI107" s="105"/>
      <c r="EJ107" s="1019"/>
      <c r="EK107" s="105"/>
      <c r="EL107" s="1019"/>
      <c r="EM107" s="105"/>
      <c r="EN107" s="1019"/>
      <c r="EO107" s="105"/>
      <c r="EP107" s="104"/>
      <c r="EQ107" s="1018">
        <f>IF($B$6=1,EQ106,IF($B$6=2,EQ106+#REF!,IF($B$6=3,EQ106+#REF!)))</f>
        <v>78.5</v>
      </c>
      <c r="ER107" s="104"/>
      <c r="ES107" s="1018">
        <f>IF($B$6=1,ES106,IF($B$6=2,ES106+#REF!,IF($B$6=3,ES106+#REF!)))</f>
        <v>78.25</v>
      </c>
      <c r="ET107" s="104"/>
      <c r="EU107" s="1018">
        <f>IF($B$6=1,EU106,IF($B$6=2,EU106+#REF!,IF($B$6=3,EU106+#REF!)))</f>
        <v>78</v>
      </c>
      <c r="EV107" s="104"/>
      <c r="EW107" s="1018">
        <f>IF($B$6=1,EW106,IF($B$6=2,EW106+#REF!,IF($B$6=3,EW106+#REF!)))</f>
        <v>77.75</v>
      </c>
      <c r="EX107" s="104"/>
      <c r="EY107" s="141"/>
      <c r="EZ107" s="595"/>
      <c r="FA107" s="406"/>
      <c r="FB107" s="142"/>
      <c r="FC107" s="104"/>
      <c r="FD107" s="142"/>
      <c r="FE107" s="104"/>
      <c r="FF107" s="142"/>
      <c r="FG107" s="104"/>
      <c r="FH107" s="142"/>
      <c r="FI107" s="104"/>
      <c r="FJ107" s="142"/>
      <c r="FK107" s="104"/>
      <c r="FL107" s="142"/>
      <c r="FM107" s="104"/>
      <c r="FN107" s="142"/>
      <c r="FO107" s="104"/>
      <c r="FP107" s="142"/>
      <c r="FQ107" s="104"/>
      <c r="FR107" s="141"/>
      <c r="FS107" s="109"/>
      <c r="FT107" s="141"/>
      <c r="FU107" s="109"/>
      <c r="FV107" s="105"/>
      <c r="FW107" s="104"/>
      <c r="FX107" s="491"/>
      <c r="FY107" s="104"/>
      <c r="FZ107" s="141"/>
      <c r="GA107" s="104"/>
      <c r="GB107" s="491"/>
      <c r="GC107" s="104"/>
      <c r="GD107" s="141"/>
      <c r="GE107" s="104"/>
      <c r="GF107" s="141"/>
      <c r="GG107" s="104"/>
      <c r="GH107" s="141"/>
      <c r="GI107" s="104"/>
      <c r="GJ107" s="141"/>
      <c r="GK107" s="104"/>
      <c r="GL107" s="141"/>
      <c r="GM107" s="104"/>
      <c r="GN107" s="141"/>
      <c r="GO107" s="104"/>
      <c r="GP107" s="141"/>
      <c r="GQ107" s="104"/>
      <c r="GR107" s="141">
        <f>IF($B$6=1,GR106,IF($B$6=2,GR106+#REF!,IF($B$6=3,GR106+#REF!)))</f>
        <v>77.974084532060317</v>
      </c>
      <c r="GS107" s="104"/>
      <c r="GT107" s="141">
        <f>IF($B$6=1,GT106,IF($B$6=2,GT106+#REF!,IF($B$6=3,GT106+#REF!)))</f>
        <v>77.974084532060317</v>
      </c>
      <c r="GU107" s="104"/>
      <c r="GV107" s="141">
        <f>IF($B$6=1,GV106,IF($B$6=2,GV106+#REF!,IF($B$6=3,GV106+#REF!)))</f>
        <v>77.974084532060317</v>
      </c>
      <c r="GW107" s="104"/>
      <c r="GX107" s="141">
        <f>IF($B$6=1,GX106,IF($B$6=2,GX106+#REF!,IF($B$6=3,GX106+#REF!)))</f>
        <v>77.974084532060317</v>
      </c>
      <c r="GY107" s="104"/>
      <c r="GZ107" s="104"/>
      <c r="HA107" s="104"/>
      <c r="HB107" s="111"/>
      <c r="HC107"/>
      <c r="HD107"/>
      <c r="HE107"/>
      <c r="HF107"/>
      <c r="HG107"/>
      <c r="HH107"/>
      <c r="HI107" s="111"/>
    </row>
    <row r="108" spans="1:217" s="2" customFormat="1" ht="12.75" customHeight="1" collapsed="1" x14ac:dyDescent="0.2">
      <c r="B108" s="91" t="s">
        <v>149</v>
      </c>
      <c r="C108" s="137"/>
      <c r="D108" s="98"/>
      <c r="E108" s="137"/>
      <c r="F108" s="98"/>
      <c r="G108" s="137"/>
      <c r="H108" s="98"/>
      <c r="I108" s="137"/>
      <c r="J108" s="98"/>
      <c r="K108" s="137"/>
      <c r="L108" s="98"/>
      <c r="M108" s="137"/>
      <c r="N108" s="98"/>
      <c r="O108" s="137"/>
      <c r="P108" s="98"/>
      <c r="Q108" s="137"/>
      <c r="R108" s="98"/>
      <c r="S108" s="137"/>
      <c r="T108" s="98"/>
      <c r="U108" s="137"/>
      <c r="V108" s="98"/>
      <c r="W108" s="137"/>
      <c r="X108" s="98"/>
      <c r="Y108" s="137"/>
      <c r="Z108" s="98"/>
      <c r="AA108" s="137"/>
      <c r="AB108" s="98"/>
      <c r="AC108" s="137"/>
      <c r="AD108" s="98"/>
      <c r="AE108" s="137"/>
      <c r="AF108" s="98"/>
      <c r="AG108" s="137"/>
      <c r="AH108" s="98"/>
      <c r="AI108" s="137"/>
      <c r="AJ108" s="98"/>
      <c r="AK108" s="137"/>
      <c r="AL108" s="98"/>
      <c r="AM108" s="137"/>
      <c r="AN108" s="98"/>
      <c r="AO108" s="137"/>
      <c r="AP108" s="98"/>
      <c r="AQ108" s="137"/>
      <c r="AR108" s="98"/>
      <c r="AS108" s="137"/>
      <c r="AT108" s="98"/>
      <c r="AU108" s="137"/>
      <c r="AV108" s="98"/>
      <c r="AW108" s="137"/>
      <c r="AX108" s="98"/>
      <c r="AY108" s="137"/>
      <c r="AZ108" s="98"/>
      <c r="BA108" s="137"/>
      <c r="BB108" s="98"/>
      <c r="BC108" s="137"/>
      <c r="BD108" s="98"/>
      <c r="BE108" s="137"/>
      <c r="BF108" s="98"/>
      <c r="BG108" s="137"/>
      <c r="BH108" s="98"/>
      <c r="BI108" s="137"/>
      <c r="BJ108" s="98"/>
      <c r="BK108" s="137"/>
      <c r="BL108" s="98"/>
      <c r="BM108" s="137"/>
      <c r="BN108" s="98"/>
      <c r="BO108" s="137"/>
      <c r="BP108" s="98"/>
      <c r="BQ108" s="137"/>
      <c r="BR108" s="98"/>
      <c r="BS108" s="137"/>
      <c r="BT108" s="98"/>
      <c r="BU108" s="137"/>
      <c r="BV108" s="98"/>
      <c r="BW108" s="137"/>
      <c r="BX108" s="98"/>
      <c r="BY108" s="137"/>
      <c r="BZ108" s="98"/>
      <c r="CA108" s="137"/>
      <c r="CB108" s="98"/>
      <c r="CC108" s="137"/>
      <c r="CD108" s="98"/>
      <c r="CE108" s="137"/>
      <c r="CF108" s="98"/>
      <c r="CG108" s="137"/>
      <c r="CH108" s="98"/>
      <c r="CI108" s="137"/>
      <c r="CJ108" s="98"/>
      <c r="CK108" s="137"/>
      <c r="CL108" s="98"/>
      <c r="CM108" s="137"/>
      <c r="CN108" s="98"/>
      <c r="CO108" s="137"/>
      <c r="CP108" s="98"/>
      <c r="CQ108" s="494">
        <f>+CQ101/CQ67*100</f>
        <v>13.228536880290207</v>
      </c>
      <c r="CR108" s="98" t="str">
        <f>IF(ISERROR((CQ108/CI108-1)*100),"NA",IF(((CQ108/CI108-1)*100)&gt;100,"NM",IF(((CQ108/CI108-1)*100)&lt;-50,"NM",(CQ108/CI108-1)*100)))</f>
        <v>NA</v>
      </c>
      <c r="CS108" s="137">
        <f>+CS101/CS67*100</f>
        <v>13.344473621389351</v>
      </c>
      <c r="CT108" s="98" t="str">
        <f>IF(ISERROR((CS108/CK108-1)*100),"NA",IF(((CS108/CK108-1)*100)&gt;100,"NM",IF(((CS108/CK108-1)*100)&lt;-50,"NM",(CS108/CK108-1)*100)))</f>
        <v>NA</v>
      </c>
      <c r="CU108" s="137">
        <f>+CU101/CU67*100</f>
        <v>13.387660069848661</v>
      </c>
      <c r="CV108" s="98" t="str">
        <f>IF(ISERROR((CU108/CM108-1)*100),"NA",IF(((CU108/CM108-1)*100)&gt;100,"NM",IF(((CU108/CM108-1)*100)&lt;-50,"NM",(CU108/CM108-1)*100)))</f>
        <v>NA</v>
      </c>
      <c r="CW108" s="137">
        <f>+CW101/CW67*100</f>
        <v>12.957490338713344</v>
      </c>
      <c r="CX108" s="98" t="str">
        <f>IF(ISERROR((CW108/CO108-1)*100),"NA",IF(((CW108/CO108-1)*100)&gt;100,"NM",IF(((CW108/CO108-1)*100)&lt;-50,"NM",(CW108/CO108-1)*100)))</f>
        <v>NA</v>
      </c>
      <c r="CY108" s="137">
        <f>+CY101/CY67*100</f>
        <v>12.262251062877601</v>
      </c>
      <c r="CZ108" s="98">
        <f>IF(ISERROR((CY108/CQ108-1)*100),"NA",IF(((CY108/CQ108-1)*100)&gt;100,"NM",IF(((CY108/CQ108-1)*100)&lt;-50,"NM",(CY108/CQ108-1)*100)))</f>
        <v>-7.3045554936035266</v>
      </c>
      <c r="DA108" s="137">
        <f>+DA101/DA67*100</f>
        <v>14.699977693508812</v>
      </c>
      <c r="DB108" s="98">
        <f>IF(ISERROR((DA108/CS108-1)*100),"NA",IF(((DA108/CS108-1)*100)&gt;100,"NM",IF(((DA108/CS108-1)*100)&lt;-50,"NM",(DA108/CS108-1)*100)))</f>
        <v>10.15779348498822</v>
      </c>
      <c r="DC108" s="137">
        <f>+DC101/DC67*100</f>
        <v>12.741061755146262</v>
      </c>
      <c r="DD108" s="98">
        <f>IF(ISERROR((DC108/CU108-1)*100),"NA",IF(((DC108/CU108-1)*100)&gt;100,"NM",IF(((DC108/CU108-1)*100)&lt;-50,"NM",(DC108/CU108-1)*100)))</f>
        <v>-4.8298082811248699</v>
      </c>
      <c r="DE108" s="137">
        <f>+DE101/DE67*100</f>
        <v>12.720070422535212</v>
      </c>
      <c r="DF108" s="98">
        <f>IF(ISERROR((DE108/CW108-1)*100),"NA",IF(((DE108/CW108-1)*100)&gt;100,"NM",IF(((DE108/CW108-1)*100)&lt;-50,"NM",(DE108/CW108-1)*100)))</f>
        <v>-1.8322986162589538</v>
      </c>
      <c r="DG108" s="137">
        <f>+DG101/DG67*100</f>
        <v>13.222222222222221</v>
      </c>
      <c r="DH108" s="98">
        <f>IF(ISERROR((DG108/CY108-1)*100),"NA",IF(((DG108/CY108-1)*100)&gt;100,"NM",IF(((DG108/CY108-1)*100)&lt;-50,"NM",(DG108/CY108-1)*100)))</f>
        <v>7.8286699107867008</v>
      </c>
      <c r="DI108" s="137">
        <f>+DI101/DI67*100</f>
        <v>13.595431583571271</v>
      </c>
      <c r="DJ108" s="98">
        <f>IF(ISERROR((DI108/DA108-1)*100),"NA",IF(((DI108/DA108-1)*100)&gt;100,"NM",IF(((DI108/DA108-1)*100)&lt;-50,"NM",(DI108/DA108-1)*100)))</f>
        <v>-7.5139305172230557</v>
      </c>
      <c r="DK108" s="137">
        <f>+DK101/DK67*100</f>
        <v>13.243357233234923</v>
      </c>
      <c r="DL108" s="98">
        <f>IF(ISERROR((DK108/DC108-1)*100),"NA",IF(((DK108/DC108-1)*100)&gt;100,"NM",IF(((DK108/DC108-1)*100)&lt;-50,"NM",(DK108/DC108-1)*100)))</f>
        <v>3.9423361077876917</v>
      </c>
      <c r="DM108" s="137">
        <f>+DM101/DM67*100</f>
        <v>13.324979114452798</v>
      </c>
      <c r="DN108" s="98">
        <f>IF(ISERROR((DM108/DE108-1)*100),"NA",IF(((DM108/DE108-1)*100)&gt;100,"NM",IF(((DM108/DE108-1)*100)&lt;-50,"NM",(DM108/DE108-1)*100)))</f>
        <v>4.7555451489161182</v>
      </c>
      <c r="DO108" s="137">
        <f>+DO101/DO67*100</f>
        <v>13.296979865771814</v>
      </c>
      <c r="DP108" s="98">
        <f>IF(ISERROR((DO108/DG108-1)*100),"NA",IF(((DO108/DG108-1)*100)&gt;100,"NM",IF(((DO108/DG108-1)*100)&lt;-50,"NM",(DO108/DG108-1)*100)))</f>
        <v>0.56539394281203137</v>
      </c>
      <c r="DQ108" s="137">
        <f>+DQ101/DQ67*100</f>
        <v>14.365113296280462</v>
      </c>
      <c r="DR108" s="98">
        <f>IF(ISERROR((DQ108/DI108-1)*100),"NA",IF(((DQ108/DI108-1)*100)&gt;100,"NM",IF(((DQ108/DI108-1)*100)&lt;-50,"NM",(DQ108/DI108-1)*100)))</f>
        <v>5.6613260710257629</v>
      </c>
      <c r="DS108" s="137">
        <f>+DS101/DS67*100</f>
        <v>13.391799004503438</v>
      </c>
      <c r="DT108" s="98">
        <f>IF(ISERROR((DS108/DK108-1)*100),"NA",IF(((DS108/DK108-1)*100)&gt;100,"NM",IF(((DS108/DK108-1)*100)&lt;-50,"NM",(DS108/DK108-1)*100)))</f>
        <v>1.1208771964256403</v>
      </c>
      <c r="DU108" s="137">
        <f>+DU101/DU67*100</f>
        <v>13.648231663897462</v>
      </c>
      <c r="DV108" s="98">
        <f>IF(ISERROR((DU108/DM108-1)*100),"NA",IF(((DU108/DM108-1)*100)&gt;100,"NM",IF(((DU108/DM108-1)*100)&lt;-50,"NM",(DU108/DM108-1)*100)))</f>
        <v>2.4259141171489862</v>
      </c>
      <c r="DW108" s="137">
        <f>+DW101/DW67*100</f>
        <v>13.338105464089717</v>
      </c>
      <c r="DX108" s="98">
        <f>IF(ISERROR((DW108/DO108-1)*100),"NA",IF(((DW108/DO108-1)*100)&gt;100,"NM",IF(((DW108/DO108-1)*100)&lt;-50,"NM",(DW108/DO108-1)*100)))</f>
        <v>0.3092852567504023</v>
      </c>
      <c r="DY108" s="137">
        <f>+DY101/DY67*100</f>
        <v>14.379402477532183</v>
      </c>
      <c r="DZ108" s="98">
        <f>IF(ISERROR((DY108/DQ108-1)*100),"NA",IF(((DY108/DQ108-1)*100)&gt;100,"NM",IF(((DY108/DQ108-1)*100)&lt;-50,"NM",(DY108/DQ108-1)*100)))</f>
        <v>9.9471413535034969E-2</v>
      </c>
      <c r="EA108" s="137">
        <f>+EA101/EA67*100</f>
        <v>13.764813126709207</v>
      </c>
      <c r="EB108" s="98">
        <f>IF(ISERROR((EA108/DS108-1)*100),"NA",IF(((EA108/DS108-1)*100)&gt;100,"NM",IF(((EA108/DS108-1)*100)&lt;-50,"NM",(EA108/DS108-1)*100)))</f>
        <v>2.7853921797984738</v>
      </c>
      <c r="EC108" s="137">
        <f>+EC101/EC67*100</f>
        <v>13.333333333333334</v>
      </c>
      <c r="ED108" s="98">
        <f>IF(ISERROR((EC108/DU108-1)*100),"NA",IF(((EC108/DU108-1)*100)&gt;100,"NM",IF(((EC108/DU108-1)*100)&lt;-50,"NM",(EC108/DU108-1)*100)))</f>
        <v>-2.3072463768116003</v>
      </c>
      <c r="EE108" s="137">
        <f>+EE101/EE67*100</f>
        <v>13.214039917412251</v>
      </c>
      <c r="EF108" s="860">
        <f>IF(ISERROR((EE108/DW108-1)*100),"NA",IF(((EE108/DW108-1)*100)&gt;100,"NM",IF(((EE108/DW108-1)*100)&lt;-50,"NM",(EE108/DW108-1)*100)))</f>
        <v>-0.93015868716503913</v>
      </c>
      <c r="EG108" s="137">
        <f>+EG101/EG67*100</f>
        <v>13.831515432815038</v>
      </c>
      <c r="EH108" s="860">
        <f>IF(ISERROR((EG108/DY108-1)*100),"NA",IF(((EG108/DY108-1)*100)&gt;100,"NM",IF(((EG108/DY108-1)*100)&lt;-50,"NM",(EG108/DY108-1)*100)))</f>
        <v>-3.8102212214535247</v>
      </c>
      <c r="EI108" s="137">
        <f>+EI101/EI67*100</f>
        <v>12.693565976008724</v>
      </c>
      <c r="EJ108" s="860">
        <f t="shared" ref="EJ108" si="501">IF(ISERROR((EI108/EA108-1)*100),"NA",IF(((EI108/EA108-1)*100)&gt;100,"NM",IF(((EI108/EA108-1)*100)&lt;-50,"NM",(EI108/EA108-1)*100)))</f>
        <v>-7.7825041345591313</v>
      </c>
      <c r="EK108" s="137">
        <f>+EK101/EK67*100</f>
        <v>12.784471218206159</v>
      </c>
      <c r="EL108" s="860">
        <f t="shared" ref="EL108" si="502">IF(ISERROR((EK108/EC108-1)*100),"NA",IF(((EK108/EC108-1)*100)&gt;100,"NM",IF(((EK108/EC108-1)*100)&lt;-50,"NM",(EK108/EC108-1)*100)))</f>
        <v>-4.1164658634538114</v>
      </c>
      <c r="EM108" s="137">
        <f>+EM101/EM67*100</f>
        <v>13.285910968334097</v>
      </c>
      <c r="EN108" s="860">
        <f t="shared" ref="EN108" si="503">IF(ISERROR((EM108/EE108-1)*100),"NA",IF(((EM108/EE108-1)*100)&gt;100,"NM",IF(((EM108/EE108-1)*100)&lt;-50,"NM",(EM108/EE108-1)*100)))</f>
        <v>0.54389915098667085</v>
      </c>
      <c r="EO108" s="137">
        <f>+EO101/EO67*100</f>
        <v>13.264840182648403</v>
      </c>
      <c r="EP108" s="98">
        <f t="shared" ref="EP108" si="504">IF(ISERROR((EO108/EG108-1)*100),"NA",IF(((EO108/EG108-1)*100)&gt;100,"NM",IF(((EO108/EG108-1)*100)&lt;-50,"NM",(EO108/EG108-1)*100)))</f>
        <v>-4.0969859949128047</v>
      </c>
      <c r="EQ108" s="1040">
        <f>EO108-0.2</f>
        <v>13.064840182648403</v>
      </c>
      <c r="ER108" s="98">
        <f t="shared" ref="ER108" si="505">IF(ISERROR((EQ108/EI108-1)*100),"NA",IF(((EQ108/EI108-1)*100)&gt;100,"NM",IF(((EQ108/EI108-1)*100)&lt;-50,"NM",(EQ108/EI108-1)*100)))</f>
        <v>2.924900751620152</v>
      </c>
      <c r="ES108" s="1040">
        <f t="shared" ref="ES108" si="506">EQ108</f>
        <v>13.064840182648403</v>
      </c>
      <c r="ET108" s="98">
        <f t="shared" ref="ET108" si="507">IF(ISERROR((ES108/EK108-1)*100),"NA",IF(((ES108/EK108-1)*100)&gt;100,"NM",IF(((ES108/EK108-1)*100)&lt;-50,"NM",(ES108/EK108-1)*100)))</f>
        <v>2.193043104066561</v>
      </c>
      <c r="EU108" s="1040">
        <f t="shared" ref="EU108" si="508">ES108</f>
        <v>13.064840182648403</v>
      </c>
      <c r="EV108" s="98">
        <f t="shared" ref="EV108" si="509">IF(ISERROR((EU108/EM108-1)*100),"NA",IF(((EU108/EM108-1)*100)&gt;100,"NM",IF(((EU108/EM108-1)*100)&lt;-50,"NM",(EU108/EM108-1)*100)))</f>
        <v>-1.6639490224840237</v>
      </c>
      <c r="EW108" s="1040">
        <f t="shared" ref="EW108" si="510">EU108</f>
        <v>13.064840182648403</v>
      </c>
      <c r="EX108" s="98">
        <f t="shared" ref="EX108" si="511">IF(ISERROR((EW108/EO108-1)*100),"NA",IF(((EW108/EO108-1)*100)&gt;100,"NM",IF(((EW108/EO108-1)*100)&lt;-50,"NM",(EW108/EO108-1)*100)))</f>
        <v>-1.5077452667814017</v>
      </c>
      <c r="EY108" s="138"/>
      <c r="EZ108" s="594"/>
      <c r="FA108" s="405"/>
      <c r="FB108" s="137"/>
      <c r="FC108" s="98"/>
      <c r="FD108" s="137"/>
      <c r="FE108" s="98"/>
      <c r="FF108" s="125"/>
      <c r="FG108" s="98"/>
      <c r="FH108" s="125"/>
      <c r="FI108" s="98"/>
      <c r="FJ108" s="125"/>
      <c r="FK108" s="98"/>
      <c r="FL108" s="125"/>
      <c r="FM108" s="98"/>
      <c r="FN108" s="125"/>
      <c r="FO108" s="98"/>
      <c r="FP108" s="125"/>
      <c r="FQ108" s="98"/>
      <c r="FR108" s="139"/>
      <c r="FS108" s="120"/>
      <c r="FT108" s="139"/>
      <c r="FU108" s="120"/>
      <c r="FV108" s="137"/>
      <c r="FW108" s="98"/>
      <c r="FX108" s="490"/>
      <c r="FY108" s="98"/>
      <c r="FZ108" s="139"/>
      <c r="GA108" s="98"/>
      <c r="GB108" s="490">
        <f>+GB101/GB67*100</f>
        <v>13.132580510246758</v>
      </c>
      <c r="GC108" s="98" t="str">
        <f>IF(ISERROR((GB108/FZ108-1)*100),"NA",IF(((GB108/FZ108-1)*100)&gt;100,"NM",IF(((GB108/FZ108-1)*100)&lt;-50,"NM",(GB108/FZ108-1)*100)))</f>
        <v>NA</v>
      </c>
      <c r="GD108" s="139">
        <f>+GD101/GD67*100</f>
        <v>13.328799727983679</v>
      </c>
      <c r="GE108" s="98">
        <f>IF(ISERROR((GD108/GB108-1)*100),"NA",IF(((GD108/GB108-1)*100)&gt;100,"NM",IF(((GD108/GB108-1)*100)&lt;-50,"NM",(GD108/GB108-1)*100)))</f>
        <v>1.4941406038502469</v>
      </c>
      <c r="GF108" s="139">
        <f>+GF101/GF67*100</f>
        <v>13.068306611025699</v>
      </c>
      <c r="GG108" s="98">
        <f>IF(ISERROR((GF108/GD108-1)*100),"NA",IF(((GF108/GD108-1)*100)&gt;100,"NM",IF(((GF108/GD108-1)*100)&lt;-50,"NM",(GF108/GD108-1)*100)))</f>
        <v>-1.9543629004423968</v>
      </c>
      <c r="GH108" s="139">
        <f>+GH101/GH67*100</f>
        <v>13.553962900505903</v>
      </c>
      <c r="GI108" s="98">
        <f>IF(ISERROR((GH108/GF108-1)*100),"NA",IF(((GH108/GF108-1)*100)&gt;100,"NM",IF(((GH108/GF108-1)*100)&lt;-50,"NM",(GH108/GF108-1)*100)))</f>
        <v>3.7162909008459977</v>
      </c>
      <c r="GJ108" s="139">
        <f>+GJ101/GJ67*100</f>
        <v>13.685782556750297</v>
      </c>
      <c r="GK108" s="98">
        <f>IF(ISERROR((GJ108/GH108-1)*100),"NA",IF(((GJ108/GH108-1)*100)&gt;100,"NM",IF(((GJ108/GH108-1)*100)&lt;-50,"NM",(GJ108/GH108-1)*100)))</f>
        <v>0.97255435338010621</v>
      </c>
      <c r="GL108" s="139">
        <f>+GL101/GL67*100</f>
        <v>13.535214498738243</v>
      </c>
      <c r="GM108" s="98">
        <f>IF(ISERROR((GL108/GJ108-1)*100),"NA",IF(((GL108/GJ108-1)*100)&gt;100,"NM",IF(((GL108/GJ108-1)*100)&lt;-50,"NM",(GL108/GJ108-1)*100)))</f>
        <v>-1.1001786517336409</v>
      </c>
      <c r="GN108" s="139">
        <f>+GN101/GN67*100</f>
        <v>13.001965739960685</v>
      </c>
      <c r="GO108" s="98">
        <f>IF(ISERROR((GN108/GL108-1)*100),"NA",IF(((GN108/GL108-1)*100)&gt;100,"NM",IF(((GN108/GL108-1)*100)&lt;-50,"NM",(GN108/GL108-1)*100)))</f>
        <v>-3.9397141347650488</v>
      </c>
      <c r="GP108" s="139">
        <f>+GP101/GP67*100</f>
        <v>13.064840182648402</v>
      </c>
      <c r="GQ108" s="98">
        <f>IF(ISERROR((GP108/GN108-1)*100),"NA",IF(((GP108/GN108-1)*100)&gt;100,"NM",IF(((GP108/GN108-1)*100)&lt;-50,"NM",(GP108/GN108-1)*100)))</f>
        <v>0.48357643717269472</v>
      </c>
      <c r="GR108" s="138">
        <v>13</v>
      </c>
      <c r="GS108" s="98">
        <f>IF(ISERROR((GR108/GP108-1)*100),"NA",IF(((GR108/GP108-1)*100)&gt;100,"NM",IF(((GR108/GP108-1)*100)&lt;-50,"NM",(GR108/GP108-1)*100)))</f>
        <v>-0.49629526072976216</v>
      </c>
      <c r="GT108" s="138">
        <f>GR108</f>
        <v>13</v>
      </c>
      <c r="GU108" s="98">
        <f>IF(ISERROR((GT108/GR108-1)*100),"NA",IF(((GT108/GR108-1)*100)&gt;100,"NM",IF(((GT108/GR108-1)*100)&lt;-50,"NM",(GT108/GR108-1)*100)))</f>
        <v>0</v>
      </c>
      <c r="GV108" s="138">
        <f>GT108</f>
        <v>13</v>
      </c>
      <c r="GW108" s="98">
        <f>IF(ISERROR((GV108/GT108-1)*100),"NA",IF(((GV108/GT108-1)*100)&gt;100,"NM",IF(((GV108/GT108-1)*100)&lt;-50,"NM",(GV108/GT108-1)*100)))</f>
        <v>0</v>
      </c>
      <c r="GX108" s="138">
        <f>GV108</f>
        <v>13</v>
      </c>
      <c r="GY108" s="98">
        <f>IF(ISERROR((GX108/GV108-1)*100),"NA",IF(((GX108/GV108-1)*100)&gt;100,"NM",IF(((GX108/GV108-1)*100)&lt;-50,"NM",(GX108/GV108-1)*100)))</f>
        <v>0</v>
      </c>
      <c r="GZ108" s="98">
        <f>IF(ISERROR(((GX108/GN108)^0.2-1)*100),"NA",IF((((GX108/GN108)^0.2-1)*100)&gt;100,"NM",IF((((GX108/GN108)^0.2-1)*100)&lt;-50,"NM",((GX108/GN108)^0.2-1)*100)))</f>
        <v>-3.0239409781973592E-3</v>
      </c>
      <c r="HA108" s="98"/>
      <c r="HB108" s="10"/>
      <c r="HC108"/>
      <c r="HD108"/>
      <c r="HE108"/>
      <c r="HF108"/>
      <c r="HG108"/>
      <c r="HH108"/>
      <c r="HI108" s="10"/>
    </row>
    <row r="109" spans="1:217" s="143" customFormat="1" ht="12.75" hidden="1" customHeight="1" outlineLevel="1" x14ac:dyDescent="0.2">
      <c r="B109" s="140" t="s">
        <v>212</v>
      </c>
      <c r="C109" s="144"/>
      <c r="D109" s="145"/>
      <c r="E109" s="144"/>
      <c r="F109" s="145"/>
      <c r="G109" s="144"/>
      <c r="H109" s="145"/>
      <c r="I109" s="144"/>
      <c r="J109" s="104"/>
      <c r="K109" s="144"/>
      <c r="L109" s="104"/>
      <c r="M109" s="144"/>
      <c r="N109" s="104"/>
      <c r="O109" s="144"/>
      <c r="P109" s="104"/>
      <c r="Q109" s="144"/>
      <c r="R109" s="104"/>
      <c r="S109" s="144"/>
      <c r="T109" s="104"/>
      <c r="U109" s="144"/>
      <c r="V109" s="104"/>
      <c r="W109" s="144"/>
      <c r="X109" s="104"/>
      <c r="Y109" s="144"/>
      <c r="Z109" s="104"/>
      <c r="AA109" s="144"/>
      <c r="AB109" s="104"/>
      <c r="AC109" s="144"/>
      <c r="AD109" s="104"/>
      <c r="AE109" s="144"/>
      <c r="AF109" s="104"/>
      <c r="AG109" s="144"/>
      <c r="AH109" s="104"/>
      <c r="AI109" s="144"/>
      <c r="AJ109" s="104"/>
      <c r="AK109" s="144"/>
      <c r="AL109" s="104"/>
      <c r="AM109" s="144"/>
      <c r="AN109" s="104"/>
      <c r="AO109" s="144"/>
      <c r="AP109" s="104"/>
      <c r="AQ109" s="144"/>
      <c r="AR109" s="104"/>
      <c r="AS109" s="144"/>
      <c r="AT109" s="104"/>
      <c r="AU109" s="144"/>
      <c r="AV109" s="104"/>
      <c r="AW109" s="144"/>
      <c r="AX109" s="104"/>
      <c r="AY109" s="105"/>
      <c r="AZ109" s="104"/>
      <c r="BA109" s="105"/>
      <c r="BB109" s="104"/>
      <c r="BC109" s="105"/>
      <c r="BD109" s="104"/>
      <c r="BE109" s="105"/>
      <c r="BF109" s="104"/>
      <c r="BG109" s="105"/>
      <c r="BH109" s="104"/>
      <c r="BI109" s="105"/>
      <c r="BJ109" s="104"/>
      <c r="BK109" s="105"/>
      <c r="BL109" s="104"/>
      <c r="BM109" s="105"/>
      <c r="BN109" s="104"/>
      <c r="BO109" s="105"/>
      <c r="BP109" s="104"/>
      <c r="BQ109" s="105"/>
      <c r="BR109" s="104"/>
      <c r="BS109" s="105"/>
      <c r="BT109" s="104"/>
      <c r="BU109" s="105"/>
      <c r="BV109" s="104"/>
      <c r="BW109" s="105"/>
      <c r="BX109" s="104"/>
      <c r="BY109" s="105"/>
      <c r="BZ109" s="104"/>
      <c r="CA109" s="105"/>
      <c r="CB109" s="104"/>
      <c r="CC109" s="105"/>
      <c r="CD109" s="104"/>
      <c r="CE109" s="105"/>
      <c r="CF109" s="104"/>
      <c r="CG109" s="105"/>
      <c r="CH109" s="104"/>
      <c r="CI109" s="105"/>
      <c r="CJ109" s="104"/>
      <c r="CK109" s="105"/>
      <c r="CL109" s="104"/>
      <c r="CM109" s="105"/>
      <c r="CN109" s="104"/>
      <c r="CO109" s="105"/>
      <c r="CP109" s="104"/>
      <c r="CQ109" s="522"/>
      <c r="CR109" s="104"/>
      <c r="CS109" s="105"/>
      <c r="CT109" s="104"/>
      <c r="CU109" s="105"/>
      <c r="CV109" s="104"/>
      <c r="CW109" s="105"/>
      <c r="CX109" s="104"/>
      <c r="CY109" s="105"/>
      <c r="CZ109" s="104"/>
      <c r="DA109" s="105"/>
      <c r="DB109" s="104"/>
      <c r="DC109" s="105"/>
      <c r="DD109" s="104"/>
      <c r="DE109" s="105"/>
      <c r="DF109" s="104"/>
      <c r="DG109" s="105"/>
      <c r="DH109" s="104"/>
      <c r="DI109" s="105"/>
      <c r="DJ109" s="104"/>
      <c r="DK109" s="105"/>
      <c r="DL109" s="104"/>
      <c r="DM109" s="105"/>
      <c r="DN109" s="104"/>
      <c r="DO109" s="105"/>
      <c r="DP109" s="104"/>
      <c r="DQ109" s="105"/>
      <c r="DR109" s="104"/>
      <c r="DS109" s="105"/>
      <c r="DT109" s="104"/>
      <c r="DU109" s="105"/>
      <c r="DV109" s="104"/>
      <c r="DW109" s="105"/>
      <c r="DX109" s="104"/>
      <c r="DY109" s="105"/>
      <c r="DZ109" s="104"/>
      <c r="EA109" s="105"/>
      <c r="EB109" s="104"/>
      <c r="EC109" s="105"/>
      <c r="ED109" s="104"/>
      <c r="EE109" s="105"/>
      <c r="EF109" s="1019"/>
      <c r="EG109" s="105"/>
      <c r="EH109" s="1019"/>
      <c r="EI109" s="105"/>
      <c r="EJ109" s="1019"/>
      <c r="EK109" s="105"/>
      <c r="EL109" s="1019"/>
      <c r="EM109" s="105"/>
      <c r="EN109" s="1019"/>
      <c r="EO109" s="105"/>
      <c r="EP109" s="104"/>
      <c r="EQ109" s="1018">
        <f>IF($B$6=1,EQ108,IF($B$6=2,EQ108+#REF!,IF($B$6=3,EQ108+#REF!)))</f>
        <v>13.064840182648403</v>
      </c>
      <c r="ER109" s="104"/>
      <c r="ES109" s="1018">
        <f>IF($B$6=1,ES108,IF($B$6=2,ES108+#REF!,IF($B$6=3,ES108+#REF!)))</f>
        <v>13.064840182648403</v>
      </c>
      <c r="ET109" s="104"/>
      <c r="EU109" s="1018">
        <f>IF($B$6=1,EU108,IF($B$6=2,EU108+#REF!,IF($B$6=3,EU108+#REF!)))</f>
        <v>13.064840182648403</v>
      </c>
      <c r="EV109" s="104"/>
      <c r="EW109" s="1018">
        <f>IF($B$6=1,EW108,IF($B$6=2,EW108+#REF!,IF($B$6=3,EW108+#REF!)))</f>
        <v>13.064840182648403</v>
      </c>
      <c r="EX109" s="104"/>
      <c r="EY109" s="141"/>
      <c r="EZ109" s="595"/>
      <c r="FA109" s="406"/>
      <c r="FB109" s="144"/>
      <c r="FC109" s="145"/>
      <c r="FD109" s="144"/>
      <c r="FE109" s="145"/>
      <c r="FF109" s="146"/>
      <c r="FG109" s="145"/>
      <c r="FH109" s="146"/>
      <c r="FI109" s="145"/>
      <c r="FJ109" s="146"/>
      <c r="FK109" s="145"/>
      <c r="FL109" s="146"/>
      <c r="FM109" s="145"/>
      <c r="FN109" s="146"/>
      <c r="FO109" s="145"/>
      <c r="FP109" s="146"/>
      <c r="FQ109" s="145"/>
      <c r="FR109" s="146"/>
      <c r="FS109" s="147"/>
      <c r="FT109" s="146"/>
      <c r="FU109" s="147"/>
      <c r="FV109" s="146"/>
      <c r="FW109" s="104"/>
      <c r="FX109" s="492"/>
      <c r="FY109" s="104"/>
      <c r="FZ109" s="146"/>
      <c r="GA109" s="104"/>
      <c r="GB109" s="492"/>
      <c r="GC109" s="104"/>
      <c r="GD109" s="146"/>
      <c r="GE109" s="104"/>
      <c r="GF109" s="146"/>
      <c r="GG109" s="104"/>
      <c r="GH109" s="146"/>
      <c r="GI109" s="98" t="str">
        <f>IF(ISERROR((GH109/GF109-1)*100),"NA",IF(((GH109/GF109-1)*100)&gt;100,"NM",IF(((GH109/GF109-1)*100)&lt;-50,"NM",(GH109/GF109-1)*100)))</f>
        <v>NA</v>
      </c>
      <c r="GJ109" s="146"/>
      <c r="GK109" s="98" t="str">
        <f>IF(ISERROR((GJ109/GH109-1)*100),"NA",IF(((GJ109/GH109-1)*100)&gt;100,"NM",IF(((GJ109/GH109-1)*100)&lt;-50,"NM",(GJ109/GH109-1)*100)))</f>
        <v>NA</v>
      </c>
      <c r="GL109" s="146"/>
      <c r="GM109" s="98" t="str">
        <f>IF(ISERROR((GL109/GJ109-1)*100),"NA",IF(((GL109/GJ109-1)*100)&gt;100,"NM",IF(((GL109/GJ109-1)*100)&lt;-50,"NM",(GL109/GJ109-1)*100)))</f>
        <v>NA</v>
      </c>
      <c r="GN109" s="146"/>
      <c r="GO109" s="98" t="str">
        <f>IF(ISERROR((GN109/GL109-1)*100),"NA",IF(((GN109/GL109-1)*100)&gt;100,"NM",IF(((GN109/GL109-1)*100)&lt;-50,"NM",(GN109/GL109-1)*100)))</f>
        <v>NA</v>
      </c>
      <c r="GP109" s="146"/>
      <c r="GQ109" s="98" t="str">
        <f>IF(ISERROR((GP109/GN109-1)*100),"NA",IF(((GP109/GN109-1)*100)&gt;100,"NM",IF(((GP109/GN109-1)*100)&lt;-50,"NM",(GP109/GN109-1)*100)))</f>
        <v>NA</v>
      </c>
      <c r="GR109" s="141">
        <f>IF($B$6=1,GR108,IF($B$6=2,GR108+#REF!,IF($B$6=3,GR108+#REF!)))</f>
        <v>13</v>
      </c>
      <c r="GS109" s="98" t="str">
        <f>IF(ISERROR((GR109/GP109-1)*100),"NA",IF(((GR109/GP109-1)*100)&gt;100,"NM",IF(((GR109/GP109-1)*100)&lt;-50,"NM",(GR109/GP109-1)*100)))</f>
        <v>NA</v>
      </c>
      <c r="GT109" s="141">
        <f>IF($B$6=1,GT108,IF($B$6=2,GT108+#REF!,IF($B$6=3,GT108+#REF!)))</f>
        <v>13</v>
      </c>
      <c r="GU109" s="98">
        <f>IF(ISERROR((GT109/GR109-1)*100),"NA",IF(((GT109/GR109-1)*100)&gt;100,"NM",IF(((GT109/GR109-1)*100)&lt;-50,"NM",(GT109/GR109-1)*100)))</f>
        <v>0</v>
      </c>
      <c r="GV109" s="141">
        <f>IF($B$6=1,GV108,IF($B$6=2,GV108+#REF!,IF($B$6=3,GV108+#REF!)))</f>
        <v>13</v>
      </c>
      <c r="GW109" s="98">
        <f>IF(ISERROR((GV109/GT109-1)*100),"NA",IF(((GV109/GT109-1)*100)&gt;100,"NM",IF(((GV109/GT109-1)*100)&lt;-50,"NM",(GV109/GT109-1)*100)))</f>
        <v>0</v>
      </c>
      <c r="GX109" s="141">
        <f>IF($B$6=1,GX108,IF($B$6=2,GX108+#REF!,IF($B$6=3,GX108+#REF!)))</f>
        <v>13</v>
      </c>
      <c r="GY109" s="98">
        <f>IF(ISERROR((GX109/GV109-1)*100),"NA",IF(((GX109/GV109-1)*100)&gt;100,"NM",IF(((GX109/GV109-1)*100)&lt;-50,"NM",(GX109/GV109-1)*100)))</f>
        <v>0</v>
      </c>
      <c r="GZ109" s="104"/>
      <c r="HA109" s="104"/>
      <c r="HB109" s="111"/>
      <c r="HC109"/>
      <c r="HD109"/>
      <c r="HE109"/>
      <c r="HF109"/>
      <c r="HG109"/>
      <c r="HH109"/>
      <c r="HI109" s="111"/>
    </row>
    <row r="110" spans="1:217" s="2" customFormat="1" ht="12.75" customHeight="1" collapsed="1" x14ac:dyDescent="0.2">
      <c r="B110" s="91" t="s">
        <v>323</v>
      </c>
      <c r="C110" s="94"/>
      <c r="D110" s="92"/>
      <c r="E110" s="94"/>
      <c r="F110" s="92"/>
      <c r="G110" s="94"/>
      <c r="H110" s="92"/>
      <c r="I110" s="94"/>
      <c r="J110" s="98"/>
      <c r="K110" s="94"/>
      <c r="L110" s="98"/>
      <c r="M110" s="94"/>
      <c r="N110" s="98"/>
      <c r="O110" s="94"/>
      <c r="P110" s="98"/>
      <c r="Q110" s="94"/>
      <c r="R110" s="98"/>
      <c r="S110" s="94"/>
      <c r="T110" s="98"/>
      <c r="U110" s="94"/>
      <c r="V110" s="98"/>
      <c r="W110" s="94"/>
      <c r="X110" s="98"/>
      <c r="Y110" s="94"/>
      <c r="Z110" s="98"/>
      <c r="AA110" s="94"/>
      <c r="AB110" s="98"/>
      <c r="AC110" s="94"/>
      <c r="AD110" s="98"/>
      <c r="AE110" s="94"/>
      <c r="AF110" s="98"/>
      <c r="AG110" s="94"/>
      <c r="AH110" s="98"/>
      <c r="AI110" s="94"/>
      <c r="AJ110" s="98"/>
      <c r="AK110" s="94"/>
      <c r="AL110" s="98"/>
      <c r="AM110" s="94"/>
      <c r="AN110" s="98"/>
      <c r="AO110" s="94"/>
      <c r="AP110" s="98"/>
      <c r="AQ110" s="94"/>
      <c r="AR110" s="98"/>
      <c r="AS110" s="94"/>
      <c r="AT110" s="98"/>
      <c r="AU110" s="94"/>
      <c r="AV110" s="98"/>
      <c r="AW110" s="94"/>
      <c r="AX110" s="98"/>
      <c r="AY110" s="94"/>
      <c r="AZ110" s="98"/>
      <c r="BA110" s="94"/>
      <c r="BB110" s="98"/>
      <c r="BC110" s="94"/>
      <c r="BD110" s="98"/>
      <c r="BE110" s="94"/>
      <c r="BF110" s="98"/>
      <c r="BG110" s="94"/>
      <c r="BH110" s="98"/>
      <c r="BI110" s="94"/>
      <c r="BJ110" s="98"/>
      <c r="BK110" s="94"/>
      <c r="BL110" s="98"/>
      <c r="BM110" s="94"/>
      <c r="BN110" s="98"/>
      <c r="BO110" s="94"/>
      <c r="BP110" s="98"/>
      <c r="BQ110" s="94"/>
      <c r="BR110" s="98"/>
      <c r="BS110" s="94"/>
      <c r="BT110" s="98"/>
      <c r="BU110" s="94"/>
      <c r="BV110" s="98"/>
      <c r="BW110" s="94"/>
      <c r="BX110" s="98"/>
      <c r="BY110" s="94"/>
      <c r="BZ110" s="98"/>
      <c r="CA110" s="94"/>
      <c r="CB110" s="98"/>
      <c r="CC110" s="94"/>
      <c r="CD110" s="98"/>
      <c r="CE110" s="94"/>
      <c r="CF110" s="98"/>
      <c r="CG110" s="94"/>
      <c r="CH110" s="98"/>
      <c r="CI110" s="94"/>
      <c r="CJ110" s="98"/>
      <c r="CK110" s="94"/>
      <c r="CL110" s="98"/>
      <c r="CM110" s="94"/>
      <c r="CN110" s="98"/>
      <c r="CO110" s="94"/>
      <c r="CP110" s="98"/>
      <c r="CQ110" s="494">
        <f>CQ100/(CQ61+CQ62)*100</f>
        <v>92.451253481894142</v>
      </c>
      <c r="CR110" s="98"/>
      <c r="CS110" s="137">
        <f>CS100/(CS61+CS62)*100</f>
        <v>88.048245614035096</v>
      </c>
      <c r="CT110" s="98"/>
      <c r="CU110" s="137">
        <f>CU100/(CU61+CU62)*100</f>
        <v>88.323113836310313</v>
      </c>
      <c r="CV110" s="98"/>
      <c r="CW110" s="137">
        <f>CW100/(CW61+CW62)*100</f>
        <v>88.123700623700614</v>
      </c>
      <c r="CX110" s="98"/>
      <c r="CY110" s="137">
        <f>CY100/(CY61+CY62)*100</f>
        <v>88.007144679765247</v>
      </c>
      <c r="CZ110" s="98"/>
      <c r="DA110" s="137">
        <f>DA100/(DA61+DA62)*100</f>
        <v>89.842559674961905</v>
      </c>
      <c r="DB110" s="98"/>
      <c r="DC110" s="137">
        <f>DC100/(DC61+DC62)*100</f>
        <v>89.787863838184506</v>
      </c>
      <c r="DD110" s="98"/>
      <c r="DE110" s="137">
        <f>DE100/(DE61+DE62)*100</f>
        <v>88.58079153012352</v>
      </c>
      <c r="DF110" s="98"/>
      <c r="DG110" s="137">
        <f>DG100/(DG61+DG62)*100</f>
        <v>89.563230066023351</v>
      </c>
      <c r="DH110" s="98"/>
      <c r="DI110" s="137">
        <f>DI100/(DI61+DI62)*100</f>
        <v>89.117868811259115</v>
      </c>
      <c r="DJ110" s="98"/>
      <c r="DK110" s="137">
        <f>DK100/(DK61+DK62)*100</f>
        <v>90.476190476190482</v>
      </c>
      <c r="DL110" s="98"/>
      <c r="DM110" s="137">
        <f>DM100/(DM61+DM62)*100</f>
        <v>89.808011377103583</v>
      </c>
      <c r="DN110" s="98">
        <f t="shared" ref="DN110:DZ110" si="512">IF(ISERROR((DM110/DE110-1)*100),"NA",IF(((DM110/DE110-1)*100)&gt;100,"NM",IF(((DM110/DE110-1)*100)&lt;-50,"NM",(DM110/DE110-1)*100)))</f>
        <v>1.3854243406288935</v>
      </c>
      <c r="DO110" s="137">
        <f>DO100/(DO61+DO62)*100</f>
        <v>88.997613365155132</v>
      </c>
      <c r="DP110" s="98">
        <f t="shared" si="512"/>
        <v>-0.63152780493876959</v>
      </c>
      <c r="DQ110" s="137">
        <f>DQ100/(DQ61+DQ62)*100</f>
        <v>87.606525444363285</v>
      </c>
      <c r="DR110" s="98">
        <f t="shared" si="512"/>
        <v>-1.6958926274333042</v>
      </c>
      <c r="DS110" s="137">
        <f>DS100/(DS61+DS62)*100</f>
        <v>88.981941900026172</v>
      </c>
      <c r="DT110" s="98">
        <f t="shared" si="512"/>
        <v>-1.6515378999710784</v>
      </c>
      <c r="DU110" s="137">
        <f>DU100/(DU61+DU62)*100</f>
        <v>87.710084033613441</v>
      </c>
      <c r="DV110" s="98">
        <f t="shared" si="512"/>
        <v>-2.3360135819965433</v>
      </c>
      <c r="DW110" s="137">
        <f>DW100/(DW61+DW62)*100</f>
        <v>87.476931189032427</v>
      </c>
      <c r="DX110" s="98">
        <f t="shared" si="512"/>
        <v>-1.7086774786683079</v>
      </c>
      <c r="DY110" s="137">
        <f>DY100/(DY61+DY62)*100</f>
        <v>86.918138041733556</v>
      </c>
      <c r="DZ110" s="98">
        <f t="shared" si="512"/>
        <v>-0.78577183507512194</v>
      </c>
      <c r="EA110" s="137">
        <f>EA100/(EA61+EA62)*100</f>
        <v>88.235294117647058</v>
      </c>
      <c r="EB110" s="98">
        <f t="shared" ref="EB110" si="513">IF(ISERROR((EA110/DS110-1)*100),"NA",IF(((EA110/DS110-1)*100)&gt;100,"NM",IF(((EA110/DS110-1)*100)&lt;-50,"NM",(EA110/DS110-1)*100)))</f>
        <v>-0.83910034602076022</v>
      </c>
      <c r="EC110" s="137">
        <f>EC100/(EC61+EC62)*100</f>
        <v>87.22389558232932</v>
      </c>
      <c r="ED110" s="98">
        <f t="shared" ref="ED110" si="514">IF(ISERROR((EC110/DU110-1)*100),"NA",IF(((EC110/DU110-1)*100)&gt;100,"NM",IF(((EC110/DU110-1)*100)&lt;-50,"NM",(EC110/DU110-1)*100)))</f>
        <v>-0.55431306062573293</v>
      </c>
      <c r="EE110" s="137">
        <f>EE100/(EE61+EE62)*100</f>
        <v>87.77325876970005</v>
      </c>
      <c r="EF110" s="860">
        <f t="shared" ref="EF110" si="515">IF(ISERROR((EE110/DW110-1)*100),"NA",IF(((EE110/DW110-1)*100)&gt;100,"NM",IF(((EE110/DW110-1)*100)&lt;-50,"NM",(EE110/DW110-1)*100)))</f>
        <v>0.3387494012876191</v>
      </c>
      <c r="EG110" s="137">
        <f>EG100/(EG61+EG62)*100</f>
        <v>86.925434116445359</v>
      </c>
      <c r="EH110" s="860">
        <f t="shared" ref="EH110" si="516">IF(ISERROR((EG110/DY110-1)*100),"NA",IF(((EG110/DY110-1)*100)&gt;100,"NM",IF(((EG110/DY110-1)*100)&lt;-50,"NM",(EG110/DY110-1)*100)))</f>
        <v>8.3941912196738855E-3</v>
      </c>
      <c r="EI110" s="137">
        <f>EI100/(EI61+EI62)*100</f>
        <v>87.904191616766468</v>
      </c>
      <c r="EJ110" s="860">
        <f t="shared" ref="EJ110" si="517">IF(ISERROR((EI110/EA110-1)*100),"NA",IF(((EI110/EA110-1)*100)&gt;100,"NM",IF(((EI110/EA110-1)*100)&lt;-50,"NM",(EI110/EA110-1)*100)))</f>
        <v>-0.37524950099799836</v>
      </c>
      <c r="EK110" s="137">
        <f>EK100/(EK61+EK62)*100</f>
        <v>87.254901960784309</v>
      </c>
      <c r="EL110" s="860">
        <f t="shared" ref="EL110" si="518">IF(ISERROR((EK110/EC110-1)*100),"NA",IF(((EK110/EC110-1)*100)&gt;100,"NM",IF(((EK110/EC110-1)*100)&lt;-50,"NM",(EK110/EC110-1)*100)))</f>
        <v>3.5548032162502352E-2</v>
      </c>
      <c r="EM110" s="137">
        <f>EM100/(EM61+EM62)*100</f>
        <v>85.352896534277761</v>
      </c>
      <c r="EN110" s="860">
        <f t="shared" ref="EN110" si="519">IF(ISERROR((EM110/EE110-1)*100),"NA",IF(((EM110/EE110-1)*100)&gt;100,"NM",IF(((EM110/EE110-1)*100)&lt;-50,"NM",(EM110/EE110-1)*100)))</f>
        <v>-2.757516662076831</v>
      </c>
      <c r="EO110" s="137">
        <f>EO100/(EO61+EO62)*100</f>
        <v>85.796882855706386</v>
      </c>
      <c r="EP110" s="98">
        <f t="shared" ref="EP110" si="520">IF(ISERROR((EO110/EG110-1)*100),"NA",IF(((EO110/EG110-1)*100)&gt;100,"NM",IF(((EO110/EG110-1)*100)&lt;-50,"NM",(EO110/EG110-1)*100)))</f>
        <v>-1.2982981013671568</v>
      </c>
      <c r="EQ110" s="1033">
        <f t="shared" ref="EQ110" si="521">EQ100/(EQ61+EQ62)*100</f>
        <v>86.465548053353487</v>
      </c>
      <c r="ER110" s="98">
        <f t="shared" ref="ER110" si="522">IF(ISERROR((EQ110/EI110-1)*100),"NA",IF(((EQ110/EI110-1)*100)&gt;100,"NM",IF(((EQ110/EI110-1)*100)&lt;-50,"NM",(EQ110/EI110-1)*100)))</f>
        <v>-1.6366040537463711</v>
      </c>
      <c r="ES110" s="1033">
        <f t="shared" ref="ES110" si="523">ES100/(ES61+ES62)*100</f>
        <v>86.119995686613109</v>
      </c>
      <c r="ET110" s="98">
        <f t="shared" ref="ET110" si="524">IF(ISERROR((ES110/EK110-1)*100),"NA",IF(((ES110/EK110-1)*100)&gt;100,"NM",IF(((ES110/EK110-1)*100)&lt;-50,"NM",(ES110/EK110-1)*100)))</f>
        <v>-1.3006791007355356</v>
      </c>
      <c r="EU110" s="1033">
        <f t="shared" ref="EU110" si="525">EU100/(EU61+EU62)*100</f>
        <v>85.797064688762021</v>
      </c>
      <c r="EV110" s="98">
        <f t="shared" ref="EV110" si="526">IF(ISERROR((EU110/EM110-1)*100),"NA",IF(((EU110/EM110-1)*100)&gt;100,"NM",IF(((EU110/EM110-1)*100)&lt;-50,"NM",(EU110/EM110-1)*100)))</f>
        <v>0.5203902533124749</v>
      </c>
      <c r="EW110" s="1033">
        <f t="shared" ref="EW110" si="527">EW100/(EW61+EW62)*100</f>
        <v>85.657968121831914</v>
      </c>
      <c r="EX110" s="98">
        <f t="shared" ref="EX110" si="528">IF(ISERROR((EW110/EO110-1)*100),"NA",IF(((EW110/EO110-1)*100)&gt;100,"NM",IF(((EW110/EO110-1)*100)&lt;-50,"NM",(EW110/EO110-1)*100)))</f>
        <v>-0.16191116652582993</v>
      </c>
      <c r="EY110" s="95"/>
      <c r="EZ110" s="594"/>
      <c r="FA110" s="405"/>
      <c r="FB110" s="94"/>
      <c r="FC110" s="92"/>
      <c r="FD110" s="94"/>
      <c r="FE110" s="92"/>
      <c r="FF110" s="95"/>
      <c r="FG110" s="92"/>
      <c r="FH110" s="95"/>
      <c r="FI110" s="92"/>
      <c r="FJ110" s="95"/>
      <c r="FK110" s="92"/>
      <c r="FL110" s="95"/>
      <c r="FM110" s="92"/>
      <c r="FN110" s="95"/>
      <c r="FO110" s="92"/>
      <c r="FP110" s="95"/>
      <c r="FQ110" s="92"/>
      <c r="FR110" s="96"/>
      <c r="FS110" s="97"/>
      <c r="FT110" s="96"/>
      <c r="FU110" s="97"/>
      <c r="FV110" s="96"/>
      <c r="FW110" s="98"/>
      <c r="FX110" s="480"/>
      <c r="FY110" s="98"/>
      <c r="FZ110" s="96"/>
      <c r="GA110" s="98"/>
      <c r="GB110" s="494">
        <f>GB100/(GB61+GB62)*100</f>
        <v>89.272240894437203</v>
      </c>
      <c r="GC110" s="98"/>
      <c r="GD110" s="137">
        <f>GD100/(GD61+GD62)*100</f>
        <v>88.580486542443055</v>
      </c>
      <c r="GE110" s="98"/>
      <c r="GF110" s="137">
        <f>GF100/(GF61+GF62)*100</f>
        <v>89.264650520767972</v>
      </c>
      <c r="GG110" s="98"/>
      <c r="GH110" s="137">
        <f>GH100/(GH61+GH62)*100</f>
        <v>89.230308475591485</v>
      </c>
      <c r="GI110" s="98">
        <f>IF(ISERROR((GH110/GF110-1)*100),"NA",IF(((GH110/GF110-1)*100)&gt;100,"NM",IF(((GH110/GF110-1)*100)&lt;-50,"NM",(GH110/GF110-1)*100)))</f>
        <v>-3.8472166726843948E-2</v>
      </c>
      <c r="GJ110" s="137">
        <f>GJ100/(GJ61+GJ62)*100</f>
        <v>87.777044854881268</v>
      </c>
      <c r="GK110" s="98">
        <f>IF(ISERROR((GJ110/GH110-1)*100),"NA",IF(((GJ110/GH110-1)*100)&gt;100,"NM",IF(((GJ110/GH110-1)*100)&lt;-50,"NM",(GJ110/GH110-1)*100)))</f>
        <v>-1.6286659158056715</v>
      </c>
      <c r="GL110" s="137">
        <f>GL100/(GL61+GL62)*100</f>
        <v>87.541853559921663</v>
      </c>
      <c r="GM110" s="98">
        <f>IF(ISERROR((GL110/GJ110-1)*100),"NA",IF(((GL110/GJ110-1)*100)&gt;100,"NM",IF(((GL110/GJ110-1)*100)&lt;-50,"NM",(GL110/GJ110-1)*100)))</f>
        <v>-0.26794168720128964</v>
      </c>
      <c r="GN110" s="137">
        <f>GN100/(GN61+GN62)*100</f>
        <v>86.599530458420858</v>
      </c>
      <c r="GO110" s="98">
        <f>IF(ISERROR((GN110/GL110-1)*100),"NA",IF(((GN110/GL110-1)*100)&gt;100,"NM",IF(((GN110/GL110-1)*100)&lt;-50,"NM",(GN110/GL110-1)*100)))</f>
        <v>-1.076425804550496</v>
      </c>
      <c r="GP110" s="137">
        <f>GP100/(GP61+GP62)*100</f>
        <v>86.009106838863303</v>
      </c>
      <c r="GQ110" s="98">
        <f>IF(ISERROR((GP110/GN110-1)*100),"NA",IF(((GP110/GN110-1)*100)&gt;100,"NM",IF(((GP110/GN110-1)*100)&lt;-50,"NM",(GP110/GN110-1)*100)))</f>
        <v>-0.68178616723683083</v>
      </c>
      <c r="GR110" s="137">
        <f>GR100/(GR61+GR62)*100</f>
        <v>85.792180237223477</v>
      </c>
      <c r="GS110" s="98">
        <f>IF(ISERROR((GR110/GP110-1)*100),"NA",IF(((GR110/GP110-1)*100)&gt;100,"NM",IF(((GR110/GP110-1)*100)&lt;-50,"NM",(GR110/GP110-1)*100)))</f>
        <v>-0.25221352669808628</v>
      </c>
      <c r="GT110" s="137">
        <f>GT100/(GT61+GT62)*100</f>
        <v>85.783661542323969</v>
      </c>
      <c r="GU110" s="98">
        <f>IF(ISERROR((GT110/GR110-1)*100),"NA",IF(((GT110/GR110-1)*100)&gt;100,"NM",IF(((GT110/GR110-1)*100)&lt;-50,"NM",(GT110/GR110-1)*100)))</f>
        <v>-9.9294537986516218E-3</v>
      </c>
      <c r="GV110" s="137">
        <f>GV100/(GV61+GV62)*100</f>
        <v>85.774803052101973</v>
      </c>
      <c r="GW110" s="98">
        <f>IF(ISERROR((GV110/GT110-1)*100),"NA",IF(((GV110/GT110-1)*100)&gt;100,"NM",IF(((GV110/GT110-1)*100)&lt;-50,"NM",(GV110/GT110-1)*100)))</f>
        <v>-1.0326547110173223E-2</v>
      </c>
      <c r="GX110" s="137">
        <f>GX100/(GX61+GX62)*100</f>
        <v>85.76586761803469</v>
      </c>
      <c r="GY110" s="98">
        <f>IF(ISERROR((GX110/GV110-1)*100),"NA",IF(((GX110/GV110-1)*100)&gt;100,"NM",IF(((GX110/GV110-1)*100)&lt;-50,"NM",(GX110/GV110-1)*100)))</f>
        <v>-1.0417318080990778E-2</v>
      </c>
      <c r="GZ110" s="98">
        <f>IF(ISERROR(((GX110/GN110)^0.2-1)*100),"NA",IF((((GX110/GN110)^0.2-1)*100)&gt;100,"NM",IF((((GX110/GN110)^0.2-1)*100)&lt;-50,"NM",((GX110/GN110)^0.2-1)*100)))</f>
        <v>-0.19327856715182223</v>
      </c>
      <c r="HA110" s="98"/>
      <c r="HB110" s="10"/>
      <c r="HC110"/>
      <c r="HD110"/>
      <c r="HE110"/>
      <c r="HF110"/>
      <c r="HG110"/>
      <c r="HH110"/>
      <c r="HI110" s="10"/>
    </row>
    <row r="111" spans="1:217" s="2" customFormat="1" ht="12.75" customHeight="1" x14ac:dyDescent="0.2">
      <c r="B111" s="91"/>
      <c r="C111" s="94"/>
      <c r="D111" s="92"/>
      <c r="E111" s="94"/>
      <c r="F111" s="92"/>
      <c r="G111" s="94"/>
      <c r="H111" s="92"/>
      <c r="I111" s="94"/>
      <c r="J111" s="98"/>
      <c r="K111" s="94"/>
      <c r="L111" s="98"/>
      <c r="M111" s="94"/>
      <c r="N111" s="98"/>
      <c r="O111" s="94"/>
      <c r="P111" s="98"/>
      <c r="Q111" s="94"/>
      <c r="R111" s="98"/>
      <c r="S111" s="94"/>
      <c r="T111" s="98"/>
      <c r="U111" s="94"/>
      <c r="V111" s="98"/>
      <c r="W111" s="94"/>
      <c r="X111" s="98"/>
      <c r="Y111" s="94"/>
      <c r="Z111" s="98"/>
      <c r="AA111" s="94"/>
      <c r="AB111" s="98"/>
      <c r="AC111" s="94"/>
      <c r="AD111" s="98"/>
      <c r="AE111" s="94"/>
      <c r="AF111" s="98"/>
      <c r="AG111" s="94"/>
      <c r="AH111" s="98"/>
      <c r="AI111" s="94"/>
      <c r="AJ111" s="98"/>
      <c r="AK111" s="94"/>
      <c r="AL111" s="98"/>
      <c r="AM111" s="94"/>
      <c r="AN111" s="98"/>
      <c r="AO111" s="94"/>
      <c r="AP111" s="98"/>
      <c r="AQ111" s="94"/>
      <c r="AR111" s="98"/>
      <c r="AS111" s="94"/>
      <c r="AT111" s="98"/>
      <c r="AU111" s="94"/>
      <c r="AV111" s="98"/>
      <c r="AW111" s="94"/>
      <c r="AX111" s="98"/>
      <c r="AY111" s="94"/>
      <c r="AZ111" s="98"/>
      <c r="BA111" s="94"/>
      <c r="BB111" s="98"/>
      <c r="BC111" s="94"/>
      <c r="BD111" s="98"/>
      <c r="BE111" s="94"/>
      <c r="BF111" s="98"/>
      <c r="BG111" s="94"/>
      <c r="BH111" s="98"/>
      <c r="BI111" s="94"/>
      <c r="BJ111" s="98"/>
      <c r="BK111" s="94"/>
      <c r="BL111" s="98"/>
      <c r="BM111" s="94"/>
      <c r="BN111" s="98"/>
      <c r="BO111" s="94"/>
      <c r="BP111" s="98"/>
      <c r="BQ111" s="94"/>
      <c r="BR111" s="98"/>
      <c r="BS111" s="94"/>
      <c r="BT111" s="98"/>
      <c r="BU111" s="94"/>
      <c r="BV111" s="98"/>
      <c r="BW111" s="94"/>
      <c r="BX111" s="98"/>
      <c r="BY111" s="94"/>
      <c r="BZ111" s="98"/>
      <c r="CA111" s="94"/>
      <c r="CB111" s="98"/>
      <c r="CC111" s="94"/>
      <c r="CD111" s="98"/>
      <c r="CE111" s="94"/>
      <c r="CF111" s="98"/>
      <c r="CG111" s="94"/>
      <c r="CH111" s="98"/>
      <c r="CI111" s="94"/>
      <c r="CJ111" s="98"/>
      <c r="CK111" s="94"/>
      <c r="CL111" s="98"/>
      <c r="CM111" s="94"/>
      <c r="CN111" s="98"/>
      <c r="CO111" s="94"/>
      <c r="CP111" s="98"/>
      <c r="CQ111" s="533"/>
      <c r="CR111" s="98"/>
      <c r="CS111" s="94"/>
      <c r="CT111" s="98"/>
      <c r="CU111" s="94"/>
      <c r="CV111" s="98"/>
      <c r="CW111" s="94"/>
      <c r="CX111" s="98"/>
      <c r="CY111" s="94"/>
      <c r="CZ111" s="98"/>
      <c r="DA111" s="94"/>
      <c r="DB111" s="98"/>
      <c r="DC111" s="94"/>
      <c r="DD111" s="98"/>
      <c r="DE111" s="94"/>
      <c r="DF111" s="98"/>
      <c r="DG111" s="94"/>
      <c r="DH111" s="98"/>
      <c r="DI111" s="94"/>
      <c r="DJ111" s="98"/>
      <c r="DK111" s="94"/>
      <c r="DL111" s="98"/>
      <c r="DM111" s="94"/>
      <c r="DN111" s="98"/>
      <c r="DO111" s="94"/>
      <c r="DP111" s="98"/>
      <c r="DQ111" s="94"/>
      <c r="DR111" s="98"/>
      <c r="DS111" s="94"/>
      <c r="DT111" s="98"/>
      <c r="DU111" s="94"/>
      <c r="DV111" s="98"/>
      <c r="DW111" s="94"/>
      <c r="DX111" s="98"/>
      <c r="DY111" s="94"/>
      <c r="DZ111" s="98"/>
      <c r="EA111" s="94"/>
      <c r="EB111" s="98"/>
      <c r="EC111" s="94"/>
      <c r="ED111" s="98"/>
      <c r="EE111" s="94"/>
      <c r="EF111" s="860"/>
      <c r="EG111" s="94"/>
      <c r="EH111" s="860"/>
      <c r="EI111" s="94"/>
      <c r="EJ111" s="860"/>
      <c r="EK111" s="94"/>
      <c r="EL111" s="860"/>
      <c r="EM111" s="94"/>
      <c r="EN111" s="860"/>
      <c r="EO111" s="94"/>
      <c r="EP111" s="98"/>
      <c r="EQ111" s="789"/>
      <c r="ER111" s="98"/>
      <c r="ES111" s="789"/>
      <c r="ET111" s="98"/>
      <c r="EU111" s="789"/>
      <c r="EV111" s="98"/>
      <c r="EW111" s="789"/>
      <c r="EX111" s="98"/>
      <c r="EY111" s="95"/>
      <c r="EZ111" s="594"/>
      <c r="FA111" s="405"/>
      <c r="FB111" s="94"/>
      <c r="FC111" s="92"/>
      <c r="FD111" s="94"/>
      <c r="FE111" s="92"/>
      <c r="FF111" s="95"/>
      <c r="FG111" s="92"/>
      <c r="FH111" s="95"/>
      <c r="FI111" s="92"/>
      <c r="FJ111" s="95"/>
      <c r="FK111" s="92"/>
      <c r="FL111" s="95"/>
      <c r="FM111" s="92"/>
      <c r="FN111" s="95"/>
      <c r="FO111" s="92"/>
      <c r="FP111" s="95"/>
      <c r="FQ111" s="92"/>
      <c r="FR111" s="96"/>
      <c r="FS111" s="97"/>
      <c r="FT111" s="96"/>
      <c r="FU111" s="97"/>
      <c r="FV111" s="96"/>
      <c r="FW111" s="98"/>
      <c r="FX111" s="480"/>
      <c r="FY111" s="98"/>
      <c r="FZ111" s="96"/>
      <c r="GA111" s="98"/>
      <c r="GB111" s="480"/>
      <c r="GC111" s="98"/>
      <c r="GD111" s="96"/>
      <c r="GE111" s="98"/>
      <c r="GF111" s="96"/>
      <c r="GG111" s="98"/>
      <c r="GH111" s="96"/>
      <c r="GI111" s="98"/>
      <c r="GJ111" s="96"/>
      <c r="GK111" s="98"/>
      <c r="GL111" s="96"/>
      <c r="GM111" s="98"/>
      <c r="GN111" s="96"/>
      <c r="GO111" s="98"/>
      <c r="GP111" s="96"/>
      <c r="GQ111" s="98"/>
      <c r="GR111" s="95"/>
      <c r="GS111" s="98"/>
      <c r="GT111" s="95"/>
      <c r="GU111" s="98"/>
      <c r="GV111" s="95"/>
      <c r="GW111" s="98"/>
      <c r="GX111" s="95"/>
      <c r="GY111" s="98"/>
      <c r="GZ111" s="98"/>
      <c r="HA111" s="98"/>
      <c r="HB111" s="10"/>
      <c r="HC111"/>
      <c r="HD111"/>
      <c r="HE111"/>
      <c r="HF111"/>
      <c r="HG111"/>
      <c r="HH111"/>
      <c r="HI111" s="10"/>
    </row>
    <row r="112" spans="1:217" s="2" customFormat="1" ht="12.75" customHeight="1" x14ac:dyDescent="0.2">
      <c r="A112" s="2" t="s">
        <v>184</v>
      </c>
      <c r="B112" s="93" t="s">
        <v>477</v>
      </c>
      <c r="C112" s="94"/>
      <c r="D112" s="92"/>
      <c r="E112" s="94"/>
      <c r="F112" s="92"/>
      <c r="G112" s="94"/>
      <c r="H112" s="92"/>
      <c r="I112" s="94"/>
      <c r="J112" s="98"/>
      <c r="K112" s="94"/>
      <c r="L112" s="98"/>
      <c r="M112" s="94"/>
      <c r="N112" s="98"/>
      <c r="O112" s="94"/>
      <c r="P112" s="98"/>
      <c r="Q112" s="94"/>
      <c r="R112" s="98"/>
      <c r="S112" s="94"/>
      <c r="T112" s="98"/>
      <c r="U112" s="94"/>
      <c r="V112" s="98"/>
      <c r="W112" s="94"/>
      <c r="X112" s="98"/>
      <c r="Y112" s="94"/>
      <c r="Z112" s="98"/>
      <c r="AA112" s="94"/>
      <c r="AB112" s="98"/>
      <c r="AC112" s="94"/>
      <c r="AD112" s="98"/>
      <c r="AE112" s="94"/>
      <c r="AF112" s="98"/>
      <c r="AG112" s="94"/>
      <c r="AH112" s="98"/>
      <c r="AI112" s="94"/>
      <c r="AJ112" s="98"/>
      <c r="AK112" s="94"/>
      <c r="AL112" s="98"/>
      <c r="AM112" s="94"/>
      <c r="AN112" s="98"/>
      <c r="AO112" s="94"/>
      <c r="AP112" s="98"/>
      <c r="AQ112" s="94"/>
      <c r="AR112" s="98"/>
      <c r="AS112" s="94"/>
      <c r="AT112" s="98"/>
      <c r="AU112" s="94"/>
      <c r="AV112" s="98"/>
      <c r="AW112" s="94"/>
      <c r="AX112" s="98"/>
      <c r="AY112" s="132"/>
      <c r="AZ112" s="98"/>
      <c r="BA112" s="132"/>
      <c r="BB112" s="98"/>
      <c r="BC112" s="132"/>
      <c r="BD112" s="98"/>
      <c r="BE112" s="132"/>
      <c r="BF112" s="98"/>
      <c r="BG112" s="132"/>
      <c r="BH112" s="98"/>
      <c r="BI112" s="132"/>
      <c r="BJ112" s="98"/>
      <c r="BK112" s="132"/>
      <c r="BL112" s="98"/>
      <c r="BM112" s="132"/>
      <c r="BN112" s="98"/>
      <c r="BO112" s="132"/>
      <c r="BP112" s="98"/>
      <c r="BQ112" s="132"/>
      <c r="BR112" s="98"/>
      <c r="BS112" s="132"/>
      <c r="BT112" s="98"/>
      <c r="BU112" s="132"/>
      <c r="BV112" s="98"/>
      <c r="BW112" s="132"/>
      <c r="BX112" s="98"/>
      <c r="BY112" s="132"/>
      <c r="BZ112" s="98"/>
      <c r="CA112" s="132"/>
      <c r="CB112" s="98"/>
      <c r="CC112" s="132"/>
      <c r="CD112" s="98"/>
      <c r="CE112" s="132"/>
      <c r="CF112" s="98"/>
      <c r="CG112" s="132"/>
      <c r="CH112" s="98"/>
      <c r="CI112" s="132"/>
      <c r="CJ112" s="98"/>
      <c r="CK112" s="132"/>
      <c r="CL112" s="98"/>
      <c r="CM112" s="132"/>
      <c r="CN112" s="98"/>
      <c r="CO112" s="132"/>
      <c r="CP112" s="98"/>
      <c r="CQ112" s="488">
        <f>CQ67-CQ103</f>
        <v>227</v>
      </c>
      <c r="CR112" s="98" t="str">
        <f t="shared" ref="CR112:CR118" si="529">IF(ISERROR((CQ112/CI112-1)*100),"NA",IF(((CQ112/CI112-1)*100)&gt;100,"NM",IF(((CQ112/CI112-1)*100)&lt;-50,"NM",(CQ112/CI112-1)*100)))</f>
        <v>NA</v>
      </c>
      <c r="CS112" s="132">
        <f>CS67-CS103</f>
        <v>360</v>
      </c>
      <c r="CT112" s="98" t="str">
        <f t="shared" ref="CT112:CT118" si="530">IF(ISERROR((CS112/CK112-1)*100),"NA",IF(((CS112/CK112-1)*100)&gt;100,"NM",IF(((CS112/CK112-1)*100)&lt;-50,"NM",(CS112/CK112-1)*100)))</f>
        <v>NA</v>
      </c>
      <c r="CU112" s="132">
        <f>CU67-CU103</f>
        <v>366</v>
      </c>
      <c r="CV112" s="98" t="str">
        <f t="shared" ref="CV112:CV118" si="531">IF(ISERROR((CU112/CM112-1)*100),"NA",IF(((CU112/CM112-1)*100)&gt;100,"NM",IF(((CU112/CM112-1)*100)&lt;-50,"NM",(CU112/CM112-1)*100)))</f>
        <v>NA</v>
      </c>
      <c r="CW112" s="132">
        <f>CW67-CW103</f>
        <v>400</v>
      </c>
      <c r="CX112" s="98" t="str">
        <f t="shared" ref="CX112:CX118" si="532">IF(ISERROR((CW112/CO112-1)*100),"NA",IF(((CW112/CO112-1)*100)&gt;100,"NM",IF(((CW112/CO112-1)*100)&lt;-50,"NM",(CW112/CO112-1)*100)))</f>
        <v>NA</v>
      </c>
      <c r="CY112" s="132">
        <f>CY67-CY103</f>
        <v>428</v>
      </c>
      <c r="CZ112" s="98">
        <f t="shared" ref="CZ112:CZ118" si="533">IF(ISERROR((CY112/CQ112-1)*100),"NA",IF(((CY112/CQ112-1)*100)&gt;100,"NM",IF(((CY112/CQ112-1)*100)&lt;-50,"NM",(CY112/CQ112-1)*100)))</f>
        <v>88.546255506607935</v>
      </c>
      <c r="DA112" s="132">
        <f>DA67-DA103</f>
        <v>247</v>
      </c>
      <c r="DB112" s="98">
        <f t="shared" ref="DB112:DB118" si="534">IF(ISERROR((DA112/CS112-1)*100),"NA",IF(((DA112/CS112-1)*100)&gt;100,"NM",IF(((DA112/CS112-1)*100)&lt;-50,"NM",(DA112/CS112-1)*100)))</f>
        <v>-31.388888888888889</v>
      </c>
      <c r="DC112" s="132">
        <f>DC67-DC103</f>
        <v>347</v>
      </c>
      <c r="DD112" s="98">
        <f t="shared" ref="DD112:DD118" si="535">IF(ISERROR((DC112/CU112-1)*100),"NA",IF(((DC112/CU112-1)*100)&gt;100,"NM",IF(((DC112/CU112-1)*100)&lt;-50,"NM",(DC112/CU112-1)*100)))</f>
        <v>-5.1912568306010876</v>
      </c>
      <c r="DE112" s="132">
        <f>DE67-DE103</f>
        <v>414</v>
      </c>
      <c r="DF112" s="98">
        <f t="shared" ref="DF112:DF118" si="536">IF(ISERROR((DE112/CW112-1)*100),"NA",IF(((DE112/CW112-1)*100)&gt;100,"NM",IF(((DE112/CW112-1)*100)&lt;-50,"NM",(DE112/CW112-1)*100)))</f>
        <v>3.499999999999992</v>
      </c>
      <c r="DG112" s="132">
        <f>DG67-DG103</f>
        <v>340</v>
      </c>
      <c r="DH112" s="98">
        <f t="shared" ref="DH112:DH118" si="537">IF(ISERROR((DG112/CY112-1)*100),"NA",IF(((DG112/CY112-1)*100)&gt;100,"NM",IF(((DG112/CY112-1)*100)&lt;-50,"NM",(DG112/CY112-1)*100)))</f>
        <v>-20.560747663551403</v>
      </c>
      <c r="DI112" s="132">
        <f>DI67-DI103</f>
        <v>349</v>
      </c>
      <c r="DJ112" s="98">
        <f t="shared" ref="DJ112:DJ118" si="538">IF(ISERROR((DI112/DA112-1)*100),"NA",IF(((DI112/DA112-1)*100)&gt;100,"NM",IF(((DI112/DA112-1)*100)&lt;-50,"NM",(DI112/DA112-1)*100)))</f>
        <v>41.295546558704444</v>
      </c>
      <c r="DK112" s="132">
        <f>DK67-DK103</f>
        <v>291</v>
      </c>
      <c r="DL112" s="98">
        <f t="shared" ref="DL112:DL118" si="539">IF(ISERROR((DK112/DC112-1)*100),"NA",IF(((DK112/DC112-1)*100)&gt;100,"NM",IF(((DK112/DC112-1)*100)&lt;-50,"NM",(DK112/DC112-1)*100)))</f>
        <v>-16.138328530259372</v>
      </c>
      <c r="DM112" s="132">
        <f>DM67-DM103</f>
        <v>323</v>
      </c>
      <c r="DN112" s="98">
        <f t="shared" ref="DN112:DZ118" si="540">IF(ISERROR((DM112/DE112-1)*100),"NA",IF(((DM112/DE112-1)*100)&gt;100,"NM",IF(((DM112/DE112-1)*100)&lt;-50,"NM",(DM112/DE112-1)*100)))</f>
        <v>-21.980676328502412</v>
      </c>
      <c r="DO112" s="132">
        <f>DO67-DO103</f>
        <v>366</v>
      </c>
      <c r="DP112" s="98">
        <f t="shared" si="540"/>
        <v>7.6470588235294068</v>
      </c>
      <c r="DQ112" s="132">
        <f>DQ67-DQ103</f>
        <v>365</v>
      </c>
      <c r="DR112" s="98">
        <f t="shared" si="540"/>
        <v>4.5845272206303633</v>
      </c>
      <c r="DS112" s="132">
        <f>DS67-DS103</f>
        <v>223</v>
      </c>
      <c r="DT112" s="98">
        <f t="shared" si="540"/>
        <v>-23.367697594501713</v>
      </c>
      <c r="DU112" s="132">
        <f>DU67-DU103</f>
        <v>265</v>
      </c>
      <c r="DV112" s="98">
        <f t="shared" si="540"/>
        <v>-17.956656346749224</v>
      </c>
      <c r="DW112" s="132">
        <f>DW67-DW103</f>
        <v>283</v>
      </c>
      <c r="DX112" s="98">
        <f t="shared" si="540"/>
        <v>-22.677595628415304</v>
      </c>
      <c r="DY112" s="132">
        <f>DY67-DY103</f>
        <v>245</v>
      </c>
      <c r="DZ112" s="98">
        <f t="shared" si="540"/>
        <v>-32.87671232876712</v>
      </c>
      <c r="EA112" s="132">
        <f>EA67-EA103</f>
        <v>229</v>
      </c>
      <c r="EB112" s="98">
        <f t="shared" ref="EB112:EB118" si="541">IF(ISERROR((EA112/DS112-1)*100),"NA",IF(((EA112/DS112-1)*100)&gt;100,"NM",IF(((EA112/DS112-1)*100)&lt;-50,"NM",(EA112/DS112-1)*100)))</f>
        <v>2.6905829596412634</v>
      </c>
      <c r="EC112" s="132">
        <f>EC67-EC103</f>
        <v>288</v>
      </c>
      <c r="ED112" s="98">
        <f t="shared" ref="ED112:ED118" si="542">IF(ISERROR((EC112/DU112-1)*100),"NA",IF(((EC112/DU112-1)*100)&gt;100,"NM",IF(((EC112/DU112-1)*100)&lt;-50,"NM",(EC112/DU112-1)*100)))</f>
        <v>8.6792452830188651</v>
      </c>
      <c r="EE112" s="132">
        <f>EE67-EE103</f>
        <v>296</v>
      </c>
      <c r="EF112" s="860">
        <f t="shared" ref="EF112:EF118" si="543">IF(ISERROR((EE112/DW112-1)*100),"NA",IF(((EE112/DW112-1)*100)&gt;100,"NM",IF(((EE112/DW112-1)*100)&lt;-50,"NM",(EE112/DW112-1)*100)))</f>
        <v>4.5936395759717419</v>
      </c>
      <c r="EG112" s="132">
        <f>EG67-EG103</f>
        <v>277</v>
      </c>
      <c r="EH112" s="860">
        <f t="shared" ref="EH112:EH118" si="544">IF(ISERROR((EG112/DY112-1)*100),"NA",IF(((EG112/DY112-1)*100)&gt;100,"NM",IF(((EG112/DY112-1)*100)&lt;-50,"NM",(EG112/DY112-1)*100)))</f>
        <v>13.061224489795919</v>
      </c>
      <c r="EI112" s="132">
        <f>EI67-EI103</f>
        <v>298</v>
      </c>
      <c r="EJ112" s="860">
        <f t="shared" ref="EJ112:EJ118" si="545">IF(ISERROR((EI112/EA112-1)*100),"NA",IF(((EI112/EA112-1)*100)&gt;100,"NM",IF(((EI112/EA112-1)*100)&lt;-50,"NM",(EI112/EA112-1)*100)))</f>
        <v>30.13100436681222</v>
      </c>
      <c r="EK112" s="132">
        <f>EK67-EK103</f>
        <v>312</v>
      </c>
      <c r="EL112" s="860">
        <f t="shared" ref="EL112:EL118" si="546">IF(ISERROR((EK112/EC112-1)*100),"NA",IF(((EK112/EC112-1)*100)&gt;100,"NM",IF(((EK112/EC112-1)*100)&lt;-50,"NM",(EK112/EC112-1)*100)))</f>
        <v>8.333333333333325</v>
      </c>
      <c r="EM112" s="132">
        <f>EM67-EM103</f>
        <v>370</v>
      </c>
      <c r="EN112" s="860">
        <f t="shared" ref="EN112:EN118" si="547">IF(ISERROR((EM112/EE112-1)*100),"NA",IF(((EM112/EE112-1)*100)&gt;100,"NM",IF(((EM112/EE112-1)*100)&lt;-50,"NM",(EM112/EE112-1)*100)))</f>
        <v>25</v>
      </c>
      <c r="EO112" s="132">
        <f>EO67-EO103</f>
        <v>352</v>
      </c>
      <c r="EP112" s="98">
        <f t="shared" ref="EP112:EP118" si="548">IF(ISERROR((EO112/EG112-1)*100),"NA",IF(((EO112/EG112-1)*100)&gt;100,"NM",IF(((EO112/EG112-1)*100)&lt;-50,"NM",(EO112/EG112-1)*100)))</f>
        <v>27.075812274368239</v>
      </c>
      <c r="EQ112" s="1005">
        <f t="shared" ref="EQ112" si="549">EQ67-EQ103</f>
        <v>336.8536408523255</v>
      </c>
      <c r="ER112" s="98">
        <f t="shared" ref="ER112:ER118" si="550">IF(ISERROR((EQ112/EI112-1)*100),"NA",IF(((EQ112/EI112-1)*100)&gt;100,"NM",IF(((EQ112/EI112-1)*100)&lt;-50,"NM",(EQ112/EI112-1)*100)))</f>
        <v>13.038134514203193</v>
      </c>
      <c r="ES112" s="1005">
        <f t="shared" ref="ES112" si="551">ES67-ES103</f>
        <v>349.02362622308556</v>
      </c>
      <c r="ET112" s="98">
        <f t="shared" ref="ET112:ET118" si="552">IF(ISERROR((ES112/EK112-1)*100),"NA",IF(((ES112/EK112-1)*100)&gt;100,"NM",IF(((ES112/EK112-1)*100)&lt;-50,"NM",(ES112/EK112-1)*100)))</f>
        <v>11.866546866373584</v>
      </c>
      <c r="EU112" s="1005">
        <f t="shared" ref="EU112" si="553">EU67-EU103</f>
        <v>360.92676472185622</v>
      </c>
      <c r="EV112" s="98">
        <f t="shared" ref="EV112:EV118" si="554">IF(ISERROR((EU112/EM112-1)*100),"NA",IF(((EU112/EM112-1)*100)&gt;100,"NM",IF(((EU112/EM112-1)*100)&lt;-50,"NM",(EU112/EM112-1)*100)))</f>
        <v>-2.4522257508496681</v>
      </c>
      <c r="EW112" s="1005">
        <f t="shared" ref="EW112" si="555">EW67-EW103</f>
        <v>373.21802192787754</v>
      </c>
      <c r="EX112" s="98">
        <f t="shared" ref="EX112:EX118" si="556">IF(ISERROR((EW112/EO112-1)*100),"NA",IF(((EW112/EO112-1)*100)&gt;100,"NM",IF(((EW112/EO112-1)*100)&lt;-50,"NM",(EW112/EO112-1)*100)))</f>
        <v>6.0278471386015831</v>
      </c>
      <c r="EY112" s="132"/>
      <c r="EZ112" s="594"/>
      <c r="FA112" s="405"/>
      <c r="FB112" s="94"/>
      <c r="FC112" s="92"/>
      <c r="FD112" s="94"/>
      <c r="FE112" s="92"/>
      <c r="FF112" s="95"/>
      <c r="FG112" s="92"/>
      <c r="FH112" s="95"/>
      <c r="FI112" s="92"/>
      <c r="FJ112" s="95"/>
      <c r="FK112" s="92"/>
      <c r="FL112" s="95"/>
      <c r="FM112" s="92"/>
      <c r="FN112" s="95"/>
      <c r="FO112" s="92"/>
      <c r="FP112" s="95"/>
      <c r="FQ112" s="92"/>
      <c r="FR112" s="96"/>
      <c r="FS112" s="97"/>
      <c r="FT112" s="96"/>
      <c r="FU112" s="97"/>
      <c r="FV112" s="132"/>
      <c r="FW112" s="98"/>
      <c r="FX112" s="488"/>
      <c r="FY112" s="98"/>
      <c r="FZ112" s="132"/>
      <c r="GA112" s="98"/>
      <c r="GB112" s="488">
        <f>GB67-GB103</f>
        <v>1336</v>
      </c>
      <c r="GC112" s="98" t="str">
        <f t="shared" ref="GC112:GC118" si="557">IF(ISERROR((GB112/FZ112-1)*100),"NA",IF(((GB112/FZ112-1)*100)&gt;100,"NM",IF(((GB112/FZ112-1)*100)&lt;-50,"NM",(GB112/FZ112-1)*100)))</f>
        <v>NA</v>
      </c>
      <c r="GD112" s="132">
        <f>GD67-GD103</f>
        <v>1441</v>
      </c>
      <c r="GE112" s="98">
        <f t="shared" ref="GE112:GE118" si="558">IF(ISERROR((GD112/GB112-1)*100),"NA",IF(((GD112/GB112-1)*100)&gt;100,"NM",IF(((GD112/GB112-1)*100)&lt;-50,"NM",(GD112/GB112-1)*100)))</f>
        <v>7.8592814371257536</v>
      </c>
      <c r="GF112" s="132">
        <f>GF67-GF103</f>
        <v>1450</v>
      </c>
      <c r="GG112" s="98">
        <f t="shared" ref="GG112:GW118" si="559">IF(ISERROR((GF112/GD112-1)*100),"NA",IF(((GF112/GD112-1)*100)&gt;100,"NM",IF(((GF112/GD112-1)*100)&lt;-50,"NM",(GF112/GD112-1)*100)))</f>
        <v>0.62456627342124538</v>
      </c>
      <c r="GH112" s="132">
        <f>GH67-GH103</f>
        <v>1345</v>
      </c>
      <c r="GI112" s="98">
        <f t="shared" si="559"/>
        <v>-7.241379310344831</v>
      </c>
      <c r="GJ112" s="132">
        <f>GJ67-GJ103</f>
        <v>1016</v>
      </c>
      <c r="GK112" s="98">
        <f t="shared" si="559"/>
        <v>-24.460966542750928</v>
      </c>
      <c r="GL112" s="132">
        <f>GL67-GL103</f>
        <v>1090</v>
      </c>
      <c r="GM112" s="98">
        <f t="shared" si="559"/>
        <v>7.2834645669291431</v>
      </c>
      <c r="GN112" s="132">
        <f>GN67-GN103</f>
        <v>1332</v>
      </c>
      <c r="GO112" s="98">
        <f t="shared" si="559"/>
        <v>22.201834862385319</v>
      </c>
      <c r="GP112" s="132">
        <f>GP67-GP103</f>
        <v>1420.0220537251462</v>
      </c>
      <c r="GQ112" s="98">
        <f t="shared" si="559"/>
        <v>6.6082622916776357</v>
      </c>
      <c r="GR112" s="132">
        <f>GR67-GR103</f>
        <v>1486.5546478775359</v>
      </c>
      <c r="GS112" s="98">
        <f t="shared" si="559"/>
        <v>4.6853211876431544</v>
      </c>
      <c r="GT112" s="132">
        <f>GT67-GT103</f>
        <v>1510.2420396021735</v>
      </c>
      <c r="GU112" s="98">
        <f t="shared" si="559"/>
        <v>1.5934423775444628</v>
      </c>
      <c r="GV112" s="132">
        <f>GV67-GV103</f>
        <v>1536.9366381834079</v>
      </c>
      <c r="GW112" s="98">
        <f t="shared" si="559"/>
        <v>1.7675708847481486</v>
      </c>
      <c r="GX112" s="132">
        <f>GX67-GX103</f>
        <v>1566.3779397387625</v>
      </c>
      <c r="GY112" s="98">
        <f t="shared" ref="GY112:GY118" si="560">IF(ISERROR((GX112/GV112-1)*100),"NA",IF(((GX112/GV112-1)*100)&gt;100,"NM",IF(((GX112/GV112-1)*100)&lt;-50,"NM",(GX112/GV112-1)*100)))</f>
        <v>1.9155832988764443</v>
      </c>
      <c r="GZ112" s="98">
        <f t="shared" ref="GZ112:GZ118" si="561">IF(ISERROR(((GX112/GN112)^0.2-1)*100),"NA",IF((((GX112/GN112)^0.2-1)*100)&gt;100,"NM",IF((((GX112/GN112)^0.2-1)*100)&lt;-50,"NM",((GX112/GN112)^0.2-1)*100)))</f>
        <v>3.2948017953528197</v>
      </c>
      <c r="HA112" s="98"/>
      <c r="HB112" s="10"/>
      <c r="HC112"/>
      <c r="HD112"/>
      <c r="HE112"/>
      <c r="HF112"/>
      <c r="HG112"/>
      <c r="HH112"/>
      <c r="HI112" s="10"/>
    </row>
    <row r="113" spans="1:217" s="2" customFormat="1" ht="12.75" customHeight="1" x14ac:dyDescent="0.2">
      <c r="B113" s="91" t="s">
        <v>478</v>
      </c>
      <c r="C113" s="94"/>
      <c r="D113" s="92"/>
      <c r="E113" s="94"/>
      <c r="F113" s="92"/>
      <c r="G113" s="94"/>
      <c r="H113" s="92"/>
      <c r="I113" s="94"/>
      <c r="J113" s="98"/>
      <c r="K113" s="94"/>
      <c r="L113" s="98"/>
      <c r="M113" s="94"/>
      <c r="N113" s="98"/>
      <c r="O113" s="94"/>
      <c r="P113" s="98"/>
      <c r="Q113" s="94"/>
      <c r="R113" s="98"/>
      <c r="S113" s="94"/>
      <c r="T113" s="98"/>
      <c r="U113" s="94"/>
      <c r="V113" s="98"/>
      <c r="W113" s="94"/>
      <c r="X113" s="98"/>
      <c r="Y113" s="94"/>
      <c r="Z113" s="98"/>
      <c r="AA113" s="94"/>
      <c r="AB113" s="98"/>
      <c r="AC113" s="94"/>
      <c r="AD113" s="98"/>
      <c r="AE113" s="94"/>
      <c r="AF113" s="98"/>
      <c r="AG113" s="94"/>
      <c r="AH113" s="98"/>
      <c r="AI113" s="94"/>
      <c r="AJ113" s="98"/>
      <c r="AK113" s="94"/>
      <c r="AL113" s="98"/>
      <c r="AM113" s="94"/>
      <c r="AN113" s="98"/>
      <c r="AO113" s="94"/>
      <c r="AP113" s="98"/>
      <c r="AQ113" s="94"/>
      <c r="AR113" s="98"/>
      <c r="AS113" s="94"/>
      <c r="AT113" s="98"/>
      <c r="AU113" s="94"/>
      <c r="AV113" s="98"/>
      <c r="AW113" s="94"/>
      <c r="AX113" s="98"/>
      <c r="AY113" s="94"/>
      <c r="AZ113" s="98"/>
      <c r="BA113" s="94"/>
      <c r="BB113" s="98"/>
      <c r="BC113" s="94"/>
      <c r="BD113" s="98"/>
      <c r="BE113" s="94"/>
      <c r="BF113" s="98"/>
      <c r="BG113" s="94"/>
      <c r="BH113" s="98"/>
      <c r="BI113" s="94"/>
      <c r="BJ113" s="98"/>
      <c r="BK113" s="94"/>
      <c r="BL113" s="98"/>
      <c r="BM113" s="94"/>
      <c r="BN113" s="98"/>
      <c r="BO113" s="94"/>
      <c r="BP113" s="98"/>
      <c r="BQ113" s="94"/>
      <c r="BR113" s="98"/>
      <c r="BS113" s="94"/>
      <c r="BT113" s="98"/>
      <c r="BU113" s="94"/>
      <c r="BV113" s="98"/>
      <c r="BW113" s="94"/>
      <c r="BX113" s="98"/>
      <c r="BY113" s="94"/>
      <c r="BZ113" s="98"/>
      <c r="CA113" s="94"/>
      <c r="CB113" s="98"/>
      <c r="CC113" s="94"/>
      <c r="CD113" s="98"/>
      <c r="CE113" s="94"/>
      <c r="CF113" s="98"/>
      <c r="CG113" s="94"/>
      <c r="CH113" s="98"/>
      <c r="CI113" s="94"/>
      <c r="CJ113" s="98"/>
      <c r="CK113" s="94"/>
      <c r="CL113" s="98"/>
      <c r="CM113" s="94"/>
      <c r="CN113" s="98"/>
      <c r="CO113" s="94"/>
      <c r="CP113" s="98"/>
      <c r="CQ113" s="533">
        <v>74</v>
      </c>
      <c r="CR113" s="98" t="str">
        <f t="shared" si="529"/>
        <v>NA</v>
      </c>
      <c r="CS113" s="94">
        <v>120</v>
      </c>
      <c r="CT113" s="98" t="str">
        <f t="shared" si="530"/>
        <v>NA</v>
      </c>
      <c r="CU113" s="94">
        <v>123</v>
      </c>
      <c r="CV113" s="98" t="str">
        <f t="shared" si="531"/>
        <v>NA</v>
      </c>
      <c r="CW113" s="94">
        <v>133</v>
      </c>
      <c r="CX113" s="98" t="str">
        <f t="shared" si="532"/>
        <v>NA</v>
      </c>
      <c r="CY113" s="94">
        <v>145</v>
      </c>
      <c r="CZ113" s="98">
        <f t="shared" si="533"/>
        <v>95.945945945945937</v>
      </c>
      <c r="DA113" s="94">
        <v>80</v>
      </c>
      <c r="DB113" s="98">
        <f t="shared" si="534"/>
        <v>-33.333333333333336</v>
      </c>
      <c r="DC113" s="94">
        <v>117</v>
      </c>
      <c r="DD113" s="98">
        <f t="shared" si="535"/>
        <v>-4.8780487804878092</v>
      </c>
      <c r="DE113" s="94">
        <v>139</v>
      </c>
      <c r="DF113" s="98">
        <f t="shared" si="536"/>
        <v>4.5112781954887327</v>
      </c>
      <c r="DG113" s="94">
        <v>114</v>
      </c>
      <c r="DH113" s="98">
        <f t="shared" si="537"/>
        <v>-21.379310344827584</v>
      </c>
      <c r="DI113" s="94">
        <v>118</v>
      </c>
      <c r="DJ113" s="98">
        <f t="shared" si="538"/>
        <v>47.500000000000007</v>
      </c>
      <c r="DK113" s="94">
        <v>101</v>
      </c>
      <c r="DL113" s="98">
        <f t="shared" si="539"/>
        <v>-13.675213675213671</v>
      </c>
      <c r="DM113" s="94">
        <v>114</v>
      </c>
      <c r="DN113" s="98">
        <f t="shared" si="540"/>
        <v>-17.985611510791365</v>
      </c>
      <c r="DO113" s="94">
        <v>125</v>
      </c>
      <c r="DP113" s="98">
        <f t="shared" si="540"/>
        <v>9.6491228070175517</v>
      </c>
      <c r="DQ113" s="94">
        <v>127</v>
      </c>
      <c r="DR113" s="98">
        <f t="shared" si="540"/>
        <v>7.6271186440677985</v>
      </c>
      <c r="DS113" s="94">
        <v>85</v>
      </c>
      <c r="DT113" s="98">
        <f t="shared" si="540"/>
        <v>-15.841584158415845</v>
      </c>
      <c r="DU113" s="94">
        <v>99</v>
      </c>
      <c r="DV113" s="98">
        <f t="shared" si="540"/>
        <v>-13.157894736842103</v>
      </c>
      <c r="DW113" s="94">
        <v>106</v>
      </c>
      <c r="DX113" s="98">
        <f t="shared" si="540"/>
        <v>-15.200000000000003</v>
      </c>
      <c r="DY113" s="94">
        <v>92</v>
      </c>
      <c r="DZ113" s="98">
        <f t="shared" si="540"/>
        <v>-27.55905511811023</v>
      </c>
      <c r="EA113" s="94">
        <v>87</v>
      </c>
      <c r="EB113" s="98">
        <f t="shared" si="541"/>
        <v>2.3529411764705799</v>
      </c>
      <c r="EC113" s="94">
        <v>103</v>
      </c>
      <c r="ED113" s="98">
        <f t="shared" si="542"/>
        <v>4.0404040404040442</v>
      </c>
      <c r="EE113" s="94">
        <v>110</v>
      </c>
      <c r="EF113" s="860">
        <f t="shared" si="543"/>
        <v>3.7735849056603765</v>
      </c>
      <c r="EG113" s="94">
        <v>103</v>
      </c>
      <c r="EH113" s="860">
        <f t="shared" si="544"/>
        <v>11.956521739130444</v>
      </c>
      <c r="EI113" s="94">
        <v>104</v>
      </c>
      <c r="EJ113" s="860">
        <f t="shared" si="545"/>
        <v>19.540229885057482</v>
      </c>
      <c r="EK113" s="94">
        <v>109</v>
      </c>
      <c r="EL113" s="860">
        <f t="shared" si="546"/>
        <v>5.8252427184465994</v>
      </c>
      <c r="EM113" s="94">
        <v>129</v>
      </c>
      <c r="EN113" s="860">
        <f t="shared" si="547"/>
        <v>17.272727272727263</v>
      </c>
      <c r="EO113" s="94">
        <v>122</v>
      </c>
      <c r="EP113" s="98">
        <f t="shared" si="548"/>
        <v>18.446601941747566</v>
      </c>
      <c r="EQ113" s="778">
        <f t="shared" ref="EQ113" si="562">EQ112*EQ114/100</f>
        <v>67.3707281704651</v>
      </c>
      <c r="ER113" s="98">
        <f t="shared" si="550"/>
        <v>-35.2204536822451</v>
      </c>
      <c r="ES113" s="778">
        <f t="shared" ref="ES113" si="563">ES112*ES114/100</f>
        <v>69.804725244617117</v>
      </c>
      <c r="ET113" s="98">
        <f t="shared" si="552"/>
        <v>-35.958967665488885</v>
      </c>
      <c r="EU113" s="778">
        <f t="shared" ref="EU113" si="564">EU112*EU114/100</f>
        <v>72.185352944371246</v>
      </c>
      <c r="EV113" s="98">
        <f t="shared" si="554"/>
        <v>-44.042362058626935</v>
      </c>
      <c r="EW113" s="778">
        <f t="shared" ref="EW113" si="565">EW112*EW114/100</f>
        <v>74.643604385575514</v>
      </c>
      <c r="EX113" s="98">
        <f t="shared" si="556"/>
        <v>-38.81671771674138</v>
      </c>
      <c r="EY113" s="96"/>
      <c r="EZ113" s="594"/>
      <c r="FA113" s="405"/>
      <c r="FB113" s="94"/>
      <c r="FC113" s="92"/>
      <c r="FD113" s="94"/>
      <c r="FE113" s="92"/>
      <c r="FF113" s="95"/>
      <c r="FG113" s="92"/>
      <c r="FH113" s="95"/>
      <c r="FI113" s="92"/>
      <c r="FJ113" s="95"/>
      <c r="FK113" s="92"/>
      <c r="FL113" s="95"/>
      <c r="FM113" s="92"/>
      <c r="FN113" s="95"/>
      <c r="FO113" s="92"/>
      <c r="FP113" s="95"/>
      <c r="FQ113" s="92"/>
      <c r="FR113" s="96"/>
      <c r="FS113" s="97"/>
      <c r="FT113" s="96"/>
      <c r="FU113" s="97"/>
      <c r="FV113" s="95"/>
      <c r="FW113" s="98"/>
      <c r="FX113" s="480"/>
      <c r="FY113" s="98"/>
      <c r="FZ113" s="96"/>
      <c r="GA113" s="98"/>
      <c r="GB113" s="533">
        <v>445</v>
      </c>
      <c r="GC113" s="98" t="str">
        <f t="shared" si="557"/>
        <v>NA</v>
      </c>
      <c r="GD113" s="96">
        <f>CU113+CW113+CY113+DA113</f>
        <v>481</v>
      </c>
      <c r="GE113" s="98">
        <f t="shared" si="558"/>
        <v>8.0898876404494438</v>
      </c>
      <c r="GF113" s="96">
        <f>DC113+DE113+DG113+DI113</f>
        <v>488</v>
      </c>
      <c r="GG113" s="98">
        <f t="shared" si="559"/>
        <v>1.4553014553014609</v>
      </c>
      <c r="GH113" s="96">
        <f>DK113+DM113+DO113+DQ113</f>
        <v>467</v>
      </c>
      <c r="GI113" s="98">
        <f t="shared" si="559"/>
        <v>-4.3032786885245926</v>
      </c>
      <c r="GJ113" s="96">
        <f>DS113+DU113+DW113+DY113</f>
        <v>382</v>
      </c>
      <c r="GK113" s="98">
        <f t="shared" si="559"/>
        <v>-18.20128479657388</v>
      </c>
      <c r="GL113" s="96">
        <f>EA113+EC113+EE113+EG113</f>
        <v>403</v>
      </c>
      <c r="GM113" s="98">
        <f t="shared" si="559"/>
        <v>5.4973821989528826</v>
      </c>
      <c r="GN113" s="96">
        <f>EI113+EK113+EM113+EO113</f>
        <v>464</v>
      </c>
      <c r="GO113" s="98">
        <f t="shared" si="559"/>
        <v>15.136476426799007</v>
      </c>
      <c r="GP113" s="96">
        <f>EQ113+ES113+EU113+EW113</f>
        <v>284.00441074502896</v>
      </c>
      <c r="GQ113" s="98">
        <f t="shared" si="559"/>
        <v>-38.79215285667479</v>
      </c>
      <c r="GR113" s="96">
        <f>GR112*GR114/100</f>
        <v>297.31092957550692</v>
      </c>
      <c r="GS113" s="98">
        <f t="shared" si="559"/>
        <v>4.6853211876431544</v>
      </c>
      <c r="GT113" s="96">
        <f>GT112*GT114/100</f>
        <v>302.04840792043444</v>
      </c>
      <c r="GU113" s="98">
        <f t="shared" si="559"/>
        <v>1.5934423775444628</v>
      </c>
      <c r="GV113" s="96">
        <f>GV112*GV114/100</f>
        <v>307.38732763668128</v>
      </c>
      <c r="GW113" s="98">
        <f t="shared" si="559"/>
        <v>1.7675708847481264</v>
      </c>
      <c r="GX113" s="96">
        <f>GX112*GX114/100</f>
        <v>313.27558794775223</v>
      </c>
      <c r="GY113" s="98">
        <f t="shared" si="560"/>
        <v>1.9155832988764665</v>
      </c>
      <c r="GZ113" s="98">
        <f t="shared" si="561"/>
        <v>-7.5553644520348406</v>
      </c>
      <c r="HA113" s="98"/>
      <c r="HB113" s="10"/>
      <c r="HC113"/>
      <c r="HD113"/>
      <c r="HE113"/>
      <c r="HF113"/>
      <c r="HG113"/>
      <c r="HH113"/>
      <c r="HI113" s="10"/>
    </row>
    <row r="114" spans="1:217" s="2" customFormat="1" ht="12.75" customHeight="1" x14ac:dyDescent="0.2">
      <c r="B114" s="91" t="s">
        <v>170</v>
      </c>
      <c r="C114" s="94"/>
      <c r="D114" s="92"/>
      <c r="E114" s="94"/>
      <c r="F114" s="92"/>
      <c r="G114" s="94"/>
      <c r="H114" s="92"/>
      <c r="I114" s="94"/>
      <c r="J114" s="98"/>
      <c r="K114" s="94"/>
      <c r="L114" s="98"/>
      <c r="M114" s="94"/>
      <c r="N114" s="98"/>
      <c r="O114" s="94"/>
      <c r="P114" s="98"/>
      <c r="Q114" s="94"/>
      <c r="R114" s="98"/>
      <c r="S114" s="94"/>
      <c r="T114" s="98"/>
      <c r="U114" s="94"/>
      <c r="V114" s="98"/>
      <c r="W114" s="94"/>
      <c r="X114" s="98"/>
      <c r="Y114" s="94"/>
      <c r="Z114" s="98"/>
      <c r="AA114" s="94"/>
      <c r="AB114" s="98"/>
      <c r="AC114" s="94"/>
      <c r="AD114" s="98"/>
      <c r="AE114" s="94"/>
      <c r="AF114" s="98"/>
      <c r="AG114" s="94"/>
      <c r="AH114" s="98"/>
      <c r="AI114" s="94"/>
      <c r="AJ114" s="98"/>
      <c r="AK114" s="94"/>
      <c r="AL114" s="98"/>
      <c r="AM114" s="94"/>
      <c r="AN114" s="98"/>
      <c r="AO114" s="94"/>
      <c r="AP114" s="98"/>
      <c r="AQ114" s="94"/>
      <c r="AR114" s="98"/>
      <c r="AS114" s="94"/>
      <c r="AT114" s="98"/>
      <c r="AU114" s="94"/>
      <c r="AV114" s="98"/>
      <c r="AW114" s="94"/>
      <c r="AX114" s="98"/>
      <c r="AY114" s="134"/>
      <c r="AZ114" s="98"/>
      <c r="BA114" s="134"/>
      <c r="BB114" s="98"/>
      <c r="BC114" s="134"/>
      <c r="BD114" s="98"/>
      <c r="BE114" s="134"/>
      <c r="BF114" s="98"/>
      <c r="BG114" s="134"/>
      <c r="BH114" s="98"/>
      <c r="BI114" s="134"/>
      <c r="BJ114" s="98"/>
      <c r="BK114" s="134"/>
      <c r="BL114" s="98"/>
      <c r="BM114" s="134"/>
      <c r="BN114" s="98"/>
      <c r="BO114" s="134"/>
      <c r="BP114" s="98"/>
      <c r="BQ114" s="134"/>
      <c r="BR114" s="98"/>
      <c r="BS114" s="134"/>
      <c r="BT114" s="98"/>
      <c r="BU114" s="134"/>
      <c r="BV114" s="98"/>
      <c r="BW114" s="134"/>
      <c r="BX114" s="98"/>
      <c r="BY114" s="134"/>
      <c r="BZ114" s="98"/>
      <c r="CA114" s="134"/>
      <c r="CB114" s="98"/>
      <c r="CC114" s="134"/>
      <c r="CD114" s="98"/>
      <c r="CE114" s="134"/>
      <c r="CF114" s="98"/>
      <c r="CG114" s="134"/>
      <c r="CH114" s="98"/>
      <c r="CI114" s="134"/>
      <c r="CJ114" s="98"/>
      <c r="CK114" s="134"/>
      <c r="CL114" s="98"/>
      <c r="CM114" s="134"/>
      <c r="CN114" s="98"/>
      <c r="CO114" s="134"/>
      <c r="CP114" s="98"/>
      <c r="CQ114" s="489">
        <f>CQ113/CQ112*100</f>
        <v>32.599118942731273</v>
      </c>
      <c r="CR114" s="98" t="str">
        <f t="shared" si="529"/>
        <v>NA</v>
      </c>
      <c r="CS114" s="134">
        <f>CS113/CS112*100</f>
        <v>33.333333333333329</v>
      </c>
      <c r="CT114" s="98" t="str">
        <f t="shared" si="530"/>
        <v>NA</v>
      </c>
      <c r="CU114" s="134">
        <f>CU113/CU112*100</f>
        <v>33.606557377049178</v>
      </c>
      <c r="CV114" s="98" t="str">
        <f t="shared" si="531"/>
        <v>NA</v>
      </c>
      <c r="CW114" s="134">
        <f>CW113/CW112*100</f>
        <v>33.25</v>
      </c>
      <c r="CX114" s="98" t="str">
        <f t="shared" si="532"/>
        <v>NA</v>
      </c>
      <c r="CY114" s="134">
        <f>CY113/CY112*100</f>
        <v>33.878504672897201</v>
      </c>
      <c r="CZ114" s="98">
        <f t="shared" si="533"/>
        <v>3.9246021722657565</v>
      </c>
      <c r="DA114" s="134">
        <f>DA113/DA112*100</f>
        <v>32.388663967611336</v>
      </c>
      <c r="DB114" s="98">
        <f t="shared" si="534"/>
        <v>-2.8340080971659742</v>
      </c>
      <c r="DC114" s="134">
        <f>DC113/DC112*100</f>
        <v>33.717579250720462</v>
      </c>
      <c r="DD114" s="98">
        <f t="shared" si="535"/>
        <v>0.33035777043650683</v>
      </c>
      <c r="DE114" s="134">
        <f>DE113/DE112*100</f>
        <v>33.574879227053138</v>
      </c>
      <c r="DF114" s="98">
        <f t="shared" si="536"/>
        <v>0.97708038211470338</v>
      </c>
      <c r="DG114" s="134">
        <f>DG113/DG112*100</f>
        <v>33.529411764705877</v>
      </c>
      <c r="DH114" s="98">
        <f t="shared" si="537"/>
        <v>-1.0304259634888679</v>
      </c>
      <c r="DI114" s="134">
        <f>DI113/DI112*100</f>
        <v>33.810888252148999</v>
      </c>
      <c r="DJ114" s="98">
        <f t="shared" si="538"/>
        <v>4.3911174785100426</v>
      </c>
      <c r="DK114" s="134">
        <f>DK113/DK112*100</f>
        <v>34.707903780068726</v>
      </c>
      <c r="DL114" s="98">
        <f t="shared" si="539"/>
        <v>2.9371163391781918</v>
      </c>
      <c r="DM114" s="134">
        <f>DM113/DM112*100</f>
        <v>35.294117647058826</v>
      </c>
      <c r="DN114" s="98">
        <f t="shared" si="540"/>
        <v>5.1206093948370945</v>
      </c>
      <c r="DO114" s="134">
        <f>DO113/DO112*100</f>
        <v>34.15300546448087</v>
      </c>
      <c r="DP114" s="98">
        <f t="shared" si="540"/>
        <v>1.8598408589780568</v>
      </c>
      <c r="DQ114" s="134">
        <f>DQ113/DQ112*100</f>
        <v>34.794520547945204</v>
      </c>
      <c r="DR114" s="98">
        <f t="shared" si="540"/>
        <v>2.9092175528209863</v>
      </c>
      <c r="DS114" s="134">
        <f>DS113/DS112*100</f>
        <v>38.116591928251118</v>
      </c>
      <c r="DT114" s="98">
        <f t="shared" si="540"/>
        <v>9.8210717932779801</v>
      </c>
      <c r="DU114" s="134">
        <f>DU113/DU112*100</f>
        <v>37.35849056603773</v>
      </c>
      <c r="DV114" s="98">
        <f t="shared" si="540"/>
        <v>5.8490566037735725</v>
      </c>
      <c r="DW114" s="134">
        <f>DW113/DW112*100</f>
        <v>37.455830388692576</v>
      </c>
      <c r="DX114" s="98">
        <f t="shared" si="540"/>
        <v>9.6706713780918783</v>
      </c>
      <c r="DY114" s="134">
        <f>DY113/DY112*100</f>
        <v>37.551020408163268</v>
      </c>
      <c r="DZ114" s="98">
        <f t="shared" si="540"/>
        <v>7.922224007713341</v>
      </c>
      <c r="EA114" s="134">
        <f>EA113/EA112*100</f>
        <v>37.991266375545848</v>
      </c>
      <c r="EB114" s="98">
        <f t="shared" si="541"/>
        <v>-0.32879527356793892</v>
      </c>
      <c r="EC114" s="134">
        <f>EC113/EC112*100</f>
        <v>35.763888888888893</v>
      </c>
      <c r="ED114" s="98">
        <f t="shared" si="542"/>
        <v>-4.2683782267115333</v>
      </c>
      <c r="EE114" s="134">
        <f>EE113/EE112*100</f>
        <v>37.162162162162161</v>
      </c>
      <c r="EF114" s="860">
        <f t="shared" si="543"/>
        <v>-0.78403875573685999</v>
      </c>
      <c r="EG114" s="134">
        <f>EG113/EG112*100</f>
        <v>37.184115523465707</v>
      </c>
      <c r="EH114" s="860">
        <f t="shared" si="544"/>
        <v>-0.97708366033589789</v>
      </c>
      <c r="EI114" s="134">
        <f>EI113/EI112*100</f>
        <v>34.899328859060404</v>
      </c>
      <c r="EJ114" s="860">
        <f t="shared" si="545"/>
        <v>-8.1385481755766325</v>
      </c>
      <c r="EK114" s="134">
        <f>EK113/EK112*100</f>
        <v>34.935897435897431</v>
      </c>
      <c r="EL114" s="860">
        <f t="shared" si="546"/>
        <v>-2.3151605675877818</v>
      </c>
      <c r="EM114" s="134">
        <f>EM113/EM112*100</f>
        <v>34.864864864864863</v>
      </c>
      <c r="EN114" s="860">
        <f t="shared" si="547"/>
        <v>-6.1818181818181888</v>
      </c>
      <c r="EO114" s="134">
        <f>EO113/EO112*100</f>
        <v>34.659090909090914</v>
      </c>
      <c r="EP114" s="98">
        <f t="shared" si="548"/>
        <v>-6.7906001765224993</v>
      </c>
      <c r="EQ114" s="877">
        <v>20</v>
      </c>
      <c r="ER114" s="98">
        <f t="shared" si="550"/>
        <v>-42.692307692307693</v>
      </c>
      <c r="ES114" s="877">
        <f t="shared" ref="ES114" si="566">EQ114</f>
        <v>20</v>
      </c>
      <c r="ET114" s="98">
        <f t="shared" si="552"/>
        <v>-42.752293577981646</v>
      </c>
      <c r="EU114" s="877">
        <f t="shared" ref="EU114" si="567">ES114</f>
        <v>20</v>
      </c>
      <c r="EV114" s="98">
        <f t="shared" si="554"/>
        <v>-42.63565891472868</v>
      </c>
      <c r="EW114" s="877">
        <f t="shared" ref="EW114" si="568">EU114</f>
        <v>20</v>
      </c>
      <c r="EX114" s="98">
        <f t="shared" si="556"/>
        <v>-42.295081967213122</v>
      </c>
      <c r="EY114" s="135"/>
      <c r="EZ114" s="594"/>
      <c r="FA114" s="405"/>
      <c r="FB114" s="94"/>
      <c r="FC114" s="92"/>
      <c r="FD114" s="94"/>
      <c r="FE114" s="92"/>
      <c r="FF114" s="95"/>
      <c r="FG114" s="92"/>
      <c r="FH114" s="95"/>
      <c r="FI114" s="92"/>
      <c r="FJ114" s="95"/>
      <c r="FK114" s="92"/>
      <c r="FL114" s="95"/>
      <c r="FM114" s="92"/>
      <c r="FN114" s="95"/>
      <c r="FO114" s="92"/>
      <c r="FP114" s="95"/>
      <c r="FQ114" s="92"/>
      <c r="FR114" s="96"/>
      <c r="FS114" s="97"/>
      <c r="FT114" s="96"/>
      <c r="FU114" s="97"/>
      <c r="FV114" s="148"/>
      <c r="FW114" s="98"/>
      <c r="FX114" s="493"/>
      <c r="FY114" s="98"/>
      <c r="FZ114" s="148"/>
      <c r="GA114" s="98"/>
      <c r="GB114" s="493">
        <f>GB113/GB112*100</f>
        <v>33.308383233532936</v>
      </c>
      <c r="GC114" s="98" t="str">
        <f t="shared" si="557"/>
        <v>NA</v>
      </c>
      <c r="GD114" s="148">
        <f>GD113/GD112*100</f>
        <v>33.379597501734906</v>
      </c>
      <c r="GE114" s="98">
        <f t="shared" si="558"/>
        <v>0.21380283666929678</v>
      </c>
      <c r="GF114" s="148">
        <f>GF113/GF112*100</f>
        <v>33.655172413793103</v>
      </c>
      <c r="GG114" s="98">
        <f t="shared" si="559"/>
        <v>0.8255788945444209</v>
      </c>
      <c r="GH114" s="148">
        <f>GH113/GH112*100</f>
        <v>34.721189591078065</v>
      </c>
      <c r="GI114" s="98">
        <f t="shared" si="559"/>
        <v>3.1674690718508147</v>
      </c>
      <c r="GJ114" s="148">
        <f>GJ113/GJ112*100</f>
        <v>37.598425196850393</v>
      </c>
      <c r="GK114" s="98">
        <f t="shared" si="559"/>
        <v>8.2866849887875293</v>
      </c>
      <c r="GL114" s="148">
        <f>GL113/GL112*100</f>
        <v>36.972477064220186</v>
      </c>
      <c r="GM114" s="98">
        <f t="shared" si="559"/>
        <v>-1.6648253998751028</v>
      </c>
      <c r="GN114" s="148">
        <f>GN113/GN112*100</f>
        <v>34.83483483483483</v>
      </c>
      <c r="GO114" s="98">
        <f t="shared" si="559"/>
        <v>-5.7817122333251536</v>
      </c>
      <c r="GP114" s="148">
        <f>GP113/GP112*100</f>
        <v>19.999999999999982</v>
      </c>
      <c r="GQ114" s="98">
        <f t="shared" si="559"/>
        <v>-42.586206896551772</v>
      </c>
      <c r="GR114" s="135">
        <f>GP114</f>
        <v>19.999999999999982</v>
      </c>
      <c r="GS114" s="98">
        <f t="shared" si="559"/>
        <v>0</v>
      </c>
      <c r="GT114" s="135">
        <f>GR114</f>
        <v>19.999999999999982</v>
      </c>
      <c r="GU114" s="98">
        <f t="shared" si="559"/>
        <v>0</v>
      </c>
      <c r="GV114" s="135">
        <f>GT114</f>
        <v>19.999999999999982</v>
      </c>
      <c r="GW114" s="98">
        <f t="shared" si="559"/>
        <v>0</v>
      </c>
      <c r="GX114" s="135">
        <f>GV114</f>
        <v>19.999999999999982</v>
      </c>
      <c r="GY114" s="98">
        <f t="shared" si="560"/>
        <v>0</v>
      </c>
      <c r="GZ114" s="98">
        <f t="shared" si="561"/>
        <v>-10.504077706527736</v>
      </c>
      <c r="HA114" s="98"/>
      <c r="HB114" s="10"/>
      <c r="HC114"/>
      <c r="HD114"/>
      <c r="HE114"/>
      <c r="HF114"/>
      <c r="HG114"/>
      <c r="HH114"/>
      <c r="HI114" s="10"/>
    </row>
    <row r="115" spans="1:217" s="2" customFormat="1" ht="12.75" customHeight="1" x14ac:dyDescent="0.2">
      <c r="A115" s="2" t="s">
        <v>183</v>
      </c>
      <c r="B115" s="93" t="s">
        <v>213</v>
      </c>
      <c r="C115" s="94"/>
      <c r="D115" s="92"/>
      <c r="E115" s="94"/>
      <c r="F115" s="92"/>
      <c r="G115" s="94"/>
      <c r="H115" s="92"/>
      <c r="I115" s="94"/>
      <c r="J115" s="98"/>
      <c r="K115" s="94"/>
      <c r="L115" s="98"/>
      <c r="M115" s="94"/>
      <c r="N115" s="98"/>
      <c r="O115" s="94"/>
      <c r="P115" s="98"/>
      <c r="Q115" s="94"/>
      <c r="R115" s="98"/>
      <c r="S115" s="94"/>
      <c r="T115" s="98"/>
      <c r="U115" s="94"/>
      <c r="V115" s="98"/>
      <c r="W115" s="94"/>
      <c r="X115" s="98"/>
      <c r="Y115" s="94"/>
      <c r="Z115" s="98"/>
      <c r="AA115" s="94"/>
      <c r="AB115" s="98"/>
      <c r="AC115" s="94"/>
      <c r="AD115" s="98"/>
      <c r="AE115" s="94"/>
      <c r="AF115" s="98"/>
      <c r="AG115" s="94"/>
      <c r="AH115" s="98"/>
      <c r="AI115" s="94"/>
      <c r="AJ115" s="98"/>
      <c r="AK115" s="94"/>
      <c r="AL115" s="98"/>
      <c r="AM115" s="94"/>
      <c r="AN115" s="98"/>
      <c r="AO115" s="94"/>
      <c r="AP115" s="98"/>
      <c r="AQ115" s="94"/>
      <c r="AR115" s="98"/>
      <c r="AS115" s="94"/>
      <c r="AT115" s="98"/>
      <c r="AU115" s="94"/>
      <c r="AV115" s="98"/>
      <c r="AW115" s="94"/>
      <c r="AX115" s="98"/>
      <c r="AY115" s="132"/>
      <c r="AZ115" s="98"/>
      <c r="BA115" s="132"/>
      <c r="BB115" s="98"/>
      <c r="BC115" s="132"/>
      <c r="BD115" s="98"/>
      <c r="BE115" s="132"/>
      <c r="BF115" s="98"/>
      <c r="BG115" s="132"/>
      <c r="BH115" s="98"/>
      <c r="BI115" s="132"/>
      <c r="BJ115" s="98"/>
      <c r="BK115" s="132"/>
      <c r="BL115" s="98"/>
      <c r="BM115" s="132"/>
      <c r="BN115" s="98"/>
      <c r="BO115" s="132"/>
      <c r="BP115" s="98"/>
      <c r="BQ115" s="132"/>
      <c r="BR115" s="98"/>
      <c r="BS115" s="132"/>
      <c r="BT115" s="98"/>
      <c r="BU115" s="132"/>
      <c r="BV115" s="98"/>
      <c r="BW115" s="132"/>
      <c r="BX115" s="98"/>
      <c r="BY115" s="132"/>
      <c r="BZ115" s="98"/>
      <c r="CA115" s="132"/>
      <c r="CB115" s="98"/>
      <c r="CC115" s="132"/>
      <c r="CD115" s="98"/>
      <c r="CE115" s="132"/>
      <c r="CF115" s="98"/>
      <c r="CG115" s="132"/>
      <c r="CH115" s="98"/>
      <c r="CI115" s="132"/>
      <c r="CJ115" s="98"/>
      <c r="CK115" s="132"/>
      <c r="CL115" s="98"/>
      <c r="CM115" s="132"/>
      <c r="CN115" s="98"/>
      <c r="CO115" s="132"/>
      <c r="CP115" s="98"/>
      <c r="CQ115" s="488">
        <f>CQ112-CQ113</f>
        <v>153</v>
      </c>
      <c r="CR115" s="98" t="str">
        <f t="shared" si="529"/>
        <v>NA</v>
      </c>
      <c r="CS115" s="132">
        <f>CS112-CS113</f>
        <v>240</v>
      </c>
      <c r="CT115" s="98" t="str">
        <f t="shared" si="530"/>
        <v>NA</v>
      </c>
      <c r="CU115" s="132">
        <f>CU112-CU113</f>
        <v>243</v>
      </c>
      <c r="CV115" s="98" t="str">
        <f t="shared" si="531"/>
        <v>NA</v>
      </c>
      <c r="CW115" s="132">
        <f>CW112-CW113</f>
        <v>267</v>
      </c>
      <c r="CX115" s="98" t="str">
        <f t="shared" si="532"/>
        <v>NA</v>
      </c>
      <c r="CY115" s="132">
        <f>CY112-CY113</f>
        <v>283</v>
      </c>
      <c r="CZ115" s="98">
        <f t="shared" si="533"/>
        <v>84.967320261437919</v>
      </c>
      <c r="DA115" s="132">
        <f>DA112-DA113</f>
        <v>167</v>
      </c>
      <c r="DB115" s="98">
        <f t="shared" si="534"/>
        <v>-30.416666666666671</v>
      </c>
      <c r="DC115" s="132">
        <f>DC112-DC113</f>
        <v>230</v>
      </c>
      <c r="DD115" s="98">
        <f t="shared" si="535"/>
        <v>-5.3497942386831259</v>
      </c>
      <c r="DE115" s="132">
        <f>DE112-DE113</f>
        <v>275</v>
      </c>
      <c r="DF115" s="98">
        <f t="shared" si="536"/>
        <v>2.9962546816479474</v>
      </c>
      <c r="DG115" s="132">
        <f>DG112-DG113</f>
        <v>226</v>
      </c>
      <c r="DH115" s="98">
        <f t="shared" si="537"/>
        <v>-20.141342756183743</v>
      </c>
      <c r="DI115" s="132">
        <f>DI112-DI113</f>
        <v>231</v>
      </c>
      <c r="DJ115" s="98">
        <f t="shared" si="538"/>
        <v>38.323353293413163</v>
      </c>
      <c r="DK115" s="132">
        <f>DK112-DK113</f>
        <v>190</v>
      </c>
      <c r="DL115" s="98">
        <f t="shared" si="539"/>
        <v>-17.391304347826086</v>
      </c>
      <c r="DM115" s="132">
        <f>DM112-DM113</f>
        <v>209</v>
      </c>
      <c r="DN115" s="98">
        <f t="shared" si="540"/>
        <v>-24</v>
      </c>
      <c r="DO115" s="132">
        <f>DO112-DO113</f>
        <v>241</v>
      </c>
      <c r="DP115" s="98">
        <f t="shared" si="540"/>
        <v>6.6371681415929196</v>
      </c>
      <c r="DQ115" s="132">
        <f>DQ112-DQ113</f>
        <v>238</v>
      </c>
      <c r="DR115" s="98">
        <f t="shared" si="540"/>
        <v>3.0303030303030276</v>
      </c>
      <c r="DS115" s="132">
        <f>DS112-DS113</f>
        <v>138</v>
      </c>
      <c r="DT115" s="98">
        <f t="shared" si="540"/>
        <v>-27.368421052631575</v>
      </c>
      <c r="DU115" s="132">
        <f>DU112-DU113</f>
        <v>166</v>
      </c>
      <c r="DV115" s="98">
        <f t="shared" si="540"/>
        <v>-20.574162679425832</v>
      </c>
      <c r="DW115" s="132">
        <f>DW112-DW113</f>
        <v>177</v>
      </c>
      <c r="DX115" s="98">
        <f t="shared" si="540"/>
        <v>-26.556016597510368</v>
      </c>
      <c r="DY115" s="132">
        <f>DY112-DY113</f>
        <v>153</v>
      </c>
      <c r="DZ115" s="98">
        <f t="shared" si="540"/>
        <v>-35.714285714285708</v>
      </c>
      <c r="EA115" s="132">
        <f>EA112-EA113</f>
        <v>142</v>
      </c>
      <c r="EB115" s="98">
        <f t="shared" si="541"/>
        <v>2.8985507246376718</v>
      </c>
      <c r="EC115" s="132">
        <f>EC112-EC113</f>
        <v>185</v>
      </c>
      <c r="ED115" s="98">
        <f t="shared" si="542"/>
        <v>11.44578313253013</v>
      </c>
      <c r="EE115" s="132">
        <f>EE112-EE113</f>
        <v>186</v>
      </c>
      <c r="EF115" s="860">
        <f t="shared" si="543"/>
        <v>5.0847457627118731</v>
      </c>
      <c r="EG115" s="132">
        <f>EG112-EG113</f>
        <v>174</v>
      </c>
      <c r="EH115" s="860">
        <f t="shared" si="544"/>
        <v>13.725490196078427</v>
      </c>
      <c r="EI115" s="132">
        <f>EI112-EI113</f>
        <v>194</v>
      </c>
      <c r="EJ115" s="860">
        <f t="shared" si="545"/>
        <v>36.619718309859152</v>
      </c>
      <c r="EK115" s="132">
        <f>EK112-EK113</f>
        <v>203</v>
      </c>
      <c r="EL115" s="860">
        <f t="shared" si="546"/>
        <v>9.7297297297297192</v>
      </c>
      <c r="EM115" s="132">
        <f>EM112-EM113</f>
        <v>241</v>
      </c>
      <c r="EN115" s="860">
        <f t="shared" si="547"/>
        <v>29.569892473118276</v>
      </c>
      <c r="EO115" s="132">
        <f>EO112-EO113</f>
        <v>230</v>
      </c>
      <c r="EP115" s="98">
        <f t="shared" si="548"/>
        <v>32.18390804597702</v>
      </c>
      <c r="EQ115" s="1005">
        <f t="shared" ref="EQ115" si="569">EQ112-EQ113</f>
        <v>269.4829126818604</v>
      </c>
      <c r="ER115" s="98">
        <f t="shared" si="550"/>
        <v>38.908717877247632</v>
      </c>
      <c r="ES115" s="1005">
        <f t="shared" ref="ES115" si="570">ES112-ES113</f>
        <v>279.21890097846847</v>
      </c>
      <c r="ET115" s="98">
        <f t="shared" si="552"/>
        <v>37.546256639639644</v>
      </c>
      <c r="EU115" s="1005">
        <f t="shared" ref="EU115" si="571">EU112-EU113</f>
        <v>288.74141177748498</v>
      </c>
      <c r="EV115" s="98">
        <f t="shared" si="554"/>
        <v>19.809714430491688</v>
      </c>
      <c r="EW115" s="1005">
        <f t="shared" ref="EW115" si="572">EW112-EW113</f>
        <v>298.57441754230206</v>
      </c>
      <c r="EX115" s="98">
        <f t="shared" si="556"/>
        <v>29.814964148826984</v>
      </c>
      <c r="EY115" s="132"/>
      <c r="EZ115" s="594"/>
      <c r="FA115" s="405"/>
      <c r="FB115" s="94"/>
      <c r="FC115" s="92"/>
      <c r="FD115" s="94"/>
      <c r="FE115" s="92"/>
      <c r="FF115" s="95"/>
      <c r="FG115" s="92"/>
      <c r="FH115" s="95"/>
      <c r="FI115" s="92"/>
      <c r="FJ115" s="95"/>
      <c r="FK115" s="92"/>
      <c r="FL115" s="95"/>
      <c r="FM115" s="92"/>
      <c r="FN115" s="95"/>
      <c r="FO115" s="92"/>
      <c r="FP115" s="95"/>
      <c r="FQ115" s="92"/>
      <c r="FR115" s="96"/>
      <c r="FS115" s="97"/>
      <c r="FT115" s="96"/>
      <c r="FU115" s="97"/>
      <c r="FV115" s="132"/>
      <c r="FW115" s="98"/>
      <c r="FX115" s="488"/>
      <c r="FY115" s="98"/>
      <c r="FZ115" s="132"/>
      <c r="GA115" s="98"/>
      <c r="GB115" s="488">
        <f>GB112-GB113</f>
        <v>891</v>
      </c>
      <c r="GC115" s="98" t="str">
        <f t="shared" si="557"/>
        <v>NA</v>
      </c>
      <c r="GD115" s="132">
        <f>GD112-GD113</f>
        <v>960</v>
      </c>
      <c r="GE115" s="98">
        <f t="shared" si="558"/>
        <v>7.7441077441077422</v>
      </c>
      <c r="GF115" s="132">
        <f>GF112-GF113</f>
        <v>962</v>
      </c>
      <c r="GG115" s="98">
        <f t="shared" si="559"/>
        <v>0.2083333333333437</v>
      </c>
      <c r="GH115" s="132">
        <f>GH112-GH113</f>
        <v>878</v>
      </c>
      <c r="GI115" s="98">
        <f t="shared" si="559"/>
        <v>-8.7318087318087318</v>
      </c>
      <c r="GJ115" s="132">
        <f>GJ112-GJ113</f>
        <v>634</v>
      </c>
      <c r="GK115" s="98">
        <f t="shared" si="559"/>
        <v>-27.79043280182233</v>
      </c>
      <c r="GL115" s="132">
        <f>GL112-GL113</f>
        <v>687</v>
      </c>
      <c r="GM115" s="98">
        <f t="shared" si="559"/>
        <v>8.3596214511040934</v>
      </c>
      <c r="GN115" s="132">
        <f>GN112-GN113</f>
        <v>868</v>
      </c>
      <c r="GO115" s="98">
        <f t="shared" si="559"/>
        <v>26.346433770014556</v>
      </c>
      <c r="GP115" s="132">
        <f>GP112-GP113</f>
        <v>1136.0176429801172</v>
      </c>
      <c r="GQ115" s="98">
        <f t="shared" si="559"/>
        <v>30.877608638262345</v>
      </c>
      <c r="GR115" s="132">
        <f>GR112-GR113</f>
        <v>1189.243718302029</v>
      </c>
      <c r="GS115" s="98">
        <f t="shared" si="559"/>
        <v>4.6853211876431544</v>
      </c>
      <c r="GT115" s="132">
        <f>GT112-GT113</f>
        <v>1208.1936316817391</v>
      </c>
      <c r="GU115" s="98">
        <f t="shared" si="559"/>
        <v>1.5934423775444628</v>
      </c>
      <c r="GV115" s="132">
        <f>GV112-GV113</f>
        <v>1229.5493105467267</v>
      </c>
      <c r="GW115" s="98">
        <f t="shared" si="559"/>
        <v>1.7675708847481264</v>
      </c>
      <c r="GX115" s="132">
        <f>GX112-GX113</f>
        <v>1253.1023517910103</v>
      </c>
      <c r="GY115" s="98">
        <f t="shared" si="560"/>
        <v>1.9155832988764443</v>
      </c>
      <c r="GZ115" s="98">
        <f t="shared" si="561"/>
        <v>7.620093240321224</v>
      </c>
      <c r="HA115" s="98"/>
      <c r="HB115" s="10"/>
      <c r="HC115"/>
      <c r="HD115"/>
      <c r="HE115"/>
      <c r="HF115"/>
      <c r="HG115"/>
      <c r="HH115"/>
      <c r="HI115" s="10"/>
    </row>
    <row r="116" spans="1:217" s="2" customFormat="1" ht="12.75" customHeight="1" x14ac:dyDescent="0.2">
      <c r="B116" s="102" t="s">
        <v>514</v>
      </c>
      <c r="C116" s="94"/>
      <c r="D116" s="92"/>
      <c r="E116" s="94"/>
      <c r="F116" s="92"/>
      <c r="G116" s="94"/>
      <c r="H116" s="92"/>
      <c r="I116" s="94"/>
      <c r="J116" s="98"/>
      <c r="K116" s="94"/>
      <c r="L116" s="98"/>
      <c r="M116" s="94"/>
      <c r="N116" s="98"/>
      <c r="O116" s="94"/>
      <c r="P116" s="98"/>
      <c r="Q116" s="94"/>
      <c r="R116" s="98"/>
      <c r="S116" s="94"/>
      <c r="T116" s="98"/>
      <c r="U116" s="94"/>
      <c r="V116" s="98"/>
      <c r="W116" s="94"/>
      <c r="X116" s="98"/>
      <c r="Y116" s="94"/>
      <c r="Z116" s="98"/>
      <c r="AA116" s="94"/>
      <c r="AB116" s="98"/>
      <c r="AC116" s="94"/>
      <c r="AD116" s="98"/>
      <c r="AE116" s="94"/>
      <c r="AF116" s="98"/>
      <c r="AG116" s="94"/>
      <c r="AH116" s="98"/>
      <c r="AI116" s="94"/>
      <c r="AJ116" s="98"/>
      <c r="AK116" s="94"/>
      <c r="AL116" s="98"/>
      <c r="AM116" s="94"/>
      <c r="AN116" s="98"/>
      <c r="AO116" s="94"/>
      <c r="AP116" s="98"/>
      <c r="AQ116" s="94"/>
      <c r="AR116" s="98"/>
      <c r="AS116" s="94"/>
      <c r="AT116" s="98"/>
      <c r="AU116" s="94"/>
      <c r="AV116" s="98"/>
      <c r="AW116" s="94"/>
      <c r="AX116" s="98"/>
      <c r="AY116" s="101"/>
      <c r="AZ116" s="98"/>
      <c r="BA116" s="101"/>
      <c r="BB116" s="98"/>
      <c r="BC116" s="101"/>
      <c r="BD116" s="98"/>
      <c r="BE116" s="101"/>
      <c r="BF116" s="98"/>
      <c r="BG116" s="101"/>
      <c r="BH116" s="98"/>
      <c r="BI116" s="101"/>
      <c r="BJ116" s="98"/>
      <c r="BK116" s="101"/>
      <c r="BL116" s="98"/>
      <c r="BM116" s="101"/>
      <c r="BN116" s="98"/>
      <c r="BO116" s="101"/>
      <c r="BP116" s="98"/>
      <c r="BQ116" s="101"/>
      <c r="BR116" s="98"/>
      <c r="BS116" s="101"/>
      <c r="BT116" s="98"/>
      <c r="BU116" s="101"/>
      <c r="BV116" s="98"/>
      <c r="BW116" s="101"/>
      <c r="BX116" s="98"/>
      <c r="BY116" s="101"/>
      <c r="BZ116" s="98"/>
      <c r="CA116" s="101"/>
      <c r="CB116" s="98"/>
      <c r="CC116" s="101"/>
      <c r="CD116" s="98"/>
      <c r="CE116" s="101"/>
      <c r="CF116" s="98"/>
      <c r="CG116" s="101"/>
      <c r="CH116" s="98"/>
      <c r="CI116" s="101"/>
      <c r="CJ116" s="98"/>
      <c r="CK116" s="101"/>
      <c r="CL116" s="98"/>
      <c r="CM116" s="101"/>
      <c r="CN116" s="98"/>
      <c r="CO116" s="101"/>
      <c r="CP116" s="98"/>
      <c r="CQ116" s="481"/>
      <c r="CR116" s="98" t="str">
        <f t="shared" si="529"/>
        <v>NA</v>
      </c>
      <c r="CS116" s="100"/>
      <c r="CT116" s="98" t="str">
        <f t="shared" si="530"/>
        <v>NA</v>
      </c>
      <c r="CU116" s="100"/>
      <c r="CV116" s="98" t="str">
        <f t="shared" si="531"/>
        <v>NA</v>
      </c>
      <c r="CW116" s="100"/>
      <c r="CX116" s="98" t="str">
        <f t="shared" si="532"/>
        <v>NA</v>
      </c>
      <c r="CY116" s="101">
        <f>6+11</f>
        <v>17</v>
      </c>
      <c r="CZ116" s="98" t="str">
        <f t="shared" si="533"/>
        <v>NA</v>
      </c>
      <c r="DA116" s="101">
        <f>7+5-33+24-50</f>
        <v>-47</v>
      </c>
      <c r="DB116" s="98" t="str">
        <f t="shared" si="534"/>
        <v>NA</v>
      </c>
      <c r="DC116" s="101">
        <v>-4</v>
      </c>
      <c r="DD116" s="98" t="str">
        <f t="shared" si="535"/>
        <v>NA</v>
      </c>
      <c r="DE116" s="101">
        <f>2+1+5+4</f>
        <v>12</v>
      </c>
      <c r="DF116" s="98" t="str">
        <f t="shared" si="536"/>
        <v>NA</v>
      </c>
      <c r="DG116" s="101">
        <f>5+6</f>
        <v>11</v>
      </c>
      <c r="DH116" s="98">
        <f t="shared" si="537"/>
        <v>-35.294117647058819</v>
      </c>
      <c r="DI116" s="101">
        <f>7+9</f>
        <v>16</v>
      </c>
      <c r="DJ116" s="98" t="str">
        <f t="shared" si="538"/>
        <v>NM</v>
      </c>
      <c r="DK116" s="101">
        <v>1</v>
      </c>
      <c r="DL116" s="98" t="str">
        <f t="shared" si="539"/>
        <v>NM</v>
      </c>
      <c r="DM116" s="101">
        <f>-1-1</f>
        <v>-2</v>
      </c>
      <c r="DN116" s="98" t="str">
        <f t="shared" si="540"/>
        <v>NM</v>
      </c>
      <c r="DO116" s="101">
        <f>8+15</f>
        <v>23</v>
      </c>
      <c r="DP116" s="98" t="str">
        <f t="shared" si="540"/>
        <v>NM</v>
      </c>
      <c r="DQ116" s="101">
        <f>10-9</f>
        <v>1</v>
      </c>
      <c r="DR116" s="98" t="str">
        <f t="shared" si="540"/>
        <v>NM</v>
      </c>
      <c r="DS116" s="950">
        <v>0</v>
      </c>
      <c r="DT116" s="860" t="str">
        <f t="shared" si="540"/>
        <v>NM</v>
      </c>
      <c r="DU116" s="950">
        <v>0</v>
      </c>
      <c r="DV116" s="860" t="str">
        <f t="shared" si="540"/>
        <v>NM</v>
      </c>
      <c r="DW116" s="950">
        <v>7</v>
      </c>
      <c r="DX116" s="860" t="str">
        <f t="shared" si="540"/>
        <v>NM</v>
      </c>
      <c r="DY116" s="950">
        <v>-6</v>
      </c>
      <c r="DZ116" s="860" t="str">
        <f t="shared" si="540"/>
        <v>NM</v>
      </c>
      <c r="EA116" s="951">
        <v>-1</v>
      </c>
      <c r="EB116" s="860" t="str">
        <f t="shared" si="541"/>
        <v>NA</v>
      </c>
      <c r="EC116" s="951">
        <v>-2</v>
      </c>
      <c r="ED116" s="98" t="str">
        <f t="shared" si="542"/>
        <v>NA</v>
      </c>
      <c r="EE116" s="951">
        <v>12.4</v>
      </c>
      <c r="EF116" s="860">
        <f t="shared" si="543"/>
        <v>77.142857142857153</v>
      </c>
      <c r="EG116" s="951">
        <v>0</v>
      </c>
      <c r="EH116" s="860" t="str">
        <f t="shared" si="544"/>
        <v>NM</v>
      </c>
      <c r="EI116" s="951">
        <v>3</v>
      </c>
      <c r="EJ116" s="860" t="str">
        <f t="shared" si="545"/>
        <v>NM</v>
      </c>
      <c r="EK116" s="951">
        <v>0</v>
      </c>
      <c r="EL116" s="860" t="str">
        <f t="shared" si="546"/>
        <v>NM</v>
      </c>
      <c r="EM116" s="951">
        <v>0</v>
      </c>
      <c r="EN116" s="860" t="str">
        <f t="shared" si="547"/>
        <v>NM</v>
      </c>
      <c r="EO116" s="951">
        <v>0</v>
      </c>
      <c r="EP116" s="98" t="str">
        <f t="shared" si="548"/>
        <v>NA</v>
      </c>
      <c r="EQ116" s="789">
        <v>0</v>
      </c>
      <c r="ER116" s="98" t="str">
        <f t="shared" si="550"/>
        <v>NM</v>
      </c>
      <c r="ES116" s="789">
        <v>0</v>
      </c>
      <c r="ET116" s="98" t="str">
        <f t="shared" si="552"/>
        <v>NA</v>
      </c>
      <c r="EU116" s="789">
        <v>0</v>
      </c>
      <c r="EV116" s="98" t="str">
        <f t="shared" si="554"/>
        <v>NA</v>
      </c>
      <c r="EW116" s="789">
        <v>0</v>
      </c>
      <c r="EX116" s="98" t="str">
        <f t="shared" si="556"/>
        <v>NA</v>
      </c>
      <c r="EY116" s="95"/>
      <c r="EZ116" s="594"/>
      <c r="FA116" s="405"/>
      <c r="FB116" s="94"/>
      <c r="FC116" s="92"/>
      <c r="FD116" s="94"/>
      <c r="FE116" s="92"/>
      <c r="FF116" s="95"/>
      <c r="FG116" s="92"/>
      <c r="FH116" s="95"/>
      <c r="FI116" s="92"/>
      <c r="FJ116" s="95"/>
      <c r="FK116" s="92"/>
      <c r="FL116" s="95"/>
      <c r="FM116" s="92"/>
      <c r="FN116" s="95"/>
      <c r="FO116" s="92"/>
      <c r="FP116" s="95"/>
      <c r="FQ116" s="92"/>
      <c r="FR116" s="96"/>
      <c r="FS116" s="97"/>
      <c r="FT116" s="96"/>
      <c r="FU116" s="97"/>
      <c r="FV116" s="95"/>
      <c r="FW116" s="98"/>
      <c r="FX116" s="481"/>
      <c r="FY116" s="98"/>
      <c r="FZ116" s="96"/>
      <c r="GA116" s="98"/>
      <c r="GB116" s="96">
        <f>CS116+CU116+CW116+CY116</f>
        <v>17</v>
      </c>
      <c r="GC116" s="98" t="str">
        <f t="shared" si="557"/>
        <v>NA</v>
      </c>
      <c r="GD116" s="96">
        <f>CU116+CW116+CY116+DA116</f>
        <v>-30</v>
      </c>
      <c r="GE116" s="98" t="str">
        <f t="shared" si="558"/>
        <v>NM</v>
      </c>
      <c r="GF116" s="96">
        <f>DC116+DE116+DG116+DI116</f>
        <v>35</v>
      </c>
      <c r="GG116" s="98" t="str">
        <f t="shared" si="559"/>
        <v>NM</v>
      </c>
      <c r="GH116" s="96">
        <f>DK116+DM116+DO116+DQ116</f>
        <v>23</v>
      </c>
      <c r="GI116" s="98">
        <f t="shared" si="559"/>
        <v>-34.285714285714285</v>
      </c>
      <c r="GJ116" s="96">
        <f>DS116+DU116+DW116+DY116</f>
        <v>1</v>
      </c>
      <c r="GK116" s="98" t="str">
        <f t="shared" si="559"/>
        <v>NM</v>
      </c>
      <c r="GL116" s="96">
        <f>EA116+EC116+EE116+EG116</f>
        <v>9.4</v>
      </c>
      <c r="GM116" s="98" t="str">
        <f t="shared" si="559"/>
        <v>NM</v>
      </c>
      <c r="GN116" s="96">
        <f>EI116+EK116+EM116+EO116</f>
        <v>3</v>
      </c>
      <c r="GO116" s="98" t="str">
        <f t="shared" si="559"/>
        <v>NM</v>
      </c>
      <c r="GP116" s="96">
        <f>EQ116+ES116+EU116+EW116</f>
        <v>0</v>
      </c>
      <c r="GQ116" s="98" t="str">
        <f t="shared" si="559"/>
        <v>NM</v>
      </c>
      <c r="GR116" s="95">
        <v>0</v>
      </c>
      <c r="GS116" s="98" t="str">
        <f t="shared" si="559"/>
        <v>NA</v>
      </c>
      <c r="GT116" s="95">
        <v>0</v>
      </c>
      <c r="GU116" s="98" t="str">
        <f t="shared" si="559"/>
        <v>NA</v>
      </c>
      <c r="GV116" s="95">
        <v>0</v>
      </c>
      <c r="GW116" s="98" t="str">
        <f t="shared" si="559"/>
        <v>NA</v>
      </c>
      <c r="GX116" s="95">
        <v>0</v>
      </c>
      <c r="GY116" s="98" t="str">
        <f t="shared" si="560"/>
        <v>NA</v>
      </c>
      <c r="GZ116" s="98" t="str">
        <f t="shared" si="561"/>
        <v>NM</v>
      </c>
      <c r="HA116" s="98"/>
      <c r="HB116" s="10"/>
      <c r="HC116"/>
      <c r="HD116"/>
      <c r="HE116"/>
      <c r="HF116"/>
      <c r="HG116"/>
      <c r="HH116"/>
      <c r="HI116" s="10"/>
    </row>
    <row r="117" spans="1:217" s="2" customFormat="1" ht="12.75" customHeight="1" x14ac:dyDescent="0.2">
      <c r="B117" s="93" t="s">
        <v>214</v>
      </c>
      <c r="C117" s="94"/>
      <c r="D117" s="92"/>
      <c r="E117" s="94"/>
      <c r="F117" s="92"/>
      <c r="G117" s="94"/>
      <c r="H117" s="92"/>
      <c r="I117" s="94"/>
      <c r="J117" s="98"/>
      <c r="K117" s="94"/>
      <c r="L117" s="98"/>
      <c r="M117" s="94"/>
      <c r="N117" s="98"/>
      <c r="O117" s="94"/>
      <c r="P117" s="98"/>
      <c r="Q117" s="94"/>
      <c r="R117" s="98"/>
      <c r="S117" s="94"/>
      <c r="T117" s="98"/>
      <c r="U117" s="94"/>
      <c r="V117" s="98"/>
      <c r="W117" s="94"/>
      <c r="X117" s="98"/>
      <c r="Y117" s="94"/>
      <c r="Z117" s="98"/>
      <c r="AA117" s="94"/>
      <c r="AB117" s="98"/>
      <c r="AC117" s="94"/>
      <c r="AD117" s="98"/>
      <c r="AE117" s="94"/>
      <c r="AF117" s="98"/>
      <c r="AG117" s="94"/>
      <c r="AH117" s="98"/>
      <c r="AI117" s="94"/>
      <c r="AJ117" s="98"/>
      <c r="AK117" s="94"/>
      <c r="AL117" s="98"/>
      <c r="AM117" s="94"/>
      <c r="AN117" s="98"/>
      <c r="AO117" s="94"/>
      <c r="AP117" s="98"/>
      <c r="AQ117" s="94"/>
      <c r="AR117" s="98"/>
      <c r="AS117" s="94"/>
      <c r="AT117" s="98"/>
      <c r="AU117" s="94"/>
      <c r="AV117" s="98"/>
      <c r="AW117" s="94"/>
      <c r="AX117" s="98"/>
      <c r="AY117" s="132"/>
      <c r="AZ117" s="98"/>
      <c r="BA117" s="132"/>
      <c r="BB117" s="98"/>
      <c r="BC117" s="132"/>
      <c r="BD117" s="98"/>
      <c r="BE117" s="132"/>
      <c r="BF117" s="98"/>
      <c r="BG117" s="132"/>
      <c r="BH117" s="98"/>
      <c r="BI117" s="132"/>
      <c r="BJ117" s="98"/>
      <c r="BK117" s="132"/>
      <c r="BL117" s="98"/>
      <c r="BM117" s="132"/>
      <c r="BN117" s="98"/>
      <c r="BO117" s="132"/>
      <c r="BP117" s="98"/>
      <c r="BQ117" s="132"/>
      <c r="BR117" s="98"/>
      <c r="BS117" s="132"/>
      <c r="BT117" s="98"/>
      <c r="BU117" s="132"/>
      <c r="BV117" s="98"/>
      <c r="BW117" s="132"/>
      <c r="BX117" s="98"/>
      <c r="BY117" s="132"/>
      <c r="BZ117" s="98"/>
      <c r="CA117" s="132"/>
      <c r="CB117" s="98"/>
      <c r="CC117" s="132"/>
      <c r="CD117" s="98"/>
      <c r="CE117" s="132"/>
      <c r="CF117" s="98"/>
      <c r="CG117" s="132"/>
      <c r="CH117" s="98"/>
      <c r="CI117" s="132"/>
      <c r="CJ117" s="98"/>
      <c r="CK117" s="132"/>
      <c r="CL117" s="98"/>
      <c r="CM117" s="132"/>
      <c r="CN117" s="98"/>
      <c r="CO117" s="132"/>
      <c r="CP117" s="98"/>
      <c r="CQ117" s="488">
        <f>CQ115-CQ116</f>
        <v>153</v>
      </c>
      <c r="CR117" s="98" t="str">
        <f t="shared" si="529"/>
        <v>NA</v>
      </c>
      <c r="CS117" s="132">
        <f>CS115-CS116</f>
        <v>240</v>
      </c>
      <c r="CT117" s="98" t="str">
        <f t="shared" si="530"/>
        <v>NA</v>
      </c>
      <c r="CU117" s="132">
        <f>CU115-CU116</f>
        <v>243</v>
      </c>
      <c r="CV117" s="98" t="str">
        <f t="shared" si="531"/>
        <v>NA</v>
      </c>
      <c r="CW117" s="132">
        <f>CW115-CW116</f>
        <v>267</v>
      </c>
      <c r="CX117" s="98" t="str">
        <f t="shared" si="532"/>
        <v>NA</v>
      </c>
      <c r="CY117" s="132">
        <f>CY115-CY116</f>
        <v>266</v>
      </c>
      <c r="CZ117" s="98">
        <f t="shared" si="533"/>
        <v>73.856209150326805</v>
      </c>
      <c r="DA117" s="132">
        <f>DA115-DA116</f>
        <v>214</v>
      </c>
      <c r="DB117" s="98">
        <f t="shared" si="534"/>
        <v>-10.833333333333329</v>
      </c>
      <c r="DC117" s="132">
        <f>DC115-DC116</f>
        <v>234</v>
      </c>
      <c r="DD117" s="98">
        <f t="shared" si="535"/>
        <v>-3.703703703703709</v>
      </c>
      <c r="DE117" s="132">
        <f>DE115-DE116</f>
        <v>263</v>
      </c>
      <c r="DF117" s="98">
        <f t="shared" si="536"/>
        <v>-1.4981273408239737</v>
      </c>
      <c r="DG117" s="132">
        <f>DG115-DG116</f>
        <v>215</v>
      </c>
      <c r="DH117" s="98">
        <f t="shared" si="537"/>
        <v>-19.172932330827063</v>
      </c>
      <c r="DI117" s="132">
        <f>DI115-DI116</f>
        <v>215</v>
      </c>
      <c r="DJ117" s="98">
        <f t="shared" si="538"/>
        <v>0.46728971962617383</v>
      </c>
      <c r="DK117" s="132">
        <f>DK115-DK116</f>
        <v>189</v>
      </c>
      <c r="DL117" s="98">
        <f t="shared" si="539"/>
        <v>-19.23076923076923</v>
      </c>
      <c r="DM117" s="132">
        <f>DM115-DM116</f>
        <v>211</v>
      </c>
      <c r="DN117" s="98">
        <f t="shared" si="540"/>
        <v>-19.771863117870726</v>
      </c>
      <c r="DO117" s="132">
        <f>DO115-DO116</f>
        <v>218</v>
      </c>
      <c r="DP117" s="98">
        <f t="shared" si="540"/>
        <v>1.3953488372093092</v>
      </c>
      <c r="DQ117" s="132">
        <f>DQ115-DQ116</f>
        <v>237</v>
      </c>
      <c r="DR117" s="98">
        <f t="shared" si="540"/>
        <v>10.232558139534875</v>
      </c>
      <c r="DS117" s="132">
        <f>DS115-DS116</f>
        <v>138</v>
      </c>
      <c r="DT117" s="98">
        <f t="shared" si="540"/>
        <v>-26.984126984126988</v>
      </c>
      <c r="DU117" s="132">
        <f>DU115-DU116</f>
        <v>166</v>
      </c>
      <c r="DV117" s="98">
        <f t="shared" si="540"/>
        <v>-21.327014218009477</v>
      </c>
      <c r="DW117" s="132">
        <f>DW115-DW116</f>
        <v>170</v>
      </c>
      <c r="DX117" s="98">
        <f t="shared" si="540"/>
        <v>-22.018348623853214</v>
      </c>
      <c r="DY117" s="132">
        <f>DY115-DY116</f>
        <v>159</v>
      </c>
      <c r="DZ117" s="98">
        <f t="shared" si="540"/>
        <v>-32.911392405063289</v>
      </c>
      <c r="EA117" s="132">
        <f>EA115-EA116</f>
        <v>143</v>
      </c>
      <c r="EB117" s="98">
        <f t="shared" si="541"/>
        <v>3.6231884057970953</v>
      </c>
      <c r="EC117" s="132">
        <f>EC115-EC116</f>
        <v>187</v>
      </c>
      <c r="ED117" s="98">
        <f t="shared" si="542"/>
        <v>12.650602409638555</v>
      </c>
      <c r="EE117" s="132">
        <f>EE115-EE116</f>
        <v>173.6</v>
      </c>
      <c r="EF117" s="860">
        <f t="shared" si="543"/>
        <v>2.1176470588235352</v>
      </c>
      <c r="EG117" s="132">
        <f>EG115-EG116</f>
        <v>174</v>
      </c>
      <c r="EH117" s="860">
        <f t="shared" si="544"/>
        <v>9.4339622641509422</v>
      </c>
      <c r="EI117" s="132">
        <f>EI115-EI116</f>
        <v>191</v>
      </c>
      <c r="EJ117" s="860">
        <f t="shared" si="545"/>
        <v>33.56643356643356</v>
      </c>
      <c r="EK117" s="132">
        <f>EK115-EK116</f>
        <v>203</v>
      </c>
      <c r="EL117" s="860">
        <f t="shared" si="546"/>
        <v>8.5561497326203106</v>
      </c>
      <c r="EM117" s="132">
        <f>EM115-EM116</f>
        <v>241</v>
      </c>
      <c r="EN117" s="860">
        <f t="shared" si="547"/>
        <v>38.824884792626733</v>
      </c>
      <c r="EO117" s="132">
        <f>EO115-EO116</f>
        <v>230</v>
      </c>
      <c r="EP117" s="98">
        <f t="shared" si="548"/>
        <v>32.18390804597702</v>
      </c>
      <c r="EQ117" s="1005">
        <f t="shared" ref="EQ117" si="573">EQ115-EQ116</f>
        <v>269.4829126818604</v>
      </c>
      <c r="ER117" s="98">
        <f t="shared" si="550"/>
        <v>41.090530199926903</v>
      </c>
      <c r="ES117" s="1005">
        <f t="shared" ref="ES117" si="574">ES115-ES116</f>
        <v>279.21890097846847</v>
      </c>
      <c r="ET117" s="98">
        <f t="shared" si="552"/>
        <v>37.546256639639644</v>
      </c>
      <c r="EU117" s="1005">
        <f t="shared" ref="EU117" si="575">EU115-EU116</f>
        <v>288.74141177748498</v>
      </c>
      <c r="EV117" s="98">
        <f t="shared" si="554"/>
        <v>19.809714430491688</v>
      </c>
      <c r="EW117" s="1005">
        <f t="shared" ref="EW117" si="576">EW115-EW116</f>
        <v>298.57441754230206</v>
      </c>
      <c r="EX117" s="98">
        <f t="shared" si="556"/>
        <v>29.814964148826984</v>
      </c>
      <c r="EY117" s="132"/>
      <c r="EZ117" s="594"/>
      <c r="FA117" s="405"/>
      <c r="FB117" s="94"/>
      <c r="FC117" s="92"/>
      <c r="FD117" s="94"/>
      <c r="FE117" s="92"/>
      <c r="FF117" s="95"/>
      <c r="FG117" s="92"/>
      <c r="FH117" s="95"/>
      <c r="FI117" s="92"/>
      <c r="FJ117" s="95"/>
      <c r="FK117" s="92"/>
      <c r="FL117" s="95"/>
      <c r="FM117" s="92"/>
      <c r="FN117" s="95"/>
      <c r="FO117" s="92"/>
      <c r="FP117" s="95"/>
      <c r="FQ117" s="92"/>
      <c r="FR117" s="96"/>
      <c r="FS117" s="97"/>
      <c r="FT117" s="96"/>
      <c r="FU117" s="97"/>
      <c r="FV117" s="132"/>
      <c r="FW117" s="98"/>
      <c r="FX117" s="488"/>
      <c r="FY117" s="98"/>
      <c r="FZ117" s="132"/>
      <c r="GA117" s="98"/>
      <c r="GB117" s="488">
        <f>GB115-GB116</f>
        <v>874</v>
      </c>
      <c r="GC117" s="98" t="str">
        <f t="shared" si="557"/>
        <v>NA</v>
      </c>
      <c r="GD117" s="132">
        <f>GD115-GD116</f>
        <v>990</v>
      </c>
      <c r="GE117" s="98">
        <f t="shared" si="558"/>
        <v>13.272311212814646</v>
      </c>
      <c r="GF117" s="132">
        <f>GF115-GF116</f>
        <v>927</v>
      </c>
      <c r="GG117" s="98">
        <f t="shared" si="559"/>
        <v>-6.3636363636363598</v>
      </c>
      <c r="GH117" s="132">
        <f>GH115-GH116</f>
        <v>855</v>
      </c>
      <c r="GI117" s="98">
        <f t="shared" si="559"/>
        <v>-7.7669902912621325</v>
      </c>
      <c r="GJ117" s="132">
        <f>GJ115-GJ116</f>
        <v>633</v>
      </c>
      <c r="GK117" s="98">
        <f t="shared" si="559"/>
        <v>-25.964912280701757</v>
      </c>
      <c r="GL117" s="132">
        <f>GL115-GL116</f>
        <v>677.6</v>
      </c>
      <c r="GM117" s="98">
        <f t="shared" si="559"/>
        <v>7.0458135860979487</v>
      </c>
      <c r="GN117" s="132">
        <f>GN115-GN116</f>
        <v>865</v>
      </c>
      <c r="GO117" s="98">
        <f t="shared" si="559"/>
        <v>27.656434474616297</v>
      </c>
      <c r="GP117" s="132">
        <f>GP115-GP116</f>
        <v>1136.0176429801172</v>
      </c>
      <c r="GQ117" s="98">
        <f t="shared" si="559"/>
        <v>31.331519419666719</v>
      </c>
      <c r="GR117" s="132">
        <f>GR115-GR116</f>
        <v>1189.243718302029</v>
      </c>
      <c r="GS117" s="98">
        <f t="shared" si="559"/>
        <v>4.6853211876431544</v>
      </c>
      <c r="GT117" s="132">
        <f>GT115-GT116</f>
        <v>1208.1936316817391</v>
      </c>
      <c r="GU117" s="98">
        <f t="shared" si="559"/>
        <v>1.5934423775444628</v>
      </c>
      <c r="GV117" s="132">
        <f>GV115-GV116</f>
        <v>1229.5493105467267</v>
      </c>
      <c r="GW117" s="98">
        <f t="shared" si="559"/>
        <v>1.7675708847481264</v>
      </c>
      <c r="GX117" s="132">
        <f>GX115-GX116</f>
        <v>1253.1023517910103</v>
      </c>
      <c r="GY117" s="98">
        <f t="shared" si="560"/>
        <v>1.9155832988764443</v>
      </c>
      <c r="GZ117" s="98">
        <f t="shared" si="561"/>
        <v>7.6946396705763975</v>
      </c>
      <c r="HA117" s="98"/>
      <c r="HB117" s="10"/>
      <c r="HC117"/>
      <c r="HD117"/>
      <c r="HE117"/>
      <c r="HF117"/>
      <c r="HG117"/>
      <c r="HH117"/>
      <c r="HI117" s="10"/>
    </row>
    <row r="118" spans="1:217" s="2" customFormat="1" ht="12.75" customHeight="1" x14ac:dyDescent="0.2">
      <c r="B118" s="91" t="s">
        <v>138</v>
      </c>
      <c r="C118" s="94"/>
      <c r="D118" s="92"/>
      <c r="E118" s="94"/>
      <c r="F118" s="92"/>
      <c r="G118" s="94"/>
      <c r="H118" s="92"/>
      <c r="I118" s="94"/>
      <c r="J118" s="98"/>
      <c r="K118" s="94"/>
      <c r="L118" s="98"/>
      <c r="M118" s="94"/>
      <c r="N118" s="98"/>
      <c r="O118" s="94"/>
      <c r="P118" s="98"/>
      <c r="Q118" s="94"/>
      <c r="R118" s="98"/>
      <c r="S118" s="94"/>
      <c r="T118" s="98"/>
      <c r="U118" s="94"/>
      <c r="V118" s="98"/>
      <c r="W118" s="94"/>
      <c r="X118" s="98"/>
      <c r="Y118" s="94"/>
      <c r="Z118" s="98"/>
      <c r="AA118" s="94"/>
      <c r="AB118" s="98"/>
      <c r="AC118" s="94"/>
      <c r="AD118" s="98"/>
      <c r="AE118" s="94"/>
      <c r="AF118" s="98"/>
      <c r="AG118" s="94"/>
      <c r="AH118" s="98"/>
      <c r="AI118" s="94"/>
      <c r="AJ118" s="98"/>
      <c r="AK118" s="94"/>
      <c r="AL118" s="98"/>
      <c r="AM118" s="94"/>
      <c r="AN118" s="98"/>
      <c r="AO118" s="94"/>
      <c r="AP118" s="98"/>
      <c r="AQ118" s="94"/>
      <c r="AR118" s="98"/>
      <c r="AS118" s="94"/>
      <c r="AT118" s="98"/>
      <c r="AU118" s="94"/>
      <c r="AV118" s="98"/>
      <c r="AW118" s="94"/>
      <c r="AX118" s="98"/>
      <c r="AY118" s="99"/>
      <c r="AZ118" s="98"/>
      <c r="BA118" s="99"/>
      <c r="BB118" s="98"/>
      <c r="BC118" s="99"/>
      <c r="BD118" s="98"/>
      <c r="BE118" s="99"/>
      <c r="BF118" s="98"/>
      <c r="BG118" s="99"/>
      <c r="BH118" s="98"/>
      <c r="BI118" s="99"/>
      <c r="BJ118" s="98"/>
      <c r="BK118" s="99"/>
      <c r="BL118" s="98"/>
      <c r="BM118" s="99"/>
      <c r="BN118" s="98"/>
      <c r="BO118" s="99"/>
      <c r="BP118" s="98"/>
      <c r="BQ118" s="99"/>
      <c r="BR118" s="98"/>
      <c r="BS118" s="99"/>
      <c r="BT118" s="98"/>
      <c r="BU118" s="99"/>
      <c r="BV118" s="98"/>
      <c r="BW118" s="99"/>
      <c r="BX118" s="98"/>
      <c r="BY118" s="99"/>
      <c r="BZ118" s="98"/>
      <c r="CA118" s="99"/>
      <c r="CB118" s="98"/>
      <c r="CC118" s="99"/>
      <c r="CD118" s="98"/>
      <c r="CE118" s="99"/>
      <c r="CF118" s="98"/>
      <c r="CG118" s="99"/>
      <c r="CH118" s="98"/>
      <c r="CI118" s="99"/>
      <c r="CJ118" s="98"/>
      <c r="CK118" s="99"/>
      <c r="CL118" s="98"/>
      <c r="CM118" s="99"/>
      <c r="CN118" s="98"/>
      <c r="CO118" s="99"/>
      <c r="CP118" s="98"/>
      <c r="CQ118" s="482">
        <f>CQ112-CQ116/0.65</f>
        <v>227</v>
      </c>
      <c r="CR118" s="98" t="str">
        <f t="shared" si="529"/>
        <v>NA</v>
      </c>
      <c r="CS118" s="99">
        <f>CS112-CS116/0.65</f>
        <v>360</v>
      </c>
      <c r="CT118" s="98" t="str">
        <f t="shared" si="530"/>
        <v>NA</v>
      </c>
      <c r="CU118" s="99">
        <f>CU112-CU116/0.65</f>
        <v>366</v>
      </c>
      <c r="CV118" s="98" t="str">
        <f t="shared" si="531"/>
        <v>NA</v>
      </c>
      <c r="CW118" s="99">
        <f>CW112-CW116/0.65</f>
        <v>400</v>
      </c>
      <c r="CX118" s="98" t="str">
        <f t="shared" si="532"/>
        <v>NA</v>
      </c>
      <c r="CY118" s="99">
        <f>CY112-CY116/0.65</f>
        <v>401.84615384615387</v>
      </c>
      <c r="CZ118" s="98">
        <f t="shared" si="533"/>
        <v>77.024737377160292</v>
      </c>
      <c r="DA118" s="99">
        <f>DA112-DA116/0.65</f>
        <v>319.30769230769232</v>
      </c>
      <c r="DB118" s="98">
        <f t="shared" si="534"/>
        <v>-11.303418803418797</v>
      </c>
      <c r="DC118" s="99">
        <f>DC112-DC116/0.65</f>
        <v>353.15384615384613</v>
      </c>
      <c r="DD118" s="98">
        <f t="shared" si="535"/>
        <v>-3.5098781000420409</v>
      </c>
      <c r="DE118" s="99">
        <f>DE112-DE116/0.65</f>
        <v>395.53846153846155</v>
      </c>
      <c r="DF118" s="98">
        <f t="shared" si="536"/>
        <v>-1.1153846153846181</v>
      </c>
      <c r="DG118" s="99">
        <f>DG112-DG116/0.65</f>
        <v>323.07692307692309</v>
      </c>
      <c r="DH118" s="98">
        <f t="shared" si="537"/>
        <v>-19.601837672281775</v>
      </c>
      <c r="DI118" s="99">
        <f>DI112-DI116/0.65</f>
        <v>324.38461538461536</v>
      </c>
      <c r="DJ118" s="98">
        <f t="shared" si="538"/>
        <v>1.5899783184774696</v>
      </c>
      <c r="DK118" s="99">
        <f>DK112-DK116/0.65</f>
        <v>289.46153846153845</v>
      </c>
      <c r="DL118" s="98">
        <f t="shared" si="539"/>
        <v>-18.035286429971688</v>
      </c>
      <c r="DM118" s="99">
        <f>DM112-DM116/0.65</f>
        <v>326.07692307692309</v>
      </c>
      <c r="DN118" s="98">
        <f t="shared" si="540"/>
        <v>-17.561260210035002</v>
      </c>
      <c r="DO118" s="99">
        <f>DO112-DO116/0.65</f>
        <v>330.61538461538464</v>
      </c>
      <c r="DP118" s="98">
        <f t="shared" si="540"/>
        <v>2.3333333333333428</v>
      </c>
      <c r="DQ118" s="99">
        <f>DQ112-DQ116/0.65</f>
        <v>363.46153846153845</v>
      </c>
      <c r="DR118" s="98">
        <f t="shared" si="540"/>
        <v>12.046478539245919</v>
      </c>
      <c r="DS118" s="99">
        <f>DS112-DS116/0.65</f>
        <v>223</v>
      </c>
      <c r="DT118" s="98">
        <f t="shared" si="540"/>
        <v>-22.960403933032147</v>
      </c>
      <c r="DU118" s="99">
        <f>DU112-DU116/0.65</f>
        <v>265</v>
      </c>
      <c r="DV118" s="98">
        <f t="shared" si="540"/>
        <v>-18.7308327435716</v>
      </c>
      <c r="DW118" s="99">
        <f>DW112-DW116/0.65</f>
        <v>272.23076923076923</v>
      </c>
      <c r="DX118" s="98">
        <f t="shared" si="540"/>
        <v>-17.659376454164732</v>
      </c>
      <c r="DY118" s="99">
        <f>DY112-DY116/0.65</f>
        <v>254.23076923076923</v>
      </c>
      <c r="DZ118" s="98">
        <f t="shared" si="540"/>
        <v>-30.052910052910054</v>
      </c>
      <c r="EA118" s="99">
        <f>EA112-EA116/0.65</f>
        <v>230.53846153846155</v>
      </c>
      <c r="EB118" s="98">
        <f t="shared" si="541"/>
        <v>3.3804760262159395</v>
      </c>
      <c r="EC118" s="99">
        <f>EC112-EC116/0.65</f>
        <v>291.07692307692309</v>
      </c>
      <c r="ED118" s="98">
        <f t="shared" si="542"/>
        <v>9.8403483309143844</v>
      </c>
      <c r="EE118" s="99">
        <f>EE112-EE116/0.65</f>
        <v>276.92307692307691</v>
      </c>
      <c r="EF118" s="860">
        <f t="shared" si="543"/>
        <v>1.7236507487990993</v>
      </c>
      <c r="EG118" s="99">
        <f>EG112-EG116/0.65</f>
        <v>277</v>
      </c>
      <c r="EH118" s="860">
        <f t="shared" si="544"/>
        <v>8.9561270801815418</v>
      </c>
      <c r="EI118" s="99">
        <f>EI112-EI116/0.65</f>
        <v>293.38461538461536</v>
      </c>
      <c r="EJ118" s="860">
        <f t="shared" si="545"/>
        <v>27.260593927260569</v>
      </c>
      <c r="EK118" s="99">
        <f>EK112-EK116/0.65</f>
        <v>312</v>
      </c>
      <c r="EL118" s="860">
        <f t="shared" si="546"/>
        <v>7.1881606765327621</v>
      </c>
      <c r="EM118" s="99">
        <f>EM112-EM116/0.65</f>
        <v>370</v>
      </c>
      <c r="EN118" s="860">
        <f t="shared" si="547"/>
        <v>33.611111111111128</v>
      </c>
      <c r="EO118" s="99">
        <f>EO112-EO116/0.65</f>
        <v>352</v>
      </c>
      <c r="EP118" s="98">
        <f t="shared" si="548"/>
        <v>27.075812274368239</v>
      </c>
      <c r="EQ118" s="1006">
        <f t="shared" ref="EQ118" si="577">EQ112-EQ116/0.65</f>
        <v>336.8536408523255</v>
      </c>
      <c r="ER118" s="98">
        <f t="shared" si="550"/>
        <v>14.816395675936867</v>
      </c>
      <c r="ES118" s="1006">
        <f t="shared" ref="ES118" si="578">ES112-ES116/0.65</f>
        <v>349.02362622308556</v>
      </c>
      <c r="ET118" s="98">
        <f t="shared" si="552"/>
        <v>11.866546866373584</v>
      </c>
      <c r="EU118" s="1006">
        <f t="shared" ref="EU118" si="579">EU112-EU116/0.65</f>
        <v>360.92676472185622</v>
      </c>
      <c r="EV118" s="98">
        <f t="shared" si="554"/>
        <v>-2.4522257508496681</v>
      </c>
      <c r="EW118" s="1006">
        <f t="shared" ref="EW118" si="580">EW112-EW116/0.65</f>
        <v>373.21802192787754</v>
      </c>
      <c r="EX118" s="98">
        <f t="shared" si="556"/>
        <v>6.0278471386015831</v>
      </c>
      <c r="EY118" s="99"/>
      <c r="EZ118" s="594"/>
      <c r="FA118" s="405"/>
      <c r="FB118" s="94"/>
      <c r="FC118" s="92"/>
      <c r="FD118" s="94"/>
      <c r="FE118" s="92"/>
      <c r="FF118" s="95"/>
      <c r="FG118" s="92"/>
      <c r="FH118" s="95"/>
      <c r="FI118" s="92"/>
      <c r="FJ118" s="95"/>
      <c r="FK118" s="92"/>
      <c r="FL118" s="95"/>
      <c r="FM118" s="92"/>
      <c r="FN118" s="95"/>
      <c r="FO118" s="92"/>
      <c r="FP118" s="95"/>
      <c r="FQ118" s="92"/>
      <c r="FR118" s="96"/>
      <c r="FS118" s="97"/>
      <c r="FT118" s="96"/>
      <c r="FU118" s="97"/>
      <c r="FV118" s="99"/>
      <c r="FW118" s="98"/>
      <c r="FX118" s="482"/>
      <c r="FY118" s="98"/>
      <c r="FZ118" s="99"/>
      <c r="GA118" s="98"/>
      <c r="GB118" s="482">
        <f>GB112-GB116/0.65</f>
        <v>1309.8461538461538</v>
      </c>
      <c r="GC118" s="98" t="str">
        <f t="shared" si="557"/>
        <v>NA</v>
      </c>
      <c r="GD118" s="99">
        <f>GD112-GD116/0.65</f>
        <v>1487.1538461538462</v>
      </c>
      <c r="GE118" s="98">
        <f t="shared" si="558"/>
        <v>13.536528071411791</v>
      </c>
      <c r="GF118" s="99">
        <f>GF112-GF116/0.65</f>
        <v>1396.1538461538462</v>
      </c>
      <c r="GG118" s="98">
        <f t="shared" si="559"/>
        <v>-6.1190710184658386</v>
      </c>
      <c r="GH118" s="99">
        <f>GH112-GH116/0.65</f>
        <v>1309.6153846153845</v>
      </c>
      <c r="GI118" s="98">
        <f t="shared" si="559"/>
        <v>-6.1983471074380292</v>
      </c>
      <c r="GJ118" s="99">
        <f>GJ112-GJ116/0.65</f>
        <v>1014.4615384615385</v>
      </c>
      <c r="GK118" s="98">
        <f t="shared" si="559"/>
        <v>-22.537444933920703</v>
      </c>
      <c r="GL118" s="99">
        <f>GL112-GL116/0.65</f>
        <v>1075.5384615384614</v>
      </c>
      <c r="GM118" s="98">
        <f t="shared" si="559"/>
        <v>6.0206248104337279</v>
      </c>
      <c r="GN118" s="99">
        <f>GN112-GN116/0.65</f>
        <v>1327.3846153846155</v>
      </c>
      <c r="GO118" s="98">
        <f t="shared" si="559"/>
        <v>23.415820340437719</v>
      </c>
      <c r="GP118" s="99">
        <f>GP112-GP116/0.65</f>
        <v>1420.0220537251462</v>
      </c>
      <c r="GQ118" s="98">
        <f t="shared" si="559"/>
        <v>6.9789447057655218</v>
      </c>
      <c r="GR118" s="99">
        <f>GR112-GR116/0.65</f>
        <v>1486.5546478775359</v>
      </c>
      <c r="GS118" s="98">
        <f t="shared" si="559"/>
        <v>4.6853211876431544</v>
      </c>
      <c r="GT118" s="99">
        <f>GT112-GT116/0.65</f>
        <v>1510.2420396021735</v>
      </c>
      <c r="GU118" s="98">
        <f t="shared" si="559"/>
        <v>1.5934423775444628</v>
      </c>
      <c r="GV118" s="99">
        <f>GV112-GV116/0.65</f>
        <v>1536.9366381834079</v>
      </c>
      <c r="GW118" s="98">
        <f t="shared" si="559"/>
        <v>1.7675708847481486</v>
      </c>
      <c r="GX118" s="99">
        <f>GX112-GX116/0.65</f>
        <v>1566.3779397387625</v>
      </c>
      <c r="GY118" s="98">
        <f t="shared" si="560"/>
        <v>1.9155832988764443</v>
      </c>
      <c r="GZ118" s="98">
        <f t="shared" si="561"/>
        <v>3.3665343657621527</v>
      </c>
      <c r="HA118" s="98"/>
      <c r="HB118" s="10"/>
      <c r="HC118"/>
      <c r="HD118"/>
      <c r="HE118"/>
      <c r="HF118"/>
      <c r="HG118"/>
      <c r="HH118"/>
      <c r="HI118" s="10"/>
    </row>
    <row r="119" spans="1:217" s="2" customFormat="1" ht="12.75" customHeight="1" x14ac:dyDescent="0.2">
      <c r="B119" s="91"/>
      <c r="C119" s="94"/>
      <c r="D119" s="92"/>
      <c r="E119" s="94"/>
      <c r="F119" s="92"/>
      <c r="G119" s="94"/>
      <c r="H119" s="92"/>
      <c r="I119" s="94"/>
      <c r="J119" s="98"/>
      <c r="K119" s="94"/>
      <c r="L119" s="98"/>
      <c r="M119" s="94"/>
      <c r="N119" s="98"/>
      <c r="O119" s="94"/>
      <c r="P119" s="98"/>
      <c r="Q119" s="94"/>
      <c r="R119" s="98"/>
      <c r="S119" s="94"/>
      <c r="T119" s="98"/>
      <c r="U119" s="94"/>
      <c r="V119" s="98"/>
      <c r="W119" s="94"/>
      <c r="X119" s="98"/>
      <c r="Y119" s="94"/>
      <c r="Z119" s="98"/>
      <c r="AA119" s="94"/>
      <c r="AB119" s="98"/>
      <c r="AC119" s="94"/>
      <c r="AD119" s="98"/>
      <c r="AE119" s="94"/>
      <c r="AF119" s="98"/>
      <c r="AG119" s="94"/>
      <c r="AH119" s="98"/>
      <c r="AI119" s="94"/>
      <c r="AJ119" s="98"/>
      <c r="AK119" s="94"/>
      <c r="AL119" s="98"/>
      <c r="AM119" s="94"/>
      <c r="AN119" s="98"/>
      <c r="AO119" s="94"/>
      <c r="AP119" s="98"/>
      <c r="AQ119" s="94"/>
      <c r="AR119" s="98"/>
      <c r="AS119" s="94"/>
      <c r="AT119" s="98"/>
      <c r="AU119" s="94"/>
      <c r="AV119" s="98"/>
      <c r="AW119" s="94"/>
      <c r="AX119" s="98"/>
      <c r="AY119" s="94"/>
      <c r="AZ119" s="98"/>
      <c r="BA119" s="94"/>
      <c r="BB119" s="98"/>
      <c r="BC119" s="94"/>
      <c r="BD119" s="98"/>
      <c r="BE119" s="94"/>
      <c r="BF119" s="98"/>
      <c r="BG119" s="94"/>
      <c r="BH119" s="98"/>
      <c r="BI119" s="94"/>
      <c r="BJ119" s="98"/>
      <c r="BK119" s="94"/>
      <c r="BL119" s="98"/>
      <c r="BM119" s="94"/>
      <c r="BN119" s="98"/>
      <c r="BO119" s="94"/>
      <c r="BP119" s="98"/>
      <c r="BQ119" s="94"/>
      <c r="BR119" s="98"/>
      <c r="BS119" s="94"/>
      <c r="BT119" s="98"/>
      <c r="BU119" s="94"/>
      <c r="BV119" s="98"/>
      <c r="BW119" s="94"/>
      <c r="BX119" s="98"/>
      <c r="BY119" s="94"/>
      <c r="BZ119" s="98"/>
      <c r="CA119" s="94"/>
      <c r="CB119" s="98"/>
      <c r="CC119" s="94"/>
      <c r="CD119" s="98"/>
      <c r="CE119" s="94"/>
      <c r="CF119" s="98"/>
      <c r="CG119" s="94"/>
      <c r="CH119" s="98"/>
      <c r="CI119" s="94"/>
      <c r="CJ119" s="98"/>
      <c r="CK119" s="94"/>
      <c r="CL119" s="98"/>
      <c r="CM119" s="94"/>
      <c r="CN119" s="98"/>
      <c r="CO119" s="94"/>
      <c r="CP119" s="98"/>
      <c r="CQ119" s="533"/>
      <c r="CR119" s="98"/>
      <c r="CS119" s="94"/>
      <c r="CT119" s="98"/>
      <c r="CU119" s="94"/>
      <c r="CV119" s="98"/>
      <c r="CW119" s="94"/>
      <c r="CX119" s="98"/>
      <c r="CY119" s="94"/>
      <c r="CZ119" s="98"/>
      <c r="DA119" s="94"/>
      <c r="DB119" s="98"/>
      <c r="DC119" s="94"/>
      <c r="DD119" s="98"/>
      <c r="DE119" s="94"/>
      <c r="DF119" s="98"/>
      <c r="DG119" s="94"/>
      <c r="DH119" s="98"/>
      <c r="DI119" s="94"/>
      <c r="DJ119" s="98"/>
      <c r="DK119" s="94"/>
      <c r="DL119" s="98"/>
      <c r="DM119" s="94"/>
      <c r="DN119" s="98"/>
      <c r="DO119" s="94"/>
      <c r="DP119" s="98"/>
      <c r="DQ119" s="94"/>
      <c r="DR119" s="98"/>
      <c r="DS119" s="94"/>
      <c r="DT119" s="98"/>
      <c r="DU119" s="94"/>
      <c r="DV119" s="98"/>
      <c r="DW119" s="94"/>
      <c r="DX119" s="98"/>
      <c r="DY119" s="94"/>
      <c r="DZ119" s="98"/>
      <c r="EA119" s="94"/>
      <c r="EB119" s="98"/>
      <c r="EC119" s="94"/>
      <c r="ED119" s="98"/>
      <c r="EE119" s="94"/>
      <c r="EF119" s="860"/>
      <c r="EG119" s="94"/>
      <c r="EH119" s="860"/>
      <c r="EI119" s="94"/>
      <c r="EJ119" s="860"/>
      <c r="EK119" s="94"/>
      <c r="EL119" s="860"/>
      <c r="EM119" s="94"/>
      <c r="EN119" s="860"/>
      <c r="EO119" s="94"/>
      <c r="EP119" s="98"/>
      <c r="EQ119" s="789"/>
      <c r="ER119" s="98"/>
      <c r="ES119" s="789"/>
      <c r="ET119" s="98"/>
      <c r="EU119" s="789"/>
      <c r="EV119" s="98"/>
      <c r="EW119" s="789"/>
      <c r="EX119" s="98"/>
      <c r="EY119" s="95"/>
      <c r="EZ119" s="594"/>
      <c r="FA119" s="405"/>
      <c r="FB119" s="94"/>
      <c r="FC119" s="92"/>
      <c r="FD119" s="94"/>
      <c r="FE119" s="92"/>
      <c r="FF119" s="95"/>
      <c r="FG119" s="92"/>
      <c r="FH119" s="95"/>
      <c r="FI119" s="92"/>
      <c r="FJ119" s="95"/>
      <c r="FK119" s="92"/>
      <c r="FL119" s="95"/>
      <c r="FM119" s="92"/>
      <c r="FN119" s="95"/>
      <c r="FO119" s="92"/>
      <c r="FP119" s="95"/>
      <c r="FQ119" s="92"/>
      <c r="FR119" s="96"/>
      <c r="FS119" s="97"/>
      <c r="FT119" s="96"/>
      <c r="FU119" s="97"/>
      <c r="FV119" s="95"/>
      <c r="FW119" s="98"/>
      <c r="FX119" s="480"/>
      <c r="FY119" s="98"/>
      <c r="FZ119" s="96"/>
      <c r="GA119" s="98"/>
      <c r="GB119" s="480"/>
      <c r="GC119" s="98"/>
      <c r="GD119" s="149"/>
      <c r="GE119" s="98"/>
      <c r="GF119" s="149"/>
      <c r="GG119" s="98"/>
      <c r="GH119" s="149"/>
      <c r="GI119" s="98"/>
      <c r="GJ119" s="149"/>
      <c r="GK119" s="98"/>
      <c r="GL119" s="149"/>
      <c r="GM119" s="98"/>
      <c r="GN119" s="149"/>
      <c r="GO119" s="98"/>
      <c r="GP119" s="149"/>
      <c r="GQ119" s="98"/>
      <c r="GR119" s="95"/>
      <c r="GS119" s="98"/>
      <c r="GT119" s="95"/>
      <c r="GU119" s="98"/>
      <c r="GV119" s="95"/>
      <c r="GW119" s="98"/>
      <c r="GX119" s="95"/>
      <c r="GY119" s="98"/>
      <c r="GZ119" s="98"/>
      <c r="HA119" s="98"/>
      <c r="HB119" s="10"/>
      <c r="HC119"/>
      <c r="HD119"/>
      <c r="HE119"/>
      <c r="HF119"/>
      <c r="HG119"/>
      <c r="HH119"/>
      <c r="HI119" s="10"/>
    </row>
    <row r="120" spans="1:217" s="2" customFormat="1" ht="12.75" customHeight="1" x14ac:dyDescent="0.2">
      <c r="B120" s="91" t="s">
        <v>480</v>
      </c>
      <c r="C120" s="137"/>
      <c r="D120" s="98"/>
      <c r="E120" s="137"/>
      <c r="F120" s="98"/>
      <c r="G120" s="137"/>
      <c r="H120" s="98"/>
      <c r="I120" s="137"/>
      <c r="J120" s="98"/>
      <c r="K120" s="137"/>
      <c r="L120" s="98"/>
      <c r="M120" s="137"/>
      <c r="N120" s="98"/>
      <c r="O120" s="137"/>
      <c r="P120" s="98"/>
      <c r="Q120" s="137"/>
      <c r="R120" s="98"/>
      <c r="S120" s="137"/>
      <c r="T120" s="98"/>
      <c r="U120" s="137"/>
      <c r="V120" s="98"/>
      <c r="W120" s="137"/>
      <c r="X120" s="98"/>
      <c r="Y120" s="137"/>
      <c r="Z120" s="98"/>
      <c r="AA120" s="137"/>
      <c r="AB120" s="98"/>
      <c r="AC120" s="137"/>
      <c r="AD120" s="98"/>
      <c r="AE120" s="137"/>
      <c r="AF120" s="98"/>
      <c r="AG120" s="137"/>
      <c r="AH120" s="98"/>
      <c r="AI120" s="137"/>
      <c r="AJ120" s="98"/>
      <c r="AK120" s="137"/>
      <c r="AL120" s="98"/>
      <c r="AM120" s="137"/>
      <c r="AN120" s="98"/>
      <c r="AO120" s="137"/>
      <c r="AP120" s="98"/>
      <c r="AQ120" s="137"/>
      <c r="AR120" s="98"/>
      <c r="AS120" s="137"/>
      <c r="AT120" s="98"/>
      <c r="AU120" s="137"/>
      <c r="AV120" s="98"/>
      <c r="AW120" s="137"/>
      <c r="AX120" s="98"/>
      <c r="AY120" s="137"/>
      <c r="AZ120" s="98"/>
      <c r="BA120" s="137"/>
      <c r="BB120" s="98"/>
      <c r="BC120" s="137"/>
      <c r="BD120" s="98"/>
      <c r="BE120" s="137"/>
      <c r="BF120" s="98"/>
      <c r="BG120" s="137"/>
      <c r="BH120" s="98"/>
      <c r="BI120" s="137"/>
      <c r="BJ120" s="98"/>
      <c r="BK120" s="137"/>
      <c r="BL120" s="98"/>
      <c r="BM120" s="137"/>
      <c r="BN120" s="98"/>
      <c r="BO120" s="137"/>
      <c r="BP120" s="98"/>
      <c r="BQ120" s="137"/>
      <c r="BR120" s="98"/>
      <c r="BS120" s="137"/>
      <c r="BT120" s="98"/>
      <c r="BU120" s="137"/>
      <c r="BV120" s="98"/>
      <c r="BW120" s="137"/>
      <c r="BX120" s="98"/>
      <c r="BY120" s="137"/>
      <c r="BZ120" s="98"/>
      <c r="CA120" s="137"/>
      <c r="CB120" s="98"/>
      <c r="CC120" s="137"/>
      <c r="CD120" s="98"/>
      <c r="CE120" s="137"/>
      <c r="CF120" s="98"/>
      <c r="CG120" s="137"/>
      <c r="CH120" s="98"/>
      <c r="CI120" s="137"/>
      <c r="CJ120" s="98"/>
      <c r="CK120" s="137"/>
      <c r="CL120" s="98"/>
      <c r="CM120" s="137"/>
      <c r="CN120" s="98"/>
      <c r="CO120" s="137"/>
      <c r="CP120" s="98"/>
      <c r="CQ120" s="494">
        <f>+CQ112/CQ67*100</f>
        <v>5.489721886336155</v>
      </c>
      <c r="CR120" s="98" t="str">
        <f>IF(ISERROR((CQ120/CI120-1)*100),"NA",IF(((CQ120/CI120-1)*100)&gt;100,"NM",IF(((CQ120/CI120-1)*100)&lt;-50,"NM",(CQ120/CI120-1)*100)))</f>
        <v>NA</v>
      </c>
      <c r="CS120" s="137">
        <f>+CS112/CS67*100</f>
        <v>8.5939365003580814</v>
      </c>
      <c r="CT120" s="98" t="str">
        <f>IF(ISERROR((CS120/CK120-1)*100),"NA",IF(((CS120/CK120-1)*100)&gt;100,"NM",IF(((CS120/CK120-1)*100)&lt;-50,"NM",(CS120/CK120-1)*100)))</f>
        <v>NA</v>
      </c>
      <c r="CU120" s="137">
        <f>+CU112/CU67*100</f>
        <v>8.5215366705471478</v>
      </c>
      <c r="CV120" s="98" t="str">
        <f>IF(ISERROR((CU120/CM120-1)*100),"NA",IF(((CU120/CM120-1)*100)&gt;100,"NM",IF(((CU120/CM120-1)*100)&lt;-50,"NM",(CU120/CM120-1)*100)))</f>
        <v>NA</v>
      </c>
      <c r="CW120" s="137">
        <f>+CW112/CW67*100</f>
        <v>9.0929756762900666</v>
      </c>
      <c r="CX120" s="98" t="str">
        <f>IF(ISERROR((CW120/CO120-1)*100),"NA",IF(((CW120/CO120-1)*100)&gt;100,"NM",IF(((CW120/CO120-1)*100)&lt;-50,"NM",(CW120/CO120-1)*100)))</f>
        <v>NA</v>
      </c>
      <c r="CY120" s="137">
        <f>+CY112/CY67*100</f>
        <v>9.5770865965540395</v>
      </c>
      <c r="CZ120" s="98">
        <f>IF(ISERROR((CY120/CQ120-1)*100),"NA",IF(((CY120/CQ120-1)*100)&gt;100,"NM",IF(((CY120/CQ120-1)*100)&lt;-50,"NM",(CY120/CQ120-1)*100)))</f>
        <v>74.454859368946941</v>
      </c>
      <c r="DA120" s="137">
        <f>+DA112/DA67*100</f>
        <v>5.5097033236671873</v>
      </c>
      <c r="DB120" s="98">
        <f>IF(ISERROR((DA120/CS120-1)*100),"NA",IF(((DA120/CS120-1)*100)&gt;100,"NM",IF(((DA120/CS120-1)*100)&lt;-50,"NM",(DA120/CS120-1)*100)))</f>
        <v>-35.888479936550432</v>
      </c>
      <c r="DC120" s="137">
        <f>+DC112/DC67*100</f>
        <v>7.5189599133261105</v>
      </c>
      <c r="DD120" s="98">
        <f>IF(ISERROR((DC120/CU120-1)*100),"NA",IF(((DC120/CU120-1)*100)&gt;100,"NM",IF(((DC120/CU120-1)*100)&lt;-50,"NM",(DC120/CU120-1)*100)))</f>
        <v>-11.765210853181296</v>
      </c>
      <c r="DE120" s="137">
        <f>+DE112/DE67*100</f>
        <v>9.1109154929577461</v>
      </c>
      <c r="DF120" s="98">
        <f>IF(ISERROR((DE120/CW120-1)*100),"NA",IF(((DE120/CW120-1)*100)&gt;100,"NM",IF(((DE120/CW120-1)*100)&lt;-50,"NM",(DE120/CW120-1)*100)))</f>
        <v>0.19729313380281166</v>
      </c>
      <c r="DG120" s="137">
        <f>+DG112/DG67*100</f>
        <v>7.5555555555555554</v>
      </c>
      <c r="DH120" s="98">
        <f>IF(ISERROR((DG120/CY120-1)*100),"NA",IF(((DG120/CY120-1)*100)&gt;100,"NM",IF(((DG120/CY120-1)*100)&lt;-50,"NM",(DG120/CY120-1)*100)))</f>
        <v>-21.10799584631361</v>
      </c>
      <c r="DI120" s="137">
        <f>+DI112/DI67*100</f>
        <v>7.66527564243356</v>
      </c>
      <c r="DJ120" s="98">
        <f>IF(ISERROR((DI120/DA120-1)*100),"NA",IF(((DI120/DA120-1)*100)&gt;100,"NM",IF(((DI120/DA120-1)*100)&lt;-50,"NM",(DI120/DA120-1)*100)))</f>
        <v>39.123201234937845</v>
      </c>
      <c r="DK120" s="137">
        <f>+DK112/DK67*100</f>
        <v>6.1366512020244626</v>
      </c>
      <c r="DL120" s="98">
        <f>IF(ISERROR((DK120/DC120-1)*100),"NA",IF(((DK120/DC120-1)*100)&gt;100,"NM",IF(((DK120/DC120-1)*100)&lt;-50,"NM",(DK120/DC120-1)*100)))</f>
        <v>-18.384307500452756</v>
      </c>
      <c r="DM120" s="137">
        <f>+DM112/DM67*100</f>
        <v>6.746031746031746</v>
      </c>
      <c r="DN120" s="98">
        <f>IF(ISERROR((DM120/DE120-1)*100),"NA",IF(((DM120/DE120-1)*100)&gt;100,"NM",IF(((DM120/DE120-1)*100)&lt;-50,"NM",(DM120/DE120-1)*100)))</f>
        <v>-25.956598420366529</v>
      </c>
      <c r="DO120" s="137">
        <f>+DO112/DO67*100</f>
        <v>7.6761744966442951</v>
      </c>
      <c r="DP120" s="98">
        <f>IF(ISERROR((DO120/DG120-1)*100),"NA",IF(((DO120/DG120-1)*100)&gt;100,"NM",IF(((DO120/DG120-1)*100)&lt;-50,"NM",(DO120/DG120-1)*100)))</f>
        <v>1.5964271614686165</v>
      </c>
      <c r="DQ120" s="137">
        <f>+DQ112/DQ67*100</f>
        <v>7.8024796921761439</v>
      </c>
      <c r="DR120" s="98">
        <f>IF(ISERROR((DQ120/DI120-1)*100),"NA",IF(((DQ120/DI120-1)*100)&gt;100,"NM",IF(((DQ120/DI120-1)*100)&lt;-50,"NM",(DQ120/DI120-1)*100)))</f>
        <v>1.7899428036618481</v>
      </c>
      <c r="DS120" s="137">
        <f>+DS112/DS67*100</f>
        <v>5.2856127044323298</v>
      </c>
      <c r="DT120" s="98">
        <f>IF(ISERROR((DS120/DK120-1)*100),"NA",IF(((DS120/DK120-1)*100)&gt;100,"NM",IF(((DS120/DK120-1)*100)&lt;-50,"NM",(DS120/DK120-1)*100)))</f>
        <v>-13.868125620556338</v>
      </c>
      <c r="DU120" s="137">
        <f>+DU112/DU67*100</f>
        <v>6.2900545929266558</v>
      </c>
      <c r="DV120" s="98">
        <f>IF(ISERROR((DU120/DM120-1)*100),"NA",IF(((DU120/DM120-1)*100)&gt;100,"NM",IF(((DU120/DM120-1)*100)&lt;-50,"NM",(DU120/DM120-1)*100)))</f>
        <v>-6.7591907401460478</v>
      </c>
      <c r="DW120" s="137">
        <f>+DW112/DW67*100</f>
        <v>6.7525650202815566</v>
      </c>
      <c r="DX120" s="98">
        <f>IF(ISERROR((DW120/DO120-1)*100),"NA",IF(((DW120/DO120-1)*100)&gt;100,"NM",IF(((DW120/DO120-1)*100)&lt;-50,"NM",(DW120/DO120-1)*100)))</f>
        <v>-12.032158424310213</v>
      </c>
      <c r="DY120" s="137">
        <f>+DY112/DY67*100</f>
        <v>5.9509351469516636</v>
      </c>
      <c r="DZ120" s="98">
        <f>IF(ISERROR((DY120/DQ120-1)*100),"NA",IF(((DY120/DQ120-1)*100)&gt;100,"NM",IF(((DY120/DQ120-1)*100)&lt;-50,"NM",(DY120/DQ120-1)*100)))</f>
        <v>-23.730206527561968</v>
      </c>
      <c r="EA120" s="137">
        <f>+EA112/EA67*100</f>
        <v>5.2187784867821332</v>
      </c>
      <c r="EB120" s="98">
        <f>IF(ISERROR((EA120/DS120-1)*100),"NA",IF(((EA120/DS120-1)*100)&gt;100,"NM",IF(((EA120/DS120-1)*100)&lt;-50,"NM",(EA120/DS120-1)*100)))</f>
        <v>-1.2644554451398227</v>
      </c>
      <c r="EC120" s="137">
        <f>+EC112/EC67*100</f>
        <v>6.5753424657534243</v>
      </c>
      <c r="ED120" s="98">
        <f>IF(ISERROR((EC120/DU120-1)*100),"NA",IF(((EC120/DU120-1)*100)&gt;100,"NM",IF(((EC120/DU120-1)*100)&lt;-50,"NM",(EC120/DU120-1)*100)))</f>
        <v>4.5355388989402945</v>
      </c>
      <c r="EE120" s="137">
        <f>+EE112/EE67*100</f>
        <v>6.7905482908924064</v>
      </c>
      <c r="EF120" s="860">
        <f>IF(ISERROR((EE120/DW120-1)*100),"NA",IF(((EE120/DW120-1)*100)&gt;100,"NM",IF(((EE120/DW120-1)*100)&lt;-50,"NM",(EE120/DW120-1)*100)))</f>
        <v>0.56250136795077399</v>
      </c>
      <c r="EG120" s="137">
        <f>+EG112/EG67*100</f>
        <v>6.4284056625667203</v>
      </c>
      <c r="EH120" s="860">
        <f>IF(ISERROR((EG120/DY120-1)*100),"NA",IF(((EG120/DY120-1)*100)&gt;100,"NM",IF(((EG120/DY120-1)*100)&lt;-50,"NM",(EG120/DY120-1)*100)))</f>
        <v>8.0234535215803593</v>
      </c>
      <c r="EI120" s="137">
        <f>+EI112/EI67*100</f>
        <v>6.4994547437295536</v>
      </c>
      <c r="EJ120" s="860">
        <f t="shared" ref="EJ120:EJ121" si="581">IF(ISERROR((EI120/EA120-1)*100),"NA",IF(((EI120/EA120-1)*100)&gt;100,"NM",IF(((EI120/EA120-1)*100)&lt;-50,"NM",(EI120/EA120-1)*100)))</f>
        <v>24.539770373298175</v>
      </c>
      <c r="EK120" s="137">
        <f>+EK112/EK67*100</f>
        <v>6.9611780455153953</v>
      </c>
      <c r="EL120" s="860">
        <f t="shared" ref="EL120:EL121" si="582">IF(ISERROR((EK120/EC120-1)*100),"NA",IF(((EK120/EC120-1)*100)&gt;100,"NM",IF(((EK120/EC120-1)*100)&lt;-50,"NM",(EK120/EC120-1)*100)))</f>
        <v>5.8679161088799781</v>
      </c>
      <c r="EM120" s="137">
        <f>+EM112/EM67*100</f>
        <v>8.4901330885727386</v>
      </c>
      <c r="EN120" s="860">
        <f t="shared" ref="EN120:EN121" si="583">IF(ISERROR((EM120/EE120-1)*100),"NA",IF(((EM120/EE120-1)*100)&gt;100,"NM",IF(((EM120/EE120-1)*100)&lt;-50,"NM",(EM120/EE120-1)*100)))</f>
        <v>25.028682882055975</v>
      </c>
      <c r="EO120" s="137">
        <f>+EO112/EO67*100</f>
        <v>8.0365296803652964</v>
      </c>
      <c r="EP120" s="98">
        <f t="shared" ref="EP120:EP121" si="584">IF(ISERROR((EO120/EG120-1)*100),"NA",IF(((EO120/EG120-1)*100)&gt;100,"NM",IF(((EO120/EG120-1)*100)&lt;-50,"NM",(EO120/EG120-1)*100)))</f>
        <v>25.015907554852213</v>
      </c>
      <c r="EQ120" s="1033">
        <f t="shared" ref="EQ120" si="585">+EQ112/EQ67*100</f>
        <v>7.6485336887780395</v>
      </c>
      <c r="ER120" s="98">
        <f t="shared" ref="ER120:ER121" si="586">IF(ISERROR((EQ120/EI120-1)*100),"NA",IF(((EQ120/EI120-1)*100)&gt;100,"NM",IF(((EQ120/EI120-1)*100)&lt;-50,"NM",(EQ120/EI120-1)*100)))</f>
        <v>17.679620681366814</v>
      </c>
      <c r="ES120" s="1033">
        <f t="shared" ref="ES120" si="587">+ES112/ES67*100</f>
        <v>7.8976877361576587</v>
      </c>
      <c r="ET120" s="98">
        <f t="shared" ref="ET120:ET121" si="588">IF(ISERROR((ES120/EK120-1)*100),"NA",IF(((ES120/EK120-1)*100)&gt;100,"NM",IF(((ES120/EK120-1)*100)&lt;-50,"NM",(ES120/EK120-1)*100)))</f>
        <v>13.453321902110972</v>
      </c>
      <c r="EU120" s="1033">
        <f t="shared" ref="EU120" si="589">+EU112/EU67*100</f>
        <v>8.1472744210281576</v>
      </c>
      <c r="EV120" s="98">
        <f t="shared" ref="EV120:EV121" si="590">IF(ISERROR((EU120/EM120-1)*100),"NA",IF(((EU120/EM120-1)*100)&gt;100,"NM",IF(((EU120/EM120-1)*100)&lt;-50,"NM",(EU120/EM120-1)*100)))</f>
        <v>-4.0383191166467158</v>
      </c>
      <c r="EW120" s="1033">
        <f t="shared" ref="EW120" si="591">+EW112/EW67*100</f>
        <v>8.3986403342967009</v>
      </c>
      <c r="EX120" s="98">
        <f t="shared" ref="EX120:EX121" si="592">IF(ISERROR((EW120/EO120-1)*100),"NA",IF(((EW120/EO120-1)*100)&gt;100,"NM",IF(((EW120/EO120-1)*100)&lt;-50,"NM",(EW120/EO120-1)*100)))</f>
        <v>4.5058087051691897</v>
      </c>
      <c r="EY120" s="137"/>
      <c r="EZ120" s="594"/>
      <c r="FA120" s="405"/>
      <c r="FB120" s="137"/>
      <c r="FC120" s="98"/>
      <c r="FD120" s="137"/>
      <c r="FE120" s="98"/>
      <c r="FF120" s="125"/>
      <c r="FG120" s="98"/>
      <c r="FH120" s="125"/>
      <c r="FI120" s="98"/>
      <c r="FJ120" s="125"/>
      <c r="FK120" s="98"/>
      <c r="FL120" s="125"/>
      <c r="FM120" s="98"/>
      <c r="FN120" s="125"/>
      <c r="FO120" s="98"/>
      <c r="FP120" s="125"/>
      <c r="FQ120" s="98"/>
      <c r="FR120" s="130"/>
      <c r="FS120" s="120"/>
      <c r="FT120" s="130"/>
      <c r="FU120" s="120"/>
      <c r="FV120" s="137"/>
      <c r="FW120" s="98"/>
      <c r="FX120" s="494"/>
      <c r="FY120" s="98"/>
      <c r="FZ120" s="137"/>
      <c r="GA120" s="98"/>
      <c r="GB120" s="494">
        <f>+GB112/GB67*100</f>
        <v>7.9823146322518967</v>
      </c>
      <c r="GC120" s="98" t="str">
        <f>IF(ISERROR((GB120/FZ120-1)*100),"NA",IF(((GB120/FZ120-1)*100)&gt;100,"NM",IF(((GB120/FZ120-1)*100)&lt;-50,"NM",(GB120/FZ120-1)*100)))</f>
        <v>NA</v>
      </c>
      <c r="GD120" s="137">
        <f>+GD112/GD67*100</f>
        <v>8.1661566360648301</v>
      </c>
      <c r="GE120" s="98">
        <f>IF(ISERROR((GD120/GB120-1)*100),"NA",IF(((GD120/GB120-1)*100)&gt;100,"NM",IF(((GD120/GB120-1)*100)&lt;-50,"NM",(GD120/GB120-1)*100)))</f>
        <v>2.303116480402001</v>
      </c>
      <c r="GF120" s="137">
        <f>+GF112/GF67*100</f>
        <v>7.9617834394904454</v>
      </c>
      <c r="GG120" s="98">
        <f>IF(ISERROR((GF120/GD120-1)*100),"NA",IF(((GF120/GD120-1)*100)&gt;100,"NM",IF(((GF120/GD120-1)*100)&lt;-50,"NM",(GF120/GD120-1)*100)))</f>
        <v>-2.5026852371627939</v>
      </c>
      <c r="GH120" s="137">
        <f>+GH112/GH67*100</f>
        <v>7.0879005059021924</v>
      </c>
      <c r="GI120" s="98">
        <f>IF(ISERROR((GH120/GF120-1)*100),"NA",IF(((GH120/GF120-1)*100)&gt;100,"NM",IF(((GH120/GF120-1)*100)&lt;-50,"NM",(GH120/GF120-1)*100)))</f>
        <v>-10.975969645868455</v>
      </c>
      <c r="GJ120" s="137">
        <f>+GJ112/GJ67*100</f>
        <v>6.0692951015531662</v>
      </c>
      <c r="GK120" s="98">
        <f>IF(ISERROR((GJ120/GH120-1)*100),"NA",IF(((GJ120/GH120-1)*100)&gt;100,"NM",IF(((GJ120/GH120-1)*100)&lt;-50,"NM",(GJ120/GH120-1)*100)))</f>
        <v>-14.371045466860311</v>
      </c>
      <c r="GL120" s="137">
        <f>+GL112/GL67*100</f>
        <v>6.251433815095206</v>
      </c>
      <c r="GM120" s="98">
        <f>IF(ISERROR((GL120/GJ120-1)*100),"NA",IF(((GL120/GJ120-1)*100)&gt;100,"NM",IF(((GL120/GJ120-1)*100)&lt;-50,"NM",(GL120/GJ120-1)*100)))</f>
        <v>3.0009862841473778</v>
      </c>
      <c r="GN120" s="137">
        <f>+GN112/GN67*100</f>
        <v>7.4810446503791068</v>
      </c>
      <c r="GO120" s="98">
        <f>IF(ISERROR((GN120/GL120-1)*100),"NA",IF(((GN120/GL120-1)*100)&gt;100,"NM",IF(((GN120/GL120-1)*100)&lt;-50,"NM",(GN120/GL120-1)*100)))</f>
        <v>19.669261031201923</v>
      </c>
      <c r="GP120" s="137">
        <f>+GP112/GP67*100</f>
        <v>8.0239494637116362</v>
      </c>
      <c r="GQ120" s="98">
        <f>IF(ISERROR((GP120/GN120-1)*100),"NA",IF(((GP120/GN120-1)*100)&gt;100,"NM",IF(((GP120/GN120-1)*100)&lt;-50,"NM",(GP120/GN120-1)*100)))</f>
        <v>7.2570722232625284</v>
      </c>
      <c r="GR120" s="137">
        <f>+GR112/GR67*100</f>
        <v>8.243339287242982</v>
      </c>
      <c r="GS120" s="98">
        <f>IF(ISERROR((GR120/GP120-1)*100),"NA",IF(((GR120/GP120-1)*100)&gt;100,"NM",IF(((GR120/GP120-1)*100)&lt;-50,"NM",(GR120/GP120-1)*100)))</f>
        <v>2.7341875035920671</v>
      </c>
      <c r="GT120" s="137">
        <f>+GT112/GT67*100</f>
        <v>8.2436636238616767</v>
      </c>
      <c r="GU120" s="98">
        <f>IF(ISERROR((GT120/GR120-1)*100),"NA",IF(((GT120/GR120-1)*100)&gt;100,"NM",IF(((GT120/GR120-1)*100)&lt;-50,"NM",(GT120/GR120-1)*100)))</f>
        <v>3.9345295321790985E-3</v>
      </c>
      <c r="GV120" s="137">
        <f>+GV112/GV67*100</f>
        <v>8.2437581685663748</v>
      </c>
      <c r="GW120" s="98">
        <f>IF(ISERROR((GV120/GT120-1)*100),"NA",IF(((GV120/GT120-1)*100)&gt;100,"NM",IF(((GV120/GT120-1)*100)&lt;-50,"NM",(GV120/GT120-1)*100)))</f>
        <v>1.1468772746159317E-3</v>
      </c>
      <c r="GX120" s="137">
        <f>+GX112/GX67*100</f>
        <v>8.2436318241006834</v>
      </c>
      <c r="GY120" s="98">
        <f>IF(ISERROR((GX120/GV120-1)*100),"NA",IF(((GX120/GV120-1)*100)&gt;100,"NM",IF(((GX120/GV120-1)*100)&lt;-50,"NM",(GX120/GV120-1)*100)))</f>
        <v>-1.53260761788232E-3</v>
      </c>
      <c r="GZ120" s="98">
        <f>IF(ISERROR(((GX120/GN120)^0.2-1)*100),"NA",IF((((GX120/GN120)^0.2-1)*100)&gt;100,"NM",IF((((GX120/GN120)^0.2-1)*100)&lt;-50,"NM",((GX120/GN120)^0.2-1)*100)))</f>
        <v>1.9603383689660081</v>
      </c>
      <c r="HA120" s="98"/>
      <c r="HB120" s="10"/>
      <c r="HC120"/>
      <c r="HD120"/>
      <c r="HE120"/>
      <c r="HF120"/>
      <c r="HG120"/>
      <c r="HH120"/>
      <c r="HI120" s="10"/>
    </row>
    <row r="121" spans="1:217" s="2" customFormat="1" ht="12.75" customHeight="1" x14ac:dyDescent="0.2">
      <c r="B121" s="91" t="s">
        <v>105</v>
      </c>
      <c r="C121" s="137"/>
      <c r="D121" s="13"/>
      <c r="E121" s="137"/>
      <c r="F121" s="13"/>
      <c r="G121" s="137"/>
      <c r="H121" s="13"/>
      <c r="I121" s="137"/>
      <c r="J121" s="98"/>
      <c r="K121" s="137"/>
      <c r="L121" s="98"/>
      <c r="M121" s="137"/>
      <c r="N121" s="98"/>
      <c r="O121" s="137"/>
      <c r="P121" s="98"/>
      <c r="Q121" s="137"/>
      <c r="R121" s="98"/>
      <c r="S121" s="137"/>
      <c r="T121" s="98"/>
      <c r="U121" s="137"/>
      <c r="V121" s="98"/>
      <c r="W121" s="137"/>
      <c r="X121" s="98"/>
      <c r="Y121" s="137"/>
      <c r="Z121" s="98"/>
      <c r="AA121" s="137"/>
      <c r="AB121" s="98"/>
      <c r="AC121" s="137"/>
      <c r="AD121" s="98"/>
      <c r="AE121" s="137"/>
      <c r="AF121" s="98"/>
      <c r="AG121" s="137"/>
      <c r="AH121" s="98"/>
      <c r="AI121" s="137"/>
      <c r="AJ121" s="98"/>
      <c r="AK121" s="137"/>
      <c r="AL121" s="98"/>
      <c r="AM121" s="137"/>
      <c r="AN121" s="98"/>
      <c r="AO121" s="137"/>
      <c r="AP121" s="98"/>
      <c r="AQ121" s="137"/>
      <c r="AR121" s="98"/>
      <c r="AS121" s="137"/>
      <c r="AT121" s="98"/>
      <c r="AU121" s="137"/>
      <c r="AV121" s="98"/>
      <c r="AW121" s="137"/>
      <c r="AX121" s="98"/>
      <c r="AY121" s="137"/>
      <c r="AZ121" s="98"/>
      <c r="BA121" s="137"/>
      <c r="BB121" s="98"/>
      <c r="BC121" s="137"/>
      <c r="BD121" s="98"/>
      <c r="BE121" s="137"/>
      <c r="BF121" s="98"/>
      <c r="BG121" s="137"/>
      <c r="BH121" s="98"/>
      <c r="BI121" s="137"/>
      <c r="BJ121" s="98"/>
      <c r="BK121" s="137"/>
      <c r="BL121" s="98"/>
      <c r="BM121" s="137"/>
      <c r="BN121" s="98"/>
      <c r="BO121" s="137"/>
      <c r="BP121" s="98"/>
      <c r="BQ121" s="137"/>
      <c r="BR121" s="98"/>
      <c r="BS121" s="137"/>
      <c r="BT121" s="98"/>
      <c r="BU121" s="137"/>
      <c r="BV121" s="98"/>
      <c r="BW121" s="137"/>
      <c r="BX121" s="98"/>
      <c r="BY121" s="137"/>
      <c r="BZ121" s="98"/>
      <c r="CA121" s="137"/>
      <c r="CB121" s="98"/>
      <c r="CC121" s="137"/>
      <c r="CD121" s="98"/>
      <c r="CE121" s="137"/>
      <c r="CF121" s="98"/>
      <c r="CG121" s="137"/>
      <c r="CH121" s="98"/>
      <c r="CI121" s="137"/>
      <c r="CJ121" s="98"/>
      <c r="CK121" s="137"/>
      <c r="CL121" s="98"/>
      <c r="CM121" s="137"/>
      <c r="CN121" s="98"/>
      <c r="CO121" s="137"/>
      <c r="CP121" s="98"/>
      <c r="CQ121" s="494">
        <f>+CQ115/CQ67*100</f>
        <v>3.7001209189842807</v>
      </c>
      <c r="CR121" s="98" t="str">
        <f>IF(ISERROR((CQ121/CI121-1)*100),"NA",IF(((CQ121/CI121-1)*100)&gt;100,"NM",IF(((CQ121/CI121-1)*100)&lt;-50,"NM",(CQ121/CI121-1)*100)))</f>
        <v>NA</v>
      </c>
      <c r="CS121" s="137">
        <f>+CS115/CS67*100</f>
        <v>5.7292910002387201</v>
      </c>
      <c r="CT121" s="98" t="str">
        <f>IF(ISERROR((CS121/CK121-1)*100),"NA",IF(((CS121/CK121-1)*100)&gt;100,"NM",IF(((CS121/CK121-1)*100)&lt;-50,"NM",(CS121/CK121-1)*100)))</f>
        <v>NA</v>
      </c>
      <c r="CU121" s="137">
        <f>+CU115/CU67*100</f>
        <v>5.6577415599534344</v>
      </c>
      <c r="CV121" s="98" t="str">
        <f>IF(ISERROR((CU121/CM121-1)*100),"NA",IF(((CU121/CM121-1)*100)&gt;100,"NM",IF(((CU121/CM121-1)*100)&lt;-50,"NM",(CU121/CM121-1)*100)))</f>
        <v>NA</v>
      </c>
      <c r="CW121" s="137">
        <f>+CW115/CW67*100</f>
        <v>6.0695612639236192</v>
      </c>
      <c r="CX121" s="98" t="str">
        <f>IF(ISERROR((CW121/CO121-1)*100),"NA",IF(((CW121/CO121-1)*100)&gt;100,"NM",IF(((CW121/CO121-1)*100)&lt;-50,"NM",(CW121/CO121-1)*100)))</f>
        <v>NA</v>
      </c>
      <c r="CY121" s="137">
        <f>+CY115/CY67*100</f>
        <v>6.3325128664130679</v>
      </c>
      <c r="CZ121" s="98">
        <f>IF(ISERROR((CY121/CQ121-1)*100),"NA",IF(((CY121/CQ121-1)*100)&gt;100,"NM",IF(((CY121/CQ121-1)*100)&lt;-50,"NM",(CY121/CQ121-1)*100)))</f>
        <v>71.143403285085199</v>
      </c>
      <c r="DA121" s="137">
        <f>+DA115/DA67*100</f>
        <v>3.7251840285523086</v>
      </c>
      <c r="DB121" s="98">
        <f>IF(ISERROR((DA121/CS121-1)*100),"NA",IF(((DA121/CS121-1)*100)&gt;100,"NM",IF(((DA121/CS121-1)*100)&lt;-50,"NM",(DA121/CS121-1)*100)))</f>
        <v>-34.980017101643249</v>
      </c>
      <c r="DC121" s="137">
        <f>+DC115/DC67*100</f>
        <v>4.9837486457204765</v>
      </c>
      <c r="DD121" s="98">
        <f>IF(ISERROR((DC121/CU121-1)*100),"NA",IF(((DC121/CU121-1)*100)&gt;100,"NM",IF(((DC121/CU121-1)*100)&lt;-50,"NM",(DC121/CU121-1)*100)))</f>
        <v>-11.912755418232734</v>
      </c>
      <c r="DE121" s="137">
        <f>+DE115/DE67*100</f>
        <v>6.05193661971831</v>
      </c>
      <c r="DF121" s="98">
        <f>IF(ISERROR((DE121/CW121-1)*100),"NA",IF(((DE121/CW121-1)*100)&gt;100,"NM",IF(((DE121/CW121-1)*100)&lt;-50,"NM",(DE121/CW121-1)*100)))</f>
        <v>-0.29037756501556489</v>
      </c>
      <c r="DG121" s="137">
        <f>+DG115/DG67*100</f>
        <v>5.0222222222222221</v>
      </c>
      <c r="DH121" s="98">
        <f>IF(ISERROR((DG121/CY121-1)*100),"NA",IF(((DG121/CY121-1)*100)&gt;100,"NM",IF(((DG121/CY121-1)*100)&lt;-50,"NM",(DG121/CY121-1)*100)))</f>
        <v>-20.691480172752264</v>
      </c>
      <c r="DI121" s="137">
        <f>+DI115/DI67*100</f>
        <v>5.0735778607511532</v>
      </c>
      <c r="DJ121" s="98">
        <f>IF(ISERROR((DI121/DA121-1)*100),"NA",IF(((DI121/DA121-1)*100)&gt;100,"NM",IF(((DI121/DA121-1)*100)&lt;-50,"NM",(DI121/DA121-1)*100)))</f>
        <v>36.196703890703134</v>
      </c>
      <c r="DK121" s="137">
        <f>+DK115/DK67*100</f>
        <v>4.006748207507381</v>
      </c>
      <c r="DL121" s="98">
        <f>IF(ISERROR((DK121/DC121-1)*100),"NA",IF(((DK121/DC121-1)*100)&gt;100,"NM",IF(((DK121/DC121-1)*100)&lt;-50,"NM",(DK121/DC121-1)*100)))</f>
        <v>-19.603726184145376</v>
      </c>
      <c r="DM121" s="137">
        <f>+DM115/DM67*100</f>
        <v>4.3650793650793647</v>
      </c>
      <c r="DN121" s="98">
        <f>IF(ISERROR((DM121/DE121-1)*100),"NA",IF(((DM121/DE121-1)*100)&gt;100,"NM",IF(((DM121/DE121-1)*100)&lt;-50,"NM",(DM121/DE121-1)*100)))</f>
        <v>-27.873015873015884</v>
      </c>
      <c r="DO121" s="137">
        <f>+DO115/DO67*100</f>
        <v>5.0545302013422821</v>
      </c>
      <c r="DP121" s="98">
        <f>IF(ISERROR((DO121/DG121-1)*100),"NA",IF(((DO121/DG121-1)*100)&gt;100,"NM",IF(((DO121/DG121-1)*100)&lt;-50,"NM",(DO121/DG121-1)*100)))</f>
        <v>0.64330046920473283</v>
      </c>
      <c r="DQ121" s="137">
        <f>+DQ115/DQ67*100</f>
        <v>5.0876442924326639</v>
      </c>
      <c r="DR121" s="98">
        <f>IF(ISERROR((DQ121/DI121-1)*100),"NA",IF(((DQ121/DI121-1)*100)&gt;100,"NM",IF(((DQ121/DI121-1)*100)&lt;-50,"NM",(DQ121/DI121-1)*100)))</f>
        <v>0.27724875950614347</v>
      </c>
      <c r="DS121" s="137">
        <f>+DS115/DS67*100</f>
        <v>3.2709172789760608</v>
      </c>
      <c r="DT121" s="98">
        <f>IF(ISERROR((DS121/DK121-1)*100),"NA",IF(((DS121/DK121-1)*100)&gt;100,"NM",IF(((DS121/DK121-1)*100)&lt;-50,"NM",(DS121/DK121-1)*100)))</f>
        <v>-18.364790858397473</v>
      </c>
      <c r="DU121" s="137">
        <f>+DU115/DU67*100</f>
        <v>3.9401851412295277</v>
      </c>
      <c r="DV121" s="98">
        <f>IF(ISERROR((DU121/DM121-1)*100),"NA",IF(((DU121/DM121-1)*100)&gt;100,"NM",IF(((DU121/DM121-1)*100)&lt;-50,"NM",(DU121/DM121-1)*100)))</f>
        <v>-9.7339404009235349</v>
      </c>
      <c r="DW121" s="137">
        <f>+DW115/DW67*100</f>
        <v>4.2233357193987118</v>
      </c>
      <c r="DX121" s="98">
        <f>IF(ISERROR((DW121/DO121-1)*100),"NA",IF(((DW121/DO121-1)*100)&gt;100,"NM",IF(((DW121/DO121-1)*100)&lt;-50,"NM",(DW121/DO121-1)*100)))</f>
        <v>-16.444544771398107</v>
      </c>
      <c r="DY121" s="137">
        <f>+DY115/DY67*100</f>
        <v>3.7162982754432838</v>
      </c>
      <c r="DZ121" s="98">
        <f>IF(ISERROR((DY121/DQ121-1)*100),"NA",IF(((DY121/DQ121-1)*100)&gt;100,"NM",IF(((DY121/DQ121-1)*100)&lt;-50,"NM",(DY121/DQ121-1)*100)))</f>
        <v>-26.954439779312267</v>
      </c>
      <c r="EA121" s="137">
        <f>+EA115/EA67*100</f>
        <v>3.236098450319052</v>
      </c>
      <c r="EB121" s="98">
        <f>IF(ISERROR((EA121/DS121-1)*100),"NA",IF(((EA121/DS121-1)*100)&gt;100,"NM",IF(((EA121/DS121-1)*100)&lt;-50,"NM",(EA121/DS121-1)*100)))</f>
        <v>-1.0644973775646438</v>
      </c>
      <c r="EC121" s="137">
        <f>+EC115/EC67*100</f>
        <v>4.2237442922374431</v>
      </c>
      <c r="ED121" s="98">
        <f>IF(ISERROR((EC121/DU121-1)*100),"NA",IF(((EC121/DU121-1)*100)&gt;100,"NM",IF(((EC121/DU121-1)*100)&lt;-50,"NM",(EC121/DU121-1)*100)))</f>
        <v>7.1965945975683621</v>
      </c>
      <c r="EE121" s="137">
        <f>+EE115/EE67*100</f>
        <v>4.2670337233310391</v>
      </c>
      <c r="EF121" s="860">
        <f>IF(ISERROR((EE121/DW121-1)*100),"NA",IF(((EE121/DW121-1)*100)&gt;100,"NM",IF(((EE121/DW121-1)*100)&lt;-50,"NM",(EE121/DW121-1)*100)))</f>
        <v>1.0346798558213743</v>
      </c>
      <c r="EG121" s="137">
        <f>+EG115/EG67*100</f>
        <v>4.0380598746809007</v>
      </c>
      <c r="EH121" s="860">
        <f>IF(ISERROR((EG121/DY121-1)*100),"NA",IF(((EG121/DY121-1)*100)&gt;100,"NM",IF(((EG121/DY121-1)*100)&lt;-50,"NM",(EG121/DY121-1)*100)))</f>
        <v>8.658120941576918</v>
      </c>
      <c r="EI121" s="137">
        <f>+EI115/EI67*100</f>
        <v>4.2311886586695744</v>
      </c>
      <c r="EJ121" s="860">
        <f t="shared" si="581"/>
        <v>30.749688973535871</v>
      </c>
      <c r="EK121" s="137">
        <f>+EK115/EK67*100</f>
        <v>4.5292280232039266</v>
      </c>
      <c r="EL121" s="860">
        <f t="shared" si="582"/>
        <v>7.2325337385578337</v>
      </c>
      <c r="EM121" s="137">
        <f>+EM115/EM67*100</f>
        <v>5.5300596603946763</v>
      </c>
      <c r="EN121" s="860">
        <f t="shared" si="583"/>
        <v>29.599623976668799</v>
      </c>
      <c r="EO121" s="137">
        <f>+EO115/EO67*100</f>
        <v>5.2511415525114149</v>
      </c>
      <c r="EP121" s="98">
        <f t="shared" si="584"/>
        <v>30.04120086075681</v>
      </c>
      <c r="EQ121" s="1033">
        <f t="shared" ref="EQ121" si="593">+EQ115/EQ67*100</f>
        <v>6.1188269510224309</v>
      </c>
      <c r="ER121" s="98">
        <f t="shared" si="586"/>
        <v>44.612482321844581</v>
      </c>
      <c r="ES121" s="1033">
        <f t="shared" ref="ES121" si="594">+ES115/ES67*100</f>
        <v>6.3181501889261273</v>
      </c>
      <c r="ET121" s="98">
        <f t="shared" si="588"/>
        <v>39.497286437275392</v>
      </c>
      <c r="EU121" s="1033">
        <f t="shared" ref="EU121" si="595">+EU115/EU67*100</f>
        <v>6.5178195368225262</v>
      </c>
      <c r="EV121" s="98">
        <f t="shared" si="590"/>
        <v>17.861649549678702</v>
      </c>
      <c r="EW121" s="1033">
        <f t="shared" ref="EW121" si="596">+EW115/EW67*100</f>
        <v>6.7189122674373607</v>
      </c>
      <c r="EX121" s="98">
        <f t="shared" si="592"/>
        <v>27.95145970163324</v>
      </c>
      <c r="EY121" s="137"/>
      <c r="EZ121" s="594"/>
      <c r="FA121" s="405"/>
      <c r="FB121" s="150"/>
      <c r="FC121" s="13"/>
      <c r="FD121" s="137"/>
      <c r="FE121" s="98"/>
      <c r="FF121" s="137"/>
      <c r="FG121" s="98"/>
      <c r="FH121" s="137"/>
      <c r="FI121" s="98"/>
      <c r="FJ121" s="137"/>
      <c r="FK121" s="98"/>
      <c r="FL121" s="137"/>
      <c r="FM121" s="98"/>
      <c r="FN121" s="137"/>
      <c r="FO121" s="98"/>
      <c r="FP121" s="137"/>
      <c r="FQ121" s="98"/>
      <c r="FR121" s="106"/>
      <c r="FS121" s="120"/>
      <c r="FT121" s="106"/>
      <c r="FU121" s="120"/>
      <c r="FV121" s="137"/>
      <c r="FW121" s="98"/>
      <c r="FX121" s="494"/>
      <c r="FY121" s="98"/>
      <c r="FZ121" s="137"/>
      <c r="GA121" s="98"/>
      <c r="GB121" s="494">
        <f>+GB115/GB67*100</f>
        <v>5.3235346836350601</v>
      </c>
      <c r="GC121" s="98" t="str">
        <f>IF(ISERROR((GB121/FZ121-1)*100),"NA",IF(((GB121/FZ121-1)*100)&gt;100,"NM",IF(((GB121/FZ121-1)*100)&lt;-50,"NM",(GB121/FZ121-1)*100)))</f>
        <v>NA</v>
      </c>
      <c r="GD121" s="137">
        <f>+GD115/GD67*100</f>
        <v>5.4403264195851753</v>
      </c>
      <c r="GE121" s="98">
        <f>IF(ISERROR((GD121/GB121-1)*100),"NA",IF(((GD121/GB121-1)*100)&gt;100,"NM",IF(((GD121/GB121-1)*100)&lt;-50,"NM",(GD121/GB121-1)*100)))</f>
        <v>2.1938757402885312</v>
      </c>
      <c r="GF121" s="137">
        <f>+GF115/GF67*100</f>
        <v>5.2822314957171095</v>
      </c>
      <c r="GG121" s="98">
        <f>IF(ISERROR((GF121/GD121-1)*100),"NA",IF(((GF121/GD121-1)*100)&gt;100,"NM",IF(((GF121/GD121-1)*100)&lt;-50,"NM",(GF121/GD121-1)*100)))</f>
        <v>-2.9059823193498868</v>
      </c>
      <c r="GH121" s="137">
        <f>+GH115/GH67*100</f>
        <v>4.6268971332209103</v>
      </c>
      <c r="GI121" s="98">
        <f>IF(ISERROR((GH121/GF121-1)*100),"NA",IF(((GH121/GF121-1)*100)&gt;100,"NM",IF(((GH121/GF121-1)*100)&lt;-50,"NM",(GH121/GF121-1)*100)))</f>
        <v>-12.406392317859439</v>
      </c>
      <c r="GJ121" s="137">
        <f>+GJ115/GJ67*100</f>
        <v>3.7873357228195936</v>
      </c>
      <c r="GK121" s="98">
        <f>IF(ISERROR((GJ121/GH121-1)*100),"NA",IF(((GJ121/GH121-1)*100)&gt;100,"NM",IF(((GJ121/GH121-1)*100)&lt;-50,"NM",(GJ121/GH121-1)*100)))</f>
        <v>-18.145236131862632</v>
      </c>
      <c r="GL121" s="137">
        <f>+GL115/GL67*100</f>
        <v>3.9401238816242259</v>
      </c>
      <c r="GM121" s="98">
        <f>IF(ISERROR((GL121/GJ121-1)*100),"NA",IF(((GL121/GJ121-1)*100)&gt;100,"NM",IF(((GL121/GJ121-1)*100)&lt;-50,"NM",(GL121/GJ121-1)*100)))</f>
        <v>4.0341857703305006</v>
      </c>
      <c r="GN121" s="137">
        <f>+GN115/GN67*100</f>
        <v>4.8750351024992975</v>
      </c>
      <c r="GO121" s="98">
        <f>IF(ISERROR((GN121/GL121-1)*100),"NA",IF(((GN121/GL121-1)*100)&gt;100,"NM",IF(((GN121/GL121-1)*100)&lt;-50,"NM",(GN121/GL121-1)*100)))</f>
        <v>23.727965134174301</v>
      </c>
      <c r="GP121" s="137">
        <f>+GP115/GP67*100</f>
        <v>6.4191595709693114</v>
      </c>
      <c r="GQ121" s="98">
        <f>IF(ISERROR((GP121/GN121-1)*100),"NA",IF(((GP121/GN121-1)*100)&gt;100,"NM",IF(((GP121/GN121-1)*100)&lt;-50,"NM",(GP121/GN121-1)*100)))</f>
        <v>31.674120001277185</v>
      </c>
      <c r="GR121" s="137">
        <f>+GR115/GR67*100</f>
        <v>6.5946714297943867</v>
      </c>
      <c r="GS121" s="98">
        <f>IF(ISERROR((GR121/GP121-1)*100),"NA",IF(((GR121/GP121-1)*100)&gt;100,"NM",IF(((GR121/GP121-1)*100)&lt;-50,"NM",(GR121/GP121-1)*100)))</f>
        <v>2.7341875035920449</v>
      </c>
      <c r="GT121" s="137">
        <f>+GT115/GT67*100</f>
        <v>6.5949308990893423</v>
      </c>
      <c r="GU121" s="98">
        <f>IF(ISERROR((GT121/GR121-1)*100),"NA",IF(((GT121/GR121-1)*100)&gt;100,"NM",IF(((GT121/GR121-1)*100)&lt;-50,"NM",(GT121/GR121-1)*100)))</f>
        <v>3.9345295321790985E-3</v>
      </c>
      <c r="GV121" s="137">
        <f>+GV115/GV67*100</f>
        <v>6.5950065348531011</v>
      </c>
      <c r="GW121" s="98">
        <f>IF(ISERROR((GV121/GT121-1)*100),"NA",IF(((GV121/GT121-1)*100)&gt;100,"NM",IF(((GV121/GT121-1)*100)&lt;-50,"NM",(GV121/GT121-1)*100)))</f>
        <v>1.1468772746159317E-3</v>
      </c>
      <c r="GX121" s="137">
        <f>+GX115/GX67*100</f>
        <v>6.5949054592805476</v>
      </c>
      <c r="GY121" s="98">
        <f>IF(ISERROR((GX121/GV121-1)*100),"NA",IF(((GX121/GV121-1)*100)&gt;100,"NM",IF(((GX121/GV121-1)*100)&lt;-50,"NM",(GX121/GV121-1)*100)))</f>
        <v>-1.5326076178934223E-3</v>
      </c>
      <c r="GZ121" s="98">
        <f>IF(ISERROR(((GX121/GN121)^0.2-1)*100),"NA",IF((((GX121/GN121)^0.2-1)*100)&gt;100,"NM",IF((((GX121/GN121)^0.2-1)*100)&lt;-50,"NM",((GX121/GN121)^0.2-1)*100)))</f>
        <v>6.2297514624447548</v>
      </c>
      <c r="HA121" s="98"/>
      <c r="HB121" s="10"/>
      <c r="HC121"/>
      <c r="HD121"/>
      <c r="HE121"/>
      <c r="HF121"/>
      <c r="HG121"/>
      <c r="HH121"/>
      <c r="HI121" s="10"/>
    </row>
    <row r="122" spans="1:217" s="2" customFormat="1" ht="12.75" customHeight="1" x14ac:dyDescent="0.2">
      <c r="B122" s="91"/>
      <c r="C122" s="94"/>
      <c r="D122" s="92"/>
      <c r="E122" s="94"/>
      <c r="F122" s="92"/>
      <c r="G122" s="94"/>
      <c r="H122" s="92"/>
      <c r="I122" s="94"/>
      <c r="J122" s="92"/>
      <c r="K122" s="94"/>
      <c r="L122" s="92"/>
      <c r="M122" s="94"/>
      <c r="N122" s="92"/>
      <c r="O122" s="94"/>
      <c r="P122" s="92"/>
      <c r="Q122" s="94"/>
      <c r="R122" s="92"/>
      <c r="S122" s="94"/>
      <c r="T122" s="92"/>
      <c r="U122" s="94"/>
      <c r="V122" s="92"/>
      <c r="W122" s="94"/>
      <c r="X122" s="92"/>
      <c r="Y122" s="94"/>
      <c r="Z122" s="92"/>
      <c r="AA122" s="94"/>
      <c r="AB122" s="92"/>
      <c r="AC122" s="94"/>
      <c r="AD122" s="92"/>
      <c r="AE122" s="94"/>
      <c r="AF122" s="92"/>
      <c r="AG122" s="94"/>
      <c r="AH122" s="92"/>
      <c r="AI122" s="94"/>
      <c r="AJ122" s="92"/>
      <c r="AK122" s="94"/>
      <c r="AL122" s="92"/>
      <c r="AM122" s="94"/>
      <c r="AN122" s="92"/>
      <c r="AO122" s="94"/>
      <c r="AP122" s="92"/>
      <c r="AQ122" s="94"/>
      <c r="AR122" s="92"/>
      <c r="AS122" s="94"/>
      <c r="AT122" s="92"/>
      <c r="AU122" s="94"/>
      <c r="AV122" s="92"/>
      <c r="AW122" s="94"/>
      <c r="AX122" s="92"/>
      <c r="AY122" s="94"/>
      <c r="AZ122" s="92"/>
      <c r="BA122" s="94"/>
      <c r="BB122" s="92"/>
      <c r="BC122" s="94"/>
      <c r="BD122" s="92"/>
      <c r="BE122" s="94"/>
      <c r="BF122" s="92"/>
      <c r="BG122" s="94"/>
      <c r="BH122" s="92"/>
      <c r="BI122" s="94"/>
      <c r="BJ122" s="92"/>
      <c r="BK122" s="94"/>
      <c r="BL122" s="92"/>
      <c r="BM122" s="94"/>
      <c r="BN122" s="92"/>
      <c r="BO122" s="94"/>
      <c r="BP122" s="92"/>
      <c r="BQ122" s="94"/>
      <c r="BR122" s="92"/>
      <c r="BS122" s="94"/>
      <c r="BT122" s="92"/>
      <c r="BU122" s="94"/>
      <c r="BV122" s="92"/>
      <c r="BW122" s="94"/>
      <c r="BX122" s="92"/>
      <c r="BY122" s="94"/>
      <c r="BZ122" s="92"/>
      <c r="CA122" s="94"/>
      <c r="CB122" s="92"/>
      <c r="CC122" s="94"/>
      <c r="CD122" s="92"/>
      <c r="CE122" s="94"/>
      <c r="CF122" s="92"/>
      <c r="CG122" s="94"/>
      <c r="CH122" s="92"/>
      <c r="CI122" s="94"/>
      <c r="CJ122" s="92"/>
      <c r="CK122" s="94"/>
      <c r="CL122" s="92"/>
      <c r="CM122" s="94"/>
      <c r="CN122" s="92"/>
      <c r="CO122" s="94"/>
      <c r="CP122" s="92"/>
      <c r="CQ122" s="533"/>
      <c r="CR122" s="92"/>
      <c r="CS122" s="94"/>
      <c r="CT122" s="92"/>
      <c r="CU122" s="94"/>
      <c r="CV122" s="92"/>
      <c r="CW122" s="94"/>
      <c r="CX122" s="92"/>
      <c r="CY122" s="94"/>
      <c r="CZ122" s="92"/>
      <c r="DA122" s="94"/>
      <c r="DB122" s="92"/>
      <c r="DC122" s="94"/>
      <c r="DD122" s="92"/>
      <c r="DE122" s="94"/>
      <c r="DF122" s="92"/>
      <c r="DG122" s="94"/>
      <c r="DH122" s="92"/>
      <c r="DI122" s="94"/>
      <c r="DJ122" s="92"/>
      <c r="DK122" s="94"/>
      <c r="DL122" s="92"/>
      <c r="DM122" s="94"/>
      <c r="DN122" s="92"/>
      <c r="DO122" s="94"/>
      <c r="DP122" s="92"/>
      <c r="DQ122" s="94"/>
      <c r="DR122" s="92"/>
      <c r="DS122" s="94"/>
      <c r="DT122" s="92"/>
      <c r="DU122" s="94"/>
      <c r="DV122" s="92"/>
      <c r="DW122" s="94"/>
      <c r="DX122" s="92"/>
      <c r="DY122" s="94"/>
      <c r="DZ122" s="92"/>
      <c r="EA122" s="94"/>
      <c r="EB122" s="92"/>
      <c r="EC122" s="94"/>
      <c r="ED122" s="92"/>
      <c r="EE122" s="94"/>
      <c r="EF122" s="1020"/>
      <c r="EG122" s="94"/>
      <c r="EH122" s="1020"/>
      <c r="EI122" s="94"/>
      <c r="EJ122" s="1020"/>
      <c r="EK122" s="94"/>
      <c r="EL122" s="1020"/>
      <c r="EM122" s="94"/>
      <c r="EN122" s="1020"/>
      <c r="EO122" s="94"/>
      <c r="EP122" s="92"/>
      <c r="EQ122" s="789"/>
      <c r="ER122" s="92"/>
      <c r="ES122" s="789"/>
      <c r="ET122" s="92"/>
      <c r="EU122" s="789"/>
      <c r="EV122" s="92"/>
      <c r="EW122" s="789"/>
      <c r="EX122" s="92"/>
      <c r="EY122" s="95"/>
      <c r="EZ122" s="594"/>
      <c r="FA122" s="405"/>
      <c r="FB122" s="94"/>
      <c r="FC122" s="92"/>
      <c r="FD122" s="94"/>
      <c r="FE122" s="92"/>
      <c r="FF122" s="95"/>
      <c r="FG122" s="92"/>
      <c r="FH122" s="95"/>
      <c r="FI122" s="92"/>
      <c r="FJ122" s="95"/>
      <c r="FK122" s="92"/>
      <c r="FL122" s="95"/>
      <c r="FM122" s="92"/>
      <c r="FN122" s="95"/>
      <c r="FO122" s="92"/>
      <c r="FP122" s="95"/>
      <c r="FQ122" s="92"/>
      <c r="FR122" s="96"/>
      <c r="FS122" s="97"/>
      <c r="FT122" s="96"/>
      <c r="FU122" s="97"/>
      <c r="FV122" s="96"/>
      <c r="FW122" s="92"/>
      <c r="FX122" s="480"/>
      <c r="FY122" s="92"/>
      <c r="FZ122" s="96"/>
      <c r="GA122" s="92"/>
      <c r="GB122" s="480"/>
      <c r="GC122" s="92"/>
      <c r="GD122" s="96"/>
      <c r="GE122" s="92"/>
      <c r="GF122" s="96"/>
      <c r="GG122" s="92"/>
      <c r="GH122" s="96"/>
      <c r="GI122" s="92"/>
      <c r="GJ122" s="96"/>
      <c r="GK122" s="92"/>
      <c r="GL122" s="96"/>
      <c r="GM122" s="92"/>
      <c r="GN122" s="96"/>
      <c r="GO122" s="92"/>
      <c r="GP122" s="96"/>
      <c r="GQ122" s="92"/>
      <c r="GR122" s="95"/>
      <c r="GS122" s="92"/>
      <c r="GT122" s="95"/>
      <c r="GU122" s="92"/>
      <c r="GV122" s="95"/>
      <c r="GW122" s="92"/>
      <c r="GX122" s="95"/>
      <c r="GY122" s="92"/>
      <c r="GZ122" s="92"/>
      <c r="HA122" s="92"/>
      <c r="HB122" s="10"/>
      <c r="HC122"/>
      <c r="HD122"/>
      <c r="HE122"/>
      <c r="HF122"/>
      <c r="HG122"/>
      <c r="HH122"/>
      <c r="HI122" s="10"/>
    </row>
    <row r="123" spans="1:217" s="708" customFormat="1" ht="12.75" customHeight="1" collapsed="1" x14ac:dyDescent="0.2">
      <c r="B123" s="709" t="s">
        <v>695</v>
      </c>
      <c r="C123" s="710"/>
      <c r="D123" s="710"/>
      <c r="E123" s="710"/>
      <c r="F123" s="710"/>
      <c r="G123" s="710"/>
      <c r="H123" s="710"/>
      <c r="I123" s="710"/>
      <c r="J123" s="710"/>
      <c r="K123" s="710"/>
      <c r="L123" s="710"/>
      <c r="M123" s="710"/>
      <c r="N123" s="710"/>
      <c r="O123" s="710"/>
      <c r="P123" s="710"/>
      <c r="Q123" s="710"/>
      <c r="R123" s="710"/>
      <c r="S123" s="710"/>
      <c r="T123" s="710"/>
      <c r="U123" s="710"/>
      <c r="V123" s="710"/>
      <c r="W123" s="710"/>
      <c r="X123" s="710"/>
      <c r="Y123" s="710"/>
      <c r="Z123" s="710"/>
      <c r="AA123" s="710"/>
      <c r="AB123" s="710"/>
      <c r="AC123" s="710"/>
      <c r="AD123" s="710"/>
      <c r="AE123" s="710"/>
      <c r="AF123" s="710"/>
      <c r="AG123" s="710"/>
      <c r="AH123" s="710"/>
      <c r="AI123" s="710"/>
      <c r="AJ123" s="710"/>
      <c r="AK123" s="710"/>
      <c r="AL123" s="710"/>
      <c r="AM123" s="710"/>
      <c r="AN123" s="710"/>
      <c r="AO123" s="710"/>
      <c r="AP123" s="710"/>
      <c r="AQ123" s="710"/>
      <c r="AR123" s="710"/>
      <c r="AS123" s="710"/>
      <c r="AT123" s="710"/>
      <c r="AU123" s="710"/>
      <c r="AV123" s="710"/>
      <c r="AW123" s="710"/>
      <c r="AX123" s="710"/>
      <c r="AY123" s="710"/>
      <c r="AZ123" s="710"/>
      <c r="BA123" s="710"/>
      <c r="BB123" s="710"/>
      <c r="BC123" s="710"/>
      <c r="BD123" s="710"/>
      <c r="BE123" s="710"/>
      <c r="BF123" s="710"/>
      <c r="BG123" s="710"/>
      <c r="BH123" s="710"/>
      <c r="BI123" s="710"/>
      <c r="BJ123" s="710"/>
      <c r="BK123" s="710"/>
      <c r="BL123" s="710"/>
      <c r="BM123" s="710"/>
      <c r="BN123" s="710"/>
      <c r="BO123" s="710"/>
      <c r="BP123" s="710"/>
      <c r="BQ123" s="710"/>
      <c r="BR123" s="710"/>
      <c r="BS123" s="711"/>
      <c r="BT123" s="710"/>
      <c r="BU123" s="711"/>
      <c r="BV123" s="710"/>
      <c r="BW123" s="711"/>
      <c r="BX123" s="710"/>
      <c r="BY123" s="711"/>
      <c r="BZ123" s="710"/>
      <c r="CA123" s="711"/>
      <c r="CB123" s="710"/>
      <c r="CC123" s="711"/>
      <c r="CD123" s="710"/>
      <c r="CE123" s="711"/>
      <c r="CF123" s="710"/>
      <c r="CG123" s="711"/>
      <c r="CH123" s="710"/>
      <c r="CI123" s="711"/>
      <c r="CJ123" s="710"/>
      <c r="CK123" s="711"/>
      <c r="CL123" s="710"/>
      <c r="CM123" s="711"/>
      <c r="CN123" s="710"/>
      <c r="CO123" s="711"/>
      <c r="CP123" s="710"/>
      <c r="CQ123" s="711"/>
      <c r="CR123" s="710"/>
      <c r="CS123" s="711"/>
      <c r="CT123" s="710"/>
      <c r="CU123" s="711"/>
      <c r="CV123" s="710"/>
      <c r="CW123" s="711"/>
      <c r="CX123" s="710"/>
      <c r="CY123" s="711"/>
      <c r="CZ123" s="710"/>
      <c r="DA123" s="711"/>
      <c r="DB123" s="710"/>
      <c r="DC123" s="711"/>
      <c r="DD123" s="710"/>
      <c r="DE123" s="711"/>
      <c r="DF123" s="710"/>
      <c r="DG123" s="711"/>
      <c r="DH123" s="710"/>
      <c r="DI123" s="711"/>
      <c r="DJ123" s="710"/>
      <c r="DK123" s="711"/>
      <c r="DL123" s="710"/>
      <c r="DM123" s="711"/>
      <c r="DN123" s="710"/>
      <c r="DO123" s="711"/>
      <c r="DP123" s="710"/>
      <c r="DQ123" s="711"/>
      <c r="DR123" s="710"/>
      <c r="DS123" s="711"/>
      <c r="DT123" s="710"/>
      <c r="DU123" s="711"/>
      <c r="DV123" s="710"/>
      <c r="DW123" s="711"/>
      <c r="DX123" s="710"/>
      <c r="DY123" s="711"/>
      <c r="DZ123" s="710"/>
      <c r="EA123" s="711"/>
      <c r="EB123" s="710"/>
      <c r="EC123" s="711"/>
      <c r="ED123" s="710"/>
      <c r="EE123" s="711"/>
      <c r="EF123" s="710"/>
      <c r="EG123" s="711"/>
      <c r="EH123" s="711"/>
      <c r="EI123" s="711"/>
      <c r="EJ123" s="711"/>
      <c r="EK123" s="711"/>
      <c r="EL123" s="710"/>
      <c r="EM123" s="711"/>
      <c r="EN123" s="711"/>
      <c r="EO123" s="711"/>
      <c r="EP123" s="710"/>
      <c r="EQ123" s="710"/>
      <c r="ER123" s="710"/>
      <c r="ES123" s="710"/>
      <c r="ET123" s="710"/>
      <c r="EU123" s="710"/>
      <c r="EV123" s="710"/>
      <c r="EW123" s="710"/>
      <c r="EX123" s="710"/>
      <c r="EY123" s="712"/>
      <c r="EZ123" s="713"/>
      <c r="FA123" s="714"/>
      <c r="FB123" s="711"/>
      <c r="FC123" s="710"/>
      <c r="FD123" s="711"/>
      <c r="FE123" s="710"/>
      <c r="FF123" s="712"/>
      <c r="FG123" s="710"/>
      <c r="FH123" s="712"/>
      <c r="FI123" s="710"/>
      <c r="FJ123" s="712"/>
      <c r="FK123" s="710"/>
      <c r="FL123" s="712"/>
      <c r="FM123" s="710"/>
      <c r="FN123" s="712"/>
      <c r="FO123" s="710"/>
      <c r="FP123" s="712"/>
      <c r="FQ123" s="710"/>
      <c r="FR123" s="712"/>
      <c r="FS123" s="715"/>
      <c r="FT123" s="712"/>
      <c r="FU123" s="715"/>
      <c r="FV123" s="712"/>
      <c r="FW123" s="710"/>
      <c r="FX123" s="716"/>
      <c r="FY123" s="710"/>
      <c r="FZ123" s="712"/>
      <c r="GA123" s="710"/>
      <c r="GB123" s="716"/>
      <c r="GC123" s="710"/>
      <c r="GD123" s="712"/>
      <c r="GE123" s="710"/>
      <c r="GF123" s="712"/>
      <c r="GG123" s="710"/>
      <c r="GH123" s="712"/>
      <c r="GI123" s="710"/>
      <c r="GJ123" s="712"/>
      <c r="GK123" s="710"/>
      <c r="GL123" s="712"/>
      <c r="GM123" s="710"/>
      <c r="GN123" s="712"/>
      <c r="GO123" s="710"/>
      <c r="GP123" s="712"/>
      <c r="GQ123" s="710"/>
      <c r="GR123" s="712"/>
      <c r="GS123" s="710"/>
      <c r="GT123" s="712"/>
      <c r="GU123" s="710"/>
      <c r="GV123" s="712"/>
      <c r="GW123" s="710"/>
      <c r="GX123" s="712"/>
      <c r="GY123" s="710"/>
      <c r="GZ123" s="710"/>
      <c r="HA123" s="710"/>
      <c r="HC123"/>
      <c r="HD123"/>
      <c r="HE123"/>
      <c r="HF123"/>
      <c r="HG123"/>
      <c r="HH123"/>
    </row>
    <row r="124" spans="1:217" s="10" customFormat="1" ht="12.75" customHeight="1" x14ac:dyDescent="0.2">
      <c r="B124" s="18"/>
      <c r="C124" s="234"/>
      <c r="D124" s="246"/>
      <c r="E124" s="234"/>
      <c r="F124" s="246"/>
      <c r="G124" s="234"/>
      <c r="H124" s="246"/>
      <c r="I124" s="234"/>
      <c r="J124" s="246"/>
      <c r="K124" s="234"/>
      <c r="L124" s="246"/>
      <c r="M124" s="234"/>
      <c r="N124" s="246"/>
      <c r="O124" s="234"/>
      <c r="P124" s="246"/>
      <c r="Q124" s="234"/>
      <c r="R124" s="246"/>
      <c r="S124" s="234"/>
      <c r="T124" s="246"/>
      <c r="U124" s="234"/>
      <c r="V124" s="246"/>
      <c r="W124" s="234"/>
      <c r="X124" s="246"/>
      <c r="Y124" s="234"/>
      <c r="Z124" s="246"/>
      <c r="AA124" s="234"/>
      <c r="AB124" s="246"/>
      <c r="AC124" s="234"/>
      <c r="AD124" s="246"/>
      <c r="AE124" s="234"/>
      <c r="AF124" s="246"/>
      <c r="AG124" s="234"/>
      <c r="AH124" s="246"/>
      <c r="AI124" s="234"/>
      <c r="AJ124" s="246"/>
      <c r="AK124" s="234"/>
      <c r="AL124" s="246"/>
      <c r="AM124" s="234"/>
      <c r="AN124" s="246"/>
      <c r="AO124" s="234"/>
      <c r="AP124" s="246"/>
      <c r="AQ124" s="234"/>
      <c r="AR124" s="246"/>
      <c r="AS124" s="234"/>
      <c r="AT124" s="246"/>
      <c r="AU124" s="234"/>
      <c r="AV124" s="246"/>
      <c r="AW124" s="234"/>
      <c r="AX124" s="246"/>
      <c r="AY124" s="234"/>
      <c r="AZ124" s="246"/>
      <c r="BA124" s="234"/>
      <c r="BB124" s="246"/>
      <c r="BC124" s="234"/>
      <c r="BD124" s="246"/>
      <c r="BE124" s="234"/>
      <c r="BF124" s="246"/>
      <c r="BG124" s="234"/>
      <c r="BH124" s="246"/>
      <c r="BI124" s="234"/>
      <c r="BJ124" s="246"/>
      <c r="BK124" s="234"/>
      <c r="BL124" s="246"/>
      <c r="BM124" s="234"/>
      <c r="BN124" s="217"/>
      <c r="BO124" s="95"/>
      <c r="BP124" s="217"/>
      <c r="BQ124" s="95"/>
      <c r="BR124" s="217"/>
      <c r="BS124" s="95"/>
      <c r="BT124" s="217"/>
      <c r="BU124" s="95"/>
      <c r="BV124" s="217"/>
      <c r="BW124" s="95"/>
      <c r="BX124" s="217"/>
      <c r="BY124" s="95"/>
      <c r="BZ124" s="217"/>
      <c r="CA124" s="95"/>
      <c r="CB124" s="217"/>
      <c r="CC124" s="95"/>
      <c r="CD124" s="217"/>
      <c r="CE124" s="95"/>
      <c r="CF124" s="217"/>
      <c r="CG124" s="95"/>
      <c r="CH124" s="217"/>
      <c r="CI124" s="95"/>
      <c r="CJ124" s="217"/>
      <c r="CK124" s="95"/>
      <c r="CL124" s="217"/>
      <c r="CM124" s="95"/>
      <c r="CN124" s="217"/>
      <c r="CO124" s="95"/>
      <c r="CP124" s="217"/>
      <c r="CQ124" s="506"/>
      <c r="CR124" s="217"/>
      <c r="CS124" s="95"/>
      <c r="CT124" s="217"/>
      <c r="CU124" s="95"/>
      <c r="CV124" s="217"/>
      <c r="CW124" s="95"/>
      <c r="CX124" s="217"/>
      <c r="CY124" s="95"/>
      <c r="CZ124" s="217"/>
      <c r="DA124" s="95"/>
      <c r="DB124" s="217"/>
      <c r="DC124" s="95"/>
      <c r="DD124" s="217"/>
      <c r="DE124" s="95"/>
      <c r="DF124" s="217"/>
      <c r="DG124" s="95"/>
      <c r="DH124" s="217"/>
      <c r="DI124" s="95"/>
      <c r="DJ124" s="217"/>
      <c r="DK124" s="95"/>
      <c r="DL124" s="217"/>
      <c r="DM124" s="95"/>
      <c r="DN124" s="217"/>
      <c r="DO124" s="95"/>
      <c r="DP124" s="217"/>
      <c r="DQ124" s="95"/>
      <c r="DR124" s="217"/>
      <c r="DS124" s="95"/>
      <c r="DT124" s="217"/>
      <c r="DU124" s="95"/>
      <c r="DV124" s="217"/>
      <c r="DW124" s="95"/>
      <c r="DX124" s="217"/>
      <c r="DY124" s="95"/>
      <c r="DZ124" s="217"/>
      <c r="EA124" s="95"/>
      <c r="EB124" s="217"/>
      <c r="EC124" s="95"/>
      <c r="ED124" s="217"/>
      <c r="EE124" s="95"/>
      <c r="EF124" s="217"/>
      <c r="EG124" s="95"/>
      <c r="EH124" s="95"/>
      <c r="EI124" s="95"/>
      <c r="EJ124" s="95"/>
      <c r="EK124" s="95"/>
      <c r="EL124" s="217"/>
      <c r="EM124" s="95"/>
      <c r="EN124" s="95"/>
      <c r="EO124" s="95"/>
      <c r="EP124" s="217"/>
      <c r="EQ124" s="217"/>
      <c r="ER124" s="217"/>
      <c r="ES124" s="217"/>
      <c r="ET124" s="217"/>
      <c r="EU124" s="217"/>
      <c r="EV124" s="217"/>
      <c r="EW124" s="217"/>
      <c r="EX124" s="217"/>
      <c r="EY124" s="95"/>
      <c r="EZ124" s="594"/>
      <c r="FA124" s="405"/>
      <c r="FB124" s="95"/>
      <c r="FC124" s="217"/>
      <c r="FD124" s="95"/>
      <c r="FE124" s="217"/>
      <c r="FF124" s="95"/>
      <c r="FG124" s="217"/>
      <c r="FH124" s="95"/>
      <c r="FI124" s="217"/>
      <c r="FJ124" s="95"/>
      <c r="FK124" s="217"/>
      <c r="FL124" s="95"/>
      <c r="FM124" s="217"/>
      <c r="FN124" s="95"/>
      <c r="FO124" s="217"/>
      <c r="FP124" s="95"/>
      <c r="FQ124" s="217"/>
      <c r="FR124" s="96"/>
      <c r="FS124" s="223"/>
      <c r="FT124" s="96"/>
      <c r="FU124" s="223"/>
      <c r="FV124" s="96"/>
      <c r="FW124" s="217"/>
      <c r="FX124" s="480"/>
      <c r="FY124" s="217"/>
      <c r="FZ124" s="96"/>
      <c r="GA124" s="217"/>
      <c r="GB124" s="480"/>
      <c r="GC124" s="217"/>
      <c r="GD124" s="96"/>
      <c r="GE124" s="217"/>
      <c r="GF124" s="96"/>
      <c r="GG124" s="217"/>
      <c r="GH124" s="96"/>
      <c r="GI124" s="217"/>
      <c r="GJ124" s="96"/>
      <c r="GK124" s="217"/>
      <c r="GL124" s="96"/>
      <c r="GM124" s="217"/>
      <c r="GN124" s="96"/>
      <c r="GO124" s="217"/>
      <c r="GP124" s="96"/>
      <c r="GQ124" s="217"/>
      <c r="GR124" s="95"/>
      <c r="GS124" s="217"/>
      <c r="GT124" s="95"/>
      <c r="GU124" s="217"/>
      <c r="GV124" s="95"/>
      <c r="GW124" s="217"/>
      <c r="GX124" s="95"/>
      <c r="GY124" s="217"/>
      <c r="GZ124" s="217"/>
      <c r="HA124" s="217"/>
      <c r="HC124"/>
      <c r="HD124"/>
      <c r="HE124"/>
      <c r="HF124"/>
      <c r="HG124"/>
      <c r="HH124"/>
    </row>
    <row r="125" spans="1:217" s="2" customFormat="1" ht="12.75" customHeight="1" x14ac:dyDescent="0.2">
      <c r="B125" s="93" t="s">
        <v>309</v>
      </c>
      <c r="C125" s="153"/>
      <c r="D125" s="154"/>
      <c r="E125" s="153"/>
      <c r="F125" s="154"/>
      <c r="G125" s="153"/>
      <c r="H125" s="154"/>
      <c r="I125" s="153"/>
      <c r="J125" s="154"/>
      <c r="K125" s="153"/>
      <c r="L125" s="154"/>
      <c r="M125" s="153"/>
      <c r="N125" s="154"/>
      <c r="O125" s="153"/>
      <c r="P125" s="154"/>
      <c r="Q125" s="153"/>
      <c r="R125" s="154"/>
      <c r="S125" s="153"/>
      <c r="T125" s="154"/>
      <c r="U125" s="153"/>
      <c r="V125" s="154"/>
      <c r="W125" s="153"/>
      <c r="X125" s="154"/>
      <c r="Y125" s="153"/>
      <c r="Z125" s="154"/>
      <c r="AA125" s="153"/>
      <c r="AB125" s="154"/>
      <c r="AC125" s="153"/>
      <c r="AD125" s="154"/>
      <c r="AE125" s="153"/>
      <c r="AF125" s="154"/>
      <c r="AG125" s="153"/>
      <c r="AH125" s="154"/>
      <c r="AI125" s="153"/>
      <c r="AJ125" s="154"/>
      <c r="AK125" s="153"/>
      <c r="AL125" s="154"/>
      <c r="AM125" s="153"/>
      <c r="AN125" s="154"/>
      <c r="AO125" s="153"/>
      <c r="AP125" s="154"/>
      <c r="AQ125" s="153"/>
      <c r="AR125" s="154"/>
      <c r="AS125" s="153"/>
      <c r="AT125" s="154"/>
      <c r="AU125" s="153"/>
      <c r="AV125" s="154"/>
      <c r="AW125" s="153"/>
      <c r="AX125" s="154"/>
      <c r="AY125" s="153"/>
      <c r="AZ125" s="154"/>
      <c r="BA125" s="153"/>
      <c r="BB125" s="154"/>
      <c r="BC125" s="153"/>
      <c r="BD125" s="154"/>
      <c r="BE125" s="153"/>
      <c r="BF125" s="154"/>
      <c r="BG125" s="153"/>
      <c r="BH125" s="154"/>
      <c r="BI125" s="153"/>
      <c r="BJ125" s="154"/>
      <c r="BK125" s="153"/>
      <c r="BL125" s="154"/>
      <c r="BM125" s="153"/>
      <c r="BN125" s="113"/>
      <c r="BO125" s="112"/>
      <c r="BP125" s="113"/>
      <c r="BQ125" s="112"/>
      <c r="BR125" s="113"/>
      <c r="BS125" s="112"/>
      <c r="BT125" s="113"/>
      <c r="BU125" s="112"/>
      <c r="BV125" s="113"/>
      <c r="BW125" s="112"/>
      <c r="BX125" s="113"/>
      <c r="BY125" s="112"/>
      <c r="BZ125" s="113"/>
      <c r="CA125" s="112"/>
      <c r="CB125" s="113"/>
      <c r="CC125" s="112"/>
      <c r="CD125" s="113"/>
      <c r="CE125" s="112"/>
      <c r="CF125" s="113"/>
      <c r="CG125" s="112"/>
      <c r="CH125" s="113"/>
      <c r="CI125" s="112"/>
      <c r="CJ125" s="113"/>
      <c r="CK125" s="112"/>
      <c r="CL125" s="113"/>
      <c r="CM125" s="112"/>
      <c r="CN125" s="113"/>
      <c r="CO125" s="112"/>
      <c r="CP125" s="113"/>
      <c r="CQ125" s="543"/>
      <c r="CR125" s="113"/>
      <c r="CS125" s="112"/>
      <c r="CT125" s="113"/>
      <c r="CU125" s="112"/>
      <c r="CV125" s="113"/>
      <c r="CW125" s="112"/>
      <c r="CX125" s="113"/>
      <c r="CY125" s="112"/>
      <c r="CZ125" s="113"/>
      <c r="DA125" s="112"/>
      <c r="DB125" s="113"/>
      <c r="DC125" s="112"/>
      <c r="DD125" s="113"/>
      <c r="DE125" s="112"/>
      <c r="DF125" s="113"/>
      <c r="DG125" s="112"/>
      <c r="DH125" s="113"/>
      <c r="DI125" s="112"/>
      <c r="DJ125" s="113"/>
      <c r="DK125" s="112"/>
      <c r="DL125" s="113"/>
      <c r="DM125" s="112"/>
      <c r="DN125" s="113"/>
      <c r="DO125" s="112"/>
      <c r="DP125" s="113"/>
      <c r="DQ125" s="112"/>
      <c r="DR125" s="113"/>
      <c r="DS125" s="112"/>
      <c r="DT125" s="113"/>
      <c r="DU125" s="112"/>
      <c r="DV125" s="113"/>
      <c r="DW125" s="112"/>
      <c r="DX125" s="113"/>
      <c r="DY125" s="112"/>
      <c r="DZ125" s="113"/>
      <c r="EA125" s="112"/>
      <c r="EB125" s="113"/>
      <c r="EC125" s="112"/>
      <c r="ED125" s="113"/>
      <c r="EE125" s="112"/>
      <c r="EF125" s="859"/>
      <c r="EG125" s="112"/>
      <c r="EH125" s="859"/>
      <c r="EI125" s="112"/>
      <c r="EJ125" s="859"/>
      <c r="EK125" s="112"/>
      <c r="EL125" s="859"/>
      <c r="EM125" s="112"/>
      <c r="EN125" s="859"/>
      <c r="EO125" s="112"/>
      <c r="EP125" s="113"/>
      <c r="EQ125" s="1022"/>
      <c r="ER125" s="113"/>
      <c r="ES125" s="1022"/>
      <c r="ET125" s="113"/>
      <c r="EU125" s="1022"/>
      <c r="EV125" s="113"/>
      <c r="EW125" s="1022"/>
      <c r="EX125" s="113"/>
      <c r="EY125" s="114"/>
      <c r="EZ125" s="594"/>
      <c r="FA125" s="405"/>
      <c r="FB125" s="114"/>
      <c r="FC125" s="113"/>
      <c r="FD125" s="112"/>
      <c r="FE125" s="113"/>
      <c r="FF125" s="114"/>
      <c r="FG125" s="113"/>
      <c r="FH125" s="114"/>
      <c r="FI125" s="113"/>
      <c r="FJ125" s="114"/>
      <c r="FK125" s="113"/>
      <c r="FL125" s="114"/>
      <c r="FM125" s="113"/>
      <c r="FN125" s="114"/>
      <c r="FO125" s="113"/>
      <c r="FP125" s="114"/>
      <c r="FQ125" s="113"/>
      <c r="FR125" s="115"/>
      <c r="FS125" s="116"/>
      <c r="FT125" s="115"/>
      <c r="FU125" s="116"/>
      <c r="FV125" s="115"/>
      <c r="FW125" s="113"/>
      <c r="FX125" s="484"/>
      <c r="FY125" s="113"/>
      <c r="FZ125" s="115"/>
      <c r="GA125" s="113"/>
      <c r="GB125" s="484"/>
      <c r="GC125" s="113"/>
      <c r="GD125" s="115"/>
      <c r="GE125" s="113"/>
      <c r="GF125" s="115"/>
      <c r="GG125" s="113"/>
      <c r="GH125" s="115"/>
      <c r="GI125" s="113"/>
      <c r="GJ125" s="115"/>
      <c r="GK125" s="113"/>
      <c r="GL125" s="115"/>
      <c r="GM125" s="113"/>
      <c r="GN125" s="115"/>
      <c r="GO125" s="113"/>
      <c r="GP125" s="115"/>
      <c r="GQ125" s="113"/>
      <c r="GR125" s="114"/>
      <c r="GS125" s="113"/>
      <c r="GT125" s="114"/>
      <c r="GU125" s="113"/>
      <c r="GV125" s="114"/>
      <c r="GW125" s="113"/>
      <c r="GX125" s="114"/>
      <c r="GY125" s="113"/>
      <c r="GZ125" s="113"/>
      <c r="HA125" s="113"/>
      <c r="HB125" s="10"/>
      <c r="HC125"/>
      <c r="HD125"/>
      <c r="HE125"/>
      <c r="HF125"/>
      <c r="HG125"/>
      <c r="HH125"/>
      <c r="HI125" s="10"/>
    </row>
    <row r="126" spans="1:217" s="2" customFormat="1" ht="12.75" customHeight="1" x14ac:dyDescent="0.2">
      <c r="B126" s="93" t="s">
        <v>281</v>
      </c>
      <c r="C126" s="153"/>
      <c r="D126" s="154"/>
      <c r="E126" s="153"/>
      <c r="F126" s="154"/>
      <c r="G126" s="153"/>
      <c r="H126" s="154"/>
      <c r="I126" s="153"/>
      <c r="J126" s="154"/>
      <c r="K126" s="153"/>
      <c r="L126" s="154"/>
      <c r="M126" s="247"/>
      <c r="N126" s="154"/>
      <c r="O126" s="247"/>
      <c r="P126" s="154"/>
      <c r="Q126" s="153"/>
      <c r="R126" s="154"/>
      <c r="S126" s="153"/>
      <c r="T126" s="154"/>
      <c r="U126" s="153"/>
      <c r="V126" s="154"/>
      <c r="W126" s="153"/>
      <c r="X126" s="154"/>
      <c r="Y126" s="153"/>
      <c r="Z126" s="154"/>
      <c r="AA126" s="153"/>
      <c r="AB126" s="154"/>
      <c r="AC126" s="153"/>
      <c r="AD126" s="154"/>
      <c r="AE126" s="153"/>
      <c r="AF126" s="154"/>
      <c r="AG126" s="153"/>
      <c r="AH126" s="154"/>
      <c r="AI126" s="153"/>
      <c r="AJ126" s="154"/>
      <c r="AK126" s="153"/>
      <c r="AL126" s="154"/>
      <c r="AM126" s="153"/>
      <c r="AN126" s="154"/>
      <c r="AO126" s="153"/>
      <c r="AP126" s="154"/>
      <c r="AQ126" s="153"/>
      <c r="AR126" s="154"/>
      <c r="AS126" s="153"/>
      <c r="AT126" s="154"/>
      <c r="AU126" s="153"/>
      <c r="AV126" s="154"/>
      <c r="AW126" s="153"/>
      <c r="AX126" s="154"/>
      <c r="AY126" s="153"/>
      <c r="AZ126" s="154"/>
      <c r="BA126" s="153"/>
      <c r="BB126" s="154"/>
      <c r="BC126" s="153"/>
      <c r="BD126" s="154"/>
      <c r="BE126" s="153"/>
      <c r="BF126" s="154"/>
      <c r="BG126" s="153"/>
      <c r="BH126" s="154"/>
      <c r="BI126" s="153"/>
      <c r="BJ126" s="154"/>
      <c r="BK126" s="153"/>
      <c r="BL126" s="154"/>
      <c r="BM126" s="153"/>
      <c r="BN126" s="113"/>
      <c r="BO126" s="112"/>
      <c r="BP126" s="113"/>
      <c r="BQ126" s="112"/>
      <c r="BR126" s="113"/>
      <c r="BS126" s="112"/>
      <c r="BT126" s="113"/>
      <c r="BU126" s="112"/>
      <c r="BV126" s="113"/>
      <c r="BW126" s="112"/>
      <c r="BX126" s="113"/>
      <c r="BY126" s="112"/>
      <c r="BZ126" s="113"/>
      <c r="CA126" s="112"/>
      <c r="CB126" s="113"/>
      <c r="CC126" s="112"/>
      <c r="CD126" s="113"/>
      <c r="CE126" s="112"/>
      <c r="CF126" s="113"/>
      <c r="CG126" s="112"/>
      <c r="CH126" s="113"/>
      <c r="CI126" s="112"/>
      <c r="CJ126" s="113"/>
      <c r="CK126" s="112"/>
      <c r="CL126" s="113"/>
      <c r="CM126" s="112"/>
      <c r="CN126" s="113"/>
      <c r="CO126" s="112"/>
      <c r="CP126" s="113"/>
      <c r="CQ126" s="543"/>
      <c r="CR126" s="113"/>
      <c r="CS126" s="112"/>
      <c r="CT126" s="113"/>
      <c r="CU126" s="112"/>
      <c r="CV126" s="113"/>
      <c r="CW126" s="112"/>
      <c r="CX126" s="113"/>
      <c r="CY126" s="112"/>
      <c r="CZ126" s="113"/>
      <c r="DA126" s="112"/>
      <c r="DB126" s="113"/>
      <c r="DC126" s="112"/>
      <c r="DD126" s="113"/>
      <c r="DE126" s="112"/>
      <c r="DF126" s="113"/>
      <c r="DG126" s="112"/>
      <c r="DH126" s="113"/>
      <c r="DI126" s="112"/>
      <c r="DJ126" s="113"/>
      <c r="DK126" s="112"/>
      <c r="DL126" s="113"/>
      <c r="DM126" s="112"/>
      <c r="DN126" s="113"/>
      <c r="DO126" s="112"/>
      <c r="DP126" s="113"/>
      <c r="DQ126" s="112"/>
      <c r="DR126" s="113"/>
      <c r="DS126" s="112"/>
      <c r="DT126" s="113"/>
      <c r="DU126" s="112"/>
      <c r="DV126" s="113"/>
      <c r="DW126" s="112"/>
      <c r="DX126" s="113"/>
      <c r="DY126" s="112"/>
      <c r="DZ126" s="113"/>
      <c r="EA126" s="112"/>
      <c r="EB126" s="113"/>
      <c r="EC126" s="112"/>
      <c r="ED126" s="113"/>
      <c r="EE126" s="112"/>
      <c r="EF126" s="859"/>
      <c r="EG126" s="112"/>
      <c r="EH126" s="859"/>
      <c r="EI126" s="112"/>
      <c r="EJ126" s="859"/>
      <c r="EK126" s="112"/>
      <c r="EL126" s="859"/>
      <c r="EM126" s="112"/>
      <c r="EN126" s="859"/>
      <c r="EO126" s="112"/>
      <c r="EP126" s="113"/>
      <c r="EQ126" s="1022"/>
      <c r="ER126" s="113"/>
      <c r="ES126" s="1022"/>
      <c r="ET126" s="113"/>
      <c r="EU126" s="1022"/>
      <c r="EV126" s="113"/>
      <c r="EW126" s="1022"/>
      <c r="EX126" s="113"/>
      <c r="EY126" s="114"/>
      <c r="EZ126" s="594"/>
      <c r="FA126" s="405"/>
      <c r="FB126" s="114"/>
      <c r="FC126" s="113"/>
      <c r="FD126" s="112"/>
      <c r="FE126" s="113"/>
      <c r="FF126" s="114"/>
      <c r="FG126" s="113"/>
      <c r="FH126" s="114"/>
      <c r="FI126" s="113"/>
      <c r="FJ126" s="114"/>
      <c r="FK126" s="113"/>
      <c r="FL126" s="114"/>
      <c r="FM126" s="113"/>
      <c r="FN126" s="114"/>
      <c r="FO126" s="113"/>
      <c r="FP126" s="114"/>
      <c r="FQ126" s="113"/>
      <c r="FR126" s="115"/>
      <c r="FS126" s="116"/>
      <c r="FT126" s="115"/>
      <c r="FU126" s="116"/>
      <c r="FV126" s="115"/>
      <c r="FW126" s="113"/>
      <c r="FX126" s="484"/>
      <c r="FY126" s="113"/>
      <c r="FZ126" s="115"/>
      <c r="GA126" s="113"/>
      <c r="GB126" s="484"/>
      <c r="GC126" s="113"/>
      <c r="GD126" s="115"/>
      <c r="GE126" s="113"/>
      <c r="GF126" s="115"/>
      <c r="GG126" s="113"/>
      <c r="GH126" s="115"/>
      <c r="GI126" s="113"/>
      <c r="GJ126" s="115"/>
      <c r="GK126" s="113"/>
      <c r="GL126" s="115"/>
      <c r="GM126" s="113"/>
      <c r="GN126" s="115"/>
      <c r="GO126" s="113"/>
      <c r="GP126" s="115"/>
      <c r="GQ126" s="113"/>
      <c r="GR126" s="114"/>
      <c r="GS126" s="113"/>
      <c r="GT126" s="114"/>
      <c r="GU126" s="113"/>
      <c r="GV126" s="114"/>
      <c r="GW126" s="113"/>
      <c r="GX126" s="114"/>
      <c r="GY126" s="113"/>
      <c r="GZ126" s="113"/>
      <c r="HA126" s="113"/>
      <c r="HB126" s="10"/>
      <c r="HC126"/>
      <c r="HD126"/>
      <c r="HE126"/>
      <c r="HF126"/>
      <c r="HG126"/>
      <c r="HH126"/>
      <c r="HI126" s="10"/>
    </row>
    <row r="127" spans="1:217" s="2" customFormat="1" ht="12.75" customHeight="1" x14ac:dyDescent="0.2">
      <c r="B127" s="91" t="s">
        <v>310</v>
      </c>
      <c r="C127" s="155">
        <f>+FD133</f>
        <v>31570</v>
      </c>
      <c r="D127" s="156"/>
      <c r="E127" s="155">
        <f>+C133</f>
        <v>31346</v>
      </c>
      <c r="F127" s="156"/>
      <c r="G127" s="157">
        <v>31636</v>
      </c>
      <c r="H127" s="156"/>
      <c r="I127" s="155">
        <f>+G133</f>
        <v>31489</v>
      </c>
      <c r="J127" s="156"/>
      <c r="K127" s="155">
        <f>+I133</f>
        <v>32004</v>
      </c>
      <c r="L127" s="156">
        <f t="shared" ref="L127:L133" si="597">IF(ISERROR((K127/C127-1)*100),"NA",IF(((K127/C127-1)*100)&gt;100,"NM",IF(((K127/C127-1)*100)&lt;-50,"NM",(K127/C127-1)*100)))</f>
        <v>1.3747228381374654</v>
      </c>
      <c r="M127" s="155">
        <f>+K133</f>
        <v>32575</v>
      </c>
      <c r="N127" s="156">
        <f t="shared" ref="N127:N133" si="598">IF(ISERROR((M127/E127-1)*100),"NA",IF(((M127/E127-1)*100)&gt;100,"NM",IF(((M127/E127-1)*100)&lt;-50,"NM",(M127/E127-1)*100)))</f>
        <v>3.9207554392904909</v>
      </c>
      <c r="O127" s="155">
        <f>+M133</f>
        <v>32201</v>
      </c>
      <c r="P127" s="156">
        <f t="shared" ref="P127:P133" si="599">IF(ISERROR((O127/G127-1)*100),"NA",IF(((O127/G127-1)*100)&gt;100,"NM",IF(((O127/G127-1)*100)&lt;-50,"NM",(O127/G127-1)*100)))</f>
        <v>1.7859400682766369</v>
      </c>
      <c r="Q127" s="155">
        <f>+O133</f>
        <v>33336</v>
      </c>
      <c r="R127" s="156">
        <f t="shared" ref="R127:R133" si="600">IF(ISERROR((Q127/I127-1)*100),"NA",IF(((Q127/I127-1)*100)&gt;100,"NM",IF(((Q127/I127-1)*100)&lt;-50,"NM",(Q127/I127-1)*100)))</f>
        <v>5.865540347422904</v>
      </c>
      <c r="S127" s="155">
        <f>+Q133</f>
        <v>33502</v>
      </c>
      <c r="T127" s="156">
        <f t="shared" ref="T127:T133" si="601">IF(ISERROR((S127/K127-1)*100),"NA",IF(((S127/K127-1)*100)&gt;100,"NM",IF(((S127/K127-1)*100)&lt;-50,"NM",(S127/K127-1)*100)))</f>
        <v>4.6806649168853909</v>
      </c>
      <c r="U127" s="155">
        <f>+S133</f>
        <v>33313</v>
      </c>
      <c r="V127" s="156">
        <f t="shared" ref="V127:V133" si="602">IF(ISERROR((U127/M127-1)*100),"NA",IF(((U127/M127-1)*100)&gt;100,"NM",IF(((U127/M127-1)*100)&lt;-50,"NM",(U127/M127-1)*100)))</f>
        <v>2.2655410590944003</v>
      </c>
      <c r="W127" s="155">
        <f>+U133</f>
        <v>34618</v>
      </c>
      <c r="X127" s="156">
        <f t="shared" ref="X127:X133" si="603">IF(ISERROR((W127/O127-1)*100),"NA",IF(((W127/O127-1)*100)&gt;100,"NM",IF(((W127/O127-1)*100)&lt;-50,"NM",(W127/O127-1)*100)))</f>
        <v>7.5059780752150473</v>
      </c>
      <c r="Y127" s="155">
        <f>+W133</f>
        <v>35553</v>
      </c>
      <c r="Z127" s="156">
        <f t="shared" ref="Z127:Z133" si="604">IF(ISERROR((Y127/Q127-1)*100),"NA",IF(((Y127/Q127-1)*100)&gt;100,"NM",IF(((Y127/Q127-1)*100)&lt;-50,"NM",(Y127/Q127-1)*100)))</f>
        <v>6.6504679625629892</v>
      </c>
      <c r="AA127" s="155">
        <f>+Y133</f>
        <v>35548</v>
      </c>
      <c r="AB127" s="156">
        <f t="shared" ref="AB127:AB133" si="605">IF(ISERROR((AA127/S127-1)*100),"NA",IF(((AA127/S127-1)*100)&gt;100,"NM",IF(((AA127/S127-1)*100)&lt;-50,"NM",(AA127/S127-1)*100)))</f>
        <v>6.1070980836964939</v>
      </c>
      <c r="AC127" s="155">
        <f>+AA133</f>
        <v>36206</v>
      </c>
      <c r="AD127" s="156">
        <f t="shared" ref="AD127:AD133" si="606">IF(ISERROR((AC127/U127-1)*100),"NA",IF(((AC127/U127-1)*100)&gt;100,"NM",IF(((AC127/U127-1)*100)&lt;-50,"NM",(AC127/U127-1)*100)))</f>
        <v>8.6842974214270683</v>
      </c>
      <c r="AE127" s="155">
        <f>+AC133</f>
        <v>39111</v>
      </c>
      <c r="AF127" s="156">
        <f t="shared" ref="AF127:AF133" si="607">IF(ISERROR((AE127/W127-1)*100),"NA",IF(((AE127/W127-1)*100)&gt;100,"NM",IF(((AE127/W127-1)*100)&lt;-50,"NM",(AE127/W127-1)*100)))</f>
        <v>12.978797157548104</v>
      </c>
      <c r="AG127" s="155">
        <f>+AE133</f>
        <v>40191</v>
      </c>
      <c r="AH127" s="156">
        <f t="shared" ref="AH127:AH133" si="608">IF(ISERROR((AG127/Y127-1)*100),"NA",IF(((AG127/Y127-1)*100)&gt;100,"NM",IF(((AG127/Y127-1)*100)&lt;-50,"NM",(AG127/Y127-1)*100)))</f>
        <v>13.045312631845407</v>
      </c>
      <c r="AI127" s="155">
        <f>+AG133</f>
        <v>40298</v>
      </c>
      <c r="AJ127" s="156">
        <f t="shared" ref="AJ127:AJ133" si="609">IF(ISERROR((AI127/AA127-1)*100),"NA",IF(((AI127/AA127-1)*100)&gt;100,"NM",IF(((AI127/AA127-1)*100)&lt;-50,"NM",(AI127/AA127-1)*100)))</f>
        <v>13.362214470574996</v>
      </c>
      <c r="AK127" s="155">
        <f>+AI133</f>
        <v>42634</v>
      </c>
      <c r="AL127" s="156">
        <f t="shared" ref="AL127:AL133" si="610">IF(ISERROR((AK127/AC127-1)*100),"NA",IF(((AK127/AC127-1)*100)&gt;100,"NM",IF(((AK127/AC127-1)*100)&lt;-50,"NM",(AK127/AC127-1)*100)))</f>
        <v>17.753963431475441</v>
      </c>
      <c r="AM127" s="157">
        <v>44134</v>
      </c>
      <c r="AN127" s="156">
        <f t="shared" ref="AN127:AN133" si="611">IF(ISERROR((AM127/AE127-1)*100),"NA",IF(((AM127/AE127-1)*100)&gt;100,"NM",IF(((AM127/AE127-1)*100)&lt;-50,"NM",(AM127/AE127-1)*100)))</f>
        <v>12.842934212881296</v>
      </c>
      <c r="AO127" s="155">
        <f>+AM133</f>
        <v>46332</v>
      </c>
      <c r="AP127" s="156">
        <f t="shared" ref="AP127:AP133" si="612">IF(ISERROR((AO127/AG127-1)*100),"NA",IF(((AO127/AG127-1)*100)&gt;100,"NM",IF(((AO127/AG127-1)*100)&lt;-50,"NM",(AO127/AG127-1)*100)))</f>
        <v>15.279540195566167</v>
      </c>
      <c r="AQ127" s="155">
        <f>+AO133</f>
        <v>47758</v>
      </c>
      <c r="AR127" s="156">
        <f t="shared" ref="AR127:AR133" si="613">IF(ISERROR((AQ127/AI127-1)*100),"NA",IF(((AQ127/AI127-1)*100)&gt;100,"NM",IF(((AQ127/AI127-1)*100)&lt;-50,"NM",(AQ127/AI127-1)*100)))</f>
        <v>18.512084966995879</v>
      </c>
      <c r="AS127" s="155">
        <f>+AQ133</f>
        <v>49233</v>
      </c>
      <c r="AT127" s="156">
        <f t="shared" ref="AT127:AT133" si="614">IF(ISERROR((AS127/AK127-1)*100),"NA",IF(((AS127/AK127-1)*100)&gt;100,"NM",IF(((AS127/AK127-1)*100)&lt;-50,"NM",(AS127/AK127-1)*100)))</f>
        <v>15.478256790355104</v>
      </c>
      <c r="AU127" s="155">
        <f>+AS133</f>
        <v>51020</v>
      </c>
      <c r="AV127" s="156">
        <f t="shared" ref="AV127:AV133" si="615">IF(ISERROR((AU127/AM127-1)*100),"NA",IF(((AU127/AM127-1)*100)&gt;100,"NM",IF(((AU127/AM127-1)*100)&lt;-50,"NM",(AU127/AM127-1)*100)))</f>
        <v>15.602483346173024</v>
      </c>
      <c r="AW127" s="155">
        <f>+AU133</f>
        <v>77933</v>
      </c>
      <c r="AX127" s="156">
        <f t="shared" ref="AX127:AX133" si="616">IF(ISERROR((AW127/AO127-1)*100),"NA",IF(((AW127/AO127-1)*100)&gt;100,"NM",IF(((AW127/AO127-1)*100)&lt;-50,"NM",(AW127/AO127-1)*100)))</f>
        <v>68.205559872226544</v>
      </c>
      <c r="AY127" s="155">
        <f>+AW133</f>
        <v>78405</v>
      </c>
      <c r="AZ127" s="156">
        <f t="shared" ref="AZ127:AZ133" si="617">IF(ISERROR((AY127/AQ127-1)*100),"NA",IF(((AY127/AQ127-1)*100)&gt;100,"NM",IF(((AY127/AQ127-1)*100)&lt;-50,"NM",(AY127/AQ127-1)*100)))</f>
        <v>64.171447715565975</v>
      </c>
      <c r="BA127" s="155">
        <f>+AY133</f>
        <v>78252</v>
      </c>
      <c r="BB127" s="156">
        <f t="shared" ref="BB127:BB133" si="618">IF(ISERROR((BA127/AS127-1)*100),"NA",IF(((BA127/AS127-1)*100)&gt;100,"NM",IF(((BA127/AS127-1)*100)&lt;-50,"NM",(BA127/AS127-1)*100)))</f>
        <v>58.942172932788985</v>
      </c>
      <c r="BC127" s="155">
        <f>+BA133</f>
        <v>79406</v>
      </c>
      <c r="BD127" s="156">
        <f t="shared" ref="BD127:BD133" si="619">IF(ISERROR((BC127/AU127-1)*100),"NA",IF(((BC127/AU127-1)*100)&gt;100,"NM",IF(((BC127/AU127-1)*100)&lt;-50,"NM",(BC127/AU127-1)*100)))</f>
        <v>55.637005096040767</v>
      </c>
      <c r="BE127" s="155">
        <f>+BC133</f>
        <v>81440</v>
      </c>
      <c r="BF127" s="156">
        <f t="shared" ref="BF127:BF133" si="620">IF(ISERROR((BE127/AW127-1)*100),"NA",IF(((BE127/AW127-1)*100)&gt;100,"NM",IF(((BE127/AW127-1)*100)&lt;-50,"NM",(BE127/AW127-1)*100)))</f>
        <v>4.5000192473021672</v>
      </c>
      <c r="BG127" s="155">
        <f>+BE133</f>
        <v>84035</v>
      </c>
      <c r="BH127" s="156">
        <f t="shared" ref="BH127:BH133" si="621">IF(ISERROR((BG127/AY127-1)*100),"NA",IF(((BG127/AY127-1)*100)&gt;100,"NM",IF(((BG127/AY127-1)*100)&lt;-50,"NM",(BG127/AY127-1)*100)))</f>
        <v>7.1806644984375945</v>
      </c>
      <c r="BI127" s="155">
        <f>+BG133</f>
        <v>85118</v>
      </c>
      <c r="BJ127" s="156">
        <f t="shared" ref="BJ127:BJ133" si="622">IF(ISERROR((BI127/BA127-1)*100),"NA",IF(((BI127/BA127-1)*100)&gt;100,"NM",IF(((BI127/BA127-1)*100)&lt;-50,"NM",(BI127/BA127-1)*100)))</f>
        <v>8.7742166334406679</v>
      </c>
      <c r="BK127" s="155">
        <f>+BI133</f>
        <v>89209</v>
      </c>
      <c r="BL127" s="156">
        <f t="shared" ref="BL127:BL133" si="623">IF(ISERROR((BK127/BC127-1)*100),"NA",IF(((BK127/BC127-1)*100)&gt;100,"NM",IF(((BK127/BC127-1)*100)&lt;-50,"NM",(BK127/BC127-1)*100)))</f>
        <v>12.345414704178514</v>
      </c>
      <c r="BM127" s="155">
        <f>+BK133</f>
        <v>91401</v>
      </c>
      <c r="BN127" s="98">
        <f t="shared" ref="BN127:BN133" si="624">IF(ISERROR((BM127/BE127-1)*100),"NA",IF(((BM127/BE127-1)*100)&gt;100,"NM",IF(((BM127/BE127-1)*100)&lt;-50,"NM",(BM127/BE127-1)*100)))</f>
        <v>12.231090373280939</v>
      </c>
      <c r="BO127" s="117">
        <f>+BM133</f>
        <v>89533</v>
      </c>
      <c r="BP127" s="98">
        <f t="shared" ref="BP127:BP133" si="625">IF(ISERROR((BO127/BG127-1)*100),"NA",IF(((BO127/BG127-1)*100)&gt;100,"NM",IF(((BO127/BG127-1)*100)&lt;-50,"NM",(BO127/BG127-1)*100)))</f>
        <v>6.5425120485512078</v>
      </c>
      <c r="BQ127" s="117">
        <f>+BO133</f>
        <v>92653</v>
      </c>
      <c r="BR127" s="98">
        <f t="shared" ref="BR127:BR133" si="626">IF(ISERROR((BQ127/BI127-1)*100),"NA",IF(((BQ127/BI127-1)*100)&gt;100,"NM",IF(((BQ127/BI127-1)*100)&lt;-50,"NM",(BQ127/BI127-1)*100)))</f>
        <v>8.8524166451279473</v>
      </c>
      <c r="BS127" s="117">
        <f>+BQ133</f>
        <v>94202</v>
      </c>
      <c r="BT127" s="98">
        <f t="shared" ref="BT127:BT133" si="627">IF(ISERROR((BS127/BK127-1)*100),"NA",IF(((BS127/BK127-1)*100)&gt;100,"NM",IF(((BS127/BK127-1)*100)&lt;-50,"NM",(BS127/BK127-1)*100)))</f>
        <v>5.5969689156923685</v>
      </c>
      <c r="BU127" s="101">
        <v>101812</v>
      </c>
      <c r="BV127" s="98">
        <f t="shared" ref="BV127:BV133" si="628">IF(ISERROR((BU127/BM127-1)*100),"NA",IF(((BU127/BM127-1)*100)&gt;100,"NM",IF(((BU127/BM127-1)*100)&lt;-50,"NM",(BU127/BM127-1)*100)))</f>
        <v>11.390466187459648</v>
      </c>
      <c r="BW127" s="117">
        <f>+BU133</f>
        <v>107091</v>
      </c>
      <c r="BX127" s="98">
        <f t="shared" ref="BX127:BX133" si="629">IF(ISERROR((BW127/BO127-1)*100),"NA",IF(((BW127/BO127-1)*100)&gt;100,"NM",IF(((BW127/BO127-1)*100)&lt;-50,"NM",(BW127/BO127-1)*100)))</f>
        <v>19.610646353858364</v>
      </c>
      <c r="BY127" s="117">
        <f>+BW133</f>
        <v>101662</v>
      </c>
      <c r="BZ127" s="98">
        <f t="shared" ref="BZ127:BZ133" si="630">IF(ISERROR((BY127/BQ127-1)*100),"NA",IF(((BY127/BQ127-1)*100)&gt;100,"NM",IF(((BY127/BQ127-1)*100)&lt;-50,"NM",(BY127/BQ127-1)*100)))</f>
        <v>9.7233764691915034</v>
      </c>
      <c r="CA127" s="117">
        <f>+BY133</f>
        <v>99652</v>
      </c>
      <c r="CB127" s="98">
        <f t="shared" ref="CB127:CB133" si="631">IF(ISERROR((CA127/BS127-1)*100),"NA",IF(((CA127/BS127-1)*100)&gt;100,"NM",IF(((CA127/BS127-1)*100)&lt;-50,"NM",(CA127/BS127-1)*100)))</f>
        <v>5.785439799579617</v>
      </c>
      <c r="CC127" s="101">
        <v>93657</v>
      </c>
      <c r="CD127" s="98">
        <f t="shared" ref="CD127:CD133" si="632">IF(ISERROR((CC127/BU127-1)*100),"NA",IF(((CC127/BU127-1)*100)&gt;100,"NM",IF(((CC127/BU127-1)*100)&lt;-50,"NM",(CC127/BU127-1)*100)))</f>
        <v>-8.0098613130082938</v>
      </c>
      <c r="CE127" s="117">
        <f>+CC133</f>
        <v>92899</v>
      </c>
      <c r="CF127" s="98">
        <f t="shared" ref="CF127:CF133" si="633">IF(ISERROR((CE127/BW127-1)*100),"NA",IF(((CE127/BW127-1)*100)&gt;100,"NM",IF(((CE127/BW127-1)*100)&lt;-50,"NM",(CE127/BW127-1)*100)))</f>
        <v>-13.252280770559622</v>
      </c>
      <c r="CG127" s="117">
        <f>+CE133</f>
        <v>95796</v>
      </c>
      <c r="CH127" s="98">
        <f t="shared" ref="CH127:CH133" si="634">IF(ISERROR((CG127/BY127-1)*100),"NA",IF(((CG127/BY127-1)*100)&gt;100,"NM",IF(((CG127/BY127-1)*100)&lt;-50,"NM",(CG127/BY127-1)*100)))</f>
        <v>-5.7701009226652999</v>
      </c>
      <c r="CI127" s="117">
        <f>+CG133</f>
        <v>95475</v>
      </c>
      <c r="CJ127" s="98">
        <f t="shared" ref="CJ127:CJ133" si="635">IF(ISERROR((CI127/CA127-1)*100),"NA",IF(((CI127/CA127-1)*100)&gt;100,"NM",IF(((CI127/CA127-1)*100)&lt;-50,"NM",(CI127/CA127-1)*100)))</f>
        <v>-4.1915867217918397</v>
      </c>
      <c r="CK127" s="117">
        <f>+CI133</f>
        <v>97929</v>
      </c>
      <c r="CL127" s="98">
        <f t="shared" ref="CL127:CL133" si="636">IF(ISERROR((CK127/CC127-1)*100),"NA",IF(((CK127/CC127-1)*100)&gt;100,"NM",IF(((CK127/CC127-1)*100)&lt;-50,"NM",(CK127/CC127-1)*100)))</f>
        <v>4.5613248342355694</v>
      </c>
      <c r="CM127" s="101">
        <v>101456</v>
      </c>
      <c r="CN127" s="98">
        <f t="shared" ref="CN127:CN133" si="637">IF(ISERROR((CM127/CE127-1)*100),"NA",IF(((CM127/CE127-1)*100)&gt;100,"NM",IF(((CM127/CE127-1)*100)&lt;-50,"NM",(CM127/CE127-1)*100)))</f>
        <v>9.2110786983713453</v>
      </c>
      <c r="CO127" s="117">
        <f>+CM133</f>
        <v>103328</v>
      </c>
      <c r="CP127" s="98">
        <f t="shared" ref="CP127:CT133" si="638">IF(ISERROR((CO127/CG127-1)*100),"NA",IF(((CO127/CG127-1)*100)&gt;100,"NM",IF(((CO127/CG127-1)*100)&lt;-50,"NM",(CO127/CG127-1)*100)))</f>
        <v>7.8625412334544231</v>
      </c>
      <c r="CQ127" s="486">
        <f>+CO133</f>
        <v>104538</v>
      </c>
      <c r="CR127" s="98">
        <f t="shared" si="638"/>
        <v>9.492537313432825</v>
      </c>
      <c r="CS127" s="117">
        <f>+CQ133</f>
        <v>104585</v>
      </c>
      <c r="CT127" s="98">
        <f t="shared" si="638"/>
        <v>6.7967609186247113</v>
      </c>
      <c r="CU127" s="117">
        <f>+CS133</f>
        <v>106024</v>
      </c>
      <c r="CV127" s="98">
        <f t="shared" ref="CV127:CV133" si="639">IF(ISERROR((CU127/CM127-1)*100),"NA",IF(((CU127/CM127-1)*100)&gt;100,"NM",IF(((CU127/CM127-1)*100)&lt;-50,"NM",(CU127/CM127-1)*100)))</f>
        <v>4.5024444093991534</v>
      </c>
      <c r="CW127" s="117">
        <f>+CU133</f>
        <v>108339</v>
      </c>
      <c r="CX127" s="98">
        <f t="shared" ref="CX127:CX133" si="640">IF(ISERROR((CW127/CO127-1)*100),"NA",IF(((CW127/CO127-1)*100)&gt;100,"NM",IF(((CW127/CO127-1)*100)&lt;-50,"NM",(CW127/CO127-1)*100)))</f>
        <v>4.8496051409105068</v>
      </c>
      <c r="CY127" s="117">
        <f>+CW133</f>
        <v>114430</v>
      </c>
      <c r="CZ127" s="98">
        <f t="shared" ref="CZ127:CZ133" si="641">IF(ISERROR((CY127/CQ127-1)*100),"NA",IF(((CY127/CQ127-1)*100)&gt;100,"NM",IF(((CY127/CQ127-1)*100)&lt;-50,"NM",(CY127/CQ127-1)*100)))</f>
        <v>9.4625877671277401</v>
      </c>
      <c r="DA127" s="117">
        <f>+CY133</f>
        <v>116659</v>
      </c>
      <c r="DB127" s="98">
        <f t="shared" ref="DB127:DB133" si="642">IF(ISERROR((DA127/CS127-1)*100),"NA",IF(((DA127/CS127-1)*100)&gt;100,"NM",IF(((DA127/CS127-1)*100)&lt;-50,"NM",(DA127/CS127-1)*100)))</f>
        <v>11.544676578859292</v>
      </c>
      <c r="DC127" s="117">
        <f>+DA133</f>
        <v>116910</v>
      </c>
      <c r="DD127" s="98">
        <f t="shared" ref="DD127:DD133" si="643">IF(ISERROR((DC127/CU127-1)*100),"NA",IF(((DC127/CU127-1)*100)&gt;100,"NM",IF(((DC127/CU127-1)*100)&lt;-50,"NM",(DC127/CU127-1)*100)))</f>
        <v>10.26748660680601</v>
      </c>
      <c r="DE127" s="117">
        <f>+DC133</f>
        <v>119187</v>
      </c>
      <c r="DF127" s="98">
        <f t="shared" ref="DF127:DF133" si="644">IF(ISERROR((DE127/CW127-1)*100),"NA",IF(((DE127/CW127-1)*100)&gt;100,"NM",IF(((DE127/CW127-1)*100)&lt;-50,"NM",(DE127/CW127-1)*100)))</f>
        <v>10.013014703846256</v>
      </c>
      <c r="DG127" s="117">
        <f>+DE133</f>
        <v>112395</v>
      </c>
      <c r="DH127" s="98">
        <f t="shared" ref="DH127:DH133" si="645">IF(ISERROR((DG127/CY127-1)*100),"NA",IF(((DG127/CY127-1)*100)&gt;100,"NM",IF(((DG127/CY127-1)*100)&lt;-50,"NM",(DG127/CY127-1)*100)))</f>
        <v>-1.778379795508167</v>
      </c>
      <c r="DI127" s="117">
        <f>+DG133</f>
        <v>111203</v>
      </c>
      <c r="DJ127" s="98">
        <f t="shared" ref="DJ127:DJ133" si="646">IF(ISERROR((DI127/DA127-1)*100),"NA",IF(((DI127/DA127-1)*100)&gt;100,"NM",IF(((DI127/DA127-1)*100)&lt;-50,"NM",(DI127/DA127-1)*100)))</f>
        <v>-4.676878766318926</v>
      </c>
      <c r="DK127" s="117">
        <f>+DI133</f>
        <v>112454</v>
      </c>
      <c r="DL127" s="98">
        <f t="shared" ref="DL127:DL133" si="647">IF(ISERROR((DK127/DC127-1)*100),"NA",IF(((DK127/DC127-1)*100)&gt;100,"NM",IF(((DK127/DC127-1)*100)&lt;-50,"NM",(DK127/DC127-1)*100)))</f>
        <v>-3.8114789154050088</v>
      </c>
      <c r="DM127" s="117">
        <f>+DK133</f>
        <v>110073</v>
      </c>
      <c r="DN127" s="98">
        <f t="shared" ref="DN127:DZ133" si="648">IF(ISERROR((DM127/DE127-1)*100),"NA",IF(((DM127/DE127-1)*100)&gt;100,"NM",IF(((DM127/DE127-1)*100)&lt;-50,"NM",(DM127/DE127-1)*100)))</f>
        <v>-7.6468071182259845</v>
      </c>
      <c r="DO127" s="117">
        <f>+DM133</f>
        <v>111317</v>
      </c>
      <c r="DP127" s="98">
        <f t="shared" si="648"/>
        <v>-0.95911739846078481</v>
      </c>
      <c r="DQ127" s="117">
        <f>+DO133</f>
        <v>113467</v>
      </c>
      <c r="DR127" s="98">
        <f t="shared" si="648"/>
        <v>2.0359162972221956</v>
      </c>
      <c r="DS127" s="117">
        <v>97879</v>
      </c>
      <c r="DT127" s="98">
        <f t="shared" si="648"/>
        <v>-12.960855105198565</v>
      </c>
      <c r="DU127" s="117">
        <f>+DS133</f>
        <v>98618</v>
      </c>
      <c r="DV127" s="98">
        <f t="shared" si="648"/>
        <v>-10.4067300791293</v>
      </c>
      <c r="DW127" s="117">
        <f>+DU133</f>
        <v>96646</v>
      </c>
      <c r="DX127" s="98">
        <f t="shared" si="648"/>
        <v>-13.179478426475743</v>
      </c>
      <c r="DY127" s="117">
        <f>+DW133</f>
        <v>94969</v>
      </c>
      <c r="DZ127" s="98">
        <f t="shared" si="648"/>
        <v>-16.302537301594299</v>
      </c>
      <c r="EA127" s="117">
        <f>+DY133</f>
        <v>96194</v>
      </c>
      <c r="EB127" s="98">
        <f t="shared" ref="EB127:EB133" si="649">IF(ISERROR((EA127/DS127-1)*100),"NA",IF(((EA127/DS127-1)*100)&gt;100,"NM",IF(((EA127/DS127-1)*100)&lt;-50,"NM",(EA127/DS127-1)*100)))</f>
        <v>-1.7215132970300084</v>
      </c>
      <c r="EC127" s="117">
        <f>+EA133</f>
        <v>98304</v>
      </c>
      <c r="ED127" s="98">
        <f t="shared" ref="ED127:ED133" si="650">IF(ISERROR((EC127/DU127-1)*100),"NA",IF(((EC127/DU127-1)*100)&gt;100,"NM",IF(((EC127/DU127-1)*100)&lt;-50,"NM",(EC127/DU127-1)*100)))</f>
        <v>-0.31840029203593634</v>
      </c>
      <c r="EE127" s="117">
        <f>+EC133</f>
        <v>99421</v>
      </c>
      <c r="EF127" s="860">
        <f t="shared" ref="EF127:EF133" si="651">IF(ISERROR((EE127/DW127-1)*100),"NA",IF(((EE127/DW127-1)*100)&gt;100,"NM",IF(((EE127/DW127-1)*100)&lt;-50,"NM",(EE127/DW127-1)*100)))</f>
        <v>2.8713035200629067</v>
      </c>
      <c r="EG127" s="117">
        <f>+EE133</f>
        <v>102036</v>
      </c>
      <c r="EH127" s="860">
        <f t="shared" ref="EH127:EH133" si="652">IF(ISERROR((EG127/DY127-1)*100),"NA",IF(((EG127/DY127-1)*100)&gt;100,"NM",IF(((EG127/DY127-1)*100)&lt;-50,"NM",(EG127/DY127-1)*100)))</f>
        <v>7.4413756067769565</v>
      </c>
      <c r="EI127" s="117">
        <f>+EG133</f>
        <v>101567</v>
      </c>
      <c r="EJ127" s="860">
        <f t="shared" ref="EJ127:EJ133" si="653">IF(ISERROR((EI127/EA127-1)*100),"NA",IF(((EI127/EA127-1)*100)&gt;100,"NM",IF(((EI127/EA127-1)*100)&lt;-50,"NM",(EI127/EA127-1)*100)))</f>
        <v>5.5855874586772547</v>
      </c>
      <c r="EK127" s="117">
        <f>+EI133</f>
        <v>102599</v>
      </c>
      <c r="EL127" s="860">
        <f t="shared" ref="EL127:EL133" si="654">IF(ISERROR((EK127/EC127-1)*100),"NA",IF(((EK127/EC127-1)*100)&gt;100,"NM",IF(((EK127/EC127-1)*100)&lt;-50,"NM",(EK127/EC127-1)*100)))</f>
        <v>4.3690999348958259</v>
      </c>
      <c r="EM127" s="117">
        <f>+EK133</f>
        <v>103417</v>
      </c>
      <c r="EN127" s="860">
        <f t="shared" ref="EN127:EN133" si="655">IF(ISERROR((EM127/EE127-1)*100),"NA",IF(((EM127/EE127-1)*100)&gt;100,"NM",IF(((EM127/EE127-1)*100)&lt;-50,"NM",(EM127/EE127-1)*100)))</f>
        <v>4.019271582462447</v>
      </c>
      <c r="EO127" s="117">
        <f>+EM133</f>
        <v>107296</v>
      </c>
      <c r="EP127" s="98">
        <f t="shared" ref="EP127:EP133" si="656">IF(ISERROR((EO127/EG127-1)*100),"NA",IF(((EO127/EG127-1)*100)&gt;100,"NM",IF(((EO127/EG127-1)*100)&lt;-50,"NM",(EO127/EG127-1)*100)))</f>
        <v>5.1550433180446165</v>
      </c>
      <c r="EQ127" s="792">
        <f t="shared" ref="EQ127" si="657">+EO133</f>
        <v>108147</v>
      </c>
      <c r="ER127" s="98">
        <f t="shared" ref="ER127:ER133" si="658">IF(ISERROR((EQ127/EI127-1)*100),"NA",IF(((EQ127/EI127-1)*100)&gt;100,"NM",IF(((EQ127/EI127-1)*100)&lt;-50,"NM",(EQ127/EI127-1)*100)))</f>
        <v>6.4784821841739948</v>
      </c>
      <c r="ES127" s="792">
        <f t="shared" ref="ES127" si="659">+EQ133</f>
        <v>108777.37109580974</v>
      </c>
      <c r="ET127" s="98">
        <f t="shared" ref="ET127:ET133" si="660">IF(ISERROR((ES127/EK127-1)*100),"NA",IF(((ES127/EK127-1)*100)&gt;100,"NM",IF(((ES127/EK127-1)*100)&lt;-50,"NM",(ES127/EK127-1)*100)))</f>
        <v>6.0218628795697171</v>
      </c>
      <c r="EU127" s="792">
        <f t="shared" ref="EU127" si="661">+ES133</f>
        <v>109309.84482846492</v>
      </c>
      <c r="EV127" s="98">
        <f t="shared" ref="EV127:EV133" si="662">IF(ISERROR((EU127/EM127-1)*100),"NA",IF(((EU127/EM127-1)*100)&gt;100,"NM",IF(((EU127/EM127-1)*100)&lt;-50,"NM",(EU127/EM127-1)*100)))</f>
        <v>5.6981394049961942</v>
      </c>
      <c r="EW127" s="792">
        <f t="shared" ref="EW127" si="663">+EU133</f>
        <v>109759.84924963393</v>
      </c>
      <c r="EX127" s="98">
        <f t="shared" ref="EX127:EX133" si="664">IF(ISERROR((EW127/EO127-1)*100),"NA",IF(((EW127/EO127-1)*100)&gt;100,"NM",IF(((EW127/EO127-1)*100)&lt;-50,"NM",(EW127/EO127-1)*100)))</f>
        <v>2.2963104399361889</v>
      </c>
      <c r="EY127" s="118"/>
      <c r="EZ127" s="594"/>
      <c r="FA127" s="405"/>
      <c r="FB127" s="114" t="s">
        <v>494</v>
      </c>
      <c r="FC127" s="98"/>
      <c r="FD127" s="117">
        <f>+FB133</f>
        <v>34332</v>
      </c>
      <c r="FE127" s="98" t="str">
        <f t="shared" ref="FE127:FE133" si="665">IF(ISERROR((FD127/FB127-1)*100),"NA",IF(((FD127/FB127-1)*100)&gt;100,"NM",IF(((FD127/FB127-1)*100)&lt;-50,"NM",(FD127/FB127-1)*100)))</f>
        <v>NA</v>
      </c>
      <c r="FF127" s="118">
        <f>+FD133</f>
        <v>31570</v>
      </c>
      <c r="FG127" s="98">
        <f t="shared" ref="FG127:FG133" si="666">IF(ISERROR((FF127/FD127-1)*100),"NA",IF(((FF127/FD127-1)*100)&gt;100,"NM",IF(((FF127/FD127-1)*100)&lt;-50,"NM",(FF127/FD127-1)*100)))</f>
        <v>-8.0449726202959315</v>
      </c>
      <c r="FH127" s="118">
        <f>+FF133</f>
        <v>32003</v>
      </c>
      <c r="FI127" s="98">
        <f t="shared" ref="FI127:FI133" si="667">IF(ISERROR((FH127/FF127-1)*100),"NA",IF(((FH127/FF127-1)*100)&gt;100,"NM",IF(((FH127/FF127-1)*100)&lt;-50,"NM",(FH127/FF127-1)*100)))</f>
        <v>1.3715552739943071</v>
      </c>
      <c r="FJ127" s="118">
        <f>+FH133</f>
        <v>33501</v>
      </c>
      <c r="FK127" s="98">
        <f t="shared" ref="FK127:FK133" si="668">IF(ISERROR((FJ127/FH127-1)*100),"NA",IF(((FJ127/FH127-1)*100)&gt;100,"NM",IF(((FJ127/FH127-1)*100)&lt;-50,"NM",(FJ127/FH127-1)*100)))</f>
        <v>4.6808111739524483</v>
      </c>
      <c r="FL127" s="118">
        <f>+FJ133</f>
        <v>35547</v>
      </c>
      <c r="FM127" s="98">
        <f t="shared" ref="FM127:FM133" si="669">IF(ISERROR((FL127/FJ127-1)*100),"NA",IF(((FL127/FJ127-1)*100)&gt;100,"NM",IF(((FL127/FJ127-1)*100)&lt;-50,"NM",(FL127/FJ127-1)*100)))</f>
        <v>6.1072803796901498</v>
      </c>
      <c r="FN127" s="118">
        <f>+FL133</f>
        <v>40298</v>
      </c>
      <c r="FO127" s="98">
        <f t="shared" ref="FO127:FO133" si="670">IF(ISERROR((FN127/FL127-1)*100),"NA",IF(((FN127/FL127-1)*100)&gt;100,"NM",IF(((FN127/FL127-1)*100)&lt;-50,"NM",(FN127/FL127-1)*100)))</f>
        <v>13.365403550229281</v>
      </c>
      <c r="FP127" s="118">
        <f>+FN133</f>
        <v>45911</v>
      </c>
      <c r="FQ127" s="98">
        <f t="shared" ref="FQ127:FQ133" si="671">IF(ISERROR((FP127/FN127-1)*100),"NA",IF(((FP127/FN127-1)*100)&gt;100,"NM",IF(((FP127/FN127-1)*100)&lt;-50,"NM",(FP127/FN127-1)*100)))</f>
        <v>13.928730954389801</v>
      </c>
      <c r="FR127" s="119">
        <f>AY127</f>
        <v>78405</v>
      </c>
      <c r="FS127" s="120">
        <f t="shared" ref="FS127:FS133" si="672">IF(ISERROR((FR127/FP127-1)*100),"NA",IF(((FR127/FP127-1)*100)&gt;100,"NM",IF(((FR127/FP127-1)*100)&lt;-50,"NM",(FR127/FP127-1)*100)))</f>
        <v>70.776066737818823</v>
      </c>
      <c r="FT127" s="119">
        <f>+FR133</f>
        <v>84035</v>
      </c>
      <c r="FU127" s="120">
        <f t="shared" ref="FU127:FU133" si="673">IF(ISERROR((FT127/FR127-1)*100),"NA",IF(((FT127/FR127-1)*100)&gt;100,"NM",IF(((FT127/FR127-1)*100)&lt;-50,"NM",(FT127/FR127-1)*100)))</f>
        <v>7.1806644984375945</v>
      </c>
      <c r="FV127" s="119">
        <f>+FT133</f>
        <v>89533</v>
      </c>
      <c r="FW127" s="98">
        <f t="shared" ref="FW127:FW133" si="674">IF(ISERROR((FV127/FT127-1)*100),"NA",IF(((FV127/FT127-1)*100)&gt;100,"NM",IF(((FV127/FT127-1)*100)&lt;-50,"NM",(FV127/FT127-1)*100)))</f>
        <v>6.5425120485512078</v>
      </c>
      <c r="FX127" s="485">
        <f>+FV133</f>
        <v>101113</v>
      </c>
      <c r="FY127" s="98">
        <f t="shared" ref="FY127:FY133" si="675">IF(ISERROR((FX127/FV127-1)*100),"NA",IF(((FX127/FV127-1)*100)&gt;100,"NM",IF(((FX127/FV127-1)*100)&lt;-50,"NM",(FX127/FV127-1)*100)))</f>
        <v>12.933778606770696</v>
      </c>
      <c r="FZ127" s="119">
        <f>+FX133</f>
        <v>91161</v>
      </c>
      <c r="GA127" s="98">
        <f t="shared" ref="GA127:GA133" si="676">IF(ISERROR((FZ127/FX127-1)*100),"NA",IF(((FZ127/FX127-1)*100)&gt;100,"NM",IF(((FZ127/FX127-1)*100)&lt;-50,"NM",(FZ127/FX127-1)*100)))</f>
        <v>-9.8424534926270564</v>
      </c>
      <c r="GB127" s="485">
        <f>+FZ133</f>
        <v>95222</v>
      </c>
      <c r="GC127" s="98">
        <f t="shared" ref="GC127:GC133" si="677">IF(ISERROR((GB127/FZ127-1)*100),"NA",IF(((GB127/FZ127-1)*100)&gt;100,"NM",IF(((GB127/FZ127-1)*100)&lt;-50,"NM",(GB127/FZ127-1)*100)))</f>
        <v>4.4547558714801205</v>
      </c>
      <c r="GD127" s="119">
        <f>+GB133</f>
        <v>106024</v>
      </c>
      <c r="GE127" s="98">
        <f t="shared" ref="GE127:GW133" si="678">IF(ISERROR((GD127/GB127-1)*100),"NA",IF(((GD127/GB127-1)*100)&gt;100,"NM",IF(((GD127/GB127-1)*100)&lt;-50,"NM",(GD127/GB127-1)*100)))</f>
        <v>11.344017138896479</v>
      </c>
      <c r="GF127" s="119">
        <f>+GD133</f>
        <v>116910</v>
      </c>
      <c r="GG127" s="98">
        <f t="shared" si="678"/>
        <v>10.26748660680601</v>
      </c>
      <c r="GH127" s="119">
        <f>+GF133</f>
        <v>112454</v>
      </c>
      <c r="GI127" s="98">
        <f t="shared" si="678"/>
        <v>-3.8114789154050088</v>
      </c>
      <c r="GJ127" s="119">
        <f>DS127</f>
        <v>97879</v>
      </c>
      <c r="GK127" s="98">
        <f t="shared" si="678"/>
        <v>-12.960855105198565</v>
      </c>
      <c r="GL127" s="119">
        <f>+GJ133</f>
        <v>96194</v>
      </c>
      <c r="GM127" s="98">
        <f t="shared" si="678"/>
        <v>-1.7215132970300084</v>
      </c>
      <c r="GN127" s="119">
        <f>+GL133</f>
        <v>101567</v>
      </c>
      <c r="GO127" s="98">
        <f t="shared" si="678"/>
        <v>5.5855874586772547</v>
      </c>
      <c r="GP127" s="119">
        <f>+GN133</f>
        <v>108147</v>
      </c>
      <c r="GQ127" s="98">
        <f t="shared" si="678"/>
        <v>6.4784821841739948</v>
      </c>
      <c r="GR127" s="118">
        <f>+GP133</f>
        <v>110140.38004557599</v>
      </c>
      <c r="GS127" s="98">
        <f t="shared" si="678"/>
        <v>1.8432134461205507</v>
      </c>
      <c r="GT127" s="118">
        <f>+GR133</f>
        <v>115015.74623071653</v>
      </c>
      <c r="GU127" s="98">
        <f t="shared" si="678"/>
        <v>4.4265020541268463</v>
      </c>
      <c r="GV127" s="118">
        <f>+GT133</f>
        <v>121227.55609666294</v>
      </c>
      <c r="GW127" s="98">
        <f t="shared" si="678"/>
        <v>5.4008342940155218</v>
      </c>
      <c r="GX127" s="118">
        <f>+GV133</f>
        <v>128189.77924880585</v>
      </c>
      <c r="GY127" s="98">
        <f t="shared" ref="GY127:GY133" si="679">IF(ISERROR((GX127/GV127-1)*100),"NA",IF(((GX127/GV127-1)*100)&gt;100,"NM",IF(((GX127/GV127-1)*100)&lt;-50,"NM",(GX127/GV127-1)*100)))</f>
        <v>5.7431027864584205</v>
      </c>
      <c r="GZ127" s="98">
        <f t="shared" ref="GZ127:GZ133" si="680">IF(ISERROR(((GX127/GN127)^0.2-1)*100),"NA",IF((((GX127/GN127)^0.2-1)*100)&gt;100,"NM",IF((((GX127/GN127)^0.2-1)*100)&lt;-50,"NM",((GX127/GN127)^0.2-1)*100)))</f>
        <v>4.7659498825864732</v>
      </c>
      <c r="HA127" s="98"/>
      <c r="HB127" s="10"/>
      <c r="HC127"/>
      <c r="HD127"/>
      <c r="HE127"/>
      <c r="HF127"/>
      <c r="HG127"/>
      <c r="HH127"/>
      <c r="HI127" s="10"/>
    </row>
    <row r="128" spans="1:217" s="2" customFormat="1" ht="12.75" customHeight="1" x14ac:dyDescent="0.2">
      <c r="B128" s="91" t="s">
        <v>340</v>
      </c>
      <c r="C128" s="157">
        <v>1214</v>
      </c>
      <c r="D128" s="156"/>
      <c r="E128" s="157">
        <v>1396</v>
      </c>
      <c r="F128" s="156"/>
      <c r="G128" s="157">
        <v>975</v>
      </c>
      <c r="H128" s="156"/>
      <c r="I128" s="157">
        <v>1647</v>
      </c>
      <c r="J128" s="156"/>
      <c r="K128" s="157">
        <v>1541</v>
      </c>
      <c r="L128" s="156">
        <f t="shared" si="597"/>
        <v>26.935749588138378</v>
      </c>
      <c r="M128" s="157">
        <v>872</v>
      </c>
      <c r="N128" s="156">
        <f t="shared" si="598"/>
        <v>-37.535816618911177</v>
      </c>
      <c r="O128" s="157">
        <v>1799</v>
      </c>
      <c r="P128" s="156">
        <f t="shared" si="599"/>
        <v>84.512820512820525</v>
      </c>
      <c r="Q128" s="157">
        <v>1501</v>
      </c>
      <c r="R128" s="156">
        <f t="shared" si="600"/>
        <v>-8.8646023072252547</v>
      </c>
      <c r="S128" s="157">
        <v>1465</v>
      </c>
      <c r="T128" s="156">
        <f t="shared" si="601"/>
        <v>-4.9318624269954592</v>
      </c>
      <c r="U128" s="157">
        <v>2281</v>
      </c>
      <c r="V128" s="156" t="str">
        <f t="shared" si="602"/>
        <v>NM</v>
      </c>
      <c r="W128" s="157">
        <v>1907</v>
      </c>
      <c r="X128" s="156">
        <f t="shared" si="603"/>
        <v>6.0033351862145645</v>
      </c>
      <c r="Y128" s="157">
        <v>1387</v>
      </c>
      <c r="Z128" s="156">
        <f t="shared" si="604"/>
        <v>-7.5949367088607556</v>
      </c>
      <c r="AA128" s="157">
        <v>1060</v>
      </c>
      <c r="AB128" s="156">
        <f t="shared" si="605"/>
        <v>-27.645051194539249</v>
      </c>
      <c r="AC128" s="157">
        <v>3040</v>
      </c>
      <c r="AD128" s="156">
        <f t="shared" si="606"/>
        <v>33.274879438842618</v>
      </c>
      <c r="AE128" s="157">
        <v>3156</v>
      </c>
      <c r="AF128" s="156">
        <f t="shared" si="607"/>
        <v>65.495542737283685</v>
      </c>
      <c r="AG128" s="157">
        <v>1763</v>
      </c>
      <c r="AH128" s="156">
        <f t="shared" si="608"/>
        <v>27.108868060562365</v>
      </c>
      <c r="AI128" s="157">
        <v>2424</v>
      </c>
      <c r="AJ128" s="156" t="str">
        <f t="shared" si="609"/>
        <v>NM</v>
      </c>
      <c r="AK128" s="157">
        <v>2003</v>
      </c>
      <c r="AL128" s="156">
        <f t="shared" si="610"/>
        <v>-34.111842105263158</v>
      </c>
      <c r="AM128" s="157">
        <v>2553</v>
      </c>
      <c r="AN128" s="156">
        <f t="shared" si="611"/>
        <v>-19.106463878326995</v>
      </c>
      <c r="AO128" s="157">
        <v>2729</v>
      </c>
      <c r="AP128" s="156">
        <f t="shared" si="612"/>
        <v>54.792966534316513</v>
      </c>
      <c r="AQ128" s="157">
        <v>2750</v>
      </c>
      <c r="AR128" s="156">
        <f t="shared" si="613"/>
        <v>13.448844884488453</v>
      </c>
      <c r="AS128" s="157">
        <v>2122</v>
      </c>
      <c r="AT128" s="156">
        <f t="shared" si="614"/>
        <v>5.9410883674488213</v>
      </c>
      <c r="AU128" s="157">
        <v>2751</v>
      </c>
      <c r="AV128" s="156">
        <f t="shared" si="615"/>
        <v>7.7555816686251555</v>
      </c>
      <c r="AW128" s="157">
        <v>3282</v>
      </c>
      <c r="AX128" s="156">
        <f t="shared" si="616"/>
        <v>20.26383290582632</v>
      </c>
      <c r="AY128" s="157">
        <v>3819</v>
      </c>
      <c r="AZ128" s="156">
        <f t="shared" si="617"/>
        <v>38.872727272727282</v>
      </c>
      <c r="BA128" s="157">
        <v>3028</v>
      </c>
      <c r="BB128" s="156">
        <f t="shared" si="618"/>
        <v>42.695570216776638</v>
      </c>
      <c r="BC128" s="157">
        <v>3389</v>
      </c>
      <c r="BD128" s="156">
        <f t="shared" si="619"/>
        <v>23.191566703017074</v>
      </c>
      <c r="BE128" s="157">
        <v>3387</v>
      </c>
      <c r="BF128" s="156">
        <f t="shared" si="620"/>
        <v>3.1992687385740348</v>
      </c>
      <c r="BG128" s="157">
        <v>3245</v>
      </c>
      <c r="BH128" s="156">
        <f t="shared" si="621"/>
        <v>-15.03011259492013</v>
      </c>
      <c r="BI128" s="157">
        <v>7266</v>
      </c>
      <c r="BJ128" s="156" t="str">
        <f t="shared" si="622"/>
        <v>NM</v>
      </c>
      <c r="BK128" s="157">
        <v>3225</v>
      </c>
      <c r="BL128" s="156">
        <f t="shared" si="623"/>
        <v>-4.8391856004721179</v>
      </c>
      <c r="BM128" s="157">
        <v>2064</v>
      </c>
      <c r="BN128" s="98">
        <f t="shared" si="624"/>
        <v>-39.06111603188662</v>
      </c>
      <c r="BO128" s="101">
        <v>5894</v>
      </c>
      <c r="BP128" s="98">
        <f t="shared" si="625"/>
        <v>81.633281972265024</v>
      </c>
      <c r="BQ128" s="101">
        <v>9267</v>
      </c>
      <c r="BR128" s="98">
        <f t="shared" si="626"/>
        <v>27.539223781998356</v>
      </c>
      <c r="BS128" s="101">
        <v>12761</v>
      </c>
      <c r="BT128" s="98" t="str">
        <f t="shared" si="627"/>
        <v>NM</v>
      </c>
      <c r="BU128" s="101">
        <v>19639</v>
      </c>
      <c r="BV128" s="98" t="str">
        <f t="shared" si="628"/>
        <v>NM</v>
      </c>
      <c r="BW128" s="101">
        <v>13215</v>
      </c>
      <c r="BX128" s="98" t="str">
        <f t="shared" si="629"/>
        <v>NM</v>
      </c>
      <c r="BY128" s="101">
        <v>16393</v>
      </c>
      <c r="BZ128" s="98">
        <f t="shared" si="630"/>
        <v>76.896514513866407</v>
      </c>
      <c r="CA128" s="101">
        <v>10427</v>
      </c>
      <c r="CB128" s="98">
        <f t="shared" si="631"/>
        <v>-18.290102656531616</v>
      </c>
      <c r="CC128" s="101">
        <v>9755</v>
      </c>
      <c r="CD128" s="98" t="str">
        <f t="shared" si="632"/>
        <v>NM</v>
      </c>
      <c r="CE128" s="101">
        <v>11588</v>
      </c>
      <c r="CF128" s="98">
        <f t="shared" si="633"/>
        <v>-12.311766931517221</v>
      </c>
      <c r="CG128" s="101">
        <v>12013</v>
      </c>
      <c r="CH128" s="98">
        <f t="shared" si="634"/>
        <v>-26.71872140547795</v>
      </c>
      <c r="CI128" s="101">
        <v>12351</v>
      </c>
      <c r="CJ128" s="98">
        <f t="shared" si="635"/>
        <v>18.452095521242917</v>
      </c>
      <c r="CK128" s="101">
        <v>13947</v>
      </c>
      <c r="CL128" s="98">
        <f t="shared" si="636"/>
        <v>42.972834443874945</v>
      </c>
      <c r="CM128" s="101">
        <v>16805</v>
      </c>
      <c r="CN128" s="98">
        <f t="shared" si="637"/>
        <v>45.020711080428022</v>
      </c>
      <c r="CO128" s="101">
        <v>11148</v>
      </c>
      <c r="CP128" s="98">
        <f t="shared" si="638"/>
        <v>-7.2005327561807997</v>
      </c>
      <c r="CQ128" s="542">
        <v>14309</v>
      </c>
      <c r="CR128" s="98">
        <f t="shared" si="638"/>
        <v>15.852967371063077</v>
      </c>
      <c r="CS128" s="101">
        <v>13677</v>
      </c>
      <c r="CT128" s="98">
        <f t="shared" si="638"/>
        <v>-1.9359001935900233</v>
      </c>
      <c r="CU128" s="101">
        <v>17655</v>
      </c>
      <c r="CV128" s="98">
        <f t="shared" si="639"/>
        <v>5.0580184468907996</v>
      </c>
      <c r="CW128" s="101">
        <v>19383</v>
      </c>
      <c r="CX128" s="98">
        <f t="shared" si="640"/>
        <v>73.869752421959106</v>
      </c>
      <c r="CY128" s="101">
        <v>12906</v>
      </c>
      <c r="CZ128" s="98">
        <f t="shared" si="641"/>
        <v>-9.8050178209518446</v>
      </c>
      <c r="DA128" s="101">
        <v>10469</v>
      </c>
      <c r="DB128" s="98">
        <f t="shared" si="642"/>
        <v>-23.455436133655038</v>
      </c>
      <c r="DC128" s="101">
        <v>14790</v>
      </c>
      <c r="DD128" s="98">
        <f t="shared" si="643"/>
        <v>-16.227697536108753</v>
      </c>
      <c r="DE128" s="101">
        <v>13826</v>
      </c>
      <c r="DF128" s="98">
        <f t="shared" si="644"/>
        <v>-28.669452613114586</v>
      </c>
      <c r="DG128" s="101">
        <v>12264</v>
      </c>
      <c r="DH128" s="98">
        <f t="shared" si="645"/>
        <v>-4.9744304974430502</v>
      </c>
      <c r="DI128" s="101">
        <v>13104</v>
      </c>
      <c r="DJ128" s="98">
        <f t="shared" si="646"/>
        <v>25.169548189893966</v>
      </c>
      <c r="DK128" s="101">
        <v>11769</v>
      </c>
      <c r="DL128" s="98">
        <f t="shared" si="647"/>
        <v>-20.425963488843813</v>
      </c>
      <c r="DM128" s="101">
        <v>20774</v>
      </c>
      <c r="DN128" s="98">
        <f t="shared" si="648"/>
        <v>50.253146246202803</v>
      </c>
      <c r="DO128" s="101">
        <v>18194</v>
      </c>
      <c r="DP128" s="98">
        <f t="shared" si="648"/>
        <v>48.352902804957608</v>
      </c>
      <c r="DQ128" s="101">
        <v>16797</v>
      </c>
      <c r="DR128" s="98">
        <f t="shared" si="648"/>
        <v>28.182234432234445</v>
      </c>
      <c r="DS128" s="101">
        <v>13459</v>
      </c>
      <c r="DT128" s="98">
        <f t="shared" si="648"/>
        <v>14.359758688078861</v>
      </c>
      <c r="DU128" s="101">
        <v>13717</v>
      </c>
      <c r="DV128" s="98">
        <f t="shared" si="648"/>
        <v>-33.970347549821888</v>
      </c>
      <c r="DW128" s="101">
        <v>16640</v>
      </c>
      <c r="DX128" s="98">
        <f t="shared" si="648"/>
        <v>-8.5412773441793988</v>
      </c>
      <c r="DY128" s="950">
        <v>13588</v>
      </c>
      <c r="DZ128" s="98">
        <f t="shared" si="648"/>
        <v>-19.104602012264095</v>
      </c>
      <c r="EA128" s="950">
        <v>11272</v>
      </c>
      <c r="EB128" s="98">
        <f t="shared" si="649"/>
        <v>-16.24934987740545</v>
      </c>
      <c r="EC128" s="950">
        <v>14503</v>
      </c>
      <c r="ED128" s="98">
        <f t="shared" si="650"/>
        <v>5.7301159145585867</v>
      </c>
      <c r="EE128" s="950">
        <v>18071</v>
      </c>
      <c r="EF128" s="860">
        <f t="shared" si="651"/>
        <v>8.5997596153846168</v>
      </c>
      <c r="EG128" s="950">
        <v>18705</v>
      </c>
      <c r="EH128" s="860">
        <f t="shared" si="652"/>
        <v>37.658227848101269</v>
      </c>
      <c r="EI128" s="950">
        <v>15875</v>
      </c>
      <c r="EJ128" s="860">
        <f t="shared" si="653"/>
        <v>40.83569907735982</v>
      </c>
      <c r="EK128" s="950">
        <v>19471</v>
      </c>
      <c r="EL128" s="860">
        <f t="shared" si="654"/>
        <v>34.254981727918363</v>
      </c>
      <c r="EM128" s="950">
        <v>19622</v>
      </c>
      <c r="EN128" s="860">
        <f t="shared" si="655"/>
        <v>8.5828122406064864</v>
      </c>
      <c r="EO128" s="950">
        <v>17659</v>
      </c>
      <c r="EP128" s="98">
        <f t="shared" si="656"/>
        <v>-5.5920876770916834</v>
      </c>
      <c r="EQ128" s="952">
        <f>EO128</f>
        <v>17659</v>
      </c>
      <c r="ER128" s="98">
        <f t="shared" si="658"/>
        <v>11.237795275590546</v>
      </c>
      <c r="ES128" s="952">
        <f t="shared" ref="ES128" si="681">EQ128</f>
        <v>17659</v>
      </c>
      <c r="ET128" s="98">
        <f t="shared" si="660"/>
        <v>-9.3061476041292224</v>
      </c>
      <c r="EU128" s="952">
        <f t="shared" ref="EU128" si="682">ES128</f>
        <v>17659</v>
      </c>
      <c r="EV128" s="98">
        <f t="shared" si="662"/>
        <v>-10.004077056365301</v>
      </c>
      <c r="EW128" s="952">
        <f t="shared" ref="EW128" si="683">EU128</f>
        <v>17659</v>
      </c>
      <c r="EX128" s="98">
        <f t="shared" si="664"/>
        <v>0</v>
      </c>
      <c r="EY128" s="121"/>
      <c r="EZ128" s="594"/>
      <c r="FA128" s="405"/>
      <c r="FB128" s="114" t="s">
        <v>494</v>
      </c>
      <c r="FC128" s="98"/>
      <c r="FD128" s="101">
        <v>4957</v>
      </c>
      <c r="FE128" s="98" t="str">
        <f t="shared" si="665"/>
        <v>NA</v>
      </c>
      <c r="FF128" s="118">
        <f>C128+E128+G128+I128</f>
        <v>5232</v>
      </c>
      <c r="FG128" s="98">
        <f t="shared" si="666"/>
        <v>5.5477103086544188</v>
      </c>
      <c r="FH128" s="118">
        <f>K128+M128+O128+Q128</f>
        <v>5713</v>
      </c>
      <c r="FI128" s="98">
        <f t="shared" si="667"/>
        <v>9.1934250764525984</v>
      </c>
      <c r="FJ128" s="118">
        <f>S128+U128+W128+Y128</f>
        <v>7040</v>
      </c>
      <c r="FK128" s="98">
        <f t="shared" si="668"/>
        <v>23.227726238403633</v>
      </c>
      <c r="FL128" s="118">
        <f>AA128+AC128+AE128+AG128</f>
        <v>9019</v>
      </c>
      <c r="FM128" s="98">
        <f t="shared" si="669"/>
        <v>28.110795454545446</v>
      </c>
      <c r="FN128" s="118">
        <f>AI128+AK128+AM128+AO128</f>
        <v>9709</v>
      </c>
      <c r="FO128" s="98">
        <f t="shared" si="670"/>
        <v>7.6505155782237599</v>
      </c>
      <c r="FP128" s="118">
        <f>AQ128+AS128+AU128+AW128</f>
        <v>10905</v>
      </c>
      <c r="FQ128" s="98">
        <f t="shared" si="671"/>
        <v>12.318467401380161</v>
      </c>
      <c r="FR128" s="119">
        <f>AY128+BA128+BC128+BE128</f>
        <v>13623</v>
      </c>
      <c r="FS128" s="120">
        <f t="shared" si="672"/>
        <v>24.924346629986239</v>
      </c>
      <c r="FT128" s="119">
        <f>BG128+BI128+BK128+BM128</f>
        <v>15800</v>
      </c>
      <c r="FU128" s="120">
        <f t="shared" si="673"/>
        <v>15.980327387506431</v>
      </c>
      <c r="FV128" s="119">
        <f>BO128+BQ128+BS128+BU128</f>
        <v>47561</v>
      </c>
      <c r="FW128" s="98" t="str">
        <f t="shared" si="674"/>
        <v>NM</v>
      </c>
      <c r="FX128" s="485">
        <f>BW128+BY128+CA128+CC128</f>
        <v>49790</v>
      </c>
      <c r="FY128" s="98">
        <f t="shared" si="675"/>
        <v>4.6866129812241031</v>
      </c>
      <c r="FZ128" s="119">
        <f>CE128+CG128+CI128+CK128</f>
        <v>49899</v>
      </c>
      <c r="GA128" s="98">
        <f t="shared" si="676"/>
        <v>0.21891946173930865</v>
      </c>
      <c r="GB128" s="485">
        <f>CM128+CO128+CQ128+CS128</f>
        <v>55939</v>
      </c>
      <c r="GC128" s="98">
        <f t="shared" si="677"/>
        <v>12.104450991001814</v>
      </c>
      <c r="GD128" s="119">
        <f>CU128+CW128+CY128+DA128</f>
        <v>60413</v>
      </c>
      <c r="GE128" s="98">
        <f t="shared" si="678"/>
        <v>7.9979978190529044</v>
      </c>
      <c r="GF128" s="119">
        <f>DC128+DE128+DG128+DI128</f>
        <v>53984</v>
      </c>
      <c r="GG128" s="98">
        <f t="shared" si="678"/>
        <v>-10.64174929237085</v>
      </c>
      <c r="GH128" s="119">
        <f>DK128+DM128+DO128+DQ128</f>
        <v>67534</v>
      </c>
      <c r="GI128" s="98">
        <f t="shared" si="678"/>
        <v>25.100029638411382</v>
      </c>
      <c r="GJ128" s="119">
        <f>DS128+DU128+DW128+DY128</f>
        <v>57404</v>
      </c>
      <c r="GK128" s="98">
        <f t="shared" si="678"/>
        <v>-14.999851926437058</v>
      </c>
      <c r="GL128" s="119">
        <f>EA128+EC128+EE128+EG128</f>
        <v>62551</v>
      </c>
      <c r="GM128" s="98">
        <f t="shared" si="678"/>
        <v>8.9662741272385169</v>
      </c>
      <c r="GN128" s="119">
        <f>EI128+EK128+EM128+EO128</f>
        <v>72627</v>
      </c>
      <c r="GO128" s="98">
        <f t="shared" si="678"/>
        <v>16.108455500311749</v>
      </c>
      <c r="GP128" s="119">
        <f>EQ128+ES128+EU128+EW128</f>
        <v>70636</v>
      </c>
      <c r="GQ128" s="98">
        <f t="shared" si="678"/>
        <v>-2.7414047117463203</v>
      </c>
      <c r="GR128" s="121">
        <f>GP128*1.06</f>
        <v>74874.16</v>
      </c>
      <c r="GS128" s="98">
        <f t="shared" si="678"/>
        <v>6.0000000000000053</v>
      </c>
      <c r="GT128" s="121">
        <f>GR128*1.06</f>
        <v>79366.609600000011</v>
      </c>
      <c r="GU128" s="98">
        <f t="shared" si="678"/>
        <v>6.0000000000000053</v>
      </c>
      <c r="GV128" s="121">
        <f>GT128*1.06</f>
        <v>84128.606176000016</v>
      </c>
      <c r="GW128" s="98">
        <f t="shared" si="678"/>
        <v>6.0000000000000053</v>
      </c>
      <c r="GX128" s="121">
        <f>GV128*1.06</f>
        <v>89176.322546560026</v>
      </c>
      <c r="GY128" s="98">
        <f t="shared" si="679"/>
        <v>6.0000000000000053</v>
      </c>
      <c r="GZ128" s="98">
        <f t="shared" si="680"/>
        <v>4.1910202615556003</v>
      </c>
      <c r="HA128" s="98"/>
      <c r="HB128" s="10"/>
      <c r="HC128"/>
      <c r="HD128"/>
      <c r="HE128"/>
      <c r="HF128"/>
      <c r="HG128"/>
      <c r="HH128"/>
      <c r="HI128" s="10"/>
    </row>
    <row r="129" spans="2:217" s="2" customFormat="1" ht="12.75" customHeight="1" x14ac:dyDescent="0.2">
      <c r="B129" s="91" t="s">
        <v>306</v>
      </c>
      <c r="C129" s="157">
        <v>540</v>
      </c>
      <c r="D129" s="156"/>
      <c r="E129" s="157">
        <v>541</v>
      </c>
      <c r="F129" s="156"/>
      <c r="G129" s="157">
        <v>556</v>
      </c>
      <c r="H129" s="156"/>
      <c r="I129" s="157">
        <v>566</v>
      </c>
      <c r="J129" s="156"/>
      <c r="K129" s="157">
        <v>541</v>
      </c>
      <c r="L129" s="156">
        <f t="shared" si="597"/>
        <v>0.18518518518517713</v>
      </c>
      <c r="M129" s="157">
        <v>537</v>
      </c>
      <c r="N129" s="156">
        <f t="shared" si="598"/>
        <v>-0.73937153419593171</v>
      </c>
      <c r="O129" s="157">
        <v>540</v>
      </c>
      <c r="P129" s="156">
        <f t="shared" si="599"/>
        <v>-2.877697841726623</v>
      </c>
      <c r="Q129" s="157">
        <v>532</v>
      </c>
      <c r="R129" s="156">
        <f t="shared" si="600"/>
        <v>-6.0070671378091856</v>
      </c>
      <c r="S129" s="157">
        <v>523</v>
      </c>
      <c r="T129" s="156">
        <f t="shared" si="601"/>
        <v>-3.3271719038816983</v>
      </c>
      <c r="U129" s="157">
        <v>522</v>
      </c>
      <c r="V129" s="156">
        <f t="shared" si="602"/>
        <v>-2.7932960893854775</v>
      </c>
      <c r="W129" s="157">
        <v>526</v>
      </c>
      <c r="X129" s="156">
        <f t="shared" si="603"/>
        <v>-2.5925925925925908</v>
      </c>
      <c r="Y129" s="157">
        <v>525</v>
      </c>
      <c r="Z129" s="156">
        <f t="shared" si="604"/>
        <v>-1.3157894736842146</v>
      </c>
      <c r="AA129" s="157">
        <v>518</v>
      </c>
      <c r="AB129" s="156">
        <f t="shared" si="605"/>
        <v>-0.95602294455067183</v>
      </c>
      <c r="AC129" s="157">
        <v>526</v>
      </c>
      <c r="AD129" s="156">
        <f t="shared" si="606"/>
        <v>0.76628352490422103</v>
      </c>
      <c r="AE129" s="157">
        <v>526</v>
      </c>
      <c r="AF129" s="156">
        <f t="shared" si="607"/>
        <v>0</v>
      </c>
      <c r="AG129" s="157">
        <v>537</v>
      </c>
      <c r="AH129" s="156">
        <f t="shared" si="608"/>
        <v>2.2857142857142909</v>
      </c>
      <c r="AI129" s="157">
        <v>542</v>
      </c>
      <c r="AJ129" s="156">
        <f t="shared" si="609"/>
        <v>4.6332046332046239</v>
      </c>
      <c r="AK129" s="157">
        <v>551</v>
      </c>
      <c r="AL129" s="156">
        <f t="shared" si="610"/>
        <v>4.7528517110266177</v>
      </c>
      <c r="AM129" s="157">
        <v>583</v>
      </c>
      <c r="AN129" s="156">
        <f t="shared" si="611"/>
        <v>10.836501901140693</v>
      </c>
      <c r="AO129" s="157">
        <v>610</v>
      </c>
      <c r="AP129" s="156">
        <f t="shared" si="612"/>
        <v>13.594040968342647</v>
      </c>
      <c r="AQ129" s="157">
        <v>630</v>
      </c>
      <c r="AR129" s="156">
        <f t="shared" si="613"/>
        <v>16.23616236162362</v>
      </c>
      <c r="AS129" s="157">
        <v>650</v>
      </c>
      <c r="AT129" s="156">
        <f t="shared" si="614"/>
        <v>17.967332123411971</v>
      </c>
      <c r="AU129" s="157">
        <v>933</v>
      </c>
      <c r="AV129" s="156">
        <f t="shared" si="615"/>
        <v>60.03430531732419</v>
      </c>
      <c r="AW129" s="157">
        <v>937</v>
      </c>
      <c r="AX129" s="156">
        <f t="shared" si="616"/>
        <v>53.606557377049178</v>
      </c>
      <c r="AY129" s="157">
        <v>986</v>
      </c>
      <c r="AZ129" s="156">
        <f t="shared" si="617"/>
        <v>56.507936507936506</v>
      </c>
      <c r="BA129" s="157">
        <v>1022</v>
      </c>
      <c r="BB129" s="156">
        <f t="shared" si="618"/>
        <v>57.230769230769241</v>
      </c>
      <c r="BC129" s="157">
        <v>1054</v>
      </c>
      <c r="BD129" s="156">
        <f t="shared" si="619"/>
        <v>12.968917470525199</v>
      </c>
      <c r="BE129" s="157">
        <v>1086</v>
      </c>
      <c r="BF129" s="156">
        <f t="shared" si="620"/>
        <v>15.901814300960515</v>
      </c>
      <c r="BG129" s="157">
        <v>1088</v>
      </c>
      <c r="BH129" s="156">
        <f t="shared" si="621"/>
        <v>10.344827586206895</v>
      </c>
      <c r="BI129" s="157">
        <v>1192</v>
      </c>
      <c r="BJ129" s="156">
        <f t="shared" si="622"/>
        <v>16.634050880626216</v>
      </c>
      <c r="BK129" s="157">
        <v>1440</v>
      </c>
      <c r="BL129" s="156">
        <f t="shared" si="623"/>
        <v>36.62239089184061</v>
      </c>
      <c r="BM129" s="157">
        <v>1162</v>
      </c>
      <c r="BN129" s="98">
        <f t="shared" si="624"/>
        <v>6.9981583793738533</v>
      </c>
      <c r="BO129" s="101">
        <v>1081</v>
      </c>
      <c r="BP129" s="98">
        <f t="shared" si="625"/>
        <v>-0.64338235294117974</v>
      </c>
      <c r="BQ129" s="101">
        <v>1151</v>
      </c>
      <c r="BR129" s="98">
        <f t="shared" si="626"/>
        <v>-3.439597315436238</v>
      </c>
      <c r="BS129" s="101">
        <v>1051</v>
      </c>
      <c r="BT129" s="98">
        <f t="shared" si="627"/>
        <v>-27.013888888888893</v>
      </c>
      <c r="BU129" s="101">
        <v>1180</v>
      </c>
      <c r="BV129" s="98">
        <f t="shared" si="628"/>
        <v>1.5490533562822817</v>
      </c>
      <c r="BW129" s="101">
        <v>1139</v>
      </c>
      <c r="BX129" s="98">
        <f t="shared" si="629"/>
        <v>5.3654024051803972</v>
      </c>
      <c r="BY129" s="101">
        <v>1083</v>
      </c>
      <c r="BZ129" s="98">
        <f t="shared" si="630"/>
        <v>-5.9079061685490935</v>
      </c>
      <c r="CA129" s="101">
        <v>1044</v>
      </c>
      <c r="CB129" s="98">
        <f t="shared" si="631"/>
        <v>-0.66603235014272011</v>
      </c>
      <c r="CC129" s="101">
        <v>984</v>
      </c>
      <c r="CD129" s="98">
        <f t="shared" si="632"/>
        <v>-16.610169491525429</v>
      </c>
      <c r="CE129" s="101">
        <v>972</v>
      </c>
      <c r="CF129" s="98">
        <f t="shared" si="633"/>
        <v>-14.661984196663735</v>
      </c>
      <c r="CG129" s="101">
        <v>984</v>
      </c>
      <c r="CH129" s="98">
        <f t="shared" si="634"/>
        <v>-9.1412742382271475</v>
      </c>
      <c r="CI129" s="101">
        <v>1002</v>
      </c>
      <c r="CJ129" s="98">
        <f t="shared" si="635"/>
        <v>-4.0229885057471275</v>
      </c>
      <c r="CK129" s="101">
        <v>982</v>
      </c>
      <c r="CL129" s="98">
        <f t="shared" si="636"/>
        <v>-0.20325203252032908</v>
      </c>
      <c r="CM129" s="101">
        <v>1036</v>
      </c>
      <c r="CN129" s="98">
        <f t="shared" si="637"/>
        <v>6.5843621399176877</v>
      </c>
      <c r="CO129" s="101">
        <v>1028</v>
      </c>
      <c r="CP129" s="98">
        <f t="shared" si="638"/>
        <v>4.471544715447151</v>
      </c>
      <c r="CQ129" s="542">
        <v>1015</v>
      </c>
      <c r="CR129" s="98">
        <f t="shared" si="638"/>
        <v>1.2974051896207595</v>
      </c>
      <c r="CS129" s="101">
        <v>1010</v>
      </c>
      <c r="CT129" s="98">
        <f t="shared" si="638"/>
        <v>2.8513238289205711</v>
      </c>
      <c r="CU129" s="101">
        <v>1021</v>
      </c>
      <c r="CV129" s="98">
        <f t="shared" si="639"/>
        <v>-1.4478764478764505</v>
      </c>
      <c r="CW129" s="101">
        <v>1059</v>
      </c>
      <c r="CX129" s="98">
        <f t="shared" si="640"/>
        <v>3.0155642023346196</v>
      </c>
      <c r="CY129" s="101">
        <v>1041</v>
      </c>
      <c r="CZ129" s="98">
        <f t="shared" si="641"/>
        <v>2.5615763546797954</v>
      </c>
      <c r="DA129" s="101">
        <v>1048</v>
      </c>
      <c r="DB129" s="98">
        <f t="shared" si="642"/>
        <v>3.7623762376237657</v>
      </c>
      <c r="DC129" s="101">
        <v>1036</v>
      </c>
      <c r="DD129" s="98">
        <f t="shared" si="643"/>
        <v>1.4691478942213454</v>
      </c>
      <c r="DE129" s="101">
        <v>1007</v>
      </c>
      <c r="DF129" s="98">
        <f t="shared" si="644"/>
        <v>-4.9102927289896181</v>
      </c>
      <c r="DG129" s="101">
        <v>994</v>
      </c>
      <c r="DH129" s="98">
        <f t="shared" si="645"/>
        <v>-4.514889529298749</v>
      </c>
      <c r="DI129" s="101">
        <v>998</v>
      </c>
      <c r="DJ129" s="98">
        <f t="shared" si="646"/>
        <v>-4.7709923664122194</v>
      </c>
      <c r="DK129" s="101">
        <v>941</v>
      </c>
      <c r="DL129" s="98">
        <f t="shared" si="647"/>
        <v>-9.1698841698841687</v>
      </c>
      <c r="DM129" s="101">
        <v>952</v>
      </c>
      <c r="DN129" s="98">
        <f t="shared" si="648"/>
        <v>-5.4617676266137005</v>
      </c>
      <c r="DO129" s="101">
        <v>946</v>
      </c>
      <c r="DP129" s="98">
        <f t="shared" si="648"/>
        <v>-4.828973843058348</v>
      </c>
      <c r="DQ129" s="101">
        <v>956</v>
      </c>
      <c r="DR129" s="98">
        <f t="shared" si="648"/>
        <v>-4.2084168336673393</v>
      </c>
      <c r="DS129" s="101">
        <v>811</v>
      </c>
      <c r="DT129" s="98">
        <f t="shared" si="648"/>
        <v>-13.815090329436774</v>
      </c>
      <c r="DU129" s="101">
        <v>813</v>
      </c>
      <c r="DV129" s="98">
        <f t="shared" si="648"/>
        <v>-14.600840336134457</v>
      </c>
      <c r="DW129" s="101">
        <v>819</v>
      </c>
      <c r="DX129" s="98">
        <f t="shared" si="648"/>
        <v>-13.424947145877375</v>
      </c>
      <c r="DY129" s="101">
        <v>832</v>
      </c>
      <c r="DZ129" s="98">
        <f t="shared" si="648"/>
        <v>-12.970711297071125</v>
      </c>
      <c r="EA129" s="101">
        <v>830</v>
      </c>
      <c r="EB129" s="98">
        <f t="shared" si="649"/>
        <v>2.3427866831072786</v>
      </c>
      <c r="EC129" s="101">
        <v>830</v>
      </c>
      <c r="ED129" s="98">
        <f t="shared" si="650"/>
        <v>2.091020910209096</v>
      </c>
      <c r="EE129" s="101">
        <f>830-1</f>
        <v>829</v>
      </c>
      <c r="EF129" s="860">
        <f t="shared" si="651"/>
        <v>1.2210012210012167</v>
      </c>
      <c r="EG129" s="101">
        <v>845</v>
      </c>
      <c r="EH129" s="860">
        <f t="shared" si="652"/>
        <v>1.5625</v>
      </c>
      <c r="EI129" s="101">
        <f>4+856</f>
        <v>860</v>
      </c>
      <c r="EJ129" s="860">
        <f t="shared" si="653"/>
        <v>3.6144578313253017</v>
      </c>
      <c r="EK129" s="101">
        <f>17+853</f>
        <v>870</v>
      </c>
      <c r="EL129" s="860">
        <f t="shared" si="654"/>
        <v>4.8192771084337283</v>
      </c>
      <c r="EM129" s="101">
        <f>1+864</f>
        <v>865</v>
      </c>
      <c r="EN129" s="860">
        <f t="shared" si="655"/>
        <v>4.3425814234016924</v>
      </c>
      <c r="EO129" s="101">
        <f>6+880</f>
        <v>886</v>
      </c>
      <c r="EP129" s="98">
        <f t="shared" si="656"/>
        <v>4.8520710059171579</v>
      </c>
      <c r="EQ129" s="792">
        <f t="shared" ref="EQ129" si="684">EQ127*EQ170/400</f>
        <v>865.17600000000004</v>
      </c>
      <c r="ER129" s="98">
        <f t="shared" si="658"/>
        <v>0.60186046511627733</v>
      </c>
      <c r="ES129" s="792">
        <f t="shared" ref="ES129" si="685">ES127*ES170/400</f>
        <v>871.57868590517546</v>
      </c>
      <c r="ET129" s="98">
        <f t="shared" si="660"/>
        <v>0.18145815002017507</v>
      </c>
      <c r="EU129" s="792">
        <f t="shared" ref="EU129" si="686">EU127*EU170/400</f>
        <v>877.21150474843103</v>
      </c>
      <c r="EV129" s="98">
        <f t="shared" si="662"/>
        <v>1.4117346529977981</v>
      </c>
      <c r="EW129" s="792">
        <f t="shared" ref="EW129" si="687">EW127*EW170/400</f>
        <v>882.19478834393271</v>
      </c>
      <c r="EX129" s="98">
        <f t="shared" si="664"/>
        <v>-0.4294821282243011</v>
      </c>
      <c r="EY129" s="118"/>
      <c r="EZ129" s="594"/>
      <c r="FA129" s="405"/>
      <c r="FB129" s="114" t="s">
        <v>494</v>
      </c>
      <c r="FC129" s="98"/>
      <c r="FD129" s="101">
        <v>2218</v>
      </c>
      <c r="FE129" s="98" t="str">
        <f t="shared" si="665"/>
        <v>NA</v>
      </c>
      <c r="FF129" s="118">
        <f>C129+E129+G129+I129</f>
        <v>2203</v>
      </c>
      <c r="FG129" s="98">
        <f t="shared" si="666"/>
        <v>-0.67628494138863848</v>
      </c>
      <c r="FH129" s="118">
        <f>K129+M129+O129+Q129</f>
        <v>2150</v>
      </c>
      <c r="FI129" s="98">
        <f t="shared" si="667"/>
        <v>-2.4058102587380836</v>
      </c>
      <c r="FJ129" s="118">
        <f>S129+U129+W129+Y129</f>
        <v>2096</v>
      </c>
      <c r="FK129" s="98">
        <f t="shared" si="668"/>
        <v>-2.5116279069767433</v>
      </c>
      <c r="FL129" s="118">
        <f>AA129+AC129+AE129+AG129</f>
        <v>2107</v>
      </c>
      <c r="FM129" s="98">
        <f t="shared" si="669"/>
        <v>0.52480916030535063</v>
      </c>
      <c r="FN129" s="118">
        <f>AI129+AK129+AM129+AO129</f>
        <v>2286</v>
      </c>
      <c r="FO129" s="98">
        <f t="shared" si="670"/>
        <v>8.4954912197437125</v>
      </c>
      <c r="FP129" s="118">
        <f>AQ129+AS129+AU129+AW129</f>
        <v>3150</v>
      </c>
      <c r="FQ129" s="98">
        <f t="shared" si="671"/>
        <v>37.795275590551178</v>
      </c>
      <c r="FR129" s="119">
        <f>AY129+BA129+BC129+BE129</f>
        <v>4148</v>
      </c>
      <c r="FS129" s="120">
        <f t="shared" si="672"/>
        <v>31.682539682539691</v>
      </c>
      <c r="FT129" s="119">
        <f>BG129+BI129+BK129+BM129</f>
        <v>4882</v>
      </c>
      <c r="FU129" s="120">
        <f t="shared" si="673"/>
        <v>17.695274831243978</v>
      </c>
      <c r="FV129" s="119">
        <f>BO129+BQ129+BS129+BU129</f>
        <v>4463</v>
      </c>
      <c r="FW129" s="98">
        <f t="shared" si="674"/>
        <v>-8.5825481360098266</v>
      </c>
      <c r="FX129" s="485">
        <f>BW129+BY129+CA129+CC129</f>
        <v>4250</v>
      </c>
      <c r="FY129" s="98">
        <f t="shared" si="675"/>
        <v>-4.7725745014564165</v>
      </c>
      <c r="FZ129" s="119">
        <f>CE129+CG129+CI129+CK129</f>
        <v>3940</v>
      </c>
      <c r="GA129" s="98">
        <f t="shared" si="676"/>
        <v>-7.2941176470588287</v>
      </c>
      <c r="GB129" s="485">
        <f>CM129+CO129+CQ129+CS129</f>
        <v>4089</v>
      </c>
      <c r="GC129" s="98">
        <f t="shared" si="677"/>
        <v>3.7817258883248828</v>
      </c>
      <c r="GD129" s="119">
        <f>CU129+CW129+CY129+DA129</f>
        <v>4169</v>
      </c>
      <c r="GE129" s="98">
        <f t="shared" si="678"/>
        <v>1.9564685742235355</v>
      </c>
      <c r="GF129" s="119">
        <f>DC129+DE129+DG129+DI129</f>
        <v>4035</v>
      </c>
      <c r="GG129" s="98">
        <f t="shared" si="678"/>
        <v>-3.214200047973137</v>
      </c>
      <c r="GH129" s="119">
        <f>DK129+DM129+DO129+DQ129</f>
        <v>3795</v>
      </c>
      <c r="GI129" s="98">
        <f t="shared" si="678"/>
        <v>-5.9479553903345694</v>
      </c>
      <c r="GJ129" s="119">
        <f>DS129+DU129+DW129+DY129</f>
        <v>3275</v>
      </c>
      <c r="GK129" s="98">
        <f t="shared" si="678"/>
        <v>-13.702239789196312</v>
      </c>
      <c r="GL129" s="119">
        <f>EA129+EC129+EE129+EG129</f>
        <v>3334</v>
      </c>
      <c r="GM129" s="98">
        <f t="shared" si="678"/>
        <v>1.8015267175572447</v>
      </c>
      <c r="GN129" s="119">
        <f>EI129+EK129+EM129+EO129</f>
        <v>3481</v>
      </c>
      <c r="GO129" s="98">
        <f t="shared" si="678"/>
        <v>4.4091181763647347</v>
      </c>
      <c r="GP129" s="119">
        <f>EQ129+ES129+EU129+EW129</f>
        <v>3496.1609789975391</v>
      </c>
      <c r="GQ129" s="98">
        <f t="shared" si="678"/>
        <v>0.43553516223897581</v>
      </c>
      <c r="GR129" s="118">
        <f>GR127*GR170/100</f>
        <v>3469.6588285943353</v>
      </c>
      <c r="GS129" s="98">
        <f t="shared" si="678"/>
        <v>-0.75803575871963291</v>
      </c>
      <c r="GT129" s="118">
        <f>GT127*GT170/100</f>
        <v>3565.7354747978993</v>
      </c>
      <c r="GU129" s="98">
        <f t="shared" si="678"/>
        <v>2.7690516834615542</v>
      </c>
      <c r="GV129" s="118">
        <f>GV127*GV170/100</f>
        <v>3697.7011611063313</v>
      </c>
      <c r="GW129" s="98">
        <f t="shared" si="678"/>
        <v>3.7009387611937727</v>
      </c>
      <c r="GX129" s="118">
        <f>GX127*GX170/100</f>
        <v>3845.9690499003318</v>
      </c>
      <c r="GY129" s="98">
        <f t="shared" si="679"/>
        <v>4.0097315151784718</v>
      </c>
      <c r="GZ129" s="98">
        <f t="shared" si="680"/>
        <v>2.0141352106562538</v>
      </c>
      <c r="HA129" s="98"/>
      <c r="HB129" s="10"/>
      <c r="HC129"/>
      <c r="HD129"/>
      <c r="HE129"/>
      <c r="HF129"/>
      <c r="HG129"/>
      <c r="HH129"/>
      <c r="HI129" s="10"/>
    </row>
    <row r="130" spans="2:217" s="2" customFormat="1" ht="12.75" customHeight="1" x14ac:dyDescent="0.2">
      <c r="B130" s="91" t="s">
        <v>307</v>
      </c>
      <c r="C130" s="157">
        <v>-1643</v>
      </c>
      <c r="D130" s="156"/>
      <c r="E130" s="157">
        <v>-964</v>
      </c>
      <c r="F130" s="156"/>
      <c r="G130" s="157">
        <v>-1292</v>
      </c>
      <c r="H130" s="156"/>
      <c r="I130" s="157">
        <v>-1366</v>
      </c>
      <c r="J130" s="156"/>
      <c r="K130" s="157">
        <v>-1010</v>
      </c>
      <c r="L130" s="156">
        <f t="shared" si="597"/>
        <v>-38.527084601339013</v>
      </c>
      <c r="M130" s="157">
        <v>-1049</v>
      </c>
      <c r="N130" s="156">
        <f t="shared" si="598"/>
        <v>8.8174273858921062</v>
      </c>
      <c r="O130" s="157">
        <v>-969</v>
      </c>
      <c r="P130" s="156">
        <f t="shared" si="599"/>
        <v>-25</v>
      </c>
      <c r="Q130" s="157">
        <v>-1020</v>
      </c>
      <c r="R130" s="156">
        <f t="shared" si="600"/>
        <v>-25.329428989751101</v>
      </c>
      <c r="S130" s="157">
        <v>-1331</v>
      </c>
      <c r="T130" s="156">
        <f t="shared" si="601"/>
        <v>31.782178217821787</v>
      </c>
      <c r="U130" s="157">
        <v>-996</v>
      </c>
      <c r="V130" s="156">
        <f t="shared" si="602"/>
        <v>-5.0524308865586232</v>
      </c>
      <c r="W130" s="157">
        <v>-1598</v>
      </c>
      <c r="X130" s="156">
        <f t="shared" si="603"/>
        <v>64.912280701754383</v>
      </c>
      <c r="Y130" s="157">
        <v>-1943</v>
      </c>
      <c r="Z130" s="156">
        <f t="shared" si="604"/>
        <v>90.490196078431367</v>
      </c>
      <c r="AA130" s="157">
        <v>-602</v>
      </c>
      <c r="AB130" s="156" t="str">
        <f t="shared" si="605"/>
        <v>NM</v>
      </c>
      <c r="AC130" s="157">
        <v>-1113</v>
      </c>
      <c r="AD130" s="156">
        <f t="shared" si="606"/>
        <v>11.74698795180722</v>
      </c>
      <c r="AE130" s="157">
        <v>-1396</v>
      </c>
      <c r="AF130" s="156">
        <f t="shared" si="607"/>
        <v>-12.640801001251567</v>
      </c>
      <c r="AG130" s="157">
        <v>-1330</v>
      </c>
      <c r="AH130" s="156">
        <f t="shared" si="608"/>
        <v>-31.549150797735457</v>
      </c>
      <c r="AI130" s="157">
        <v>-1222</v>
      </c>
      <c r="AJ130" s="156" t="str">
        <f t="shared" si="609"/>
        <v>NM</v>
      </c>
      <c r="AK130" s="157">
        <v>-928</v>
      </c>
      <c r="AL130" s="156">
        <f t="shared" si="610"/>
        <v>-16.621743036837376</v>
      </c>
      <c r="AM130" s="157">
        <v>-1400</v>
      </c>
      <c r="AN130" s="156">
        <f t="shared" si="611"/>
        <v>0.28653295128939771</v>
      </c>
      <c r="AO130" s="157">
        <v>-1651</v>
      </c>
      <c r="AP130" s="156">
        <f t="shared" si="612"/>
        <v>24.135338345864653</v>
      </c>
      <c r="AQ130" s="157">
        <v>-876</v>
      </c>
      <c r="AR130" s="156">
        <f t="shared" si="613"/>
        <v>-28.314238952536829</v>
      </c>
      <c r="AS130" s="157">
        <v>-1786</v>
      </c>
      <c r="AT130" s="156">
        <f t="shared" si="614"/>
        <v>92.456896551724128</v>
      </c>
      <c r="AU130" s="157">
        <v>-2604</v>
      </c>
      <c r="AV130" s="156">
        <f t="shared" si="615"/>
        <v>86.000000000000014</v>
      </c>
      <c r="AW130" s="157">
        <v>-2378</v>
      </c>
      <c r="AX130" s="156">
        <f t="shared" si="616"/>
        <v>44.033918837068441</v>
      </c>
      <c r="AY130" s="157">
        <v>-2851</v>
      </c>
      <c r="AZ130" s="156" t="str">
        <f t="shared" si="617"/>
        <v>NM</v>
      </c>
      <c r="BA130" s="157">
        <v>-2301</v>
      </c>
      <c r="BB130" s="156">
        <f t="shared" si="618"/>
        <v>28.835386338185899</v>
      </c>
      <c r="BC130" s="157">
        <v>-2031</v>
      </c>
      <c r="BD130" s="156">
        <f t="shared" si="619"/>
        <v>-22.004608294930872</v>
      </c>
      <c r="BE130" s="157">
        <v>-2143</v>
      </c>
      <c r="BF130" s="156">
        <f t="shared" si="620"/>
        <v>-9.8822539949537376</v>
      </c>
      <c r="BG130" s="157">
        <v>-2463</v>
      </c>
      <c r="BH130" s="156">
        <f t="shared" si="621"/>
        <v>-13.609259908803928</v>
      </c>
      <c r="BI130" s="157">
        <v>-3075</v>
      </c>
      <c r="BJ130" s="156">
        <f t="shared" si="622"/>
        <v>33.637548891786182</v>
      </c>
      <c r="BK130" s="157">
        <v>-2622</v>
      </c>
      <c r="BL130" s="156">
        <f t="shared" si="623"/>
        <v>29.098966026587881</v>
      </c>
      <c r="BM130" s="157">
        <v>-4338</v>
      </c>
      <c r="BN130" s="98" t="str">
        <f t="shared" si="624"/>
        <v>NM</v>
      </c>
      <c r="BO130" s="101">
        <v>-3563</v>
      </c>
      <c r="BP130" s="98">
        <f t="shared" si="625"/>
        <v>44.660982541615923</v>
      </c>
      <c r="BQ130" s="101">
        <v>-7329</v>
      </c>
      <c r="BR130" s="98" t="str">
        <f t="shared" si="626"/>
        <v>NM</v>
      </c>
      <c r="BS130" s="101">
        <v>-10512</v>
      </c>
      <c r="BT130" s="98" t="str">
        <f t="shared" si="627"/>
        <v>NM</v>
      </c>
      <c r="BU130" s="101">
        <v>-15221</v>
      </c>
      <c r="BV130" s="98" t="str">
        <f t="shared" si="628"/>
        <v>NM</v>
      </c>
      <c r="BW130" s="101">
        <v>-18277</v>
      </c>
      <c r="BX130" s="98" t="str">
        <f t="shared" si="629"/>
        <v>NM</v>
      </c>
      <c r="BY130" s="101">
        <v>-18009</v>
      </c>
      <c r="BZ130" s="98" t="str">
        <f t="shared" si="630"/>
        <v>NM</v>
      </c>
      <c r="CA130" s="101">
        <v>-12532</v>
      </c>
      <c r="CB130" s="98">
        <f t="shared" si="631"/>
        <v>19.216133942161328</v>
      </c>
      <c r="CC130" s="101">
        <v>-10463</v>
      </c>
      <c r="CD130" s="98">
        <f t="shared" si="632"/>
        <v>-31.25944418894948</v>
      </c>
      <c r="CE130" s="101">
        <v>-8851</v>
      </c>
      <c r="CF130" s="98" t="str">
        <f t="shared" si="633"/>
        <v>NM</v>
      </c>
      <c r="CG130" s="101">
        <v>-13432</v>
      </c>
      <c r="CH130" s="98">
        <f t="shared" si="634"/>
        <v>-25.415070242656444</v>
      </c>
      <c r="CI130" s="101">
        <v>-11707</v>
      </c>
      <c r="CJ130" s="98">
        <f t="shared" si="635"/>
        <v>-6.5831471433131172</v>
      </c>
      <c r="CK130" s="101">
        <v>-13124</v>
      </c>
      <c r="CL130" s="98">
        <f t="shared" si="636"/>
        <v>25.432476345216482</v>
      </c>
      <c r="CM130" s="101">
        <v>-14794</v>
      </c>
      <c r="CN130" s="98">
        <f t="shared" si="637"/>
        <v>67.144955372274325</v>
      </c>
      <c r="CO130" s="101">
        <v>-10718</v>
      </c>
      <c r="CP130" s="98">
        <f t="shared" si="638"/>
        <v>-20.205479452054796</v>
      </c>
      <c r="CQ130" s="542">
        <v>-17348</v>
      </c>
      <c r="CR130" s="98">
        <f t="shared" si="638"/>
        <v>48.184846672930725</v>
      </c>
      <c r="CS130" s="101">
        <v>-12491</v>
      </c>
      <c r="CT130" s="98">
        <f t="shared" si="638"/>
        <v>-4.8232246266382228</v>
      </c>
      <c r="CU130" s="101">
        <v>-14745</v>
      </c>
      <c r="CV130" s="98">
        <f t="shared" si="639"/>
        <v>-0.33121535757739684</v>
      </c>
      <c r="CW130" s="101">
        <v>-14885</v>
      </c>
      <c r="CX130" s="98">
        <f t="shared" si="640"/>
        <v>38.878522112334402</v>
      </c>
      <c r="CY130" s="101">
        <v>-12028</v>
      </c>
      <c r="CZ130" s="98">
        <f t="shared" si="641"/>
        <v>-30.666359234493889</v>
      </c>
      <c r="DA130" s="101">
        <v>-9666</v>
      </c>
      <c r="DB130" s="98">
        <f t="shared" si="642"/>
        <v>-22.616283724281484</v>
      </c>
      <c r="DC130" s="101">
        <v>-11765</v>
      </c>
      <c r="DD130" s="98">
        <f t="shared" si="643"/>
        <v>-20.210240759579523</v>
      </c>
      <c r="DE130" s="101">
        <v>-17483</v>
      </c>
      <c r="DF130" s="98">
        <f t="shared" si="644"/>
        <v>17.453812562982861</v>
      </c>
      <c r="DG130" s="101">
        <v>-12717</v>
      </c>
      <c r="DH130" s="98">
        <f t="shared" si="645"/>
        <v>5.7283006318589846</v>
      </c>
      <c r="DI130" s="101">
        <v>-11584</v>
      </c>
      <c r="DJ130" s="98">
        <f t="shared" si="646"/>
        <v>19.84274777570867</v>
      </c>
      <c r="DK130" s="101">
        <v>-14691</v>
      </c>
      <c r="DL130" s="98">
        <f t="shared" si="647"/>
        <v>24.870378240543989</v>
      </c>
      <c r="DM130" s="101">
        <v>-16760</v>
      </c>
      <c r="DN130" s="98">
        <f t="shared" si="648"/>
        <v>-4.1354458616942207</v>
      </c>
      <c r="DO130" s="101">
        <v>-15013</v>
      </c>
      <c r="DP130" s="98">
        <f t="shared" si="648"/>
        <v>18.054572619328457</v>
      </c>
      <c r="DQ130" s="101">
        <v>-15761</v>
      </c>
      <c r="DR130" s="98">
        <f t="shared" si="648"/>
        <v>36.058356353591158</v>
      </c>
      <c r="DS130" s="101">
        <v>-12408</v>
      </c>
      <c r="DT130" s="98">
        <f t="shared" si="648"/>
        <v>-15.540126608127425</v>
      </c>
      <c r="DU130" s="101">
        <v>-14364</v>
      </c>
      <c r="DV130" s="98">
        <f t="shared" si="648"/>
        <v>-14.295942720763721</v>
      </c>
      <c r="DW130" s="101">
        <v>-17143</v>
      </c>
      <c r="DX130" s="98">
        <f t="shared" si="648"/>
        <v>14.187703989875434</v>
      </c>
      <c r="DY130" s="101">
        <v>-12098</v>
      </c>
      <c r="DZ130" s="98">
        <f t="shared" si="648"/>
        <v>-23.240911109701155</v>
      </c>
      <c r="EA130" s="101">
        <v>-10599</v>
      </c>
      <c r="EB130" s="98">
        <f t="shared" si="649"/>
        <v>-14.579303675048362</v>
      </c>
      <c r="EC130" s="101">
        <v>-14198</v>
      </c>
      <c r="ED130" s="98">
        <f t="shared" si="650"/>
        <v>-1.1556669451406321</v>
      </c>
      <c r="EE130" s="101">
        <v>-15813</v>
      </c>
      <c r="EF130" s="860">
        <f t="shared" si="651"/>
        <v>-7.7582686810943269</v>
      </c>
      <c r="EG130" s="101">
        <v>-16134</v>
      </c>
      <c r="EH130" s="860">
        <f t="shared" si="652"/>
        <v>33.360886096875511</v>
      </c>
      <c r="EI130" s="101">
        <v>-14943</v>
      </c>
      <c r="EJ130" s="860">
        <f t="shared" si="653"/>
        <v>40.984998584772157</v>
      </c>
      <c r="EK130" s="101">
        <v>-19539</v>
      </c>
      <c r="EL130" s="860">
        <f t="shared" si="654"/>
        <v>37.617974362586267</v>
      </c>
      <c r="EM130" s="101">
        <v>-15926</v>
      </c>
      <c r="EN130" s="860">
        <f t="shared" si="655"/>
        <v>0.71460190982104432</v>
      </c>
      <c r="EO130" s="101">
        <v>-16912</v>
      </c>
      <c r="EP130" s="98">
        <f t="shared" si="656"/>
        <v>4.8221147886450932</v>
      </c>
      <c r="EQ130" s="1023">
        <f t="shared" ref="EQ130" si="688">EQ127*-(EQ137/400)</f>
        <v>-17046.134655532358</v>
      </c>
      <c r="ER130" s="98">
        <f t="shared" si="658"/>
        <v>14.074380348874783</v>
      </c>
      <c r="ES130" s="1023">
        <f t="shared" ref="ES130" si="689">ES127*-(ES137/400)</f>
        <v>-17145.493773974184</v>
      </c>
      <c r="ET130" s="98">
        <f t="shared" si="660"/>
        <v>-12.24989112045558</v>
      </c>
      <c r="EU130" s="1023">
        <f t="shared" ref="EU130" si="690">EU127*-(EU137/400)</f>
        <v>-17229.422305948017</v>
      </c>
      <c r="EV130" s="98">
        <f t="shared" si="662"/>
        <v>8.1842415292478812</v>
      </c>
      <c r="EW130" s="1023">
        <f t="shared" ref="EW130" si="691">EW127*-(EW137/400)</f>
        <v>-17300.352021602008</v>
      </c>
      <c r="EX130" s="98">
        <f t="shared" si="664"/>
        <v>2.2963104399361889</v>
      </c>
      <c r="EY130" s="119"/>
      <c r="EZ130" s="594"/>
      <c r="FA130" s="405"/>
      <c r="FB130" s="114" t="s">
        <v>494</v>
      </c>
      <c r="FC130" s="98"/>
      <c r="FD130" s="101">
        <v>-5684</v>
      </c>
      <c r="FE130" s="98" t="str">
        <f t="shared" si="665"/>
        <v>NA</v>
      </c>
      <c r="FF130" s="118">
        <f>C130+E130+G130+I130</f>
        <v>-5265</v>
      </c>
      <c r="FG130" s="98">
        <f t="shared" si="666"/>
        <v>-7.3715693173821206</v>
      </c>
      <c r="FH130" s="118">
        <f>K130+M130+O130+Q130</f>
        <v>-4048</v>
      </c>
      <c r="FI130" s="98">
        <f t="shared" si="667"/>
        <v>-23.114909781576454</v>
      </c>
      <c r="FJ130" s="118">
        <f>S130+U130+W130+Y130</f>
        <v>-5868</v>
      </c>
      <c r="FK130" s="98">
        <f t="shared" si="668"/>
        <v>44.960474308300391</v>
      </c>
      <c r="FL130" s="118">
        <f>AA130+AC130+AE130+AG130</f>
        <v>-4441</v>
      </c>
      <c r="FM130" s="98">
        <f t="shared" si="669"/>
        <v>-24.318336741649627</v>
      </c>
      <c r="FN130" s="118">
        <f>AI130+AK130+AM130+AO130</f>
        <v>-5201</v>
      </c>
      <c r="FO130" s="98">
        <f t="shared" si="670"/>
        <v>17.113262778653461</v>
      </c>
      <c r="FP130" s="118">
        <f>AQ130+AS130+AU130+AW130</f>
        <v>-7644</v>
      </c>
      <c r="FQ130" s="98">
        <f t="shared" si="671"/>
        <v>46.97173620457604</v>
      </c>
      <c r="FR130" s="119">
        <f>AY130+BA130+BC130+BE130</f>
        <v>-9326</v>
      </c>
      <c r="FS130" s="120">
        <f t="shared" si="672"/>
        <v>22.004186289900574</v>
      </c>
      <c r="FT130" s="119">
        <f>BG130+BI130+BK130+BM130</f>
        <v>-12498</v>
      </c>
      <c r="FU130" s="120">
        <f t="shared" si="673"/>
        <v>34.012438344413475</v>
      </c>
      <c r="FV130" s="119">
        <f>BO130+BQ130+BS130+BU130</f>
        <v>-36625</v>
      </c>
      <c r="FW130" s="98" t="str">
        <f t="shared" si="674"/>
        <v>NM</v>
      </c>
      <c r="FX130" s="485">
        <f>BW130+BY130+CA130+CC130</f>
        <v>-59281</v>
      </c>
      <c r="FY130" s="98">
        <f t="shared" si="675"/>
        <v>61.859385665529018</v>
      </c>
      <c r="FZ130" s="119">
        <f>CE130+CG130+CI130+CK130</f>
        <v>-47114</v>
      </c>
      <c r="GA130" s="98">
        <f t="shared" si="676"/>
        <v>-20.524282653801386</v>
      </c>
      <c r="GB130" s="485">
        <f>CM130+CO130+CQ130+CS130</f>
        <v>-55351</v>
      </c>
      <c r="GC130" s="98">
        <f t="shared" si="677"/>
        <v>17.483126034724283</v>
      </c>
      <c r="GD130" s="119">
        <f>CU130+CW130+CY130+DA130</f>
        <v>-51324</v>
      </c>
      <c r="GE130" s="98">
        <f t="shared" si="678"/>
        <v>-7.2753879785369735</v>
      </c>
      <c r="GF130" s="119">
        <f>DC130+DE130+DG130+DI130</f>
        <v>-53549</v>
      </c>
      <c r="GG130" s="98">
        <f t="shared" si="678"/>
        <v>4.3352038032889118</v>
      </c>
      <c r="GH130" s="119">
        <f>DK130+DM130+DO130+DQ130</f>
        <v>-62225</v>
      </c>
      <c r="GI130" s="98">
        <f t="shared" si="678"/>
        <v>16.201983230312432</v>
      </c>
      <c r="GJ130" s="119">
        <f>DS130+DU130+DW130+DY130</f>
        <v>-56013</v>
      </c>
      <c r="GK130" s="98">
        <f t="shared" si="678"/>
        <v>-9.9831257533145816</v>
      </c>
      <c r="GL130" s="119">
        <f>EA130+EC130+EE130+EG130</f>
        <v>-56744</v>
      </c>
      <c r="GM130" s="98">
        <f t="shared" si="678"/>
        <v>1.305054183850185</v>
      </c>
      <c r="GN130" s="119">
        <f>EI130+EK130+EM130+EO130</f>
        <v>-67320</v>
      </c>
      <c r="GO130" s="98">
        <f t="shared" si="678"/>
        <v>18.638093895389819</v>
      </c>
      <c r="GP130" s="119">
        <f>EQ130+ES130+EU130+EW130</f>
        <v>-68721.402757056567</v>
      </c>
      <c r="GQ130" s="98">
        <f t="shared" si="678"/>
        <v>2.0817034418546765</v>
      </c>
      <c r="GR130" s="119">
        <f>GR127*-(GR137/100)</f>
        <v>-69988.084893037289</v>
      </c>
      <c r="GS130" s="98">
        <f t="shared" si="678"/>
        <v>1.8432134461205507</v>
      </c>
      <c r="GT130" s="119">
        <f>GT127*-(GT137/100)</f>
        <v>-73086.108908471622</v>
      </c>
      <c r="GU130" s="98">
        <f t="shared" si="678"/>
        <v>4.4265020541268463</v>
      </c>
      <c r="GV130" s="119">
        <f>GV127*-(GV137/100)</f>
        <v>-77033.368542561904</v>
      </c>
      <c r="GW130" s="98">
        <f t="shared" si="678"/>
        <v>5.400834294015544</v>
      </c>
      <c r="GX130" s="119">
        <f>GX127*-(GX137/100)</f>
        <v>-81457.474077832565</v>
      </c>
      <c r="GY130" s="98">
        <f t="shared" si="679"/>
        <v>5.7431027864584205</v>
      </c>
      <c r="GZ130" s="98">
        <f t="shared" si="680"/>
        <v>3.8860817340589771</v>
      </c>
      <c r="HA130" s="98"/>
      <c r="HB130" s="10"/>
      <c r="HC130"/>
      <c r="HD130"/>
      <c r="HE130"/>
      <c r="HF130"/>
      <c r="HG130"/>
      <c r="HH130"/>
      <c r="HI130" s="10"/>
    </row>
    <row r="131" spans="2:217" s="2" customFormat="1" ht="12.75" customHeight="1" x14ac:dyDescent="0.2">
      <c r="B131" s="91" t="s">
        <v>159</v>
      </c>
      <c r="C131" s="157">
        <v>-457</v>
      </c>
      <c r="D131" s="156"/>
      <c r="E131" s="157">
        <v>-518</v>
      </c>
      <c r="F131" s="156"/>
      <c r="G131" s="157">
        <v>-421</v>
      </c>
      <c r="H131" s="156"/>
      <c r="I131" s="157">
        <v>-449</v>
      </c>
      <c r="J131" s="156"/>
      <c r="K131" s="157">
        <v>-439</v>
      </c>
      <c r="L131" s="156">
        <f t="shared" si="597"/>
        <v>-3.9387308533916809</v>
      </c>
      <c r="M131" s="157">
        <v>-458</v>
      </c>
      <c r="N131" s="156">
        <f t="shared" si="598"/>
        <v>-11.583011583011583</v>
      </c>
      <c r="O131" s="157">
        <v>-458</v>
      </c>
      <c r="P131" s="156">
        <f t="shared" si="599"/>
        <v>8.7885985748218598</v>
      </c>
      <c r="Q131" s="157">
        <v>-483</v>
      </c>
      <c r="R131" s="156">
        <f t="shared" si="600"/>
        <v>7.572383073496658</v>
      </c>
      <c r="S131" s="157">
        <v>-422</v>
      </c>
      <c r="T131" s="156">
        <f t="shared" si="601"/>
        <v>-3.8724373576309756</v>
      </c>
      <c r="U131" s="157">
        <v>-439</v>
      </c>
      <c r="V131" s="156">
        <f t="shared" si="602"/>
        <v>-4.1484716157205277</v>
      </c>
      <c r="W131" s="157">
        <v>-486</v>
      </c>
      <c r="X131" s="156">
        <f t="shared" si="603"/>
        <v>6.1135371179039222</v>
      </c>
      <c r="Y131" s="157">
        <v>-540</v>
      </c>
      <c r="Z131" s="156">
        <f t="shared" si="604"/>
        <v>11.801242236024834</v>
      </c>
      <c r="AA131" s="157">
        <v>-465</v>
      </c>
      <c r="AB131" s="156">
        <f t="shared" si="605"/>
        <v>10.18957345971565</v>
      </c>
      <c r="AC131" s="157">
        <v>-521</v>
      </c>
      <c r="AD131" s="156">
        <f t="shared" si="606"/>
        <v>18.678815489749432</v>
      </c>
      <c r="AE131" s="157">
        <v>-471</v>
      </c>
      <c r="AF131" s="156">
        <f t="shared" si="607"/>
        <v>-3.0864197530864224</v>
      </c>
      <c r="AG131" s="157">
        <v>-468</v>
      </c>
      <c r="AH131" s="156">
        <f t="shared" si="608"/>
        <v>-13.33333333333333</v>
      </c>
      <c r="AI131" s="157">
        <v>-468</v>
      </c>
      <c r="AJ131" s="156">
        <f t="shared" si="609"/>
        <v>0.64516129032257119</v>
      </c>
      <c r="AK131" s="157">
        <v>-470</v>
      </c>
      <c r="AL131" s="156">
        <f t="shared" si="610"/>
        <v>-9.7888675623800445</v>
      </c>
      <c r="AM131" s="157">
        <v>-520</v>
      </c>
      <c r="AN131" s="156">
        <f t="shared" si="611"/>
        <v>10.403397027600846</v>
      </c>
      <c r="AO131" s="157">
        <v>-512</v>
      </c>
      <c r="AP131" s="156">
        <f t="shared" si="612"/>
        <v>9.4017094017094127</v>
      </c>
      <c r="AQ131" s="157">
        <v>-501</v>
      </c>
      <c r="AR131" s="156">
        <f t="shared" si="613"/>
        <v>7.0512820512820484</v>
      </c>
      <c r="AS131" s="157">
        <v>-508</v>
      </c>
      <c r="AT131" s="156">
        <f t="shared" si="614"/>
        <v>8.085106382978724</v>
      </c>
      <c r="AU131" s="157">
        <v>-671</v>
      </c>
      <c r="AV131" s="156">
        <f t="shared" si="615"/>
        <v>29.038461538461547</v>
      </c>
      <c r="AW131" s="157">
        <v>-655</v>
      </c>
      <c r="AX131" s="156">
        <f t="shared" si="616"/>
        <v>27.9296875</v>
      </c>
      <c r="AY131" s="157">
        <v>-679</v>
      </c>
      <c r="AZ131" s="156">
        <f t="shared" si="617"/>
        <v>35.528942115768473</v>
      </c>
      <c r="BA131" s="157">
        <v>-673</v>
      </c>
      <c r="BB131" s="156">
        <f t="shared" si="618"/>
        <v>32.480314960629933</v>
      </c>
      <c r="BC131" s="157">
        <v>-663</v>
      </c>
      <c r="BD131" s="156">
        <f t="shared" si="619"/>
        <v>-1.1922503725782407</v>
      </c>
      <c r="BE131" s="157">
        <v>-676</v>
      </c>
      <c r="BF131" s="156">
        <f t="shared" si="620"/>
        <v>3.2061068702289974</v>
      </c>
      <c r="BG131" s="157">
        <v>-728</v>
      </c>
      <c r="BH131" s="156">
        <f t="shared" si="621"/>
        <v>7.2164948453608213</v>
      </c>
      <c r="BI131" s="157">
        <v>-688</v>
      </c>
      <c r="BJ131" s="156">
        <f t="shared" si="622"/>
        <v>2.2288261515601704</v>
      </c>
      <c r="BK131" s="157">
        <v>-716</v>
      </c>
      <c r="BL131" s="156">
        <f t="shared" si="623"/>
        <v>7.9939668174962231</v>
      </c>
      <c r="BM131" s="157">
        <v>-605</v>
      </c>
      <c r="BN131" s="98">
        <f t="shared" si="624"/>
        <v>-10.50295857988166</v>
      </c>
      <c r="BO131" s="101">
        <v>-701</v>
      </c>
      <c r="BP131" s="98">
        <f t="shared" si="625"/>
        <v>-3.7087912087912067</v>
      </c>
      <c r="BQ131" s="101">
        <v>-747</v>
      </c>
      <c r="BR131" s="98">
        <f t="shared" si="626"/>
        <v>8.5755813953488413</v>
      </c>
      <c r="BS131" s="101">
        <v>-802</v>
      </c>
      <c r="BT131" s="98">
        <f t="shared" si="627"/>
        <v>12.011173184357538</v>
      </c>
      <c r="BU131" s="101">
        <v>-779</v>
      </c>
      <c r="BV131" s="98">
        <f t="shared" si="628"/>
        <v>28.760330578512395</v>
      </c>
      <c r="BW131" s="101">
        <v>-770</v>
      </c>
      <c r="BX131" s="98">
        <f t="shared" si="629"/>
        <v>9.8430813124108507</v>
      </c>
      <c r="BY131" s="101">
        <v>-769</v>
      </c>
      <c r="BZ131" s="98">
        <f t="shared" si="630"/>
        <v>2.9451137884872747</v>
      </c>
      <c r="CA131" s="101">
        <v>-820</v>
      </c>
      <c r="CB131" s="98">
        <f t="shared" si="631"/>
        <v>2.244389027431426</v>
      </c>
      <c r="CC131" s="101">
        <v>-689</v>
      </c>
      <c r="CD131" s="98">
        <f t="shared" si="632"/>
        <v>-11.553273427471112</v>
      </c>
      <c r="CE131" s="101">
        <v>-683</v>
      </c>
      <c r="CF131" s="98">
        <f t="shared" si="633"/>
        <v>-11.298701298701296</v>
      </c>
      <c r="CG131" s="101">
        <v>-702</v>
      </c>
      <c r="CH131" s="98">
        <f t="shared" si="634"/>
        <v>-8.712613784135236</v>
      </c>
      <c r="CI131" s="101">
        <v>-774</v>
      </c>
      <c r="CJ131" s="98">
        <f t="shared" si="635"/>
        <v>-5.6097560975609806</v>
      </c>
      <c r="CK131" s="101">
        <v>-707</v>
      </c>
      <c r="CL131" s="98">
        <f t="shared" si="636"/>
        <v>2.6124818577648812</v>
      </c>
      <c r="CM131" s="101">
        <v>-831</v>
      </c>
      <c r="CN131" s="98">
        <f t="shared" si="637"/>
        <v>21.669106881405554</v>
      </c>
      <c r="CO131" s="101">
        <v>-827</v>
      </c>
      <c r="CP131" s="98">
        <f t="shared" si="638"/>
        <v>17.806267806267819</v>
      </c>
      <c r="CQ131" s="542">
        <v>-881</v>
      </c>
      <c r="CR131" s="98">
        <f t="shared" si="638"/>
        <v>13.824289405684764</v>
      </c>
      <c r="CS131" s="101">
        <v>-860</v>
      </c>
      <c r="CT131" s="98">
        <f t="shared" si="638"/>
        <v>21.640735502121643</v>
      </c>
      <c r="CU131" s="101">
        <v>-838</v>
      </c>
      <c r="CV131" s="98">
        <f t="shared" si="639"/>
        <v>0.84235860409145324</v>
      </c>
      <c r="CW131" s="101">
        <v>-850</v>
      </c>
      <c r="CX131" s="98">
        <f t="shared" si="640"/>
        <v>2.7811366384522307</v>
      </c>
      <c r="CY131" s="101">
        <v>-899</v>
      </c>
      <c r="CZ131" s="98">
        <f t="shared" si="641"/>
        <v>2.0431328036322416</v>
      </c>
      <c r="DA131" s="101">
        <v>-902</v>
      </c>
      <c r="DB131" s="98">
        <f t="shared" si="642"/>
        <v>4.8837209302325491</v>
      </c>
      <c r="DC131" s="101">
        <v>-876</v>
      </c>
      <c r="DD131" s="98">
        <f t="shared" si="643"/>
        <v>4.5346062052505909</v>
      </c>
      <c r="DE131" s="101">
        <v>-887</v>
      </c>
      <c r="DF131" s="98">
        <f t="shared" si="644"/>
        <v>4.3529411764705817</v>
      </c>
      <c r="DG131" s="101">
        <v>-923</v>
      </c>
      <c r="DH131" s="98">
        <f t="shared" si="645"/>
        <v>2.6696329254727535</v>
      </c>
      <c r="DI131" s="101">
        <v>-890</v>
      </c>
      <c r="DJ131" s="98">
        <f t="shared" si="646"/>
        <v>-1.3303769401330379</v>
      </c>
      <c r="DK131" s="101">
        <v>-869</v>
      </c>
      <c r="DL131" s="98">
        <f t="shared" si="647"/>
        <v>-0.79908675799086337</v>
      </c>
      <c r="DM131" s="101">
        <v>-870</v>
      </c>
      <c r="DN131" s="98">
        <f t="shared" si="648"/>
        <v>-1.916572717023679</v>
      </c>
      <c r="DO131" s="101">
        <v>-915</v>
      </c>
      <c r="DP131" s="98">
        <f t="shared" si="648"/>
        <v>-0.86673889490790357</v>
      </c>
      <c r="DQ131" s="101">
        <v>-878</v>
      </c>
      <c r="DR131" s="98">
        <f t="shared" si="648"/>
        <v>-1.3483146067415741</v>
      </c>
      <c r="DS131" s="101">
        <v>-732</v>
      </c>
      <c r="DT131" s="98">
        <f t="shared" si="648"/>
        <v>-15.765247410817029</v>
      </c>
      <c r="DU131" s="101">
        <v>-767</v>
      </c>
      <c r="DV131" s="98">
        <f t="shared" si="648"/>
        <v>-11.839080459770113</v>
      </c>
      <c r="DW131" s="101">
        <v>-778</v>
      </c>
      <c r="DX131" s="98">
        <f t="shared" si="648"/>
        <v>-14.972677595628415</v>
      </c>
      <c r="DY131" s="101">
        <v>-759</v>
      </c>
      <c r="DZ131" s="98">
        <f t="shared" si="648"/>
        <v>-13.553530751708431</v>
      </c>
      <c r="EA131" s="101">
        <v>-787</v>
      </c>
      <c r="EB131" s="98">
        <f t="shared" si="649"/>
        <v>7.5136612021857951</v>
      </c>
      <c r="EC131" s="101">
        <v>-771</v>
      </c>
      <c r="ED131" s="98">
        <f t="shared" si="650"/>
        <v>0.52151238591917615</v>
      </c>
      <c r="EE131" s="101">
        <v>-806</v>
      </c>
      <c r="EF131" s="860">
        <f t="shared" si="651"/>
        <v>3.5989717223650297</v>
      </c>
      <c r="EG131" s="101">
        <v>-789</v>
      </c>
      <c r="EH131" s="860">
        <f t="shared" si="652"/>
        <v>3.9525691699604737</v>
      </c>
      <c r="EI131" s="101">
        <v>-812</v>
      </c>
      <c r="EJ131" s="860">
        <f t="shared" si="653"/>
        <v>3.1766200762388896</v>
      </c>
      <c r="EK131" s="101">
        <v>-812</v>
      </c>
      <c r="EL131" s="860">
        <f t="shared" si="654"/>
        <v>5.3177691309987063</v>
      </c>
      <c r="EM131" s="101">
        <v>-849</v>
      </c>
      <c r="EN131" s="860">
        <f t="shared" si="655"/>
        <v>5.3349875930521096</v>
      </c>
      <c r="EO131" s="101">
        <v>-841</v>
      </c>
      <c r="EP131" s="98">
        <f t="shared" si="656"/>
        <v>6.5906210392902453</v>
      </c>
      <c r="EQ131" s="792">
        <f t="shared" ref="EQ131" si="692">-EQ138/400*EQ127</f>
        <v>-847.67024865791825</v>
      </c>
      <c r="ER131" s="98">
        <f t="shared" si="658"/>
        <v>4.3928877657534837</v>
      </c>
      <c r="ES131" s="792">
        <f t="shared" ref="ES131" si="693">-ES138/400*ES127</f>
        <v>-852.61117927579767</v>
      </c>
      <c r="ET131" s="98">
        <f t="shared" si="660"/>
        <v>5.0013767581031709</v>
      </c>
      <c r="EU131" s="792">
        <f t="shared" ref="EU131" si="694">-EU138/400*EU127</f>
        <v>-856.78477763140279</v>
      </c>
      <c r="EV131" s="98">
        <f t="shared" si="662"/>
        <v>0.91693493891669142</v>
      </c>
      <c r="EW131" s="792">
        <f t="shared" ref="EW131" si="695">-EW138/400*EW127</f>
        <v>-860.31197079986339</v>
      </c>
      <c r="EX131" s="98">
        <f t="shared" si="664"/>
        <v>2.2963104399361889</v>
      </c>
      <c r="EY131" s="118"/>
      <c r="EZ131" s="594"/>
      <c r="FA131" s="405"/>
      <c r="FB131" s="114" t="s">
        <v>494</v>
      </c>
      <c r="FC131" s="98"/>
      <c r="FD131" s="101">
        <v>-1941</v>
      </c>
      <c r="FE131" s="98" t="str">
        <f t="shared" si="665"/>
        <v>NA</v>
      </c>
      <c r="FF131" s="118">
        <f>C131+E131+G131+I131</f>
        <v>-1845</v>
      </c>
      <c r="FG131" s="98">
        <f t="shared" si="666"/>
        <v>-4.9459041731066407</v>
      </c>
      <c r="FH131" s="118">
        <f>K131+M131+O131+Q131</f>
        <v>-1838</v>
      </c>
      <c r="FI131" s="98">
        <f t="shared" si="667"/>
        <v>-0.37940379403793578</v>
      </c>
      <c r="FJ131" s="118">
        <f>S131+U131+W131+Y131</f>
        <v>-1887</v>
      </c>
      <c r="FK131" s="98">
        <f t="shared" si="668"/>
        <v>2.6659412404787863</v>
      </c>
      <c r="FL131" s="118">
        <f>AA131+AC131+AE131+AG131</f>
        <v>-1925</v>
      </c>
      <c r="FM131" s="98">
        <f t="shared" si="669"/>
        <v>2.0137784843667239</v>
      </c>
      <c r="FN131" s="118">
        <f>AI131+AK131+AM131+AO131</f>
        <v>-1970</v>
      </c>
      <c r="FO131" s="98">
        <f t="shared" si="670"/>
        <v>2.3376623376623273</v>
      </c>
      <c r="FP131" s="118">
        <f>AQ131+AS131+AU131+AW131</f>
        <v>-2335</v>
      </c>
      <c r="FQ131" s="98">
        <f t="shared" si="671"/>
        <v>18.527918781725884</v>
      </c>
      <c r="FR131" s="119">
        <f>AY131+BA131+BC131+BE131</f>
        <v>-2691</v>
      </c>
      <c r="FS131" s="120">
        <f t="shared" si="672"/>
        <v>15.246252676659534</v>
      </c>
      <c r="FT131" s="119">
        <f>BG131+BI131+BK131+BM131</f>
        <v>-2737</v>
      </c>
      <c r="FU131" s="120">
        <f t="shared" si="673"/>
        <v>1.7094017094017033</v>
      </c>
      <c r="FV131" s="119">
        <f>BO131+BQ131+BS131+BU131</f>
        <v>-3029</v>
      </c>
      <c r="FW131" s="98">
        <f t="shared" si="674"/>
        <v>10.668615272195826</v>
      </c>
      <c r="FX131" s="485">
        <f>BW131+BY131+CA131+CC131</f>
        <v>-3048</v>
      </c>
      <c r="FY131" s="98">
        <f t="shared" si="675"/>
        <v>0.62726972598217134</v>
      </c>
      <c r="FZ131" s="119">
        <f>CE131+CG131+CI131+CK131</f>
        <v>-2866</v>
      </c>
      <c r="GA131" s="98">
        <f t="shared" si="676"/>
        <v>-5.9711286089238813</v>
      </c>
      <c r="GB131" s="485">
        <f>CM131+CO131+CQ131+CS131</f>
        <v>-3399</v>
      </c>
      <c r="GC131" s="98">
        <f t="shared" si="677"/>
        <v>18.597348220516395</v>
      </c>
      <c r="GD131" s="119">
        <f>CU131+CW131+CY131+DA131</f>
        <v>-3489</v>
      </c>
      <c r="GE131" s="98">
        <f t="shared" si="678"/>
        <v>2.6478375992939007</v>
      </c>
      <c r="GF131" s="119">
        <f>DC131+DE131+DG131+DI131</f>
        <v>-3576</v>
      </c>
      <c r="GG131" s="98">
        <f t="shared" si="678"/>
        <v>2.4935511607910632</v>
      </c>
      <c r="GH131" s="119">
        <f>DK131+DM131+DO131+DQ131</f>
        <v>-3532</v>
      </c>
      <c r="GI131" s="98">
        <f t="shared" si="678"/>
        <v>-1.230425055928408</v>
      </c>
      <c r="GJ131" s="119">
        <f>DS131+DU131+DW131+DY131</f>
        <v>-3036</v>
      </c>
      <c r="GK131" s="98">
        <f t="shared" si="678"/>
        <v>-14.043035107587764</v>
      </c>
      <c r="GL131" s="119">
        <f>EA131+EC131+EE131+EG131</f>
        <v>-3153</v>
      </c>
      <c r="GM131" s="98">
        <f t="shared" si="678"/>
        <v>3.8537549407114735</v>
      </c>
      <c r="GN131" s="119">
        <f>EI131+EK131+EM131+EO131</f>
        <v>-3314</v>
      </c>
      <c r="GO131" s="98">
        <f t="shared" si="678"/>
        <v>5.1062480177608727</v>
      </c>
      <c r="GP131" s="119">
        <f>EQ131+ES131+EU131+EW131</f>
        <v>-3417.3781763649822</v>
      </c>
      <c r="GQ131" s="98">
        <f t="shared" si="678"/>
        <v>3.1194380315323622</v>
      </c>
      <c r="GR131" s="118">
        <f>-GR138/100*GR127</f>
        <v>-3480.3677504165307</v>
      </c>
      <c r="GS131" s="98">
        <f t="shared" si="678"/>
        <v>1.8432134461205507</v>
      </c>
      <c r="GT131" s="118">
        <f>-GT138/100*GT127</f>
        <v>-3634.4263003798865</v>
      </c>
      <c r="GU131" s="98">
        <f t="shared" si="678"/>
        <v>4.4265020541268463</v>
      </c>
      <c r="GV131" s="118">
        <f>-GV138/100*GV127</f>
        <v>-3830.7156424015234</v>
      </c>
      <c r="GW131" s="98">
        <f t="shared" si="678"/>
        <v>5.400834294015544</v>
      </c>
      <c r="GX131" s="118">
        <f>-GX138/100*GX127</f>
        <v>-4050.7175792015842</v>
      </c>
      <c r="GY131" s="98">
        <f t="shared" si="679"/>
        <v>5.7431027864584205</v>
      </c>
      <c r="GZ131" s="98">
        <f t="shared" si="680"/>
        <v>4.0964435530656207</v>
      </c>
      <c r="HA131" s="98"/>
      <c r="HB131" s="10"/>
      <c r="HC131"/>
      <c r="HD131"/>
      <c r="HE131"/>
      <c r="HF131"/>
      <c r="HG131"/>
      <c r="HH131"/>
      <c r="HI131" s="10"/>
    </row>
    <row r="132" spans="2:217" s="2" customFormat="1" ht="12.75" customHeight="1" x14ac:dyDescent="0.2">
      <c r="B132" s="91" t="s">
        <v>554</v>
      </c>
      <c r="C132" s="157">
        <v>122</v>
      </c>
      <c r="D132" s="156"/>
      <c r="E132" s="157">
        <v>-166</v>
      </c>
      <c r="F132" s="156"/>
      <c r="G132" s="157">
        <v>35</v>
      </c>
      <c r="H132" s="156"/>
      <c r="I132" s="157">
        <v>117</v>
      </c>
      <c r="J132" s="156"/>
      <c r="K132" s="157">
        <v>-62</v>
      </c>
      <c r="L132" s="156" t="str">
        <f t="shared" si="597"/>
        <v>NM</v>
      </c>
      <c r="M132" s="157">
        <v>-276</v>
      </c>
      <c r="N132" s="156">
        <f t="shared" si="598"/>
        <v>66.265060240963862</v>
      </c>
      <c r="O132" s="157">
        <v>223</v>
      </c>
      <c r="P132" s="156" t="str">
        <f t="shared" si="599"/>
        <v>NM</v>
      </c>
      <c r="Q132" s="157">
        <v>-364</v>
      </c>
      <c r="R132" s="156" t="str">
        <f t="shared" si="600"/>
        <v>NM</v>
      </c>
      <c r="S132" s="157">
        <v>-424</v>
      </c>
      <c r="T132" s="156" t="str">
        <f t="shared" si="601"/>
        <v>NM</v>
      </c>
      <c r="U132" s="157">
        <v>-63</v>
      </c>
      <c r="V132" s="156" t="str">
        <f t="shared" si="602"/>
        <v>NM</v>
      </c>
      <c r="W132" s="157">
        <v>586</v>
      </c>
      <c r="X132" s="156" t="str">
        <f t="shared" si="603"/>
        <v>NM</v>
      </c>
      <c r="Y132" s="157">
        <v>566</v>
      </c>
      <c r="Z132" s="156" t="str">
        <f t="shared" si="604"/>
        <v>NM</v>
      </c>
      <c r="AA132" s="157">
        <v>147</v>
      </c>
      <c r="AB132" s="156" t="str">
        <f t="shared" si="605"/>
        <v>NM</v>
      </c>
      <c r="AC132" s="157">
        <v>973</v>
      </c>
      <c r="AD132" s="156" t="str">
        <f t="shared" si="606"/>
        <v>NM</v>
      </c>
      <c r="AE132" s="157">
        <v>-735</v>
      </c>
      <c r="AF132" s="156" t="str">
        <f t="shared" si="607"/>
        <v>NM</v>
      </c>
      <c r="AG132" s="157">
        <v>-395</v>
      </c>
      <c r="AH132" s="156" t="str">
        <f t="shared" si="608"/>
        <v>NM</v>
      </c>
      <c r="AI132" s="157">
        <v>1060</v>
      </c>
      <c r="AJ132" s="156" t="str">
        <f t="shared" si="609"/>
        <v>NM</v>
      </c>
      <c r="AK132" s="157">
        <v>-1503</v>
      </c>
      <c r="AL132" s="156" t="str">
        <f t="shared" si="610"/>
        <v>NM</v>
      </c>
      <c r="AM132" s="157">
        <v>982</v>
      </c>
      <c r="AN132" s="156" t="str">
        <f t="shared" si="611"/>
        <v>NM</v>
      </c>
      <c r="AO132" s="157">
        <v>250</v>
      </c>
      <c r="AP132" s="156" t="str">
        <f t="shared" si="612"/>
        <v>NM</v>
      </c>
      <c r="AQ132" s="157">
        <v>-528</v>
      </c>
      <c r="AR132" s="156" t="str">
        <f t="shared" si="613"/>
        <v>NM</v>
      </c>
      <c r="AS132" s="157">
        <v>1309</v>
      </c>
      <c r="AT132" s="156" t="str">
        <f t="shared" si="614"/>
        <v>NM</v>
      </c>
      <c r="AU132" s="157">
        <v>26504</v>
      </c>
      <c r="AV132" s="156" t="str">
        <f t="shared" si="615"/>
        <v>NM</v>
      </c>
      <c r="AW132" s="157">
        <v>-714</v>
      </c>
      <c r="AX132" s="156" t="str">
        <f t="shared" si="616"/>
        <v>NM</v>
      </c>
      <c r="AY132" s="157">
        <v>-1428</v>
      </c>
      <c r="AZ132" s="156" t="str">
        <f t="shared" si="617"/>
        <v>NM</v>
      </c>
      <c r="BA132" s="157">
        <v>78</v>
      </c>
      <c r="BB132" s="156" t="str">
        <f t="shared" si="618"/>
        <v>NM</v>
      </c>
      <c r="BC132" s="157">
        <v>285</v>
      </c>
      <c r="BD132" s="156" t="str">
        <f t="shared" si="619"/>
        <v>NM</v>
      </c>
      <c r="BE132" s="157">
        <v>941</v>
      </c>
      <c r="BF132" s="156" t="str">
        <f t="shared" si="620"/>
        <v>NM</v>
      </c>
      <c r="BG132" s="157">
        <v>-59</v>
      </c>
      <c r="BH132" s="156" t="str">
        <f t="shared" si="621"/>
        <v>NM</v>
      </c>
      <c r="BI132" s="157">
        <v>-604</v>
      </c>
      <c r="BJ132" s="156" t="str">
        <f t="shared" si="622"/>
        <v>NM</v>
      </c>
      <c r="BK132" s="157">
        <v>865</v>
      </c>
      <c r="BL132" s="156" t="str">
        <f t="shared" si="623"/>
        <v>NM</v>
      </c>
      <c r="BM132" s="157">
        <v>-151</v>
      </c>
      <c r="BN132" s="98" t="str">
        <f t="shared" si="624"/>
        <v>NM</v>
      </c>
      <c r="BO132" s="101">
        <v>409</v>
      </c>
      <c r="BP132" s="98" t="str">
        <f t="shared" si="625"/>
        <v>NM</v>
      </c>
      <c r="BQ132" s="101">
        <v>-793</v>
      </c>
      <c r="BR132" s="98">
        <f t="shared" si="626"/>
        <v>31.29139072847682</v>
      </c>
      <c r="BS132" s="101">
        <v>-866</v>
      </c>
      <c r="BT132" s="98" t="str">
        <f t="shared" si="627"/>
        <v>NM</v>
      </c>
      <c r="BU132" s="101">
        <f>-7-32+499</f>
        <v>460</v>
      </c>
      <c r="BV132" s="98" t="str">
        <f t="shared" si="628"/>
        <v>NM</v>
      </c>
      <c r="BW132" s="101">
        <f>-13-29-694</f>
        <v>-736</v>
      </c>
      <c r="BX132" s="98" t="str">
        <f t="shared" si="629"/>
        <v>NM</v>
      </c>
      <c r="BY132" s="101">
        <f>-17-36-655</f>
        <v>-708</v>
      </c>
      <c r="BZ132" s="98">
        <f t="shared" si="630"/>
        <v>-10.718789407314</v>
      </c>
      <c r="CA132" s="101">
        <f>-16-30+172</f>
        <v>126</v>
      </c>
      <c r="CB132" s="98" t="str">
        <f t="shared" si="631"/>
        <v>NM</v>
      </c>
      <c r="CC132" s="101">
        <f>58-20-383</f>
        <v>-345</v>
      </c>
      <c r="CD132" s="98" t="str">
        <f t="shared" si="632"/>
        <v>NM</v>
      </c>
      <c r="CE132" s="101">
        <f>16-32-113</f>
        <v>-129</v>
      </c>
      <c r="CF132" s="98" t="str">
        <f t="shared" si="633"/>
        <v>NM</v>
      </c>
      <c r="CG132" s="101">
        <f>-59+-34+909</f>
        <v>816</v>
      </c>
      <c r="CH132" s="98" t="str">
        <f t="shared" si="634"/>
        <v>NM</v>
      </c>
      <c r="CI132" s="101">
        <f>-30+1710-98</f>
        <v>1582</v>
      </c>
      <c r="CJ132" s="98" t="str">
        <f t="shared" si="635"/>
        <v>NM</v>
      </c>
      <c r="CK132" s="101">
        <f>-12-25-2030</f>
        <v>-2067</v>
      </c>
      <c r="CL132" s="98" t="str">
        <f t="shared" si="636"/>
        <v>NM</v>
      </c>
      <c r="CM132" s="101">
        <f>-4-34-306</f>
        <v>-344</v>
      </c>
      <c r="CN132" s="98" t="str">
        <f t="shared" si="637"/>
        <v>NM</v>
      </c>
      <c r="CO132" s="101">
        <f>-4-34+617</f>
        <v>579</v>
      </c>
      <c r="CP132" s="98">
        <f t="shared" si="638"/>
        <v>-29.044117647058819</v>
      </c>
      <c r="CQ132" s="542">
        <f>-12-34+2998</f>
        <v>2952</v>
      </c>
      <c r="CR132" s="98">
        <f t="shared" si="638"/>
        <v>86.599241466498114</v>
      </c>
      <c r="CS132" s="101">
        <f>-31-32+166</f>
        <v>103</v>
      </c>
      <c r="CT132" s="98" t="str">
        <f t="shared" si="638"/>
        <v>NM</v>
      </c>
      <c r="CU132" s="101">
        <f>-5-21-752</f>
        <v>-778</v>
      </c>
      <c r="CV132" s="98" t="str">
        <f t="shared" si="639"/>
        <v>NM</v>
      </c>
      <c r="CW132" s="101">
        <f>-11-31+1426</f>
        <v>1384</v>
      </c>
      <c r="CX132" s="98" t="str">
        <f t="shared" si="640"/>
        <v>NM</v>
      </c>
      <c r="CY132" s="101">
        <f>-11-34+1254</f>
        <v>1209</v>
      </c>
      <c r="CZ132" s="98" t="str">
        <f t="shared" si="641"/>
        <v>NM</v>
      </c>
      <c r="DA132" s="101">
        <f>-11-18-669</f>
        <v>-698</v>
      </c>
      <c r="DB132" s="98" t="str">
        <f t="shared" si="642"/>
        <v>NM</v>
      </c>
      <c r="DC132" s="101">
        <f>5-29-884</f>
        <v>-908</v>
      </c>
      <c r="DD132" s="98">
        <f t="shared" si="643"/>
        <v>16.709511568123393</v>
      </c>
      <c r="DE132" s="101">
        <f>-5-38-3212</f>
        <v>-3255</v>
      </c>
      <c r="DF132" s="98" t="str">
        <f t="shared" si="644"/>
        <v>NM</v>
      </c>
      <c r="DG132" s="101">
        <f>-4-40-766</f>
        <v>-810</v>
      </c>
      <c r="DH132" s="98" t="str">
        <f t="shared" si="645"/>
        <v>NM</v>
      </c>
      <c r="DI132" s="101">
        <f>2-15-364</f>
        <v>-377</v>
      </c>
      <c r="DJ132" s="98">
        <f t="shared" si="646"/>
        <v>-45.98853868194842</v>
      </c>
      <c r="DK132" s="101">
        <f>30-38+477</f>
        <v>469</v>
      </c>
      <c r="DL132" s="98" t="str">
        <f t="shared" si="647"/>
        <v>NM</v>
      </c>
      <c r="DM132" s="101">
        <f>-6-40-2806</f>
        <v>-2852</v>
      </c>
      <c r="DN132" s="98">
        <f t="shared" si="648"/>
        <v>-12.380952380952381</v>
      </c>
      <c r="DO132" s="101">
        <f>10-39-1033</f>
        <v>-1062</v>
      </c>
      <c r="DP132" s="98">
        <f t="shared" si="648"/>
        <v>31.111111111111111</v>
      </c>
      <c r="DQ132" s="101">
        <f>-14+-17+745</f>
        <v>714</v>
      </c>
      <c r="DR132" s="98" t="str">
        <f t="shared" si="648"/>
        <v>NM</v>
      </c>
      <c r="DS132" s="101">
        <f>-1-28-362</f>
        <v>-391</v>
      </c>
      <c r="DT132" s="98" t="str">
        <f t="shared" si="648"/>
        <v>NM</v>
      </c>
      <c r="DU132" s="101">
        <f>5-32-1344</f>
        <v>-1371</v>
      </c>
      <c r="DV132" s="98" t="str">
        <f t="shared" si="648"/>
        <v>NM</v>
      </c>
      <c r="DW132" s="101">
        <f>-12-31-1172</f>
        <v>-1215</v>
      </c>
      <c r="DX132" s="98">
        <f t="shared" si="648"/>
        <v>14.406779661016955</v>
      </c>
      <c r="DY132" s="101">
        <f>4-7-335</f>
        <v>-338</v>
      </c>
      <c r="DZ132" s="98" t="str">
        <f t="shared" si="648"/>
        <v>NM</v>
      </c>
      <c r="EA132" s="101">
        <f>-1-30+1425</f>
        <v>1394</v>
      </c>
      <c r="EB132" s="98" t="str">
        <f t="shared" si="649"/>
        <v>NM</v>
      </c>
      <c r="EC132" s="101">
        <f>-31+784</f>
        <v>753</v>
      </c>
      <c r="ED132" s="98" t="str">
        <f t="shared" si="650"/>
        <v>NM</v>
      </c>
      <c r="EE132" s="101">
        <f>-32+366</f>
        <v>334</v>
      </c>
      <c r="EF132" s="860" t="str">
        <f t="shared" si="651"/>
        <v>NM</v>
      </c>
      <c r="EG132" s="101">
        <f>-4-3092</f>
        <v>-3096</v>
      </c>
      <c r="EH132" s="860" t="str">
        <f t="shared" si="652"/>
        <v>NM</v>
      </c>
      <c r="EI132" s="101">
        <f>-36+88</f>
        <v>52</v>
      </c>
      <c r="EJ132" s="860" t="str">
        <f t="shared" si="653"/>
        <v>NM</v>
      </c>
      <c r="EK132" s="101">
        <f>-31+859</f>
        <v>828</v>
      </c>
      <c r="EL132" s="860">
        <f t="shared" si="654"/>
        <v>9.960159362549792</v>
      </c>
      <c r="EM132" s="101">
        <f>-20+187</f>
        <v>167</v>
      </c>
      <c r="EN132" s="860">
        <f t="shared" si="655"/>
        <v>-50</v>
      </c>
      <c r="EO132" s="101">
        <f>-6+65</f>
        <v>59</v>
      </c>
      <c r="EP132" s="98" t="str">
        <f t="shared" si="656"/>
        <v>NM</v>
      </c>
      <c r="EQ132" s="952">
        <v>0</v>
      </c>
      <c r="ER132" s="98" t="str">
        <f t="shared" si="658"/>
        <v>NM</v>
      </c>
      <c r="ES132" s="952">
        <v>0</v>
      </c>
      <c r="ET132" s="98" t="str">
        <f t="shared" si="660"/>
        <v>NM</v>
      </c>
      <c r="EU132" s="952">
        <v>0</v>
      </c>
      <c r="EV132" s="98" t="str">
        <f t="shared" si="662"/>
        <v>NM</v>
      </c>
      <c r="EW132" s="952">
        <v>0</v>
      </c>
      <c r="EX132" s="98" t="str">
        <f t="shared" si="664"/>
        <v>NM</v>
      </c>
      <c r="EY132" s="121"/>
      <c r="EZ132" s="594"/>
      <c r="FA132" s="405"/>
      <c r="FB132" s="114" t="s">
        <v>494</v>
      </c>
      <c r="FC132" s="98"/>
      <c r="FD132" s="101">
        <v>-2312</v>
      </c>
      <c r="FE132" s="98" t="str">
        <f t="shared" si="665"/>
        <v>NA</v>
      </c>
      <c r="FF132" s="118">
        <f>C132+E132+G132+I132</f>
        <v>108</v>
      </c>
      <c r="FG132" s="98" t="str">
        <f t="shared" si="666"/>
        <v>NM</v>
      </c>
      <c r="FH132" s="248">
        <f>K132+M132+O132+Q132</f>
        <v>-479</v>
      </c>
      <c r="FI132" s="98" t="str">
        <f t="shared" si="667"/>
        <v>NM</v>
      </c>
      <c r="FJ132" s="248">
        <f>S132+U132+W132+Y132</f>
        <v>665</v>
      </c>
      <c r="FK132" s="98" t="str">
        <f t="shared" si="668"/>
        <v>NM</v>
      </c>
      <c r="FL132" s="248">
        <f>AA132+AC132+AE132+AG132</f>
        <v>-10</v>
      </c>
      <c r="FM132" s="98" t="str">
        <f t="shared" si="669"/>
        <v>NM</v>
      </c>
      <c r="FN132" s="248">
        <f>AI132+AK132+AM132+AO132</f>
        <v>789</v>
      </c>
      <c r="FO132" s="98" t="str">
        <f t="shared" si="670"/>
        <v>NM</v>
      </c>
      <c r="FP132" s="248">
        <f>AQ132+AS132+AU132+AW132</f>
        <v>26571</v>
      </c>
      <c r="FQ132" s="98" t="str">
        <f t="shared" si="671"/>
        <v>NM</v>
      </c>
      <c r="FR132" s="119">
        <f>AY132+BA132+BC132+BE132</f>
        <v>-124</v>
      </c>
      <c r="FS132" s="120" t="str">
        <f t="shared" si="672"/>
        <v>NM</v>
      </c>
      <c r="FT132" s="119">
        <f>BG132+BI132+BK132+BM132</f>
        <v>51</v>
      </c>
      <c r="FU132" s="120" t="str">
        <f t="shared" si="673"/>
        <v>NM</v>
      </c>
      <c r="FV132" s="119">
        <f>BO132+BQ132+BS132+BU132</f>
        <v>-790</v>
      </c>
      <c r="FW132" s="98" t="str">
        <f t="shared" si="674"/>
        <v>NM</v>
      </c>
      <c r="FX132" s="485">
        <f>BW132+BY132+CA132+CC132</f>
        <v>-1663</v>
      </c>
      <c r="FY132" s="98" t="str">
        <f t="shared" si="675"/>
        <v>NM</v>
      </c>
      <c r="FZ132" s="119">
        <f>CE132+CG132+CI132+CK132</f>
        <v>202</v>
      </c>
      <c r="GA132" s="98" t="str">
        <f t="shared" si="676"/>
        <v>NM</v>
      </c>
      <c r="GB132" s="485">
        <f>CM132+CO132+CQ132+CS132</f>
        <v>3290</v>
      </c>
      <c r="GC132" s="98" t="str">
        <f t="shared" si="677"/>
        <v>NM</v>
      </c>
      <c r="GD132" s="119">
        <f>CU132+CW132+CY132+DA132</f>
        <v>1117</v>
      </c>
      <c r="GE132" s="98" t="str">
        <f t="shared" si="678"/>
        <v>NM</v>
      </c>
      <c r="GF132" s="119">
        <f>DC132+DE132+DG132+DI132</f>
        <v>-5350</v>
      </c>
      <c r="GG132" s="98" t="str">
        <f t="shared" si="678"/>
        <v>NM</v>
      </c>
      <c r="GH132" s="119">
        <f>DK132+DM132+DO132+DQ132</f>
        <v>-2731</v>
      </c>
      <c r="GI132" s="98">
        <f t="shared" si="678"/>
        <v>-48.953271028037385</v>
      </c>
      <c r="GJ132" s="119">
        <f>DS132+DU132+DW132+DY132</f>
        <v>-3315</v>
      </c>
      <c r="GK132" s="98">
        <f t="shared" si="678"/>
        <v>21.384108385206879</v>
      </c>
      <c r="GL132" s="119">
        <f>EA132+EC132+EE132+EG132</f>
        <v>-615</v>
      </c>
      <c r="GM132" s="98" t="str">
        <f t="shared" si="678"/>
        <v>NM</v>
      </c>
      <c r="GN132" s="119">
        <f>EI132+EK132+EM132+EO132</f>
        <v>1106</v>
      </c>
      <c r="GO132" s="98" t="str">
        <f t="shared" si="678"/>
        <v>NM</v>
      </c>
      <c r="GP132" s="119">
        <f>EQ132+ES132+EU132+EW132</f>
        <v>0</v>
      </c>
      <c r="GQ132" s="98" t="str">
        <f t="shared" si="678"/>
        <v>NM</v>
      </c>
      <c r="GR132" s="121">
        <v>0</v>
      </c>
      <c r="GS132" s="98" t="str">
        <f t="shared" si="678"/>
        <v>NA</v>
      </c>
      <c r="GT132" s="121">
        <v>0</v>
      </c>
      <c r="GU132" s="98" t="str">
        <f t="shared" si="678"/>
        <v>NA</v>
      </c>
      <c r="GV132" s="121">
        <v>0</v>
      </c>
      <c r="GW132" s="98" t="str">
        <f t="shared" si="678"/>
        <v>NA</v>
      </c>
      <c r="GX132" s="121">
        <v>0</v>
      </c>
      <c r="GY132" s="98" t="str">
        <f t="shared" si="679"/>
        <v>NA</v>
      </c>
      <c r="GZ132" s="98" t="str">
        <f t="shared" si="680"/>
        <v>NM</v>
      </c>
      <c r="HA132" s="98"/>
      <c r="HB132" s="10"/>
      <c r="HC132"/>
      <c r="HD132"/>
      <c r="HE132"/>
      <c r="HF132"/>
      <c r="HG132"/>
      <c r="HH132"/>
      <c r="HI132" s="10"/>
    </row>
    <row r="133" spans="2:217" s="2" customFormat="1" ht="12.75" customHeight="1" x14ac:dyDescent="0.2">
      <c r="B133" s="91" t="s">
        <v>54</v>
      </c>
      <c r="C133" s="155">
        <f>SUM(C127:C132)</f>
        <v>31346</v>
      </c>
      <c r="D133" s="156"/>
      <c r="E133" s="155">
        <f>SUM(E127:E132)</f>
        <v>31635</v>
      </c>
      <c r="F133" s="156"/>
      <c r="G133" s="155">
        <f>SUM(G127:G132)</f>
        <v>31489</v>
      </c>
      <c r="H133" s="156"/>
      <c r="I133" s="155">
        <f>SUM(I127:I132)</f>
        <v>32004</v>
      </c>
      <c r="J133" s="156"/>
      <c r="K133" s="155">
        <f>SUM(K127:K132)</f>
        <v>32575</v>
      </c>
      <c r="L133" s="156">
        <f t="shared" si="597"/>
        <v>3.9207554392904909</v>
      </c>
      <c r="M133" s="155">
        <f>SUM(M127:M132)</f>
        <v>32201</v>
      </c>
      <c r="N133" s="156">
        <f t="shared" si="598"/>
        <v>1.789157578631273</v>
      </c>
      <c r="O133" s="155">
        <f>SUM(O127:O132)</f>
        <v>33336</v>
      </c>
      <c r="P133" s="156">
        <f t="shared" si="599"/>
        <v>5.865540347422904</v>
      </c>
      <c r="Q133" s="155">
        <f>SUM(Q127:Q132)</f>
        <v>33502</v>
      </c>
      <c r="R133" s="156">
        <f t="shared" si="600"/>
        <v>4.6806649168853909</v>
      </c>
      <c r="S133" s="155">
        <f>SUM(S127:S132)</f>
        <v>33313</v>
      </c>
      <c r="T133" s="156">
        <f t="shared" si="601"/>
        <v>2.2655410590944003</v>
      </c>
      <c r="U133" s="155">
        <f>SUM(U127:U132)</f>
        <v>34618</v>
      </c>
      <c r="V133" s="156">
        <f t="shared" si="602"/>
        <v>7.5059780752150473</v>
      </c>
      <c r="W133" s="155">
        <f>SUM(W127:W132)</f>
        <v>35553</v>
      </c>
      <c r="X133" s="156">
        <f t="shared" si="603"/>
        <v>6.6504679625629892</v>
      </c>
      <c r="Y133" s="155">
        <f>SUM(Y127:Y132)</f>
        <v>35548</v>
      </c>
      <c r="Z133" s="156">
        <f t="shared" si="604"/>
        <v>6.1070980836964939</v>
      </c>
      <c r="AA133" s="155">
        <f>SUM(AA127:AA132)</f>
        <v>36206</v>
      </c>
      <c r="AB133" s="156">
        <f t="shared" si="605"/>
        <v>8.6842974214270683</v>
      </c>
      <c r="AC133" s="155">
        <f>SUM(AC127:AC132)</f>
        <v>39111</v>
      </c>
      <c r="AD133" s="156">
        <f t="shared" si="606"/>
        <v>12.978797157548104</v>
      </c>
      <c r="AE133" s="155">
        <f>SUM(AE127:AE132)</f>
        <v>40191</v>
      </c>
      <c r="AF133" s="156">
        <f t="shared" si="607"/>
        <v>13.045312631845407</v>
      </c>
      <c r="AG133" s="155">
        <f>SUM(AG127:AG132)</f>
        <v>40298</v>
      </c>
      <c r="AH133" s="156">
        <f t="shared" si="608"/>
        <v>13.362214470574996</v>
      </c>
      <c r="AI133" s="155">
        <f>SUM(AI127:AI132)</f>
        <v>42634</v>
      </c>
      <c r="AJ133" s="156">
        <f t="shared" si="609"/>
        <v>17.753963431475441</v>
      </c>
      <c r="AK133" s="155">
        <f>SUM(AK127:AK132)</f>
        <v>42287</v>
      </c>
      <c r="AL133" s="156">
        <f t="shared" si="610"/>
        <v>8.1204776149932165</v>
      </c>
      <c r="AM133" s="155">
        <f>SUM(AM127:AM132)</f>
        <v>46332</v>
      </c>
      <c r="AN133" s="156">
        <f t="shared" si="611"/>
        <v>15.279540195566167</v>
      </c>
      <c r="AO133" s="155">
        <f>SUM(AO127:AO132)</f>
        <v>47758</v>
      </c>
      <c r="AP133" s="156">
        <f t="shared" si="612"/>
        <v>18.512084966995879</v>
      </c>
      <c r="AQ133" s="155">
        <f>SUM(AQ127:AQ132)</f>
        <v>49233</v>
      </c>
      <c r="AR133" s="156">
        <f t="shared" si="613"/>
        <v>15.478256790355104</v>
      </c>
      <c r="AS133" s="155">
        <f>SUM(AS127:AS132)</f>
        <v>51020</v>
      </c>
      <c r="AT133" s="156">
        <f t="shared" si="614"/>
        <v>20.651736940430876</v>
      </c>
      <c r="AU133" s="155">
        <f>SUM(AU127:AU132)</f>
        <v>77933</v>
      </c>
      <c r="AV133" s="156">
        <f t="shared" si="615"/>
        <v>68.205559872226544</v>
      </c>
      <c r="AW133" s="155">
        <f>SUM(AW127:AW132)</f>
        <v>78405</v>
      </c>
      <c r="AX133" s="156">
        <f t="shared" si="616"/>
        <v>64.171447715565975</v>
      </c>
      <c r="AY133" s="155">
        <f>SUM(AY127:AY132)</f>
        <v>78252</v>
      </c>
      <c r="AZ133" s="156">
        <f t="shared" si="617"/>
        <v>58.942172932788985</v>
      </c>
      <c r="BA133" s="155">
        <f>SUM(BA127:BA132)</f>
        <v>79406</v>
      </c>
      <c r="BB133" s="156">
        <f t="shared" si="618"/>
        <v>55.637005096040767</v>
      </c>
      <c r="BC133" s="155">
        <f>SUM(BC127:BC132)</f>
        <v>81440</v>
      </c>
      <c r="BD133" s="156">
        <f t="shared" si="619"/>
        <v>4.5000192473021672</v>
      </c>
      <c r="BE133" s="155">
        <f>SUM(BE127:BE132)</f>
        <v>84035</v>
      </c>
      <c r="BF133" s="156">
        <f t="shared" si="620"/>
        <v>7.1806644984375945</v>
      </c>
      <c r="BG133" s="155">
        <f>SUM(BG127:BG132)</f>
        <v>85118</v>
      </c>
      <c r="BH133" s="156">
        <f t="shared" si="621"/>
        <v>8.7742166334406679</v>
      </c>
      <c r="BI133" s="155">
        <f>SUM(BI127:BI132)</f>
        <v>89209</v>
      </c>
      <c r="BJ133" s="156">
        <f t="shared" si="622"/>
        <v>12.345414704178514</v>
      </c>
      <c r="BK133" s="155">
        <f>SUM(BK127:BK132)</f>
        <v>91401</v>
      </c>
      <c r="BL133" s="156">
        <f t="shared" si="623"/>
        <v>12.231090373280939</v>
      </c>
      <c r="BM133" s="155">
        <f>SUM(BM127:BM132)</f>
        <v>89533</v>
      </c>
      <c r="BN133" s="98">
        <f t="shared" si="624"/>
        <v>6.5425120485512078</v>
      </c>
      <c r="BO133" s="117">
        <f>SUM(BO127:BO132)</f>
        <v>92653</v>
      </c>
      <c r="BP133" s="98">
        <f t="shared" si="625"/>
        <v>8.8524166451279473</v>
      </c>
      <c r="BQ133" s="117">
        <f>SUM(BQ127:BQ132)</f>
        <v>94202</v>
      </c>
      <c r="BR133" s="98">
        <f t="shared" si="626"/>
        <v>5.5969689156923685</v>
      </c>
      <c r="BS133" s="117">
        <f>SUM(BS127:BS132)</f>
        <v>95834</v>
      </c>
      <c r="BT133" s="98">
        <f t="shared" si="627"/>
        <v>4.8500563451165712</v>
      </c>
      <c r="BU133" s="117">
        <f>SUM(BU127:BU132)</f>
        <v>107091</v>
      </c>
      <c r="BV133" s="98">
        <f t="shared" si="628"/>
        <v>19.610646353858364</v>
      </c>
      <c r="BW133" s="117">
        <f>SUM(BW127:BW132)</f>
        <v>101662</v>
      </c>
      <c r="BX133" s="98">
        <f t="shared" si="629"/>
        <v>9.7233764691915034</v>
      </c>
      <c r="BY133" s="117">
        <f>SUM(BY127:BY132)</f>
        <v>99652</v>
      </c>
      <c r="BZ133" s="98">
        <f t="shared" si="630"/>
        <v>5.785439799579617</v>
      </c>
      <c r="CA133" s="117">
        <f>SUM(CA127:CA132)</f>
        <v>97897</v>
      </c>
      <c r="CB133" s="98">
        <f t="shared" si="631"/>
        <v>2.1526806770039819</v>
      </c>
      <c r="CC133" s="117">
        <f>SUM(CC127:CC132)</f>
        <v>92899</v>
      </c>
      <c r="CD133" s="98">
        <f t="shared" si="632"/>
        <v>-13.252280770559622</v>
      </c>
      <c r="CE133" s="117">
        <f>SUM(CE127:CE132)</f>
        <v>95796</v>
      </c>
      <c r="CF133" s="98">
        <f t="shared" si="633"/>
        <v>-5.7701009226652999</v>
      </c>
      <c r="CG133" s="117">
        <f>SUM(CG127:CG132)</f>
        <v>95475</v>
      </c>
      <c r="CH133" s="98">
        <f t="shared" si="634"/>
        <v>-4.1915867217918397</v>
      </c>
      <c r="CI133" s="117">
        <f>SUM(CI127:CI132)</f>
        <v>97929</v>
      </c>
      <c r="CJ133" s="98">
        <f t="shared" si="635"/>
        <v>3.2687416366172783E-2</v>
      </c>
      <c r="CK133" s="117">
        <f>SUM(CK127:CK132)</f>
        <v>96960</v>
      </c>
      <c r="CL133" s="98">
        <f t="shared" si="636"/>
        <v>4.3714141164059805</v>
      </c>
      <c r="CM133" s="117">
        <f>SUM(CM127:CM132)</f>
        <v>103328</v>
      </c>
      <c r="CN133" s="98">
        <f t="shared" si="637"/>
        <v>7.8625412334544231</v>
      </c>
      <c r="CO133" s="117">
        <f>SUM(CO127:CO132)</f>
        <v>104538</v>
      </c>
      <c r="CP133" s="98">
        <f t="shared" si="638"/>
        <v>9.492537313432825</v>
      </c>
      <c r="CQ133" s="486">
        <f>SUM(CQ127:CQ132)</f>
        <v>104585</v>
      </c>
      <c r="CR133" s="98">
        <f t="shared" si="638"/>
        <v>6.7967609186247113</v>
      </c>
      <c r="CS133" s="117">
        <f>SUM(CS127:CS132)</f>
        <v>106024</v>
      </c>
      <c r="CT133" s="98">
        <f t="shared" si="638"/>
        <v>9.3481848184818528</v>
      </c>
      <c r="CU133" s="117">
        <f>SUM(CU127:CU132)</f>
        <v>108339</v>
      </c>
      <c r="CV133" s="98">
        <f t="shared" si="639"/>
        <v>4.8496051409105068</v>
      </c>
      <c r="CW133" s="117">
        <f>SUM(CW127:CW132)</f>
        <v>114430</v>
      </c>
      <c r="CX133" s="98">
        <f t="shared" si="640"/>
        <v>9.4625877671277401</v>
      </c>
      <c r="CY133" s="117">
        <f>SUM(CY127:CY132)</f>
        <v>116659</v>
      </c>
      <c r="CZ133" s="98">
        <f t="shared" si="641"/>
        <v>11.544676578859292</v>
      </c>
      <c r="DA133" s="117">
        <f>SUM(DA127:DA132)</f>
        <v>116910</v>
      </c>
      <c r="DB133" s="98">
        <f t="shared" si="642"/>
        <v>10.26748660680601</v>
      </c>
      <c r="DC133" s="117">
        <f>SUM(DC127:DC132)</f>
        <v>119187</v>
      </c>
      <c r="DD133" s="98">
        <f t="shared" si="643"/>
        <v>10.013014703846256</v>
      </c>
      <c r="DE133" s="117">
        <f>SUM(DE127:DE132)</f>
        <v>112395</v>
      </c>
      <c r="DF133" s="98">
        <f t="shared" si="644"/>
        <v>-1.778379795508167</v>
      </c>
      <c r="DG133" s="117">
        <f>SUM(DG127:DG132)</f>
        <v>111203</v>
      </c>
      <c r="DH133" s="98">
        <f t="shared" si="645"/>
        <v>-4.676878766318926</v>
      </c>
      <c r="DI133" s="117">
        <f>SUM(DI127:DI132)</f>
        <v>112454</v>
      </c>
      <c r="DJ133" s="98">
        <f t="shared" si="646"/>
        <v>-3.8114789154050088</v>
      </c>
      <c r="DK133" s="117">
        <f>SUM(DK127:DK132)</f>
        <v>110073</v>
      </c>
      <c r="DL133" s="98">
        <f t="shared" si="647"/>
        <v>-7.6468071182259845</v>
      </c>
      <c r="DM133" s="117">
        <f>SUM(DM127:DM132)</f>
        <v>111317</v>
      </c>
      <c r="DN133" s="98">
        <f t="shared" si="648"/>
        <v>-0.95911739846078481</v>
      </c>
      <c r="DO133" s="117">
        <f>SUM(DO127:DO132)</f>
        <v>113467</v>
      </c>
      <c r="DP133" s="98">
        <f t="shared" si="648"/>
        <v>2.0359162972221956</v>
      </c>
      <c r="DQ133" s="117">
        <f>SUM(DQ127:DQ132)</f>
        <v>115295</v>
      </c>
      <c r="DR133" s="98">
        <f t="shared" si="648"/>
        <v>2.526366336457575</v>
      </c>
      <c r="DS133" s="117">
        <f>SUM(DS127:DS132)</f>
        <v>98618</v>
      </c>
      <c r="DT133" s="98">
        <f t="shared" si="648"/>
        <v>-10.4067300791293</v>
      </c>
      <c r="DU133" s="117">
        <f>SUM(DU127:DU132)</f>
        <v>96646</v>
      </c>
      <c r="DV133" s="98">
        <f t="shared" si="648"/>
        <v>-13.179478426475743</v>
      </c>
      <c r="DW133" s="117">
        <f>SUM(DW127:DW132)</f>
        <v>94969</v>
      </c>
      <c r="DX133" s="98">
        <f t="shared" si="648"/>
        <v>-16.302537301594299</v>
      </c>
      <c r="DY133" s="117">
        <f>SUM(DY127:DY132)</f>
        <v>96194</v>
      </c>
      <c r="DZ133" s="98">
        <f t="shared" si="648"/>
        <v>-16.56706708877228</v>
      </c>
      <c r="EA133" s="117">
        <f>SUM(EA127:EA132)</f>
        <v>98304</v>
      </c>
      <c r="EB133" s="98">
        <f t="shared" si="649"/>
        <v>-0.31840029203593634</v>
      </c>
      <c r="EC133" s="117">
        <f>SUM(EC127:EC132)</f>
        <v>99421</v>
      </c>
      <c r="ED133" s="98">
        <f t="shared" si="650"/>
        <v>2.8713035200629067</v>
      </c>
      <c r="EE133" s="117">
        <f>SUM(EE127:EE132)</f>
        <v>102036</v>
      </c>
      <c r="EF133" s="860">
        <f t="shared" si="651"/>
        <v>7.4413756067769565</v>
      </c>
      <c r="EG133" s="117">
        <f>SUM(EG127:EG132)</f>
        <v>101567</v>
      </c>
      <c r="EH133" s="860">
        <f t="shared" si="652"/>
        <v>5.5855874586772547</v>
      </c>
      <c r="EI133" s="117">
        <f>SUM(EI127:EI132)</f>
        <v>102599</v>
      </c>
      <c r="EJ133" s="860">
        <f t="shared" si="653"/>
        <v>4.3690999348958259</v>
      </c>
      <c r="EK133" s="117">
        <f>SUM(EK127:EK132)</f>
        <v>103417</v>
      </c>
      <c r="EL133" s="860">
        <f t="shared" si="654"/>
        <v>4.019271582462447</v>
      </c>
      <c r="EM133" s="117">
        <f>SUM(EM127:EM132)</f>
        <v>107296</v>
      </c>
      <c r="EN133" s="860">
        <f t="shared" si="655"/>
        <v>5.1550433180446165</v>
      </c>
      <c r="EO133" s="117">
        <f>SUM(EO127:EO132)</f>
        <v>108147</v>
      </c>
      <c r="EP133" s="98">
        <f t="shared" si="656"/>
        <v>6.4784821841739948</v>
      </c>
      <c r="EQ133" s="792">
        <f t="shared" ref="EQ133" si="696">SUM(EQ127:EQ132)</f>
        <v>108777.37109580974</v>
      </c>
      <c r="ER133" s="98">
        <f t="shared" si="658"/>
        <v>6.0218628795697171</v>
      </c>
      <c r="ES133" s="792">
        <f t="shared" ref="ES133" si="697">SUM(ES127:ES132)</f>
        <v>109309.84482846492</v>
      </c>
      <c r="ET133" s="98">
        <f t="shared" si="660"/>
        <v>5.6981394049961942</v>
      </c>
      <c r="EU133" s="792">
        <f t="shared" ref="EU133" si="698">SUM(EU127:EU132)</f>
        <v>109759.84924963393</v>
      </c>
      <c r="EV133" s="98">
        <f t="shared" si="662"/>
        <v>2.2963104399361889</v>
      </c>
      <c r="EW133" s="792">
        <f t="shared" ref="EW133" si="699">SUM(EW127:EW132)</f>
        <v>110140.38004557598</v>
      </c>
      <c r="EX133" s="98">
        <f t="shared" si="664"/>
        <v>1.8432134461205285</v>
      </c>
      <c r="EY133" s="118"/>
      <c r="EZ133" s="594"/>
      <c r="FA133" s="405"/>
      <c r="FB133" s="121">
        <v>34332</v>
      </c>
      <c r="FC133" s="98"/>
      <c r="FD133" s="117">
        <f>SUM(FD127:FD132)</f>
        <v>31570</v>
      </c>
      <c r="FE133" s="98">
        <f t="shared" si="665"/>
        <v>-8.0449726202959315</v>
      </c>
      <c r="FF133" s="118">
        <f>SUM(FF127:FF132)</f>
        <v>32003</v>
      </c>
      <c r="FG133" s="98">
        <f t="shared" si="666"/>
        <v>1.3715552739943071</v>
      </c>
      <c r="FH133" s="118">
        <f>SUM(FH127:FH132)</f>
        <v>33501</v>
      </c>
      <c r="FI133" s="98">
        <f t="shared" si="667"/>
        <v>4.6808111739524483</v>
      </c>
      <c r="FJ133" s="118">
        <f>SUM(FJ127:FJ132)</f>
        <v>35547</v>
      </c>
      <c r="FK133" s="98">
        <f t="shared" si="668"/>
        <v>6.1072803796901498</v>
      </c>
      <c r="FL133" s="118">
        <f>+AG133</f>
        <v>40298</v>
      </c>
      <c r="FM133" s="98">
        <f t="shared" si="669"/>
        <v>13.365403550229281</v>
      </c>
      <c r="FN133" s="118">
        <f>SUM(FN127:FN132)</f>
        <v>45911</v>
      </c>
      <c r="FO133" s="98">
        <f t="shared" si="670"/>
        <v>13.928730954389801</v>
      </c>
      <c r="FP133" s="118">
        <f>SUM(FP127:FP132)</f>
        <v>76558</v>
      </c>
      <c r="FQ133" s="98">
        <f t="shared" si="671"/>
        <v>66.753065714099023</v>
      </c>
      <c r="FR133" s="119">
        <f>SUM(FR127:FR132)</f>
        <v>84035</v>
      </c>
      <c r="FS133" s="120">
        <f t="shared" si="672"/>
        <v>9.7664515791948681</v>
      </c>
      <c r="FT133" s="119">
        <f>SUM(FT127:FT132)</f>
        <v>89533</v>
      </c>
      <c r="FU133" s="120">
        <f t="shared" si="673"/>
        <v>6.5425120485512078</v>
      </c>
      <c r="FV133" s="119">
        <f>SUM(FV127:FV132)</f>
        <v>101113</v>
      </c>
      <c r="FW133" s="98">
        <f t="shared" si="674"/>
        <v>12.933778606770696</v>
      </c>
      <c r="FX133" s="485">
        <f>SUM(FX127:FX132)</f>
        <v>91161</v>
      </c>
      <c r="FY133" s="98">
        <f t="shared" si="675"/>
        <v>-9.8424534926270564</v>
      </c>
      <c r="FZ133" s="119">
        <f>SUM(FZ127:FZ132)</f>
        <v>95222</v>
      </c>
      <c r="GA133" s="98">
        <f t="shared" si="676"/>
        <v>4.4547558714801205</v>
      </c>
      <c r="GB133" s="481">
        <f>CS133</f>
        <v>106024</v>
      </c>
      <c r="GC133" s="98">
        <f t="shared" si="677"/>
        <v>11.344017138896479</v>
      </c>
      <c r="GD133" s="119">
        <f>SUM(GD127:GD132)</f>
        <v>116910</v>
      </c>
      <c r="GE133" s="98">
        <f t="shared" si="678"/>
        <v>10.26748660680601</v>
      </c>
      <c r="GF133" s="119">
        <f>SUM(GF127:GF132)</f>
        <v>112454</v>
      </c>
      <c r="GG133" s="98">
        <f t="shared" si="678"/>
        <v>-3.8114789154050088</v>
      </c>
      <c r="GH133" s="119">
        <f>SUM(GH127:GH132)</f>
        <v>115295</v>
      </c>
      <c r="GI133" s="98">
        <f t="shared" si="678"/>
        <v>2.526366336457575</v>
      </c>
      <c r="GJ133" s="119">
        <f>SUM(GJ127:GJ132)</f>
        <v>96194</v>
      </c>
      <c r="GK133" s="98">
        <f t="shared" si="678"/>
        <v>-16.56706708877228</v>
      </c>
      <c r="GL133" s="119">
        <f>SUM(GL127:GL132)</f>
        <v>101567</v>
      </c>
      <c r="GM133" s="98">
        <f t="shared" si="678"/>
        <v>5.5855874586772547</v>
      </c>
      <c r="GN133" s="119">
        <f>SUM(GN127:GN132)</f>
        <v>108147</v>
      </c>
      <c r="GO133" s="98">
        <f t="shared" si="678"/>
        <v>6.4784821841739948</v>
      </c>
      <c r="GP133" s="119">
        <f>SUM(GP127:GP132)</f>
        <v>110140.38004557599</v>
      </c>
      <c r="GQ133" s="98">
        <f t="shared" si="678"/>
        <v>1.8432134461205507</v>
      </c>
      <c r="GR133" s="118">
        <f>SUM(GR127:GR132)</f>
        <v>115015.74623071653</v>
      </c>
      <c r="GS133" s="98">
        <f t="shared" si="678"/>
        <v>4.4265020541268463</v>
      </c>
      <c r="GT133" s="118">
        <f>SUM(GT127:GT132)</f>
        <v>121227.55609666294</v>
      </c>
      <c r="GU133" s="98">
        <f t="shared" si="678"/>
        <v>5.4008342940155218</v>
      </c>
      <c r="GV133" s="118">
        <f>SUM(GV127:GV132)</f>
        <v>128189.77924880585</v>
      </c>
      <c r="GW133" s="98">
        <f t="shared" si="678"/>
        <v>5.7431027864584205</v>
      </c>
      <c r="GX133" s="118">
        <f>SUM(GX127:GX132)</f>
        <v>135703.87918823204</v>
      </c>
      <c r="GY133" s="98">
        <f t="shared" si="679"/>
        <v>5.8616997263424064</v>
      </c>
      <c r="GZ133" s="98">
        <f t="shared" si="680"/>
        <v>4.6442951743695726</v>
      </c>
      <c r="HA133" s="98"/>
      <c r="HB133" s="10"/>
      <c r="HC133"/>
      <c r="HD133"/>
      <c r="HE133"/>
      <c r="HF133"/>
      <c r="HG133"/>
      <c r="HH133"/>
      <c r="HI133" s="10"/>
    </row>
    <row r="134" spans="2:217" s="2" customFormat="1" ht="12.75" customHeight="1" x14ac:dyDescent="0.2">
      <c r="C134" s="167"/>
      <c r="D134" s="168"/>
      <c r="E134" s="167"/>
      <c r="F134" s="168"/>
      <c r="G134" s="167"/>
      <c r="H134" s="168"/>
      <c r="I134" s="167"/>
      <c r="J134" s="156"/>
      <c r="K134" s="167"/>
      <c r="L134" s="156"/>
      <c r="M134" s="167"/>
      <c r="N134" s="156"/>
      <c r="O134" s="167"/>
      <c r="P134" s="156"/>
      <c r="Q134" s="167"/>
      <c r="R134" s="156"/>
      <c r="S134" s="249"/>
      <c r="T134" s="156"/>
      <c r="U134" s="249"/>
      <c r="V134" s="156"/>
      <c r="W134" s="249"/>
      <c r="X134" s="156"/>
      <c r="Y134" s="167"/>
      <c r="Z134" s="156"/>
      <c r="AA134" s="249"/>
      <c r="AB134" s="156"/>
      <c r="AC134" s="249"/>
      <c r="AD134" s="156"/>
      <c r="AE134" s="249"/>
      <c r="AF134" s="156"/>
      <c r="AG134" s="249"/>
      <c r="AH134" s="156"/>
      <c r="AI134" s="249"/>
      <c r="AJ134" s="156"/>
      <c r="AK134" s="249"/>
      <c r="AL134" s="156"/>
      <c r="AM134" s="249"/>
      <c r="AN134" s="156"/>
      <c r="AO134" s="249"/>
      <c r="AP134" s="156"/>
      <c r="AQ134" s="249"/>
      <c r="AR134" s="156"/>
      <c r="AS134" s="249"/>
      <c r="AT134" s="156"/>
      <c r="AU134" s="249"/>
      <c r="AV134" s="156"/>
      <c r="AW134" s="249"/>
      <c r="AX134" s="156"/>
      <c r="AY134" s="249"/>
      <c r="AZ134" s="156"/>
      <c r="BA134" s="249"/>
      <c r="BB134" s="156"/>
      <c r="BC134" s="249"/>
      <c r="BD134" s="156"/>
      <c r="BE134" s="249"/>
      <c r="BF134" s="156"/>
      <c r="BG134" s="249"/>
      <c r="BH134" s="156"/>
      <c r="BI134" s="249"/>
      <c r="BJ134" s="156"/>
      <c r="BK134" s="249"/>
      <c r="BL134" s="156"/>
      <c r="BM134" s="249"/>
      <c r="BN134" s="98"/>
      <c r="BO134" s="24"/>
      <c r="BP134" s="98"/>
      <c r="BQ134" s="24"/>
      <c r="BR134" s="98"/>
      <c r="BS134" s="24"/>
      <c r="BT134" s="98"/>
      <c r="BU134" s="24"/>
      <c r="BV134" s="98"/>
      <c r="BW134" s="24"/>
      <c r="BX134" s="98"/>
      <c r="BY134" s="24"/>
      <c r="BZ134" s="98"/>
      <c r="CA134" s="24"/>
      <c r="CB134" s="98"/>
      <c r="CC134" s="24"/>
      <c r="CD134" s="98"/>
      <c r="CE134" s="24"/>
      <c r="CF134" s="98"/>
      <c r="CG134" s="24"/>
      <c r="CH134" s="98"/>
      <c r="CI134" s="24"/>
      <c r="CJ134" s="98"/>
      <c r="CK134" s="24"/>
      <c r="CL134" s="98"/>
      <c r="CM134" s="24"/>
      <c r="CN134" s="98"/>
      <c r="CO134" s="24"/>
      <c r="CP134" s="98"/>
      <c r="CQ134" s="470"/>
      <c r="CR134" s="98"/>
      <c r="CS134" s="24"/>
      <c r="CT134" s="98"/>
      <c r="CU134" s="24"/>
      <c r="CV134" s="98"/>
      <c r="CW134" s="24"/>
      <c r="CX134" s="98"/>
      <c r="CY134" s="24"/>
      <c r="CZ134" s="98"/>
      <c r="DA134" s="24"/>
      <c r="DB134" s="98"/>
      <c r="DC134" s="24"/>
      <c r="DD134" s="98"/>
      <c r="DE134" s="24"/>
      <c r="DF134" s="98"/>
      <c r="DG134" s="24"/>
      <c r="DH134" s="98"/>
      <c r="DI134" s="24"/>
      <c r="DJ134" s="98"/>
      <c r="DK134" s="24"/>
      <c r="DL134" s="98"/>
      <c r="DM134" s="24"/>
      <c r="DN134" s="98"/>
      <c r="DO134" s="24"/>
      <c r="DP134" s="98"/>
      <c r="DQ134" s="24"/>
      <c r="DR134" s="98"/>
      <c r="DS134" s="24"/>
      <c r="DT134" s="98"/>
      <c r="DU134" s="24"/>
      <c r="DV134" s="98"/>
      <c r="DW134" s="24"/>
      <c r="DX134" s="98"/>
      <c r="DY134" s="24"/>
      <c r="DZ134" s="98"/>
      <c r="EA134" s="24"/>
      <c r="EB134" s="98"/>
      <c r="EC134" s="24"/>
      <c r="ED134" s="98"/>
      <c r="EE134" s="24"/>
      <c r="EF134" s="860"/>
      <c r="EG134" s="24"/>
      <c r="EH134" s="860"/>
      <c r="EI134" s="24"/>
      <c r="EJ134" s="860"/>
      <c r="EK134" s="24"/>
      <c r="EL134" s="860"/>
      <c r="EM134" s="24"/>
      <c r="EN134" s="860"/>
      <c r="EO134" s="24"/>
      <c r="EP134" s="98"/>
      <c r="EQ134" s="1009"/>
      <c r="ER134" s="98"/>
      <c r="ES134" s="1009"/>
      <c r="ET134" s="98"/>
      <c r="EU134" s="1009"/>
      <c r="EV134" s="98"/>
      <c r="EW134" s="1009"/>
      <c r="EX134" s="98"/>
      <c r="EY134" s="250"/>
      <c r="EZ134" s="594"/>
      <c r="FA134" s="405"/>
      <c r="FC134" s="11"/>
      <c r="FE134" s="442"/>
      <c r="FF134" s="251"/>
      <c r="FG134" s="442"/>
      <c r="FH134" s="251"/>
      <c r="FI134" s="442"/>
      <c r="FJ134" s="251"/>
      <c r="FK134" s="442"/>
      <c r="FL134" s="251"/>
      <c r="FM134" s="442"/>
      <c r="FN134" s="251"/>
      <c r="FO134" s="442"/>
      <c r="FP134" s="251"/>
      <c r="FQ134" s="442"/>
      <c r="FR134" s="250"/>
      <c r="FS134" s="453"/>
      <c r="FT134" s="250"/>
      <c r="FU134" s="453"/>
      <c r="FV134" s="250"/>
      <c r="FW134" s="98"/>
      <c r="FX134" s="514"/>
      <c r="FY134" s="98"/>
      <c r="FZ134" s="250"/>
      <c r="GA134" s="98"/>
      <c r="GB134" s="514"/>
      <c r="GC134" s="98"/>
      <c r="GD134" s="250"/>
      <c r="GE134" s="98"/>
      <c r="GF134" s="250"/>
      <c r="GG134" s="98"/>
      <c r="GH134" s="250"/>
      <c r="GI134" s="98"/>
      <c r="GJ134" s="250"/>
      <c r="GK134" s="98"/>
      <c r="GL134" s="250"/>
      <c r="GM134" s="98"/>
      <c r="GN134" s="250"/>
      <c r="GO134" s="98"/>
      <c r="GP134" s="250"/>
      <c r="GQ134" s="98"/>
      <c r="GR134" s="250"/>
      <c r="GS134" s="98"/>
      <c r="GT134" s="250"/>
      <c r="GU134" s="98"/>
      <c r="GV134" s="250"/>
      <c r="GW134" s="98"/>
      <c r="GX134" s="250"/>
      <c r="GY134" s="98"/>
      <c r="GZ134" s="98"/>
      <c r="HA134" s="98"/>
      <c r="HB134" s="10"/>
      <c r="HC134"/>
      <c r="HD134"/>
      <c r="HE134"/>
      <c r="HF134"/>
      <c r="HG134"/>
      <c r="HH134"/>
      <c r="HI134" s="10"/>
    </row>
    <row r="135" spans="2:217" s="2" customFormat="1" ht="12.75" customHeight="1" x14ac:dyDescent="0.2">
      <c r="B135" s="91" t="s">
        <v>245</v>
      </c>
      <c r="C135" s="155">
        <f>AVERAGE(C133,FD133)</f>
        <v>31458</v>
      </c>
      <c r="D135" s="156"/>
      <c r="E135" s="155">
        <f>AVERAGE(E133,C133)</f>
        <v>31490.5</v>
      </c>
      <c r="F135" s="156"/>
      <c r="G135" s="155">
        <f>AVERAGE(G133,E133)</f>
        <v>31562</v>
      </c>
      <c r="H135" s="156"/>
      <c r="I135" s="155">
        <f>AVERAGE(I133,G133)</f>
        <v>31746.5</v>
      </c>
      <c r="J135" s="156"/>
      <c r="K135" s="155">
        <f>AVERAGE(K133,I133)</f>
        <v>32289.5</v>
      </c>
      <c r="L135" s="156">
        <f>IF(ISERROR((K135/C135-1)*100),"NA",IF(((K135/C135-1)*100)&gt;100,"NM",IF(((K135/C135-1)*100)&lt;-50,"NM",(K135/C135-1)*100)))</f>
        <v>2.6432068154364607</v>
      </c>
      <c r="M135" s="155">
        <f>AVERAGE(M133,K133)</f>
        <v>32388</v>
      </c>
      <c r="N135" s="156">
        <f>IF(ISERROR((M135/E135-1)*100),"NA",IF(((M135/E135-1)*100)&gt;100,"NM",IF(((M135/E135-1)*100)&lt;-50,"NM",(M135/E135-1)*100)))</f>
        <v>2.8500658928883205</v>
      </c>
      <c r="O135" s="155">
        <f>AVERAGE(O133,M133)</f>
        <v>32768.5</v>
      </c>
      <c r="P135" s="156">
        <f>IF(ISERROR((O135/G135-1)*100),"NA",IF(((O135/G135-1)*100)&gt;100,"NM",IF(((O135/G135-1)*100)&lt;-50,"NM",(O135/G135-1)*100)))</f>
        <v>3.8226348140168565</v>
      </c>
      <c r="Q135" s="155">
        <f>AVERAGE(Q133,O133)</f>
        <v>33419</v>
      </c>
      <c r="R135" s="156">
        <f>IF(ISERROR((Q135/I135-1)*100),"NA",IF(((Q135/I135-1)*100)&gt;100,"NM",IF(((Q135/I135-1)*100)&lt;-50,"NM",(Q135/I135-1)*100)))</f>
        <v>5.2682972926149318</v>
      </c>
      <c r="S135" s="155">
        <f>AVERAGE(S133,Q133)</f>
        <v>33407.5</v>
      </c>
      <c r="T135" s="156">
        <f>IF(ISERROR((S135/K135-1)*100),"NA",IF(((S135/K135-1)*100)&gt;100,"NM",IF(((S135/K135-1)*100)&lt;-50,"NM",(S135/K135-1)*100)))</f>
        <v>3.4624258659935903</v>
      </c>
      <c r="U135" s="155">
        <f>AVERAGE(U133,S133)</f>
        <v>33965.5</v>
      </c>
      <c r="V135" s="156">
        <f>IF(ISERROR((U135/M135-1)*100),"NA",IF(((U135/M135-1)*100)&gt;100,"NM",IF(((U135/M135-1)*100)&lt;-50,"NM",(U135/M135-1)*100)))</f>
        <v>4.8706310979375056</v>
      </c>
      <c r="W135" s="155">
        <f>AVERAGE(W133,U133)</f>
        <v>35085.5</v>
      </c>
      <c r="X135" s="156">
        <f>IF(ISERROR((W135/O135-1)*100),"NA",IF(((W135/O135-1)*100)&gt;100,"NM",IF(((W135/O135-1)*100)&lt;-50,"NM",(W135/O135-1)*100)))</f>
        <v>7.0708149594885361</v>
      </c>
      <c r="Y135" s="155">
        <f>AVERAGE(Y133,W133)</f>
        <v>35550.5</v>
      </c>
      <c r="Z135" s="156">
        <f>IF(ISERROR((Y135/Q135-1)*100),"NA",IF(((Y135/Q135-1)*100)&gt;100,"NM",IF(((Y135/Q135-1)*100)&lt;-50,"NM",(Y135/Q135-1)*100)))</f>
        <v>6.3781082617672569</v>
      </c>
      <c r="AA135" s="155">
        <f>AVERAGE(AA133,Y133)</f>
        <v>35877</v>
      </c>
      <c r="AB135" s="156">
        <f>IF(ISERROR((AA135/S135-1)*100),"NA",IF(((AA135/S135-1)*100)&gt;100,"NM",IF(((AA135/S135-1)*100)&lt;-50,"NM",(AA135/S135-1)*100)))</f>
        <v>7.3920526827808031</v>
      </c>
      <c r="AC135" s="155">
        <f>AVERAGE(AC133,AA133)</f>
        <v>37658.5</v>
      </c>
      <c r="AD135" s="156">
        <f>IF(ISERROR((AC135/U135-1)*100),"NA",IF(((AC135/U135-1)*100)&gt;100,"NM",IF(((AC135/U135-1)*100)&lt;-50,"NM",(AC135/U135-1)*100)))</f>
        <v>10.87279739735909</v>
      </c>
      <c r="AE135" s="155">
        <f>AVERAGE(AE133,AC133)</f>
        <v>39651</v>
      </c>
      <c r="AF135" s="156">
        <f>IF(ISERROR((AE135/W135-1)*100),"NA",IF(((AE135/W135-1)*100)&gt;100,"NM",IF(((AE135/W135-1)*100)&lt;-50,"NM",(AE135/W135-1)*100)))</f>
        <v>13.012498040501065</v>
      </c>
      <c r="AG135" s="155">
        <f>AVERAGE(AG133,AE133)</f>
        <v>40244.5</v>
      </c>
      <c r="AH135" s="156">
        <f>IF(ISERROR((AG135/Y135-1)*100),"NA",IF(((AG135/Y135-1)*100)&gt;100,"NM",IF(((AG135/Y135-1)*100)&lt;-50,"NM",(AG135/Y135-1)*100)))</f>
        <v>13.203752408545588</v>
      </c>
      <c r="AI135" s="155">
        <f>AVERAGE(AI133,AG133)</f>
        <v>41466</v>
      </c>
      <c r="AJ135" s="156">
        <f>IF(ISERROR((AI135/AA135-1)*100),"NA",IF(((AI135/AA135-1)*100)&gt;100,"NM",IF(((AI135/AA135-1)*100)&lt;-50,"NM",(AI135/AA135-1)*100)))</f>
        <v>15.5782256041475</v>
      </c>
      <c r="AK135" s="155">
        <f>AVERAGE(AK133,AI133)</f>
        <v>42460.5</v>
      </c>
      <c r="AL135" s="156">
        <f>IF(ISERROR((AK135/AC135-1)*100),"NA",IF(((AK135/AC135-1)*100)&gt;100,"NM",IF(((AK135/AC135-1)*100)&lt;-50,"NM",(AK135/AC135-1)*100)))</f>
        <v>12.75143725852066</v>
      </c>
      <c r="AM135" s="155">
        <f>AVERAGE(AM133,AK133)</f>
        <v>44309.5</v>
      </c>
      <c r="AN135" s="156">
        <f>IF(ISERROR((AM135/AE135-1)*100),"NA",IF(((AM135/AE135-1)*100)&gt;100,"NM",IF(((AM135/AE135-1)*100)&lt;-50,"NM",(AM135/AE135-1)*100)))</f>
        <v>11.748757912789088</v>
      </c>
      <c r="AO135" s="155">
        <f>AVERAGE(AO133,AM133)</f>
        <v>47045</v>
      </c>
      <c r="AP135" s="156">
        <f>IF(ISERROR((AO135/AG135-1)*100),"NA",IF(((AO135/AG135-1)*100)&gt;100,"NM",IF(((AO135/AG135-1)*100)&lt;-50,"NM",(AO135/AG135-1)*100)))</f>
        <v>16.897961212091083</v>
      </c>
      <c r="AQ135" s="155">
        <f>AVERAGE(AQ133,AO133)</f>
        <v>48495.5</v>
      </c>
      <c r="AR135" s="156">
        <f>IF(ISERROR((AQ135/AI135-1)*100),"NA",IF(((AQ135/AI135-1)*100)&gt;100,"NM",IF(((AQ135/AI135-1)*100)&lt;-50,"NM",(AQ135/AI135-1)*100)))</f>
        <v>16.952442965320991</v>
      </c>
      <c r="AS135" s="155">
        <f>AVERAGE(AS133,AQ133)</f>
        <v>50126.5</v>
      </c>
      <c r="AT135" s="156">
        <f>IF(ISERROR((AS135/AK135-1)*100),"NA",IF(((AS135/AK135-1)*100)&gt;100,"NM",IF(((AS135/AK135-1)*100)&lt;-50,"NM",(AS135/AK135-1)*100)))</f>
        <v>18.054427055734145</v>
      </c>
      <c r="AU135" s="155">
        <f>AU132+AU127+0.5*SUM(AU128:AU131)</f>
        <v>77728.5</v>
      </c>
      <c r="AV135" s="156">
        <f>IF(ISERROR((AU135/AM135-1)*100),"NA",IF(((AU135/AM135-1)*100)&gt;100,"NM",IF(((AU135/AM135-1)*100)&lt;-50,"NM",(AU135/AM135-1)*100)))</f>
        <v>75.42174928627044</v>
      </c>
      <c r="AW135" s="155">
        <f>AW132+AW127+0.5*SUM(AW128:AW131)</f>
        <v>77812</v>
      </c>
      <c r="AX135" s="156">
        <f>IF(ISERROR((AW135/AO135-1)*100),"NA",IF(((AW135/AO135-1)*100)&gt;100,"NM",IF(((AW135/AO135-1)*100)&lt;-50,"NM",(AW135/AO135-1)*100)))</f>
        <v>65.399085981507071</v>
      </c>
      <c r="AY135" s="155">
        <f>AY132+AY127+0.5*SUM(AY128:AY131)</f>
        <v>77614.5</v>
      </c>
      <c r="AZ135" s="156">
        <f>IF(ISERROR((AY135/AQ135-1)*100),"NA",IF(((AY135/AQ135-1)*100)&gt;100,"NM",IF(((AY135/AQ135-1)*100)&lt;-50,"NM",(AY135/AQ135-1)*100)))</f>
        <v>60.04474641977091</v>
      </c>
      <c r="BA135" s="155">
        <f>BA132+BA127+0.5*SUM(BA128:BA131)</f>
        <v>78868</v>
      </c>
      <c r="BB135" s="156">
        <f>IF(ISERROR((BA135/AS135-1)*100),"NA",IF(((BA135/AS135-1)*100)&gt;100,"NM",IF(((BA135/AS135-1)*100)&lt;-50,"NM",(BA135/AS135-1)*100)))</f>
        <v>57.337935024388287</v>
      </c>
      <c r="BC135" s="155">
        <f>BC132+BC127+0.5*SUM(BC128:BC131)</f>
        <v>80565.5</v>
      </c>
      <c r="BD135" s="156">
        <f>IF(ISERROR((BC135/AU135-1)*100),"NA",IF(((BC135/AU135-1)*100)&gt;100,"NM",IF(((BC135/AU135-1)*100)&lt;-50,"NM",(BC135/AU135-1)*100)))</f>
        <v>3.6498838907221831</v>
      </c>
      <c r="BE135" s="155">
        <f>BE132+BE127+0.5*SUM(BE128:BE131)</f>
        <v>83208</v>
      </c>
      <c r="BF135" s="156">
        <f>IF(ISERROR((BE135/AW135-1)*100),"NA",IF(((BE135/AW135-1)*100)&gt;100,"NM",IF(((BE135/AW135-1)*100)&lt;-50,"NM",(BE135/AW135-1)*100)))</f>
        <v>6.934663033979338</v>
      </c>
      <c r="BG135" s="155">
        <f>BG132+BG127+0.5*SUM(BG128:BG131)</f>
        <v>84547</v>
      </c>
      <c r="BH135" s="156">
        <f>IF(ISERROR((BG135/AY135-1)*100),"NA",IF(((BG135/AY135-1)*100)&gt;100,"NM",IF(((BG135/AY135-1)*100)&lt;-50,"NM",(BG135/AY135-1)*100)))</f>
        <v>8.9319650323071098</v>
      </c>
      <c r="BI135" s="155">
        <f>BI132+BI127+0.5*SUM(BI128:BI131)</f>
        <v>86861.5</v>
      </c>
      <c r="BJ135" s="156">
        <f>IF(ISERROR((BI135/BA135-1)*100),"NA",IF(((BI135/BA135-1)*100)&gt;100,"NM",IF(((BI135/BA135-1)*100)&lt;-50,"NM",(BI135/BA135-1)*100)))</f>
        <v>10.135289344220721</v>
      </c>
      <c r="BK135" s="155">
        <f>BK132+BK127+0.5*SUM(BK128:BK131)</f>
        <v>90737.5</v>
      </c>
      <c r="BL135" s="156">
        <f>IF(ISERROR((BK135/BC135-1)*100),"NA",IF(((BK135/BC135-1)*100)&gt;100,"NM",IF(((BK135/BC135-1)*100)&lt;-50,"NM",(BK135/BC135-1)*100)))</f>
        <v>12.625751717546585</v>
      </c>
      <c r="BM135" s="155">
        <f>BM132+BM127+0.5*SUM(BM128:BM131)</f>
        <v>90391.5</v>
      </c>
      <c r="BN135" s="98">
        <f>IF(ISERROR((BM135/BE135-1)*100),"NA",IF(((BM135/BE135-1)*100)&gt;100,"NM",IF(((BM135/BE135-1)*100)&lt;-50,"NM",(BM135/BE135-1)*100)))</f>
        <v>8.6331843092010363</v>
      </c>
      <c r="BO135" s="117">
        <f>BO132+BO127+0.5*SUM(BO128:BO131)</f>
        <v>91297.5</v>
      </c>
      <c r="BP135" s="98">
        <f>IF(ISERROR((BO135/BG135-1)*100),"NA",IF(((BO135/BG135-1)*100)&gt;100,"NM",IF(((BO135/BG135-1)*100)&lt;-50,"NM",(BO135/BG135-1)*100)))</f>
        <v>7.9843164157214375</v>
      </c>
      <c r="BQ135" s="117">
        <f>BQ132+BQ127+0.5*SUM(BQ128:BQ131)</f>
        <v>93031</v>
      </c>
      <c r="BR135" s="98">
        <f>IF(ISERROR((BQ135/BI135-1)*100),"NA",IF(((BQ135/BI135-1)*100)&gt;100,"NM",IF(((BQ135/BI135-1)*100)&lt;-50,"NM",(BQ135/BI135-1)*100)))</f>
        <v>7.102686460629859</v>
      </c>
      <c r="BS135" s="117">
        <f>BS132+BS127+0.5*SUM(BS128:BS131)</f>
        <v>94585</v>
      </c>
      <c r="BT135" s="98">
        <f>IF(ISERROR((BS135/BK135-1)*100),"NA",IF(((BS135/BK135-1)*100)&gt;100,"NM",IF(((BS135/BK135-1)*100)&lt;-50,"NM",(BS135/BK135-1)*100)))</f>
        <v>4.2402534784405477</v>
      </c>
      <c r="BU135" s="117">
        <f>BU132+BU127+0.5*SUM(BU128:BU131)</f>
        <v>104681.5</v>
      </c>
      <c r="BV135" s="98">
        <f>IF(ISERROR((BU135/BM135-1)*100),"NA",IF(((BU135/BM135-1)*100)&gt;100,"NM",IF(((BU135/BM135-1)*100)&lt;-50,"NM",(BU135/BM135-1)*100)))</f>
        <v>15.809008590409501</v>
      </c>
      <c r="BW135" s="117">
        <f>BW132+BW127+0.5*SUM(BW128:BW131)</f>
        <v>104008.5</v>
      </c>
      <c r="BX135" s="98">
        <f>IF(ISERROR((BW135/BO135-1)*100),"NA",IF(((BW135/BO135-1)*100)&gt;100,"NM",IF(((BW135/BO135-1)*100)&lt;-50,"NM",(BW135/BO135-1)*100)))</f>
        <v>13.922615624743283</v>
      </c>
      <c r="BY135" s="117">
        <f>BY132+BY127+0.5*SUM(BY128:BY131)</f>
        <v>100303</v>
      </c>
      <c r="BZ135" s="98">
        <f>IF(ISERROR((BY135/BQ135-1)*100),"NA",IF(((BY135/BQ135-1)*100)&gt;100,"NM",IF(((BY135/BQ135-1)*100)&lt;-50,"NM",(BY135/BQ135-1)*100)))</f>
        <v>7.8167492556244778</v>
      </c>
      <c r="CA135" s="117">
        <f>CA132+CA127+0.5*SUM(CA128:CA131)</f>
        <v>98837.5</v>
      </c>
      <c r="CB135" s="98">
        <f>IF(ISERROR((CA135/BS135-1)*100),"NA",IF(((CA135/BS135-1)*100)&gt;100,"NM",IF(((CA135/BS135-1)*100)&lt;-50,"NM",(CA135/BS135-1)*100)))</f>
        <v>4.4959560183961411</v>
      </c>
      <c r="CC135" s="117">
        <f>CC132+CC127+0.5*SUM(CC128:CC131)</f>
        <v>93105.5</v>
      </c>
      <c r="CD135" s="98">
        <f>IF(ISERROR((CC135/BU135-1)*100),"NA",IF(((CC135/BU135-1)*100)&gt;100,"NM",IF(((CC135/BU135-1)*100)&lt;-50,"NM",(CC135/BU135-1)*100)))</f>
        <v>-11.05830543123666</v>
      </c>
      <c r="CE135" s="117">
        <f>CE132+CE127+0.5*SUM(CE128:CE131)</f>
        <v>94283</v>
      </c>
      <c r="CF135" s="98">
        <f>IF(ISERROR((CE135/BW135-1)*100),"NA",IF(((CE135/BW135-1)*100)&gt;100,"NM",IF(((CE135/BW135-1)*100)&lt;-50,"NM",(CE135/BW135-1)*100)))</f>
        <v>-9.3506780695808533</v>
      </c>
      <c r="CG135" s="117">
        <f>CG132+CG127+0.5*SUM(CG128:CG131)</f>
        <v>96043.5</v>
      </c>
      <c r="CH135" s="98">
        <f>IF(ISERROR((CG135/BY135-1)*100),"NA",IF(((CG135/BY135-1)*100)&gt;100,"NM",IF(((CG135/BY135-1)*100)&lt;-50,"NM",(CG135/BY135-1)*100)))</f>
        <v>-4.2466327029101798</v>
      </c>
      <c r="CI135" s="117">
        <f>CI132+CI127+0.5*SUM(CI128:CI131)</f>
        <v>97493</v>
      </c>
      <c r="CJ135" s="98">
        <f>IF(ISERROR((CI135/CA135-1)*100),"NA",IF(((CI135/CA135-1)*100)&gt;100,"NM",IF(((CI135/CA135-1)*100)&lt;-50,"NM",(CI135/CA135-1)*100)))</f>
        <v>-1.3603136461363352</v>
      </c>
      <c r="CK135" s="117">
        <f>CK132+CK127+0.5*SUM(CK128:CK131)</f>
        <v>96411</v>
      </c>
      <c r="CL135" s="98">
        <f>IF(ISERROR((CK135/CC135-1)*100),"NA",IF(((CK135/CC135-1)*100)&gt;100,"NM",IF(((CK135/CC135-1)*100)&lt;-50,"NM",(CK135/CC135-1)*100)))</f>
        <v>3.5502736143407265</v>
      </c>
      <c r="CM135" s="117">
        <f>CM132+CM127+0.5*SUM(CM128:CM131)</f>
        <v>102220</v>
      </c>
      <c r="CN135" s="98">
        <f>IF(ISERROR((CM135/CE135-1)*100),"NA",IF(((CM135/CE135-1)*100)&gt;100,"NM",IF(((CM135/CE135-1)*100)&lt;-50,"NM",(CM135/CE135-1)*100)))</f>
        <v>8.4182726472428868</v>
      </c>
      <c r="CO135" s="117">
        <f>CO132+CO127+0.5*SUM(CO128:CO131)</f>
        <v>104222.5</v>
      </c>
      <c r="CP135" s="98">
        <f>IF(ISERROR((CO135/CG135-1)*100),"NA",IF(((CO135/CG135-1)*100)&gt;100,"NM",IF(((CO135/CG135-1)*100)&lt;-50,"NM",(CO135/CG135-1)*100)))</f>
        <v>8.5159328845783477</v>
      </c>
      <c r="CQ135" s="486">
        <f>CQ132+CQ127+0.5*SUM(CQ128:CQ131)</f>
        <v>106037.5</v>
      </c>
      <c r="CR135" s="98">
        <f>IF(ISERROR((CQ135/CI135-1)*100),"NA",IF(((CQ135/CI135-1)*100)&gt;100,"NM",IF(((CQ135/CI135-1)*100)&lt;-50,"NM",(CQ135/CI135-1)*100)))</f>
        <v>8.7642189695670503</v>
      </c>
      <c r="CS135" s="117">
        <f>CS132+CS127+0.5*SUM(CS128:CS131)</f>
        <v>105356</v>
      </c>
      <c r="CT135" s="98">
        <f>IF(ISERROR((CS135/CK135-1)*100),"NA",IF(((CS135/CK135-1)*100)&gt;100,"NM",IF(((CS135/CK135-1)*100)&lt;-50,"NM",(CS135/CK135-1)*100)))</f>
        <v>9.2779869516963931</v>
      </c>
      <c r="CU135" s="117">
        <f>CU132+CU127+0.5*SUM(CU128:CU131)</f>
        <v>106792.5</v>
      </c>
      <c r="CV135" s="98">
        <f>IF(ISERROR((CU135/CM135-1)*100),"NA",IF(((CU135/CM135-1)*100)&gt;100,"NM",IF(((CU135/CM135-1)*100)&lt;-50,"NM",(CU135/CM135-1)*100)))</f>
        <v>4.4731950694580247</v>
      </c>
      <c r="CW135" s="117">
        <f>CW132+CW127+0.5*SUM(CW128:CW131)</f>
        <v>112076.5</v>
      </c>
      <c r="CX135" s="98">
        <f>IF(ISERROR((CW135/CO135-1)*100),"NA",IF(((CW135/CO135-1)*100)&gt;100,"NM",IF(((CW135/CO135-1)*100)&lt;-50,"NM",(CW135/CO135-1)*100)))</f>
        <v>7.5358008107654362</v>
      </c>
      <c r="CY135" s="117">
        <f>CY132+CY127+0.5*SUM(CY128:CY131)</f>
        <v>116149</v>
      </c>
      <c r="CZ135" s="98">
        <f>IF(ISERROR((CY135/CQ135-1)*100),"NA",IF(((CY135/CQ135-1)*100)&gt;100,"NM",IF(((CY135/CQ135-1)*100)&lt;-50,"NM",(CY135/CQ135-1)*100)))</f>
        <v>9.5357774372273987</v>
      </c>
      <c r="DA135" s="117">
        <f>DA132+DA127+0.5*SUM(DA128:DA131)</f>
        <v>116435.5</v>
      </c>
      <c r="DB135" s="98">
        <f>IF(ISERROR((DA135/CS135-1)*100),"NA",IF(((DA135/CS135-1)*100)&gt;100,"NM",IF(((DA135/CS135-1)*100)&lt;-50,"NM",(DA135/CS135-1)*100)))</f>
        <v>10.516249667793009</v>
      </c>
      <c r="DC135" s="117">
        <f>DC132+DC127+0.5*SUM(DC128:DC131)</f>
        <v>117594.5</v>
      </c>
      <c r="DD135" s="98">
        <f>IF(ISERROR((DC135/CU135-1)*100),"NA",IF(((DC135/CU135-1)*100)&gt;100,"NM",IF(((DC135/CU135-1)*100)&lt;-50,"NM",(DC135/CU135-1)*100)))</f>
        <v>10.114942528735638</v>
      </c>
      <c r="DE135" s="117">
        <f>DE132+DE127+0.5*SUM(DE128:DE131)</f>
        <v>114163.5</v>
      </c>
      <c r="DF135" s="98">
        <f>IF(ISERROR((DE135/CW135-1)*100),"NA",IF(((DE135/CW135-1)*100)&gt;100,"NM",IF(((DE135/CW135-1)*100)&lt;-50,"NM",(DE135/CW135-1)*100)))</f>
        <v>1.862120962021474</v>
      </c>
      <c r="DG135" s="117">
        <f>DG132+DG127+0.5*SUM(DG128:DG131)</f>
        <v>111394</v>
      </c>
      <c r="DH135" s="98">
        <f>IF(ISERROR((DG135/CY135-1)*100),"NA",IF(((DG135/CY135-1)*100)&gt;100,"NM",IF(((DG135/CY135-1)*100)&lt;-50,"NM",(DG135/CY135-1)*100)))</f>
        <v>-4.0938794135119583</v>
      </c>
      <c r="DI135" s="117">
        <f>DI132+DI127+0.5*SUM(DI128:DI131)</f>
        <v>111640</v>
      </c>
      <c r="DJ135" s="98">
        <f>IF(ISERROR((DI135/DA135-1)*100),"NA",IF(((DI135/DA135-1)*100)&gt;100,"NM",IF(((DI135/DA135-1)*100)&lt;-50,"NM",(DI135/DA135-1)*100)))</f>
        <v>-4.1185892618660125</v>
      </c>
      <c r="DK135" s="117">
        <f>DK132+DK127+0.5*SUM(DK128:DK131)</f>
        <v>111498</v>
      </c>
      <c r="DL135" s="98">
        <f>IF(ISERROR((DK135/DC135-1)*100),"NA",IF(((DK135/DC135-1)*100)&gt;100,"NM",IF(((DK135/DC135-1)*100)&lt;-50,"NM",(DK135/DC135-1)*100)))</f>
        <v>-5.1843411043883902</v>
      </c>
      <c r="DM135" s="117">
        <f>DM132+DM127+0.5*SUM(DM128:DM131)</f>
        <v>109269</v>
      </c>
      <c r="DN135" s="98">
        <f>IF(ISERROR((DM135/DE135-1)*100),"NA",IF(((DM135/DE135-1)*100)&gt;100,"NM",IF(((DM135/DE135-1)*100)&lt;-50,"NM",(DM135/DE135-1)*100)))</f>
        <v>-4.2872722017107012</v>
      </c>
      <c r="DO135" s="117">
        <f>DO132+DO127+0.5*SUM(DO128:DO131)</f>
        <v>111861</v>
      </c>
      <c r="DP135" s="98">
        <f>IF(ISERROR((DO135/DG135-1)*100),"NA",IF(((DO135/DG135-1)*100)&gt;100,"NM",IF(((DO135/DG135-1)*100)&lt;-50,"NM",(DO135/DG135-1)*100)))</f>
        <v>0.41923263371457242</v>
      </c>
      <c r="DQ135" s="117">
        <f>DQ132+DQ127+0.5*SUM(DQ128:DQ131)</f>
        <v>114738</v>
      </c>
      <c r="DR135" s="98">
        <f>IF(ISERROR((DQ135/DI135-1)*100),"NA",IF(((DQ135/DI135-1)*100)&gt;100,"NM",IF(((DQ135/DI135-1)*100)&lt;-50,"NM",(DQ135/DI135-1)*100)))</f>
        <v>2.7749910426370539</v>
      </c>
      <c r="DS135" s="117">
        <f>DS132+DS127+0.5*SUM(DS128:DS131)</f>
        <v>98053</v>
      </c>
      <c r="DT135" s="98">
        <f>IF(ISERROR((DS135/DK135-1)*100),"NA",IF(((DS135/DK135-1)*100)&gt;100,"NM",IF(((DS135/DK135-1)*100)&lt;-50,"NM",(DS135/DK135-1)*100)))</f>
        <v>-12.058512260309605</v>
      </c>
      <c r="DU135" s="117">
        <f>DU132+DU127+0.5*SUM(DU128:DU131)</f>
        <v>96946.5</v>
      </c>
      <c r="DV135" s="98">
        <f>IF(ISERROR((DU135/DM135-1)*100),"NA",IF(((DU135/DM135-1)*100)&gt;100,"NM",IF(((DU135/DM135-1)*100)&lt;-50,"NM",(DU135/DM135-1)*100)))</f>
        <v>-11.277214946599678</v>
      </c>
      <c r="DW135" s="117">
        <f>DW132+DW127+0.5*SUM(DW128:DW131)</f>
        <v>95200</v>
      </c>
      <c r="DX135" s="98">
        <f>IF(ISERROR((DW135/DO135-1)*100),"NA",IF(((DW135/DO135-1)*100)&gt;100,"NM",IF(((DW135/DO135-1)*100)&lt;-50,"NM",(DW135/DO135-1)*100)))</f>
        <v>-14.894377843931306</v>
      </c>
      <c r="DY135" s="117">
        <f>DY132+DY127+0.5*SUM(DY128:DY131)</f>
        <v>95412.5</v>
      </c>
      <c r="DZ135" s="98">
        <f>IF(ISERROR((DY135/DQ135-1)*100),"NA",IF(((DY135/DQ135-1)*100)&gt;100,"NM",IF(((DY135/DQ135-1)*100)&lt;-50,"NM",(DY135/DQ135-1)*100)))</f>
        <v>-16.84315571127264</v>
      </c>
      <c r="EA135" s="117">
        <f>EA132+EA127+0.5*SUM(EA128:EA131)</f>
        <v>97946</v>
      </c>
      <c r="EB135" s="98">
        <f>IF(ISERROR((EA135/DS135-1)*100),"NA",IF(((EA135/DS135-1)*100)&gt;100,"NM",IF(((EA135/DS135-1)*100)&lt;-50,"NM",(EA135/DS135-1)*100)))</f>
        <v>-0.10912465707321184</v>
      </c>
      <c r="EC135" s="117">
        <f>EC132+EC127+0.5*SUM(EC128:EC131)</f>
        <v>99239</v>
      </c>
      <c r="ED135" s="98">
        <f>IF(ISERROR((EC135/DU135-1)*100),"NA",IF(((EC135/DU135-1)*100)&gt;100,"NM",IF(((EC135/DU135-1)*100)&lt;-50,"NM",(EC135/DU135-1)*100)))</f>
        <v>2.3647063070868946</v>
      </c>
      <c r="EE135" s="117">
        <f>EE132+EE127+0.5*SUM(EE128:EE131)</f>
        <v>100895.5</v>
      </c>
      <c r="EF135" s="860">
        <f>IF(ISERROR((EE135/DW135-1)*100),"NA",IF(((EE135/DW135-1)*100)&gt;100,"NM",IF(((EE135/DW135-1)*100)&lt;-50,"NM",(EE135/DW135-1)*100)))</f>
        <v>5.9826680672268928</v>
      </c>
      <c r="EG135" s="117">
        <f>EG132+EG127+0.5*SUM(EG128:EG131)</f>
        <v>100253.5</v>
      </c>
      <c r="EH135" s="860">
        <f>IF(ISERROR((EG135/DY135-1)*100),"NA",IF(((EG135/DY135-1)*100)&gt;100,"NM",IF(((EG135/DY135-1)*100)&lt;-50,"NM",(EG135/DY135-1)*100)))</f>
        <v>5.0737586794183054</v>
      </c>
      <c r="EI135" s="117">
        <f>EI132+EI127+0.5*SUM(EI128:EI131)</f>
        <v>102109</v>
      </c>
      <c r="EJ135" s="860">
        <f t="shared" ref="EJ135" si="700">IF(ISERROR((EI135/EA135-1)*100),"NA",IF(((EI135/EA135-1)*100)&gt;100,"NM",IF(((EI135/EA135-1)*100)&lt;-50,"NM",(EI135/EA135-1)*100)))</f>
        <v>4.2503011863679996</v>
      </c>
      <c r="EK135" s="117">
        <f>EK132+EK127+0.5*SUM(EK128:EK131)</f>
        <v>103422</v>
      </c>
      <c r="EL135" s="860">
        <f t="shared" ref="EL135" si="701">IF(ISERROR((EK135/EC135-1)*100),"NA",IF(((EK135/EC135-1)*100)&gt;100,"NM",IF(((EK135/EC135-1)*100)&lt;-50,"NM",(EK135/EC135-1)*100)))</f>
        <v>4.2150767339453221</v>
      </c>
      <c r="EM135" s="117">
        <f>EM132+EM127+0.5*SUM(EM128:EM131)</f>
        <v>105440</v>
      </c>
      <c r="EN135" s="860">
        <f t="shared" ref="EN135" si="702">IF(ISERROR((EM135/EE135-1)*100),"NA",IF(((EM135/EE135-1)*100)&gt;100,"NM",IF(((EM135/EE135-1)*100)&lt;-50,"NM",(EM135/EE135-1)*100)))</f>
        <v>4.5041652006283739</v>
      </c>
      <c r="EO135" s="117">
        <f>EO132+EO127+0.5*SUM(EO128:EO131)</f>
        <v>107751</v>
      </c>
      <c r="EP135" s="98">
        <f t="shared" ref="EP135" si="703">IF(ISERROR((EO135/EG135-1)*100),"NA",IF(((EO135/EG135-1)*100)&gt;100,"NM",IF(((EO135/EG135-1)*100)&lt;-50,"NM",(EO135/EG135-1)*100)))</f>
        <v>7.4785418962928896</v>
      </c>
      <c r="EQ135" s="792">
        <f t="shared" ref="EQ135" si="704">AVERAGE(EQ133,EO133)</f>
        <v>108462.18554790487</v>
      </c>
      <c r="ER135" s="98">
        <f t="shared" ref="ER135" si="705">IF(ISERROR((EQ135/EI135-1)*100),"NA",IF(((EQ135/EI135-1)*100)&gt;100,"NM",IF(((EQ135/EI135-1)*100)&lt;-50,"NM",(EQ135/EI135-1)*100)))</f>
        <v>6.2219643203878849</v>
      </c>
      <c r="ES135" s="792">
        <f t="shared" ref="ES135" si="706">AVERAGE(ES133,EQ133)</f>
        <v>109043.60796213732</v>
      </c>
      <c r="ET135" s="98">
        <f t="shared" ref="ET135" si="707">IF(ISERROR((ES135/EK135-1)*100),"NA",IF(((ES135/EK135-1)*100)&gt;100,"NM",IF(((ES135/EK135-1)*100)&lt;-50,"NM",(ES135/EK135-1)*100)))</f>
        <v>5.4356016728909884</v>
      </c>
      <c r="EU135" s="792">
        <f t="shared" ref="EU135" si="708">AVERAGE(EU133,ES133)</f>
        <v>109534.84703904943</v>
      </c>
      <c r="EV135" s="98">
        <f t="shared" ref="EV135" si="709">IF(ISERROR((EU135/EM135-1)*100),"NA",IF(((EU135/EM135-1)*100)&gt;100,"NM",IF(((EU135/EM135-1)*100)&lt;-50,"NM",(EU135/EM135-1)*100)))</f>
        <v>3.8835802722396062</v>
      </c>
      <c r="EW135" s="792">
        <f t="shared" ref="EW135" si="710">AVERAGE(EW133,EU133)</f>
        <v>109950.11464760496</v>
      </c>
      <c r="EX135" s="98">
        <f t="shared" ref="EX135" si="711">IF(ISERROR((EW135/EO135-1)*100),"NA",IF(((EW135/EO135-1)*100)&gt;100,"NM",IF(((EW135/EO135-1)*100)&lt;-50,"NM",(EW135/EO135-1)*100)))</f>
        <v>2.040922727032668</v>
      </c>
      <c r="EY135" s="118"/>
      <c r="EZ135" s="594"/>
      <c r="FA135" s="405"/>
      <c r="FB135" s="118">
        <f>AVERAGE(FB133)</f>
        <v>34332</v>
      </c>
      <c r="FC135" s="98"/>
      <c r="FD135" s="117">
        <f>AVERAGE(FD133,FB133)</f>
        <v>32951</v>
      </c>
      <c r="FE135" s="98">
        <f>IF(ISERROR((FD135/FB135-1)*100),"NA",IF(((FD135/FB135-1)*100)&gt;100,"NM",IF(((FD135/FB135-1)*100)&lt;-50,"NM",(FD135/FB135-1)*100)))</f>
        <v>-4.0224863101479658</v>
      </c>
      <c r="FF135" s="118">
        <f>AVERAGE(FF133,FD133)</f>
        <v>31786.5</v>
      </c>
      <c r="FG135" s="98">
        <f>IF(ISERROR((FF135/FD135-1)*100),"NA",IF(((FF135/FD135-1)*100)&gt;100,"NM",IF(((FF135/FD135-1)*100)&lt;-50,"NM",(FF135/FD135-1)*100)))</f>
        <v>-3.5340353858759999</v>
      </c>
      <c r="FH135" s="118">
        <f>AVERAGE(FH133,FF133)</f>
        <v>32752</v>
      </c>
      <c r="FI135" s="98">
        <f>IF(ISERROR((FH135/FF135-1)*100),"NA",IF(((FH135/FF135-1)*100)&gt;100,"NM",IF(((FH135/FF135-1)*100)&lt;-50,"NM",(FH135/FF135-1)*100)))</f>
        <v>3.0374530067796002</v>
      </c>
      <c r="FJ135" s="118">
        <f>AVERAGE(FJ133,FH133)</f>
        <v>34524</v>
      </c>
      <c r="FK135" s="98">
        <f>IF(ISERROR((FJ135/FH135-1)*100),"NA",IF(((FJ135/FH135-1)*100)&gt;100,"NM",IF(((FJ135/FH135-1)*100)&lt;-50,"NM",(FJ135/FH135-1)*100)))</f>
        <v>5.4103566194430908</v>
      </c>
      <c r="FL135" s="118">
        <f>AVERAGE(FL133,FJ133)</f>
        <v>37922.5</v>
      </c>
      <c r="FM135" s="98">
        <f>IF(ISERROR((FL135/FJ135-1)*100),"NA",IF(((FL135/FJ135-1)*100)&gt;100,"NM",IF(((FL135/FJ135-1)*100)&lt;-50,"NM",(FL135/FJ135-1)*100)))</f>
        <v>9.8438767234387612</v>
      </c>
      <c r="FN135" s="118">
        <f>AVERAGE(FN133,FL133)</f>
        <v>43104.5</v>
      </c>
      <c r="FO135" s="98">
        <f>IF(ISERROR((FN135/FL135-1)*100),"NA",IF(((FN135/FL135-1)*100)&gt;100,"NM",IF(((FN135/FL135-1)*100)&lt;-50,"NM",(FN135/FL135-1)*100)))</f>
        <v>13.664710923594182</v>
      </c>
      <c r="FP135" s="118">
        <f>AVERAGE(FP133,FN133)</f>
        <v>61234.5</v>
      </c>
      <c r="FQ135" s="98">
        <f>IF(ISERROR((FP135/FN135-1)*100),"NA",IF(((FP135/FN135-1)*100)&gt;100,"NM",IF(((FP135/FN135-1)*100)&lt;-50,"NM",(FP135/FN135-1)*100)))</f>
        <v>42.06057372200118</v>
      </c>
      <c r="FR135" s="119">
        <f>AVERAGE(FR133,FP133)</f>
        <v>80296.5</v>
      </c>
      <c r="FS135" s="120">
        <f>IF(ISERROR((FR135/FP135-1)*100),"NA",IF(((FR135/FP135-1)*100)&gt;100,"NM",IF(((FR135/FP135-1)*100)&lt;-50,"NM",(FR135/FP135-1)*100)))</f>
        <v>31.129510325061858</v>
      </c>
      <c r="FT135" s="119">
        <f>AVERAGE(FT133,FR133)</f>
        <v>86784</v>
      </c>
      <c r="FU135" s="120">
        <f>IF(ISERROR((FT135/FR135-1)*100),"NA",IF(((FT135/FR135-1)*100)&gt;100,"NM",IF(((FT135/FR135-1)*100)&lt;-50,"NM",(FT135/FR135-1)*100)))</f>
        <v>8.0794306103005642</v>
      </c>
      <c r="FV135" s="119">
        <f>AVERAGE(BU135,BS135,BQ135,BO135)</f>
        <v>95898.75</v>
      </c>
      <c r="FW135" s="98">
        <f>IF(ISERROR((FV135/FT135-1)*100),"NA",IF(((FV135/FT135-1)*100)&gt;100,"NM",IF(((FV135/FT135-1)*100)&lt;-50,"NM",(FV135/FT135-1)*100)))</f>
        <v>10.502800055309724</v>
      </c>
      <c r="FX135" s="485">
        <f>AVERAGE(CC135,CA135,BY135,BW135)</f>
        <v>99063.625</v>
      </c>
      <c r="FY135" s="98">
        <f>IF(ISERROR((FX135/FV135-1)*100),"NA",IF(((FX135/FV135-1)*100)&gt;100,"NM",IF(((FX135/FV135-1)*100)&lt;-50,"NM",(FX135/FV135-1)*100)))</f>
        <v>3.3002254982468449</v>
      </c>
      <c r="FZ135" s="119">
        <f>AVERAGE(CK135,CI135,CG135,CE135)</f>
        <v>96057.625</v>
      </c>
      <c r="GA135" s="98">
        <f>IF(ISERROR((FZ135/FX135-1)*100),"NA",IF(((FZ135/FX135-1)*100)&gt;100,"NM",IF(((FZ135/FX135-1)*100)&lt;-50,"NM",(FZ135/FX135-1)*100)))</f>
        <v>-3.0344134893105279</v>
      </c>
      <c r="GB135" s="485">
        <f>AVERAGE(CS135,CQ135,CO135,CM135)</f>
        <v>104459</v>
      </c>
      <c r="GC135" s="98">
        <f>IF(ISERROR((GB135/FZ135-1)*100),"NA",IF(((GB135/FZ135-1)*100)&gt;100,"NM",IF(((GB135/FZ135-1)*100)&lt;-50,"NM",(GB135/FZ135-1)*100)))</f>
        <v>8.746182304632244</v>
      </c>
      <c r="GD135" s="119">
        <f>AVERAGE(DA135,CY135,CW135,CU135)</f>
        <v>112863.375</v>
      </c>
      <c r="GE135" s="98">
        <f>IF(ISERROR((GD135/GB135-1)*100),"NA",IF(((GD135/GB135-1)*100)&gt;100,"NM",IF(((GD135/GB135-1)*100)&lt;-50,"NM",(GD135/GB135-1)*100)))</f>
        <v>8.0456207698714302</v>
      </c>
      <c r="GF135" s="119">
        <f>AVERAGE(DI135,DG135,DE135,DC135)</f>
        <v>113698</v>
      </c>
      <c r="GG135" s="98">
        <f>IF(ISERROR((GF135/GD135-1)*100),"NA",IF(((GF135/GD135-1)*100)&gt;100,"NM",IF(((GF135/GD135-1)*100)&lt;-50,"NM",(GF135/GD135-1)*100)))</f>
        <v>0.73950030291047852</v>
      </c>
      <c r="GH135" s="119">
        <f>AVERAGE(DQ135,DO135,DM135,DK135)</f>
        <v>111841.5</v>
      </c>
      <c r="GI135" s="98">
        <f>IF(ISERROR((GH135/GF135-1)*100),"NA",IF(((GH135/GF135-1)*100)&gt;100,"NM",IF(((GH135/GF135-1)*100)&lt;-50,"NM",(GH135/GF135-1)*100)))</f>
        <v>-1.6328343506482046</v>
      </c>
      <c r="GJ135" s="119">
        <f>AVERAGE(DY135,DW135,DU135,DS135)</f>
        <v>96403</v>
      </c>
      <c r="GK135" s="98">
        <f>IF(ISERROR((GJ135/GH135-1)*100),"NA",IF(((GJ135/GH135-1)*100)&gt;100,"NM",IF(((GJ135/GH135-1)*100)&lt;-50,"NM",(GJ135/GH135-1)*100)))</f>
        <v>-13.803909997630569</v>
      </c>
      <c r="GL135" s="119">
        <f>AVERAGE(EG135,EE135,EC135,EA135)</f>
        <v>99583.5</v>
      </c>
      <c r="GM135" s="98">
        <f>IF(ISERROR((GL135/GJ135-1)*100),"NA",IF(((GL135/GJ135-1)*100)&gt;100,"NM",IF(((GL135/GJ135-1)*100)&lt;-50,"NM",(GL135/GJ135-1)*100)))</f>
        <v>3.2991711876186436</v>
      </c>
      <c r="GN135" s="119">
        <f>AVERAGE(EO135,EM135,EK135,EI135)</f>
        <v>104680.5</v>
      </c>
      <c r="GO135" s="98">
        <f>IF(ISERROR((GN135/GL135-1)*100),"NA",IF(((GN135/GL135-1)*100)&gt;100,"NM",IF(((GN135/GL135-1)*100)&lt;-50,"NM",(GN135/GL135-1)*100)))</f>
        <v>5.118317793610383</v>
      </c>
      <c r="GP135" s="119">
        <f>AVERAGE(EW135,EU135,ES135,EQ135)</f>
        <v>109247.68879917414</v>
      </c>
      <c r="GQ135" s="98">
        <f>IF(ISERROR((GP135/GN135-1)*100),"NA",IF(((GP135/GN135-1)*100)&gt;100,"NM",IF(((GP135/GN135-1)*100)&lt;-50,"NM",(GP135/GN135-1)*100)))</f>
        <v>4.3629795417237549</v>
      </c>
      <c r="GR135" s="118">
        <f>AVERAGE(GR133,GP133)</f>
        <v>112578.06313814626</v>
      </c>
      <c r="GS135" s="98">
        <f>IF(ISERROR((GR135/GP135-1)*100),"NA",IF(((GR135/GP135-1)*100)&gt;100,"NM",IF(((GR135/GP135-1)*100)&lt;-50,"NM",(GR135/GP135-1)*100)))</f>
        <v>3.0484620549677821</v>
      </c>
      <c r="GT135" s="118">
        <f>AVERAGE(GT133,GR133)</f>
        <v>118121.65116368973</v>
      </c>
      <c r="GU135" s="98">
        <f>IF(ISERROR((GT135/GR135-1)*100),"NA",IF(((GT135/GR135-1)*100)&gt;100,"NM",IF(((GT135/GR135-1)*100)&lt;-50,"NM",(GT135/GR135-1)*100)))</f>
        <v>4.9242169131483937</v>
      </c>
      <c r="GV135" s="118">
        <f>AVERAGE(GV133,GT133)</f>
        <v>124708.66767273439</v>
      </c>
      <c r="GW135" s="98">
        <f>IF(ISERROR((GV135/GT135-1)*100),"NA",IF(((GV135/GT135-1)*100)&gt;100,"NM",IF(((GV135/GT135-1)*100)&lt;-50,"NM",(GV135/GT135-1)*100)))</f>
        <v>5.5764683647340441</v>
      </c>
      <c r="GX135" s="118">
        <f>AVERAGE(GX133,GV133)</f>
        <v>131946.82921851895</v>
      </c>
      <c r="GY135" s="98">
        <f>IF(ISERROR((GX135/GV135-1)*100),"NA",IF(((GX135/GV135-1)*100)&gt;100,"NM",IF(((GX135/GV135-1)*100)&lt;-50,"NM",(GX135/GV135-1)*100)))</f>
        <v>5.8040565109549913</v>
      </c>
      <c r="GZ135" s="98">
        <f>IF(ISERROR(((GX135/GN135)^0.2-1)*100),"NA",IF((((GX135/GN135)^0.2-1)*100)&gt;100,"NM",IF((((GX135/GN135)^0.2-1)*100)&lt;-50,"NM",((GX135/GN135)^0.2-1)*100)))</f>
        <v>4.7385685084703422</v>
      </c>
      <c r="HA135" s="98"/>
      <c r="HB135" s="10"/>
      <c r="HC135"/>
      <c r="HD135"/>
      <c r="HE135"/>
      <c r="HF135"/>
      <c r="HG135"/>
      <c r="HH135"/>
      <c r="HI135" s="10"/>
    </row>
    <row r="136" spans="2:217" s="2" customFormat="1" ht="12.75" customHeight="1" x14ac:dyDescent="0.2">
      <c r="B136" s="91"/>
      <c r="C136" s="155"/>
      <c r="D136" s="156"/>
      <c r="E136" s="155"/>
      <c r="F136" s="156"/>
      <c r="G136" s="155"/>
      <c r="H136" s="156"/>
      <c r="I136" s="155"/>
      <c r="J136" s="156"/>
      <c r="K136" s="155"/>
      <c r="L136" s="156"/>
      <c r="M136" s="155"/>
      <c r="N136" s="156"/>
      <c r="O136" s="155"/>
      <c r="P136" s="156"/>
      <c r="Q136" s="155"/>
      <c r="R136" s="156"/>
      <c r="S136" s="155"/>
      <c r="T136" s="156"/>
      <c r="U136" s="155"/>
      <c r="V136" s="156"/>
      <c r="W136" s="155"/>
      <c r="X136" s="156"/>
      <c r="Y136" s="155"/>
      <c r="Z136" s="156"/>
      <c r="AA136" s="155"/>
      <c r="AB136" s="156"/>
      <c r="AC136" s="155"/>
      <c r="AD136" s="156"/>
      <c r="AE136" s="155"/>
      <c r="AF136" s="156"/>
      <c r="AG136" s="155"/>
      <c r="AH136" s="156"/>
      <c r="AI136" s="155"/>
      <c r="AJ136" s="156"/>
      <c r="AK136" s="155"/>
      <c r="AL136" s="156"/>
      <c r="AM136" s="155"/>
      <c r="AN136" s="156"/>
      <c r="AO136" s="155"/>
      <c r="AP136" s="156"/>
      <c r="AQ136" s="155"/>
      <c r="AR136" s="156"/>
      <c r="AS136" s="155"/>
      <c r="AT136" s="156"/>
      <c r="AU136" s="155"/>
      <c r="AV136" s="156"/>
      <c r="AW136" s="155"/>
      <c r="AX136" s="156"/>
      <c r="AY136" s="155"/>
      <c r="AZ136" s="156"/>
      <c r="BA136" s="155"/>
      <c r="BB136" s="156"/>
      <c r="BC136" s="155"/>
      <c r="BD136" s="156"/>
      <c r="BE136" s="155"/>
      <c r="BF136" s="156"/>
      <c r="BG136" s="155"/>
      <c r="BH136" s="156"/>
      <c r="BI136" s="155"/>
      <c r="BJ136" s="156"/>
      <c r="BK136" s="155"/>
      <c r="BL136" s="156"/>
      <c r="BM136" s="155"/>
      <c r="BN136" s="98"/>
      <c r="BO136" s="117"/>
      <c r="BP136" s="98"/>
      <c r="BQ136" s="117"/>
      <c r="BR136" s="98"/>
      <c r="BS136" s="117"/>
      <c r="BT136" s="98"/>
      <c r="BU136" s="117"/>
      <c r="BV136" s="98"/>
      <c r="BW136" s="117"/>
      <c r="BX136" s="98"/>
      <c r="BY136" s="117"/>
      <c r="BZ136" s="98"/>
      <c r="CA136" s="117"/>
      <c r="CB136" s="98"/>
      <c r="CC136" s="117"/>
      <c r="CD136" s="98"/>
      <c r="CE136" s="117"/>
      <c r="CF136" s="98"/>
      <c r="CG136" s="117"/>
      <c r="CH136" s="98"/>
      <c r="CI136" s="117"/>
      <c r="CJ136" s="98"/>
      <c r="CK136" s="117"/>
      <c r="CL136" s="98"/>
      <c r="CM136" s="117"/>
      <c r="CN136" s="98"/>
      <c r="CO136" s="117"/>
      <c r="CP136" s="98"/>
      <c r="CQ136" s="486"/>
      <c r="CR136" s="98"/>
      <c r="CS136" s="117"/>
      <c r="CT136" s="98"/>
      <c r="CU136" s="117"/>
      <c r="CV136" s="98"/>
      <c r="CW136" s="117"/>
      <c r="CX136" s="98"/>
      <c r="CY136" s="117"/>
      <c r="CZ136" s="98"/>
      <c r="DA136" s="117"/>
      <c r="DB136" s="98"/>
      <c r="DC136" s="117"/>
      <c r="DD136" s="98"/>
      <c r="DE136" s="117"/>
      <c r="DF136" s="98"/>
      <c r="DG136" s="117"/>
      <c r="DH136" s="98"/>
      <c r="DI136" s="117"/>
      <c r="DJ136" s="98"/>
      <c r="DK136" s="117"/>
      <c r="DL136" s="98"/>
      <c r="DM136" s="117"/>
      <c r="DN136" s="98"/>
      <c r="DO136" s="117"/>
      <c r="DP136" s="98"/>
      <c r="DQ136" s="117"/>
      <c r="DR136" s="98"/>
      <c r="DS136" s="117"/>
      <c r="DT136" s="98"/>
      <c r="DU136" s="117"/>
      <c r="DV136" s="98"/>
      <c r="DW136" s="117"/>
      <c r="DX136" s="98"/>
      <c r="DY136" s="117"/>
      <c r="DZ136" s="98"/>
      <c r="EA136" s="117"/>
      <c r="EB136" s="98"/>
      <c r="EC136" s="117"/>
      <c r="ED136" s="98"/>
      <c r="EE136" s="117"/>
      <c r="EF136" s="860"/>
      <c r="EG136" s="117"/>
      <c r="EH136" s="860"/>
      <c r="EI136" s="117"/>
      <c r="EJ136" s="860"/>
      <c r="EK136" s="117"/>
      <c r="EL136" s="860"/>
      <c r="EM136" s="117"/>
      <c r="EN136" s="860"/>
      <c r="EO136" s="117"/>
      <c r="EP136" s="98"/>
      <c r="EQ136" s="792"/>
      <c r="ER136" s="98"/>
      <c r="ES136" s="792"/>
      <c r="ET136" s="98"/>
      <c r="EU136" s="792"/>
      <c r="EV136" s="98"/>
      <c r="EW136" s="792"/>
      <c r="EX136" s="98"/>
      <c r="EY136" s="118"/>
      <c r="EZ136" s="594"/>
      <c r="FA136" s="405"/>
      <c r="FB136" s="118"/>
      <c r="FC136" s="98"/>
      <c r="FD136" s="117"/>
      <c r="FE136" s="98"/>
      <c r="FF136" s="118"/>
      <c r="FG136" s="98"/>
      <c r="FH136" s="118"/>
      <c r="FI136" s="98"/>
      <c r="FJ136" s="118"/>
      <c r="FK136" s="98"/>
      <c r="FL136" s="118"/>
      <c r="FM136" s="98"/>
      <c r="FN136" s="118"/>
      <c r="FO136" s="98"/>
      <c r="FP136" s="118"/>
      <c r="FQ136" s="98"/>
      <c r="FR136" s="119"/>
      <c r="FS136" s="120"/>
      <c r="FT136" s="119"/>
      <c r="FU136" s="120"/>
      <c r="FV136" s="119"/>
      <c r="FW136" s="98"/>
      <c r="FX136" s="485"/>
      <c r="FY136" s="98"/>
      <c r="FZ136" s="119"/>
      <c r="GA136" s="98"/>
      <c r="GB136" s="485"/>
      <c r="GC136" s="98"/>
      <c r="GD136" s="119"/>
      <c r="GE136" s="98"/>
      <c r="GF136" s="119"/>
      <c r="GG136" s="98"/>
      <c r="GH136" s="119"/>
      <c r="GI136" s="98"/>
      <c r="GJ136" s="119"/>
      <c r="GK136" s="98"/>
      <c r="GL136" s="119"/>
      <c r="GM136" s="98"/>
      <c r="GN136" s="119"/>
      <c r="GO136" s="98"/>
      <c r="GP136" s="119"/>
      <c r="GQ136" s="98"/>
      <c r="GR136" s="118"/>
      <c r="GS136" s="98"/>
      <c r="GT136" s="118"/>
      <c r="GU136" s="98"/>
      <c r="GV136" s="118"/>
      <c r="GW136" s="98"/>
      <c r="GX136" s="118"/>
      <c r="GY136" s="98"/>
      <c r="GZ136" s="98"/>
      <c r="HA136" s="98"/>
      <c r="HB136" s="10"/>
      <c r="HC136"/>
      <c r="HD136"/>
      <c r="HE136"/>
      <c r="HF136"/>
      <c r="HG136"/>
      <c r="HH136"/>
      <c r="HI136" s="10"/>
    </row>
    <row r="137" spans="2:217" s="2" customFormat="1" ht="12.75" customHeight="1" x14ac:dyDescent="0.2">
      <c r="B137" s="91" t="s">
        <v>27</v>
      </c>
      <c r="C137" s="166">
        <f>(-C130*4)/C127*100</f>
        <v>20.817231548938867</v>
      </c>
      <c r="D137" s="156"/>
      <c r="E137" s="166">
        <f>(-E130*4)/E127*100</f>
        <v>12.301410068270274</v>
      </c>
      <c r="F137" s="156"/>
      <c r="G137" s="166">
        <f>(-G130*4)/G127*100</f>
        <v>16.335819951953471</v>
      </c>
      <c r="H137" s="156"/>
      <c r="I137" s="166">
        <f>(-I130*4)/I127*100</f>
        <v>17.352091206453046</v>
      </c>
      <c r="J137" s="156"/>
      <c r="K137" s="166">
        <f>(-K130*4)/K127*100</f>
        <v>12.62342207224097</v>
      </c>
      <c r="L137" s="156">
        <f>IF(ISERROR((K137/C137-1)*100),"NA",IF(((K137/C137-1)*100)&gt;100,"NM",IF(((K137/C137-1)*100)&lt;-50,"NM",(K137/C137-1)*100)))</f>
        <v>-39.360706813656819</v>
      </c>
      <c r="M137" s="166">
        <f>(-M130*4)/M127*100</f>
        <v>12.881043745203376</v>
      </c>
      <c r="N137" s="156">
        <f>IF(ISERROR((M137/E137-1)*100),"NA",IF(((M137/E137-1)*100)&gt;100,"NM",IF(((M137/E137-1)*100)&lt;-50,"NM",(M137/E137-1)*100)))</f>
        <v>4.7119287440728908</v>
      </c>
      <c r="O137" s="166">
        <f>(-O130*4)/O127*100</f>
        <v>12.036893264184343</v>
      </c>
      <c r="P137" s="156">
        <f>IF(ISERROR((O137/G137-1)*100),"NA",IF(((O137/G137-1)*100)&gt;100,"NM",IF(((O137/G137-1)*100)&lt;-50,"NM",(O137/G137-1)*100)))</f>
        <v>-26.315952920716747</v>
      </c>
      <c r="Q137" s="166">
        <f>(-Q130*4)/Q127*100</f>
        <v>12.239020878329733</v>
      </c>
      <c r="R137" s="156">
        <f>IF(ISERROR((Q137/I137-1)*100),"NA",IF(((Q137/I137-1)*100)&gt;100,"NM",IF(((Q137/I137-1)*100)&lt;-50,"NM",(Q137/I137-1)*100)))</f>
        <v>-29.466594356199682</v>
      </c>
      <c r="S137" s="166">
        <f>(-S130*4)/S127*100</f>
        <v>15.891588561876901</v>
      </c>
      <c r="T137" s="156">
        <f>IF(ISERROR((S137/K137-1)*100),"NA",IF(((S137/K137-1)*100)&gt;100,"NM",IF(((S137/K137-1)*100)&lt;-50,"NM",(S137/K137-1)*100)))</f>
        <v>25.88970305304661</v>
      </c>
      <c r="U137" s="166">
        <f>(-U130*4)/U127*100</f>
        <v>11.959295170053732</v>
      </c>
      <c r="V137" s="156">
        <f>IF(ISERROR((U137/M137-1)*100),"NA",IF(((U137/M137-1)*100)&gt;100,"NM",IF(((U137/M137-1)*100)&lt;-50,"NM",(U137/M137-1)*100)))</f>
        <v>-7.1558531543135517</v>
      </c>
      <c r="W137" s="166">
        <f>(-W130*4)/W127*100</f>
        <v>18.464382691085561</v>
      </c>
      <c r="X137" s="156">
        <f>IF(ISERROR((W137/O137-1)*100),"NA",IF(((W137/O137-1)*100)&gt;100,"NM",IF(((W137/O137-1)*100)&lt;-50,"NM",(W137/O137-1)*100)))</f>
        <v>53.398242269258532</v>
      </c>
      <c r="Y137" s="166">
        <f>(-Y130*4)/Y127*100</f>
        <v>21.86032121058701</v>
      </c>
      <c r="Z137" s="156">
        <f>IF(ISERROR((Y137/Q137-1)*100),"NA",IF(((Y137/Q137-1)*100)&gt;100,"NM",IF(((Y137/Q137-1)*100)&lt;-50,"NM",(Y137/Q137-1)*100)))</f>
        <v>78.611683302972708</v>
      </c>
      <c r="AA137" s="166">
        <f>(-AA130*4)/AA127*100</f>
        <v>6.7739394621357043</v>
      </c>
      <c r="AB137" s="156" t="str">
        <f>IF(ISERROR((AA137/S137-1)*100),"NA",IF(((AA137/S137-1)*100)&gt;100,"NM",IF(((AA137/S137-1)*100)&lt;-50,"NM",(AA137/S137-1)*100)))</f>
        <v>NM</v>
      </c>
      <c r="AC137" s="166">
        <f>(-AC130*4)/AC127*100</f>
        <v>12.296304479920456</v>
      </c>
      <c r="AD137" s="156">
        <f>IF(ISERROR((AC137/U137-1)*100),"NA",IF(((AC137/U137-1)*100)&gt;100,"NM",IF(((AC137/U137-1)*100)&lt;-50,"NM",(AC137/U137-1)*100)))</f>
        <v>2.8179696635517448</v>
      </c>
      <c r="AE137" s="166">
        <f>(-AE130*4)/AE127*100</f>
        <v>14.277313287821841</v>
      </c>
      <c r="AF137" s="156">
        <f>IF(ISERROR((AE137/W137-1)*100),"NA",IF(((AE137/W137-1)*100)&gt;100,"NM",IF(((AE137/W137-1)*100)&lt;-50,"NM",(AE137/W137-1)*100)))</f>
        <v>-22.676465676186396</v>
      </c>
      <c r="AG137" s="166">
        <f>(-AG130*4)/AG127*100</f>
        <v>13.236794307183199</v>
      </c>
      <c r="AH137" s="156">
        <f>IF(ISERROR((AG137/Y137-1)*100),"NA",IF(((AG137/Y137-1)*100)&gt;100,"NM",IF(((AG137/Y137-1)*100)&lt;-50,"NM",(AG137/Y137-1)*100)))</f>
        <v>-39.44830828573285</v>
      </c>
      <c r="AI137" s="166">
        <f>(-AI130*4)/AI127*100</f>
        <v>12.129634225023574</v>
      </c>
      <c r="AJ137" s="156">
        <f>IF(ISERROR((AI137/AA137-1)*100),"NA",IF(((AI137/AA137-1)*100)&gt;100,"NM",IF(((AI137/AA137-1)*100)&lt;-50,"NM",(AI137/AA137-1)*100)))</f>
        <v>79.063221524558955</v>
      </c>
      <c r="AK137" s="166">
        <f>(-AK130*4)/AK127*100</f>
        <v>8.7066660411877841</v>
      </c>
      <c r="AL137" s="156">
        <f>IF(ISERROR((AK137/AC137-1)*100),"NA",IF(((AK137/AC137-1)*100)&gt;100,"NM",IF(((AK137/AC137-1)*100)&lt;-50,"NM",(AK137/AC137-1)*100)))</f>
        <v>-29.192823295767102</v>
      </c>
      <c r="AM137" s="166">
        <f>(-AM130*4)/AM127*100</f>
        <v>12.6886300811166</v>
      </c>
      <c r="AN137" s="156">
        <f>IF(ISERROR((AM137/AE137-1)*100),"NA",IF(((AM137/AE137-1)*100)&gt;100,"NM",IF(((AM137/AE137-1)*100)&lt;-50,"NM",(AM137/AE137-1)*100)))</f>
        <v>-11.127326091949975</v>
      </c>
      <c r="AO137" s="166">
        <f>(-AO130*4)/AO127*100</f>
        <v>14.25364758698092</v>
      </c>
      <c r="AP137" s="156">
        <f>IF(ISERROR((AO137/AG137-1)*100),"NA",IF(((AO137/AG137-1)*100)&gt;100,"NM",IF(((AO137/AG137-1)*100)&lt;-50,"NM",(AO137/AG137-1)*100)))</f>
        <v>7.6820207083365011</v>
      </c>
      <c r="AQ137" s="166">
        <f>(-AQ130*4)/AQ127*100</f>
        <v>7.3369906612504714</v>
      </c>
      <c r="AR137" s="156">
        <f>IF(ISERROR((AQ137/AI137-1)*100),"NA",IF(((AQ137/AI137-1)*100)&gt;100,"NM",IF(((AQ137/AI137-1)*100)&lt;-50,"NM",(AQ137/AI137-1)*100)))</f>
        <v>-39.51185563275952</v>
      </c>
      <c r="AS137" s="166">
        <f>(-AS130*4)/AS127*100</f>
        <v>14.510592488777851</v>
      </c>
      <c r="AT137" s="156">
        <f>IF(ISERROR((AS137/AK137-1)*100),"NA",IF(((AS137/AK137-1)*100)&gt;100,"NM",IF(((AS137/AK137-1)*100)&lt;-50,"NM",(AS137/AK137-1)*100)))</f>
        <v>66.660722027627941</v>
      </c>
      <c r="AU137" s="166">
        <f>(-AU130*4)/AU127*100</f>
        <v>20.415523324186594</v>
      </c>
      <c r="AV137" s="156">
        <f>IF(ISERROR((AU137/AM137-1)*100),"NA",IF(((AU137/AM137-1)*100)&gt;100,"NM",IF(((AU137/AM137-1)*100)&lt;-50,"NM",(AU137/AM137-1)*100)))</f>
        <v>60.896197569580558</v>
      </c>
      <c r="AW137" s="166">
        <f>(-AW130*4)/AW127*100</f>
        <v>12.20535588261712</v>
      </c>
      <c r="AX137" s="156">
        <f>IF(ISERROR((AW137/AO137-1)*100),"NA",IF(((AW137/AO137-1)*100)&gt;100,"NM",IF(((AW137/AO137-1)*100)&lt;-50,"NM",(AW137/AO137-1)*100)))</f>
        <v>-14.370298492820044</v>
      </c>
      <c r="AY137" s="166">
        <f>(-AY130*4)/AY127*100</f>
        <v>14.544990753140743</v>
      </c>
      <c r="AZ137" s="156">
        <f>IF(ISERROR((AY137/AQ137-1)*100),"NA",IF(((AY137/AQ137-1)*100)&gt;100,"NM",IF(((AY137/AQ137-1)*100)&lt;-50,"NM",(AY137/AQ137-1)*100)))</f>
        <v>98.241914494433672</v>
      </c>
      <c r="BA137" s="166">
        <f>(-BA130*4)/BA127*100</f>
        <v>11.761999693298574</v>
      </c>
      <c r="BB137" s="156">
        <f>IF(ISERROR((BA137/AS137-1)*100),"NA",IF(((BA137/AS137-1)*100)&gt;100,"NM",IF(((BA137/AS137-1)*100)&lt;-50,"NM",(BA137/AS137-1)*100)))</f>
        <v>-18.941974957983099</v>
      </c>
      <c r="BC137" s="166">
        <f>(-BC130*4)/BC127*100</f>
        <v>10.230964914490089</v>
      </c>
      <c r="BD137" s="156">
        <f>IF(ISERROR((BC137/AU137-1)*100),"NA",IF(((BC137/AU137-1)*100)&gt;100,"NM",IF(((BC137/AU137-1)*100)&lt;-50,"NM",(BC137/AU137-1)*100)))</f>
        <v>-49.886345052104041</v>
      </c>
      <c r="BE137" s="166">
        <f>(-BE130*4)/BE127*100</f>
        <v>10.525540275049115</v>
      </c>
      <c r="BF137" s="156">
        <f>IF(ISERROR((BE137/AW137-1)*100),"NA",IF(((BE137/AW137-1)*100)&gt;100,"NM",IF(((BE137/AW137-1)*100)&lt;-50,"NM",(BE137/AW137-1)*100)))</f>
        <v>-13.762938366757494</v>
      </c>
      <c r="BG137" s="166">
        <f>(-BG130*4)/BG127*100</f>
        <v>11.723686559171774</v>
      </c>
      <c r="BH137" s="156">
        <f>IF(ISERROR((BG137/AY137-1)*100),"NA",IF(((BG137/AY137-1)*100)&gt;100,"NM",IF(((BG137/AY137-1)*100)&lt;-50,"NM",(BG137/AY137-1)*100)))</f>
        <v>-19.397084823582688</v>
      </c>
      <c r="BI137" s="166">
        <f>(-BI130*4)/BI127*100</f>
        <v>14.450527502995842</v>
      </c>
      <c r="BJ137" s="156">
        <f>IF(ISERROR((BI137/BA137-1)*100),"NA",IF(((BI137/BA137-1)*100)&gt;100,"NM",IF(((BI137/BA137-1)*100)&lt;-50,"NM",(BI137/BA137-1)*100)))</f>
        <v>22.857744259499203</v>
      </c>
      <c r="BK137" s="166">
        <f>(-BK130*4)/BK127*100</f>
        <v>11.756661323409073</v>
      </c>
      <c r="BL137" s="156">
        <f>IF(ISERROR((BK137/BC137-1)*100),"NA",IF(((BK137/BC137-1)*100)&gt;100,"NM",IF(((BK137/BC137-1)*100)&lt;-50,"NM",(BK137/BC137-1)*100)))</f>
        <v>14.912536810268451</v>
      </c>
      <c r="BM137" s="166">
        <f>(-BM130*4)/BM127*100</f>
        <v>18.984475005743921</v>
      </c>
      <c r="BN137" s="98">
        <f>IF(ISERROR((BM137/BE137-1)*100),"NA",IF(((BM137/BE137-1)*100)&gt;100,"NM",IF(((BM137/BE137-1)*100)&lt;-50,"NM",(BM137/BE137-1)*100)))</f>
        <v>80.365800801188158</v>
      </c>
      <c r="BO137" s="137">
        <f>(-BO130*4)/BO127*100</f>
        <v>15.918153083220712</v>
      </c>
      <c r="BP137" s="98">
        <f>IF(ISERROR((BO137/BG137-1)*100),"NA",IF(((BO137/BG137-1)*100)&gt;100,"NM",IF(((BO137/BG137-1)*100)&lt;-50,"NM",(BO137/BG137-1)*100)))</f>
        <v>35.777709535977721</v>
      </c>
      <c r="BQ137" s="137">
        <f>(-BQ130*4)/BQ127*100</f>
        <v>31.640637647998449</v>
      </c>
      <c r="BR137" s="98" t="str">
        <f>IF(ISERROR((BQ137/BI137-1)*100),"NA",IF(((BQ137/BI137-1)*100)&gt;100,"NM",IF(((BQ137/BI137-1)*100)&lt;-50,"NM",(BQ137/BI137-1)*100)))</f>
        <v>NM</v>
      </c>
      <c r="BS137" s="137">
        <f>(-BS130*4)/BS127*100</f>
        <v>44.635994989490669</v>
      </c>
      <c r="BT137" s="98" t="str">
        <f>IF(ISERROR((BS137/BK137-1)*100),"NA",IF(((BS137/BK137-1)*100)&gt;100,"NM",IF(((BS137/BK137-1)*100)&lt;-50,"NM",(BS137/BK137-1)*100)))</f>
        <v>NM</v>
      </c>
      <c r="BU137" s="137">
        <f>(-BU130*4)/BU127*100</f>
        <v>59.80041645385613</v>
      </c>
      <c r="BV137" s="98" t="str">
        <f>IF(ISERROR((BU137/BM137-1)*100),"NA",IF(((BU137/BM137-1)*100)&gt;100,"NM",IF(((BU137/BM137-1)*100)&lt;-50,"NM",(BU137/BM137-1)*100)))</f>
        <v>NM</v>
      </c>
      <c r="BW137" s="137">
        <f>(-BW130*4)/BW127*100</f>
        <v>68.267174645861928</v>
      </c>
      <c r="BX137" s="98" t="str">
        <f>IF(ISERROR((BW137/BO137-1)*100),"NA",IF(((BW137/BO137-1)*100)&gt;100,"NM",IF(((BW137/BO137-1)*100)&lt;-50,"NM",(BW137/BO137-1)*100)))</f>
        <v>NM</v>
      </c>
      <c r="BY137" s="137">
        <f>(-BY130*4)/BY127*100</f>
        <v>70.858334480926999</v>
      </c>
      <c r="BZ137" s="98" t="str">
        <f>IF(ISERROR((BY137/BQ137-1)*100),"NA",IF(((BY137/BQ137-1)*100)&gt;100,"NM",IF(((BY137/BQ137-1)*100)&lt;-50,"NM",(BY137/BQ137-1)*100)))</f>
        <v>NM</v>
      </c>
      <c r="CA137" s="137">
        <f>(-CA130*4)/CA127*100</f>
        <v>50.303054630112797</v>
      </c>
      <c r="CB137" s="98">
        <f>IF(ISERROR((CA137/BS137-1)*100),"NA",IF(((CA137/BS137-1)*100)&gt;100,"NM",IF(((CA137/BS137-1)*100)&lt;-50,"NM",(CA137/BS137-1)*100)))</f>
        <v>12.696165150920047</v>
      </c>
      <c r="CC137" s="137">
        <f>(-CC130*4)/CC127*100</f>
        <v>44.686462303938839</v>
      </c>
      <c r="CD137" s="98">
        <f>IF(ISERROR((CC137/BU137-1)*100),"NA",IF(((CC137/BU137-1)*100)&gt;100,"NM",IF(((CC137/BU137-1)*100)&lt;-50,"NM",(CC137/BU137-1)*100)))</f>
        <v>-25.273994808346679</v>
      </c>
      <c r="CE137" s="137">
        <f>(-CE130*4)/CE127*100</f>
        <v>38.110205707273494</v>
      </c>
      <c r="CF137" s="98">
        <f>IF(ISERROR((CE137/BW137-1)*100),"NA",IF(((CE137/BW137-1)*100)&gt;100,"NM",IF(((CE137/BW137-1)*100)&lt;-50,"NM",(CE137/BW137-1)*100)))</f>
        <v>-44.17491875858147</v>
      </c>
      <c r="CG137" s="137">
        <f>(-CG130*4)/CG127*100</f>
        <v>56.085849095995655</v>
      </c>
      <c r="CH137" s="98">
        <f>IF(ISERROR((CG137/BY137-1)*100),"NA",IF(((CG137/BY137-1)*100)&gt;100,"NM",IF(((CG137/BY137-1)*100)&lt;-50,"NM",(CG137/BY137-1)*100)))</f>
        <v>-20.847915059177215</v>
      </c>
      <c r="CI137" s="137">
        <f>(-CI130*4)/CI127*100</f>
        <v>49.047394605917773</v>
      </c>
      <c r="CJ137" s="98">
        <f>IF(ISERROR((CI137/CA137-1)*100),"NA",IF(((CI137/CA137-1)*100)&gt;100,"NM",IF(((CI137/CA137-1)*100)&lt;-50,"NM",(CI137/CA137-1)*100)))</f>
        <v>-2.4961904071792662</v>
      </c>
      <c r="CK137" s="137">
        <f>(-CK130*4)/CK127*100</f>
        <v>53.606184072133885</v>
      </c>
      <c r="CL137" s="98">
        <f>IF(ISERROR((CK137/CC137-1)*100),"NA",IF(((CK137/CC137-1)*100)&gt;100,"NM",IF(((CK137/CC137-1)*100)&lt;-50,"NM",(CK137/CC137-1)*100)))</f>
        <v>19.960680054569522</v>
      </c>
      <c r="CM137" s="137">
        <f>(-CM130*4)/CM127*100</f>
        <v>58.326762340324869</v>
      </c>
      <c r="CN137" s="98">
        <f>IF(ISERROR((CM137/CE137-1)*100),"NA",IF(((CM137/CE137-1)*100)&gt;100,"NM",IF(((CM137/CE137-1)*100)&lt;-50,"NM",(CM137/CE137-1)*100)))</f>
        <v>53.047618762112748</v>
      </c>
      <c r="CO137" s="137">
        <f>(-CO130*4)/CO127*100</f>
        <v>41.491173737999382</v>
      </c>
      <c r="CP137" s="98">
        <f>IF(ISERROR((CO137/CG137-1)*100),"NA",IF(((CO137/CG137-1)*100)&gt;100,"NM",IF(((CO137/CG137-1)*100)&lt;-50,"NM",(CO137/CG137-1)*100)))</f>
        <v>-26.022028003919949</v>
      </c>
      <c r="CQ137" s="494">
        <f>(-CQ130*4)/CQ127*100</f>
        <v>66.379689682220828</v>
      </c>
      <c r="CR137" s="98">
        <f>IF(ISERROR((CQ137/CI137-1)*100),"NA",IF(((CQ137/CI137-1)*100)&gt;100,"NM",IF(((CQ137/CI137-1)*100)&lt;-50,"NM",(CQ137/CI137-1)*100)))</f>
        <v>35.337850696378958</v>
      </c>
      <c r="CS137" s="137">
        <f>(-CS130*4)/CS127*100</f>
        <v>47.773581297509203</v>
      </c>
      <c r="CT137" s="98">
        <f>IF(ISERROR((CS137/CK137-1)*100),"NA",IF(((CS137/CK137-1)*100)&gt;100,"NM",IF(((CS137/CK137-1)*100)&lt;-50,"NM",(CS137/CK137-1)*100)))</f>
        <v>-10.880466266310208</v>
      </c>
      <c r="CU137" s="137">
        <f>(-CU130*4)/CU127*100</f>
        <v>55.628914208103829</v>
      </c>
      <c r="CV137" s="98">
        <f>IF(ISERROR((CU137/CM137-1)*100),"NA",IF(((CU137/CM137-1)*100)&gt;100,"NM",IF(((CU137/CM137-1)*100)&lt;-50,"NM",(CU137/CM137-1)*100)))</f>
        <v>-4.6254035437105934</v>
      </c>
      <c r="CW137" s="137">
        <f>(-CW130*4)/CW127*100</f>
        <v>54.957125319598667</v>
      </c>
      <c r="CX137" s="98">
        <f>IF(ISERROR((CW137/CO137-1)*100),"NA",IF(((CW137/CO137-1)*100)&gt;100,"NM",IF(((CW137/CO137-1)*100)&lt;-50,"NM",(CW137/CO137-1)*100)))</f>
        <v>32.45497865794669</v>
      </c>
      <c r="CY137" s="137">
        <f>(-CY130*4)/CY127*100</f>
        <v>42.044918290658046</v>
      </c>
      <c r="CZ137" s="98">
        <f>IF(ISERROR((CY137/CQ137-1)*100),"NA",IF(((CY137/CQ137-1)*100)&gt;100,"NM",IF(((CY137/CQ137-1)*100)&lt;-50,"NM",(CY137/CQ137-1)*100)))</f>
        <v>-36.659965582937367</v>
      </c>
      <c r="DA137" s="137">
        <f>(-DA130*4)/DA127*100</f>
        <v>33.142749380673585</v>
      </c>
      <c r="DB137" s="98">
        <f>IF(ISERROR((DA137/CS137-1)*100),"NA",IF(((DA137/CS137-1)*100)&gt;100,"NM",IF(((DA137/CS137-1)*100)&lt;-50,"NM",(DA137/CS137-1)*100)))</f>
        <v>-30.625361380639127</v>
      </c>
      <c r="DC137" s="137">
        <f>(-DC130*4)/DC127*100</f>
        <v>40.25318621161577</v>
      </c>
      <c r="DD137" s="98">
        <f>IF(ISERROR((DC137/CU137-1)*100),"NA",IF(((DC137/CU137-1)*100)&gt;100,"NM",IF(((DC137/CU137-1)*100)&lt;-50,"NM",(DC137/CU137-1)*100)))</f>
        <v>-27.639813243466428</v>
      </c>
      <c r="DE137" s="137">
        <f>(-DE130*4)/DE127*100</f>
        <v>58.674184265062465</v>
      </c>
      <c r="DF137" s="98">
        <f>IF(ISERROR((DE137/CW137-1)*100),"NA",IF(((DE137/CW137-1)*100)&gt;100,"NM",IF(((DE137/CW137-1)*100)&lt;-50,"NM",(DE137/CW137-1)*100)))</f>
        <v>6.7635614560396684</v>
      </c>
      <c r="DG137" s="137">
        <f>(-DG130*4)/DG127*100</f>
        <v>45.258241024956625</v>
      </c>
      <c r="DH137" s="98">
        <f>IF(ISERROR((DG137/CY137-1)*100),"NA",IF(((DG137/CY137-1)*100)&gt;100,"NM",IF(((DG137/CY137-1)*100)&lt;-50,"NM",(DG137/CY137-1)*100)))</f>
        <v>7.642594788946333</v>
      </c>
      <c r="DI137" s="137">
        <f>(-DI130*4)/DI127*100</f>
        <v>41.667940613112961</v>
      </c>
      <c r="DJ137" s="98">
        <f>IF(ISERROR((DI137/DA137-1)*100),"NA",IF(((DI137/DA137-1)*100)&gt;100,"NM",IF(((DI137/DA137-1)*100)&lt;-50,"NM",(DI137/DA137-1)*100)))</f>
        <v>25.722643388815047</v>
      </c>
      <c r="DK137" s="137">
        <f>(-DK130*4)/DK127*100</f>
        <v>52.25603357817419</v>
      </c>
      <c r="DL137" s="98">
        <f>IF(ISERROR((DK137/DC137-1)*100),"NA",IF(((DK137/DC137-1)*100)&gt;100,"NM",IF(((DK137/DC137-1)*100)&lt;-50,"NM",(DK137/DC137-1)*100)))</f>
        <v>29.81837836005834</v>
      </c>
      <c r="DM137" s="137">
        <f>(-DM130*4)/DM127*100</f>
        <v>60.905035749002934</v>
      </c>
      <c r="DN137" s="98">
        <f>IF(ISERROR((DM137/DE137-1)*100),"NA",IF(((DM137/DE137-1)*100)&gt;100,"NM",IF(((DM137/DE137-1)*100)&lt;-50,"NM",(DM137/DE137-1)*100)))</f>
        <v>3.8021005521994722</v>
      </c>
      <c r="DO137" s="137">
        <f>(-DO130*4)/DO127*100</f>
        <v>53.94683651194336</v>
      </c>
      <c r="DP137" s="98">
        <f>IF(ISERROR((DO137/DG137-1)*100),"NA",IF(((DO137/DG137-1)*100)&gt;100,"NM",IF(((DO137/DG137-1)*100)&lt;-50,"NM",(DO137/DG137-1)*100)))</f>
        <v>19.197819646140491</v>
      </c>
      <c r="DQ137" s="137">
        <f>(-DQ130*4)/DQ127*100</f>
        <v>55.56152890267655</v>
      </c>
      <c r="DR137" s="98">
        <f>IF(ISERROR((DQ137/DI137-1)*100),"NA",IF(((DQ137/DI137-1)*100)&gt;100,"NM",IF(((DQ137/DI137-1)*100)&lt;-50,"NM",(DQ137/DI137-1)*100)))</f>
        <v>33.343592424126811</v>
      </c>
      <c r="DS137" s="137">
        <f>(-DS130*4)/DS127*100</f>
        <v>50.707506206642897</v>
      </c>
      <c r="DT137" s="98">
        <f>IF(ISERROR((DS137/DK137-1)*100),"NA",IF(((DS137/DK137-1)*100)&gt;100,"NM",IF(((DS137/DK137-1)*100)&lt;-50,"NM",(DS137/DK137-1)*100)))</f>
        <v>-2.9633465563640993</v>
      </c>
      <c r="DU137" s="137">
        <f>(-DU130*4)/DU127*100</f>
        <v>58.261169360562981</v>
      </c>
      <c r="DV137" s="98">
        <f>IF(ISERROR((DU137/DM137-1)*100),"NA",IF(((DU137/DM137-1)*100)&gt;100,"NM",IF(((DU137/DM137-1)*100)&lt;-50,"NM",(DU137/DM137-1)*100)))</f>
        <v>-4.3409651696711071</v>
      </c>
      <c r="DW137" s="137">
        <f>(-DW130*4)/DW127*100</f>
        <v>70.951720712704088</v>
      </c>
      <c r="DX137" s="98">
        <f>IF(ISERROR((DW137/DO137-1)*100),"NA",IF(((DW137/DO137-1)*100)&gt;100,"NM",IF(((DW137/DO137-1)*100)&lt;-50,"NM",(DW137/DO137-1)*100)))</f>
        <v>31.521559557984457</v>
      </c>
      <c r="DY137" s="137">
        <f>(-DY130*4)/DY127*100</f>
        <v>50.955574977097797</v>
      </c>
      <c r="DZ137" s="98">
        <f>IF(ISERROR((DY137/DQ137-1)*100),"NA",IF(((DY137/DQ137-1)*100)&gt;100,"NM",IF(((DY137/DQ137-1)*100)&lt;-50,"NM",(DY137/DQ137-1)*100)))</f>
        <v>-8.2898257419206303</v>
      </c>
      <c r="EA137" s="137">
        <f>(-EA130*4)/EA127*100</f>
        <v>44.07343493357174</v>
      </c>
      <c r="EB137" s="98">
        <f>IF(ISERROR((EA137/DS137-1)*100),"NA",IF(((EA137/DS137-1)*100)&gt;100,"NM",IF(((EA137/DS137-1)*100)&lt;-50,"NM",(EA137/DS137-1)*100)))</f>
        <v>-13.083016242281831</v>
      </c>
      <c r="EC137" s="137">
        <f>(-EC130*4)/EC127*100</f>
        <v>57.771809895833336</v>
      </c>
      <c r="ED137" s="98">
        <f>IF(ISERROR((EC137/DU137-1)*100),"NA",IF(((EC137/DU137-1)*100)&gt;100,"NM",IF(((EC137/DU137-1)*100)&lt;-50,"NM",(EC137/DU137-1)*100)))</f>
        <v>-0.83994102779010316</v>
      </c>
      <c r="EE137" s="137">
        <f>(-EE130*4)/EE127*100</f>
        <v>63.620361895374224</v>
      </c>
      <c r="EF137" s="860">
        <f>IF(ISERROR((EE137/DW137-1)*100),"NA",IF(((EE137/DW137-1)*100)&gt;100,"NM",IF(((EE137/DW137-1)*100)&lt;-50,"NM",(EE137/DW137-1)*100)))</f>
        <v>-10.332883746422183</v>
      </c>
      <c r="EG137" s="137">
        <f>(-EG130*4)/EG127*100</f>
        <v>63.248265318123018</v>
      </c>
      <c r="EH137" s="860">
        <f>IF(ISERROR((EG137/DY137-1)*100),"NA",IF(((EG137/DY137-1)*100)&gt;100,"NM",IF(((EG137/DY137-1)*100)&lt;-50,"NM",(EG137/DY137-1)*100)))</f>
        <v>24.124328587304177</v>
      </c>
      <c r="EI137" s="137">
        <f>(-EI130*4)/EI127*100</f>
        <v>58.849823269368983</v>
      </c>
      <c r="EJ137" s="860">
        <f t="shared" ref="EJ137:EJ138" si="712">IF(ISERROR((EI137/EA137-1)*100),"NA",IF(((EI137/EA137-1)*100)&gt;100,"NM",IF(((EI137/EA137-1)*100)&lt;-50,"NM",(EI137/EA137-1)*100)))</f>
        <v>33.52674543762808</v>
      </c>
      <c r="EK137" s="137">
        <f>(-EK130*4)/EK127*100</f>
        <v>76.176181054396238</v>
      </c>
      <c r="EL137" s="860">
        <f t="shared" ref="EL137:EL138" si="713">IF(ISERROR((EK137/EC137-1)*100),"NA",IF(((EK137/EC137-1)*100)&gt;100,"NM",IF(((EK137/EC137-1)*100)&lt;-50,"NM",(EK137/EC137-1)*100)))</f>
        <v>31.857009831866591</v>
      </c>
      <c r="EM137" s="137">
        <f>(-EM130*4)/EM127*100</f>
        <v>61.599156811742752</v>
      </c>
      <c r="EN137" s="860">
        <f t="shared" ref="EN137:EN138" si="714">IF(ISERROR((EM137/EE137-1)*100),"NA",IF(((EM137/EE137-1)*100)&gt;100,"NM",IF(((EM137/EE137-1)*100)&lt;-50,"NM",(EM137/EE137-1)*100)))</f>
        <v>-3.1769782871644336</v>
      </c>
      <c r="EO137" s="137">
        <f>(-EO130*4)/EO127*100</f>
        <v>63.048016701461371</v>
      </c>
      <c r="EP137" s="98">
        <f t="shared" ref="EP137:EP138" si="715">IF(ISERROR((EO137/EG137-1)*100),"NA",IF(((EO137/EG137-1)*100)&gt;100,"NM",IF(((EO137/EG137-1)*100)&lt;-50,"NM",(EO137/EG137-1)*100)))</f>
        <v>-0.31660728662588067</v>
      </c>
      <c r="EQ137" s="1026">
        <f t="shared" ref="EQ137:EQ138" si="716">EO137</f>
        <v>63.048016701461371</v>
      </c>
      <c r="ER137" s="98">
        <f t="shared" ref="ER137:ER138" si="717">IF(ISERROR((EQ137/EI137-1)*100),"NA",IF(((EQ137/EI137-1)*100)&gt;100,"NM",IF(((EQ137/EI137-1)*100)&lt;-50,"NM",(EQ137/EI137-1)*100)))</f>
        <v>7.1337400842757193</v>
      </c>
      <c r="ES137" s="1026">
        <f t="shared" ref="ES137:ES138" si="718">EQ137</f>
        <v>63.048016701461371</v>
      </c>
      <c r="ET137" s="98">
        <f t="shared" ref="ET137:ET138" si="719">IF(ISERROR((ES137/EK137-1)*100),"NA",IF(((ES137/EK137-1)*100)&gt;100,"NM",IF(((ES137/EK137-1)*100)&lt;-50,"NM",(ES137/EK137-1)*100)))</f>
        <v>-17.233949209872112</v>
      </c>
      <c r="EU137" s="1026">
        <f t="shared" ref="EU137:EU138" si="720">ES137</f>
        <v>63.048016701461371</v>
      </c>
      <c r="EV137" s="98">
        <f t="shared" ref="EV137:EV138" si="721">IF(ISERROR((EU137/EM137-1)*100),"NA",IF(((EU137/EM137-1)*100)&gt;100,"NM",IF(((EU137/EM137-1)*100)&lt;-50,"NM",(EU137/EM137-1)*100)))</f>
        <v>2.3520774710384051</v>
      </c>
      <c r="EW137" s="1026">
        <f t="shared" ref="EW137:EW138" si="722">EU137</f>
        <v>63.048016701461371</v>
      </c>
      <c r="EX137" s="98">
        <f t="shared" ref="EX137:EX138" si="723">IF(ISERROR((EW137/EO137-1)*100),"NA",IF(((EW137/EO137-1)*100)&gt;100,"NM",IF(((EW137/EO137-1)*100)&lt;-50,"NM",(EW137/EO137-1)*100)))</f>
        <v>0</v>
      </c>
      <c r="EY137" s="80"/>
      <c r="EZ137" s="594"/>
      <c r="FA137" s="405"/>
      <c r="FB137" s="114" t="s">
        <v>494</v>
      </c>
      <c r="FC137" s="98"/>
      <c r="FD137" s="137">
        <f>(-FD130)/FD127*100</f>
        <v>16.555982756611908</v>
      </c>
      <c r="FE137" s="98" t="str">
        <f>IF(ISERROR((FD137/FB137-1)*100),"NA",IF(((FD137/FB137-1)*100)&gt;100,"NM",IF(((FD137/FB137-1)*100)&lt;-50,"NM",(FD137/FB137-1)*100)))</f>
        <v>NA</v>
      </c>
      <c r="FF137" s="125">
        <f>(-FF130)/FF127*100</f>
        <v>16.67722521381058</v>
      </c>
      <c r="FG137" s="98">
        <f>IF(ISERROR((FF137/FD137-1)*100),"NA",IF(((FF137/FD137-1)*100)&gt;100,"NM",IF(((FF137/FD137-1)*100)&lt;-50,"NM",(FF137/FD137-1)*100)))</f>
        <v>0.73231809298817119</v>
      </c>
      <c r="FH137" s="125">
        <f>(-FH130)/FH127*100</f>
        <v>12.648814173671219</v>
      </c>
      <c r="FI137" s="98">
        <f>IF(ISERROR((FH137/FF137-1)*100),"NA",IF(((FH137/FF137-1)*100)&gt;100,"NM",IF(((FH137/FF137-1)*100)&lt;-50,"NM",(FH137/FF137-1)*100)))</f>
        <v>-24.155163634795752</v>
      </c>
      <c r="FJ137" s="125">
        <f>(-FJ130)/FJ127*100</f>
        <v>17.515895047909016</v>
      </c>
      <c r="FK137" s="98">
        <f>IF(ISERROR((FJ137/FH137-1)*100),"NA",IF(((FJ137/FH137-1)*100)&gt;100,"NM",IF(((FJ137/FH137-1)*100)&lt;-50,"NM",(FJ137/FH137-1)*100)))</f>
        <v>38.478554648772764</v>
      </c>
      <c r="FL137" s="125">
        <f>(-FL130)/FL127*100</f>
        <v>12.493318704813346</v>
      </c>
      <c r="FM137" s="98">
        <f>IF(ISERROR((FL137/FJ137-1)*100),"NA",IF(((FL137/FJ137-1)*100)&gt;100,"NM",IF(((FL137/FJ137-1)*100)&lt;-50,"NM",(FL137/FJ137-1)*100)))</f>
        <v>-28.674391627479224</v>
      </c>
      <c r="FN137" s="125">
        <f>(-FN130)/FN127*100</f>
        <v>12.90634770956375</v>
      </c>
      <c r="FO137" s="98">
        <f>IF(ISERROR((FN137/FL137-1)*100),"NA",IF(((FN137/FL137-1)*100)&gt;100,"NM",IF(((FN137/FL137-1)*100)&lt;-50,"NM",(FN137/FL137-1)*100)))</f>
        <v>3.3059991064766203</v>
      </c>
      <c r="FP137" s="125">
        <f>(-FP130)/FP127*100</f>
        <v>16.649604669904818</v>
      </c>
      <c r="FQ137" s="98">
        <f>IF(ISERROR((FP137/FN137-1)*100),"NA",IF(((FP137/FN137-1)*100)&gt;100,"NM",IF(((FP137/FN137-1)*100)&lt;-50,"NM",(FP137/FN137-1)*100)))</f>
        <v>29.003224185315201</v>
      </c>
      <c r="FR137" s="130">
        <f>(-FR130)/FR127*100</f>
        <v>11.894649575919903</v>
      </c>
      <c r="FS137" s="120">
        <f>IF(ISERROR((FR137/FP137-1)*100),"NA",IF(((FR137/FP137-1)*100)&gt;100,"NM",IF(((FR137/FP137-1)*100)&lt;-50,"NM",(FR137/FP137-1)*100)))</f>
        <v>-28.558966944000709</v>
      </c>
      <c r="FT137" s="130">
        <f>(-FT130)/FT127*100</f>
        <v>14.872374605819003</v>
      </c>
      <c r="FU137" s="120">
        <f>IF(ISERROR((FT137/FR137-1)*100),"NA",IF(((FT137/FR137-1)*100)&gt;100,"NM",IF(((FT137/FR137-1)*100)&lt;-50,"NM",(FT137/FR137-1)*100)))</f>
        <v>25.034155154325433</v>
      </c>
      <c r="FV137" s="130">
        <f>(-FV130)/FV127*100</f>
        <v>40.906704790412476</v>
      </c>
      <c r="FW137" s="98" t="str">
        <f>IF(ISERROR((FV137/FT137-1)*100),"NA",IF(((FV137/FT137-1)*100)&gt;100,"NM",IF(((FV137/FT137-1)*100)&lt;-50,"NM",(FV137/FT137-1)*100)))</f>
        <v>NM</v>
      </c>
      <c r="FX137" s="487">
        <f>(-FX130)/FX127*100</f>
        <v>58.628465182518561</v>
      </c>
      <c r="FY137" s="98">
        <f>IF(ISERROR((FX137/FV137-1)*100),"NA",IF(((FX137/FV137-1)*100)&gt;100,"NM",IF(((FX137/FV137-1)*100)&lt;-50,"NM",(FX137/FV137-1)*100)))</f>
        <v>43.32238561601185</v>
      </c>
      <c r="FZ137" s="130">
        <f>(-FZ130)/FZ127*100</f>
        <v>51.682188655236338</v>
      </c>
      <c r="GA137" s="98">
        <f>IF(ISERROR((FZ137/FX137-1)*100),"NA",IF(((FZ137/FX137-1)*100)&gt;100,"NM",IF(((FZ137/FX137-1)*100)&lt;-50,"NM",(FZ137/FX137-1)*100)))</f>
        <v>-11.847959017275134</v>
      </c>
      <c r="GB137" s="487">
        <f>(-GB130)/GB127*100</f>
        <v>58.12837369515448</v>
      </c>
      <c r="GC137" s="98">
        <f>IF(ISERROR((GB137/FZ137-1)*100),"NA",IF(((GB137/FZ137-1)*100)&gt;100,"NM",IF(((GB137/FZ137-1)*100)&lt;-50,"NM",(GB137/FZ137-1)*100)))</f>
        <v>12.472740043808162</v>
      </c>
      <c r="GD137" s="130">
        <f>(-GD130)/GD127*100</f>
        <v>48.407907643552406</v>
      </c>
      <c r="GE137" s="98">
        <f>IF(ISERROR((GD137/GB137-1)*100),"NA",IF(((GD137/GB137-1)*100)&gt;100,"NM",IF(((GD137/GB137-1)*100)&lt;-50,"NM",(GD137/GB137-1)*100)))</f>
        <v>-16.722411851017192</v>
      </c>
      <c r="GF137" s="130">
        <f>(-GF130)/GF127*100</f>
        <v>45.803609614233167</v>
      </c>
      <c r="GG137" s="98">
        <f>IF(ISERROR((GF137/GD137-1)*100),"NA",IF(((GF137/GD137-1)*100)&gt;100,"NM",IF(((GF137/GD137-1)*100)&lt;-50,"NM",(GF137/GD137-1)*100)))</f>
        <v>-5.3799020781806313</v>
      </c>
      <c r="GH137" s="130">
        <f>(-GH130)/GH127*100</f>
        <v>55.333736461130776</v>
      </c>
      <c r="GI137" s="98">
        <f>IF(ISERROR((GH137/GF137-1)*100),"NA",IF(((GH137/GF137-1)*100)&gt;100,"NM",IF(((GH137/GF137-1)*100)&lt;-50,"NM",(GH137/GF137-1)*100)))</f>
        <v>20.806497407436165</v>
      </c>
      <c r="GJ137" s="130">
        <f>(-GJ130)/GJ127*100</f>
        <v>57.226780003882347</v>
      </c>
      <c r="GK137" s="98">
        <f>IF(ISERROR((GJ137/GH137-1)*100),"NA",IF(((GJ137/GH137-1)*100)&gt;100,"NM",IF(((GJ137/GH137-1)*100)&lt;-50,"NM",(GJ137/GH137-1)*100)))</f>
        <v>3.4211381045654576</v>
      </c>
      <c r="GL137" s="130">
        <f>(-GL130)/GL127*100</f>
        <v>58.989126140923553</v>
      </c>
      <c r="GM137" s="98">
        <f>IF(ISERROR((GL137/GJ137-1)*100),"NA",IF(((GL137/GJ137-1)*100)&gt;100,"NM",IF(((GL137/GJ137-1)*100)&lt;-50,"NM",(GL137/GJ137-1)*100)))</f>
        <v>3.0795829101718519</v>
      </c>
      <c r="GN137" s="130">
        <f>(-GN130)/GN127*100</f>
        <v>66.281370917719343</v>
      </c>
      <c r="GO137" s="98">
        <f>IF(ISERROR((GN137/GL137-1)*100),"NA",IF(((GN137/GL137-1)*100)&gt;100,"NM",IF(((GN137/GL137-1)*100)&lt;-50,"NM",(GN137/GL137-1)*100)))</f>
        <v>12.36201526256686</v>
      </c>
      <c r="GP137" s="130">
        <f>(-GP130)/GP127*100</f>
        <v>63.544437438908673</v>
      </c>
      <c r="GQ137" s="98">
        <f>IF(ISERROR((GP137/GN137-1)*100),"NA",IF(((GP137/GN137-1)*100)&gt;100,"NM",IF(((GP137/GN137-1)*100)&lt;-50,"NM",(GP137/GN137-1)*100)))</f>
        <v>-4.1292650422216752</v>
      </c>
      <c r="GR137" s="80">
        <f>GP137</f>
        <v>63.544437438908673</v>
      </c>
      <c r="GS137" s="98">
        <f>IF(ISERROR((GR137/GP137-1)*100),"NA",IF(((GR137/GP137-1)*100)&gt;100,"NM",IF(((GR137/GP137-1)*100)&lt;-50,"NM",(GR137/GP137-1)*100)))</f>
        <v>0</v>
      </c>
      <c r="GT137" s="80">
        <f>GR137</f>
        <v>63.544437438908673</v>
      </c>
      <c r="GU137" s="98">
        <f>IF(ISERROR((GT137/GR137-1)*100),"NA",IF(((GT137/GR137-1)*100)&gt;100,"NM",IF(((GT137/GR137-1)*100)&lt;-50,"NM",(GT137/GR137-1)*100)))</f>
        <v>0</v>
      </c>
      <c r="GV137" s="80">
        <f>GT137</f>
        <v>63.544437438908673</v>
      </c>
      <c r="GW137" s="98">
        <f>IF(ISERROR((GV137/GT137-1)*100),"NA",IF(((GV137/GT137-1)*100)&gt;100,"NM",IF(((GV137/GT137-1)*100)&lt;-50,"NM",(GV137/GT137-1)*100)))</f>
        <v>0</v>
      </c>
      <c r="GX137" s="80">
        <f>GV137</f>
        <v>63.544437438908673</v>
      </c>
      <c r="GY137" s="98">
        <f>IF(ISERROR((GX137/GV137-1)*100),"NA",IF(((GX137/GV137-1)*100)&gt;100,"NM",IF(((GX137/GV137-1)*100)&lt;-50,"NM",(GX137/GV137-1)*100)))</f>
        <v>0</v>
      </c>
      <c r="GZ137" s="98">
        <f>IF(ISERROR(((GX137/GN137)^0.2-1)*100),"NA",IF((((GX137/GN137)^0.2-1)*100)&gt;100,"NM",IF((((GX137/GN137)^0.2-1)*100)&lt;-50,"NM",((GX137/GN137)^0.2-1)*100)))</f>
        <v>-0.83984171337498914</v>
      </c>
      <c r="HA137" s="98"/>
      <c r="HB137" s="10"/>
      <c r="HC137"/>
      <c r="HD137"/>
      <c r="HE137"/>
      <c r="HF137"/>
      <c r="HG137"/>
      <c r="HH137"/>
      <c r="HI137" s="10"/>
    </row>
    <row r="138" spans="2:217" s="2" customFormat="1" ht="12.75" customHeight="1" x14ac:dyDescent="0.2">
      <c r="B138" s="91" t="s">
        <v>218</v>
      </c>
      <c r="C138" s="241">
        <f t="shared" ref="C138:Y138" si="724">(-C131*4)/C127*100</f>
        <v>5.7903072537218883</v>
      </c>
      <c r="D138" s="241"/>
      <c r="E138" s="241">
        <f t="shared" si="724"/>
        <v>6.6100937918713711</v>
      </c>
      <c r="F138" s="241"/>
      <c r="G138" s="241">
        <f t="shared" si="724"/>
        <v>5.3230496902263242</v>
      </c>
      <c r="H138" s="241"/>
      <c r="I138" s="241">
        <f t="shared" si="724"/>
        <v>5.7035790275969394</v>
      </c>
      <c r="J138" s="156"/>
      <c r="K138" s="241">
        <f t="shared" si="724"/>
        <v>5.4868141482314714</v>
      </c>
      <c r="L138" s="156">
        <f>IF(ISERROR((K138/C138-1)*100),"NA",IF(((K138/C138-1)*100)&gt;100,"NM",IF(((K138/C138-1)*100)&lt;-50,"NM",(K138/C138-1)*100)))</f>
        <v>-5.2413989826764045</v>
      </c>
      <c r="M138" s="241">
        <f t="shared" si="724"/>
        <v>5.6239447429009974</v>
      </c>
      <c r="N138" s="156">
        <f>IF(ISERROR((M138/E138-1)*100),"NA",IF(((M138/E138-1)*100)&gt;100,"NM",IF(((M138/E138-1)*100)&lt;-50,"NM",(M138/E138-1)*100)))</f>
        <v>-14.918835950301801</v>
      </c>
      <c r="O138" s="241">
        <f t="shared" si="724"/>
        <v>5.689264308561846</v>
      </c>
      <c r="P138" s="156">
        <f>IF(ISERROR((O138/G138-1)*100),"NA",IF(((O138/G138-1)*100)&gt;100,"NM",IF(((O138/G138-1)*100)&lt;-50,"NM",(O138/G138-1)*100)))</f>
        <v>6.879789587685603</v>
      </c>
      <c r="Q138" s="241">
        <f t="shared" si="724"/>
        <v>5.7955363570914322</v>
      </c>
      <c r="R138" s="156">
        <f>IF(ISERROR((Q138/I138-1)*100),"NA",IF(((Q138/I138-1)*100)&gt;100,"NM",IF(((Q138/I138-1)*100)&lt;-50,"NM",(Q138/I138-1)*100)))</f>
        <v>1.6122741361091819</v>
      </c>
      <c r="S138" s="241">
        <f t="shared" si="724"/>
        <v>5.0385051638708136</v>
      </c>
      <c r="T138" s="156">
        <f>IF(ISERROR((S138/K138-1)*100),"NA",IF(((S138/K138-1)*100)&gt;100,"NM",IF(((S138/K138-1)*100)&lt;-50,"NM",(S138/K138-1)*100)))</f>
        <v>-8.1706610110925393</v>
      </c>
      <c r="U138" s="241">
        <f t="shared" si="724"/>
        <v>5.2712154414192653</v>
      </c>
      <c r="V138" s="156">
        <f>IF(ISERROR((U138/M138-1)*100),"NA",IF(((U138/M138-1)*100)&gt;100,"NM",IF(((U138/M138-1)*100)&lt;-50,"NM",(U138/M138-1)*100)))</f>
        <v>-6.271919757514965</v>
      </c>
      <c r="W138" s="241">
        <f t="shared" si="724"/>
        <v>5.6155757120573115</v>
      </c>
      <c r="X138" s="156">
        <f>IF(ISERROR((W138/O138-1)*100),"NA",IF(((W138/O138-1)*100)&gt;100,"NM",IF(((W138/O138-1)*100)&lt;-50,"NM",(W138/O138-1)*100)))</f>
        <v>-1.2952218864860865</v>
      </c>
      <c r="Y138" s="241">
        <f t="shared" si="724"/>
        <v>6.0754366720108006</v>
      </c>
      <c r="Z138" s="156">
        <f>IF(ISERROR((Y138/Q138-1)*100),"NA",IF(((Y138/Q138-1)*100)&gt;100,"NM",IF(((Y138/Q138-1)*100)&lt;-50,"NM",(Y138/Q138-1)*100)))</f>
        <v>4.8295843158137064</v>
      </c>
      <c r="AA138" s="241">
        <f t="shared" ref="AA138:AG138" si="725">(-AA131*4)/AA127*100</f>
        <v>5.2323618768988407</v>
      </c>
      <c r="AB138" s="156">
        <f>IF(ISERROR((AA138/S138-1)*100),"NA",IF(((AA138/S138-1)*100)&gt;100,"NM",IF(((AA138/S138-1)*100)&lt;-50,"NM",(AA138/S138-1)*100)))</f>
        <v>3.8475045022896781</v>
      </c>
      <c r="AC138" s="241">
        <f t="shared" si="725"/>
        <v>5.7559520521460534</v>
      </c>
      <c r="AD138" s="156">
        <f>IF(ISERROR((AC138/U138-1)*100),"NA",IF(((AC138/U138-1)*100)&gt;100,"NM",IF(((AC138/U138-1)*100)&lt;-50,"NM",(AC138/U138-1)*100)))</f>
        <v>9.1959172626090435</v>
      </c>
      <c r="AE138" s="241">
        <f t="shared" si="725"/>
        <v>4.8170591393725548</v>
      </c>
      <c r="AF138" s="156">
        <f>IF(ISERROR((AE138/W138-1)*100),"NA",IF(((AE138/W138-1)*100)&gt;100,"NM",IF(((AE138/W138-1)*100)&lt;-50,"NM",(AE138/W138-1)*100)))</f>
        <v>-14.219674235185654</v>
      </c>
      <c r="AG138" s="241">
        <f t="shared" si="725"/>
        <v>4.6577591998208554</v>
      </c>
      <c r="AH138" s="156">
        <f>IF(ISERROR((AG138/Y138-1)*100),"NA",IF(((AG138/Y138-1)*100)&gt;100,"NM",IF(((AG138/Y138-1)*100)&lt;-50,"NM",(AG138/Y138-1)*100)))</f>
        <v>-23.334577392948663</v>
      </c>
      <c r="AI138" s="241">
        <f>(-AI131*4)/AI127*100</f>
        <v>4.6453918308600928</v>
      </c>
      <c r="AJ138" s="156">
        <f>IF(ISERROR((AI138/AA138-1)*100),"NA",IF(((AI138/AA138-1)*100)&gt;100,"NM",IF(((AI138/AA138-1)*100)&lt;-50,"NM",(AI138/AA138-1)*100)))</f>
        <v>-11.218070535798608</v>
      </c>
      <c r="AK138" s="241">
        <f>(-AK131*4)/AK127*100</f>
        <v>4.4096261199981237</v>
      </c>
      <c r="AL138" s="156">
        <f>IF(ISERROR((AK138/AC138-1)*100),"NA",IF(((AK138/AC138-1)*100)&gt;100,"NM",IF(((AK138/AC138-1)*100)&lt;-50,"NM",(AK138/AC138-1)*100)))</f>
        <v>-23.390151967057548</v>
      </c>
      <c r="AM138" s="241">
        <f>(-AM131*4)/AM127*100</f>
        <v>4.7129197444147373</v>
      </c>
      <c r="AN138" s="156">
        <f>IF(ISERROR((AM138/AE138-1)*100),"NA",IF(((AM138/AE138-1)*100)&gt;100,"NM",IF(((AM138/AE138-1)*100)&lt;-50,"NM",(AM138/AE138-1)*100)))</f>
        <v>-2.1618874077469208</v>
      </c>
      <c r="AO138" s="241">
        <f>(-AO131*4)/AO127*100</f>
        <v>4.4202710869377535</v>
      </c>
      <c r="AP138" s="156">
        <f>IF(ISERROR((AO138/AG138-1)*100),"NA",IF(((AO138/AG138-1)*100)&gt;100,"NM",IF(((AO138/AG138-1)*100)&lt;-50,"NM",(AO138/AG138-1)*100)))</f>
        <v>-5.0987632184213432</v>
      </c>
      <c r="AQ138" s="241">
        <f>(-AQ131*4)/AQ127*100</f>
        <v>4.1961556179069479</v>
      </c>
      <c r="AR138" s="156">
        <f>IF(ISERROR((AQ138/AI138-1)*100),"NA",IF(((AQ138/AI138-1)*100)&gt;100,"NM",IF(((AQ138/AI138-1)*100)&lt;-50,"NM",(AQ138/AI138-1)*100)))</f>
        <v>-9.6705774089667855</v>
      </c>
      <c r="AS138" s="241">
        <f>(-AS131*4)/AS127*100</f>
        <v>4.127312981130542</v>
      </c>
      <c r="AT138" s="156">
        <f>IF(ISERROR((AS138/AK138-1)*100),"NA",IF(((AS138/AK138-1)*100)&gt;100,"NM",IF(((AS138/AK138-1)*100)&lt;-50,"NM",(AS138/AK138-1)*100)))</f>
        <v>-6.4022012566385511</v>
      </c>
      <c r="AU138" s="241">
        <f>(-AU131*4)/AU127*100</f>
        <v>5.2606820854566836</v>
      </c>
      <c r="AV138" s="156">
        <f>IF(ISERROR((AU138/AM138-1)*100),"NA",IF(((AU138/AM138-1)*100)&gt;100,"NM",IF(((AU138/AM138-1)*100)&lt;-50,"NM",(AU138/AM138-1)*100)))</f>
        <v>11.622568826704448</v>
      </c>
      <c r="AW138" s="241">
        <f>(-AW131*4)/AW127*100</f>
        <v>3.3618621123272554</v>
      </c>
      <c r="AX138" s="156">
        <f>IF(ISERROR((AW138/AO138-1)*100),"NA",IF(((AW138/AO138-1)*100)&gt;100,"NM",IF(((AW138/AO138-1)*100)&lt;-50,"NM",(AW138/AO138-1)*100)))</f>
        <v>-23.944435845533985</v>
      </c>
      <c r="AY138" s="166">
        <f>(-AY131*4)/AY127*100</f>
        <v>3.4640647917862379</v>
      </c>
      <c r="AZ138" s="156">
        <f>IF(ISERROR((AY138/AQ138-1)*100),"NA",IF(((AY138/AQ138-1)*100)&gt;100,"NM",IF(((AY138/AQ138-1)*100)&lt;-50,"NM",(AY138/AQ138-1)*100)))</f>
        <v>-17.446703430076283</v>
      </c>
      <c r="BA138" s="166">
        <f>(-BA131*4)/BA127*100</f>
        <v>3.4401676634463016</v>
      </c>
      <c r="BB138" s="156">
        <f>IF(ISERROR((BA138/AS138-1)*100),"NA",IF(((BA138/AS138-1)*100)&gt;100,"NM",IF(((BA138/AS138-1)*100)&lt;-50,"NM",(BA138/AS138-1)*100)))</f>
        <v>-16.648732985013879</v>
      </c>
      <c r="BC138" s="166">
        <f>(-BC131*4)/BC127*100</f>
        <v>3.3397980001511223</v>
      </c>
      <c r="BD138" s="156">
        <f>IF(ISERROR((BC138/AU138-1)*100),"NA",IF(((BC138/AU138-1)*100)&gt;100,"NM",IF(((BC138/AU138-1)*100)&lt;-50,"NM",(BC138/AU138-1)*100)))</f>
        <v>-36.513973931553558</v>
      </c>
      <c r="BE138" s="166">
        <f>(-BE131*4)/BE127*100</f>
        <v>3.3202357563850691</v>
      </c>
      <c r="BF138" s="156">
        <f>IF(ISERROR((BE138/AW138-1)*100),"NA",IF(((BE138/AW138-1)*100)&gt;100,"NM",IF(((BE138/AW138-1)*100)&lt;-50,"NM",(BE138/AW138-1)*100)))</f>
        <v>-1.2381934342146628</v>
      </c>
      <c r="BG138" s="166">
        <f>(-BG131*4)/BG127*100</f>
        <v>3.4652228238234071</v>
      </c>
      <c r="BH138" s="156">
        <f>IF(ISERROR((BG138/AY138-1)*100),"NA",IF(((BG138/AY138-1)*100)&gt;100,"NM",IF(((BG138/AY138-1)*100)&lt;-50,"NM",(BG138/AY138-1)*100)))</f>
        <v>3.3429860778433351E-2</v>
      </c>
      <c r="BI138" s="166">
        <f>(-BI131*4)/BI127*100</f>
        <v>3.2331586738410212</v>
      </c>
      <c r="BJ138" s="156">
        <f>IF(ISERROR((BI138/BA138-1)*100),"NA",IF(((BI138/BA138-1)*100)&gt;100,"NM",IF(((BI138/BA138-1)*100)&lt;-50,"NM",(BI138/BA138-1)*100)))</f>
        <v>-6.0174099014087652</v>
      </c>
      <c r="BK138" s="166">
        <f>(-BK131*4)/BK127*100</f>
        <v>3.2104384086807389</v>
      </c>
      <c r="BL138" s="156">
        <f>IF(ISERROR((BK138/BC138-1)*100),"NA",IF(((BK138/BC138-1)*100)&gt;100,"NM",IF(((BK138/BC138-1)*100)&lt;-50,"NM",(BK138/BC138-1)*100)))</f>
        <v>-3.8732759126309468</v>
      </c>
      <c r="BM138" s="166">
        <f>(-BM131*4)/BM127*100</f>
        <v>2.6476734390214549</v>
      </c>
      <c r="BN138" s="98">
        <f>IF(ISERROR((BM138/BE138-1)*100),"NA",IF(((BM138/BE138-1)*100)&gt;100,"NM",IF(((BM138/BE138-1)*100)&lt;-50,"NM",(BM138/BE138-1)*100)))</f>
        <v>-20.256462694560916</v>
      </c>
      <c r="BO138" s="137">
        <f>(-BO131*4)/BO127*100</f>
        <v>3.1318061496878249</v>
      </c>
      <c r="BP138" s="98">
        <f>IF(ISERROR((BO138/BG138-1)*100),"NA",IF(((BO138/BG138-1)*100)&gt;100,"NM",IF(((BO138/BG138-1)*100)&lt;-50,"NM",(BO138/BG138-1)*100)))</f>
        <v>-9.621796088936696</v>
      </c>
      <c r="BQ138" s="137">
        <f>(-BQ131*4)/BQ127*100</f>
        <v>3.2249360517198582</v>
      </c>
      <c r="BR138" s="98">
        <f>IF(ISERROR((BQ138/BI138-1)*100),"NA",IF(((BQ138/BI138-1)*100)&gt;100,"NM",IF(((BQ138/BI138-1)*100)&lt;-50,"NM",(BQ138/BI138-1)*100)))</f>
        <v>-0.25432163870244828</v>
      </c>
      <c r="BS138" s="137">
        <f>(-BS131*4)/BS127*100</f>
        <v>3.4054478673488888</v>
      </c>
      <c r="BT138" s="98">
        <f>IF(ISERROR((BS138/BK138-1)*100),"NA",IF(((BS138/BK138-1)*100)&gt;100,"NM",IF(((BS138/BK138-1)*100)&lt;-50,"NM",(BS138/BK138-1)*100)))</f>
        <v>6.0742314239968564</v>
      </c>
      <c r="BU138" s="137">
        <f>(-BU131*4)/BU127*100</f>
        <v>3.0605429615369504</v>
      </c>
      <c r="BV138" s="98">
        <f>IF(ISERROR((BU138/BM138-1)*100),"NA",IF(((BU138/BM138-1)*100)&gt;100,"NM",IF(((BU138/BM138-1)*100)&lt;-50,"NM",(BU138/BM138-1)*100)))</f>
        <v>15.593672408032555</v>
      </c>
      <c r="BW138" s="137">
        <f>(-BW131*4)/BW127*100</f>
        <v>2.8760586790673353</v>
      </c>
      <c r="BX138" s="98">
        <f>IF(ISERROR((BW138/BO138-1)*100),"NA",IF(((BW138/BO138-1)*100)&gt;100,"NM",IF(((BW138/BO138-1)*100)&lt;-50,"NM",(BW138/BO138-1)*100)))</f>
        <v>-8.166133483261163</v>
      </c>
      <c r="BY138" s="137">
        <f>(-BY131*4)/BY127*100</f>
        <v>3.0257126556628831</v>
      </c>
      <c r="BZ138" s="98">
        <f>IF(ISERROR((BY138/BQ138-1)*100),"NA",IF(((BY138/BQ138-1)*100)&gt;100,"NM",IF(((BY138/BQ138-1)*100)&lt;-50,"NM",(BY138/BQ138-1)*100)))</f>
        <v>-6.1775921401830409</v>
      </c>
      <c r="CA138" s="137">
        <f>(-CA131*4)/CA127*100</f>
        <v>3.2914542608276802</v>
      </c>
      <c r="CB138" s="98">
        <f>IF(ISERROR((CA138/BS138-1)*100),"NA",IF(((CA138/BS138-1)*100)&gt;100,"NM",IF(((CA138/BS138-1)*100)&lt;-50,"NM",(CA138/BS138-1)*100)))</f>
        <v>-3.3473895640619977</v>
      </c>
      <c r="CC138" s="137">
        <f>(-CC131*4)/CC127*100</f>
        <v>2.9426524445583349</v>
      </c>
      <c r="CD138" s="98">
        <f>IF(ISERROR((CC138/BU138-1)*100),"NA",IF(((CC138/BU138-1)*100)&gt;100,"NM",IF(((CC138/BU138-1)*100)&lt;-50,"NM",(CC138/BU138-1)*100)))</f>
        <v>-3.8519477903166899</v>
      </c>
      <c r="CE138" s="137">
        <f>(-CE131*4)/CE127*100</f>
        <v>2.9408282112832218</v>
      </c>
      <c r="CF138" s="98">
        <f>IF(ISERROR((CE138/BW138-1)*100),"NA",IF(((CE138/BW138-1)*100)&gt;100,"NM",IF(((CE138/BW138-1)*100)&lt;-50,"NM",(CE138/BW138-1)*100)))</f>
        <v>2.2520240177050344</v>
      </c>
      <c r="CG138" s="137">
        <f>(-CG131*4)/CG127*100</f>
        <v>2.931228861330327</v>
      </c>
      <c r="CH138" s="98">
        <f>IF(ISERROR((CG138/BY138-1)*100),"NA",IF(((CG138/BY138-1)*100)&gt;100,"NM",IF(((CG138/BY138-1)*100)&lt;-50,"NM",(CG138/BY138-1)*100)))</f>
        <v>-3.1226955459805916</v>
      </c>
      <c r="CI138" s="137">
        <f>(-CI131*4)/CI127*100</f>
        <v>3.2427336999214456</v>
      </c>
      <c r="CJ138" s="98">
        <f>IF(ISERROR((CI138/CA138-1)*100),"NA",IF(((CI138/CA138-1)*100)&gt;100,"NM",IF(((CI138/CA138-1)*100)&lt;-50,"NM",(CI138/CA138-1)*100)))</f>
        <v>-1.4802138217768546</v>
      </c>
      <c r="CK138" s="137">
        <f>(-CK131*4)/CK127*100</f>
        <v>2.8878064720358627</v>
      </c>
      <c r="CL138" s="98">
        <f>IF(ISERROR((CK138/CC138-1)*100),"NA",IF(((CK138/CC138-1)*100)&gt;100,"NM",IF(((CK138/CC138-1)*100)&lt;-50,"NM",(CK138/CC138-1)*100)))</f>
        <v>-1.8638277389467217</v>
      </c>
      <c r="CM138" s="137">
        <f>(-CM131*4)/CM127*100</f>
        <v>3.2762971140198709</v>
      </c>
      <c r="CN138" s="98">
        <f>IF(ISERROR((CM138/CE138-1)*100),"NA",IF(((CM138/CE138-1)*100)&gt;100,"NM",IF(((CM138/CE138-1)*100)&lt;-50,"NM",(CM138/CE138-1)*100)))</f>
        <v>11.40729340971156</v>
      </c>
      <c r="CO138" s="137">
        <f>(-CO131*4)/CO127*100</f>
        <v>3.2014555589965932</v>
      </c>
      <c r="CP138" s="98">
        <f>IF(ISERROR((CO138/CG138-1)*100),"NA",IF(((CO138/CG138-1)*100)&gt;100,"NM",IF(((CO138/CG138-1)*100)&lt;-50,"NM",(CO138/CG138-1)*100)))</f>
        <v>9.2188877242299192</v>
      </c>
      <c r="CQ138" s="494">
        <f>(-CQ131*4)/CQ127*100</f>
        <v>3.3710229772905547</v>
      </c>
      <c r="CR138" s="98">
        <f>IF(ISERROR((CQ138/CI138-1)*100),"NA",IF(((CQ138/CI138-1)*100)&gt;100,"NM",IF(((CQ138/CI138-1)*100)&lt;-50,"NM",(CQ138/CI138-1)*100)))</f>
        <v>3.9562076087906073</v>
      </c>
      <c r="CS138" s="137">
        <f>(-CS131*4)/CS127*100</f>
        <v>3.2891906105081992</v>
      </c>
      <c r="CT138" s="98">
        <f>IF(ISERROR((CS138/CK138-1)*100),"NA",IF(((CS138/CK138-1)*100)&gt;100,"NM",IF(((CS138/CK138-1)*100)&lt;-50,"NM",(CS138/CK138-1)*100)))</f>
        <v>13.899274150091024</v>
      </c>
      <c r="CU138" s="137">
        <f>(-CU131*4)/CU127*100</f>
        <v>3.1615483286802992</v>
      </c>
      <c r="CV138" s="98">
        <f>IF(ISERROR((CU138/CM138-1)*100),"NA",IF(((CU138/CM138-1)*100)&gt;100,"NM",IF(((CU138/CM138-1)*100)&lt;-50,"NM",(CU138/CM138-1)*100)))</f>
        <v>-3.502392528703846</v>
      </c>
      <c r="CW138" s="137">
        <f>(-CW131*4)/CW127*100</f>
        <v>3.1382973813677442</v>
      </c>
      <c r="CX138" s="98">
        <f>IF(ISERROR((CW138/CO138-1)*100),"NA",IF(((CW138/CO138-1)*100)&gt;100,"NM",IF(((CW138/CO138-1)*100)&lt;-50,"NM",(CW138/CO138-1)*100)))</f>
        <v>-1.9727957007357078</v>
      </c>
      <c r="CY138" s="137">
        <f>(-CY131*4)/CY127*100</f>
        <v>3.1425325526522765</v>
      </c>
      <c r="CZ138" s="98">
        <f>IF(ISERROR((CY138/CQ138-1)*100),"NA",IF(((CY138/CQ138-1)*100)&gt;100,"NM",IF(((CY138/CQ138-1)*100)&lt;-50,"NM",(CY138/CQ138-1)*100)))</f>
        <v>-6.7780737828706972</v>
      </c>
      <c r="DA138" s="137">
        <f>(-DA131*4)/DA127*100</f>
        <v>3.0927746680496147</v>
      </c>
      <c r="DB138" s="98">
        <f>IF(ISERROR((DA138/CS138-1)*100),"NA",IF(((DA138/CS138-1)*100)&gt;100,"NM",IF(((DA138/CS138-1)*100)&lt;-50,"NM",(DA138/CS138-1)*100)))</f>
        <v>-5.971558529660193</v>
      </c>
      <c r="DC138" s="137">
        <f>(-DC131*4)/DC127*100</f>
        <v>2.9971773158840134</v>
      </c>
      <c r="DD138" s="98">
        <f>IF(ISERROR((DC138/CU138-1)*100),"NA",IF(((DC138/CU138-1)*100)&gt;100,"NM",IF(((DC138/CU138-1)*100)&lt;-50,"NM",(DC138/CU138-1)*100)))</f>
        <v>-5.199066903554117</v>
      </c>
      <c r="DE138" s="137">
        <f>(-DE131*4)/DE127*100</f>
        <v>2.9768347219075908</v>
      </c>
      <c r="DF138" s="98">
        <f>IF(ISERROR((DE138/CW138-1)*100),"NA",IF(((DE138/CW138-1)*100)&gt;100,"NM",IF(((DE138/CW138-1)*100)&lt;-50,"NM",(DE138/CW138-1)*100)))</f>
        <v>-5.1449126656628152</v>
      </c>
      <c r="DG138" s="137">
        <f>(-DG131*4)/DG127*100</f>
        <v>3.2848436318341565</v>
      </c>
      <c r="DH138" s="98">
        <f>IF(ISERROR((DG138/CY138-1)*100),"NA",IF(((DG138/CY138-1)*100)&gt;100,"NM",IF(((DG138/CY138-1)*100)&lt;-50,"NM",(DG138/CY138-1)*100)))</f>
        <v>4.5285474946558768</v>
      </c>
      <c r="DI138" s="137">
        <f>(-DI131*4)/DI127*100</f>
        <v>3.2013524814978012</v>
      </c>
      <c r="DJ138" s="98">
        <f>IF(ISERROR((DI138/DA138-1)*100),"NA",IF(((DI138/DA138-1)*100)&gt;100,"NM",IF(((DI138/DA138-1)*100)&lt;-50,"NM",(DI138/DA138-1)*100)))</f>
        <v>3.5106926660343651</v>
      </c>
      <c r="DK138" s="137">
        <f>(-DK131*4)/DK127*100</f>
        <v>3.0910416703718853</v>
      </c>
      <c r="DL138" s="98">
        <f>IF(ISERROR((DK138/DC138-1)*100),"NA",IF(((DK138/DC138-1)*100)&gt;100,"NM",IF(((DK138/DC138-1)*100)&lt;-50,"NM",(DK138/DC138-1)*100)))</f>
        <v>3.1317584712263313</v>
      </c>
      <c r="DM138" s="137">
        <f>(-DM131*4)/DM127*100</f>
        <v>3.1615382518873836</v>
      </c>
      <c r="DN138" s="98">
        <f>IF(ISERROR((DM138/DE138-1)*100),"NA",IF(((DM138/DE138-1)*100)&gt;100,"NM",IF(((DM138/DE138-1)*100)&lt;-50,"NM",(DM138/DE138-1)*100)))</f>
        <v>6.2046954982247993</v>
      </c>
      <c r="DO138" s="137">
        <f>(-DO131*4)/DO127*100</f>
        <v>3.2879075073888084</v>
      </c>
      <c r="DP138" s="98">
        <f>IF(ISERROR((DO138/DG138-1)*100),"NA",IF(((DO138/DG138-1)*100)&gt;100,"NM",IF(((DO138/DG138-1)*100)&lt;-50,"NM",(DO138/DG138-1)*100)))</f>
        <v>9.3273102103230698E-2</v>
      </c>
      <c r="DQ138" s="137">
        <f>(-DQ131*4)/DQ127*100</f>
        <v>3.0951730459076208</v>
      </c>
      <c r="DR138" s="98">
        <f>IF(ISERROR((DQ138/DI138-1)*100),"NA",IF(((DQ138/DI138-1)*100)&gt;100,"NM",IF(((DQ138/DI138-1)*100)&lt;-50,"NM",(DQ138/DI138-1)*100)))</f>
        <v>-3.3167055550378688</v>
      </c>
      <c r="DS138" s="137">
        <f>(-DS131*4)/DS127*100</f>
        <v>2.9914486253435362</v>
      </c>
      <c r="DT138" s="98">
        <f>IF(ISERROR((DS138/DK138-1)*100),"NA",IF(((DS138/DK138-1)*100)&gt;100,"NM",IF(((DS138/DK138-1)*100)&lt;-50,"NM",(DS138/DK138-1)*100)))</f>
        <v>-3.2219897254367025</v>
      </c>
      <c r="DU138" s="137">
        <f>(-DU131*4)/DU127*100</f>
        <v>3.1109939361982599</v>
      </c>
      <c r="DV138" s="98">
        <f>IF(ISERROR((DU138/DM138-1)*100),"NA",IF(((DU138/DM138-1)*100)&gt;100,"NM",IF(((DU138/DM138-1)*100)&lt;-50,"NM",(DU138/DM138-1)*100)))</f>
        <v>-1.5987254197841638</v>
      </c>
      <c r="DW138" s="137">
        <f>(-DW131*4)/DW127*100</f>
        <v>3.2199987583552345</v>
      </c>
      <c r="DX138" s="98">
        <f>IF(ISERROR((DW138/DO138-1)*100),"NA",IF(((DW138/DO138-1)*100)&gt;100,"NM",IF(((DW138/DO138-1)*100)&lt;-50,"NM",(DW138/DO138-1)*100)))</f>
        <v>-2.0654093486804248</v>
      </c>
      <c r="DY138" s="137">
        <f>(-DY131*4)/DY127*100</f>
        <v>3.1968326506544242</v>
      </c>
      <c r="DZ138" s="98">
        <f>IF(ISERROR((DY138/DQ138-1)*100),"NA",IF(((DY138/DQ138-1)*100)&gt;100,"NM",IF(((DY138/DQ138-1)*100)&lt;-50,"NM",(DY138/DQ138-1)*100)))</f>
        <v>3.2844562562088786</v>
      </c>
      <c r="EA138" s="137">
        <f>(-EA131*4)/EA127*100</f>
        <v>3.272553381707799</v>
      </c>
      <c r="EB138" s="98">
        <f>IF(ISERROR((EA138/DS138-1)*100),"NA",IF(((EA138/DS138-1)*100)&gt;100,"NM",IF(((EA138/DS138-1)*100)&lt;-50,"NM",(EA138/DS138-1)*100)))</f>
        <v>9.3969441421371869</v>
      </c>
      <c r="EC138" s="137">
        <f>(-EC131*4)/EC127*100</f>
        <v>3.13720703125</v>
      </c>
      <c r="ED138" s="98">
        <f>IF(ISERROR((EC138/DU138-1)*100),"NA",IF(((EC138/DU138-1)*100)&gt;100,"NM",IF(((EC138/DU138-1)*100)&lt;-50,"NM",(EC138/DU138-1)*100)))</f>
        <v>0.8425955045021194</v>
      </c>
      <c r="EE138" s="137">
        <f>(-EE131*4)/EE127*100</f>
        <v>3.2427756711358766</v>
      </c>
      <c r="EF138" s="860">
        <f>IF(ISERROR((EE138/DW138-1)*100),"NA",IF(((EE138/DW138-1)*100)&gt;100,"NM",IF(((EE138/DW138-1)*100)&lt;-50,"NM",(EE138/DW138-1)*100)))</f>
        <v>0.70735781253146168</v>
      </c>
      <c r="EG138" s="137">
        <f>(-EG131*4)/EG127*100</f>
        <v>3.0930259908267672</v>
      </c>
      <c r="EH138" s="860">
        <f>IF(ISERROR((EG138/DY138-1)*100),"NA",IF(((EG138/DY138-1)*100)&gt;100,"NM",IF(((EG138/DY138-1)*100)&lt;-50,"NM",(EG138/DY138-1)*100)))</f>
        <v>-3.2471721598065773</v>
      </c>
      <c r="EI138" s="137">
        <f>(-EI131*4)/EI127*100</f>
        <v>3.1978890781454608</v>
      </c>
      <c r="EJ138" s="860">
        <f t="shared" si="712"/>
        <v>-2.2815305009134534</v>
      </c>
      <c r="EK138" s="137">
        <f>(-EK131*4)/EK127*100</f>
        <v>3.165722862795934</v>
      </c>
      <c r="EL138" s="860">
        <f t="shared" si="713"/>
        <v>0.90895600009450739</v>
      </c>
      <c r="EM138" s="137">
        <f>(-EM131*4)/EM127*100</f>
        <v>3.2837928000232068</v>
      </c>
      <c r="EN138" s="860">
        <f t="shared" si="714"/>
        <v>1.2648771622541188</v>
      </c>
      <c r="EO138" s="137">
        <f>(-EO131*4)/EO127*100</f>
        <v>3.1352520131225767</v>
      </c>
      <c r="EP138" s="98">
        <f t="shared" si="715"/>
        <v>1.3652010174192819</v>
      </c>
      <c r="EQ138" s="1026">
        <f t="shared" si="716"/>
        <v>3.1352520131225767</v>
      </c>
      <c r="ER138" s="98">
        <f t="shared" si="717"/>
        <v>-1.958700364279331</v>
      </c>
      <c r="ES138" s="1026">
        <f t="shared" si="718"/>
        <v>3.1352520131225767</v>
      </c>
      <c r="ET138" s="98">
        <f t="shared" si="719"/>
        <v>-0.96252423203102566</v>
      </c>
      <c r="EU138" s="1026">
        <f t="shared" si="720"/>
        <v>3.1352520131225767</v>
      </c>
      <c r="EV138" s="98">
        <f t="shared" si="721"/>
        <v>-4.5234518724683319</v>
      </c>
      <c r="EW138" s="1026">
        <f t="shared" si="722"/>
        <v>3.1352520131225767</v>
      </c>
      <c r="EX138" s="98">
        <f t="shared" si="723"/>
        <v>0</v>
      </c>
      <c r="EY138" s="80"/>
      <c r="EZ138" s="601"/>
      <c r="FA138" s="411"/>
      <c r="FB138" s="252" t="s">
        <v>494</v>
      </c>
      <c r="FC138" s="233"/>
      <c r="FD138" s="137">
        <f>(-FD131)/FD127*100</f>
        <v>5.6536176162181055</v>
      </c>
      <c r="FE138" s="233" t="str">
        <f>IF(ISERROR((FD138/FB138-1)*100),"NA",IF(((FD138/FB138-1)*100)&gt;100,"NM",IF(((FD138/FB138-1)*100)&lt;-50,"NM",(FD138/FB138-1)*100)))</f>
        <v>NA</v>
      </c>
      <c r="FF138" s="137">
        <f t="shared" ref="FF138:FN138" si="726">(-FF131)/FF127*100</f>
        <v>5.8441558441558437</v>
      </c>
      <c r="FG138" s="233">
        <f>IF(ISERROR((FF138/FD138-1)*100),"NA",IF(((FF138/FD138-1)*100)&gt;100,"NM",IF(((FF138/FD138-1)*100)&lt;-50,"NM",(FF138/FD138-1)*100)))</f>
        <v>3.3702001244505064</v>
      </c>
      <c r="FH138" s="137">
        <f t="shared" si="726"/>
        <v>5.7432115739149454</v>
      </c>
      <c r="FI138" s="233">
        <f>IF(ISERROR((FH138/FF138-1)*100),"NA",IF(((FH138/FF138-1)*100)&gt;100,"NM",IF(((FH138/FF138-1)*100)&lt;-50,"NM",(FH138/FF138-1)*100)))</f>
        <v>-1.7272686241220359</v>
      </c>
      <c r="FJ138" s="137">
        <f t="shared" si="726"/>
        <v>5.6326676815617445</v>
      </c>
      <c r="FK138" s="233">
        <f>IF(ISERROR((FJ138/FH138-1)*100),"NA",IF(((FJ138/FH138-1)*100)&gt;100,"NM",IF(((FJ138/FH138-1)*100)&lt;-50,"NM",(FJ138/FH138-1)*100)))</f>
        <v>-1.9247748568985257</v>
      </c>
      <c r="FL138" s="137">
        <f t="shared" si="726"/>
        <v>5.4153655723408445</v>
      </c>
      <c r="FM138" s="233">
        <f>IF(ISERROR((FL138/FJ138-1)*100),"NA",IF(((FL138/FJ138-1)*100)&gt;100,"NM",IF(((FL138/FJ138-1)*100)&lt;-50,"NM",(FL138/FJ138-1)*100)))</f>
        <v>-3.8578897514623067</v>
      </c>
      <c r="FN138" s="137">
        <f t="shared" si="726"/>
        <v>4.888580078415802</v>
      </c>
      <c r="FO138" s="233">
        <f>IF(ISERROR((FN138/FL138-1)*100),"NA",IF(((FN138/FL138-1)*100)&gt;100,"NM",IF(((FN138/FL138-1)*100)&lt;-50,"NM",(FN138/FL138-1)*100)))</f>
        <v>-9.7276072480797282</v>
      </c>
      <c r="FP138" s="137">
        <f>(-FP131)/FP127*100</f>
        <v>5.0859271198623421</v>
      </c>
      <c r="FQ138" s="233">
        <f>IF(ISERROR((FP138/FN138-1)*100),"NA",IF(((FP138/FN138-1)*100)&gt;100,"NM",IF(((FP138/FN138-1)*100)&lt;-50,"NM",(FP138/FN138-1)*100)))</f>
        <v>4.0368990234582069</v>
      </c>
      <c r="FR138" s="130">
        <f>(-FR131)/FR127*100</f>
        <v>3.4321790702123587</v>
      </c>
      <c r="FS138" s="120">
        <f>IF(ISERROR((FR138/FP138-1)*100),"NA",IF(((FR138/FP138-1)*100)&gt;100,"NM",IF(((FR138/FP138-1)*100)&lt;-50,"NM",(FR138/FP138-1)*100)))</f>
        <v>-32.516157048171479</v>
      </c>
      <c r="FT138" s="130">
        <f>(-FT131)/FT127*100</f>
        <v>3.256976259891712</v>
      </c>
      <c r="FU138" s="120">
        <f>IF(ISERROR((FT138/FR138-1)*100),"NA",IF(((FT138/FR138-1)*100)&gt;100,"NM",IF(((FT138/FR138-1)*100)&lt;-50,"NM",(FT138/FR138-1)*100)))</f>
        <v>-5.1047106440692325</v>
      </c>
      <c r="FV138" s="130">
        <f>(-FV131)/FV127*100</f>
        <v>3.3831101381613484</v>
      </c>
      <c r="FW138" s="98">
        <f>IF(ISERROR((FV138/FT138-1)*100),"NA",IF(((FV138/FT138-1)*100)&gt;100,"NM",IF(((FV138/FT138-1)*100)&lt;-50,"NM",(FV138/FT138-1)*100)))</f>
        <v>3.8727294338286145</v>
      </c>
      <c r="FX138" s="487">
        <f>(-FX131)/FX127*100</f>
        <v>3.0144491806197027</v>
      </c>
      <c r="FY138" s="98">
        <f>IF(ISERROR((FX138/FV138-1)*100),"NA",IF(((FX138/FV138-1)*100)&gt;100,"NM",IF(((FX138/FV138-1)*100)&lt;-50,"NM",(FX138/FV138-1)*100)))</f>
        <v>-10.897101852616764</v>
      </c>
      <c r="FZ138" s="130">
        <f>(-FZ131)/FZ127*100</f>
        <v>3.1438882855607115</v>
      </c>
      <c r="GA138" s="98">
        <f>IF(ISERROR((FZ138/FX138-1)*100),"NA",IF(((FZ138/FX138-1)*100)&gt;100,"NM",IF(((FZ138/FX138-1)*100)&lt;-50,"NM",(FZ138/FX138-1)*100)))</f>
        <v>4.2939554520670109</v>
      </c>
      <c r="GB138" s="487">
        <f>(-GB131)/GB127*100</f>
        <v>3.5695532545000104</v>
      </c>
      <c r="GC138" s="98">
        <f>IF(ISERROR((GB138/FZ138-1)*100),"NA",IF(((GB138/FZ138-1)*100)&gt;100,"NM",IF(((GB138/FZ138-1)*100)&lt;-50,"NM",(GB138/FZ138-1)*100)))</f>
        <v>13.539443207772294</v>
      </c>
      <c r="GD138" s="130">
        <f>(-GD131)/GD127*100</f>
        <v>3.2907643552403227</v>
      </c>
      <c r="GE138" s="98">
        <f>IF(ISERROR((GD138/GB138-1)*100),"NA",IF(((GD138/GB138-1)*100)&gt;100,"NM",IF(((GD138/GB138-1)*100)&lt;-50,"NM",(GD138/GB138-1)*100)))</f>
        <v>-7.8101902222141746</v>
      </c>
      <c r="GF138" s="130">
        <f>(-GF131)/GF127*100</f>
        <v>3.0587631511419038</v>
      </c>
      <c r="GG138" s="98">
        <f>IF(ISERROR((GF138/GD138-1)*100),"NA",IF(((GF138/GD138-1)*100)&gt;100,"NM",IF(((GF138/GD138-1)*100)&lt;-50,"NM",(GF138/GD138-1)*100)))</f>
        <v>-7.0500704108142127</v>
      </c>
      <c r="GH138" s="130">
        <f>(-GH131)/GH127*100</f>
        <v>3.1408398100556671</v>
      </c>
      <c r="GI138" s="98">
        <f>IF(ISERROR((GH138/GF138-1)*100),"NA",IF(((GH138/GF138-1)*100)&gt;100,"NM",IF(((GH138/GF138-1)*100)&lt;-50,"NM",(GH138/GF138-1)*100)))</f>
        <v>2.683328353917247</v>
      </c>
      <c r="GJ138" s="130">
        <f>(-GJ131)/GJ127*100</f>
        <v>3.1017889434914538</v>
      </c>
      <c r="GK138" s="98">
        <f>IF(ISERROR((GJ138/GH138-1)*100),"NA",IF(((GJ138/GH138-1)*100)&gt;100,"NM",IF(((GJ138/GH138-1)*100)&lt;-50,"NM",(GJ138/GH138-1)*100)))</f>
        <v>-1.2433256366398804</v>
      </c>
      <c r="GL138" s="130">
        <f>(-GL131)/GL127*100</f>
        <v>3.2777512110942473</v>
      </c>
      <c r="GM138" s="98">
        <f>IF(ISERROR((GL138/GJ138-1)*100),"NA",IF(((GL138/GJ138-1)*100)&gt;100,"NM",IF(((GL138/GJ138-1)*100)&lt;-50,"NM",(GL138/GJ138-1)*100)))</f>
        <v>5.6729284554327464</v>
      </c>
      <c r="GN138" s="130">
        <f>(-GN131)/GN127*100</f>
        <v>3.2628708143393035</v>
      </c>
      <c r="GO138" s="98">
        <f>IF(ISERROR((GN138/GL138-1)*100),"NA",IF(((GN138/GL138-1)*100)&gt;100,"NM",IF(((GN138/GL138-1)*100)&lt;-50,"NM",(GN138/GL138-1)*100)))</f>
        <v>-0.45398188564702568</v>
      </c>
      <c r="GP138" s="130">
        <f>(-GP131)/GP127*100</f>
        <v>3.1599380254329588</v>
      </c>
      <c r="GQ138" s="98">
        <f>IF(ISERROR((GP138/GN138-1)*100),"NA",IF(((GP138/GN138-1)*100)&gt;100,"NM",IF(((GP138/GN138-1)*100)&lt;-50,"NM",(GP138/GN138-1)*100)))</f>
        <v>-3.154669454088932</v>
      </c>
      <c r="GR138" s="80">
        <f>GP138</f>
        <v>3.1599380254329588</v>
      </c>
      <c r="GS138" s="98">
        <f>IF(ISERROR((GR138/GP138-1)*100),"NA",IF(((GR138/GP138-1)*100)&gt;100,"NM",IF(((GR138/GP138-1)*100)&lt;-50,"NM",(GR138/GP138-1)*100)))</f>
        <v>0</v>
      </c>
      <c r="GT138" s="80">
        <f>GR138</f>
        <v>3.1599380254329588</v>
      </c>
      <c r="GU138" s="98">
        <f>IF(ISERROR((GT138/GR138-1)*100),"NA",IF(((GT138/GR138-1)*100)&gt;100,"NM",IF(((GT138/GR138-1)*100)&lt;-50,"NM",(GT138/GR138-1)*100)))</f>
        <v>0</v>
      </c>
      <c r="GV138" s="80">
        <f>GT138</f>
        <v>3.1599380254329588</v>
      </c>
      <c r="GW138" s="98">
        <f>IF(ISERROR((GV138/GT138-1)*100),"NA",IF(((GV138/GT138-1)*100)&gt;100,"NM",IF(((GV138/GT138-1)*100)&lt;-50,"NM",(GV138/GT138-1)*100)))</f>
        <v>0</v>
      </c>
      <c r="GX138" s="80">
        <f>GV138</f>
        <v>3.1599380254329588</v>
      </c>
      <c r="GY138" s="98">
        <f>IF(ISERROR((GX138/GV138-1)*100),"NA",IF(((GX138/GV138-1)*100)&gt;100,"NM",IF(((GX138/GV138-1)*100)&lt;-50,"NM",(GX138/GV138-1)*100)))</f>
        <v>0</v>
      </c>
      <c r="GZ138" s="98">
        <f>IF(ISERROR(((GX138/GN138)^0.2-1)*100),"NA",IF((((GX138/GN138)^0.2-1)*100)&gt;100,"NM",IF((((GX138/GN138)^0.2-1)*100)&lt;-50,"NM",((GX138/GN138)^0.2-1)*100)))</f>
        <v>-0.63904954832290084</v>
      </c>
      <c r="HA138" s="98"/>
      <c r="HB138" s="10"/>
      <c r="HC138"/>
      <c r="HD138"/>
      <c r="HE138"/>
      <c r="HF138"/>
      <c r="HG138"/>
      <c r="HH138"/>
      <c r="HI138" s="10"/>
    </row>
    <row r="139" spans="2:217" s="2" customFormat="1" ht="12.75" customHeight="1" x14ac:dyDescent="0.2">
      <c r="B139" s="91"/>
      <c r="C139" s="241"/>
      <c r="D139" s="241"/>
      <c r="E139" s="241"/>
      <c r="F139" s="241"/>
      <c r="G139" s="241"/>
      <c r="H139" s="241"/>
      <c r="I139" s="241"/>
      <c r="J139" s="156"/>
      <c r="K139" s="241"/>
      <c r="L139" s="156"/>
      <c r="M139" s="241"/>
      <c r="N139" s="156"/>
      <c r="O139" s="241"/>
      <c r="P139" s="156"/>
      <c r="Q139" s="241"/>
      <c r="R139" s="156"/>
      <c r="S139" s="241"/>
      <c r="T139" s="156"/>
      <c r="U139" s="241"/>
      <c r="V139" s="156"/>
      <c r="W139" s="241"/>
      <c r="X139" s="156"/>
      <c r="Y139" s="241"/>
      <c r="Z139" s="156"/>
      <c r="AA139" s="241"/>
      <c r="AB139" s="156"/>
      <c r="AC139" s="241"/>
      <c r="AD139" s="156"/>
      <c r="AE139" s="241"/>
      <c r="AF139" s="156"/>
      <c r="AG139" s="241"/>
      <c r="AH139" s="156"/>
      <c r="AI139" s="241"/>
      <c r="AJ139" s="156"/>
      <c r="AK139" s="241"/>
      <c r="AL139" s="156"/>
      <c r="AM139" s="241"/>
      <c r="AN139" s="156"/>
      <c r="AO139" s="241"/>
      <c r="AP139" s="156"/>
      <c r="AQ139" s="241"/>
      <c r="AR139" s="156"/>
      <c r="AS139" s="241"/>
      <c r="AT139" s="156"/>
      <c r="AU139" s="241"/>
      <c r="AV139" s="156"/>
      <c r="AW139" s="241"/>
      <c r="AX139" s="156"/>
      <c r="AY139" s="166"/>
      <c r="AZ139" s="156"/>
      <c r="BA139" s="166"/>
      <c r="BB139" s="156"/>
      <c r="BC139" s="166"/>
      <c r="BD139" s="156"/>
      <c r="BE139" s="166"/>
      <c r="BF139" s="156"/>
      <c r="BG139" s="166"/>
      <c r="BH139" s="156"/>
      <c r="BI139" s="166"/>
      <c r="BJ139" s="156"/>
      <c r="BK139" s="166"/>
      <c r="BL139" s="156"/>
      <c r="BM139" s="166"/>
      <c r="BN139" s="98"/>
      <c r="BO139" s="137"/>
      <c r="BP139" s="98"/>
      <c r="BQ139" s="137"/>
      <c r="BR139" s="98"/>
      <c r="BS139" s="137"/>
      <c r="BT139" s="98"/>
      <c r="BU139" s="137"/>
      <c r="BV139" s="98"/>
      <c r="BW139" s="137"/>
      <c r="BX139" s="98"/>
      <c r="BY139" s="137"/>
      <c r="BZ139" s="98"/>
      <c r="CA139" s="137"/>
      <c r="CB139" s="98"/>
      <c r="CC139" s="137"/>
      <c r="CD139" s="98"/>
      <c r="CE139" s="137"/>
      <c r="CF139" s="98"/>
      <c r="CG139" s="137"/>
      <c r="CH139" s="98"/>
      <c r="CI139" s="137"/>
      <c r="CJ139" s="98"/>
      <c r="CK139" s="137"/>
      <c r="CL139" s="98"/>
      <c r="CM139" s="137"/>
      <c r="CN139" s="98"/>
      <c r="CO139" s="137"/>
      <c r="CP139" s="98"/>
      <c r="CQ139" s="494"/>
      <c r="CR139" s="98"/>
      <c r="CS139" s="137"/>
      <c r="CT139" s="98"/>
      <c r="CU139" s="137"/>
      <c r="CV139" s="98"/>
      <c r="CW139" s="137"/>
      <c r="CX139" s="98"/>
      <c r="CY139" s="137"/>
      <c r="CZ139" s="98"/>
      <c r="DA139" s="137"/>
      <c r="DB139" s="98"/>
      <c r="DC139" s="137"/>
      <c r="DD139" s="98"/>
      <c r="DE139" s="137"/>
      <c r="DF139" s="98"/>
      <c r="DG139" s="137"/>
      <c r="DH139" s="98"/>
      <c r="DI139" s="137"/>
      <c r="DJ139" s="98"/>
      <c r="DK139" s="137"/>
      <c r="DL139" s="98"/>
      <c r="DM139" s="137"/>
      <c r="DN139" s="98"/>
      <c r="DO139" s="137"/>
      <c r="DP139" s="98"/>
      <c r="DQ139" s="137"/>
      <c r="DR139" s="98"/>
      <c r="DS139" s="137"/>
      <c r="DT139" s="98"/>
      <c r="DU139" s="137"/>
      <c r="DV139" s="98"/>
      <c r="DW139" s="137"/>
      <c r="DX139" s="98"/>
      <c r="DY139" s="137"/>
      <c r="DZ139" s="98"/>
      <c r="EA139" s="137"/>
      <c r="EB139" s="98"/>
      <c r="EC139" s="137"/>
      <c r="ED139" s="98"/>
      <c r="EE139" s="137"/>
      <c r="EF139" s="860"/>
      <c r="EG139" s="137"/>
      <c r="EH139" s="860"/>
      <c r="EI139" s="137"/>
      <c r="EJ139" s="860"/>
      <c r="EK139" s="137"/>
      <c r="EL139" s="860"/>
      <c r="EM139" s="137"/>
      <c r="EN139" s="860"/>
      <c r="EO139" s="137"/>
      <c r="EP139" s="98"/>
      <c r="EQ139" s="1026"/>
      <c r="ER139" s="98"/>
      <c r="ES139" s="1026"/>
      <c r="ET139" s="98"/>
      <c r="EU139" s="1026"/>
      <c r="EV139" s="98"/>
      <c r="EW139" s="1026"/>
      <c r="EX139" s="98"/>
      <c r="EY139" s="80"/>
      <c r="EZ139" s="601"/>
      <c r="FA139" s="411"/>
      <c r="FB139" s="252"/>
      <c r="FC139" s="233"/>
      <c r="FD139" s="137"/>
      <c r="FE139" s="233"/>
      <c r="FF139" s="137"/>
      <c r="FG139" s="233"/>
      <c r="FH139" s="137"/>
      <c r="FI139" s="233"/>
      <c r="FJ139" s="137"/>
      <c r="FK139" s="233"/>
      <c r="FL139" s="137"/>
      <c r="FM139" s="233"/>
      <c r="FN139" s="137"/>
      <c r="FO139" s="233"/>
      <c r="FP139" s="137"/>
      <c r="FQ139" s="233"/>
      <c r="FR139" s="130"/>
      <c r="FS139" s="120"/>
      <c r="FT139" s="130"/>
      <c r="FU139" s="120"/>
      <c r="FV139" s="130"/>
      <c r="FW139" s="98"/>
      <c r="FX139" s="487"/>
      <c r="FY139" s="98"/>
      <c r="FZ139" s="130"/>
      <c r="GA139" s="98"/>
      <c r="GB139" s="487"/>
      <c r="GC139" s="98"/>
      <c r="GD139" s="130"/>
      <c r="GE139" s="98"/>
      <c r="GF139" s="130"/>
      <c r="GG139" s="98"/>
      <c r="GH139" s="130"/>
      <c r="GI139" s="98"/>
      <c r="GJ139" s="130"/>
      <c r="GK139" s="98"/>
      <c r="GL139" s="130"/>
      <c r="GM139" s="98"/>
      <c r="GN139" s="130"/>
      <c r="GO139" s="98"/>
      <c r="GP139" s="130"/>
      <c r="GQ139" s="98"/>
      <c r="GR139" s="80"/>
      <c r="GS139" s="98"/>
      <c r="GT139" s="80"/>
      <c r="GU139" s="98"/>
      <c r="GV139" s="80"/>
      <c r="GW139" s="98"/>
      <c r="GX139" s="80"/>
      <c r="GY139" s="98"/>
      <c r="GZ139" s="98"/>
      <c r="HA139" s="98"/>
      <c r="HB139" s="10"/>
      <c r="HC139"/>
      <c r="HD139"/>
      <c r="HE139"/>
      <c r="HF139"/>
      <c r="HG139"/>
      <c r="HH139"/>
      <c r="HI139" s="10"/>
    </row>
    <row r="140" spans="2:217" s="2" customFormat="1" ht="12.75" customHeight="1" x14ac:dyDescent="0.2">
      <c r="B140" s="91" t="s">
        <v>353</v>
      </c>
      <c r="C140" s="159">
        <f>C128+C130</f>
        <v>-429</v>
      </c>
      <c r="D140" s="154"/>
      <c r="E140" s="159">
        <f>E128+E130</f>
        <v>432</v>
      </c>
      <c r="F140" s="154"/>
      <c r="G140" s="159">
        <f>G128+G130</f>
        <v>-317</v>
      </c>
      <c r="H140" s="154"/>
      <c r="I140" s="159">
        <f>I128+I130</f>
        <v>281</v>
      </c>
      <c r="J140" s="156"/>
      <c r="K140" s="159">
        <f>K128+K130</f>
        <v>531</v>
      </c>
      <c r="L140" s="156" t="str">
        <f>IF(ISERROR((K140/C140-1)*100),"NA",IF(((K140/C140-1)*100)&gt;100,"NM",IF(((K140/C140-1)*100)&lt;-50,"NM",(K140/C140-1)*100)))</f>
        <v>NM</v>
      </c>
      <c r="M140" s="159">
        <f>M128+M130</f>
        <v>-177</v>
      </c>
      <c r="N140" s="156" t="str">
        <f>IF(ISERROR((M140/E140-1)*100),"NA",IF(((M140/E140-1)*100)&gt;100,"NM",IF(((M140/E140-1)*100)&lt;-50,"NM",(M140/E140-1)*100)))</f>
        <v>NM</v>
      </c>
      <c r="O140" s="159">
        <f>O128+O130</f>
        <v>830</v>
      </c>
      <c r="P140" s="156" t="str">
        <f>IF(ISERROR((O140/G140-1)*100),"NA",IF(((O140/G140-1)*100)&gt;100,"NM",IF(((O140/G140-1)*100)&lt;-50,"NM",(O140/G140-1)*100)))</f>
        <v>NM</v>
      </c>
      <c r="Q140" s="159">
        <f>Q128+Q130</f>
        <v>481</v>
      </c>
      <c r="R140" s="156">
        <f>IF(ISERROR((Q140/I140-1)*100),"NA",IF(((Q140/I140-1)*100)&gt;100,"NM",IF(((Q140/I140-1)*100)&lt;-50,"NM",(Q140/I140-1)*100)))</f>
        <v>71.174377224199276</v>
      </c>
      <c r="S140" s="159">
        <f>S128+S130</f>
        <v>134</v>
      </c>
      <c r="T140" s="156" t="str">
        <f>IF(ISERROR((S140/K140-1)*100),"NA",IF(((S140/K140-1)*100)&gt;100,"NM",IF(((S140/K140-1)*100)&lt;-50,"NM",(S140/K140-1)*100)))</f>
        <v>NM</v>
      </c>
      <c r="U140" s="159">
        <f>U128+U130</f>
        <v>1285</v>
      </c>
      <c r="V140" s="156" t="str">
        <f>IF(ISERROR((U140/M140-1)*100),"NA",IF(((U140/M140-1)*100)&gt;100,"NM",IF(((U140/M140-1)*100)&lt;-50,"NM",(U140/M140-1)*100)))</f>
        <v>NM</v>
      </c>
      <c r="W140" s="159">
        <f>W128+W130</f>
        <v>309</v>
      </c>
      <c r="X140" s="156" t="str">
        <f>IF(ISERROR((W140/O140-1)*100),"NA",IF(((W140/O140-1)*100)&gt;100,"NM",IF(((W140/O140-1)*100)&lt;-50,"NM",(W140/O140-1)*100)))</f>
        <v>NM</v>
      </c>
      <c r="Y140" s="159">
        <f>Y128+Y130</f>
        <v>-556</v>
      </c>
      <c r="Z140" s="156" t="str">
        <f>IF(ISERROR((Y140/Q140-1)*100),"NA",IF(((Y140/Q140-1)*100)&gt;100,"NM",IF(((Y140/Q140-1)*100)&lt;-50,"NM",(Y140/Q140-1)*100)))</f>
        <v>NM</v>
      </c>
      <c r="AA140" s="159">
        <f>AA128+AA130</f>
        <v>458</v>
      </c>
      <c r="AB140" s="156" t="str">
        <f>IF(ISERROR((AA140/S140-1)*100),"NA",IF(((AA140/S140-1)*100)&gt;100,"NM",IF(((AA140/S140-1)*100)&lt;-50,"NM",(AA140/S140-1)*100)))</f>
        <v>NM</v>
      </c>
      <c r="AC140" s="159">
        <f>AC128+AC130</f>
        <v>1927</v>
      </c>
      <c r="AD140" s="156">
        <f>IF(ISERROR((AC140/U140-1)*100),"NA",IF(((AC140/U140-1)*100)&gt;100,"NM",IF(((AC140/U140-1)*100)&lt;-50,"NM",(AC140/U140-1)*100)))</f>
        <v>49.961089494163424</v>
      </c>
      <c r="AE140" s="159">
        <f>AE128+AE130</f>
        <v>1760</v>
      </c>
      <c r="AF140" s="156" t="str">
        <f>IF(ISERROR((AE140/W140-1)*100),"NA",IF(((AE140/W140-1)*100)&gt;100,"NM",IF(((AE140/W140-1)*100)&lt;-50,"NM",(AE140/W140-1)*100)))</f>
        <v>NM</v>
      </c>
      <c r="AG140" s="159">
        <f>AG128+AG130</f>
        <v>433</v>
      </c>
      <c r="AH140" s="156" t="str">
        <f>IF(ISERROR((AG140/Y140-1)*100),"NA",IF(((AG140/Y140-1)*100)&gt;100,"NM",IF(((AG140/Y140-1)*100)&lt;-50,"NM",(AG140/Y140-1)*100)))</f>
        <v>NM</v>
      </c>
      <c r="AI140" s="159">
        <f>AI128+AI130</f>
        <v>1202</v>
      </c>
      <c r="AJ140" s="156" t="str">
        <f>IF(ISERROR((AI140/AA140-1)*100),"NA",IF(((AI140/AA140-1)*100)&gt;100,"NM",IF(((AI140/AA140-1)*100)&lt;-50,"NM",(AI140/AA140-1)*100)))</f>
        <v>NM</v>
      </c>
      <c r="AK140" s="159">
        <f>AK128+AK130</f>
        <v>1075</v>
      </c>
      <c r="AL140" s="156">
        <f>IF(ISERROR((AK140/AC140-1)*100),"NA",IF(((AK140/AC140-1)*100)&gt;100,"NM",IF(((AK140/AC140-1)*100)&lt;-50,"NM",(AK140/AC140-1)*100)))</f>
        <v>-44.213803840166065</v>
      </c>
      <c r="AM140" s="159">
        <f>AM128+AM130</f>
        <v>1153</v>
      </c>
      <c r="AN140" s="156">
        <f>IF(ISERROR((AM140/AE140-1)*100),"NA",IF(((AM140/AE140-1)*100)&gt;100,"NM",IF(((AM140/AE140-1)*100)&lt;-50,"NM",(AM140/AE140-1)*100)))</f>
        <v>-34.48863636363636</v>
      </c>
      <c r="AO140" s="159">
        <f>AO128+AO130</f>
        <v>1078</v>
      </c>
      <c r="AP140" s="156" t="str">
        <f>IF(ISERROR((AO140/AG140-1)*100),"NA",IF(((AO140/AG140-1)*100)&gt;100,"NM",IF(((AO140/AG140-1)*100)&lt;-50,"NM",(AO140/AG140-1)*100)))</f>
        <v>NM</v>
      </c>
      <c r="AQ140" s="159">
        <f>AQ128+AQ130</f>
        <v>1874</v>
      </c>
      <c r="AR140" s="156">
        <f>IF(ISERROR((AQ140/AI140-1)*100),"NA",IF(((AQ140/AI140-1)*100)&gt;100,"NM",IF(((AQ140/AI140-1)*100)&lt;-50,"NM",(AQ140/AI140-1)*100)))</f>
        <v>55.906821963394336</v>
      </c>
      <c r="AS140" s="159">
        <f>AS128+AS130</f>
        <v>336</v>
      </c>
      <c r="AT140" s="156" t="str">
        <f>IF(ISERROR((AS140/AK140-1)*100),"NA",IF(((AS140/AK140-1)*100)&gt;100,"NM",IF(((AS140/AK140-1)*100)&lt;-50,"NM",(AS140/AK140-1)*100)))</f>
        <v>NM</v>
      </c>
      <c r="AU140" s="159">
        <f>AU128+AU130</f>
        <v>147</v>
      </c>
      <c r="AV140" s="156" t="str">
        <f>IF(ISERROR((AU140/AM140-1)*100),"NA",IF(((AU140/AM140-1)*100)&gt;100,"NM",IF(((AU140/AM140-1)*100)&lt;-50,"NM",(AU140/AM140-1)*100)))</f>
        <v>NM</v>
      </c>
      <c r="AW140" s="159">
        <f>AW128+AW130</f>
        <v>904</v>
      </c>
      <c r="AX140" s="156">
        <f>IF(ISERROR((AW140/AO140-1)*100),"NA",IF(((AW140/AO140-1)*100)&gt;100,"NM",IF(((AW140/AO140-1)*100)&lt;-50,"NM",(AW140/AO140-1)*100)))</f>
        <v>-16.141001855287573</v>
      </c>
      <c r="AY140" s="159">
        <f>AY128+AY130</f>
        <v>968</v>
      </c>
      <c r="AZ140" s="156">
        <f>IF(ISERROR((AY140/AQ140-1)*100),"NA",IF(((AY140/AQ140-1)*100)&gt;100,"NM",IF(((AY140/AQ140-1)*100)&lt;-50,"NM",(AY140/AQ140-1)*100)))</f>
        <v>-48.345784418356452</v>
      </c>
      <c r="BA140" s="159">
        <f>BA128+BA130</f>
        <v>727</v>
      </c>
      <c r="BB140" s="156" t="str">
        <f>IF(ISERROR((BA140/AS140-1)*100),"NA",IF(((BA140/AS140-1)*100)&gt;100,"NM",IF(((BA140/AS140-1)*100)&lt;-50,"NM",(BA140/AS140-1)*100)))</f>
        <v>NM</v>
      </c>
      <c r="BC140" s="159">
        <f>BC128+BC130</f>
        <v>1358</v>
      </c>
      <c r="BD140" s="156" t="str">
        <f>IF(ISERROR((BC140/AU140-1)*100),"NA",IF(((BC140/AU140-1)*100)&gt;100,"NM",IF(((BC140/AU140-1)*100)&lt;-50,"NM",(BC140/AU140-1)*100)))</f>
        <v>NM</v>
      </c>
      <c r="BE140" s="159">
        <f>BE128+BE130</f>
        <v>1244</v>
      </c>
      <c r="BF140" s="156">
        <f>IF(ISERROR((BE140/AW140-1)*100),"NA",IF(((BE140/AW140-1)*100)&gt;100,"NM",IF(((BE140/AW140-1)*100)&lt;-50,"NM",(BE140/AW140-1)*100)))</f>
        <v>37.610619469026553</v>
      </c>
      <c r="BG140" s="159">
        <f>BG128+BG130</f>
        <v>782</v>
      </c>
      <c r="BH140" s="156">
        <f>IF(ISERROR((BG140/AY140-1)*100),"NA",IF(((BG140/AY140-1)*100)&gt;100,"NM",IF(((BG140/AY140-1)*100)&lt;-50,"NM",(BG140/AY140-1)*100)))</f>
        <v>-19.214876033057848</v>
      </c>
      <c r="BI140" s="159">
        <f>BI128+BI130</f>
        <v>4191</v>
      </c>
      <c r="BJ140" s="156" t="str">
        <f>IF(ISERROR((BI140/BA140-1)*100),"NA",IF(((BI140/BA140-1)*100)&gt;100,"NM",IF(((BI140/BA140-1)*100)&lt;-50,"NM",(BI140/BA140-1)*100)))</f>
        <v>NM</v>
      </c>
      <c r="BK140" s="159">
        <f>BK128+BK130</f>
        <v>603</v>
      </c>
      <c r="BL140" s="156" t="str">
        <f>IF(ISERROR((BK140/BC140-1)*100),"NA",IF(((BK140/BC140-1)*100)&gt;100,"NM",IF(((BK140/BC140-1)*100)&lt;-50,"NM",(BK140/BC140-1)*100)))</f>
        <v>NM</v>
      </c>
      <c r="BM140" s="159">
        <f>BM128+BM130</f>
        <v>-2274</v>
      </c>
      <c r="BN140" s="98" t="str">
        <f>IF(ISERROR((BM140/BE140-1)*100),"NA",IF(((BM140/BE140-1)*100)&gt;100,"NM",IF(((BM140/BE140-1)*100)&lt;-50,"NM",(BM140/BE140-1)*100)))</f>
        <v>NM</v>
      </c>
      <c r="BO140" s="160">
        <f>BO128+BO130</f>
        <v>2331</v>
      </c>
      <c r="BP140" s="98" t="str">
        <f>IF(ISERROR((BO140/BG140-1)*100),"NA",IF(((BO140/BG140-1)*100)&gt;100,"NM",IF(((BO140/BG140-1)*100)&lt;-50,"NM",(BO140/BG140-1)*100)))</f>
        <v>NM</v>
      </c>
      <c r="BQ140" s="160">
        <f>BQ128+BQ130</f>
        <v>1938</v>
      </c>
      <c r="BR140" s="98" t="str">
        <f>IF(ISERROR((BQ140/BI140-1)*100),"NA",IF(((BQ140/BI140-1)*100)&gt;100,"NM",IF(((BQ140/BI140-1)*100)&lt;-50,"NM",(BQ140/BI140-1)*100)))</f>
        <v>NM</v>
      </c>
      <c r="BS140" s="160">
        <f>BS128+BS130</f>
        <v>2249</v>
      </c>
      <c r="BT140" s="98" t="str">
        <f>IF(ISERROR((BS140/BK140-1)*100),"NA",IF(((BS140/BK140-1)*100)&gt;100,"NM",IF(((BS140/BK140-1)*100)&lt;-50,"NM",(BS140/BK140-1)*100)))</f>
        <v>NM</v>
      </c>
      <c r="BU140" s="160">
        <f>BU128+BU130</f>
        <v>4418</v>
      </c>
      <c r="BV140" s="98" t="str">
        <f>IF(ISERROR((BU140/BM140-1)*100),"NA",IF(((BU140/BM140-1)*100)&gt;100,"NM",IF(((BU140/BM140-1)*100)&lt;-50,"NM",(BU140/BM140-1)*100)))</f>
        <v>NM</v>
      </c>
      <c r="BW140" s="160">
        <f>BW128+BW130</f>
        <v>-5062</v>
      </c>
      <c r="BX140" s="98" t="str">
        <f>IF(ISERROR((BW140/BO140-1)*100),"NA",IF(((BW140/BO140-1)*100)&gt;100,"NM",IF(((BW140/BO140-1)*100)&lt;-50,"NM",(BW140/BO140-1)*100)))</f>
        <v>NM</v>
      </c>
      <c r="BY140" s="160">
        <f>BY128+BY130</f>
        <v>-1616</v>
      </c>
      <c r="BZ140" s="98" t="str">
        <f>IF(ISERROR((BY140/BQ140-1)*100),"NA",IF(((BY140/BQ140-1)*100)&gt;100,"NM",IF(((BY140/BQ140-1)*100)&lt;-50,"NM",(BY140/BQ140-1)*100)))</f>
        <v>NM</v>
      </c>
      <c r="CA140" s="160">
        <f>CA128+CA130</f>
        <v>-2105</v>
      </c>
      <c r="CB140" s="98" t="str">
        <f>IF(ISERROR((CA140/BS140-1)*100),"NA",IF(((CA140/BS140-1)*100)&gt;100,"NM",IF(((CA140/BS140-1)*100)&lt;-50,"NM",(CA140/BS140-1)*100)))</f>
        <v>NM</v>
      </c>
      <c r="CC140" s="160">
        <f>CC128+CC130</f>
        <v>-708</v>
      </c>
      <c r="CD140" s="98" t="str">
        <f>IF(ISERROR((CC140/BU140-1)*100),"NA",IF(((CC140/BU140-1)*100)&gt;100,"NM",IF(((CC140/BU140-1)*100)&lt;-50,"NM",(CC140/BU140-1)*100)))</f>
        <v>NM</v>
      </c>
      <c r="CE140" s="160">
        <f>CE128+CE130</f>
        <v>2737</v>
      </c>
      <c r="CF140" s="98" t="str">
        <f>IF(ISERROR((CE140/BW140-1)*100),"NA",IF(((CE140/BW140-1)*100)&gt;100,"NM",IF(((CE140/BW140-1)*100)&lt;-50,"NM",(CE140/BW140-1)*100)))</f>
        <v>NM</v>
      </c>
      <c r="CG140" s="160">
        <f>CG128+CG130</f>
        <v>-1419</v>
      </c>
      <c r="CH140" s="98">
        <f>IF(ISERROR((CG140/BY140-1)*100),"NA",IF(((CG140/BY140-1)*100)&gt;100,"NM",IF(((CG140/BY140-1)*100)&lt;-50,"NM",(CG140/BY140-1)*100)))</f>
        <v>-12.190594059405946</v>
      </c>
      <c r="CI140" s="160">
        <f>CI128+CI130</f>
        <v>644</v>
      </c>
      <c r="CJ140" s="98" t="str">
        <f>IF(ISERROR((CI140/CA140-1)*100),"NA",IF(((CI140/CA140-1)*100)&gt;100,"NM",IF(((CI140/CA140-1)*100)&lt;-50,"NM",(CI140/CA140-1)*100)))</f>
        <v>NM</v>
      </c>
      <c r="CK140" s="160">
        <f>CK128+CK130</f>
        <v>823</v>
      </c>
      <c r="CL140" s="98" t="str">
        <f>IF(ISERROR((CK140/CC140-1)*100),"NA",IF(((CK140/CC140-1)*100)&gt;100,"NM",IF(((CK140/CC140-1)*100)&lt;-50,"NM",(CK140/CC140-1)*100)))</f>
        <v>NM</v>
      </c>
      <c r="CM140" s="160">
        <f>CM128+CM130</f>
        <v>2011</v>
      </c>
      <c r="CN140" s="98">
        <f>IF(ISERROR((CM140/CE140-1)*100),"NA",IF(((CM140/CE140-1)*100)&gt;100,"NM",IF(((CM140/CE140-1)*100)&lt;-50,"NM",(CM140/CE140-1)*100)))</f>
        <v>-26.525392765801968</v>
      </c>
      <c r="CO140" s="160">
        <f>CO128+CO130</f>
        <v>430</v>
      </c>
      <c r="CP140" s="98" t="str">
        <f>IF(ISERROR((CO140/CG140-1)*100),"NA",IF(((CO140/CG140-1)*100)&gt;100,"NM",IF(((CO140/CG140-1)*100)&lt;-50,"NM",(CO140/CG140-1)*100)))</f>
        <v>NM</v>
      </c>
      <c r="CQ140" s="495">
        <f>CQ128+CQ130</f>
        <v>-3039</v>
      </c>
      <c r="CR140" s="98" t="str">
        <f>IF(ISERROR((CQ140/CI140-1)*100),"NA",IF(((CQ140/CI140-1)*100)&gt;100,"NM",IF(((CQ140/CI140-1)*100)&lt;-50,"NM",(CQ140/CI140-1)*100)))</f>
        <v>NM</v>
      </c>
      <c r="CS140" s="160">
        <f>CS128+CS130</f>
        <v>1186</v>
      </c>
      <c r="CT140" s="98">
        <f>IF(ISERROR((CS140/CK140-1)*100),"NA",IF(((CS140/CK140-1)*100)&gt;100,"NM",IF(((CS140/CK140-1)*100)&lt;-50,"NM",(CS140/CK140-1)*100)))</f>
        <v>44.106925880923441</v>
      </c>
      <c r="CU140" s="160">
        <f>CU128+CU130</f>
        <v>2910</v>
      </c>
      <c r="CV140" s="98">
        <f>IF(ISERROR((CU140/CM140-1)*100),"NA",IF(((CU140/CM140-1)*100)&gt;100,"NM",IF(((CU140/CM140-1)*100)&lt;-50,"NM",(CU140/CM140-1)*100)))</f>
        <v>44.704127299850825</v>
      </c>
      <c r="CW140" s="160">
        <f>CW128+CW130</f>
        <v>4498</v>
      </c>
      <c r="CX140" s="98" t="str">
        <f>IF(ISERROR((CW140/CO140-1)*100),"NA",IF(((CW140/CO140-1)*100)&gt;100,"NM",IF(((CW140/CO140-1)*100)&lt;-50,"NM",(CW140/CO140-1)*100)))</f>
        <v>NM</v>
      </c>
      <c r="CY140" s="160">
        <f>CY128+CY130</f>
        <v>878</v>
      </c>
      <c r="CZ140" s="98" t="str">
        <f>IF(ISERROR((CY140/CQ140-1)*100),"NA",IF(((CY140/CQ140-1)*100)&gt;100,"NM",IF(((CY140/CQ140-1)*100)&lt;-50,"NM",(CY140/CQ140-1)*100)))</f>
        <v>NM</v>
      </c>
      <c r="DA140" s="160">
        <f>DA128+DA130</f>
        <v>803</v>
      </c>
      <c r="DB140" s="98">
        <f>IF(ISERROR((DA140/CS140-1)*100),"NA",IF(((DA140/CS140-1)*100)&gt;100,"NM",IF(((DA140/CS140-1)*100)&lt;-50,"NM",(DA140/CS140-1)*100)))</f>
        <v>-32.293423271500842</v>
      </c>
      <c r="DC140" s="160">
        <f>DC128+DC130</f>
        <v>3025</v>
      </c>
      <c r="DD140" s="98">
        <f>IF(ISERROR((DC140/CU140-1)*100),"NA",IF(((DC140/CU140-1)*100)&gt;100,"NM",IF(((DC140/CU140-1)*100)&lt;-50,"NM",(DC140/CU140-1)*100)))</f>
        <v>3.9518900343642693</v>
      </c>
      <c r="DE140" s="160">
        <f>DE128+DE130</f>
        <v>-3657</v>
      </c>
      <c r="DF140" s="98" t="str">
        <f>IF(ISERROR((DE140/CW140-1)*100),"NA",IF(((DE140/CW140-1)*100)&gt;100,"NM",IF(((DE140/CW140-1)*100)&lt;-50,"NM",(DE140/CW140-1)*100)))</f>
        <v>NM</v>
      </c>
      <c r="DG140" s="160">
        <f>DG128+DG130</f>
        <v>-453</v>
      </c>
      <c r="DH140" s="98" t="str">
        <f>IF(ISERROR((DG140/CY140-1)*100),"NA",IF(((DG140/CY140-1)*100)&gt;100,"NM",IF(((DG140/CY140-1)*100)&lt;-50,"NM",(DG140/CY140-1)*100)))</f>
        <v>NM</v>
      </c>
      <c r="DI140" s="160">
        <f>DI128+DI130</f>
        <v>1520</v>
      </c>
      <c r="DJ140" s="98">
        <f>IF(ISERROR((DI140/DA140-1)*100),"NA",IF(((DI140/DA140-1)*100)&gt;100,"NM",IF(((DI140/DA140-1)*100)&lt;-50,"NM",(DI140/DA140-1)*100)))</f>
        <v>89.290161892901622</v>
      </c>
      <c r="DK140" s="160">
        <f>DK128+DK130</f>
        <v>-2922</v>
      </c>
      <c r="DL140" s="98" t="str">
        <f>IF(ISERROR((DK140/DC140-1)*100),"NA",IF(((DK140/DC140-1)*100)&gt;100,"NM",IF(((DK140/DC140-1)*100)&lt;-50,"NM",(DK140/DC140-1)*100)))</f>
        <v>NM</v>
      </c>
      <c r="DM140" s="160">
        <f>DM128+DM130</f>
        <v>4014</v>
      </c>
      <c r="DN140" s="98" t="str">
        <f>IF(ISERROR((DM140/DE140-1)*100),"NA",IF(((DM140/DE140-1)*100)&gt;100,"NM",IF(((DM140/DE140-1)*100)&lt;-50,"NM",(DM140/DE140-1)*100)))</f>
        <v>NM</v>
      </c>
      <c r="DO140" s="160">
        <f>DO128+DO130</f>
        <v>3181</v>
      </c>
      <c r="DP140" s="98" t="str">
        <f>IF(ISERROR((DO140/DG140-1)*100),"NA",IF(((DO140/DG140-1)*100)&gt;100,"NM",IF(((DO140/DG140-1)*100)&lt;-50,"NM",(DO140/DG140-1)*100)))</f>
        <v>NM</v>
      </c>
      <c r="DQ140" s="160">
        <f>DQ128+DQ130</f>
        <v>1036</v>
      </c>
      <c r="DR140" s="98">
        <f>IF(ISERROR((DQ140/DI140-1)*100),"NA",IF(((DQ140/DI140-1)*100)&gt;100,"NM",IF(((DQ140/DI140-1)*100)&lt;-50,"NM",(DQ140/DI140-1)*100)))</f>
        <v>-31.842105263157894</v>
      </c>
      <c r="DS140" s="160">
        <f>DS128+DS130</f>
        <v>1051</v>
      </c>
      <c r="DT140" s="98" t="str">
        <f>IF(ISERROR((DS140/DK140-1)*100),"NA",IF(((DS140/DK140-1)*100)&gt;100,"NM",IF(((DS140/DK140-1)*100)&lt;-50,"NM",(DS140/DK140-1)*100)))</f>
        <v>NM</v>
      </c>
      <c r="DU140" s="160">
        <f>DU128+DU130</f>
        <v>-647</v>
      </c>
      <c r="DV140" s="98" t="str">
        <f>IF(ISERROR((DU140/DM140-1)*100),"NA",IF(((DU140/DM140-1)*100)&gt;100,"NM",IF(((DU140/DM140-1)*100)&lt;-50,"NM",(DU140/DM140-1)*100)))</f>
        <v>NM</v>
      </c>
      <c r="DW140" s="160">
        <f>DW128+DW130</f>
        <v>-503</v>
      </c>
      <c r="DX140" s="98" t="str">
        <f>IF(ISERROR((DW140/DO140-1)*100),"NA",IF(((DW140/DO140-1)*100)&gt;100,"NM",IF(((DW140/DO140-1)*100)&lt;-50,"NM",(DW140/DO140-1)*100)))</f>
        <v>NM</v>
      </c>
      <c r="DY140" s="160">
        <f>DY128+DY130</f>
        <v>1490</v>
      </c>
      <c r="DZ140" s="98">
        <f>IF(ISERROR((DY140/DQ140-1)*100),"NA",IF(((DY140/DQ140-1)*100)&gt;100,"NM",IF(((DY140/DQ140-1)*100)&lt;-50,"NM",(DY140/DQ140-1)*100)))</f>
        <v>43.822393822393813</v>
      </c>
      <c r="EA140" s="160">
        <f>EA128+EA130</f>
        <v>673</v>
      </c>
      <c r="EB140" s="98">
        <f>IF(ISERROR((EA140/DS140-1)*100),"NA",IF(((EA140/DS140-1)*100)&gt;100,"NM",IF(((EA140/DS140-1)*100)&lt;-50,"NM",(EA140/DS140-1)*100)))</f>
        <v>-35.965746907706944</v>
      </c>
      <c r="EC140" s="160">
        <f>EC128+EC130</f>
        <v>305</v>
      </c>
      <c r="ED140" s="98" t="str">
        <f>IF(ISERROR((EC140/DU140-1)*100),"NA",IF(((EC140/DU140-1)*100)&gt;100,"NM",IF(((EC140/DU140-1)*100)&lt;-50,"NM",(EC140/DU140-1)*100)))</f>
        <v>NM</v>
      </c>
      <c r="EE140" s="160">
        <f>EE128+EE130</f>
        <v>2258</v>
      </c>
      <c r="EF140" s="860" t="str">
        <f>IF(ISERROR((EE140/DW140-1)*100),"NA",IF(((EE140/DW140-1)*100)&gt;100,"NM",IF(((EE140/DW140-1)*100)&lt;-50,"NM",(EE140/DW140-1)*100)))</f>
        <v>NM</v>
      </c>
      <c r="EG140" s="160">
        <f>EG128+EG130</f>
        <v>2571</v>
      </c>
      <c r="EH140" s="860">
        <f>IF(ISERROR((EG140/DY140-1)*100),"NA",IF(((EG140/DY140-1)*100)&gt;100,"NM",IF(((EG140/DY140-1)*100)&lt;-50,"NM",(EG140/DY140-1)*100)))</f>
        <v>72.550335570469798</v>
      </c>
      <c r="EI140" s="160">
        <f>EI128+EI130</f>
        <v>932</v>
      </c>
      <c r="EJ140" s="860">
        <f t="shared" ref="EJ140" si="727">IF(ISERROR((EI140/EA140-1)*100),"NA",IF(((EI140/EA140-1)*100)&gt;100,"NM",IF(((EI140/EA140-1)*100)&lt;-50,"NM",(EI140/EA140-1)*100)))</f>
        <v>38.484398216939077</v>
      </c>
      <c r="EK140" s="160">
        <f>EK128+EK130</f>
        <v>-68</v>
      </c>
      <c r="EL140" s="860" t="str">
        <f t="shared" ref="EL140" si="728">IF(ISERROR((EK140/EC140-1)*100),"NA",IF(((EK140/EC140-1)*100)&gt;100,"NM",IF(((EK140/EC140-1)*100)&lt;-50,"NM",(EK140/EC140-1)*100)))</f>
        <v>NM</v>
      </c>
      <c r="EM140" s="160">
        <f>EM128+EM130</f>
        <v>3696</v>
      </c>
      <c r="EN140" s="860">
        <f t="shared" ref="EN140" si="729">IF(ISERROR((EM140/EE140-1)*100),"NA",IF(((EM140/EE140-1)*100)&gt;100,"NM",IF(((EM140/EE140-1)*100)&lt;-50,"NM",(EM140/EE140-1)*100)))</f>
        <v>63.684676705048716</v>
      </c>
      <c r="EO140" s="160">
        <f>EO128+EO130</f>
        <v>747</v>
      </c>
      <c r="EP140" s="98" t="str">
        <f t="shared" ref="EP140" si="730">IF(ISERROR((EO140/EG140-1)*100),"NA",IF(((EO140/EG140-1)*100)&gt;100,"NM",IF(((EO140/EG140-1)*100)&lt;-50,"NM",(EO140/EG140-1)*100)))</f>
        <v>NM</v>
      </c>
      <c r="EQ140" s="792">
        <f t="shared" ref="EQ140" si="731">EQ128+EQ130</f>
        <v>612.86534446764199</v>
      </c>
      <c r="ER140" s="98">
        <f t="shared" ref="ER140" si="732">IF(ISERROR((EQ140/EI140-1)*100),"NA",IF(((EQ140/EI140-1)*100)&gt;100,"NM",IF(((EQ140/EI140-1)*100)&lt;-50,"NM",(EQ140/EI140-1)*100)))</f>
        <v>-34.24191582965215</v>
      </c>
      <c r="ES140" s="792">
        <f t="shared" ref="ES140" si="733">ES128+ES130</f>
        <v>513.50622602581643</v>
      </c>
      <c r="ET140" s="98" t="str">
        <f t="shared" ref="ET140" si="734">IF(ISERROR((ES140/EK140-1)*100),"NA",IF(((ES140/EK140-1)*100)&gt;100,"NM",IF(((ES140/EK140-1)*100)&lt;-50,"NM",(ES140/EK140-1)*100)))</f>
        <v>NM</v>
      </c>
      <c r="EU140" s="792">
        <f t="shared" ref="EU140" si="735">EU128+EU130</f>
        <v>429.57769405198269</v>
      </c>
      <c r="EV140" s="98" t="str">
        <f t="shared" ref="EV140" si="736">IF(ISERROR((EU140/EM140-1)*100),"NA",IF(((EU140/EM140-1)*100)&gt;100,"NM",IF(((EU140/EM140-1)*100)&lt;-50,"NM",(EU140/EM140-1)*100)))</f>
        <v>NM</v>
      </c>
      <c r="EW140" s="792">
        <f t="shared" ref="EW140" si="737">EW128+EW130</f>
        <v>358.64797839799212</v>
      </c>
      <c r="EX140" s="98" t="str">
        <f t="shared" ref="EX140" si="738">IF(ISERROR((EW140/EO140-1)*100),"NA",IF(((EW140/EO140-1)*100)&gt;100,"NM",IF(((EW140/EO140-1)*100)&lt;-50,"NM",(EW140/EO140-1)*100)))</f>
        <v>NM</v>
      </c>
      <c r="EY140" s="118"/>
      <c r="EZ140" s="594"/>
      <c r="FA140" s="405"/>
      <c r="FB140" s="114"/>
      <c r="FC140" s="113"/>
      <c r="FD140" s="118">
        <f>FD128+FD130</f>
        <v>-727</v>
      </c>
      <c r="FE140" s="98" t="str">
        <f>IF(ISERROR((FD140/FB140-1)*100),"NA",IF(((FD140/FB140-1)*100)&gt;100,"NM",IF(((FD140/FB140-1)*100)&lt;-50,"NM",(FD140/FB140-1)*100)))</f>
        <v>NA</v>
      </c>
      <c r="FF140" s="118">
        <f>FF128+FF130</f>
        <v>-33</v>
      </c>
      <c r="FG140" s="98" t="str">
        <f>IF(ISERROR((FF140/FD140-1)*100),"NA",IF(((FF140/FD140-1)*100)&gt;100,"NM",IF(((FF140/FD140-1)*100)&lt;-50,"NM",(FF140/FD140-1)*100)))</f>
        <v>NM</v>
      </c>
      <c r="FH140" s="118">
        <f>FH128+FH130</f>
        <v>1665</v>
      </c>
      <c r="FI140" s="98" t="str">
        <f>IF(ISERROR((FH140/FF140-1)*100),"NA",IF(((FH140/FF140-1)*100)&gt;100,"NM",IF(((FH140/FF140-1)*100)&lt;-50,"NM",(FH140/FF140-1)*100)))</f>
        <v>NM</v>
      </c>
      <c r="FJ140" s="118">
        <f>FJ128+FJ130</f>
        <v>1172</v>
      </c>
      <c r="FK140" s="98">
        <f>IF(ISERROR((FJ140/FH140-1)*100),"NA",IF(((FJ140/FH140-1)*100)&gt;100,"NM",IF(((FJ140/FH140-1)*100)&lt;-50,"NM",(FJ140/FH140-1)*100)))</f>
        <v>-29.60960960960961</v>
      </c>
      <c r="FL140" s="118">
        <f>FL128+FL130</f>
        <v>4578</v>
      </c>
      <c r="FM140" s="98" t="str">
        <f>IF(ISERROR((FL140/FJ140-1)*100),"NA",IF(((FL140/FJ140-1)*100)&gt;100,"NM",IF(((FL140/FJ140-1)*100)&lt;-50,"NM",(FL140/FJ140-1)*100)))</f>
        <v>NM</v>
      </c>
      <c r="FN140" s="118">
        <f>FN128+FN130</f>
        <v>4508</v>
      </c>
      <c r="FO140" s="98">
        <f>IF(ISERROR((FN140/FL140-1)*100),"NA",IF(((FN140/FL140-1)*100)&gt;100,"NM",IF(((FN140/FL140-1)*100)&lt;-50,"NM",(FN140/FL140-1)*100)))</f>
        <v>-1.5290519877675823</v>
      </c>
      <c r="FP140" s="118">
        <f>FP128+FP130</f>
        <v>3261</v>
      </c>
      <c r="FQ140" s="98">
        <f>IF(ISERROR((FP140/FN140-1)*100),"NA",IF(((FP140/FN140-1)*100)&gt;100,"NM",IF(((FP140/FN140-1)*100)&lt;-50,"NM",(FP140/FN140-1)*100)))</f>
        <v>-27.661934338952975</v>
      </c>
      <c r="FR140" s="119">
        <f>FR128+FR130</f>
        <v>4297</v>
      </c>
      <c r="FS140" s="120">
        <f>IF(ISERROR((FR140/FP140-1)*100),"NA",IF(((FR140/FP140-1)*100)&gt;100,"NM",IF(((FR140/FP140-1)*100)&lt;-50,"NM",(FR140/FP140-1)*100)))</f>
        <v>31.769395890831031</v>
      </c>
      <c r="FT140" s="119">
        <f>FT128+FT130</f>
        <v>3302</v>
      </c>
      <c r="FU140" s="120">
        <f>IF(ISERROR((FT140/FR140-1)*100),"NA",IF(((FT140/FR140-1)*100)&gt;100,"NM",IF(((FT140/FR140-1)*100)&lt;-50,"NM",(FT140/FR140-1)*100)))</f>
        <v>-23.155690016290432</v>
      </c>
      <c r="FV140" s="119">
        <f>FV128+FV130</f>
        <v>10936</v>
      </c>
      <c r="FW140" s="98" t="str">
        <f>IF(ISERROR((FV140/FT140-1)*100),"NA",IF(((FV140/FT140-1)*100)&gt;100,"NM",IF(((FV140/FT140-1)*100)&lt;-50,"NM",(FV140/FT140-1)*100)))</f>
        <v>NM</v>
      </c>
      <c r="FX140" s="485">
        <f>FX128+FX130</f>
        <v>-9491</v>
      </c>
      <c r="FY140" s="98" t="str">
        <f>IF(ISERROR((FX140/FV140-1)*100),"NA",IF(((FX140/FV140-1)*100)&gt;100,"NM",IF(((FX140/FV140-1)*100)&lt;-50,"NM",(FX140/FV140-1)*100)))</f>
        <v>NM</v>
      </c>
      <c r="FZ140" s="119">
        <f>FZ128+FZ130</f>
        <v>2785</v>
      </c>
      <c r="GA140" s="98" t="str">
        <f>IF(ISERROR((FZ140/FX140-1)*100),"NA",IF(((FZ140/FX140-1)*100)&gt;100,"NM",IF(((FZ140/FX140-1)*100)&lt;-50,"NM",(FZ140/FX140-1)*100)))</f>
        <v>NM</v>
      </c>
      <c r="GB140" s="485">
        <f>GB128+GB130</f>
        <v>588</v>
      </c>
      <c r="GC140" s="98" t="str">
        <f>IF(ISERROR((GB140/FZ140-1)*100),"NA",IF(((GB140/FZ140-1)*100)&gt;100,"NM",IF(((GB140/FZ140-1)*100)&lt;-50,"NM",(GB140/FZ140-1)*100)))</f>
        <v>NM</v>
      </c>
      <c r="GD140" s="119">
        <f>GD128+GD130</f>
        <v>9089</v>
      </c>
      <c r="GE140" s="98" t="str">
        <f>IF(ISERROR((GD140/GB140-1)*100),"NA",IF(((GD140/GB140-1)*100)&gt;100,"NM",IF(((GD140/GB140-1)*100)&lt;-50,"NM",(GD140/GB140-1)*100)))</f>
        <v>NM</v>
      </c>
      <c r="GF140" s="119">
        <f>GF128+GF130</f>
        <v>435</v>
      </c>
      <c r="GG140" s="98" t="str">
        <f>IF(ISERROR((GF140/GD140-1)*100),"NA",IF(((GF140/GD140-1)*100)&gt;100,"NM",IF(((GF140/GD140-1)*100)&lt;-50,"NM",(GF140/GD140-1)*100)))</f>
        <v>NM</v>
      </c>
      <c r="GH140" s="119">
        <f>GH128+GH130</f>
        <v>5309</v>
      </c>
      <c r="GI140" s="98" t="str">
        <f>IF(ISERROR((GH140/GF140-1)*100),"NA",IF(((GH140/GF140-1)*100)&gt;100,"NM",IF(((GH140/GF140-1)*100)&lt;-50,"NM",(GH140/GF140-1)*100)))</f>
        <v>NM</v>
      </c>
      <c r="GJ140" s="119">
        <f>GJ128+GJ130</f>
        <v>1391</v>
      </c>
      <c r="GK140" s="98" t="str">
        <f>IF(ISERROR((GJ140/GH140-1)*100),"NA",IF(((GJ140/GH140-1)*100)&gt;100,"NM",IF(((GJ140/GH140-1)*100)&lt;-50,"NM",(GJ140/GH140-1)*100)))</f>
        <v>NM</v>
      </c>
      <c r="GL140" s="119">
        <f>GL128+GL130</f>
        <v>5807</v>
      </c>
      <c r="GM140" s="98" t="str">
        <f>IF(ISERROR((GL140/GJ140-1)*100),"NA",IF(((GL140/GJ140-1)*100)&gt;100,"NM",IF(((GL140/GJ140-1)*100)&lt;-50,"NM",(GL140/GJ140-1)*100)))</f>
        <v>NM</v>
      </c>
      <c r="GN140" s="119">
        <f>GN128+GN130</f>
        <v>5307</v>
      </c>
      <c r="GO140" s="98">
        <f>IF(ISERROR((GN140/GL140-1)*100),"NA",IF(((GN140/GL140-1)*100)&gt;100,"NM",IF(((GN140/GL140-1)*100)&lt;-50,"NM",(GN140/GL140-1)*100)))</f>
        <v>-8.610297916307907</v>
      </c>
      <c r="GP140" s="119">
        <f>GP128+GP130</f>
        <v>1914.5972429434332</v>
      </c>
      <c r="GQ140" s="98" t="str">
        <f>IF(ISERROR((GP140/GN140-1)*100),"NA",IF(((GP140/GN140-1)*100)&gt;100,"NM",IF(((GP140/GN140-1)*100)&lt;-50,"NM",(GP140/GN140-1)*100)))</f>
        <v>NM</v>
      </c>
      <c r="GR140" s="118">
        <f>GR128+GR130</f>
        <v>4886.0751069627149</v>
      </c>
      <c r="GS140" s="98" t="str">
        <f>IF(ISERROR((GR140/GP140-1)*100),"NA",IF(((GR140/GP140-1)*100)&gt;100,"NM",IF(((GR140/GP140-1)*100)&lt;-50,"NM",(GR140/GP140-1)*100)))</f>
        <v>NM</v>
      </c>
      <c r="GT140" s="118">
        <f>GT128+GT130</f>
        <v>6280.5006915283884</v>
      </c>
      <c r="GU140" s="98">
        <f>IF(ISERROR((GT140/GR140-1)*100),"NA",IF(((GT140/GR140-1)*100)&gt;100,"NM",IF(((GT140/GR140-1)*100)&lt;-50,"NM",(GT140/GR140-1)*100)))</f>
        <v>28.538766884254407</v>
      </c>
      <c r="GV140" s="118">
        <f>GV128+GV130</f>
        <v>7095.2376334381115</v>
      </c>
      <c r="GW140" s="98">
        <f>IF(ISERROR((GV140/GT140-1)*100),"NA",IF(((GV140/GT140-1)*100)&gt;100,"NM",IF(((GV140/GT140-1)*100)&lt;-50,"NM",(GV140/GT140-1)*100)))</f>
        <v>12.972483913722055</v>
      </c>
      <c r="GX140" s="118">
        <f>GX128+GX130</f>
        <v>7718.8484687274613</v>
      </c>
      <c r="GY140" s="98">
        <f>IF(ISERROR((GX140/GV140-1)*100),"NA",IF(((GX140/GV140-1)*100)&gt;100,"NM",IF(((GX140/GV140-1)*100)&lt;-50,"NM",(GX140/GV140-1)*100)))</f>
        <v>8.7891465727719229</v>
      </c>
      <c r="GZ140" s="98">
        <f>IF(ISERROR(((GX140/GN140)^0.2-1)*100),"NA",IF((((GX140/GN140)^0.2-1)*100)&gt;100,"NM",IF((((GX140/GN140)^0.2-1)*100)&lt;-50,"NM",((GX140/GN140)^0.2-1)*100)))</f>
        <v>7.7806219871748405</v>
      </c>
      <c r="HA140" s="98"/>
      <c r="HB140" s="10"/>
      <c r="HC140"/>
      <c r="HD140"/>
      <c r="HE140"/>
      <c r="HF140"/>
      <c r="HG140"/>
      <c r="HH140"/>
      <c r="HI140" s="10"/>
    </row>
    <row r="141" spans="2:217" s="2" customFormat="1" ht="12.75" customHeight="1" x14ac:dyDescent="0.2">
      <c r="B141" s="91"/>
      <c r="C141" s="159"/>
      <c r="D141" s="154"/>
      <c r="E141" s="159"/>
      <c r="F141" s="154"/>
      <c r="G141" s="159"/>
      <c r="H141" s="154"/>
      <c r="I141" s="159"/>
      <c r="J141" s="156"/>
      <c r="K141" s="159"/>
      <c r="L141" s="156"/>
      <c r="M141" s="159"/>
      <c r="N141" s="156"/>
      <c r="O141" s="159"/>
      <c r="P141" s="156"/>
      <c r="Q141" s="159"/>
      <c r="R141" s="156"/>
      <c r="S141" s="159"/>
      <c r="T141" s="156"/>
      <c r="U141" s="159"/>
      <c r="V141" s="156"/>
      <c r="W141" s="159"/>
      <c r="X141" s="156"/>
      <c r="Y141" s="159"/>
      <c r="Z141" s="156"/>
      <c r="AA141" s="159"/>
      <c r="AB141" s="156"/>
      <c r="AC141" s="159"/>
      <c r="AD141" s="156"/>
      <c r="AE141" s="159"/>
      <c r="AF141" s="156"/>
      <c r="AG141" s="159"/>
      <c r="AH141" s="156"/>
      <c r="AI141" s="159"/>
      <c r="AJ141" s="156"/>
      <c r="AK141" s="159"/>
      <c r="AL141" s="156"/>
      <c r="AM141" s="159"/>
      <c r="AN141" s="156"/>
      <c r="AO141" s="159"/>
      <c r="AP141" s="156"/>
      <c r="AQ141" s="159"/>
      <c r="AR141" s="156"/>
      <c r="AS141" s="159"/>
      <c r="AT141" s="156"/>
      <c r="AU141" s="159"/>
      <c r="AV141" s="156"/>
      <c r="AW141" s="159"/>
      <c r="AX141" s="156"/>
      <c r="AY141" s="159"/>
      <c r="AZ141" s="156"/>
      <c r="BA141" s="159"/>
      <c r="BB141" s="156"/>
      <c r="BC141" s="159"/>
      <c r="BD141" s="156"/>
      <c r="BE141" s="159"/>
      <c r="BF141" s="156"/>
      <c r="BG141" s="159"/>
      <c r="BH141" s="156"/>
      <c r="BI141" s="159"/>
      <c r="BJ141" s="156"/>
      <c r="BK141" s="159"/>
      <c r="BL141" s="156"/>
      <c r="BM141" s="159"/>
      <c r="BN141" s="98"/>
      <c r="BO141" s="160"/>
      <c r="BP141" s="98"/>
      <c r="BQ141" s="160"/>
      <c r="BR141" s="98"/>
      <c r="BS141" s="160"/>
      <c r="BT141" s="98"/>
      <c r="BU141" s="160"/>
      <c r="BV141" s="98"/>
      <c r="BW141" s="160"/>
      <c r="BX141" s="98"/>
      <c r="BY141" s="160"/>
      <c r="BZ141" s="98"/>
      <c r="CA141" s="160"/>
      <c r="CB141" s="98"/>
      <c r="CC141" s="160"/>
      <c r="CD141" s="98"/>
      <c r="CE141" s="160"/>
      <c r="CF141" s="98"/>
      <c r="CG141" s="160"/>
      <c r="CH141" s="98"/>
      <c r="CI141" s="160"/>
      <c r="CJ141" s="98"/>
      <c r="CK141" s="160"/>
      <c r="CL141" s="98"/>
      <c r="CM141" s="160"/>
      <c r="CN141" s="98"/>
      <c r="CO141" s="160"/>
      <c r="CP141" s="98"/>
      <c r="CQ141" s="495"/>
      <c r="CR141" s="98"/>
      <c r="CS141" s="160"/>
      <c r="CT141" s="98"/>
      <c r="CU141" s="160"/>
      <c r="CV141" s="98"/>
      <c r="CW141" s="160"/>
      <c r="CX141" s="98"/>
      <c r="CY141" s="160"/>
      <c r="CZ141" s="98"/>
      <c r="DA141" s="160"/>
      <c r="DB141" s="98"/>
      <c r="DC141" s="160"/>
      <c r="DD141" s="98"/>
      <c r="DE141" s="160"/>
      <c r="DF141" s="98"/>
      <c r="DG141" s="160"/>
      <c r="DH141" s="98"/>
      <c r="DI141" s="160"/>
      <c r="DJ141" s="98"/>
      <c r="DK141" s="160"/>
      <c r="DL141" s="98"/>
      <c r="DM141" s="160"/>
      <c r="DN141" s="98"/>
      <c r="DO141" s="160"/>
      <c r="DP141" s="98"/>
      <c r="DQ141" s="160"/>
      <c r="DR141" s="98"/>
      <c r="DS141" s="160"/>
      <c r="DT141" s="98"/>
      <c r="DU141" s="160"/>
      <c r="DV141" s="98"/>
      <c r="DW141" s="160"/>
      <c r="DX141" s="98"/>
      <c r="DY141" s="160"/>
      <c r="DZ141" s="98"/>
      <c r="EA141" s="160"/>
      <c r="EB141" s="98"/>
      <c r="EC141" s="160"/>
      <c r="ED141" s="98"/>
      <c r="EE141" s="160"/>
      <c r="EF141" s="860"/>
      <c r="EG141" s="160"/>
      <c r="EH141" s="860"/>
      <c r="EI141" s="160"/>
      <c r="EJ141" s="860"/>
      <c r="EK141" s="160"/>
      <c r="EL141" s="860"/>
      <c r="EM141" s="160"/>
      <c r="EN141" s="860"/>
      <c r="EO141" s="160"/>
      <c r="EP141" s="98"/>
      <c r="EQ141" s="792"/>
      <c r="ER141" s="98"/>
      <c r="ES141" s="792"/>
      <c r="ET141" s="98"/>
      <c r="EU141" s="792"/>
      <c r="EV141" s="98"/>
      <c r="EW141" s="792"/>
      <c r="EX141" s="98"/>
      <c r="EY141" s="118"/>
      <c r="EZ141" s="594"/>
      <c r="FA141" s="405"/>
      <c r="FB141" s="114"/>
      <c r="FC141" s="113"/>
      <c r="FD141" s="118"/>
      <c r="FE141" s="113"/>
      <c r="FF141" s="118"/>
      <c r="FG141" s="113"/>
      <c r="FH141" s="118"/>
      <c r="FI141" s="113"/>
      <c r="FJ141" s="118"/>
      <c r="FK141" s="113"/>
      <c r="FL141" s="118"/>
      <c r="FM141" s="113"/>
      <c r="FN141" s="118"/>
      <c r="FO141" s="113"/>
      <c r="FP141" s="118"/>
      <c r="FQ141" s="113"/>
      <c r="FR141" s="119"/>
      <c r="FS141" s="116"/>
      <c r="FT141" s="119"/>
      <c r="FU141" s="116"/>
      <c r="FV141" s="119"/>
      <c r="FW141" s="98"/>
      <c r="FX141" s="485"/>
      <c r="FY141" s="98"/>
      <c r="FZ141" s="119"/>
      <c r="GA141" s="98"/>
      <c r="GB141" s="485"/>
      <c r="GC141" s="98"/>
      <c r="GD141" s="119"/>
      <c r="GE141" s="98"/>
      <c r="GF141" s="119"/>
      <c r="GG141" s="98"/>
      <c r="GH141" s="119"/>
      <c r="GI141" s="98"/>
      <c r="GJ141" s="119"/>
      <c r="GK141" s="98"/>
      <c r="GL141" s="119"/>
      <c r="GM141" s="98"/>
      <c r="GN141" s="119"/>
      <c r="GO141" s="98"/>
      <c r="GP141" s="119"/>
      <c r="GQ141" s="98"/>
      <c r="GR141" s="118"/>
      <c r="GS141" s="98"/>
      <c r="GT141" s="118"/>
      <c r="GU141" s="98"/>
      <c r="GV141" s="118"/>
      <c r="GW141" s="98"/>
      <c r="GX141" s="118"/>
      <c r="GY141" s="98"/>
      <c r="GZ141" s="98"/>
      <c r="HA141" s="98"/>
      <c r="HB141" s="10"/>
      <c r="HC141"/>
      <c r="HD141"/>
      <c r="HE141"/>
      <c r="HF141"/>
      <c r="HG141"/>
      <c r="HH141"/>
      <c r="HI141" s="10"/>
    </row>
    <row r="142" spans="2:217" s="2" customFormat="1" ht="12.75" customHeight="1" x14ac:dyDescent="0.2">
      <c r="B142" s="93" t="s">
        <v>147</v>
      </c>
      <c r="C142" s="153"/>
      <c r="D142" s="154"/>
      <c r="E142" s="153"/>
      <c r="F142" s="154"/>
      <c r="G142" s="153"/>
      <c r="H142" s="154"/>
      <c r="I142" s="153"/>
      <c r="J142" s="156"/>
      <c r="K142" s="153"/>
      <c r="L142" s="156"/>
      <c r="M142" s="153"/>
      <c r="N142" s="156"/>
      <c r="O142" s="153"/>
      <c r="P142" s="156"/>
      <c r="Q142" s="153"/>
      <c r="R142" s="156"/>
      <c r="S142" s="153"/>
      <c r="T142" s="156"/>
      <c r="U142" s="153"/>
      <c r="V142" s="156"/>
      <c r="W142" s="153"/>
      <c r="X142" s="156"/>
      <c r="Y142" s="153"/>
      <c r="Z142" s="156"/>
      <c r="AA142" s="153"/>
      <c r="AB142" s="156"/>
      <c r="AC142" s="153"/>
      <c r="AD142" s="156"/>
      <c r="AE142" s="153"/>
      <c r="AF142" s="156"/>
      <c r="AG142" s="153"/>
      <c r="AH142" s="156"/>
      <c r="AI142" s="153"/>
      <c r="AJ142" s="156"/>
      <c r="AK142" s="153"/>
      <c r="AL142" s="156"/>
      <c r="AM142" s="153"/>
      <c r="AN142" s="156"/>
      <c r="AO142" s="153"/>
      <c r="AP142" s="156"/>
      <c r="AQ142" s="153"/>
      <c r="AR142" s="156"/>
      <c r="AS142" s="153"/>
      <c r="AT142" s="156"/>
      <c r="AU142" s="153"/>
      <c r="AV142" s="156"/>
      <c r="AW142" s="153"/>
      <c r="AX142" s="156"/>
      <c r="AY142" s="153"/>
      <c r="AZ142" s="156"/>
      <c r="BA142" s="153"/>
      <c r="BB142" s="156"/>
      <c r="BC142" s="153"/>
      <c r="BD142" s="156"/>
      <c r="BE142" s="153"/>
      <c r="BF142" s="156"/>
      <c r="BG142" s="153"/>
      <c r="BH142" s="156"/>
      <c r="BI142" s="153"/>
      <c r="BJ142" s="156"/>
      <c r="BK142" s="153"/>
      <c r="BL142" s="156"/>
      <c r="BM142" s="153"/>
      <c r="BN142" s="98"/>
      <c r="BO142" s="112"/>
      <c r="BP142" s="98"/>
      <c r="BQ142" s="112"/>
      <c r="BR142" s="98"/>
      <c r="BS142" s="112"/>
      <c r="BT142" s="98"/>
      <c r="BU142" s="112"/>
      <c r="BV142" s="98"/>
      <c r="BW142" s="112"/>
      <c r="BX142" s="98"/>
      <c r="BY142" s="112"/>
      <c r="BZ142" s="98"/>
      <c r="CA142" s="112"/>
      <c r="CB142" s="98"/>
      <c r="CC142" s="112"/>
      <c r="CD142" s="98"/>
      <c r="CE142" s="112"/>
      <c r="CF142" s="98"/>
      <c r="CG142" s="112"/>
      <c r="CH142" s="98"/>
      <c r="CI142" s="112"/>
      <c r="CJ142" s="98"/>
      <c r="CK142" s="112"/>
      <c r="CL142" s="98"/>
      <c r="CM142" s="112"/>
      <c r="CN142" s="98"/>
      <c r="CO142" s="112"/>
      <c r="CP142" s="98"/>
      <c r="CQ142" s="543"/>
      <c r="CR142" s="98"/>
      <c r="CS142" s="112"/>
      <c r="CT142" s="98"/>
      <c r="CU142" s="112"/>
      <c r="CV142" s="98"/>
      <c r="CW142" s="112"/>
      <c r="CX142" s="98"/>
      <c r="CY142" s="112"/>
      <c r="CZ142" s="98"/>
      <c r="DA142" s="112"/>
      <c r="DB142" s="98"/>
      <c r="DC142" s="112"/>
      <c r="DD142" s="98"/>
      <c r="DE142" s="112"/>
      <c r="DF142" s="98"/>
      <c r="DG142" s="112"/>
      <c r="DH142" s="98"/>
      <c r="DI142" s="112"/>
      <c r="DJ142" s="98"/>
      <c r="DK142" s="112"/>
      <c r="DL142" s="98"/>
      <c r="DM142" s="112"/>
      <c r="DN142" s="98"/>
      <c r="DO142" s="112"/>
      <c r="DP142" s="98"/>
      <c r="DQ142" s="112"/>
      <c r="DR142" s="98"/>
      <c r="DS142" s="112"/>
      <c r="DT142" s="98"/>
      <c r="DU142" s="112"/>
      <c r="DV142" s="98"/>
      <c r="DW142" s="112"/>
      <c r="DX142" s="98"/>
      <c r="DY142" s="112"/>
      <c r="DZ142" s="98"/>
      <c r="EA142" s="112"/>
      <c r="EB142" s="98"/>
      <c r="EC142" s="112"/>
      <c r="ED142" s="98"/>
      <c r="EE142" s="112"/>
      <c r="EF142" s="860"/>
      <c r="EG142" s="112"/>
      <c r="EH142" s="860"/>
      <c r="EI142" s="112"/>
      <c r="EJ142" s="860"/>
      <c r="EK142" s="112"/>
      <c r="EL142" s="860"/>
      <c r="EM142" s="112"/>
      <c r="EN142" s="860"/>
      <c r="EO142" s="112"/>
      <c r="EP142" s="98"/>
      <c r="EQ142" s="1022"/>
      <c r="ER142" s="98"/>
      <c r="ES142" s="1022"/>
      <c r="ET142" s="98"/>
      <c r="EU142" s="1022"/>
      <c r="EV142" s="98"/>
      <c r="EW142" s="1022"/>
      <c r="EX142" s="98"/>
      <c r="EY142" s="114"/>
      <c r="EZ142" s="594"/>
      <c r="FA142" s="405"/>
      <c r="FB142" s="114"/>
      <c r="FC142" s="113"/>
      <c r="FD142" s="112"/>
      <c r="FE142" s="113"/>
      <c r="FF142" s="114"/>
      <c r="FG142" s="113"/>
      <c r="FH142" s="114"/>
      <c r="FI142" s="113"/>
      <c r="FJ142" s="114"/>
      <c r="FK142" s="113"/>
      <c r="FL142" s="114"/>
      <c r="FM142" s="113"/>
      <c r="FN142" s="114"/>
      <c r="FO142" s="113"/>
      <c r="FP142" s="114"/>
      <c r="FQ142" s="113"/>
      <c r="FR142" s="115"/>
      <c r="FS142" s="116"/>
      <c r="FT142" s="115"/>
      <c r="FU142" s="116"/>
      <c r="FV142" s="115"/>
      <c r="FW142" s="98"/>
      <c r="FX142" s="484"/>
      <c r="FY142" s="98"/>
      <c r="FZ142" s="115"/>
      <c r="GA142" s="98"/>
      <c r="GB142" s="484"/>
      <c r="GC142" s="98"/>
      <c r="GD142" s="115"/>
      <c r="GE142" s="98"/>
      <c r="GF142" s="115"/>
      <c r="GG142" s="98"/>
      <c r="GH142" s="115"/>
      <c r="GI142" s="98"/>
      <c r="GJ142" s="115"/>
      <c r="GK142" s="98"/>
      <c r="GL142" s="115"/>
      <c r="GM142" s="98"/>
      <c r="GN142" s="115"/>
      <c r="GO142" s="98"/>
      <c r="GP142" s="115"/>
      <c r="GQ142" s="98"/>
      <c r="GR142" s="114"/>
      <c r="GS142" s="98"/>
      <c r="GT142" s="114"/>
      <c r="GU142" s="98"/>
      <c r="GV142" s="114"/>
      <c r="GW142" s="98"/>
      <c r="GX142" s="114"/>
      <c r="GY142" s="98"/>
      <c r="GZ142" s="98"/>
      <c r="HA142" s="98"/>
      <c r="HB142" s="10"/>
      <c r="HC142"/>
      <c r="HD142"/>
      <c r="HE142"/>
      <c r="HF142"/>
      <c r="HG142"/>
      <c r="HH142"/>
      <c r="HI142" s="10"/>
    </row>
    <row r="143" spans="2:217" s="2" customFormat="1" ht="12.75" customHeight="1" x14ac:dyDescent="0.2">
      <c r="B143" s="91" t="s">
        <v>310</v>
      </c>
      <c r="C143" s="155">
        <f>+FD147</f>
        <v>29903</v>
      </c>
      <c r="D143" s="156"/>
      <c r="E143" s="155">
        <f>+C147</f>
        <v>31059</v>
      </c>
      <c r="F143" s="156"/>
      <c r="G143" s="155">
        <f>+E147</f>
        <v>29469</v>
      </c>
      <c r="H143" s="156"/>
      <c r="I143" s="155">
        <f>+G147</f>
        <v>29813</v>
      </c>
      <c r="J143" s="156"/>
      <c r="K143" s="155">
        <f>+I147</f>
        <v>28162</v>
      </c>
      <c r="L143" s="156">
        <f t="shared" ref="L143:L148" si="739">IF(ISERROR((K143/C143-1)*100),"NA",IF(((K143/C143-1)*100)&gt;100,"NM",IF(((K143/C143-1)*100)&lt;-50,"NM",(K143/C143-1)*100)))</f>
        <v>-5.8221583118750591</v>
      </c>
      <c r="M143" s="155">
        <f>+K147</f>
        <v>25972</v>
      </c>
      <c r="N143" s="156">
        <f t="shared" ref="N143:N148" si="740">IF(ISERROR((M143/E143-1)*100),"NA",IF(((M143/E143-1)*100)&gt;100,"NM",IF(((M143/E143-1)*100)&lt;-50,"NM",(M143/E143-1)*100)))</f>
        <v>-16.378505425158572</v>
      </c>
      <c r="O143" s="155">
        <f>+M147</f>
        <v>26031</v>
      </c>
      <c r="P143" s="156">
        <f t="shared" ref="P143:P148" si="741">IF(ISERROR((O143/G143-1)*100),"NA",IF(((O143/G143-1)*100)&gt;100,"NM",IF(((O143/G143-1)*100)&lt;-50,"NM",(O143/G143-1)*100)))</f>
        <v>-11.666496996844145</v>
      </c>
      <c r="Q143" s="155">
        <f>+O147</f>
        <v>25154</v>
      </c>
      <c r="R143" s="156">
        <f t="shared" ref="R143:R148" si="742">IF(ISERROR((Q143/I143-1)*100),"NA",IF(((Q143/I143-1)*100)&gt;100,"NM",IF(((Q143/I143-1)*100)&lt;-50,"NM",(Q143/I143-1)*100)))</f>
        <v>-15.627410861033775</v>
      </c>
      <c r="S143" s="155">
        <f>+Q147</f>
        <v>24667</v>
      </c>
      <c r="T143" s="156">
        <f t="shared" ref="T143:T148" si="743">IF(ISERROR((S143/K143-1)*100),"NA",IF(((S143/K143-1)*100)&gt;100,"NM",IF(((S143/K143-1)*100)&lt;-50,"NM",(S143/K143-1)*100)))</f>
        <v>-12.410340174703505</v>
      </c>
      <c r="U143" s="155">
        <f>+S147</f>
        <v>23804</v>
      </c>
      <c r="V143" s="156">
        <f t="shared" ref="V143:V148" si="744">IF(ISERROR((U143/M143-1)*100),"NA",IF(((U143/M143-1)*100)&gt;100,"NM",IF(((U143/M143-1)*100)&lt;-50,"NM",(U143/M143-1)*100)))</f>
        <v>-8.3474511011858876</v>
      </c>
      <c r="W143" s="155">
        <f>+U147</f>
        <v>23050</v>
      </c>
      <c r="X143" s="156">
        <f t="shared" ref="X143:X148" si="745">IF(ISERROR((W143/O143-1)*100),"NA",IF(((W143/O143-1)*100)&gt;100,"NM",IF(((W143/O143-1)*100)&lt;-50,"NM",(W143/O143-1)*100)))</f>
        <v>-11.451730628865587</v>
      </c>
      <c r="Y143" s="155">
        <f>+W147</f>
        <v>23593</v>
      </c>
      <c r="Z143" s="156">
        <f t="shared" ref="Z143:Z148" si="746">IF(ISERROR((Y143/Q143-1)*100),"NA",IF(((Y143/Q143-1)*100)&gt;100,"NM",IF(((Y143/Q143-1)*100)&lt;-50,"NM",(Y143/Q143-1)*100)))</f>
        <v>-6.2057724417587607</v>
      </c>
      <c r="AA143" s="155">
        <f>+Y147</f>
        <v>24775</v>
      </c>
      <c r="AB143" s="156">
        <f t="shared" ref="AB143:AB148" si="747">IF(ISERROR((AA143/S143-1)*100),"NA",IF(((AA143/S143-1)*100)&gt;100,"NM",IF(((AA143/S143-1)*100)&lt;-50,"NM",(AA143/S143-1)*100)))</f>
        <v>0.43783192119024594</v>
      </c>
      <c r="AC143" s="155">
        <f>+AA147</f>
        <v>25105</v>
      </c>
      <c r="AD143" s="156">
        <f t="shared" ref="AD143:AD148" si="748">IF(ISERROR((AC143/U143-1)*100),"NA",IF(((AC143/U143-1)*100)&gt;100,"NM",IF(((AC143/U143-1)*100)&lt;-50,"NM",(AC143/U143-1)*100)))</f>
        <v>5.465467988573347</v>
      </c>
      <c r="AE143" s="155">
        <f>+AC147</f>
        <v>26526</v>
      </c>
      <c r="AF143" s="156">
        <f t="shared" ref="AF143:AF148" si="749">IF(ISERROR((AE143/W143-1)*100),"NA",IF(((AE143/W143-1)*100)&gt;100,"NM",IF(((AE143/W143-1)*100)&lt;-50,"NM",(AE143/W143-1)*100)))</f>
        <v>15.080260303687631</v>
      </c>
      <c r="AG143" s="155">
        <f>+AE147</f>
        <v>26570</v>
      </c>
      <c r="AH143" s="156">
        <f t="shared" ref="AH143:AH148" si="750">IF(ISERROR((AG143/Y143-1)*100),"NA",IF(((AG143/Y143-1)*100)&gt;100,"NM",IF(((AG143/Y143-1)*100)&lt;-50,"NM",(AG143/Y143-1)*100)))</f>
        <v>12.618149451108373</v>
      </c>
      <c r="AI143" s="155">
        <f>+AG147</f>
        <v>27081</v>
      </c>
      <c r="AJ143" s="156">
        <f t="shared" ref="AJ143:AJ148" si="751">IF(ISERROR((AI143/AA143-1)*100),"NA",IF(((AI143/AA143-1)*100)&gt;100,"NM",IF(((AI143/AA143-1)*100)&lt;-50,"NM",(AI143/AA143-1)*100)))</f>
        <v>9.3077699293642837</v>
      </c>
      <c r="AK143" s="155">
        <f>+AI147</f>
        <v>27376</v>
      </c>
      <c r="AL143" s="156">
        <f t="shared" ref="AL143:AL148" si="752">IF(ISERROR((AK143/AC143-1)*100),"NA",IF(((AK143/AC143-1)*100)&gt;100,"NM",IF(((AK143/AC143-1)*100)&lt;-50,"NM",(AK143/AC143-1)*100)))</f>
        <v>9.0460067715594441</v>
      </c>
      <c r="AM143" s="157">
        <v>30670</v>
      </c>
      <c r="AN143" s="156">
        <f t="shared" ref="AN143:AN148" si="753">IF(ISERROR((AM143/AE143-1)*100),"NA",IF(((AM143/AE143-1)*100)&gt;100,"NM",IF(((AM143/AE143-1)*100)&lt;-50,"NM",(AM143/AE143-1)*100)))</f>
        <v>15.622408203272254</v>
      </c>
      <c r="AO143" s="155">
        <f>+AM147</f>
        <v>31173</v>
      </c>
      <c r="AP143" s="156">
        <f t="shared" ref="AP143:AP148" si="754">IF(ISERROR((AO143/AG143-1)*100),"NA",IF(((AO143/AG143-1)*100)&gt;100,"NM",IF(((AO143/AG143-1)*100)&lt;-50,"NM",(AO143/AG143-1)*100)))</f>
        <v>17.324049680090337</v>
      </c>
      <c r="AQ143" s="155">
        <f>+AO147</f>
        <v>32055</v>
      </c>
      <c r="AR143" s="156">
        <f t="shared" ref="AR143:AR148" si="755">IF(ISERROR((AQ143/AI143-1)*100),"NA",IF(((AQ143/AI143-1)*100)&gt;100,"NM",IF(((AQ143/AI143-1)*100)&lt;-50,"NM",(AQ143/AI143-1)*100)))</f>
        <v>18.367120859643293</v>
      </c>
      <c r="AS143" s="155">
        <f>+AQ147</f>
        <v>30654</v>
      </c>
      <c r="AT143" s="156">
        <f t="shared" ref="AT143:AT148" si="756">IF(ISERROR((AS143/AK143-1)*100),"NA",IF(((AS143/AK143-1)*100)&gt;100,"NM",IF(((AS143/AK143-1)*100)&lt;-50,"NM",(AS143/AK143-1)*100)))</f>
        <v>11.973991817650486</v>
      </c>
      <c r="AU143" s="155">
        <f>+AS147</f>
        <v>32105</v>
      </c>
      <c r="AV143" s="156">
        <f t="shared" ref="AV143:AV148" si="757">IF(ISERROR((AU143/AM143-1)*100),"NA",IF(((AU143/AM143-1)*100)&gt;100,"NM",IF(((AU143/AM143-1)*100)&lt;-50,"NM",(AU143/AM143-1)*100)))</f>
        <v>4.6788392566025516</v>
      </c>
      <c r="AW143" s="155">
        <f>+AU147</f>
        <v>34508</v>
      </c>
      <c r="AX143" s="156">
        <f t="shared" ref="AX143:AX148" si="758">IF(ISERROR((AW143/AO143-1)*100),"NA",IF(((AW143/AO143-1)*100)&gt;100,"NM",IF(((AW143/AO143-1)*100)&lt;-50,"NM",(AW143/AO143-1)*100)))</f>
        <v>10.698360760914905</v>
      </c>
      <c r="AY143" s="155">
        <f>+AW147</f>
        <v>34374</v>
      </c>
      <c r="AZ143" s="156">
        <f t="shared" ref="AZ143:AZ148" si="759">IF(ISERROR((AY143/AQ143-1)*100),"NA",IF(((AY143/AQ143-1)*100)&gt;100,"NM",IF(((AY143/AQ143-1)*100)&lt;-50,"NM",(AY143/AQ143-1)*100)))</f>
        <v>7.2344408048666375</v>
      </c>
      <c r="BA143" s="155">
        <f>+AY147</f>
        <v>33653</v>
      </c>
      <c r="BB143" s="156">
        <f t="shared" ref="BB143:BB148" si="760">IF(ISERROR((BA143/AS143-1)*100),"NA",IF(((BA143/AS143-1)*100)&gt;100,"NM",IF(((BA143/AS143-1)*100)&lt;-50,"NM",(BA143/AS143-1)*100)))</f>
        <v>9.7833887910223858</v>
      </c>
      <c r="BC143" s="155">
        <f>+BA147</f>
        <v>33657</v>
      </c>
      <c r="BD143" s="156">
        <f t="shared" ref="BD143:BD148" si="761">IF(ISERROR((BC143/AU143-1)*100),"NA",IF(((BC143/AU143-1)*100)&gt;100,"NM",IF(((BC143/AU143-1)*100)&lt;-50,"NM",(BC143/AU143-1)*100)))</f>
        <v>4.8341379847375743</v>
      </c>
      <c r="BE143" s="155">
        <f>+BC147</f>
        <v>33121</v>
      </c>
      <c r="BF143" s="156">
        <f t="shared" ref="BF143:BF148" si="762">IF(ISERROR((BE143/AW143-1)*100),"NA",IF(((BE143/AW143-1)*100)&gt;100,"NM",IF(((BE143/AW143-1)*100)&lt;-50,"NM",(BE143/AW143-1)*100)))</f>
        <v>-4.019357830068393</v>
      </c>
      <c r="BG143" s="155">
        <f>+BE147</f>
        <v>33521</v>
      </c>
      <c r="BH143" s="156">
        <f t="shared" ref="BH143:BH148" si="763">IF(ISERROR((BG143/AY143-1)*100),"NA",IF(((BG143/AY143-1)*100)&gt;100,"NM",IF(((BG143/AY143-1)*100)&lt;-50,"NM",(BG143/AY143-1)*100)))</f>
        <v>-2.481526735323214</v>
      </c>
      <c r="BI143" s="155">
        <f>+BG147</f>
        <v>34155</v>
      </c>
      <c r="BJ143" s="156">
        <f t="shared" ref="BJ143:BJ148" si="764">IF(ISERROR((BI143/BA143-1)*100),"NA",IF(((BI143/BA143-1)*100)&gt;100,"NM",IF(((BI143/BA143-1)*100)&lt;-50,"NM",(BI143/BA143-1)*100)))</f>
        <v>1.4916946483225946</v>
      </c>
      <c r="BK143" s="155">
        <f>+BI147</f>
        <v>35207</v>
      </c>
      <c r="BL143" s="156">
        <f t="shared" ref="BL143:BL148" si="765">IF(ISERROR((BK143/BC143-1)*100),"NA",IF(((BK143/BC143-1)*100)&gt;100,"NM",IF(((BK143/BC143-1)*100)&lt;-50,"NM",(BK143/BC143-1)*100)))</f>
        <v>4.6052827049350764</v>
      </c>
      <c r="BM143" s="155">
        <f>+BK147</f>
        <v>35607</v>
      </c>
      <c r="BN143" s="98">
        <f t="shared" ref="BN143:BN148" si="766">IF(ISERROR((BM143/BE143-1)*100),"NA",IF(((BM143/BE143-1)*100)&gt;100,"NM",IF(((BM143/BE143-1)*100)&lt;-50,"NM",(BM143/BE143-1)*100)))</f>
        <v>7.5058120225838687</v>
      </c>
      <c r="BO143" s="117">
        <f>+BM147</f>
        <v>34533</v>
      </c>
      <c r="BP143" s="98">
        <f t="shared" ref="BP143:BP148" si="767">IF(ISERROR((BO143/BG143-1)*100),"NA",IF(((BO143/BG143-1)*100)&gt;100,"NM",IF(((BO143/BG143-1)*100)&lt;-50,"NM",(BO143/BG143-1)*100)))</f>
        <v>3.0190030130366141</v>
      </c>
      <c r="BQ143" s="117">
        <f>+BO147</f>
        <v>34510</v>
      </c>
      <c r="BR143" s="98">
        <f t="shared" ref="BR143:BR148" si="768">IF(ISERROR((BQ143/BI143-1)*100),"NA",IF(((BQ143/BI143-1)*100)&gt;100,"NM",IF(((BQ143/BI143-1)*100)&lt;-50,"NM",(BQ143/BI143-1)*100)))</f>
        <v>1.039379300248866</v>
      </c>
      <c r="BS143" s="117">
        <f>+BQ147</f>
        <v>33482</v>
      </c>
      <c r="BT143" s="98">
        <f t="shared" ref="BT143:BT148" si="769">IF(ISERROR((BS143/BK143-1)*100),"NA",IF(((BS143/BK143-1)*100)&gt;100,"NM",IF(((BS143/BK143-1)*100)&lt;-50,"NM",(BS143/BK143-1)*100)))</f>
        <v>-4.8995938307722859</v>
      </c>
      <c r="BU143" s="101">
        <v>48741</v>
      </c>
      <c r="BV143" s="98">
        <f t="shared" ref="BV143:BV148" si="770">IF(ISERROR((BU143/BM143-1)*100),"NA",IF(((BU143/BM143-1)*100)&gt;100,"NM",IF(((BU143/BM143-1)*100)&lt;-50,"NM",(BU143/BM143-1)*100)))</f>
        <v>36.886005560704362</v>
      </c>
      <c r="BW143" s="117">
        <f>+BU147</f>
        <v>45814</v>
      </c>
      <c r="BX143" s="98">
        <f t="shared" ref="BX143:BX148" si="771">IF(ISERROR((BW143/BO143-1)*100),"NA",IF(((BW143/BO143-1)*100)&gt;100,"NM",IF(((BW143/BO143-1)*100)&lt;-50,"NM",(BW143/BO143-1)*100)))</f>
        <v>32.667303738453079</v>
      </c>
      <c r="BY143" s="117">
        <f>+BW147</f>
        <v>42726</v>
      </c>
      <c r="BZ143" s="98">
        <f t="shared" ref="BZ143:BZ148" si="772">IF(ISERROR((BY143/BQ143-1)*100),"NA",IF(((BY143/BQ143-1)*100)&gt;100,"NM",IF(((BY143/BQ143-1)*100)&lt;-50,"NM",(BY143/BQ143-1)*100)))</f>
        <v>23.807592002318167</v>
      </c>
      <c r="CA143" s="117">
        <f>+BY147</f>
        <v>42293</v>
      </c>
      <c r="CB143" s="98">
        <f t="shared" ref="CB143:CB148" si="773">IF(ISERROR((CA143/BS143-1)*100),"NA",IF(((CA143/BS143-1)*100)&gt;100,"NM",IF(((CA143/BS143-1)*100)&lt;-50,"NM",(CA143/BS143-1)*100)))</f>
        <v>26.315632280031064</v>
      </c>
      <c r="CC143" s="101">
        <v>45973</v>
      </c>
      <c r="CD143" s="98">
        <f t="shared" ref="CD143:CD148" si="774">IF(ISERROR((CC143/BU143-1)*100),"NA",IF(((CC143/BU143-1)*100)&gt;100,"NM",IF(((CC143/BU143-1)*100)&lt;-50,"NM",(CC143/BU143-1)*100)))</f>
        <v>-5.6789971481914563</v>
      </c>
      <c r="CE143" s="117">
        <f>+CC147</f>
        <v>45688</v>
      </c>
      <c r="CF143" s="98">
        <f t="shared" ref="CF143:CF148" si="775">IF(ISERROR((CE143/BW143-1)*100),"NA",IF(((CE143/BW143-1)*100)&gt;100,"NM",IF(((CE143/BW143-1)*100)&lt;-50,"NM",(CE143/BW143-1)*100)))</f>
        <v>-0.27502510149736148</v>
      </c>
      <c r="CG143" s="101">
        <v>48781</v>
      </c>
      <c r="CH143" s="98">
        <f t="shared" ref="CH143:CH148" si="776">IF(ISERROR((CG143/BY143-1)*100),"NA",IF(((CG143/BY143-1)*100)&gt;100,"NM",IF(((CG143/BY143-1)*100)&lt;-50,"NM",(CG143/BY143-1)*100)))</f>
        <v>14.171698731451565</v>
      </c>
      <c r="CI143" s="117">
        <f>+CG147</f>
        <v>49885</v>
      </c>
      <c r="CJ143" s="98">
        <f t="shared" ref="CJ143:CJ148" si="777">IF(ISERROR((CI143/CA143-1)*100),"NA",IF(((CI143/CA143-1)*100)&gt;100,"NM",IF(((CI143/CA143-1)*100)&lt;-50,"NM",(CI143/CA143-1)*100)))</f>
        <v>17.950961151963686</v>
      </c>
      <c r="CK143" s="117">
        <f>+CI147</f>
        <v>56670</v>
      </c>
      <c r="CL143" s="98">
        <f t="shared" ref="CL143:CL148" si="778">IF(ISERROR((CK143/CC143-1)*100),"NA",IF(((CK143/CC143-1)*100)&gt;100,"NM",IF(((CK143/CC143-1)*100)&lt;-50,"NM",(CK143/CC143-1)*100)))</f>
        <v>23.26800513344789</v>
      </c>
      <c r="CM143" s="101">
        <v>56625</v>
      </c>
      <c r="CN143" s="98">
        <f t="shared" ref="CN143:CN148" si="779">IF(ISERROR((CM143/CE143-1)*100),"NA",IF(((CM143/CE143-1)*100)&gt;100,"NM",IF(((CM143/CE143-1)*100)&lt;-50,"NM",(CM143/CE143-1)*100)))</f>
        <v>23.938452109963237</v>
      </c>
      <c r="CO143" s="117">
        <f>+CM147</f>
        <v>61061</v>
      </c>
      <c r="CP143" s="98">
        <f t="shared" ref="CP143:CT148" si="780">IF(ISERROR((CO143/CG143-1)*100),"NA",IF(((CO143/CG143-1)*100)&gt;100,"NM",IF(((CO143/CG143-1)*100)&lt;-50,"NM",(CO143/CG143-1)*100)))</f>
        <v>25.173735675775411</v>
      </c>
      <c r="CQ143" s="486">
        <f>+CO147</f>
        <v>63252</v>
      </c>
      <c r="CR143" s="98">
        <f t="shared" si="780"/>
        <v>26.795629948882429</v>
      </c>
      <c r="CS143" s="117">
        <f>+CQ147</f>
        <v>65054</v>
      </c>
      <c r="CT143" s="98">
        <f t="shared" si="780"/>
        <v>14.794423857420158</v>
      </c>
      <c r="CU143" s="117">
        <f>+CS147</f>
        <v>64851</v>
      </c>
      <c r="CV143" s="98">
        <f t="shared" ref="CV143:CV148" si="781">IF(ISERROR((CU143/CM143-1)*100),"NA",IF(((CU143/CM143-1)*100)&gt;100,"NM",IF(((CU143/CM143-1)*100)&lt;-50,"NM",(CU143/CM143-1)*100)))</f>
        <v>14.527152317880798</v>
      </c>
      <c r="CW143" s="117">
        <f>+CU147</f>
        <v>68635</v>
      </c>
      <c r="CX143" s="98">
        <f t="shared" ref="CX143:CX148" si="782">IF(ISERROR((CW143/CO143-1)*100),"NA",IF(((CW143/CO143-1)*100)&gt;100,"NM",IF(((CW143/CO143-1)*100)&lt;-50,"NM",(CW143/CO143-1)*100)))</f>
        <v>12.403989453169784</v>
      </c>
      <c r="CY143" s="117">
        <f>+CW147</f>
        <v>69704</v>
      </c>
      <c r="CZ143" s="98">
        <f t="shared" ref="CZ143:CZ148" si="783">IF(ISERROR((CY143/CQ143-1)*100),"NA",IF(((CY143/CQ143-1)*100)&gt;100,"NM",IF(((CY143/CQ143-1)*100)&lt;-50,"NM",(CY143/CQ143-1)*100)))</f>
        <v>10.200467969392268</v>
      </c>
      <c r="DA143" s="117">
        <f>+CY147</f>
        <v>76905</v>
      </c>
      <c r="DB143" s="98">
        <f t="shared" ref="DB143:DB148" si="784">IF(ISERROR((DA143/CS143-1)*100),"NA",IF(((DA143/CS143-1)*100)&gt;100,"NM",IF(((DA143/CS143-1)*100)&lt;-50,"NM",(DA143/CS143-1)*100)))</f>
        <v>18.217173425154499</v>
      </c>
      <c r="DC143" s="117">
        <f>+DA147</f>
        <v>71875</v>
      </c>
      <c r="DD143" s="98">
        <f t="shared" ref="DD143:DD148" si="785">IF(ISERROR((DC143/CU143-1)*100),"NA",IF(((DC143/CU143-1)*100)&gt;100,"NM",IF(((DC143/CU143-1)*100)&lt;-50,"NM",(DC143/CU143-1)*100)))</f>
        <v>10.830981789024063</v>
      </c>
      <c r="DE143" s="117">
        <f>+DC147</f>
        <v>75735</v>
      </c>
      <c r="DF143" s="98">
        <f t="shared" ref="DF143:DF148" si="786">IF(ISERROR((DE143/CW143-1)*100),"NA",IF(((DE143/CW143-1)*100)&gt;100,"NM",IF(((DE143/CW143-1)*100)&lt;-50,"NM",(DE143/CW143-1)*100)))</f>
        <v>10.344576382312232</v>
      </c>
      <c r="DG143" s="117">
        <f>+DE147</f>
        <v>74845</v>
      </c>
      <c r="DH143" s="98">
        <f t="shared" ref="DH143:DH148" si="787">IF(ISERROR((DG143/CY143-1)*100),"NA",IF(((DG143/CY143-1)*100)&gt;100,"NM",IF(((DG143/CY143-1)*100)&lt;-50,"NM",(DG143/CY143-1)*100)))</f>
        <v>7.3754734305061298</v>
      </c>
      <c r="DI143" s="117">
        <f>+DG147</f>
        <v>76029</v>
      </c>
      <c r="DJ143" s="98">
        <f t="shared" ref="DJ143:DJ148" si="788">IF(ISERROR((DI143/DA143-1)*100),"NA",IF(((DI143/DA143-1)*100)&gt;100,"NM",IF(((DI143/DA143-1)*100)&lt;-50,"NM",(DI143/DA143-1)*100)))</f>
        <v>-1.1390676809050149</v>
      </c>
      <c r="DK143" s="117">
        <f>+DI147</f>
        <v>77023</v>
      </c>
      <c r="DL143" s="98">
        <f t="shared" ref="DL143:DL148" si="789">IF(ISERROR((DK143/DC143-1)*100),"NA",IF(((DK143/DC143-1)*100)&gt;100,"NM",IF(((DK143/DC143-1)*100)&lt;-50,"NM",(DK143/DC143-1)*100)))</f>
        <v>7.1624347826086954</v>
      </c>
      <c r="DM143" s="117">
        <f>+DK147</f>
        <v>79612</v>
      </c>
      <c r="DN143" s="98">
        <f t="shared" ref="DN143:DZ148" si="790">IF(ISERROR((DM143/DE143-1)*100),"NA",IF(((DM143/DE143-1)*100)&gt;100,"NM",IF(((DM143/DE143-1)*100)&lt;-50,"NM",(DM143/DE143-1)*100)))</f>
        <v>5.1191655113223655</v>
      </c>
      <c r="DO143" s="117">
        <f>+DM147</f>
        <v>81721</v>
      </c>
      <c r="DP143" s="98">
        <f t="shared" si="790"/>
        <v>9.1869864386398667</v>
      </c>
      <c r="DQ143" s="117">
        <f>+DO147</f>
        <v>81967</v>
      </c>
      <c r="DR143" s="98">
        <f t="shared" si="790"/>
        <v>7.8101776953530822</v>
      </c>
      <c r="DS143" s="117">
        <v>78933</v>
      </c>
      <c r="DT143" s="98">
        <f t="shared" si="790"/>
        <v>2.4797787673811689</v>
      </c>
      <c r="DU143" s="117">
        <f>+DS147</f>
        <v>83786</v>
      </c>
      <c r="DV143" s="98">
        <f t="shared" si="790"/>
        <v>5.2429282017786294</v>
      </c>
      <c r="DW143" s="117">
        <f>+DU147</f>
        <v>82985</v>
      </c>
      <c r="DX143" s="98">
        <f t="shared" si="790"/>
        <v>1.5467260557261886</v>
      </c>
      <c r="DY143" s="117">
        <f>+DW147</f>
        <v>80455</v>
      </c>
      <c r="DZ143" s="98">
        <f t="shared" si="790"/>
        <v>-1.8446447960764667</v>
      </c>
      <c r="EA143" s="117">
        <f>+DY147</f>
        <v>78902</v>
      </c>
      <c r="EB143" s="98">
        <f t="shared" ref="EB143:EB148" si="791">IF(ISERROR((EA143/DS143-1)*100),"NA",IF(((EA143/DS143-1)*100)&gt;100,"NM",IF(((EA143/DS143-1)*100)&lt;-50,"NM",(EA143/DS143-1)*100)))</f>
        <v>-3.927381450090639E-2</v>
      </c>
      <c r="EC143" s="117">
        <f>+EA147</f>
        <v>81887</v>
      </c>
      <c r="ED143" s="98">
        <f t="shared" ref="ED143:ED148" si="792">IF(ISERROR((EC143/DU143-1)*100),"NA",IF(((EC143/DU143-1)*100)&gt;100,"NM",IF(((EC143/DU143-1)*100)&lt;-50,"NM",(EC143/DU143-1)*100)))</f>
        <v>-2.2664884348220449</v>
      </c>
      <c r="EE143" s="117">
        <f>+EC147</f>
        <v>85271</v>
      </c>
      <c r="EF143" s="860">
        <f t="shared" ref="EF143:EF148" si="793">IF(ISERROR((EE143/DW143-1)*100),"NA",IF(((EE143/DW143-1)*100)&gt;100,"NM",IF(((EE143/DW143-1)*100)&lt;-50,"NM",(EE143/DW143-1)*100)))</f>
        <v>2.7547147074772571</v>
      </c>
      <c r="EG143" s="117">
        <f>+EE147</f>
        <v>85929</v>
      </c>
      <c r="EH143" s="860">
        <f t="shared" ref="EH143:EH148" si="794">IF(ISERROR((EG143/DY143-1)*100),"NA",IF(((EG143/DY143-1)*100)&gt;100,"NM",IF(((EG143/DY143-1)*100)&lt;-50,"NM",(EG143/DY143-1)*100)))</f>
        <v>6.8038033683425425</v>
      </c>
      <c r="EI143" s="117">
        <f>+EG147</f>
        <v>85189</v>
      </c>
      <c r="EJ143" s="860">
        <f t="shared" ref="EJ143:EJ148" si="795">IF(ISERROR((EI143/EA143-1)*100),"NA",IF(((EI143/EA143-1)*100)&gt;100,"NM",IF(((EI143/EA143-1)*100)&lt;-50,"NM",(EI143/EA143-1)*100)))</f>
        <v>7.9681123418924749</v>
      </c>
      <c r="EK143" s="117">
        <f>+EI147</f>
        <v>85983</v>
      </c>
      <c r="EL143" s="860">
        <f t="shared" ref="EL143:EL148" si="796">IF(ISERROR((EK143/EC143-1)*100),"NA",IF(((EK143/EC143-1)*100)&gt;100,"NM",IF(((EK143/EC143-1)*100)&lt;-50,"NM",(EK143/EC143-1)*100)))</f>
        <v>5.0020149718514428</v>
      </c>
      <c r="EM143" s="117">
        <f>+EK147</f>
        <v>87049</v>
      </c>
      <c r="EN143" s="860">
        <f t="shared" ref="EN143:EN148" si="797">IF(ISERROR((EM143/EE143-1)*100),"NA",IF(((EM143/EE143-1)*100)&gt;100,"NM",IF(((EM143/EE143-1)*100)&lt;-50,"NM",(EM143/EE143-1)*100)))</f>
        <v>2.0851168627083139</v>
      </c>
      <c r="EO143" s="117">
        <f>+EM147</f>
        <v>82341</v>
      </c>
      <c r="EP143" s="98">
        <f t="shared" ref="EP143:EP148" si="798">IF(ISERROR((EO143/EG143-1)*100),"NA",IF(((EO143/EG143-1)*100)&gt;100,"NM",IF(((EO143/EG143-1)*100)&lt;-50,"NM",(EO143/EG143-1)*100)))</f>
        <v>-4.1755402716195933</v>
      </c>
      <c r="EQ143" s="792">
        <f t="shared" ref="EQ143" si="799">+EO147</f>
        <v>80354</v>
      </c>
      <c r="ER143" s="98">
        <f t="shared" ref="ER143:ER148" si="800">IF(ISERROR((EQ143/EI143-1)*100),"NA",IF(((EQ143/EI143-1)*100)&gt;100,"NM",IF(((EQ143/EI143-1)*100)&lt;-50,"NM",(EQ143/EI143-1)*100)))</f>
        <v>-5.6756153963539946</v>
      </c>
      <c r="ES143" s="792">
        <f t="shared" ref="ES143" si="801">+EQ147</f>
        <v>77554.837305109249</v>
      </c>
      <c r="ET143" s="98">
        <f t="shared" ref="ET143:ET148" si="802">IF(ISERROR((ES143/EK143-1)*100),"NA",IF(((ES143/EK143-1)*100)&gt;100,"NM",IF(((ES143/EK143-1)*100)&lt;-50,"NM",(ES143/EK143-1)*100)))</f>
        <v>-9.8021268098237417</v>
      </c>
      <c r="EU143" s="792">
        <f t="shared" ref="EU143" si="803">+ES147</f>
        <v>75333.727442331627</v>
      </c>
      <c r="EV143" s="98">
        <f t="shared" ref="EV143:EV148" si="804">IF(ISERROR((EU143/EM143-1)*100),"NA",IF(((EU143/EM143-1)*100)&gt;100,"NM",IF(((EU143/EM143-1)*100)&lt;-50,"NM",(EU143/EM143-1)*100)))</f>
        <v>-13.458250591814236</v>
      </c>
      <c r="EW143" s="792">
        <f t="shared" ref="EW143" si="805">+EU147</f>
        <v>73269.845292436556</v>
      </c>
      <c r="EX143" s="98">
        <f t="shared" ref="EX143:EX148" si="806">IF(ISERROR((EW143/EO143-1)*100),"NA",IF(((EW143/EO143-1)*100)&gt;100,"NM",IF(((EW143/EO143-1)*100)&lt;-50,"NM",(EW143/EO143-1)*100)))</f>
        <v>-11.016570976261452</v>
      </c>
      <c r="EY143" s="118"/>
      <c r="EZ143" s="594"/>
      <c r="FA143" s="405"/>
      <c r="FB143" s="114"/>
      <c r="FC143" s="98"/>
      <c r="FD143" s="101">
        <v>30520</v>
      </c>
      <c r="FE143" s="98" t="str">
        <f t="shared" ref="FE143:FE148" si="807">IF(ISERROR((FD143/FB143-1)*100),"NA",IF(((FD143/FB143-1)*100)&gt;100,"NM",IF(((FD143/FB143-1)*100)&lt;-50,"NM",(FD143/FB143-1)*100)))</f>
        <v>NA</v>
      </c>
      <c r="FF143" s="118">
        <f>+FD147</f>
        <v>29903</v>
      </c>
      <c r="FG143" s="98">
        <f t="shared" ref="FG143:FG148" si="808">IF(ISERROR((FF143/FD143-1)*100),"NA",IF(((FF143/FD143-1)*100)&gt;100,"NM",IF(((FF143/FD143-1)*100)&lt;-50,"NM",(FF143/FD143-1)*100)))</f>
        <v>-2.0216251638270011</v>
      </c>
      <c r="FH143" s="118">
        <f>+FF147</f>
        <v>28162</v>
      </c>
      <c r="FI143" s="98">
        <f t="shared" ref="FI143:FI148" si="809">IF(ISERROR((FH143/FF143-1)*100),"NA",IF(((FH143/FF143-1)*100)&gt;100,"NM",IF(((FH143/FF143-1)*100)&lt;-50,"NM",(FH143/FF143-1)*100)))</f>
        <v>-5.8221583118750591</v>
      </c>
      <c r="FJ143" s="118">
        <f>+FH147</f>
        <v>24667</v>
      </c>
      <c r="FK143" s="98">
        <f t="shared" ref="FK143:FK148" si="810">IF(ISERROR((FJ143/FH143-1)*100),"NA",IF(((FJ143/FH143-1)*100)&gt;100,"NM",IF(((FJ143/FH143-1)*100)&lt;-50,"NM",(FJ143/FH143-1)*100)))</f>
        <v>-12.410340174703505</v>
      </c>
      <c r="FL143" s="118">
        <f>+FJ147</f>
        <v>24775</v>
      </c>
      <c r="FM143" s="98">
        <f t="shared" ref="FM143:FM148" si="811">IF(ISERROR((FL143/FJ143-1)*100),"NA",IF(((FL143/FJ143-1)*100)&gt;100,"NM",IF(((FL143/FJ143-1)*100)&lt;-50,"NM",(FL143/FJ143-1)*100)))</f>
        <v>0.43783192119024594</v>
      </c>
      <c r="FN143" s="118">
        <f>+FL147</f>
        <v>27081</v>
      </c>
      <c r="FO143" s="98">
        <f t="shared" ref="FO143:FO148" si="812">IF(ISERROR((FN143/FL143-1)*100),"NA",IF(((FN143/FL143-1)*100)&gt;100,"NM",IF(((FN143/FL143-1)*100)&lt;-50,"NM",(FN143/FL143-1)*100)))</f>
        <v>9.3077699293642837</v>
      </c>
      <c r="FP143" s="118">
        <v>32055</v>
      </c>
      <c r="FQ143" s="98">
        <f t="shared" ref="FQ143:FQ148" si="813">IF(ISERROR((FP143/FN143-1)*100),"NA",IF(((FP143/FN143-1)*100)&gt;100,"NM",IF(((FP143/FN143-1)*100)&lt;-50,"NM",(FP143/FN143-1)*100)))</f>
        <v>18.367120859643293</v>
      </c>
      <c r="FR143" s="119">
        <f>+FP147</f>
        <v>34374</v>
      </c>
      <c r="FS143" s="120">
        <f t="shared" ref="FS143:FS148" si="814">IF(ISERROR((FR143/FP143-1)*100),"NA",IF(((FR143/FP143-1)*100)&gt;100,"NM",IF(((FR143/FP143-1)*100)&lt;-50,"NM",(FR143/FP143-1)*100)))</f>
        <v>7.2344408048666375</v>
      </c>
      <c r="FT143" s="119">
        <f>+FR147</f>
        <v>33521</v>
      </c>
      <c r="FU143" s="120">
        <f t="shared" ref="FU143:FU148" si="815">IF(ISERROR((FT143/FR143-1)*100),"NA",IF(((FT143/FR143-1)*100)&gt;100,"NM",IF(((FT143/FR143-1)*100)&lt;-50,"NM",(FT143/FR143-1)*100)))</f>
        <v>-2.481526735323214</v>
      </c>
      <c r="FV143" s="119">
        <f>+FT147</f>
        <v>34533</v>
      </c>
      <c r="FW143" s="98">
        <f t="shared" ref="FW143:FW148" si="816">IF(ISERROR((FV143/FT143-1)*100),"NA",IF(((FV143/FT143-1)*100)&gt;100,"NM",IF(((FV143/FT143-1)*100)&lt;-50,"NM",(FV143/FT143-1)*100)))</f>
        <v>3.0190030130366141</v>
      </c>
      <c r="FX143" s="485">
        <f>+FV147</f>
        <v>29701</v>
      </c>
      <c r="FY143" s="98">
        <f t="shared" ref="FY143:FY148" si="817">IF(ISERROR((FX143/FV143-1)*100),"NA",IF(((FX143/FV143-1)*100)&gt;100,"NM",IF(((FX143/FV143-1)*100)&lt;-50,"NM",(FX143/FV143-1)*100)))</f>
        <v>-13.992413054180064</v>
      </c>
      <c r="FZ143" s="119">
        <f>+CE143</f>
        <v>45688</v>
      </c>
      <c r="GA143" s="98">
        <f t="shared" ref="GA143:GA148" si="818">IF(ISERROR((FZ143/FX143-1)*100),"NA",IF(((FZ143/FX143-1)*100)&gt;100,"NM",IF(((FZ143/FX143-1)*100)&lt;-50,"NM",(FZ143/FX143-1)*100)))</f>
        <v>53.826470489209122</v>
      </c>
      <c r="GB143" s="485">
        <f>+FZ147</f>
        <v>56620</v>
      </c>
      <c r="GC143" s="98">
        <f t="shared" ref="GC143:GC148" si="819">IF(ISERROR((GB143/FZ143-1)*100),"NA",IF(((GB143/FZ143-1)*100)&gt;100,"NM",IF(((GB143/FZ143-1)*100)&lt;-50,"NM",(GB143/FZ143-1)*100)))</f>
        <v>23.927508317282431</v>
      </c>
      <c r="GD143" s="119">
        <f>+GB147</f>
        <v>64851</v>
      </c>
      <c r="GE143" s="98">
        <f t="shared" ref="GE143:GW148" si="820">IF(ISERROR((GD143/GB143-1)*100),"NA",IF(((GD143/GB143-1)*100)&gt;100,"NM",IF(((GD143/GB143-1)*100)&lt;-50,"NM",(GD143/GB143-1)*100)))</f>
        <v>14.537265983751336</v>
      </c>
      <c r="GF143" s="119">
        <f>+GD147</f>
        <v>71875</v>
      </c>
      <c r="GG143" s="98">
        <f t="shared" si="820"/>
        <v>10.830981789024063</v>
      </c>
      <c r="GH143" s="119">
        <f>+GF147</f>
        <v>77023</v>
      </c>
      <c r="GI143" s="98">
        <f t="shared" si="820"/>
        <v>7.1624347826086954</v>
      </c>
      <c r="GJ143" s="119">
        <f>DS143</f>
        <v>78933</v>
      </c>
      <c r="GK143" s="98">
        <f t="shared" si="820"/>
        <v>2.4797787673811689</v>
      </c>
      <c r="GL143" s="119">
        <f>+GJ147</f>
        <v>78902</v>
      </c>
      <c r="GM143" s="98">
        <f t="shared" si="820"/>
        <v>-3.927381450090639E-2</v>
      </c>
      <c r="GN143" s="119">
        <f>+GL147</f>
        <v>85189</v>
      </c>
      <c r="GO143" s="98">
        <f t="shared" si="820"/>
        <v>7.9681123418924749</v>
      </c>
      <c r="GP143" s="119">
        <f>+GN147</f>
        <v>80354</v>
      </c>
      <c r="GQ143" s="98">
        <f t="shared" si="820"/>
        <v>-5.6756153963539946</v>
      </c>
      <c r="GR143" s="118">
        <f>+GP147</f>
        <v>71358.105169380477</v>
      </c>
      <c r="GS143" s="98">
        <f t="shared" si="820"/>
        <v>-11.195329206535487</v>
      </c>
      <c r="GT143" s="118">
        <f>+GR147</f>
        <v>63839.9520994091</v>
      </c>
      <c r="GU143" s="98">
        <f t="shared" si="820"/>
        <v>-10.535808163803917</v>
      </c>
      <c r="GV143" s="118">
        <f>+GT147</f>
        <v>58090.026096496782</v>
      </c>
      <c r="GW143" s="98">
        <f t="shared" si="820"/>
        <v>-9.0067830783437266</v>
      </c>
      <c r="GX143" s="118">
        <f>+GV147</f>
        <v>53797.004246379693</v>
      </c>
      <c r="GY143" s="98">
        <f t="shared" ref="GY143:GY148" si="821">IF(ISERROR((GX143/GV143-1)*100),"NA",IF(((GX143/GV143-1)*100)&gt;100,"NM",IF(((GX143/GV143-1)*100)&lt;-50,"NM",(GX143/GV143-1)*100)))</f>
        <v>-7.3902907927527846</v>
      </c>
      <c r="GZ143" s="98">
        <f t="shared" ref="GZ143:GZ148" si="822">IF(ISERROR(((GX143/GN143)^0.2-1)*100),"NA",IF((((GX143/GN143)^0.2-1)*100)&gt;100,"NM",IF((((GX143/GN143)^0.2-1)*100)&lt;-50,"NM",((GX143/GN143)^0.2-1)*100)))</f>
        <v>-8.783182820654778</v>
      </c>
      <c r="HA143" s="98"/>
      <c r="HB143" s="10"/>
      <c r="HC143"/>
      <c r="HD143"/>
      <c r="HE143"/>
      <c r="HF143"/>
      <c r="HG143"/>
      <c r="HH143"/>
      <c r="HI143" s="10"/>
    </row>
    <row r="144" spans="2:217" s="2" customFormat="1" ht="12.75" customHeight="1" x14ac:dyDescent="0.2">
      <c r="B144" s="91" t="s">
        <v>285</v>
      </c>
      <c r="C144" s="157">
        <v>1563</v>
      </c>
      <c r="D144" s="156"/>
      <c r="E144" s="157">
        <v>1112</v>
      </c>
      <c r="F144" s="156"/>
      <c r="G144" s="157">
        <v>750</v>
      </c>
      <c r="H144" s="156"/>
      <c r="I144" s="157">
        <v>1095</v>
      </c>
      <c r="J144" s="156"/>
      <c r="K144" s="157">
        <v>1172</v>
      </c>
      <c r="L144" s="156">
        <f t="shared" si="739"/>
        <v>-25.015994881637869</v>
      </c>
      <c r="M144" s="157">
        <v>847</v>
      </c>
      <c r="N144" s="156">
        <f t="shared" si="740"/>
        <v>-23.830935251798557</v>
      </c>
      <c r="O144" s="157">
        <v>616</v>
      </c>
      <c r="P144" s="156">
        <f t="shared" si="741"/>
        <v>-17.866666666666664</v>
      </c>
      <c r="Q144" s="157">
        <v>656</v>
      </c>
      <c r="R144" s="156">
        <f t="shared" si="742"/>
        <v>-40.091324200913249</v>
      </c>
      <c r="S144" s="157">
        <v>760</v>
      </c>
      <c r="T144" s="156">
        <f t="shared" si="743"/>
        <v>-35.153583617747444</v>
      </c>
      <c r="U144" s="157">
        <v>547</v>
      </c>
      <c r="V144" s="156">
        <f t="shared" si="744"/>
        <v>-35.419126328217232</v>
      </c>
      <c r="W144" s="157">
        <v>996</v>
      </c>
      <c r="X144" s="156">
        <f t="shared" si="745"/>
        <v>61.688311688311678</v>
      </c>
      <c r="Y144" s="157">
        <v>1087</v>
      </c>
      <c r="Z144" s="156">
        <f t="shared" si="746"/>
        <v>65.701219512195124</v>
      </c>
      <c r="AA144" s="157">
        <v>752</v>
      </c>
      <c r="AB144" s="156">
        <f t="shared" si="747"/>
        <v>-1.0526315789473717</v>
      </c>
      <c r="AC144" s="157">
        <v>1008</v>
      </c>
      <c r="AD144" s="156">
        <f t="shared" si="748"/>
        <v>84.277879341864718</v>
      </c>
      <c r="AE144" s="157">
        <v>726</v>
      </c>
      <c r="AF144" s="156">
        <f t="shared" si="749"/>
        <v>-27.108433734939762</v>
      </c>
      <c r="AG144" s="157">
        <v>1103</v>
      </c>
      <c r="AH144" s="156">
        <f t="shared" si="750"/>
        <v>1.4719411223551138</v>
      </c>
      <c r="AI144" s="157">
        <v>1369</v>
      </c>
      <c r="AJ144" s="156">
        <f t="shared" si="751"/>
        <v>82.047872340425542</v>
      </c>
      <c r="AK144" s="157">
        <v>694</v>
      </c>
      <c r="AL144" s="156">
        <f t="shared" si="752"/>
        <v>-31.150793650793652</v>
      </c>
      <c r="AM144" s="157">
        <v>987</v>
      </c>
      <c r="AN144" s="156">
        <f t="shared" si="753"/>
        <v>35.950413223140501</v>
      </c>
      <c r="AO144" s="157">
        <v>915</v>
      </c>
      <c r="AP144" s="156">
        <f t="shared" si="754"/>
        <v>-17.04442429737081</v>
      </c>
      <c r="AQ144" s="157">
        <v>1587</v>
      </c>
      <c r="AR144" s="156">
        <f t="shared" si="755"/>
        <v>15.924032140248357</v>
      </c>
      <c r="AS144" s="157">
        <v>965</v>
      </c>
      <c r="AT144" s="156">
        <f t="shared" si="756"/>
        <v>39.048991354466864</v>
      </c>
      <c r="AU144" s="157">
        <v>1108</v>
      </c>
      <c r="AV144" s="156">
        <f t="shared" si="757"/>
        <v>12.259371833839916</v>
      </c>
      <c r="AW144" s="157">
        <v>1204</v>
      </c>
      <c r="AX144" s="156">
        <f t="shared" si="758"/>
        <v>31.584699453551913</v>
      </c>
      <c r="AY144" s="157">
        <v>1345</v>
      </c>
      <c r="AZ144" s="156">
        <f t="shared" si="759"/>
        <v>-15.248897290485196</v>
      </c>
      <c r="BA144" s="157">
        <v>1127</v>
      </c>
      <c r="BB144" s="156">
        <f t="shared" si="760"/>
        <v>16.787564766839381</v>
      </c>
      <c r="BC144" s="157">
        <v>1256</v>
      </c>
      <c r="BD144" s="156">
        <f t="shared" si="761"/>
        <v>13.357400722021652</v>
      </c>
      <c r="BE144" s="157">
        <v>952</v>
      </c>
      <c r="BF144" s="156">
        <f t="shared" si="762"/>
        <v>-20.93023255813954</v>
      </c>
      <c r="BG144" s="157">
        <v>944</v>
      </c>
      <c r="BH144" s="156">
        <f t="shared" si="763"/>
        <v>-29.814126394052042</v>
      </c>
      <c r="BI144" s="157">
        <v>1401</v>
      </c>
      <c r="BJ144" s="156">
        <f t="shared" si="764"/>
        <v>24.312333629103811</v>
      </c>
      <c r="BK144" s="157">
        <v>976</v>
      </c>
      <c r="BL144" s="156">
        <f t="shared" si="765"/>
        <v>-22.292993630573243</v>
      </c>
      <c r="BM144" s="157">
        <v>754</v>
      </c>
      <c r="BN144" s="98">
        <f t="shared" si="766"/>
        <v>-20.798319327731097</v>
      </c>
      <c r="BO144" s="101">
        <v>1141</v>
      </c>
      <c r="BP144" s="98">
        <f t="shared" si="767"/>
        <v>20.868644067796605</v>
      </c>
      <c r="BQ144" s="101">
        <v>690</v>
      </c>
      <c r="BR144" s="98" t="str">
        <f t="shared" si="768"/>
        <v>NM</v>
      </c>
      <c r="BS144" s="101">
        <v>1309</v>
      </c>
      <c r="BT144" s="98">
        <f t="shared" si="769"/>
        <v>34.118852459016402</v>
      </c>
      <c r="BU144" s="101">
        <v>1490</v>
      </c>
      <c r="BV144" s="98">
        <f t="shared" si="770"/>
        <v>97.612732095490713</v>
      </c>
      <c r="BW144" s="101">
        <v>1655</v>
      </c>
      <c r="BX144" s="98">
        <f t="shared" si="771"/>
        <v>45.04820333041193</v>
      </c>
      <c r="BY144" s="101">
        <v>631</v>
      </c>
      <c r="BZ144" s="98">
        <f t="shared" si="772"/>
        <v>-8.5507246376811619</v>
      </c>
      <c r="CA144" s="101">
        <v>1931</v>
      </c>
      <c r="CB144" s="98">
        <f t="shared" si="773"/>
        <v>47.517188693659286</v>
      </c>
      <c r="CC144" s="101">
        <v>1748</v>
      </c>
      <c r="CD144" s="98">
        <f t="shared" si="774"/>
        <v>17.315436241610737</v>
      </c>
      <c r="CE144" s="101">
        <v>2061</v>
      </c>
      <c r="CF144" s="98">
        <f t="shared" si="775"/>
        <v>24.531722054380655</v>
      </c>
      <c r="CG144" s="101">
        <v>1240</v>
      </c>
      <c r="CH144" s="98">
        <f t="shared" si="776"/>
        <v>96.513470681458017</v>
      </c>
      <c r="CI144" s="101">
        <v>4835</v>
      </c>
      <c r="CJ144" s="98" t="str">
        <f t="shared" si="777"/>
        <v>NM</v>
      </c>
      <c r="CK144" s="101">
        <v>1811</v>
      </c>
      <c r="CL144" s="98">
        <f t="shared" si="778"/>
        <v>3.6041189931350193</v>
      </c>
      <c r="CM144" s="101">
        <v>4181</v>
      </c>
      <c r="CN144" s="98" t="str">
        <f t="shared" si="779"/>
        <v>NM</v>
      </c>
      <c r="CO144" s="101">
        <v>2853</v>
      </c>
      <c r="CP144" s="98" t="str">
        <f t="shared" si="780"/>
        <v>NM</v>
      </c>
      <c r="CQ144" s="542">
        <v>3064</v>
      </c>
      <c r="CR144" s="98">
        <f t="shared" si="780"/>
        <v>-36.628748707342297</v>
      </c>
      <c r="CS144" s="101">
        <v>1984</v>
      </c>
      <c r="CT144" s="98">
        <f t="shared" si="780"/>
        <v>9.5527332965212644</v>
      </c>
      <c r="CU144" s="101">
        <v>2383</v>
      </c>
      <c r="CV144" s="98">
        <f t="shared" si="781"/>
        <v>-43.004066012915565</v>
      </c>
      <c r="CW144" s="101">
        <v>1546</v>
      </c>
      <c r="CX144" s="98">
        <f t="shared" si="782"/>
        <v>-45.811426568524361</v>
      </c>
      <c r="CY144" s="101">
        <v>2494</v>
      </c>
      <c r="CZ144" s="98">
        <f t="shared" si="783"/>
        <v>-18.603133159268925</v>
      </c>
      <c r="DA144" s="101">
        <v>2268</v>
      </c>
      <c r="DB144" s="98">
        <f t="shared" si="784"/>
        <v>14.314516129032251</v>
      </c>
      <c r="DC144" s="101">
        <v>1868</v>
      </c>
      <c r="DD144" s="98">
        <f t="shared" si="785"/>
        <v>-21.611414183801937</v>
      </c>
      <c r="DE144" s="101">
        <v>1982</v>
      </c>
      <c r="DF144" s="98">
        <f t="shared" si="786"/>
        <v>28.201811125485122</v>
      </c>
      <c r="DG144" s="101">
        <v>2557</v>
      </c>
      <c r="DH144" s="98">
        <f t="shared" si="787"/>
        <v>2.5260625501202894</v>
      </c>
      <c r="DI144" s="101">
        <v>1915</v>
      </c>
      <c r="DJ144" s="98">
        <f t="shared" si="788"/>
        <v>-15.564373897707229</v>
      </c>
      <c r="DK144" s="101">
        <v>2244</v>
      </c>
      <c r="DL144" s="98">
        <f t="shared" si="789"/>
        <v>20.128479657387576</v>
      </c>
      <c r="DM144" s="101">
        <v>3997</v>
      </c>
      <c r="DN144" s="98" t="str">
        <f t="shared" si="790"/>
        <v>NM</v>
      </c>
      <c r="DO144" s="101">
        <v>1041</v>
      </c>
      <c r="DP144" s="98" t="str">
        <f t="shared" si="790"/>
        <v>NM</v>
      </c>
      <c r="DQ144" s="101">
        <v>233</v>
      </c>
      <c r="DR144" s="98" t="str">
        <f t="shared" si="790"/>
        <v>NM</v>
      </c>
      <c r="DS144" s="101">
        <v>1719</v>
      </c>
      <c r="DT144" s="98">
        <f t="shared" si="790"/>
        <v>-23.395721925133696</v>
      </c>
      <c r="DU144" s="101">
        <v>1070</v>
      </c>
      <c r="DV144" s="98" t="str">
        <f t="shared" si="790"/>
        <v>NM</v>
      </c>
      <c r="DW144" s="101">
        <v>1233</v>
      </c>
      <c r="DX144" s="98">
        <f t="shared" si="790"/>
        <v>18.443804034582122</v>
      </c>
      <c r="DY144" s="101">
        <v>1581</v>
      </c>
      <c r="DZ144" s="98" t="str">
        <f t="shared" si="790"/>
        <v>NM</v>
      </c>
      <c r="EA144" s="101">
        <v>1913</v>
      </c>
      <c r="EB144" s="98">
        <f t="shared" si="791"/>
        <v>11.285631180919143</v>
      </c>
      <c r="EC144" s="101">
        <v>1513</v>
      </c>
      <c r="ED144" s="98">
        <f t="shared" si="792"/>
        <v>41.401869158878512</v>
      </c>
      <c r="EE144" s="101">
        <v>1876</v>
      </c>
      <c r="EF144" s="860">
        <f t="shared" si="793"/>
        <v>52.149229521492302</v>
      </c>
      <c r="EG144" s="101">
        <v>1683</v>
      </c>
      <c r="EH144" s="860">
        <f t="shared" si="794"/>
        <v>6.4516129032258007</v>
      </c>
      <c r="EI144" s="101">
        <v>1115</v>
      </c>
      <c r="EJ144" s="860">
        <f t="shared" si="795"/>
        <v>-41.714584422373235</v>
      </c>
      <c r="EK144" s="101">
        <v>1065</v>
      </c>
      <c r="EL144" s="860">
        <f t="shared" si="796"/>
        <v>-29.610046265697289</v>
      </c>
      <c r="EM144" s="101">
        <v>958</v>
      </c>
      <c r="EN144" s="860">
        <f t="shared" si="797"/>
        <v>-48.933901918976538</v>
      </c>
      <c r="EO144" s="101">
        <v>1261</v>
      </c>
      <c r="EP144" s="98">
        <f t="shared" si="798"/>
        <v>-25.074272133095665</v>
      </c>
      <c r="EQ144" s="952">
        <f>EO144*1.04</f>
        <v>1311.44</v>
      </c>
      <c r="ER144" s="98">
        <f t="shared" si="800"/>
        <v>17.617937219730951</v>
      </c>
      <c r="ES144" s="952">
        <f t="shared" ref="ES144" si="823">EQ144*1.04</f>
        <v>1363.8976</v>
      </c>
      <c r="ET144" s="98">
        <f t="shared" si="802"/>
        <v>28.065502347417848</v>
      </c>
      <c r="EU144" s="952">
        <f t="shared" ref="EU144" si="824">ES144*1.04</f>
        <v>1418.4535040000001</v>
      </c>
      <c r="EV144" s="98">
        <f t="shared" si="804"/>
        <v>48.064040083507308</v>
      </c>
      <c r="EW144" s="952">
        <f t="shared" ref="EW144" si="825">EU144*1.04</f>
        <v>1475.1916441600001</v>
      </c>
      <c r="EX144" s="98">
        <f t="shared" si="806"/>
        <v>16.985855999999998</v>
      </c>
      <c r="EY144" s="121"/>
      <c r="EZ144" s="594"/>
      <c r="FA144" s="405"/>
      <c r="FB144" s="114"/>
      <c r="FC144" s="98"/>
      <c r="FD144" s="101">
        <v>4781</v>
      </c>
      <c r="FE144" s="98" t="str">
        <f t="shared" si="807"/>
        <v>NA</v>
      </c>
      <c r="FF144" s="118">
        <f>C144+E144+G144+I144</f>
        <v>4520</v>
      </c>
      <c r="FG144" s="98">
        <f t="shared" si="808"/>
        <v>-5.4591089730182008</v>
      </c>
      <c r="FH144" s="118">
        <f>K144+M144+O144+Q144</f>
        <v>3291</v>
      </c>
      <c r="FI144" s="98">
        <f t="shared" si="809"/>
        <v>-27.190265486725661</v>
      </c>
      <c r="FJ144" s="118">
        <f>S144+U144+W144+Y144</f>
        <v>3390</v>
      </c>
      <c r="FK144" s="98">
        <f t="shared" si="810"/>
        <v>3.008204193254338</v>
      </c>
      <c r="FL144" s="118">
        <f>AA144+AC144+AE144+AG144</f>
        <v>3589</v>
      </c>
      <c r="FM144" s="98">
        <f t="shared" si="811"/>
        <v>5.8702064896755113</v>
      </c>
      <c r="FN144" s="118">
        <f>AI144+AK144+AM144+AO144</f>
        <v>3965</v>
      </c>
      <c r="FO144" s="98">
        <f t="shared" si="812"/>
        <v>10.476455837280586</v>
      </c>
      <c r="FP144" s="118">
        <f>AQ144+AS144+AU144+AW144</f>
        <v>4864</v>
      </c>
      <c r="FQ144" s="98">
        <f t="shared" si="813"/>
        <v>22.673392181588902</v>
      </c>
      <c r="FR144" s="119">
        <f>AY144+BA144+BC144+BE144</f>
        <v>4680</v>
      </c>
      <c r="FS144" s="120">
        <f t="shared" si="814"/>
        <v>-3.7828947368421018</v>
      </c>
      <c r="FT144" s="119">
        <f>BG144+BI144+BK144+BM144</f>
        <v>4075</v>
      </c>
      <c r="FU144" s="120">
        <f t="shared" si="815"/>
        <v>-12.927350427350426</v>
      </c>
      <c r="FV144" s="119">
        <f>BO144+BQ144+BS144+BU144</f>
        <v>4630</v>
      </c>
      <c r="FW144" s="98">
        <f t="shared" si="816"/>
        <v>13.619631901840501</v>
      </c>
      <c r="FX144" s="485">
        <f>BW144+BY144+CA144+CC144</f>
        <v>5965</v>
      </c>
      <c r="FY144" s="98">
        <f t="shared" si="817"/>
        <v>28.833693304535647</v>
      </c>
      <c r="FZ144" s="119">
        <f>CE144+CG144+CI144+CK144</f>
        <v>9947</v>
      </c>
      <c r="GA144" s="98">
        <f t="shared" si="818"/>
        <v>66.756077116512984</v>
      </c>
      <c r="GB144" s="485">
        <f>CM144+CO144+CQ144+CS144</f>
        <v>12082</v>
      </c>
      <c r="GC144" s="98">
        <f t="shared" si="819"/>
        <v>21.463757916959892</v>
      </c>
      <c r="GD144" s="119">
        <f>CU144+CW144+CY144+DA144</f>
        <v>8691</v>
      </c>
      <c r="GE144" s="98">
        <f t="shared" si="820"/>
        <v>-28.066545273961264</v>
      </c>
      <c r="GF144" s="119">
        <f>DC144+DE144+DG144+DI144</f>
        <v>8322</v>
      </c>
      <c r="GG144" s="98">
        <f t="shared" si="820"/>
        <v>-4.2457714877459418</v>
      </c>
      <c r="GH144" s="119">
        <f>DK144+DM144+DO144+DQ144</f>
        <v>7515</v>
      </c>
      <c r="GI144" s="98">
        <f t="shared" si="820"/>
        <v>-9.6971881759192478</v>
      </c>
      <c r="GJ144" s="119">
        <f>DS144+DU144+DW144+DY144</f>
        <v>5603</v>
      </c>
      <c r="GK144" s="98">
        <f t="shared" si="820"/>
        <v>-25.442448436460406</v>
      </c>
      <c r="GL144" s="119">
        <f>EA144+EC144+EE144+EG144</f>
        <v>6985</v>
      </c>
      <c r="GM144" s="98">
        <f t="shared" si="820"/>
        <v>24.665357844012135</v>
      </c>
      <c r="GN144" s="119">
        <f>EI144+EK144+EM144+EO144</f>
        <v>4399</v>
      </c>
      <c r="GO144" s="98">
        <f t="shared" si="820"/>
        <v>-37.022190408017174</v>
      </c>
      <c r="GP144" s="119">
        <f>EQ144+ES144+EU144+EW144</f>
        <v>5568.9827481600005</v>
      </c>
      <c r="GQ144" s="98">
        <f t="shared" si="820"/>
        <v>26.596561676744734</v>
      </c>
      <c r="GR144" s="121">
        <f>GP144*1.06</f>
        <v>5903.1217130496007</v>
      </c>
      <c r="GS144" s="98">
        <f t="shared" si="820"/>
        <v>6.0000000000000053</v>
      </c>
      <c r="GT144" s="121">
        <f>GR144*1.06</f>
        <v>6257.3090158325767</v>
      </c>
      <c r="GU144" s="98">
        <f t="shared" si="820"/>
        <v>6.0000000000000053</v>
      </c>
      <c r="GV144" s="121">
        <f>GT144*1.06</f>
        <v>6632.7475567825313</v>
      </c>
      <c r="GW144" s="98">
        <f t="shared" si="820"/>
        <v>6.0000000000000053</v>
      </c>
      <c r="GX144" s="121">
        <f>GV144*1.06</f>
        <v>7030.7124101894833</v>
      </c>
      <c r="GY144" s="98">
        <f t="shared" si="821"/>
        <v>6.0000000000000053</v>
      </c>
      <c r="GZ144" s="98">
        <f t="shared" si="822"/>
        <v>9.8320461044420604</v>
      </c>
      <c r="HA144" s="98"/>
      <c r="HB144" s="10"/>
      <c r="HC144"/>
      <c r="HD144"/>
      <c r="HE144"/>
      <c r="HF144"/>
      <c r="HG144"/>
      <c r="HH144"/>
      <c r="HI144" s="10"/>
    </row>
    <row r="145" spans="1:217" s="2" customFormat="1" ht="12.75" customHeight="1" x14ac:dyDescent="0.2">
      <c r="B145" s="91" t="s">
        <v>13</v>
      </c>
      <c r="C145" s="157">
        <v>1452</v>
      </c>
      <c r="D145" s="156"/>
      <c r="E145" s="157">
        <v>-167</v>
      </c>
      <c r="F145" s="156"/>
      <c r="G145" s="157">
        <v>755</v>
      </c>
      <c r="H145" s="156"/>
      <c r="I145" s="157">
        <v>-560</v>
      </c>
      <c r="J145" s="156"/>
      <c r="K145" s="157">
        <v>-565</v>
      </c>
      <c r="L145" s="156" t="str">
        <f t="shared" si="739"/>
        <v>NM</v>
      </c>
      <c r="M145" s="157">
        <v>558</v>
      </c>
      <c r="N145" s="156" t="str">
        <f t="shared" si="740"/>
        <v>NM</v>
      </c>
      <c r="O145" s="157">
        <v>-221</v>
      </c>
      <c r="P145" s="156" t="str">
        <f t="shared" si="741"/>
        <v>NM</v>
      </c>
      <c r="Q145" s="157">
        <v>1513</v>
      </c>
      <c r="R145" s="156" t="str">
        <f t="shared" si="742"/>
        <v>NM</v>
      </c>
      <c r="S145" s="157">
        <v>38</v>
      </c>
      <c r="T145" s="156" t="str">
        <f t="shared" si="743"/>
        <v>NM</v>
      </c>
      <c r="U145" s="157">
        <v>-232</v>
      </c>
      <c r="V145" s="156" t="str">
        <f t="shared" si="744"/>
        <v>NM</v>
      </c>
      <c r="W145" s="157">
        <v>316</v>
      </c>
      <c r="X145" s="156" t="str">
        <f t="shared" si="745"/>
        <v>NM</v>
      </c>
      <c r="Y145" s="157">
        <v>884</v>
      </c>
      <c r="Z145" s="156">
        <f t="shared" si="746"/>
        <v>-41.573033707865171</v>
      </c>
      <c r="AA145" s="157">
        <v>393</v>
      </c>
      <c r="AB145" s="156" t="str">
        <f t="shared" si="747"/>
        <v>NM</v>
      </c>
      <c r="AC145" s="157">
        <v>1481</v>
      </c>
      <c r="AD145" s="156" t="str">
        <f t="shared" si="748"/>
        <v>NM</v>
      </c>
      <c r="AE145" s="157">
        <v>206</v>
      </c>
      <c r="AF145" s="156">
        <f t="shared" si="749"/>
        <v>-34.810126582278478</v>
      </c>
      <c r="AG145" s="157">
        <v>661</v>
      </c>
      <c r="AH145" s="156">
        <f t="shared" si="750"/>
        <v>-25.226244343891402</v>
      </c>
      <c r="AI145" s="157">
        <v>802</v>
      </c>
      <c r="AJ145" s="156" t="str">
        <f t="shared" si="751"/>
        <v>NM</v>
      </c>
      <c r="AK145" s="157">
        <v>-277</v>
      </c>
      <c r="AL145" s="156" t="str">
        <f t="shared" si="752"/>
        <v>NM</v>
      </c>
      <c r="AM145" s="157">
        <v>688</v>
      </c>
      <c r="AN145" s="156" t="str">
        <f t="shared" si="753"/>
        <v>NM</v>
      </c>
      <c r="AO145" s="157">
        <v>1262</v>
      </c>
      <c r="AP145" s="156">
        <f t="shared" si="754"/>
        <v>90.922844175491676</v>
      </c>
      <c r="AQ145" s="157">
        <v>-1141</v>
      </c>
      <c r="AR145" s="156" t="str">
        <f t="shared" si="755"/>
        <v>NM</v>
      </c>
      <c r="AS145" s="157">
        <v>1890</v>
      </c>
      <c r="AT145" s="156" t="str">
        <f t="shared" si="756"/>
        <v>NM</v>
      </c>
      <c r="AU145" s="157">
        <v>538</v>
      </c>
      <c r="AV145" s="156">
        <f t="shared" si="757"/>
        <v>-21.802325581395355</v>
      </c>
      <c r="AW145" s="157">
        <v>527</v>
      </c>
      <c r="AX145" s="156" t="str">
        <f t="shared" si="758"/>
        <v>NM</v>
      </c>
      <c r="AY145" s="157">
        <v>550</v>
      </c>
      <c r="AZ145" s="156" t="str">
        <f t="shared" si="759"/>
        <v>NM</v>
      </c>
      <c r="BA145" s="157">
        <v>279</v>
      </c>
      <c r="BB145" s="156" t="str">
        <f t="shared" si="760"/>
        <v>NM</v>
      </c>
      <c r="BC145" s="157">
        <v>1218</v>
      </c>
      <c r="BD145" s="156" t="str">
        <f t="shared" si="761"/>
        <v>NM</v>
      </c>
      <c r="BE145" s="157">
        <v>809</v>
      </c>
      <c r="BF145" s="156">
        <f t="shared" si="762"/>
        <v>53.510436432637576</v>
      </c>
      <c r="BG145" s="157">
        <v>1414</v>
      </c>
      <c r="BH145" s="156" t="str">
        <f t="shared" si="763"/>
        <v>NM</v>
      </c>
      <c r="BI145" s="157">
        <v>1350</v>
      </c>
      <c r="BJ145" s="156" t="str">
        <f t="shared" si="764"/>
        <v>NM</v>
      </c>
      <c r="BK145" s="157">
        <v>877</v>
      </c>
      <c r="BL145" s="156">
        <f t="shared" si="765"/>
        <v>-27.996715927750415</v>
      </c>
      <c r="BM145" s="157">
        <v>-186</v>
      </c>
      <c r="BN145" s="98" t="str">
        <f t="shared" si="766"/>
        <v>NM</v>
      </c>
      <c r="BO145" s="101">
        <v>467</v>
      </c>
      <c r="BP145" s="98" t="str">
        <f t="shared" si="767"/>
        <v>NM</v>
      </c>
      <c r="BQ145" s="101">
        <v>-229</v>
      </c>
      <c r="BR145" s="98" t="str">
        <f t="shared" si="768"/>
        <v>NM</v>
      </c>
      <c r="BS145" s="101">
        <v>-1301</v>
      </c>
      <c r="BT145" s="98" t="str">
        <f t="shared" si="769"/>
        <v>NM</v>
      </c>
      <c r="BU145" s="101">
        <v>-1020</v>
      </c>
      <c r="BV145" s="98" t="str">
        <f t="shared" si="770"/>
        <v>NM</v>
      </c>
      <c r="BW145" s="101">
        <v>-985</v>
      </c>
      <c r="BX145" s="98" t="str">
        <f t="shared" si="771"/>
        <v>NM</v>
      </c>
      <c r="BY145" s="101">
        <v>1590</v>
      </c>
      <c r="BZ145" s="98" t="str">
        <f t="shared" si="772"/>
        <v>NM</v>
      </c>
      <c r="CA145" s="101">
        <v>2703</v>
      </c>
      <c r="CB145" s="98" t="str">
        <f t="shared" si="773"/>
        <v>NM</v>
      </c>
      <c r="CC145" s="101">
        <v>382</v>
      </c>
      <c r="CD145" s="98" t="str">
        <f t="shared" si="774"/>
        <v>NM</v>
      </c>
      <c r="CE145" s="101">
        <v>1046</v>
      </c>
      <c r="CF145" s="98" t="str">
        <f t="shared" si="775"/>
        <v>NM</v>
      </c>
      <c r="CG145" s="101">
        <v>505</v>
      </c>
      <c r="CH145" s="98" t="str">
        <f t="shared" si="776"/>
        <v>NM</v>
      </c>
      <c r="CI145" s="101">
        <v>2062</v>
      </c>
      <c r="CJ145" s="98">
        <f t="shared" si="777"/>
        <v>-23.714391416944135</v>
      </c>
      <c r="CK145" s="101">
        <v>205</v>
      </c>
      <c r="CL145" s="98">
        <f t="shared" si="778"/>
        <v>-46.335078534031418</v>
      </c>
      <c r="CM145" s="101">
        <v>761</v>
      </c>
      <c r="CN145" s="98">
        <f t="shared" si="779"/>
        <v>-27.246653919694076</v>
      </c>
      <c r="CO145" s="101">
        <v>1012</v>
      </c>
      <c r="CP145" s="98" t="str">
        <f t="shared" si="780"/>
        <v>NM</v>
      </c>
      <c r="CQ145" s="542">
        <v>799</v>
      </c>
      <c r="CR145" s="98" t="str">
        <f t="shared" si="780"/>
        <v>NM</v>
      </c>
      <c r="CS145" s="101">
        <v>1354</v>
      </c>
      <c r="CT145" s="98" t="str">
        <f t="shared" si="780"/>
        <v>NM</v>
      </c>
      <c r="CU145" s="101">
        <v>1115</v>
      </c>
      <c r="CV145" s="98">
        <f t="shared" si="781"/>
        <v>46.517739816031536</v>
      </c>
      <c r="CW145" s="101">
        <v>1077</v>
      </c>
      <c r="CX145" s="98">
        <f t="shared" si="782"/>
        <v>6.422924901185767</v>
      </c>
      <c r="CY145" s="101">
        <v>1466</v>
      </c>
      <c r="CZ145" s="98">
        <f t="shared" si="783"/>
        <v>83.479349186483091</v>
      </c>
      <c r="DA145" s="101">
        <v>364</v>
      </c>
      <c r="DB145" s="98" t="str">
        <f t="shared" si="784"/>
        <v>NM</v>
      </c>
      <c r="DC145" s="101">
        <v>697</v>
      </c>
      <c r="DD145" s="98">
        <f t="shared" si="785"/>
        <v>-37.488789237668165</v>
      </c>
      <c r="DE145" s="101">
        <v>-1286</v>
      </c>
      <c r="DF145" s="98" t="str">
        <f t="shared" si="786"/>
        <v>NM</v>
      </c>
      <c r="DG145" s="101">
        <v>860</v>
      </c>
      <c r="DH145" s="98">
        <f t="shared" si="787"/>
        <v>-41.336971350613915</v>
      </c>
      <c r="DI145" s="101">
        <v>787</v>
      </c>
      <c r="DJ145" s="98" t="str">
        <f t="shared" si="788"/>
        <v>NM</v>
      </c>
      <c r="DK145" s="101">
        <v>1395</v>
      </c>
      <c r="DL145" s="98" t="str">
        <f t="shared" si="789"/>
        <v>NM</v>
      </c>
      <c r="DM145" s="101">
        <v>1661</v>
      </c>
      <c r="DN145" s="98" t="str">
        <f t="shared" si="790"/>
        <v>NM</v>
      </c>
      <c r="DO145" s="101">
        <v>25</v>
      </c>
      <c r="DP145" s="98" t="str">
        <f t="shared" si="790"/>
        <v>NM</v>
      </c>
      <c r="DQ145" s="101">
        <v>1456</v>
      </c>
      <c r="DR145" s="98">
        <f t="shared" si="790"/>
        <v>85.006353240152492</v>
      </c>
      <c r="DS145" s="101">
        <v>1283</v>
      </c>
      <c r="DT145" s="98">
        <f t="shared" si="790"/>
        <v>-8.0286738351254439</v>
      </c>
      <c r="DU145" s="101">
        <v>-1030</v>
      </c>
      <c r="DV145" s="98" t="str">
        <f t="shared" si="790"/>
        <v>NM</v>
      </c>
      <c r="DW145" s="101">
        <v>33</v>
      </c>
      <c r="DX145" s="98">
        <f t="shared" si="790"/>
        <v>32.000000000000007</v>
      </c>
      <c r="DY145" s="101">
        <v>85</v>
      </c>
      <c r="DZ145" s="98" t="str">
        <f t="shared" si="790"/>
        <v>NM</v>
      </c>
      <c r="EA145" s="101">
        <v>1994</v>
      </c>
      <c r="EB145" s="98">
        <f t="shared" si="791"/>
        <v>55.416991426344509</v>
      </c>
      <c r="EC145" s="101">
        <v>1712</v>
      </c>
      <c r="ED145" s="98" t="str">
        <f t="shared" si="792"/>
        <v>NM</v>
      </c>
      <c r="EE145" s="101">
        <f>825</f>
        <v>825</v>
      </c>
      <c r="EF145" s="860" t="str">
        <f t="shared" si="793"/>
        <v>NM</v>
      </c>
      <c r="EG145" s="101">
        <v>-1731</v>
      </c>
      <c r="EH145" s="860" t="str">
        <f t="shared" si="794"/>
        <v>NM</v>
      </c>
      <c r="EI145" s="101">
        <v>1084</v>
      </c>
      <c r="EJ145" s="860">
        <f t="shared" si="795"/>
        <v>-45.63691073219659</v>
      </c>
      <c r="EK145" s="101">
        <v>1354</v>
      </c>
      <c r="EL145" s="860">
        <f t="shared" si="796"/>
        <v>-20.911214953271028</v>
      </c>
      <c r="EM145" s="101">
        <v>1003</v>
      </c>
      <c r="EN145" s="860">
        <f t="shared" si="797"/>
        <v>21.575757575757581</v>
      </c>
      <c r="EO145" s="101">
        <v>812</v>
      </c>
      <c r="EP145" s="98" t="str">
        <f t="shared" si="798"/>
        <v>NM</v>
      </c>
      <c r="EQ145" s="1036">
        <f t="shared" ref="EQ145" si="826">EQ143*(EQ152/100*EQ$26/100)</f>
        <v>-148.57600102014791</v>
      </c>
      <c r="ER145" s="98" t="str">
        <f t="shared" si="800"/>
        <v>NM</v>
      </c>
      <c r="ES145" s="1036">
        <f t="shared" ref="ES145" si="827">ES143*(ES152/100*ES$26/100)</f>
        <v>239.00049751850801</v>
      </c>
      <c r="ET145" s="98" t="str">
        <f t="shared" si="802"/>
        <v>NM</v>
      </c>
      <c r="EU145" s="1036">
        <f t="shared" ref="EU145" si="828">EU143*(EU152/100*EU$26/100)</f>
        <v>232.15571025967193</v>
      </c>
      <c r="EV145" s="98" t="str">
        <f t="shared" si="804"/>
        <v>NM</v>
      </c>
      <c r="EW145" s="1036">
        <f t="shared" ref="EW145" si="829">EW143*(EW152/100*EW$26/100)</f>
        <v>225.79545114773651</v>
      </c>
      <c r="EX145" s="98" t="str">
        <f t="shared" si="806"/>
        <v>NM</v>
      </c>
      <c r="EY145" s="118"/>
      <c r="EZ145" s="594"/>
      <c r="FA145" s="405"/>
      <c r="FB145" s="114"/>
      <c r="FC145" s="98"/>
      <c r="FD145" s="101">
        <v>1074</v>
      </c>
      <c r="FE145" s="98" t="str">
        <f t="shared" si="807"/>
        <v>NA</v>
      </c>
      <c r="FF145" s="118">
        <f>C145+E145+G145+I145</f>
        <v>1480</v>
      </c>
      <c r="FG145" s="98">
        <f t="shared" si="808"/>
        <v>37.8026070763501</v>
      </c>
      <c r="FH145" s="118">
        <f>K145+M145+O145+Q145</f>
        <v>1285</v>
      </c>
      <c r="FI145" s="98">
        <f t="shared" si="809"/>
        <v>-13.175675675675681</v>
      </c>
      <c r="FJ145" s="118">
        <f>S145+U145+W145+Y145</f>
        <v>1006</v>
      </c>
      <c r="FK145" s="98">
        <f t="shared" si="810"/>
        <v>-21.71206225680934</v>
      </c>
      <c r="FL145" s="118">
        <f>AA145+AC145+AE145+AG145</f>
        <v>2741</v>
      </c>
      <c r="FM145" s="98" t="str">
        <f t="shared" si="811"/>
        <v>NM</v>
      </c>
      <c r="FN145" s="118">
        <f>AI145+AK145+AM145+AO145</f>
        <v>2475</v>
      </c>
      <c r="FO145" s="98">
        <f t="shared" si="812"/>
        <v>-9.7044874133527905</v>
      </c>
      <c r="FP145" s="118">
        <f>AQ145+AS145+AU145+AW145</f>
        <v>1814</v>
      </c>
      <c r="FQ145" s="98">
        <f t="shared" si="813"/>
        <v>-26.707070707070713</v>
      </c>
      <c r="FR145" s="119">
        <f>AY145+BA145+BC145+BE145</f>
        <v>2856</v>
      </c>
      <c r="FS145" s="120">
        <f t="shared" si="814"/>
        <v>57.44211686879823</v>
      </c>
      <c r="FT145" s="119">
        <f>BG145+BI145+BK145+BM145</f>
        <v>3455</v>
      </c>
      <c r="FU145" s="120">
        <f t="shared" si="815"/>
        <v>20.973389355742288</v>
      </c>
      <c r="FV145" s="119">
        <f>BO145+BQ145+BS145+BU145</f>
        <v>-2083</v>
      </c>
      <c r="FW145" s="98" t="str">
        <f t="shared" si="816"/>
        <v>NM</v>
      </c>
      <c r="FX145" s="485">
        <f>BW145+BY145+CA145+CC145</f>
        <v>3690</v>
      </c>
      <c r="FY145" s="98" t="str">
        <f t="shared" si="817"/>
        <v>NM</v>
      </c>
      <c r="FZ145" s="119">
        <f>CE145+CG145+CI145+CK145</f>
        <v>3818</v>
      </c>
      <c r="GA145" s="98">
        <f t="shared" si="818"/>
        <v>3.468834688346889</v>
      </c>
      <c r="GB145" s="485">
        <f>CM145+CO145+CQ145+CS145</f>
        <v>3926</v>
      </c>
      <c r="GC145" s="98">
        <f t="shared" si="819"/>
        <v>2.8287061288632787</v>
      </c>
      <c r="GD145" s="119">
        <f>CU145+CW145+CY145+DA145</f>
        <v>4022</v>
      </c>
      <c r="GE145" s="98">
        <f t="shared" si="820"/>
        <v>2.4452368823229653</v>
      </c>
      <c r="GF145" s="119">
        <f>DC145+DE145+DG145+DI145</f>
        <v>1058</v>
      </c>
      <c r="GG145" s="98" t="str">
        <f t="shared" si="820"/>
        <v>NM</v>
      </c>
      <c r="GH145" s="119">
        <f>DK145+DM145+DO145+DQ145</f>
        <v>4537</v>
      </c>
      <c r="GI145" s="98" t="str">
        <f t="shared" si="820"/>
        <v>NM</v>
      </c>
      <c r="GJ145" s="119">
        <f>DS145+DU145+DW145+DY145</f>
        <v>371</v>
      </c>
      <c r="GK145" s="98" t="str">
        <f t="shared" si="820"/>
        <v>NM</v>
      </c>
      <c r="GL145" s="119">
        <f>EA145+EC145+EE145+EG145</f>
        <v>2800</v>
      </c>
      <c r="GM145" s="98" t="str">
        <f t="shared" si="820"/>
        <v>NM</v>
      </c>
      <c r="GN145" s="119">
        <f>EI145+EK145+EM145+EO145</f>
        <v>4253</v>
      </c>
      <c r="GO145" s="98">
        <f t="shared" si="820"/>
        <v>51.892857142857139</v>
      </c>
      <c r="GP145" s="119">
        <f>EQ145+ES145+EU145+EW145</f>
        <v>548.37565790576855</v>
      </c>
      <c r="GQ145" s="98" t="str">
        <f t="shared" si="820"/>
        <v>NM</v>
      </c>
      <c r="GR145" s="468">
        <f>GR143*(GR152/100*GR$26/100)</f>
        <v>0</v>
      </c>
      <c r="GS145" s="98" t="str">
        <f t="shared" si="820"/>
        <v>NM</v>
      </c>
      <c r="GT145" s="468">
        <f>GT143*(GT152/100*GT$26/100)</f>
        <v>0</v>
      </c>
      <c r="GU145" s="98" t="str">
        <f t="shared" si="820"/>
        <v>NA</v>
      </c>
      <c r="GV145" s="468">
        <f>GV143*(GV152/100*GV$26/100)</f>
        <v>0</v>
      </c>
      <c r="GW145" s="98" t="str">
        <f t="shared" si="820"/>
        <v>NA</v>
      </c>
      <c r="GX145" s="468">
        <f>GX143*(GX152/100*GX$26/100)</f>
        <v>0</v>
      </c>
      <c r="GY145" s="98" t="str">
        <f t="shared" si="821"/>
        <v>NA</v>
      </c>
      <c r="GZ145" s="98" t="str">
        <f t="shared" si="822"/>
        <v>NM</v>
      </c>
      <c r="HA145" s="98"/>
      <c r="HB145" s="10"/>
      <c r="HC145"/>
      <c r="HD145"/>
      <c r="HE145"/>
      <c r="HF145"/>
      <c r="HG145"/>
      <c r="HH145"/>
      <c r="HI145" s="10"/>
    </row>
    <row r="146" spans="1:217" s="2" customFormat="1" ht="12.75" customHeight="1" x14ac:dyDescent="0.2">
      <c r="B146" s="91" t="s">
        <v>456</v>
      </c>
      <c r="C146" s="157">
        <v>-1859</v>
      </c>
      <c r="D146" s="156"/>
      <c r="E146" s="157">
        <v>-2535</v>
      </c>
      <c r="F146" s="156"/>
      <c r="G146" s="157">
        <v>-1161</v>
      </c>
      <c r="H146" s="156"/>
      <c r="I146" s="253">
        <v>-2186</v>
      </c>
      <c r="J146" s="156"/>
      <c r="K146" s="157">
        <f>-2775-22</f>
        <v>-2797</v>
      </c>
      <c r="L146" s="156">
        <f t="shared" si="739"/>
        <v>50.457235072619675</v>
      </c>
      <c r="M146" s="157">
        <f>-1332-14</f>
        <v>-1346</v>
      </c>
      <c r="N146" s="156">
        <f t="shared" si="740"/>
        <v>-46.903353057199212</v>
      </c>
      <c r="O146" s="157">
        <f>-1262-10</f>
        <v>-1272</v>
      </c>
      <c r="P146" s="156">
        <f t="shared" si="741"/>
        <v>9.5607235142118885</v>
      </c>
      <c r="Q146" s="253">
        <f>-2638-18</f>
        <v>-2656</v>
      </c>
      <c r="R146" s="156">
        <f t="shared" si="742"/>
        <v>21.500457456541632</v>
      </c>
      <c r="S146" s="253">
        <f>-1639-22</f>
        <v>-1661</v>
      </c>
      <c r="T146" s="156">
        <f t="shared" si="743"/>
        <v>-40.614944583482306</v>
      </c>
      <c r="U146" s="253">
        <f>-1047-22</f>
        <v>-1069</v>
      </c>
      <c r="V146" s="156">
        <f t="shared" si="744"/>
        <v>-20.579494799405651</v>
      </c>
      <c r="W146" s="253">
        <f>-753-16</f>
        <v>-769</v>
      </c>
      <c r="X146" s="156">
        <f t="shared" si="745"/>
        <v>-39.54402515723271</v>
      </c>
      <c r="Y146" s="253">
        <f>-772-17</f>
        <v>-789</v>
      </c>
      <c r="Z146" s="156" t="str">
        <f t="shared" si="746"/>
        <v>NM</v>
      </c>
      <c r="AA146" s="253">
        <f>-793-22</f>
        <v>-815</v>
      </c>
      <c r="AB146" s="156" t="str">
        <f t="shared" si="747"/>
        <v>NM</v>
      </c>
      <c r="AC146" s="253">
        <f>-1050-18</f>
        <v>-1068</v>
      </c>
      <c r="AD146" s="156">
        <f t="shared" si="748"/>
        <v>-9.3545369504210996E-2</v>
      </c>
      <c r="AE146" s="253">
        <f>-874-14</f>
        <v>-888</v>
      </c>
      <c r="AF146" s="156">
        <f t="shared" si="749"/>
        <v>15.474642392717808</v>
      </c>
      <c r="AG146" s="253">
        <f>-1235-18</f>
        <v>-1253</v>
      </c>
      <c r="AH146" s="156">
        <f t="shared" si="750"/>
        <v>58.808618504435998</v>
      </c>
      <c r="AI146" s="253">
        <f>-1262-21-593</f>
        <v>-1876</v>
      </c>
      <c r="AJ146" s="156" t="str">
        <f t="shared" si="751"/>
        <v>NM</v>
      </c>
      <c r="AK146" s="253">
        <f>-842-20+31</f>
        <v>-831</v>
      </c>
      <c r="AL146" s="156">
        <f t="shared" si="752"/>
        <v>-22.19101123595506</v>
      </c>
      <c r="AM146" s="253">
        <f>-1122-25-25</f>
        <v>-1172</v>
      </c>
      <c r="AN146" s="156">
        <f t="shared" si="753"/>
        <v>31.981981981981988</v>
      </c>
      <c r="AO146" s="253">
        <f>-1287-22+14</f>
        <v>-1295</v>
      </c>
      <c r="AP146" s="156">
        <f t="shared" si="754"/>
        <v>3.3519553072625774</v>
      </c>
      <c r="AQ146" s="253">
        <f>-1827-25+5</f>
        <v>-1847</v>
      </c>
      <c r="AR146" s="156">
        <f t="shared" si="755"/>
        <v>-1.5458422174840059</v>
      </c>
      <c r="AS146" s="253">
        <f>-1351-26-27</f>
        <v>-1404</v>
      </c>
      <c r="AT146" s="156">
        <f t="shared" si="756"/>
        <v>68.953068592057761</v>
      </c>
      <c r="AU146" s="253">
        <f>-2029-23+2809</f>
        <v>757</v>
      </c>
      <c r="AV146" s="156" t="str">
        <f t="shared" si="757"/>
        <v>NM</v>
      </c>
      <c r="AW146" s="253">
        <f>-1775-30-60</f>
        <v>-1865</v>
      </c>
      <c r="AX146" s="156">
        <f t="shared" si="758"/>
        <v>44.015444015444018</v>
      </c>
      <c r="AY146" s="253">
        <f>-2592-25+1</f>
        <v>-2616</v>
      </c>
      <c r="AZ146" s="156">
        <f t="shared" si="759"/>
        <v>41.635083919870056</v>
      </c>
      <c r="BA146" s="253">
        <f>-1377-26+1</f>
        <v>-1402</v>
      </c>
      <c r="BB146" s="156">
        <f t="shared" si="760"/>
        <v>-0.14245014245014564</v>
      </c>
      <c r="BC146" s="253">
        <f>-2978-25-7</f>
        <v>-3010</v>
      </c>
      <c r="BD146" s="156" t="str">
        <f t="shared" si="761"/>
        <v>NM</v>
      </c>
      <c r="BE146" s="253">
        <f>-1342-21+2</f>
        <v>-1361</v>
      </c>
      <c r="BF146" s="156">
        <f t="shared" si="762"/>
        <v>-27.024128686327074</v>
      </c>
      <c r="BG146" s="253">
        <f>-1704-22+2</f>
        <v>-1724</v>
      </c>
      <c r="BH146" s="156">
        <f t="shared" si="763"/>
        <v>-34.09785932721713</v>
      </c>
      <c r="BI146" s="253">
        <f>-1689-19+9</f>
        <v>-1699</v>
      </c>
      <c r="BJ146" s="156">
        <f t="shared" si="764"/>
        <v>21.184022824536374</v>
      </c>
      <c r="BK146" s="253">
        <f>-1433-22+2</f>
        <v>-1453</v>
      </c>
      <c r="BL146" s="156" t="str">
        <f t="shared" si="765"/>
        <v>NM</v>
      </c>
      <c r="BM146" s="253">
        <f>-1614-36+8</f>
        <v>-1642</v>
      </c>
      <c r="BN146" s="98">
        <f t="shared" si="766"/>
        <v>20.646583394562825</v>
      </c>
      <c r="BO146" s="254">
        <f>-1608-23+0</f>
        <v>-1631</v>
      </c>
      <c r="BP146" s="98">
        <f t="shared" si="767"/>
        <v>-5.3944315545243597</v>
      </c>
      <c r="BQ146" s="254">
        <f>-1228-23-238</f>
        <v>-1489</v>
      </c>
      <c r="BR146" s="98">
        <f t="shared" si="768"/>
        <v>-12.360211889346672</v>
      </c>
      <c r="BS146" s="254">
        <f>-1243-21+402</f>
        <v>-862</v>
      </c>
      <c r="BT146" s="98">
        <f t="shared" si="769"/>
        <v>-40.674466620784585</v>
      </c>
      <c r="BU146" s="254">
        <f>-1593-11+7-128-1672</f>
        <v>-3397</v>
      </c>
      <c r="BV146" s="98" t="str">
        <f t="shared" si="770"/>
        <v>NM</v>
      </c>
      <c r="BW146" s="254">
        <f>-1883-10+13-59-1819</f>
        <v>-3758</v>
      </c>
      <c r="BX146" s="98" t="str">
        <f t="shared" si="771"/>
        <v>NM</v>
      </c>
      <c r="BY146" s="254">
        <f>-1099-13+17-57-1502</f>
        <v>-2654</v>
      </c>
      <c r="BZ146" s="98">
        <f t="shared" si="772"/>
        <v>78.24042981867025</v>
      </c>
      <c r="CA146" s="254">
        <f>-1177-10+16-55+314</f>
        <v>-912</v>
      </c>
      <c r="CB146" s="98">
        <f t="shared" si="773"/>
        <v>5.8004640371229765</v>
      </c>
      <c r="CC146" s="254">
        <f>-1360-11-58-57-929</f>
        <v>-2415</v>
      </c>
      <c r="CD146" s="98">
        <f t="shared" si="774"/>
        <v>-28.907859876361496</v>
      </c>
      <c r="CE146" s="254">
        <f>48830-CE145-CE144-CE143</f>
        <v>35</v>
      </c>
      <c r="CF146" s="98" t="str">
        <f t="shared" si="775"/>
        <v>NM</v>
      </c>
      <c r="CG146" s="254">
        <f>49885-CG145-CG144-CG143</f>
        <v>-641</v>
      </c>
      <c r="CH146" s="98" t="str">
        <f t="shared" si="776"/>
        <v>NM</v>
      </c>
      <c r="CI146" s="254">
        <f>-1637-9-57+98+1493</f>
        <v>-112</v>
      </c>
      <c r="CJ146" s="98" t="str">
        <f t="shared" si="777"/>
        <v>NM</v>
      </c>
      <c r="CK146" s="254">
        <f>-1189-15+12-61-862</f>
        <v>-2115</v>
      </c>
      <c r="CL146" s="98">
        <f t="shared" si="778"/>
        <v>-12.422360248447205</v>
      </c>
      <c r="CM146" s="254">
        <f>-1256-68+4-67+881</f>
        <v>-506</v>
      </c>
      <c r="CN146" s="98" t="str">
        <f t="shared" si="779"/>
        <v>NM</v>
      </c>
      <c r="CO146" s="254">
        <f>-1404+4-61-190-23</f>
        <v>-1674</v>
      </c>
      <c r="CP146" s="98" t="str">
        <f t="shared" si="780"/>
        <v>NM</v>
      </c>
      <c r="CQ146" s="558">
        <f>-2050-17+12-63+57</f>
        <v>-2061</v>
      </c>
      <c r="CR146" s="98" t="str">
        <f t="shared" si="780"/>
        <v>NM</v>
      </c>
      <c r="CS146" s="254">
        <f>-2106-13+31-79-1374</f>
        <v>-3541</v>
      </c>
      <c r="CT146" s="98">
        <f t="shared" si="780"/>
        <v>67.423167848699777</v>
      </c>
      <c r="CU146" s="254">
        <f>-1311-16-84+1692+5</f>
        <v>286</v>
      </c>
      <c r="CV146" s="98" t="str">
        <f t="shared" si="781"/>
        <v>NM</v>
      </c>
      <c r="CW146" s="254">
        <f>-1198-17+11-81-269</f>
        <v>-1554</v>
      </c>
      <c r="CX146" s="98">
        <f t="shared" si="782"/>
        <v>-7.1684587813620082</v>
      </c>
      <c r="CY146" s="254">
        <f>-757-21+11-78+4086</f>
        <v>3241</v>
      </c>
      <c r="CZ146" s="98" t="str">
        <f t="shared" si="783"/>
        <v>NM</v>
      </c>
      <c r="DA146" s="254">
        <f>+-2699-13+11-75-4886</f>
        <v>-7662</v>
      </c>
      <c r="DB146" s="98" t="str">
        <f t="shared" si="784"/>
        <v>NM</v>
      </c>
      <c r="DC146" s="254">
        <f>-1414-19-5-86+2819</f>
        <v>1295</v>
      </c>
      <c r="DD146" s="98" t="str">
        <f t="shared" si="785"/>
        <v>NM</v>
      </c>
      <c r="DE146" s="254">
        <f>-922-20+5-85-564</f>
        <v>-1586</v>
      </c>
      <c r="DF146" s="98">
        <f t="shared" si="786"/>
        <v>2.0592020592020699</v>
      </c>
      <c r="DG146" s="254">
        <f>-1209-13+4-81-934</f>
        <v>-2233</v>
      </c>
      <c r="DH146" s="98" t="str">
        <f t="shared" si="787"/>
        <v>NM</v>
      </c>
      <c r="DI146" s="254">
        <f>-1127-16-2-81-482</f>
        <v>-1708</v>
      </c>
      <c r="DJ146" s="98" t="str">
        <f t="shared" si="788"/>
        <v>NM</v>
      </c>
      <c r="DK146" s="254">
        <f>-1530-21-30-77+608</f>
        <v>-1050</v>
      </c>
      <c r="DL146" s="98" t="str">
        <f t="shared" si="789"/>
        <v>NM</v>
      </c>
      <c r="DM146" s="254">
        <f>-2444-13+6-83-1015</f>
        <v>-3549</v>
      </c>
      <c r="DN146" s="98" t="str">
        <f t="shared" si="790"/>
        <v>NM</v>
      </c>
      <c r="DO146" s="254">
        <f>-1935-18-10-81+1224</f>
        <v>-820</v>
      </c>
      <c r="DP146" s="98" t="str">
        <f t="shared" si="790"/>
        <v>NM</v>
      </c>
      <c r="DQ146" s="254">
        <f>-1174-14+14-79+-1253</f>
        <v>-2506</v>
      </c>
      <c r="DR146" s="98">
        <f t="shared" si="790"/>
        <v>46.721311475409834</v>
      </c>
      <c r="DS146" s="254">
        <f>-1495-8+1-71+3424</f>
        <v>1851</v>
      </c>
      <c r="DT146" s="98" t="str">
        <f t="shared" si="790"/>
        <v>NM</v>
      </c>
      <c r="DU146" s="254">
        <f>-1457-11-5-76+708</f>
        <v>-841</v>
      </c>
      <c r="DV146" s="98" t="str">
        <f t="shared" si="790"/>
        <v>NM</v>
      </c>
      <c r="DW146" s="254">
        <f>-1451-9+12-73-2275</f>
        <v>-3796</v>
      </c>
      <c r="DX146" s="98" t="str">
        <f t="shared" si="790"/>
        <v>NM</v>
      </c>
      <c r="DY146" s="254">
        <f>-1381-23-4-66-1745</f>
        <v>-3219</v>
      </c>
      <c r="DZ146" s="98">
        <f t="shared" si="790"/>
        <v>28.451715881883487</v>
      </c>
      <c r="EA146" s="254">
        <f>-1260-15+1-87+439</f>
        <v>-922</v>
      </c>
      <c r="EB146" s="98" t="str">
        <f t="shared" si="791"/>
        <v>NM</v>
      </c>
      <c r="EC146" s="254">
        <f>-1073-18-82+1332</f>
        <v>159</v>
      </c>
      <c r="ED146" s="98" t="str">
        <f t="shared" si="792"/>
        <v>NM</v>
      </c>
      <c r="EE146" s="254">
        <f>-2412-23-74+465+1</f>
        <v>-2043</v>
      </c>
      <c r="EF146" s="860">
        <f t="shared" si="793"/>
        <v>-46.180189673340358</v>
      </c>
      <c r="EG146" s="254">
        <f>-1360-12-74+754</f>
        <v>-692</v>
      </c>
      <c r="EH146" s="860" t="str">
        <f t="shared" si="794"/>
        <v>NM</v>
      </c>
      <c r="EI146" s="254">
        <f>-1878-17-80+574-4</f>
        <v>-1405</v>
      </c>
      <c r="EJ146" s="860">
        <f t="shared" si="795"/>
        <v>52.386117136659436</v>
      </c>
      <c r="EK146" s="254">
        <f>-1631-11-83+389-17</f>
        <v>-1353</v>
      </c>
      <c r="EL146" s="860" t="str">
        <f t="shared" si="796"/>
        <v>NM</v>
      </c>
      <c r="EM146" s="254">
        <f>-4550-22-77-2019-1</f>
        <v>-6669</v>
      </c>
      <c r="EN146" s="860" t="str">
        <f t="shared" si="797"/>
        <v>NM</v>
      </c>
      <c r="EO146" s="254">
        <f>-2889-11-76-1078-6</f>
        <v>-4060</v>
      </c>
      <c r="EP146" s="98" t="str">
        <f t="shared" si="798"/>
        <v>NM</v>
      </c>
      <c r="EQ146" s="1023">
        <f t="shared" ref="EQ146" si="830">EQ$143*(-EQ150/400)</f>
        <v>-3962.0266938706118</v>
      </c>
      <c r="ER146" s="98" t="str">
        <f t="shared" si="800"/>
        <v>NM</v>
      </c>
      <c r="ES146" s="1023">
        <f t="shared" ref="ES146" si="831">ES$143*(-ES150/400)</f>
        <v>-3824.0079602961296</v>
      </c>
      <c r="ET146" s="98" t="str">
        <f t="shared" si="802"/>
        <v>NM</v>
      </c>
      <c r="EU146" s="1023">
        <f t="shared" ref="EU146" si="832">EU$143*(-EU150/400)</f>
        <v>-3714.4913641547519</v>
      </c>
      <c r="EV146" s="98">
        <f t="shared" si="804"/>
        <v>-44.302123794350699</v>
      </c>
      <c r="EW146" s="1023">
        <f t="shared" ref="EW146" si="833">EW$143*(-EW150/400)</f>
        <v>-3612.7272183637851</v>
      </c>
      <c r="EX146" s="98">
        <f t="shared" si="806"/>
        <v>-11.016570976261452</v>
      </c>
      <c r="EY146" s="119"/>
      <c r="EZ146" s="594"/>
      <c r="FA146" s="405"/>
      <c r="FB146" s="114"/>
      <c r="FC146" s="98"/>
      <c r="FD146" s="101">
        <v>-6472</v>
      </c>
      <c r="FE146" s="98" t="str">
        <f t="shared" si="807"/>
        <v>NA</v>
      </c>
      <c r="FF146" s="118">
        <f>C146+E146+G146+I146</f>
        <v>-7741</v>
      </c>
      <c r="FG146" s="98">
        <f t="shared" si="808"/>
        <v>19.607540173053152</v>
      </c>
      <c r="FH146" s="118">
        <f>K146+M146+O146+Q146</f>
        <v>-8071</v>
      </c>
      <c r="FI146" s="98">
        <f t="shared" si="809"/>
        <v>4.2630151143263184</v>
      </c>
      <c r="FJ146" s="118">
        <f>S146+U146+W146+Y146</f>
        <v>-4288</v>
      </c>
      <c r="FK146" s="98">
        <f t="shared" si="810"/>
        <v>-46.871515301697428</v>
      </c>
      <c r="FL146" s="118">
        <f>AA146+AC146+AE146+AG146</f>
        <v>-4024</v>
      </c>
      <c r="FM146" s="98">
        <f t="shared" si="811"/>
        <v>-6.1567164179104461</v>
      </c>
      <c r="FN146" s="118">
        <f>AI146+AK146+AM146+AO146</f>
        <v>-5174</v>
      </c>
      <c r="FO146" s="98">
        <f t="shared" si="812"/>
        <v>28.578528827037776</v>
      </c>
      <c r="FP146" s="118">
        <f>AQ146+AS146+AU146+AW146</f>
        <v>-4359</v>
      </c>
      <c r="FQ146" s="98">
        <f t="shared" si="813"/>
        <v>-15.751836103594897</v>
      </c>
      <c r="FR146" s="119">
        <f>AY146+BA146+BC146+BE146</f>
        <v>-8389</v>
      </c>
      <c r="FS146" s="120">
        <f t="shared" si="814"/>
        <v>92.452397338839191</v>
      </c>
      <c r="FT146" s="119">
        <f>BG146+BI146+BK146+BM146</f>
        <v>-6518</v>
      </c>
      <c r="FU146" s="120">
        <f t="shared" si="815"/>
        <v>-22.303015854094642</v>
      </c>
      <c r="FV146" s="119">
        <f>BO146+BQ146+BS146+BU146</f>
        <v>-7379</v>
      </c>
      <c r="FW146" s="98">
        <f t="shared" si="816"/>
        <v>13.209573488800253</v>
      </c>
      <c r="FX146" s="485">
        <f>BW146+BY146+CA146+CC146</f>
        <v>-9739</v>
      </c>
      <c r="FY146" s="98">
        <f t="shared" si="817"/>
        <v>31.982653476080781</v>
      </c>
      <c r="FZ146" s="119">
        <f>CE146+CG146+CI146+CK146</f>
        <v>-2833</v>
      </c>
      <c r="GA146" s="98" t="str">
        <f t="shared" si="818"/>
        <v>NM</v>
      </c>
      <c r="GB146" s="485">
        <f>CM146+CO146+CQ146+CS146</f>
        <v>-7782</v>
      </c>
      <c r="GC146" s="98" t="str">
        <f t="shared" si="819"/>
        <v>NM</v>
      </c>
      <c r="GD146" s="119">
        <f>CU146+CW146+CY146+DA146</f>
        <v>-5689</v>
      </c>
      <c r="GE146" s="98">
        <f t="shared" si="820"/>
        <v>-26.895399640195329</v>
      </c>
      <c r="GF146" s="119">
        <f>DC146+DE146+DG146+DI146</f>
        <v>-4232</v>
      </c>
      <c r="GG146" s="98">
        <f t="shared" si="820"/>
        <v>-25.610827913517308</v>
      </c>
      <c r="GH146" s="119">
        <f>DK146+DM146+DO146+DQ146</f>
        <v>-7925</v>
      </c>
      <c r="GI146" s="98">
        <f t="shared" si="820"/>
        <v>87.263705103969741</v>
      </c>
      <c r="GJ146" s="119">
        <f>DS146+DU146+DW146+DY146</f>
        <v>-6005</v>
      </c>
      <c r="GK146" s="98">
        <f t="shared" si="820"/>
        <v>-24.227129337539431</v>
      </c>
      <c r="GL146" s="119">
        <f>EA146+EC146+EE146+EG146</f>
        <v>-3498</v>
      </c>
      <c r="GM146" s="98">
        <f t="shared" si="820"/>
        <v>-41.748542880932561</v>
      </c>
      <c r="GN146" s="119">
        <f>EI146+EK146+EM146+EO146</f>
        <v>-13487</v>
      </c>
      <c r="GO146" s="98" t="str">
        <f t="shared" si="820"/>
        <v>NM</v>
      </c>
      <c r="GP146" s="119">
        <f>EQ146+ES146+EU146+EW146</f>
        <v>-15113.253236685277</v>
      </c>
      <c r="GQ146" s="98">
        <f t="shared" si="820"/>
        <v>12.057931613296336</v>
      </c>
      <c r="GR146" s="119">
        <f>GR$143*(-GR150/100)</f>
        <v>-13421.274783020981</v>
      </c>
      <c r="GS146" s="98">
        <f t="shared" si="820"/>
        <v>-11.195329206535487</v>
      </c>
      <c r="GT146" s="119">
        <f>GT$143*(-GT150/100)</f>
        <v>-12007.235018744899</v>
      </c>
      <c r="GU146" s="98">
        <f t="shared" si="820"/>
        <v>-10.535808163803928</v>
      </c>
      <c r="GV146" s="119">
        <f>GV$143*(-GV150/100)</f>
        <v>-10925.769406899622</v>
      </c>
      <c r="GW146" s="98">
        <f t="shared" si="820"/>
        <v>-9.0067830783437159</v>
      </c>
      <c r="GX146" s="119">
        <f>GX$143*(-GX150/100)</f>
        <v>-10118.323276384119</v>
      </c>
      <c r="GY146" s="98">
        <f t="shared" si="821"/>
        <v>-7.3902907927527846</v>
      </c>
      <c r="GZ146" s="98">
        <f t="shared" si="822"/>
        <v>-5.5855128001134569</v>
      </c>
      <c r="HA146" s="98"/>
      <c r="HB146" s="10"/>
      <c r="HC146"/>
      <c r="HD146"/>
      <c r="HE146"/>
      <c r="HF146"/>
      <c r="HG146"/>
      <c r="HH146"/>
      <c r="HI146" s="10"/>
    </row>
    <row r="147" spans="1:217" s="2" customFormat="1" ht="12.75" customHeight="1" x14ac:dyDescent="0.2">
      <c r="B147" s="91" t="s">
        <v>617</v>
      </c>
      <c r="C147" s="155">
        <f t="shared" ref="C147:W147" si="834">SUM(C143:C146)</f>
        <v>31059</v>
      </c>
      <c r="D147" s="156"/>
      <c r="E147" s="155">
        <f t="shared" si="834"/>
        <v>29469</v>
      </c>
      <c r="F147" s="156"/>
      <c r="G147" s="155">
        <f t="shared" si="834"/>
        <v>29813</v>
      </c>
      <c r="H147" s="156"/>
      <c r="I147" s="155">
        <f t="shared" si="834"/>
        <v>28162</v>
      </c>
      <c r="J147" s="156"/>
      <c r="K147" s="155">
        <f t="shared" si="834"/>
        <v>25972</v>
      </c>
      <c r="L147" s="156">
        <f t="shared" si="739"/>
        <v>-16.378505425158572</v>
      </c>
      <c r="M147" s="155">
        <f t="shared" si="834"/>
        <v>26031</v>
      </c>
      <c r="N147" s="156">
        <f t="shared" si="740"/>
        <v>-11.666496996844145</v>
      </c>
      <c r="O147" s="155">
        <f t="shared" si="834"/>
        <v>25154</v>
      </c>
      <c r="P147" s="156">
        <f t="shared" si="741"/>
        <v>-15.627410861033775</v>
      </c>
      <c r="Q147" s="155">
        <f t="shared" si="834"/>
        <v>24667</v>
      </c>
      <c r="R147" s="156">
        <f t="shared" si="742"/>
        <v>-12.410340174703505</v>
      </c>
      <c r="S147" s="155">
        <f t="shared" si="834"/>
        <v>23804</v>
      </c>
      <c r="T147" s="156">
        <f t="shared" si="743"/>
        <v>-8.3474511011858876</v>
      </c>
      <c r="U147" s="155">
        <f t="shared" si="834"/>
        <v>23050</v>
      </c>
      <c r="V147" s="156">
        <f t="shared" si="744"/>
        <v>-11.451730628865587</v>
      </c>
      <c r="W147" s="155">
        <f t="shared" si="834"/>
        <v>23593</v>
      </c>
      <c r="X147" s="156">
        <f t="shared" si="745"/>
        <v>-6.2057724417587607</v>
      </c>
      <c r="Y147" s="155">
        <f>SUM(Y143:Y146)</f>
        <v>24775</v>
      </c>
      <c r="Z147" s="156">
        <f t="shared" si="746"/>
        <v>0.43783192119024594</v>
      </c>
      <c r="AA147" s="155">
        <f>SUM(AA143:AA146)</f>
        <v>25105</v>
      </c>
      <c r="AB147" s="156">
        <f t="shared" si="747"/>
        <v>5.465467988573347</v>
      </c>
      <c r="AC147" s="155">
        <f>SUM(AC143:AC146)</f>
        <v>26526</v>
      </c>
      <c r="AD147" s="156">
        <f t="shared" si="748"/>
        <v>15.080260303687631</v>
      </c>
      <c r="AE147" s="155">
        <f>SUM(AE143:AE146)</f>
        <v>26570</v>
      </c>
      <c r="AF147" s="156">
        <f t="shared" si="749"/>
        <v>12.618149451108373</v>
      </c>
      <c r="AG147" s="155">
        <f>SUM(AG143:AG146)</f>
        <v>27081</v>
      </c>
      <c r="AH147" s="156">
        <f t="shared" si="750"/>
        <v>9.3077699293642837</v>
      </c>
      <c r="AI147" s="155">
        <f>SUM(AI143:AI146)</f>
        <v>27376</v>
      </c>
      <c r="AJ147" s="156">
        <f t="shared" si="751"/>
        <v>9.0460067715594441</v>
      </c>
      <c r="AK147" s="155">
        <f>SUM(AK143:AK146)</f>
        <v>26962</v>
      </c>
      <c r="AL147" s="156">
        <f t="shared" si="752"/>
        <v>1.6436703611550918</v>
      </c>
      <c r="AM147" s="155">
        <f>SUM(AM143:AM146)</f>
        <v>31173</v>
      </c>
      <c r="AN147" s="156">
        <f t="shared" si="753"/>
        <v>17.324049680090337</v>
      </c>
      <c r="AO147" s="155">
        <f>SUM(AO143:AO146)</f>
        <v>32055</v>
      </c>
      <c r="AP147" s="156">
        <f t="shared" si="754"/>
        <v>18.367120859643293</v>
      </c>
      <c r="AQ147" s="155">
        <f>SUM(AQ143:AQ146)</f>
        <v>30654</v>
      </c>
      <c r="AR147" s="156">
        <f t="shared" si="755"/>
        <v>11.973991817650486</v>
      </c>
      <c r="AS147" s="155">
        <f>SUM(AS143:AS146)</f>
        <v>32105</v>
      </c>
      <c r="AT147" s="156">
        <f t="shared" si="756"/>
        <v>19.074994436614489</v>
      </c>
      <c r="AU147" s="155">
        <f>SUM(AU143:AU146)</f>
        <v>34508</v>
      </c>
      <c r="AV147" s="156">
        <f t="shared" si="757"/>
        <v>10.698360760914905</v>
      </c>
      <c r="AW147" s="155">
        <f>SUM(AW143:AW146)</f>
        <v>34374</v>
      </c>
      <c r="AX147" s="156">
        <f t="shared" si="758"/>
        <v>7.2344408048666375</v>
      </c>
      <c r="AY147" s="155">
        <f>SUM(AY143:AY146)</f>
        <v>33653</v>
      </c>
      <c r="AZ147" s="156">
        <f t="shared" si="759"/>
        <v>9.7833887910223858</v>
      </c>
      <c r="BA147" s="155">
        <f>SUM(BA143:BA146)</f>
        <v>33657</v>
      </c>
      <c r="BB147" s="156">
        <f t="shared" si="760"/>
        <v>4.8341379847375743</v>
      </c>
      <c r="BC147" s="155">
        <f>SUM(BC143:BC146)</f>
        <v>33121</v>
      </c>
      <c r="BD147" s="156">
        <f t="shared" si="761"/>
        <v>-4.019357830068393</v>
      </c>
      <c r="BE147" s="155">
        <f>SUM(BE143:BE146)</f>
        <v>33521</v>
      </c>
      <c r="BF147" s="156">
        <f t="shared" si="762"/>
        <v>-2.481526735323214</v>
      </c>
      <c r="BG147" s="155">
        <f>SUM(BG143:BG146)</f>
        <v>34155</v>
      </c>
      <c r="BH147" s="156">
        <f t="shared" si="763"/>
        <v>1.4916946483225946</v>
      </c>
      <c r="BI147" s="155">
        <f>SUM(BI143:BI146)</f>
        <v>35207</v>
      </c>
      <c r="BJ147" s="156">
        <f t="shared" si="764"/>
        <v>4.6052827049350764</v>
      </c>
      <c r="BK147" s="155">
        <f>SUM(BK143:BK146)</f>
        <v>35607</v>
      </c>
      <c r="BL147" s="156">
        <f t="shared" si="765"/>
        <v>7.5058120225838687</v>
      </c>
      <c r="BM147" s="155">
        <f>SUM(BM143:BM146)</f>
        <v>34533</v>
      </c>
      <c r="BN147" s="98">
        <f t="shared" si="766"/>
        <v>3.0190030130366141</v>
      </c>
      <c r="BO147" s="117">
        <f>SUM(BO143:BO146)</f>
        <v>34510</v>
      </c>
      <c r="BP147" s="98">
        <f t="shared" si="767"/>
        <v>1.039379300248866</v>
      </c>
      <c r="BQ147" s="117">
        <f>SUM(BQ143:BQ146)</f>
        <v>33482</v>
      </c>
      <c r="BR147" s="98">
        <f t="shared" si="768"/>
        <v>-4.8995938307722859</v>
      </c>
      <c r="BS147" s="117">
        <f>SUM(BS143:BS146)</f>
        <v>32628</v>
      </c>
      <c r="BT147" s="98">
        <f t="shared" si="769"/>
        <v>-8.366332462718006</v>
      </c>
      <c r="BU147" s="117">
        <f>SUM(BU143:BU146)</f>
        <v>45814</v>
      </c>
      <c r="BV147" s="98">
        <f t="shared" si="770"/>
        <v>32.667303738453079</v>
      </c>
      <c r="BW147" s="117">
        <f>SUM(BW143:BW146)</f>
        <v>42726</v>
      </c>
      <c r="BX147" s="98">
        <f t="shared" si="771"/>
        <v>23.807592002318167</v>
      </c>
      <c r="BY147" s="117">
        <f>SUM(BY143:BY146)</f>
        <v>42293</v>
      </c>
      <c r="BZ147" s="98">
        <f t="shared" si="772"/>
        <v>26.315632280031064</v>
      </c>
      <c r="CA147" s="117">
        <f>SUM(CA143:CA146)</f>
        <v>46015</v>
      </c>
      <c r="CB147" s="98">
        <f t="shared" si="773"/>
        <v>41.029177393649618</v>
      </c>
      <c r="CC147" s="117">
        <f>SUM(CC143:CC146)</f>
        <v>45688</v>
      </c>
      <c r="CD147" s="98">
        <f t="shared" si="774"/>
        <v>-0.27502510149736148</v>
      </c>
      <c r="CE147" s="117">
        <f>SUM(CE143:CE146)</f>
        <v>48830</v>
      </c>
      <c r="CF147" s="98">
        <f t="shared" si="775"/>
        <v>14.286382998642511</v>
      </c>
      <c r="CG147" s="117">
        <f>SUM(CG143:CG146)</f>
        <v>49885</v>
      </c>
      <c r="CH147" s="98">
        <f t="shared" si="776"/>
        <v>17.950961151963686</v>
      </c>
      <c r="CI147" s="117">
        <f>SUM(CI143:CI146)</f>
        <v>56670</v>
      </c>
      <c r="CJ147" s="98">
        <f t="shared" si="777"/>
        <v>23.155492774095411</v>
      </c>
      <c r="CK147" s="117">
        <f>SUM(CK143:CK146)</f>
        <v>56571</v>
      </c>
      <c r="CL147" s="98">
        <f t="shared" si="778"/>
        <v>23.820259149010692</v>
      </c>
      <c r="CM147" s="117">
        <f>SUM(CM143:CM146)</f>
        <v>61061</v>
      </c>
      <c r="CN147" s="98">
        <f t="shared" si="779"/>
        <v>25.048126151955774</v>
      </c>
      <c r="CO147" s="117">
        <f>SUM(CO143:CO146)</f>
        <v>63252</v>
      </c>
      <c r="CP147" s="98">
        <f t="shared" si="780"/>
        <v>26.795629948882429</v>
      </c>
      <c r="CQ147" s="486">
        <f>SUM(CQ143:CQ146)</f>
        <v>65054</v>
      </c>
      <c r="CR147" s="98">
        <f t="shared" si="780"/>
        <v>14.794423857420158</v>
      </c>
      <c r="CS147" s="117">
        <f>SUM(CS143:CS146)</f>
        <v>64851</v>
      </c>
      <c r="CT147" s="98">
        <f t="shared" si="780"/>
        <v>14.636474518746345</v>
      </c>
      <c r="CU147" s="117">
        <f>SUM(CU143:CU146)</f>
        <v>68635</v>
      </c>
      <c r="CV147" s="98">
        <f t="shared" si="781"/>
        <v>12.403989453169784</v>
      </c>
      <c r="CW147" s="117">
        <f>SUM(CW143:CW146)</f>
        <v>69704</v>
      </c>
      <c r="CX147" s="98">
        <f t="shared" si="782"/>
        <v>10.200467969392268</v>
      </c>
      <c r="CY147" s="117">
        <f>SUM(CY143:CY146)</f>
        <v>76905</v>
      </c>
      <c r="CZ147" s="98">
        <f t="shared" si="783"/>
        <v>18.217173425154499</v>
      </c>
      <c r="DA147" s="117">
        <f>SUM(DA143:DA146)</f>
        <v>71875</v>
      </c>
      <c r="DB147" s="98">
        <f t="shared" si="784"/>
        <v>10.830981789024063</v>
      </c>
      <c r="DC147" s="117">
        <f>SUM(DC143:DC146)</f>
        <v>75735</v>
      </c>
      <c r="DD147" s="98">
        <f t="shared" si="785"/>
        <v>10.344576382312232</v>
      </c>
      <c r="DE147" s="117">
        <f>SUM(DE143:DE146)</f>
        <v>74845</v>
      </c>
      <c r="DF147" s="98">
        <f t="shared" si="786"/>
        <v>7.3754734305061298</v>
      </c>
      <c r="DG147" s="117">
        <f>SUM(DG143:DG146)</f>
        <v>76029</v>
      </c>
      <c r="DH147" s="98">
        <f t="shared" si="787"/>
        <v>-1.1390676809050149</v>
      </c>
      <c r="DI147" s="117">
        <f>SUM(DI143:DI146)</f>
        <v>77023</v>
      </c>
      <c r="DJ147" s="98">
        <f t="shared" si="788"/>
        <v>7.1624347826086954</v>
      </c>
      <c r="DK147" s="117">
        <f>SUM(DK143:DK146)</f>
        <v>79612</v>
      </c>
      <c r="DL147" s="98">
        <f t="shared" si="789"/>
        <v>5.1191655113223655</v>
      </c>
      <c r="DM147" s="117">
        <f>SUM(DM143:DM146)</f>
        <v>81721</v>
      </c>
      <c r="DN147" s="98">
        <f t="shared" si="790"/>
        <v>9.1869864386398667</v>
      </c>
      <c r="DO147" s="117">
        <f>SUM(DO143:DO146)</f>
        <v>81967</v>
      </c>
      <c r="DP147" s="98">
        <f t="shared" si="790"/>
        <v>7.8101776953530822</v>
      </c>
      <c r="DQ147" s="117">
        <f>SUM(DQ143:DQ146)</f>
        <v>81150</v>
      </c>
      <c r="DR147" s="98">
        <f t="shared" si="790"/>
        <v>5.3581397764304262</v>
      </c>
      <c r="DS147" s="117">
        <f>SUM(DS143:DS146)</f>
        <v>83786</v>
      </c>
      <c r="DT147" s="98">
        <f t="shared" si="790"/>
        <v>5.2429282017786294</v>
      </c>
      <c r="DU147" s="117">
        <f>SUM(DU143:DU146)</f>
        <v>82985</v>
      </c>
      <c r="DV147" s="98">
        <f t="shared" si="790"/>
        <v>1.5467260557261886</v>
      </c>
      <c r="DW147" s="117">
        <f>SUM(DW143:DW146)</f>
        <v>80455</v>
      </c>
      <c r="DX147" s="98">
        <f t="shared" si="790"/>
        <v>-1.8446447960764667</v>
      </c>
      <c r="DY147" s="117">
        <f>SUM(DY143:DY146)</f>
        <v>78902</v>
      </c>
      <c r="DZ147" s="98">
        <f t="shared" si="790"/>
        <v>-2.7701786814540941</v>
      </c>
      <c r="EA147" s="117">
        <f>SUM(EA143:EA146)</f>
        <v>81887</v>
      </c>
      <c r="EB147" s="98">
        <f t="shared" si="791"/>
        <v>-2.2664884348220449</v>
      </c>
      <c r="EC147" s="117">
        <f>SUM(EC143:EC146)</f>
        <v>85271</v>
      </c>
      <c r="ED147" s="98">
        <f t="shared" si="792"/>
        <v>2.7547147074772571</v>
      </c>
      <c r="EE147" s="117">
        <f>SUM(EE143:EE146)</f>
        <v>85929</v>
      </c>
      <c r="EF147" s="860">
        <f t="shared" si="793"/>
        <v>6.8038033683425425</v>
      </c>
      <c r="EG147" s="117">
        <f>SUM(EG143:EG146)</f>
        <v>85189</v>
      </c>
      <c r="EH147" s="860">
        <f t="shared" si="794"/>
        <v>7.9681123418924749</v>
      </c>
      <c r="EI147" s="117">
        <f>SUM(EI143:EI146)</f>
        <v>85983</v>
      </c>
      <c r="EJ147" s="860">
        <f t="shared" si="795"/>
        <v>5.0020149718514428</v>
      </c>
      <c r="EK147" s="117">
        <f>SUM(EK143:EK146)</f>
        <v>87049</v>
      </c>
      <c r="EL147" s="860">
        <f t="shared" si="796"/>
        <v>2.0851168627083139</v>
      </c>
      <c r="EM147" s="117">
        <f>SUM(EM143:EM146)</f>
        <v>82341</v>
      </c>
      <c r="EN147" s="860">
        <f t="shared" si="797"/>
        <v>-4.1755402716195933</v>
      </c>
      <c r="EO147" s="117">
        <f>SUM(EO143:EO146)</f>
        <v>80354</v>
      </c>
      <c r="EP147" s="98">
        <f t="shared" si="798"/>
        <v>-5.6756153963539946</v>
      </c>
      <c r="EQ147" s="1031">
        <f t="shared" ref="EQ147" si="835">SUM(EQ143:EQ146)</f>
        <v>77554.837305109249</v>
      </c>
      <c r="ER147" s="98">
        <f t="shared" si="800"/>
        <v>-9.8021268098237417</v>
      </c>
      <c r="ES147" s="1031">
        <f t="shared" ref="ES147" si="836">SUM(ES143:ES146)</f>
        <v>75333.727442331627</v>
      </c>
      <c r="ET147" s="98">
        <f t="shared" si="802"/>
        <v>-13.458250591814236</v>
      </c>
      <c r="EU147" s="1031">
        <f t="shared" ref="EU147" si="837">SUM(EU143:EU146)</f>
        <v>73269.845292436556</v>
      </c>
      <c r="EV147" s="98">
        <f t="shared" si="804"/>
        <v>-11.016570976261452</v>
      </c>
      <c r="EW147" s="1031">
        <f t="shared" ref="EW147" si="838">SUM(EW143:EW146)</f>
        <v>71358.10516938052</v>
      </c>
      <c r="EX147" s="98">
        <f t="shared" si="806"/>
        <v>-11.195329206535432</v>
      </c>
      <c r="EY147" s="117"/>
      <c r="EZ147" s="594"/>
      <c r="FA147" s="405"/>
      <c r="FB147" s="121">
        <v>30520</v>
      </c>
      <c r="FC147" s="98"/>
      <c r="FD147" s="117">
        <f t="shared" ref="FD147:FN147" si="839">SUM(FD143:FD146)</f>
        <v>29903</v>
      </c>
      <c r="FE147" s="98">
        <f t="shared" si="807"/>
        <v>-2.0216251638270011</v>
      </c>
      <c r="FF147" s="117">
        <f t="shared" si="839"/>
        <v>28162</v>
      </c>
      <c r="FG147" s="98">
        <f t="shared" si="808"/>
        <v>-5.8221583118750591</v>
      </c>
      <c r="FH147" s="117">
        <f t="shared" si="839"/>
        <v>24667</v>
      </c>
      <c r="FI147" s="98">
        <f t="shared" si="809"/>
        <v>-12.410340174703505</v>
      </c>
      <c r="FJ147" s="117">
        <f t="shared" si="839"/>
        <v>24775</v>
      </c>
      <c r="FK147" s="98">
        <f t="shared" si="810"/>
        <v>0.43783192119024594</v>
      </c>
      <c r="FL147" s="117">
        <f t="shared" si="839"/>
        <v>27081</v>
      </c>
      <c r="FM147" s="98">
        <f t="shared" si="811"/>
        <v>9.3077699293642837</v>
      </c>
      <c r="FN147" s="117">
        <f t="shared" si="839"/>
        <v>28347</v>
      </c>
      <c r="FO147" s="98">
        <f t="shared" si="812"/>
        <v>4.6748642960008802</v>
      </c>
      <c r="FP147" s="117">
        <f>SUM(FP143:FP146)</f>
        <v>34374</v>
      </c>
      <c r="FQ147" s="98">
        <f t="shared" si="813"/>
        <v>21.261509154407875</v>
      </c>
      <c r="FR147" s="100">
        <f>SUM(FR143:FR146)</f>
        <v>33521</v>
      </c>
      <c r="FS147" s="120">
        <f t="shared" si="814"/>
        <v>-2.481526735323214</v>
      </c>
      <c r="FT147" s="100">
        <f>SUM(FT143:FT146)</f>
        <v>34533</v>
      </c>
      <c r="FU147" s="120">
        <f t="shared" si="815"/>
        <v>3.0190030130366141</v>
      </c>
      <c r="FV147" s="100">
        <f>SUM(FV143:FV146)</f>
        <v>29701</v>
      </c>
      <c r="FW147" s="98">
        <f t="shared" si="816"/>
        <v>-13.992413054180064</v>
      </c>
      <c r="FX147" s="481">
        <f>SUM(FX143:FX146)</f>
        <v>29617</v>
      </c>
      <c r="FY147" s="98">
        <f t="shared" si="817"/>
        <v>-0.28281876031109876</v>
      </c>
      <c r="FZ147" s="100">
        <f>SUM(FZ143:FZ146)</f>
        <v>56620</v>
      </c>
      <c r="GA147" s="98">
        <f t="shared" si="818"/>
        <v>91.173987912347627</v>
      </c>
      <c r="GB147" s="481">
        <f>CS147</f>
        <v>64851</v>
      </c>
      <c r="GC147" s="98">
        <f t="shared" si="819"/>
        <v>14.537265983751336</v>
      </c>
      <c r="GD147" s="100">
        <f>SUM(GD143:GD146)</f>
        <v>71875</v>
      </c>
      <c r="GE147" s="98">
        <f t="shared" si="820"/>
        <v>10.830981789024063</v>
      </c>
      <c r="GF147" s="100">
        <f>SUM(GF143:GF146)</f>
        <v>77023</v>
      </c>
      <c r="GG147" s="98">
        <f t="shared" si="820"/>
        <v>7.1624347826086954</v>
      </c>
      <c r="GH147" s="100">
        <f>SUM(GH143:GH146)</f>
        <v>81150</v>
      </c>
      <c r="GI147" s="98">
        <f t="shared" si="820"/>
        <v>5.3581397764304262</v>
      </c>
      <c r="GJ147" s="100">
        <f>SUM(GJ143:GJ146)</f>
        <v>78902</v>
      </c>
      <c r="GK147" s="98">
        <f t="shared" si="820"/>
        <v>-2.7701786814540941</v>
      </c>
      <c r="GL147" s="100">
        <f>SUM(GL143:GL146)</f>
        <v>85189</v>
      </c>
      <c r="GM147" s="98">
        <f t="shared" si="820"/>
        <v>7.9681123418924749</v>
      </c>
      <c r="GN147" s="100">
        <f>SUM(GN143:GN146)</f>
        <v>80354</v>
      </c>
      <c r="GO147" s="98">
        <f t="shared" si="820"/>
        <v>-5.6756153963539946</v>
      </c>
      <c r="GP147" s="100">
        <f>SUM(GP143:GP146)</f>
        <v>71358.105169380477</v>
      </c>
      <c r="GQ147" s="98">
        <f t="shared" si="820"/>
        <v>-11.195329206535487</v>
      </c>
      <c r="GR147" s="117">
        <f>SUM(GR143:GR146)</f>
        <v>63839.9520994091</v>
      </c>
      <c r="GS147" s="98">
        <f t="shared" si="820"/>
        <v>-10.535808163803917</v>
      </c>
      <c r="GT147" s="117">
        <f>SUM(GT143:GT146)</f>
        <v>58090.026096496782</v>
      </c>
      <c r="GU147" s="98">
        <f t="shared" si="820"/>
        <v>-9.0067830783437266</v>
      </c>
      <c r="GV147" s="117">
        <f>SUM(GV143:GV146)</f>
        <v>53797.004246379693</v>
      </c>
      <c r="GW147" s="98">
        <f t="shared" si="820"/>
        <v>-7.3902907927527846</v>
      </c>
      <c r="GX147" s="117">
        <f>SUM(GX143:GX146)</f>
        <v>50709.393380185051</v>
      </c>
      <c r="GY147" s="98">
        <f t="shared" si="821"/>
        <v>-5.7393732410340075</v>
      </c>
      <c r="GZ147" s="98">
        <f t="shared" si="822"/>
        <v>-8.7955176178108658</v>
      </c>
      <c r="HA147" s="98"/>
      <c r="HB147" s="10"/>
      <c r="HC147"/>
      <c r="HD147"/>
      <c r="HE147"/>
      <c r="HF147"/>
      <c r="HG147"/>
      <c r="HH147"/>
      <c r="HI147" s="10"/>
    </row>
    <row r="148" spans="1:217" s="2" customFormat="1" ht="12.75" customHeight="1" x14ac:dyDescent="0.2">
      <c r="B148" s="91" t="s">
        <v>200</v>
      </c>
      <c r="C148" s="155">
        <f>AVERAGE(C147,FD147)</f>
        <v>30481</v>
      </c>
      <c r="D148" s="156"/>
      <c r="E148" s="155">
        <f>AVERAGE(E147,C147)</f>
        <v>30264</v>
      </c>
      <c r="F148" s="156"/>
      <c r="G148" s="155">
        <f>AVERAGE(G147,E147)</f>
        <v>29641</v>
      </c>
      <c r="H148" s="156"/>
      <c r="I148" s="155">
        <f>AVERAGE(I147,G147)</f>
        <v>28987.5</v>
      </c>
      <c r="J148" s="156"/>
      <c r="K148" s="155">
        <f>AVERAGE(K147,I147)</f>
        <v>27067</v>
      </c>
      <c r="L148" s="156">
        <f t="shared" si="739"/>
        <v>-11.200419933729211</v>
      </c>
      <c r="M148" s="155">
        <f>AVERAGE(M147,K147)</f>
        <v>26001.5</v>
      </c>
      <c r="N148" s="156">
        <f t="shared" si="740"/>
        <v>-14.084390695215443</v>
      </c>
      <c r="O148" s="155">
        <f>AVERAGE(O147,M147)</f>
        <v>25592.5</v>
      </c>
      <c r="P148" s="156">
        <f t="shared" si="741"/>
        <v>-13.65844607132013</v>
      </c>
      <c r="Q148" s="155">
        <f>AVERAGE(Q147,O147)</f>
        <v>24910.5</v>
      </c>
      <c r="R148" s="156">
        <f t="shared" si="742"/>
        <v>-14.064683053040106</v>
      </c>
      <c r="S148" s="155">
        <f>AVERAGE(S147,Q147)</f>
        <v>24235.5</v>
      </c>
      <c r="T148" s="156">
        <f t="shared" si="743"/>
        <v>-10.461078065541063</v>
      </c>
      <c r="U148" s="155">
        <f>AVERAGE(U147,S147)</f>
        <v>23427</v>
      </c>
      <c r="V148" s="156">
        <f t="shared" si="744"/>
        <v>-9.9013518450858591</v>
      </c>
      <c r="W148" s="155">
        <f>AVERAGE(W147,U147)</f>
        <v>23321.5</v>
      </c>
      <c r="X148" s="156">
        <f t="shared" si="745"/>
        <v>-8.8736934648822938</v>
      </c>
      <c r="Y148" s="155">
        <f>AVERAGE(Y147,W147)</f>
        <v>24184</v>
      </c>
      <c r="Z148" s="156">
        <f t="shared" si="746"/>
        <v>-2.9164408582726176</v>
      </c>
      <c r="AA148" s="155">
        <f>AVERAGE(AA147,Y147)</f>
        <v>24940</v>
      </c>
      <c r="AB148" s="156">
        <f t="shared" si="747"/>
        <v>2.9068927812506473</v>
      </c>
      <c r="AC148" s="155">
        <f>AVERAGE(AC147,AA147)</f>
        <v>25815.5</v>
      </c>
      <c r="AD148" s="156">
        <f t="shared" si="748"/>
        <v>10.195500917744482</v>
      </c>
      <c r="AE148" s="155">
        <f>AVERAGE(AE147,AC147)</f>
        <v>26548</v>
      </c>
      <c r="AF148" s="156">
        <f t="shared" si="749"/>
        <v>13.83487340008147</v>
      </c>
      <c r="AG148" s="155">
        <f>AVERAGE(AG147,AE147)</f>
        <v>26825.5</v>
      </c>
      <c r="AH148" s="156">
        <f t="shared" si="750"/>
        <v>10.922510750909687</v>
      </c>
      <c r="AI148" s="155">
        <f>AVERAGE(AI147,AG147)</f>
        <v>27228.5</v>
      </c>
      <c r="AJ148" s="156">
        <f t="shared" si="751"/>
        <v>9.1760224538893311</v>
      </c>
      <c r="AK148" s="155">
        <f>AVERAGE(AK147,AI147)</f>
        <v>27169</v>
      </c>
      <c r="AL148" s="156">
        <f t="shared" si="752"/>
        <v>5.2429741821773845</v>
      </c>
      <c r="AM148" s="155">
        <f>AVERAGE(AM147,AK147)</f>
        <v>29067.5</v>
      </c>
      <c r="AN148" s="156">
        <f t="shared" si="753"/>
        <v>9.4903570890462632</v>
      </c>
      <c r="AO148" s="155">
        <f>AVERAGE(AO147,AM147)</f>
        <v>31614</v>
      </c>
      <c r="AP148" s="156">
        <f t="shared" si="754"/>
        <v>17.85055264580344</v>
      </c>
      <c r="AQ148" s="155">
        <f>AVERAGE(AQ147,AO147)</f>
        <v>31354.5</v>
      </c>
      <c r="AR148" s="156">
        <f t="shared" si="755"/>
        <v>15.153240171144212</v>
      </c>
      <c r="AS148" s="155">
        <f>AVERAGE(AS147,AQ147)</f>
        <v>31379.5</v>
      </c>
      <c r="AT148" s="156">
        <f t="shared" si="756"/>
        <v>15.497441937502309</v>
      </c>
      <c r="AU148" s="155">
        <f>AU146+AU143+0.5*(SUM(AU144:AU145))</f>
        <v>33685</v>
      </c>
      <c r="AV148" s="156">
        <f t="shared" si="757"/>
        <v>15.88543906424702</v>
      </c>
      <c r="AW148" s="155">
        <f>AW146+AW143+0.5*(SUM(AW144:AW145))</f>
        <v>33508.5</v>
      </c>
      <c r="AX148" s="156">
        <f t="shared" si="758"/>
        <v>5.9925982159802604</v>
      </c>
      <c r="AY148" s="155">
        <f>AY146+AY143+0.5*(SUM(AY144:AY145))</f>
        <v>32705.5</v>
      </c>
      <c r="AZ148" s="156">
        <f t="shared" si="759"/>
        <v>4.3087914015532025</v>
      </c>
      <c r="BA148" s="155">
        <f>BA146+BA143+0.5*(SUM(BA144:BA145))</f>
        <v>32954</v>
      </c>
      <c r="BB148" s="156">
        <f t="shared" si="760"/>
        <v>5.0176070364409853</v>
      </c>
      <c r="BC148" s="155">
        <f>BC146+BC143+0.5*(SUM(BC144:BC145))</f>
        <v>31884</v>
      </c>
      <c r="BD148" s="156">
        <f t="shared" si="761"/>
        <v>-5.3465934392162628</v>
      </c>
      <c r="BE148" s="155">
        <f>BE146+BE143+0.5*(SUM(BE144:BE145))</f>
        <v>32640.5</v>
      </c>
      <c r="BF148" s="156">
        <f t="shared" si="762"/>
        <v>-2.5903875136159438</v>
      </c>
      <c r="BG148" s="155">
        <f>BG146+BG143+0.5*(SUM(BG144:BG145))</f>
        <v>32976</v>
      </c>
      <c r="BH148" s="156">
        <f t="shared" si="763"/>
        <v>0.82707801440125017</v>
      </c>
      <c r="BI148" s="155">
        <f>BI146+BI143+0.5*(SUM(BI144:BI145))</f>
        <v>33831.5</v>
      </c>
      <c r="BJ148" s="156">
        <f t="shared" si="764"/>
        <v>2.6628026946653005</v>
      </c>
      <c r="BK148" s="155">
        <f>BK146+BK143+0.5*(SUM(BK144:BK145))</f>
        <v>34680.5</v>
      </c>
      <c r="BL148" s="156">
        <f t="shared" si="765"/>
        <v>8.7708568561033715</v>
      </c>
      <c r="BM148" s="155">
        <f>BM146+BM143+0.5*(SUM(BM144:BM145))</f>
        <v>34249</v>
      </c>
      <c r="BN148" s="98">
        <f t="shared" si="766"/>
        <v>4.9279269619031618</v>
      </c>
      <c r="BO148" s="117">
        <f>BO146+BO143+0.5*(SUM(BO144:BO145))</f>
        <v>33706</v>
      </c>
      <c r="BP148" s="98">
        <f t="shared" si="767"/>
        <v>2.2137311984473662</v>
      </c>
      <c r="BQ148" s="117">
        <f>BQ146+BQ143+0.5*(SUM(BQ144:BQ145))</f>
        <v>33251.5</v>
      </c>
      <c r="BR148" s="98">
        <f t="shared" si="768"/>
        <v>-1.7143786116489035</v>
      </c>
      <c r="BS148" s="117">
        <f>BS146+BS143+0.5*(SUM(BS144:BS145))</f>
        <v>32624</v>
      </c>
      <c r="BT148" s="98">
        <f t="shared" si="769"/>
        <v>-5.9298453021150221</v>
      </c>
      <c r="BU148" s="117">
        <f>BU146+BU143+0.5*(SUM(BU144:BU145))</f>
        <v>45579</v>
      </c>
      <c r="BV148" s="98">
        <f t="shared" si="770"/>
        <v>33.081257846944446</v>
      </c>
      <c r="BW148" s="117">
        <f>BW146+BW143+0.5*(SUM(BW144:BW145))</f>
        <v>42391</v>
      </c>
      <c r="BX148" s="98">
        <f t="shared" si="771"/>
        <v>25.766925769892591</v>
      </c>
      <c r="BY148" s="117">
        <f>BY146+BY143+0.5*(SUM(BY144:BY145))</f>
        <v>41182.5</v>
      </c>
      <c r="BZ148" s="98">
        <f t="shared" si="772"/>
        <v>23.851555568921711</v>
      </c>
      <c r="CA148" s="117">
        <f>CA146+CA143+0.5*(SUM(CA144:CA145))</f>
        <v>43698</v>
      </c>
      <c r="CB148" s="98">
        <f t="shared" si="773"/>
        <v>33.944335458558108</v>
      </c>
      <c r="CC148" s="117">
        <f>CC146+CC143+0.5*(SUM(CC144:CC145))</f>
        <v>44623</v>
      </c>
      <c r="CD148" s="98">
        <f t="shared" si="774"/>
        <v>-2.097457162289651</v>
      </c>
      <c r="CE148" s="117">
        <f>CE146+CE143+0.5*(SUM(CE144:CE145))</f>
        <v>47276.5</v>
      </c>
      <c r="CF148" s="98">
        <f t="shared" si="775"/>
        <v>11.524851973296224</v>
      </c>
      <c r="CG148" s="117">
        <f>CG146+CG143+0.5*(SUM(CG144:CG145))</f>
        <v>49012.5</v>
      </c>
      <c r="CH148" s="98">
        <f t="shared" si="776"/>
        <v>19.012930249499171</v>
      </c>
      <c r="CI148" s="117">
        <f>CI146+CI143+0.5*(SUM(CI144:CI145))</f>
        <v>53221.5</v>
      </c>
      <c r="CJ148" s="98">
        <f t="shared" si="777"/>
        <v>21.793903611149258</v>
      </c>
      <c r="CK148" s="117">
        <f>CK146+CK143+0.5*(SUM(CK144:CK145))</f>
        <v>55563</v>
      </c>
      <c r="CL148" s="98">
        <f t="shared" si="778"/>
        <v>24.516504941397944</v>
      </c>
      <c r="CM148" s="117">
        <f>CM146+CM143+0.5*(SUM(CM144:CM145))</f>
        <v>58590</v>
      </c>
      <c r="CN148" s="98">
        <f t="shared" si="779"/>
        <v>23.930494008651237</v>
      </c>
      <c r="CO148" s="117">
        <f>CO146+CO143+0.5*(SUM(CO144:CO145))</f>
        <v>61319.5</v>
      </c>
      <c r="CP148" s="98">
        <f t="shared" si="780"/>
        <v>25.109920938536078</v>
      </c>
      <c r="CQ148" s="486">
        <f>CQ146+CQ143+0.5*(SUM(CQ144:CQ145))</f>
        <v>63122.5</v>
      </c>
      <c r="CR148" s="98">
        <f t="shared" si="780"/>
        <v>18.603383970763687</v>
      </c>
      <c r="CS148" s="117">
        <f>CS146+CS143+0.5*(SUM(CS144:CS145))</f>
        <v>63182</v>
      </c>
      <c r="CT148" s="98">
        <f t="shared" si="780"/>
        <v>13.712362543419188</v>
      </c>
      <c r="CU148" s="117">
        <f>CU146+CU143+0.5*(SUM(CU144:CU145))</f>
        <v>66886</v>
      </c>
      <c r="CV148" s="98">
        <f t="shared" si="781"/>
        <v>14.159412869090282</v>
      </c>
      <c r="CW148" s="117">
        <f>CW146+CW143+0.5*(SUM(CW144:CW145))</f>
        <v>68392.5</v>
      </c>
      <c r="CX148" s="98">
        <f t="shared" si="782"/>
        <v>11.534666786258851</v>
      </c>
      <c r="CY148" s="117">
        <f>CY146+CY143+0.5*(SUM(CY144:CY145))</f>
        <v>74925</v>
      </c>
      <c r="CZ148" s="98">
        <f t="shared" si="783"/>
        <v>18.697770208721142</v>
      </c>
      <c r="DA148" s="117">
        <f>DA146+DA143+0.5*(SUM(DA144:DA145))</f>
        <v>70559</v>
      </c>
      <c r="DB148" s="98">
        <f t="shared" si="784"/>
        <v>11.675793738723051</v>
      </c>
      <c r="DC148" s="117">
        <f>DC146+DC143+0.5*(SUM(DC144:DC145))</f>
        <v>74452.5</v>
      </c>
      <c r="DD148" s="98">
        <f t="shared" si="785"/>
        <v>11.312531770475132</v>
      </c>
      <c r="DE148" s="117">
        <f>DE146+DE143+0.5*(SUM(DE144:DE145))</f>
        <v>74497</v>
      </c>
      <c r="DF148" s="98">
        <f t="shared" si="786"/>
        <v>8.9256862960119818</v>
      </c>
      <c r="DG148" s="117">
        <f>DG146+DG143+0.5*(SUM(DG144:DG145))</f>
        <v>74320.5</v>
      </c>
      <c r="DH148" s="98">
        <f t="shared" si="787"/>
        <v>-0.8068068068068035</v>
      </c>
      <c r="DI148" s="117">
        <f>DI146+DI143+0.5*(SUM(DI144:DI145))</f>
        <v>75672</v>
      </c>
      <c r="DJ148" s="98">
        <f t="shared" si="788"/>
        <v>7.2464178914100286</v>
      </c>
      <c r="DK148" s="117">
        <f>DK146+DK143+0.5*(SUM(DK144:DK145))</f>
        <v>77792.5</v>
      </c>
      <c r="DL148" s="98">
        <f t="shared" si="789"/>
        <v>4.4860817299620548</v>
      </c>
      <c r="DM148" s="117">
        <f>DM146+DM143+0.5*(SUM(DM144:DM145))</f>
        <v>78892</v>
      </c>
      <c r="DN148" s="98">
        <f t="shared" si="790"/>
        <v>5.899566425493652</v>
      </c>
      <c r="DO148" s="117">
        <f>DO146+DO143+0.5*(SUM(DO144:DO145))</f>
        <v>81434</v>
      </c>
      <c r="DP148" s="98">
        <f t="shared" si="790"/>
        <v>9.5713834002731488</v>
      </c>
      <c r="DQ148" s="117">
        <f>DQ146+DQ143+0.5*(SUM(DQ144:DQ145))</f>
        <v>80305.5</v>
      </c>
      <c r="DR148" s="98">
        <f t="shared" si="790"/>
        <v>6.1231366952109179</v>
      </c>
      <c r="DS148" s="117">
        <f>DS146+DS143+0.5*(SUM(DS144:DS145))</f>
        <v>82285</v>
      </c>
      <c r="DT148" s="98">
        <f t="shared" si="790"/>
        <v>5.7749783076774808</v>
      </c>
      <c r="DU148" s="117">
        <f>DU146+DU143+0.5*(SUM(DU144:DU145))</f>
        <v>82965</v>
      </c>
      <c r="DV148" s="98">
        <f t="shared" si="790"/>
        <v>5.1627541449069669</v>
      </c>
      <c r="DW148" s="117">
        <f>DW146+DW143+0.5*(SUM(DW144:DW145))</f>
        <v>79822</v>
      </c>
      <c r="DX148" s="98">
        <f t="shared" si="790"/>
        <v>-1.9795171549966795</v>
      </c>
      <c r="DY148" s="117">
        <f>DY146+DY143+0.5*(SUM(DY144:DY145))</f>
        <v>78069</v>
      </c>
      <c r="DZ148" s="98">
        <f t="shared" si="790"/>
        <v>-2.784989820124395</v>
      </c>
      <c r="EA148" s="118">
        <f>(EA143*0.95)+0.5*(EA144+EA146)</f>
        <v>75452.399999999994</v>
      </c>
      <c r="EB148" s="98">
        <f t="shared" si="791"/>
        <v>-8.3035790241234757</v>
      </c>
      <c r="EC148" s="118">
        <f>(EC143*0.95)+0.5*(EC144+EC146)</f>
        <v>78628.649999999994</v>
      </c>
      <c r="ED148" s="98">
        <f t="shared" si="792"/>
        <v>-5.2267221117338725</v>
      </c>
      <c r="EE148" s="118">
        <f>(EE143*0.95)+0.5*(EE144+EE146)</f>
        <v>80923.95</v>
      </c>
      <c r="EF148" s="860">
        <f t="shared" si="793"/>
        <v>1.3805091328205288</v>
      </c>
      <c r="EG148" s="118">
        <f>(EG143*0.95)+0.5*(EG144+EG146)</f>
        <v>82128.05</v>
      </c>
      <c r="EH148" s="860">
        <f t="shared" si="794"/>
        <v>5.1993108660287835</v>
      </c>
      <c r="EI148" s="118">
        <f>(EI143*0.95)+0.5*(EI144+EI146)</f>
        <v>80784.55</v>
      </c>
      <c r="EJ148" s="860">
        <f t="shared" si="795"/>
        <v>7.0669057578022887</v>
      </c>
      <c r="EK148" s="118">
        <f>(EK143*0.95)+0.5*(EK144+EK146)</f>
        <v>81539.849999999991</v>
      </c>
      <c r="EL148" s="860">
        <f t="shared" si="796"/>
        <v>3.7024672304560635</v>
      </c>
      <c r="EM148" s="118">
        <f>(EM143*0.95)+0.5*(EM144+EM146)</f>
        <v>79841.05</v>
      </c>
      <c r="EN148" s="860">
        <f t="shared" si="797"/>
        <v>-1.3381699731661589</v>
      </c>
      <c r="EO148" s="118">
        <f>(EO143*0.95)+0.5*(EO144+EO146)</f>
        <v>76824.45</v>
      </c>
      <c r="EP148" s="98">
        <f t="shared" si="798"/>
        <v>-6.4577205960691941</v>
      </c>
      <c r="EQ148" s="118">
        <f>(EQ143*0.95)+0.5*(EQ144+EQ146)</f>
        <v>75011.006653064702</v>
      </c>
      <c r="ER148" s="98">
        <f t="shared" si="800"/>
        <v>-7.1468410072659916</v>
      </c>
      <c r="ES148" s="118">
        <f t="shared" ref="ES148" si="840">(ES143*0.95)+0.5*(ES144+ES146)</f>
        <v>72447.040259705725</v>
      </c>
      <c r="ET148" s="98">
        <f t="shared" si="802"/>
        <v>-11.151369226573593</v>
      </c>
      <c r="EU148" s="118">
        <f t="shared" ref="EU148" si="841">(EU143*0.95)+0.5*(EU144+EU146)</f>
        <v>70419.022140137662</v>
      </c>
      <c r="EV148" s="98">
        <f t="shared" si="804"/>
        <v>-11.800981900741958</v>
      </c>
      <c r="EW148" s="118">
        <f t="shared" ref="EW148" si="842">(EW143*0.95)+0.5*(EW144+EW146)</f>
        <v>68537.585240712826</v>
      </c>
      <c r="EX148" s="98">
        <f t="shared" si="806"/>
        <v>-10.786754424258383</v>
      </c>
      <c r="EY148" s="118"/>
      <c r="EZ148" s="594"/>
      <c r="FA148" s="405"/>
      <c r="FB148" s="118">
        <f>AVERAGE(FB147)</f>
        <v>30520</v>
      </c>
      <c r="FC148" s="98"/>
      <c r="FD148" s="117">
        <f>AVERAGE(FD147,FB147)</f>
        <v>30211.5</v>
      </c>
      <c r="FE148" s="98">
        <f t="shared" si="807"/>
        <v>-1.0108125819135005</v>
      </c>
      <c r="FF148" s="118">
        <f>AVERAGE(FF147,FD147)</f>
        <v>29032.5</v>
      </c>
      <c r="FG148" s="98">
        <f t="shared" si="808"/>
        <v>-3.902487463383153</v>
      </c>
      <c r="FH148" s="118">
        <f>AVERAGE(FH147,FF147)</f>
        <v>26414.5</v>
      </c>
      <c r="FI148" s="98">
        <f t="shared" si="809"/>
        <v>-9.0174804098854704</v>
      </c>
      <c r="FJ148" s="118">
        <f>AVERAGE(FJ147,FH147)</f>
        <v>24721</v>
      </c>
      <c r="FK148" s="98">
        <f t="shared" si="810"/>
        <v>-6.4112513960135509</v>
      </c>
      <c r="FL148" s="118">
        <f>AVERAGE(FL147,FJ147)</f>
        <v>25928</v>
      </c>
      <c r="FM148" s="98">
        <f t="shared" si="811"/>
        <v>4.8824885724687572</v>
      </c>
      <c r="FN148" s="118">
        <f>AVERAGE(FN147,FL147)</f>
        <v>27714</v>
      </c>
      <c r="FO148" s="98">
        <f t="shared" si="812"/>
        <v>6.8883060783708761</v>
      </c>
      <c r="FP148" s="118">
        <f>AVERAGE(FP147,FN147)</f>
        <v>31360.5</v>
      </c>
      <c r="FQ148" s="98">
        <f t="shared" si="813"/>
        <v>13.157609872266729</v>
      </c>
      <c r="FR148" s="119">
        <f>AVERAGE(FR147,FP147)</f>
        <v>33947.5</v>
      </c>
      <c r="FS148" s="120">
        <f t="shared" si="814"/>
        <v>8.2492307201734718</v>
      </c>
      <c r="FT148" s="119">
        <f>AVERAGE(FT147,FR147)</f>
        <v>34027</v>
      </c>
      <c r="FU148" s="120">
        <f t="shared" si="815"/>
        <v>0.23418513881729996</v>
      </c>
      <c r="FV148" s="119">
        <f>AVERAGE(FV147,FT147)</f>
        <v>32117</v>
      </c>
      <c r="FW148" s="98">
        <f t="shared" si="816"/>
        <v>-5.6131895259646791</v>
      </c>
      <c r="FX148" s="485">
        <f>AVERAGE(FX147,FV147)</f>
        <v>29659</v>
      </c>
      <c r="FY148" s="98">
        <f t="shared" si="817"/>
        <v>-7.6532677398262638</v>
      </c>
      <c r="FZ148" s="119">
        <f>AVERAGE(FZ147,FX147)</f>
        <v>43118.5</v>
      </c>
      <c r="GA148" s="98">
        <f t="shared" si="818"/>
        <v>45.380828753498093</v>
      </c>
      <c r="GB148" s="485">
        <f>AVERAGE(GB147,FZ147)</f>
        <v>60735.5</v>
      </c>
      <c r="GC148" s="98">
        <f t="shared" si="819"/>
        <v>40.857172675301776</v>
      </c>
      <c r="GD148" s="119">
        <f>AVERAGE(GD147,GB147)</f>
        <v>68363</v>
      </c>
      <c r="GE148" s="98">
        <f t="shared" si="820"/>
        <v>12.558553070280155</v>
      </c>
      <c r="GF148" s="119">
        <f>AVERAGE(GF147,GD147)</f>
        <v>74449</v>
      </c>
      <c r="GG148" s="98">
        <f t="shared" si="820"/>
        <v>8.9024764858183438</v>
      </c>
      <c r="GH148" s="119">
        <f>AVERAGE(GH147,GF147)</f>
        <v>79086.5</v>
      </c>
      <c r="GI148" s="98">
        <f t="shared" si="820"/>
        <v>6.2290964284275052</v>
      </c>
      <c r="GJ148" s="118">
        <f>(GJ143*0.95)+0.5*(GJ144+GJ146)</f>
        <v>74785.349999999991</v>
      </c>
      <c r="GK148" s="98">
        <f t="shared" si="820"/>
        <v>-5.4385388150948728</v>
      </c>
      <c r="GL148" s="118">
        <f>(GL143*0.95)+0.5*(GL144+GL146)</f>
        <v>76700.399999999994</v>
      </c>
      <c r="GM148" s="98">
        <f t="shared" si="820"/>
        <v>2.5607288058423272</v>
      </c>
      <c r="GN148" s="118">
        <f>AVERAGE(GN147,GL147)</f>
        <v>82771.5</v>
      </c>
      <c r="GO148" s="98">
        <f t="shared" si="820"/>
        <v>7.9153433358887471</v>
      </c>
      <c r="GP148" s="118">
        <f>AVERAGE(GP147,GN147)</f>
        <v>75856.052584690246</v>
      </c>
      <c r="GQ148" s="98">
        <f t="shared" si="820"/>
        <v>-8.3548654009045986</v>
      </c>
      <c r="GR148" s="118">
        <f>AVERAGE(GR147,GP147)</f>
        <v>67599.028634394781</v>
      </c>
      <c r="GS148" s="98">
        <f t="shared" si="820"/>
        <v>-10.885122108188838</v>
      </c>
      <c r="GT148" s="118">
        <f>AVERAGE(GT147,GR147)</f>
        <v>60964.989097952945</v>
      </c>
      <c r="GU148" s="98">
        <f t="shared" si="820"/>
        <v>-9.8138089710158916</v>
      </c>
      <c r="GV148" s="118">
        <f>AVERAGE(GV147,GT147)</f>
        <v>55943.515171438237</v>
      </c>
      <c r="GW148" s="98">
        <f t="shared" si="820"/>
        <v>-8.2366518895733201</v>
      </c>
      <c r="GX148" s="118">
        <f>AVERAGE(GX147,GV147)</f>
        <v>52253.198813282375</v>
      </c>
      <c r="GY148" s="98">
        <f t="shared" si="821"/>
        <v>-6.5965042540622072</v>
      </c>
      <c r="GZ148" s="98">
        <f t="shared" si="822"/>
        <v>-8.7891692552324212</v>
      </c>
      <c r="HA148" s="98"/>
      <c r="HB148" s="10"/>
      <c r="HC148"/>
      <c r="HD148"/>
      <c r="HE148"/>
      <c r="HF148"/>
      <c r="HG148"/>
      <c r="HH148"/>
      <c r="HI148" s="10"/>
    </row>
    <row r="149" spans="1:217" s="2" customFormat="1" ht="12.75" customHeight="1" x14ac:dyDescent="0.2">
      <c r="B149" s="91"/>
      <c r="C149" s="153"/>
      <c r="D149" s="154"/>
      <c r="E149" s="153"/>
      <c r="F149" s="154"/>
      <c r="G149" s="153"/>
      <c r="H149" s="154"/>
      <c r="I149" s="153"/>
      <c r="J149" s="156"/>
      <c r="K149" s="153"/>
      <c r="L149" s="156"/>
      <c r="M149" s="153"/>
      <c r="N149" s="156"/>
      <c r="O149" s="153"/>
      <c r="P149" s="156"/>
      <c r="Q149" s="153"/>
      <c r="R149" s="156"/>
      <c r="S149" s="153"/>
      <c r="T149" s="156"/>
      <c r="U149" s="153"/>
      <c r="V149" s="156"/>
      <c r="W149" s="153"/>
      <c r="X149" s="156"/>
      <c r="Y149" s="153"/>
      <c r="Z149" s="156"/>
      <c r="AA149" s="153"/>
      <c r="AB149" s="156"/>
      <c r="AC149" s="153"/>
      <c r="AD149" s="156"/>
      <c r="AE149" s="153"/>
      <c r="AF149" s="156"/>
      <c r="AG149" s="153"/>
      <c r="AH149" s="156"/>
      <c r="AI149" s="153"/>
      <c r="AJ149" s="156"/>
      <c r="AK149" s="153"/>
      <c r="AL149" s="156"/>
      <c r="AM149" s="153"/>
      <c r="AN149" s="156"/>
      <c r="AO149" s="153"/>
      <c r="AP149" s="156"/>
      <c r="AQ149" s="153"/>
      <c r="AR149" s="156"/>
      <c r="AS149" s="153"/>
      <c r="AT149" s="156"/>
      <c r="AU149" s="153"/>
      <c r="AV149" s="156"/>
      <c r="AW149" s="153"/>
      <c r="AX149" s="156"/>
      <c r="AY149" s="153"/>
      <c r="AZ149" s="156"/>
      <c r="BA149" s="153"/>
      <c r="BB149" s="156"/>
      <c r="BC149" s="153"/>
      <c r="BD149" s="156"/>
      <c r="BE149" s="153"/>
      <c r="BF149" s="156"/>
      <c r="BG149" s="153"/>
      <c r="BH149" s="156"/>
      <c r="BI149" s="153"/>
      <c r="BJ149" s="156"/>
      <c r="BK149" s="153"/>
      <c r="BL149" s="156"/>
      <c r="BM149" s="153"/>
      <c r="BN149" s="98"/>
      <c r="BO149" s="112"/>
      <c r="BP149" s="98"/>
      <c r="BQ149" s="112"/>
      <c r="BR149" s="98"/>
      <c r="BS149" s="112"/>
      <c r="BT149" s="98"/>
      <c r="BU149" s="112"/>
      <c r="BV149" s="98"/>
      <c r="BW149" s="112"/>
      <c r="BX149" s="98"/>
      <c r="BY149" s="112"/>
      <c r="BZ149" s="98"/>
      <c r="CA149" s="112"/>
      <c r="CB149" s="98"/>
      <c r="CC149" s="112"/>
      <c r="CD149" s="98"/>
      <c r="CE149" s="112"/>
      <c r="CF149" s="98"/>
      <c r="CG149" s="112"/>
      <c r="CH149" s="98"/>
      <c r="CI149" s="112"/>
      <c r="CJ149" s="98"/>
      <c r="CK149" s="112"/>
      <c r="CL149" s="98"/>
      <c r="CM149" s="112"/>
      <c r="CN149" s="98"/>
      <c r="CO149" s="112"/>
      <c r="CP149" s="98"/>
      <c r="CQ149" s="543"/>
      <c r="CR149" s="98"/>
      <c r="CS149" s="112"/>
      <c r="CT149" s="98"/>
      <c r="CU149" s="112"/>
      <c r="CV149" s="98"/>
      <c r="CW149" s="112"/>
      <c r="CX149" s="98"/>
      <c r="CY149" s="112"/>
      <c r="CZ149" s="98"/>
      <c r="DA149" s="112"/>
      <c r="DB149" s="98"/>
      <c r="DC149" s="112"/>
      <c r="DD149" s="98"/>
      <c r="DE149" s="112"/>
      <c r="DF149" s="98"/>
      <c r="DG149" s="112"/>
      <c r="DH149" s="98"/>
      <c r="DI149" s="112"/>
      <c r="DJ149" s="98"/>
      <c r="DK149" s="112"/>
      <c r="DL149" s="98"/>
      <c r="DM149" s="112"/>
      <c r="DN149" s="98"/>
      <c r="DO149" s="112"/>
      <c r="DP149" s="98"/>
      <c r="DQ149" s="112"/>
      <c r="DR149" s="98"/>
      <c r="DS149" s="112"/>
      <c r="DT149" s="98"/>
      <c r="DU149" s="112"/>
      <c r="DV149" s="98"/>
      <c r="DW149" s="112"/>
      <c r="DX149" s="98"/>
      <c r="DY149" s="112"/>
      <c r="DZ149" s="98"/>
      <c r="EA149" s="112"/>
      <c r="EB149" s="98"/>
      <c r="EC149" s="112"/>
      <c r="ED149" s="98"/>
      <c r="EE149" s="112"/>
      <c r="EF149" s="860"/>
      <c r="EG149" s="112"/>
      <c r="EH149" s="860"/>
      <c r="EI149" s="112"/>
      <c r="EJ149" s="860"/>
      <c r="EK149" s="112"/>
      <c r="EL149" s="860"/>
      <c r="EM149" s="112"/>
      <c r="EN149" s="860"/>
      <c r="EO149" s="112"/>
      <c r="EP149" s="98"/>
      <c r="EQ149" s="1022"/>
      <c r="ER149" s="98"/>
      <c r="ES149" s="1022"/>
      <c r="ET149" s="98"/>
      <c r="EU149" s="1022"/>
      <c r="EV149" s="98"/>
      <c r="EW149" s="1022"/>
      <c r="EX149" s="98"/>
      <c r="EY149" s="114"/>
      <c r="EZ149" s="594"/>
      <c r="FA149" s="405"/>
      <c r="FB149" s="114"/>
      <c r="FC149" s="113"/>
      <c r="FD149" s="112"/>
      <c r="FE149" s="113"/>
      <c r="FF149" s="114"/>
      <c r="FG149" s="113"/>
      <c r="FH149" s="114"/>
      <c r="FI149" s="113"/>
      <c r="FJ149" s="114"/>
      <c r="FK149" s="113"/>
      <c r="FL149" s="114"/>
      <c r="FM149" s="113"/>
      <c r="FN149" s="114"/>
      <c r="FO149" s="113"/>
      <c r="FP149" s="114"/>
      <c r="FQ149" s="113"/>
      <c r="FR149" s="115"/>
      <c r="FS149" s="116"/>
      <c r="FT149" s="115"/>
      <c r="FU149" s="116"/>
      <c r="FV149" s="115"/>
      <c r="FW149" s="98"/>
      <c r="FX149" s="484"/>
      <c r="FY149" s="98"/>
      <c r="FZ149" s="115"/>
      <c r="GA149" s="98"/>
      <c r="GB149" s="484"/>
      <c r="GC149" s="98"/>
      <c r="GD149" s="115"/>
      <c r="GE149" s="98"/>
      <c r="GF149" s="115"/>
      <c r="GG149" s="98"/>
      <c r="GH149" s="115"/>
      <c r="GI149" s="98"/>
      <c r="GJ149" s="115"/>
      <c r="GK149" s="98"/>
      <c r="GL149" s="115"/>
      <c r="GM149" s="98"/>
      <c r="GN149" s="115"/>
      <c r="GO149" s="98"/>
      <c r="GP149" s="115"/>
      <c r="GQ149" s="98"/>
      <c r="GR149" s="114"/>
      <c r="GS149" s="98"/>
      <c r="GT149" s="114"/>
      <c r="GU149" s="98"/>
      <c r="GV149" s="114"/>
      <c r="GW149" s="98"/>
      <c r="GX149" s="114"/>
      <c r="GY149" s="98"/>
      <c r="GZ149" s="98"/>
      <c r="HA149" s="98"/>
      <c r="HB149" s="10"/>
      <c r="HC149"/>
      <c r="HD149"/>
      <c r="HE149"/>
      <c r="HF149"/>
      <c r="HG149"/>
      <c r="HH149"/>
      <c r="HI149" s="10"/>
    </row>
    <row r="150" spans="1:217" s="2" customFormat="1" ht="12.75" customHeight="1" x14ac:dyDescent="0.2">
      <c r="B150" s="91" t="s">
        <v>27</v>
      </c>
      <c r="C150" s="166">
        <f>-C146/C143*400</f>
        <v>24.867070193626056</v>
      </c>
      <c r="D150" s="156"/>
      <c r="E150" s="166">
        <f>-E146/E143*400</f>
        <v>32.647541775330822</v>
      </c>
      <c r="F150" s="156"/>
      <c r="G150" s="166">
        <f>-G146/G143*400</f>
        <v>15.75893311615596</v>
      </c>
      <c r="H150" s="156"/>
      <c r="I150" s="166">
        <f>-I146/I143*400</f>
        <v>29.329487136484083</v>
      </c>
      <c r="J150" s="156"/>
      <c r="K150" s="166">
        <f>-K146/K143*400</f>
        <v>39.727292095731833</v>
      </c>
      <c r="L150" s="156"/>
      <c r="M150" s="166">
        <f>-M146/M143*400</f>
        <v>20.730016941321423</v>
      </c>
      <c r="N150" s="156"/>
      <c r="O150" s="166">
        <f>-O146/O143*400</f>
        <v>19.545926011294227</v>
      </c>
      <c r="P150" s="156"/>
      <c r="Q150" s="166">
        <f>-Q146/Q143*400</f>
        <v>42.235827303808534</v>
      </c>
      <c r="R150" s="156"/>
      <c r="S150" s="166">
        <f>-S146/S143*400</f>
        <v>26.934771151741195</v>
      </c>
      <c r="T150" s="156"/>
      <c r="U150" s="166">
        <f>-U146/U143*400</f>
        <v>17.96336750126029</v>
      </c>
      <c r="V150" s="156"/>
      <c r="W150" s="166">
        <f>-W146/W143*400</f>
        <v>13.344902386117136</v>
      </c>
      <c r="X150" s="156"/>
      <c r="Y150" s="166">
        <f>-Y146/Y143*400</f>
        <v>13.376849065400753</v>
      </c>
      <c r="Z150" s="156"/>
      <c r="AA150" s="166">
        <f>-AA146/AA143*400</f>
        <v>13.158425832492432</v>
      </c>
      <c r="AB150" s="156"/>
      <c r="AC150" s="166">
        <f>-AC146/AC143*400</f>
        <v>17.016530571599283</v>
      </c>
      <c r="AD150" s="156"/>
      <c r="AE150" s="166">
        <f>-AE146/AE143*400</f>
        <v>13.390635602804796</v>
      </c>
      <c r="AF150" s="156"/>
      <c r="AG150" s="166">
        <f>-AG146/AG143*400</f>
        <v>18.863379751599549</v>
      </c>
      <c r="AH150" s="156"/>
      <c r="AI150" s="166">
        <f>-AI146/AI143*400</f>
        <v>27.709464199992617</v>
      </c>
      <c r="AJ150" s="156"/>
      <c r="AK150" s="166">
        <f>-AK146/AK143*400</f>
        <v>12.142022209234366</v>
      </c>
      <c r="AL150" s="156"/>
      <c r="AM150" s="166">
        <f>-AM146/AM143*400</f>
        <v>15.285295076622107</v>
      </c>
      <c r="AN150" s="156"/>
      <c r="AO150" s="166">
        <f>-AO146/AO143*400</f>
        <v>16.616944150386555</v>
      </c>
      <c r="AP150" s="156"/>
      <c r="AQ150" s="166">
        <f>-AQ146/AQ143*400</f>
        <v>23.04788644517236</v>
      </c>
      <c r="AR150" s="156"/>
      <c r="AS150" s="166">
        <f>-AS146/AS143*400</f>
        <v>18.320610687022899</v>
      </c>
      <c r="AT150" s="156"/>
      <c r="AU150" s="166">
        <f>-AU146/AU143*400</f>
        <v>-9.4315527176452267</v>
      </c>
      <c r="AV150" s="156"/>
      <c r="AW150" s="166">
        <f>-AW146/AW143*400</f>
        <v>21.618175495537269</v>
      </c>
      <c r="AX150" s="156"/>
      <c r="AY150" s="166">
        <f>-AY146/AY143*400</f>
        <v>30.441612846919181</v>
      </c>
      <c r="AZ150" s="156"/>
      <c r="BA150" s="166">
        <f>-BA146/BA143*400</f>
        <v>16.664190413930406</v>
      </c>
      <c r="BB150" s="156"/>
      <c r="BC150" s="166">
        <f>-BC146/BC143*400</f>
        <v>35.772647591882816</v>
      </c>
      <c r="BD150" s="156"/>
      <c r="BE150" s="166">
        <f>-BE146/BE143*400</f>
        <v>16.436701790404879</v>
      </c>
      <c r="BF150" s="156"/>
      <c r="BG150" s="166">
        <f>-BG146/BG143*400</f>
        <v>20.572178634288953</v>
      </c>
      <c r="BH150" s="156"/>
      <c r="BI150" s="166">
        <f>-BI146/BI143*400</f>
        <v>19.897525984482506</v>
      </c>
      <c r="BJ150" s="156"/>
      <c r="BK150" s="166">
        <f>-BK146/BK143*400</f>
        <v>16.508080779390465</v>
      </c>
      <c r="BL150" s="156"/>
      <c r="BM150" s="166">
        <f>-BM146/BM143*400</f>
        <v>18.445811216895557</v>
      </c>
      <c r="BN150" s="98"/>
      <c r="BO150" s="137">
        <f>-BO146/BO143*400</f>
        <v>18.892074247820926</v>
      </c>
      <c r="BP150" s="98"/>
      <c r="BQ150" s="137">
        <f>-BQ146/BQ143*400</f>
        <v>17.258765575195596</v>
      </c>
      <c r="BR150" s="98"/>
      <c r="BS150" s="137">
        <f>-BS146/BS143*400</f>
        <v>10.298070605101248</v>
      </c>
      <c r="BT150" s="98"/>
      <c r="BU150" s="137">
        <f>-BU146/BU143*400</f>
        <v>27.877967214460103</v>
      </c>
      <c r="BV150" s="98"/>
      <c r="BW150" s="137">
        <f>-BW146/BW143*400</f>
        <v>32.810931156415066</v>
      </c>
      <c r="BX150" s="98"/>
      <c r="BY150" s="137">
        <f>-BY146/BY143*400</f>
        <v>24.84669756120395</v>
      </c>
      <c r="BZ150" s="98"/>
      <c r="CA150" s="137">
        <f>-CA146/CA143*400</f>
        <v>8.6255408696474589</v>
      </c>
      <c r="CB150" s="98"/>
      <c r="CC150" s="137">
        <f>-CC146/CC143*400</f>
        <v>21.0123333260827</v>
      </c>
      <c r="CD150" s="98"/>
      <c r="CE150" s="137">
        <f>-CE146/CE143*400</f>
        <v>-0.30642619506216073</v>
      </c>
      <c r="CF150" s="98"/>
      <c r="CG150" s="137">
        <f>-CG146/CG143*400</f>
        <v>5.2561448104794897</v>
      </c>
      <c r="CH150" s="98"/>
      <c r="CI150" s="137">
        <f>-CI146/CI143*400</f>
        <v>0.89806555076676364</v>
      </c>
      <c r="CJ150" s="98"/>
      <c r="CK150" s="137">
        <f>-CK146/CK143*400</f>
        <v>14.928533615669668</v>
      </c>
      <c r="CL150" s="98"/>
      <c r="CM150" s="137">
        <f>-CM146/CM143*400</f>
        <v>3.5743929359823401</v>
      </c>
      <c r="CN150" s="98"/>
      <c r="CO150" s="137">
        <f>-CO146/CO143*400</f>
        <v>10.966083097230639</v>
      </c>
      <c r="CP150" s="98"/>
      <c r="CQ150" s="494">
        <f>-CQ146/CQ143*400</f>
        <v>13.033579965850883</v>
      </c>
      <c r="CR150" s="98"/>
      <c r="CS150" s="137">
        <f>-CS146/CS143*400</f>
        <v>21.772681157192487</v>
      </c>
      <c r="CT150" s="98"/>
      <c r="CU150" s="137">
        <f>-CU146/CU143*400</f>
        <v>-1.764043731014171</v>
      </c>
      <c r="CV150" s="98"/>
      <c r="CW150" s="137">
        <f>-CW146/CW143*400</f>
        <v>9.0566037735849054</v>
      </c>
      <c r="CX150" s="98"/>
      <c r="CY150" s="137">
        <f>-CY146/CY143*400</f>
        <v>-18.598645701824861</v>
      </c>
      <c r="CZ150" s="98"/>
      <c r="DA150" s="137">
        <f>-DA146/DA143*400</f>
        <v>39.851765164813727</v>
      </c>
      <c r="DB150" s="98"/>
      <c r="DC150" s="137">
        <f>-DC146/DC143*400</f>
        <v>-7.20695652173913</v>
      </c>
      <c r="DD150" s="98"/>
      <c r="DE150" s="137">
        <f>-DE146/DE143*400</f>
        <v>8.3765762197134741</v>
      </c>
      <c r="DF150" s="98"/>
      <c r="DG150" s="137">
        <f>-DG146/DG143*400</f>
        <v>11.933996926982431</v>
      </c>
      <c r="DH150" s="98"/>
      <c r="DI150" s="137">
        <f>-DI146/DI143*400</f>
        <v>8.9860447986952341</v>
      </c>
      <c r="DJ150" s="98"/>
      <c r="DK150" s="137">
        <f>-DK146/DK143*400</f>
        <v>5.452916661257027</v>
      </c>
      <c r="DL150" s="98"/>
      <c r="DM150" s="137">
        <f>-DM146/DM143*400</f>
        <v>17.831482691051601</v>
      </c>
      <c r="DN150" s="98" t="str">
        <f t="shared" ref="DN150:DZ152" si="843">IF(ISERROR((DM150/DE150-1)*100),"NA",IF(((DM150/DE150-1)*100)&gt;100,"NM",IF(((DM150/DE150-1)*100)&lt;-50,"NM",(DM150/DE150-1)*100)))</f>
        <v>NM</v>
      </c>
      <c r="DO150" s="137">
        <f>-DO146/DO143*400</f>
        <v>4.0136562205553039</v>
      </c>
      <c r="DP150" s="98" t="str">
        <f t="shared" si="843"/>
        <v>NM</v>
      </c>
      <c r="DQ150" s="137">
        <f>-DQ146/DQ143*400</f>
        <v>12.22931179621067</v>
      </c>
      <c r="DR150" s="98">
        <f t="shared" si="843"/>
        <v>36.092263839885995</v>
      </c>
      <c r="DS150" s="137">
        <f>-DS146/DS143*400</f>
        <v>-9.3801071795066715</v>
      </c>
      <c r="DT150" s="98" t="str">
        <f t="shared" si="843"/>
        <v>NM</v>
      </c>
      <c r="DU150" s="137">
        <f>-DU146/DU143*400</f>
        <v>4.0149905712171483</v>
      </c>
      <c r="DV150" s="98" t="str">
        <f t="shared" si="843"/>
        <v>NM</v>
      </c>
      <c r="DW150" s="137">
        <f>-DW146/DW143*400</f>
        <v>18.297282641441225</v>
      </c>
      <c r="DX150" s="98" t="str">
        <f t="shared" si="843"/>
        <v>NM</v>
      </c>
      <c r="DY150" s="137">
        <f>-DY146/DY143*400</f>
        <v>16.003977378658877</v>
      </c>
      <c r="DZ150" s="98">
        <f t="shared" si="843"/>
        <v>30.865723642910247</v>
      </c>
      <c r="EA150" s="137">
        <f>-EA146/EA143*400</f>
        <v>4.6741527464449568</v>
      </c>
      <c r="EB150" s="98" t="str">
        <f t="shared" ref="EB150:EB152" si="844">IF(ISERROR((EA150/DS150-1)*100),"NA",IF(((EA150/DS150-1)*100)&gt;100,"NM",IF(((EA150/DS150-1)*100)&lt;-50,"NM",(EA150/DS150-1)*100)))</f>
        <v>NM</v>
      </c>
      <c r="EC150" s="137">
        <f>-EC146/EC143*400</f>
        <v>-0.77668005910584093</v>
      </c>
      <c r="ED150" s="98" t="str">
        <f t="shared" ref="ED150:ED152" si="845">IF(ISERROR((EC150/DU150-1)*100),"NA",IF(((EC150/DU150-1)*100)&gt;100,"NM",IF(((EC150/DU150-1)*100)&lt;-50,"NM",(EC150/DU150-1)*100)))</f>
        <v>NM</v>
      </c>
      <c r="EE150" s="137">
        <f>-EE146/EE143*400</f>
        <v>9.583562993280248</v>
      </c>
      <c r="EF150" s="860">
        <f t="shared" ref="EF150:EF152" si="846">IF(ISERROR((EE150/DW150-1)*100),"NA",IF(((EE150/DW150-1)*100)&gt;100,"NM",IF(((EE150/DW150-1)*100)&lt;-50,"NM",(EE150/DW150-1)*100)))</f>
        <v>-47.623025882681681</v>
      </c>
      <c r="EG150" s="137">
        <f>-EG146/EG143*400</f>
        <v>3.2212640668458845</v>
      </c>
      <c r="EH150" s="860" t="str">
        <f t="shared" ref="EH150:EH152" si="847">IF(ISERROR((EG150/DY150-1)*100),"NA",IF(((EG150/DY150-1)*100)&gt;100,"NM",IF(((EG150/DY150-1)*100)&lt;-50,"NM",(EG150/DY150-1)*100)))</f>
        <v>NM</v>
      </c>
      <c r="EI150" s="137">
        <f>-EI146/EI143*400</f>
        <v>6.5970958691849892</v>
      </c>
      <c r="EJ150" s="860">
        <f t="shared" ref="EJ150:EJ152" si="848">IF(ISERROR((EI150/EA150-1)*100),"NA",IF(((EI150/EA150-1)*100)&gt;100,"NM",IF(((EI150/EA150-1)*100)&lt;-50,"NM",(EI150/EA150-1)*100)))</f>
        <v>41.139929032113344</v>
      </c>
      <c r="EK150" s="137">
        <f>-EK146/EK143*400</f>
        <v>6.2942674714769193</v>
      </c>
      <c r="EL150" s="860" t="str">
        <f t="shared" ref="EL150:EL152" si="849">IF(ISERROR((EK150/EC150-1)*100),"NA",IF(((EK150/EC150-1)*100)&gt;100,"NM",IF(((EK150/EC150-1)*100)&lt;-50,"NM",(EK150/EC150-1)*100)))</f>
        <v>NM</v>
      </c>
      <c r="EM150" s="137">
        <f>-EM146/EM143*400</f>
        <v>30.644809245367551</v>
      </c>
      <c r="EN150" s="860" t="str">
        <f t="shared" ref="EN150:EN152" si="850">IF(ISERROR((EM150/EE150-1)*100),"NA",IF(((EM150/EE150-1)*100)&gt;100,"NM",IF(((EM150/EE150-1)*100)&lt;-50,"NM",(EM150/EE150-1)*100)))</f>
        <v>NM</v>
      </c>
      <c r="EO150" s="137">
        <f>-EO146/EO143*400</f>
        <v>19.722859814673129</v>
      </c>
      <c r="EP150" s="98" t="str">
        <f t="shared" ref="EP150:EP152" si="851">IF(ISERROR((EO150/EG150-1)*100),"NA",IF(((EO150/EG150-1)*100)&gt;100,"NM",IF(((EO150/EG150-1)*100)&lt;-50,"NM",(EO150/EG150-1)*100)))</f>
        <v>NM</v>
      </c>
      <c r="EQ150" s="1026">
        <f t="shared" ref="EQ150" si="852">+EO150</f>
        <v>19.722859814673129</v>
      </c>
      <c r="ER150" s="98" t="str">
        <f t="shared" ref="ER150:ER152" si="853">IF(ISERROR((EQ150/EI150-1)*100),"NA",IF(((EQ150/EI150-1)*100)&gt;100,"NM",IF(((EQ150/EI150-1)*100)&lt;-50,"NM",(EQ150/EI150-1)*100)))</f>
        <v>NM</v>
      </c>
      <c r="ES150" s="1026">
        <f t="shared" ref="ES150" si="854">+EQ150</f>
        <v>19.722859814673129</v>
      </c>
      <c r="ET150" s="98" t="str">
        <f t="shared" ref="ET150:ET152" si="855">IF(ISERROR((ES150/EK150-1)*100),"NA",IF(((ES150/EK150-1)*100)&gt;100,"NM",IF(((ES150/EK150-1)*100)&lt;-50,"NM",(ES150/EK150-1)*100)))</f>
        <v>NM</v>
      </c>
      <c r="EU150" s="1026">
        <f t="shared" ref="EU150" si="856">+ES150</f>
        <v>19.722859814673129</v>
      </c>
      <c r="EV150" s="98">
        <f t="shared" ref="EV150:EV152" si="857">IF(ISERROR((EU150/EM150-1)*100),"NA",IF(((EU150/EM150-1)*100)&gt;100,"NM",IF(((EU150/EM150-1)*100)&lt;-50,"NM",(EU150/EM150-1)*100)))</f>
        <v>-35.640454940490287</v>
      </c>
      <c r="EW150" s="1026">
        <f t="shared" ref="EW150" si="858">+EU150</f>
        <v>19.722859814673129</v>
      </c>
      <c r="EX150" s="98">
        <f t="shared" ref="EX150:EX152" si="859">IF(ISERROR((EW150/EO150-1)*100),"NA",IF(((EW150/EO150-1)*100)&gt;100,"NM",IF(((EW150/EO150-1)*100)&lt;-50,"NM",(EW150/EO150-1)*100)))</f>
        <v>0</v>
      </c>
      <c r="EY150" s="80"/>
      <c r="EZ150" s="594"/>
      <c r="FA150" s="405"/>
      <c r="FB150" s="114"/>
      <c r="FC150" s="98"/>
      <c r="FD150" s="137">
        <f>-FD146/FD143*100</f>
        <v>21.205766710353867</v>
      </c>
      <c r="FE150" s="98"/>
      <c r="FF150" s="137">
        <f>-FF146/FF143*100</f>
        <v>25.887034745677688</v>
      </c>
      <c r="FG150" s="98"/>
      <c r="FH150" s="137">
        <f>-FH146/FH143*100</f>
        <v>28.659186137348197</v>
      </c>
      <c r="FI150" s="98"/>
      <c r="FJ150" s="137">
        <f>-FJ146/FJ143*100</f>
        <v>17.383548870961203</v>
      </c>
      <c r="FK150" s="98"/>
      <c r="FL150" s="137">
        <f>-FL146/FL143*100</f>
        <v>16.242179616548942</v>
      </c>
      <c r="FM150" s="98"/>
      <c r="FN150" s="137">
        <f>-FN146/FN143*100</f>
        <v>19.105646024888298</v>
      </c>
      <c r="FO150" s="98"/>
      <c r="FP150" s="137">
        <f>-FP146/FP143*100</f>
        <v>13.598502573701451</v>
      </c>
      <c r="FQ150" s="98"/>
      <c r="FR150" s="137">
        <f>-FR146/FR143*100</f>
        <v>24.405073602141155</v>
      </c>
      <c r="FS150" s="98"/>
      <c r="FT150" s="137">
        <f>-FT146/FT143*100</f>
        <v>19.444527311237731</v>
      </c>
      <c r="FU150" s="98"/>
      <c r="FV150" s="137">
        <f>-FV146/FV143*100</f>
        <v>21.367966872267107</v>
      </c>
      <c r="FW150" s="98"/>
      <c r="FX150" s="494">
        <f>-FX146/FX143*100</f>
        <v>32.790141746069153</v>
      </c>
      <c r="FY150" s="98"/>
      <c r="FZ150" s="137">
        <f>-FZ146/FZ143*100</f>
        <v>6.2007529329364379</v>
      </c>
      <c r="GA150" s="98"/>
      <c r="GB150" s="494">
        <f>-GB146/GB143*100</f>
        <v>13.744259978806076</v>
      </c>
      <c r="GC150" s="98"/>
      <c r="GD150" s="137">
        <f>-GD146/GD143*100</f>
        <v>8.7724167707514145</v>
      </c>
      <c r="GE150" s="98"/>
      <c r="GF150" s="137">
        <f>-GF146/GF143*100</f>
        <v>5.8879999999999999</v>
      </c>
      <c r="GG150" s="98"/>
      <c r="GH150" s="137">
        <f>-GH146/GH143*100</f>
        <v>10.289134414395699</v>
      </c>
      <c r="GI150" s="98">
        <f t="shared" ref="GI150:GW151" si="860">IF(ISERROR((GH150/GF150-1)*100),"NA",IF(((GH150/GF150-1)*100)&gt;100,"NM",IF(((GH150/GF150-1)*100)&lt;-50,"NM",(GH150/GF150-1)*100)))</f>
        <v>74.747527418405227</v>
      </c>
      <c r="GJ150" s="137">
        <f>-GJ146/GJ143*100</f>
        <v>7.6077179379980482</v>
      </c>
      <c r="GK150" s="98">
        <f t="shared" si="860"/>
        <v>-26.060661357927607</v>
      </c>
      <c r="GL150" s="137">
        <f>-GL146/GL143*100</f>
        <v>4.4333476971432919</v>
      </c>
      <c r="GM150" s="98">
        <f t="shared" si="860"/>
        <v>-41.725656323295333</v>
      </c>
      <c r="GN150" s="137">
        <f>-GN146/GN143*100</f>
        <v>15.83185622556903</v>
      </c>
      <c r="GO150" s="98" t="str">
        <f t="shared" si="860"/>
        <v>NM</v>
      </c>
      <c r="GP150" s="137">
        <f>-GP146/GP143*100</f>
        <v>18.808339642936602</v>
      </c>
      <c r="GQ150" s="98">
        <f t="shared" si="860"/>
        <v>18.800596562773485</v>
      </c>
      <c r="GR150" s="80">
        <f>GP150</f>
        <v>18.808339642936602</v>
      </c>
      <c r="GS150" s="98">
        <f t="shared" si="860"/>
        <v>0</v>
      </c>
      <c r="GT150" s="80">
        <f>GR150</f>
        <v>18.808339642936602</v>
      </c>
      <c r="GU150" s="98">
        <f t="shared" si="860"/>
        <v>0</v>
      </c>
      <c r="GV150" s="80">
        <f>GT150</f>
        <v>18.808339642936602</v>
      </c>
      <c r="GW150" s="98">
        <f t="shared" si="860"/>
        <v>0</v>
      </c>
      <c r="GX150" s="80">
        <f>GV150</f>
        <v>18.808339642936602</v>
      </c>
      <c r="GY150" s="98">
        <f t="shared" ref="GY150:GY151" si="861">IF(ISERROR((GX150/GV150-1)*100),"NA",IF(((GX150/GV150-1)*100)&gt;100,"NM",IF(((GX150/GV150-1)*100)&lt;-50,"NM",(GX150/GV150-1)*100)))</f>
        <v>0</v>
      </c>
      <c r="GZ150" s="98">
        <f>IF(ISERROR(((GX150/GN150)^0.2-1)*100),"NA",IF((((GX150/GN150)^0.2-1)*100)&gt;100,"NM",IF((((GX150/GN150)^0.2-1)*100)&lt;-50,"NM",((GX150/GN150)^0.2-1)*100)))</f>
        <v>3.5055707044176376</v>
      </c>
      <c r="HA150" s="98"/>
      <c r="HB150" s="10"/>
      <c r="HC150"/>
      <c r="HD150"/>
      <c r="HE150"/>
      <c r="HF150"/>
      <c r="HG150"/>
      <c r="HH150"/>
      <c r="HI150" s="10"/>
    </row>
    <row r="151" spans="1:217" s="2" customFormat="1" ht="12.75" customHeight="1" x14ac:dyDescent="0.2">
      <c r="B151" s="467" t="s">
        <v>362</v>
      </c>
      <c r="C151" s="241">
        <f>C145/C143*400</f>
        <v>19.422800387920944</v>
      </c>
      <c r="D151" s="156"/>
      <c r="E151" s="241">
        <f>E145/E143*400</f>
        <v>-2.1507453556135099</v>
      </c>
      <c r="F151" s="156"/>
      <c r="G151" s="241">
        <f>G145/G143*400</f>
        <v>10.248057280532084</v>
      </c>
      <c r="H151" s="156"/>
      <c r="I151" s="241">
        <f>I145/I143*400</f>
        <v>-7.5135008217891528</v>
      </c>
      <c r="J151" s="156"/>
      <c r="K151" s="241">
        <f>K145/K143*400</f>
        <v>-8.0249982245579154</v>
      </c>
      <c r="L151" s="156"/>
      <c r="M151" s="241">
        <f>M145/M143*400</f>
        <v>8.593870321885106</v>
      </c>
      <c r="N151" s="156"/>
      <c r="O151" s="241">
        <f>O145/O143*400</f>
        <v>-3.3959509815220312</v>
      </c>
      <c r="P151" s="156"/>
      <c r="Q151" s="241">
        <f>Q145/Q143*400</f>
        <v>24.059791683231296</v>
      </c>
      <c r="R151" s="156"/>
      <c r="S151" s="241">
        <f>S145/S143*400</f>
        <v>0.61620788908257995</v>
      </c>
      <c r="T151" s="156"/>
      <c r="U151" s="241">
        <f>U145/U143*400</f>
        <v>-3.8985044530331039</v>
      </c>
      <c r="V151" s="156"/>
      <c r="W151" s="241">
        <f>W145/W143*400</f>
        <v>5.4837310195227769</v>
      </c>
      <c r="X151" s="156"/>
      <c r="Y151" s="241">
        <f>Y145/Y143*400</f>
        <v>14.987496291272834</v>
      </c>
      <c r="Z151" s="156"/>
      <c r="AA151" s="241">
        <f>AA145/AA143*400</f>
        <v>6.3451059535822401</v>
      </c>
      <c r="AB151" s="156"/>
      <c r="AC151" s="241">
        <f>AC145/AC143*400</f>
        <v>23.596893049193387</v>
      </c>
      <c r="AD151" s="156"/>
      <c r="AE151" s="241">
        <f>AE145/AE143*400</f>
        <v>3.1063861871371485</v>
      </c>
      <c r="AF151" s="156"/>
      <c r="AG151" s="241">
        <f>AG145/AG143*400</f>
        <v>9.951072638313887</v>
      </c>
      <c r="AH151" s="156"/>
      <c r="AI151" s="241">
        <f>AI145/AI143*400</f>
        <v>11.845943650529891</v>
      </c>
      <c r="AJ151" s="156"/>
      <c r="AK151" s="241">
        <f>AK145/AK143*400</f>
        <v>-4.0473407364114555</v>
      </c>
      <c r="AL151" s="156"/>
      <c r="AM151" s="241">
        <f>AM145/AM143*400</f>
        <v>8.9729377241604187</v>
      </c>
      <c r="AN151" s="156"/>
      <c r="AO151" s="241">
        <f>AO145/AO143*400</f>
        <v>16.19350078593655</v>
      </c>
      <c r="AP151" s="156"/>
      <c r="AQ151" s="241">
        <f>AQ145/AQ143*400</f>
        <v>-14.23802838870691</v>
      </c>
      <c r="AR151" s="156"/>
      <c r="AS151" s="241">
        <f>AS145/AS143*400</f>
        <v>24.662360540223137</v>
      </c>
      <c r="AT151" s="156"/>
      <c r="AU151" s="241">
        <f>AU145/AU143*400</f>
        <v>6.7030057623423138</v>
      </c>
      <c r="AV151" s="156"/>
      <c r="AW151" s="241">
        <f>AW145/AW143*400</f>
        <v>6.108728410803292</v>
      </c>
      <c r="AX151" s="156"/>
      <c r="AY151" s="241">
        <f>AY145/AY143*400</f>
        <v>6.4001861872345387</v>
      </c>
      <c r="AZ151" s="156"/>
      <c r="BA151" s="241">
        <f>BA145/BA143*400</f>
        <v>3.3161976643984188</v>
      </c>
      <c r="BB151" s="156"/>
      <c r="BC151" s="241">
        <f>BC145/BC143*400</f>
        <v>14.475443444157232</v>
      </c>
      <c r="BD151" s="156"/>
      <c r="BE151" s="241">
        <f>BE145/BE143*400</f>
        <v>9.770236405905619</v>
      </c>
      <c r="BF151" s="156"/>
      <c r="BG151" s="166">
        <f>BG145/BG143*400</f>
        <v>16.87300498195161</v>
      </c>
      <c r="BH151" s="156"/>
      <c r="BI151" s="166">
        <f>BI145/BI143*400</f>
        <v>15.810276679841898</v>
      </c>
      <c r="BJ151" s="156"/>
      <c r="BK151" s="166">
        <f>BK145/BK143*400</f>
        <v>9.9639276280285163</v>
      </c>
      <c r="BL151" s="156"/>
      <c r="BM151" s="166">
        <f>BM145/BM143*400</f>
        <v>-2.0894767882719689</v>
      </c>
      <c r="BN151" s="98"/>
      <c r="BO151" s="137">
        <f>BO145/BO143*400</f>
        <v>5.4093186227666292</v>
      </c>
      <c r="BP151" s="98"/>
      <c r="BQ151" s="137">
        <f>BQ145/BQ143*400</f>
        <v>-2.6543031005505648</v>
      </c>
      <c r="BR151" s="98"/>
      <c r="BS151" s="137">
        <f>BS145/BS143*400</f>
        <v>-15.542679648766503</v>
      </c>
      <c r="BT151" s="98"/>
      <c r="BU151" s="137">
        <f>BU145/BU143*400</f>
        <v>-8.3707761432879924</v>
      </c>
      <c r="BV151" s="98"/>
      <c r="BW151" s="137">
        <f>BW145/BW143*400</f>
        <v>-8.5999912690443967</v>
      </c>
      <c r="BX151" s="98"/>
      <c r="BY151" s="137">
        <f>BY145/BY143*400</f>
        <v>14.885549782333943</v>
      </c>
      <c r="BZ151" s="98"/>
      <c r="CA151" s="137">
        <f>CA145/CA143*400</f>
        <v>25.564514222211717</v>
      </c>
      <c r="CB151" s="98"/>
      <c r="CC151" s="137">
        <f>CC145/CC143*400</f>
        <v>3.3236899919517975</v>
      </c>
      <c r="CD151" s="98"/>
      <c r="CE151" s="137">
        <f>CE145/CE143*400</f>
        <v>9.1577657152862901</v>
      </c>
      <c r="CF151" s="98"/>
      <c r="CG151" s="137">
        <f>CG145/CG143*400</f>
        <v>4.1409565199565401</v>
      </c>
      <c r="CH151" s="98"/>
      <c r="CI151" s="137">
        <f>CI145/CI143*400</f>
        <v>16.534028265009525</v>
      </c>
      <c r="CJ151" s="98"/>
      <c r="CK151" s="137">
        <f>CK145/CK143*400</f>
        <v>1.4469737074289748</v>
      </c>
      <c r="CL151" s="98"/>
      <c r="CM151" s="137">
        <f>CM145/CM143*400</f>
        <v>5.3757174392935978</v>
      </c>
      <c r="CN151" s="98"/>
      <c r="CO151" s="137">
        <f>CO145/CO143*400</f>
        <v>6.629436137632859</v>
      </c>
      <c r="CP151" s="98"/>
      <c r="CQ151" s="494">
        <f>CQ145/CQ143*400</f>
        <v>5.0528046543982796</v>
      </c>
      <c r="CR151" s="98"/>
      <c r="CS151" s="137">
        <f>CS145/CS143*400</f>
        <v>8.3253912134534378</v>
      </c>
      <c r="CT151" s="98"/>
      <c r="CU151" s="137">
        <f>CU145/CU143*400</f>
        <v>6.8773033569258759</v>
      </c>
      <c r="CV151" s="98"/>
      <c r="CW151" s="137">
        <f>CW145/CW143*400</f>
        <v>6.2766809936621257</v>
      </c>
      <c r="CX151" s="98"/>
      <c r="CY151" s="137">
        <f>CY145/CY143*400</f>
        <v>8.4127166303225067</v>
      </c>
      <c r="CZ151" s="98"/>
      <c r="DA151" s="137">
        <f>DA145/DA143*400</f>
        <v>1.8932449125544502</v>
      </c>
      <c r="DB151" s="98"/>
      <c r="DC151" s="137">
        <f>DC145/DC143*400</f>
        <v>3.8789565217391306</v>
      </c>
      <c r="DD151" s="98"/>
      <c r="DE151" s="137">
        <f>DE145/DE143*400</f>
        <v>-6.7921040470060072</v>
      </c>
      <c r="DF151" s="98"/>
      <c r="DG151" s="137">
        <f>DG145/DG143*400</f>
        <v>4.596165408510922</v>
      </c>
      <c r="DH151" s="98"/>
      <c r="DI151" s="137">
        <f>DI145/DI143*400</f>
        <v>4.1405253258624999</v>
      </c>
      <c r="DJ151" s="98"/>
      <c r="DK151" s="137">
        <f>DK145/DK143*400</f>
        <v>7.2445892785271928</v>
      </c>
      <c r="DL151" s="98"/>
      <c r="DM151" s="137">
        <f>DM145/DM143*400</f>
        <v>8.3454755564487773</v>
      </c>
      <c r="DN151" s="98" t="str">
        <f t="shared" si="843"/>
        <v>NM</v>
      </c>
      <c r="DO151" s="137">
        <f>DO145/DO143*400</f>
        <v>0.12236756769985684</v>
      </c>
      <c r="DP151" s="98" t="str">
        <f t="shared" si="843"/>
        <v>NM</v>
      </c>
      <c r="DQ151" s="137">
        <f>DQ145/DQ143*400</f>
        <v>7.1052984737760321</v>
      </c>
      <c r="DR151" s="98">
        <f t="shared" si="843"/>
        <v>71.603792141905302</v>
      </c>
      <c r="DS151" s="137">
        <f>DS145/DS143*400</f>
        <v>6.5017166457628619</v>
      </c>
      <c r="DT151" s="98">
        <f t="shared" si="843"/>
        <v>-10.25417182677546</v>
      </c>
      <c r="DU151" s="137">
        <f>DU145/DU143*400</f>
        <v>-4.9172892846060208</v>
      </c>
      <c r="DV151" s="98" t="str">
        <f t="shared" si="843"/>
        <v>NM</v>
      </c>
      <c r="DW151" s="137">
        <f>DW145/DW143*400</f>
        <v>0.15906489124540579</v>
      </c>
      <c r="DX151" s="98">
        <f t="shared" si="843"/>
        <v>29.989419774658053</v>
      </c>
      <c r="DY151" s="137">
        <f>DY145/DY143*400</f>
        <v>0.42259648250574855</v>
      </c>
      <c r="DZ151" s="98" t="str">
        <f t="shared" si="843"/>
        <v>NM</v>
      </c>
      <c r="EA151" s="137">
        <f>EA145/EA143*400</f>
        <v>10.108742490684646</v>
      </c>
      <c r="EB151" s="98">
        <f t="shared" si="844"/>
        <v>55.478053588700547</v>
      </c>
      <c r="EC151" s="137">
        <f>EC145/EC143*400</f>
        <v>8.3627437810641503</v>
      </c>
      <c r="ED151" s="98" t="str">
        <f t="shared" si="845"/>
        <v>NM</v>
      </c>
      <c r="EE151" s="137">
        <f>EE145/EE143*400</f>
        <v>3.8700144245992192</v>
      </c>
      <c r="EF151" s="860" t="str">
        <f t="shared" si="846"/>
        <v>NM</v>
      </c>
      <c r="EG151" s="137">
        <f>EG145/EG143*400</f>
        <v>-8.0578151729916563</v>
      </c>
      <c r="EH151" s="860" t="str">
        <f t="shared" si="847"/>
        <v>NM</v>
      </c>
      <c r="EI151" s="137">
        <f>EI145/EI143*400</f>
        <v>5.0898590193569593</v>
      </c>
      <c r="EJ151" s="860">
        <f t="shared" si="848"/>
        <v>-49.648939776165648</v>
      </c>
      <c r="EK151" s="137">
        <f>EK145/EK143*400</f>
        <v>6.2989195538652991</v>
      </c>
      <c r="EL151" s="860">
        <f t="shared" si="849"/>
        <v>-24.67879300418112</v>
      </c>
      <c r="EM151" s="137">
        <f>EM145/EM143*400</f>
        <v>4.6088984365127681</v>
      </c>
      <c r="EN151" s="860">
        <f t="shared" si="850"/>
        <v>19.09253896360006</v>
      </c>
      <c r="EO151" s="137">
        <f>EO145/EO143*400</f>
        <v>3.9445719629346252</v>
      </c>
      <c r="EP151" s="98" t="str">
        <f t="shared" si="851"/>
        <v>NM</v>
      </c>
      <c r="EQ151" s="1033">
        <f t="shared" ref="EQ151" si="862">EQ145/EQ148*400</f>
        <v>-0.792289066095756</v>
      </c>
      <c r="ER151" s="98" t="str">
        <f t="shared" si="853"/>
        <v>NM</v>
      </c>
      <c r="ES151" s="1033">
        <f t="shared" ref="ES151" si="863">ES145/ES148*400</f>
        <v>1.3195873656770354</v>
      </c>
      <c r="ET151" s="98" t="str">
        <f t="shared" si="855"/>
        <v>NM</v>
      </c>
      <c r="EU151" s="1033">
        <f t="shared" ref="EU151" si="864">EU145/EU148*400</f>
        <v>1.3187102189386812</v>
      </c>
      <c r="EV151" s="98" t="str">
        <f t="shared" si="857"/>
        <v>NM</v>
      </c>
      <c r="EW151" s="1033">
        <f t="shared" ref="EW151" si="865">EW145/EW148*400</f>
        <v>1.3177905253283366</v>
      </c>
      <c r="EX151" s="98" t="str">
        <f t="shared" si="859"/>
        <v>NM</v>
      </c>
      <c r="EY151" s="125"/>
      <c r="EZ151" s="596"/>
      <c r="FA151" s="407"/>
      <c r="FB151" s="255"/>
      <c r="FC151" s="127"/>
      <c r="FD151" s="137">
        <f>FD145/FD143*100</f>
        <v>3.5190039318479687</v>
      </c>
      <c r="FE151" s="127"/>
      <c r="FF151" s="137">
        <f>FF145/FF143*100</f>
        <v>4.9493361870046488</v>
      </c>
      <c r="FG151" s="127"/>
      <c r="FH151" s="137">
        <f>FH145/FH143*100</f>
        <v>4.5628861586535052</v>
      </c>
      <c r="FI151" s="127"/>
      <c r="FJ151" s="137">
        <f>FJ145/FJ143*100</f>
        <v>4.0783232659018118</v>
      </c>
      <c r="FK151" s="127"/>
      <c r="FL151" s="137">
        <f>FL145/FL143*100</f>
        <v>11.063572149344097</v>
      </c>
      <c r="FM151" s="127"/>
      <c r="FN151" s="137">
        <f>FN145/FN143*100</f>
        <v>9.1392489199069455</v>
      </c>
      <c r="FO151" s="127"/>
      <c r="FP151" s="137">
        <f>FP145/FP143*100</f>
        <v>5.6590235532678212</v>
      </c>
      <c r="FQ151" s="127"/>
      <c r="FR151" s="137">
        <f>FR145/FR143*100</f>
        <v>8.3086053412462899</v>
      </c>
      <c r="FS151" s="127"/>
      <c r="FT151" s="137">
        <f>FT145/FT143*100</f>
        <v>10.306971749052833</v>
      </c>
      <c r="FU151" s="127"/>
      <c r="FV151" s="137">
        <f>FV145/FV143*100</f>
        <v>-6.0319115049373062</v>
      </c>
      <c r="FW151" s="127"/>
      <c r="FX151" s="494">
        <f>FX145/FX143*100</f>
        <v>12.423824113666207</v>
      </c>
      <c r="FY151" s="127"/>
      <c r="FZ151" s="137">
        <f>FZ145/FZ143*100</f>
        <v>8.3566800910523558</v>
      </c>
      <c r="GA151" s="127"/>
      <c r="GB151" s="494">
        <f>GB145/GB143*100</f>
        <v>6.9339456022606853</v>
      </c>
      <c r="GC151" s="127"/>
      <c r="GD151" s="137">
        <f>GD145/GD143*100</f>
        <v>6.2019089913802405</v>
      </c>
      <c r="GE151" s="127"/>
      <c r="GF151" s="137">
        <f>GF145/GF143*100</f>
        <v>1.472</v>
      </c>
      <c r="GG151" s="127"/>
      <c r="GH151" s="137">
        <f>GH145/GH143*100</f>
        <v>5.8904483076483647</v>
      </c>
      <c r="GI151" s="98" t="str">
        <f t="shared" si="860"/>
        <v>NM</v>
      </c>
      <c r="GJ151" s="137">
        <f>GJ145/GJ143*100</f>
        <v>0.4700188767689053</v>
      </c>
      <c r="GK151" s="98" t="str">
        <f t="shared" si="860"/>
        <v>NM</v>
      </c>
      <c r="GL151" s="137">
        <f>GL145/GL143*100</f>
        <v>3.5487059897087523</v>
      </c>
      <c r="GM151" s="98" t="str">
        <f t="shared" si="860"/>
        <v>NM</v>
      </c>
      <c r="GN151" s="137">
        <f>GN145/GN143*100</f>
        <v>4.9924285999366118</v>
      </c>
      <c r="GO151" s="98">
        <f t="shared" si="860"/>
        <v>40.683071925785221</v>
      </c>
      <c r="GP151" s="137">
        <f>GP145/GP143*100</f>
        <v>0.68244973231670925</v>
      </c>
      <c r="GQ151" s="98" t="str">
        <f t="shared" si="860"/>
        <v>NM</v>
      </c>
      <c r="GR151" s="137">
        <f>GR145/GR143*100</f>
        <v>0</v>
      </c>
      <c r="GS151" s="98" t="str">
        <f t="shared" si="860"/>
        <v>NM</v>
      </c>
      <c r="GT151" s="137">
        <f>GT145/GT143*100</f>
        <v>0</v>
      </c>
      <c r="GU151" s="98" t="str">
        <f t="shared" si="860"/>
        <v>NA</v>
      </c>
      <c r="GV151" s="137">
        <f>GV145/GV143*100</f>
        <v>0</v>
      </c>
      <c r="GW151" s="98" t="str">
        <f t="shared" si="860"/>
        <v>NA</v>
      </c>
      <c r="GX151" s="137">
        <f>GX145/GX143*100</f>
        <v>0</v>
      </c>
      <c r="GY151" s="98" t="str">
        <f t="shared" si="861"/>
        <v>NA</v>
      </c>
      <c r="GZ151" s="98" t="str">
        <f>IF(ISERROR(((GX151/GN151)^0.2-1)*100),"NA",IF((((GX151/GN151)^0.2-1)*100)&gt;100,"NM",IF((((GX151/GN151)^0.2-1)*100)&lt;-50,"NM",((GX151/GN151)^0.2-1)*100)))</f>
        <v>NM</v>
      </c>
      <c r="HA151" s="98"/>
      <c r="HB151" s="10"/>
      <c r="HC151"/>
      <c r="HD151"/>
      <c r="HE151"/>
      <c r="HF151"/>
      <c r="HG151"/>
      <c r="HH151"/>
      <c r="HI151" s="10"/>
    </row>
    <row r="152" spans="1:217" s="2" customFormat="1" ht="12.75" customHeight="1" x14ac:dyDescent="0.2">
      <c r="B152" s="467" t="s">
        <v>363</v>
      </c>
      <c r="C152" s="241"/>
      <c r="D152" s="156"/>
      <c r="E152" s="241"/>
      <c r="F152" s="156"/>
      <c r="G152" s="241"/>
      <c r="H152" s="156"/>
      <c r="I152" s="241"/>
      <c r="J152" s="156"/>
      <c r="K152" s="241"/>
      <c r="L152" s="156"/>
      <c r="M152" s="241"/>
      <c r="N152" s="156"/>
      <c r="O152" s="241"/>
      <c r="P152" s="156"/>
      <c r="Q152" s="241"/>
      <c r="R152" s="156"/>
      <c r="S152" s="241"/>
      <c r="T152" s="156"/>
      <c r="U152" s="241"/>
      <c r="V152" s="156"/>
      <c r="W152" s="241"/>
      <c r="X152" s="156"/>
      <c r="Y152" s="241"/>
      <c r="Z152" s="156"/>
      <c r="AA152" s="241"/>
      <c r="AB152" s="156"/>
      <c r="AC152" s="241"/>
      <c r="AD152" s="156"/>
      <c r="AE152" s="241"/>
      <c r="AF152" s="156"/>
      <c r="AG152" s="241"/>
      <c r="AH152" s="156"/>
      <c r="AI152" s="241"/>
      <c r="AJ152" s="156"/>
      <c r="AK152" s="241"/>
      <c r="AL152" s="156"/>
      <c r="AM152" s="241"/>
      <c r="AN152" s="156"/>
      <c r="AO152" s="241"/>
      <c r="AP152" s="156"/>
      <c r="AQ152" s="241"/>
      <c r="AR152" s="156"/>
      <c r="AS152" s="241"/>
      <c r="AT152" s="156"/>
      <c r="AU152" s="241"/>
      <c r="AV152" s="156"/>
      <c r="AW152" s="241"/>
      <c r="AX152" s="156"/>
      <c r="AY152" s="166">
        <f>(AY151/4)/AY$26*100</f>
        <v>42.916147234459004</v>
      </c>
      <c r="AZ152" s="156"/>
      <c r="BA152" s="166">
        <f>(BA151/4)/BA$26*100</f>
        <v>-43.58434149319784</v>
      </c>
      <c r="BB152" s="156"/>
      <c r="BC152" s="166">
        <f>(BC151/4)/BC$26*100</f>
        <v>70.018036062387552</v>
      </c>
      <c r="BD152" s="156"/>
      <c r="BE152" s="166">
        <f>(BE151/4)/BE$26*100</f>
        <v>39.574002448154793</v>
      </c>
      <c r="BF152" s="156"/>
      <c r="BG152" s="166">
        <f>(BG151/4)/BG$26*100</f>
        <v>2337.3757645536389</v>
      </c>
      <c r="BH152" s="156"/>
      <c r="BI152" s="166">
        <f>(BI151/4)/BI$26*100</f>
        <v>68.08154970994201</v>
      </c>
      <c r="BJ152" s="156"/>
      <c r="BK152" s="166">
        <f>(BK151/4)/BK$26*100</f>
        <v>160.03424775111924</v>
      </c>
      <c r="BL152" s="156"/>
      <c r="BM152" s="166">
        <f>(BM151/4)/BM$26*100</f>
        <v>10.271059548350044</v>
      </c>
      <c r="BN152" s="98"/>
      <c r="BO152" s="137">
        <f>(BO151/4)/BO$26*100</f>
        <v>-13.632486621221332</v>
      </c>
      <c r="BP152" s="98"/>
      <c r="BQ152" s="137">
        <f>(BQ151/4)/BQ$26*100</f>
        <v>10.082260540897014</v>
      </c>
      <c r="BR152" s="98"/>
      <c r="BS152" s="137">
        <f>(BS151/4)/BS$26*100</f>
        <v>42.114102754226032</v>
      </c>
      <c r="BT152" s="98"/>
      <c r="BU152" s="137">
        <f>(BU151/4)/BU$26*100</f>
        <v>9.4245954911237035</v>
      </c>
      <c r="BV152" s="98"/>
      <c r="BW152" s="137">
        <f>(BW151/4)/BW$26*100</f>
        <v>18.427074626961666</v>
      </c>
      <c r="BX152" s="98"/>
      <c r="BY152" s="137">
        <f>(BY151/4)/BY$26*100</f>
        <v>27.883356688623266</v>
      </c>
      <c r="BZ152" s="98"/>
      <c r="CA152" s="137">
        <f>(CA151/4)/CA$26*100</f>
        <v>44.120501378602121</v>
      </c>
      <c r="CB152" s="98"/>
      <c r="CC152" s="137">
        <f>(CC151/4)/CC$26*100</f>
        <v>10.037835207749433</v>
      </c>
      <c r="CD152" s="98"/>
      <c r="CE152" s="137">
        <f>(CE151/4)/CE$26*100</f>
        <v>46.989714878764929</v>
      </c>
      <c r="CF152" s="98"/>
      <c r="CG152" s="137">
        <f>(CG151/4)/CG$26*100</f>
        <v>-8.2747536670849726</v>
      </c>
      <c r="CH152" s="98"/>
      <c r="CI152" s="137">
        <f>(CI151/4)/CI$26*100</f>
        <v>37.306834846890183</v>
      </c>
      <c r="CJ152" s="98"/>
      <c r="CK152" s="137">
        <f>(CK151/4)/CK$26*100</f>
        <v>3.7221288852220464</v>
      </c>
      <c r="CL152" s="98"/>
      <c r="CM152" s="137">
        <f>(CM151/4)/CM$26*100</f>
        <v>24.786320365088184</v>
      </c>
      <c r="CN152" s="98"/>
      <c r="CO152" s="137">
        <f>(CO151/4)/CO$26*100</f>
        <v>-187.61792601896514</v>
      </c>
      <c r="CP152" s="98"/>
      <c r="CQ152" s="494">
        <f>(CQ151/4)/CQ$26*100</f>
        <v>-8.1261594374042545</v>
      </c>
      <c r="CR152" s="98"/>
      <c r="CS152" s="137">
        <f>(CS151/4)/CS$26*100</f>
        <v>18.662865731240672</v>
      </c>
      <c r="CT152" s="98"/>
      <c r="CU152" s="137">
        <f>(CU151/4)/CU$26*100</f>
        <v>14.331693314214752</v>
      </c>
      <c r="CV152" s="98"/>
      <c r="CW152" s="137">
        <f>(CW151/4)/CW$26*100</f>
        <v>-47.724664646638381</v>
      </c>
      <c r="CX152" s="98"/>
      <c r="CY152" s="137">
        <f>(CY151/4)/CY$26*100</f>
        <v>36.490466453827814</v>
      </c>
      <c r="CZ152" s="98"/>
      <c r="DA152" s="137">
        <f>(DA151/4)/DA$26*100</f>
        <v>-33.807944867043751</v>
      </c>
      <c r="DB152" s="98"/>
      <c r="DC152" s="137">
        <f>(DC151/4)/DC$26*100</f>
        <v>9.997310623038997</v>
      </c>
      <c r="DD152" s="98"/>
      <c r="DE152" s="137">
        <f>(DE151/4)/DE$26*100</f>
        <v>-70.75108382297924</v>
      </c>
      <c r="DF152" s="98"/>
      <c r="DG152" s="137">
        <f>(DG151/4)/DG$26*100</f>
        <v>28.025398832383676</v>
      </c>
      <c r="DH152" s="98"/>
      <c r="DI152" s="137">
        <f>(DI151/4)/DI$26*100</f>
        <v>10.455872035006312</v>
      </c>
      <c r="DJ152" s="98"/>
      <c r="DK152" s="137">
        <f>(DK151/4)/DK$26*100</f>
        <v>139.31902458706139</v>
      </c>
      <c r="DL152" s="98"/>
      <c r="DM152" s="137">
        <f>(DM151/4)/DM$26*100</f>
        <v>44.390827427919028</v>
      </c>
      <c r="DN152" s="98" t="str">
        <f t="shared" si="843"/>
        <v>NM</v>
      </c>
      <c r="DO152" s="137">
        <f>(DO151/4)/DO$26*100</f>
        <v>-58.603620147731164</v>
      </c>
      <c r="DP152" s="98" t="str">
        <f t="shared" si="843"/>
        <v>NM</v>
      </c>
      <c r="DQ152" s="137">
        <f>(DQ151/4)/DQ$26*100</f>
        <v>30.66357920375194</v>
      </c>
      <c r="DR152" s="98" t="str">
        <f t="shared" si="843"/>
        <v>NM</v>
      </c>
      <c r="DS152" s="137">
        <f>(DS151/4)/DS$26*100</f>
        <v>406.35729036017887</v>
      </c>
      <c r="DT152" s="98" t="str">
        <f t="shared" si="843"/>
        <v>NM</v>
      </c>
      <c r="DU152" s="137">
        <f>(DU151/4)/DU$26*100</f>
        <v>-307.33058028787627</v>
      </c>
      <c r="DV152" s="98" t="str">
        <f t="shared" si="843"/>
        <v>NM</v>
      </c>
      <c r="DW152" s="137">
        <f>(DW151/4)/DW$26*100</f>
        <v>-0.5248811335950887</v>
      </c>
      <c r="DX152" s="98" t="str">
        <f t="shared" si="843"/>
        <v>NM</v>
      </c>
      <c r="DY152" s="137">
        <f>(DY151/4)/DY$26*100</f>
        <v>1.6920555400689798</v>
      </c>
      <c r="DZ152" s="98" t="str">
        <f t="shared" si="843"/>
        <v>NM</v>
      </c>
      <c r="EA152" s="137">
        <f>(EA151/4)/EA$26*100</f>
        <v>326.92504946851386</v>
      </c>
      <c r="EB152" s="98">
        <f t="shared" si="844"/>
        <v>-19.547389151369586</v>
      </c>
      <c r="EC152" s="137">
        <f>(EC151/4)/EC$26*100</f>
        <v>166.16238417380899</v>
      </c>
      <c r="ED152" s="98" t="str">
        <f t="shared" si="845"/>
        <v>NM</v>
      </c>
      <c r="EE152" s="137">
        <f>(EE151/4)/EE$26*100</f>
        <v>31.148468129919678</v>
      </c>
      <c r="EF152" s="860" t="str">
        <f t="shared" si="846"/>
        <v>NM</v>
      </c>
      <c r="EG152" s="137">
        <f>(EG151/4)/EG$26*100</f>
        <v>-61.902963904457344</v>
      </c>
      <c r="EH152" s="860" t="str">
        <f t="shared" si="847"/>
        <v>NM</v>
      </c>
      <c r="EI152" s="137">
        <f>(EI151/4)/EI$26*100</f>
        <v>22.994832838380674</v>
      </c>
      <c r="EJ152" s="860" t="str">
        <f t="shared" si="848"/>
        <v>NM</v>
      </c>
      <c r="EK152" s="137">
        <f>(EK151/4)/EK$26*100</f>
        <v>60.566534171781718</v>
      </c>
      <c r="EL152" s="860" t="str">
        <f t="shared" si="849"/>
        <v>NM</v>
      </c>
      <c r="EM152" s="137">
        <f>(EM151/4)/EM$26*100</f>
        <v>32.006239142449779</v>
      </c>
      <c r="EN152" s="860">
        <f t="shared" si="850"/>
        <v>2.753814437847657</v>
      </c>
      <c r="EO152" s="137">
        <f>(EO151/4)/EO$26*100</f>
        <v>15.408484230213379</v>
      </c>
      <c r="EP152" s="98" t="str">
        <f t="shared" si="851"/>
        <v>NM</v>
      </c>
      <c r="EQ152" s="1026">
        <f t="shared" ref="EQ152" si="866">EO152</f>
        <v>15.408484230213379</v>
      </c>
      <c r="ER152" s="98">
        <f t="shared" si="853"/>
        <v>-32.991536235501229</v>
      </c>
      <c r="ES152" s="1026">
        <f t="shared" ref="ES152" si="867">EQ152</f>
        <v>15.408484230213379</v>
      </c>
      <c r="ET152" s="98" t="str">
        <f t="shared" si="855"/>
        <v>NM</v>
      </c>
      <c r="EU152" s="1026">
        <f t="shared" ref="EU152" si="868">ES152</f>
        <v>15.408484230213379</v>
      </c>
      <c r="EV152" s="98" t="str">
        <f t="shared" si="857"/>
        <v>NM</v>
      </c>
      <c r="EW152" s="1026">
        <f t="shared" ref="EW152" si="869">EU152</f>
        <v>15.408484230213379</v>
      </c>
      <c r="EX152" s="98">
        <f t="shared" si="859"/>
        <v>0</v>
      </c>
      <c r="EY152" s="125"/>
      <c r="EZ152" s="596"/>
      <c r="FA152" s="407"/>
      <c r="FB152" s="255"/>
      <c r="FC152" s="127"/>
      <c r="FD152" s="137"/>
      <c r="FE152" s="127"/>
      <c r="FF152" s="137"/>
      <c r="FG152" s="127"/>
      <c r="FH152" s="137"/>
      <c r="FI152" s="127"/>
      <c r="FJ152" s="137"/>
      <c r="FK152" s="127"/>
      <c r="FL152" s="137"/>
      <c r="FM152" s="127"/>
      <c r="FN152" s="129"/>
      <c r="FO152" s="127"/>
      <c r="FP152" s="129"/>
      <c r="FQ152" s="127"/>
      <c r="FR152" s="130"/>
      <c r="FS152" s="120"/>
      <c r="FT152" s="130"/>
      <c r="FU152" s="120"/>
      <c r="FV152" s="130"/>
      <c r="FW152" s="98"/>
      <c r="FX152" s="487"/>
      <c r="FY152" s="98"/>
      <c r="FZ152" s="130"/>
      <c r="GA152" s="98"/>
      <c r="GB152" s="487"/>
      <c r="GC152" s="98"/>
      <c r="GD152" s="130"/>
      <c r="GE152" s="98"/>
      <c r="GF152" s="130"/>
      <c r="GG152" s="98"/>
      <c r="GH152" s="130"/>
      <c r="GI152" s="98"/>
      <c r="GJ152" s="130"/>
      <c r="GK152" s="98"/>
      <c r="GL152" s="130"/>
      <c r="GM152" s="98"/>
      <c r="GN152" s="130"/>
      <c r="GO152" s="98"/>
      <c r="GP152" s="130"/>
      <c r="GQ152" s="98"/>
      <c r="GR152" s="80">
        <f>+GP152</f>
        <v>0</v>
      </c>
      <c r="GS152" s="98"/>
      <c r="GT152" s="80">
        <f>+GR152</f>
        <v>0</v>
      </c>
      <c r="GU152" s="98"/>
      <c r="GV152" s="80">
        <f>+GT152</f>
        <v>0</v>
      </c>
      <c r="GW152" s="98"/>
      <c r="GX152" s="80">
        <f>+GV152</f>
        <v>0</v>
      </c>
      <c r="GY152" s="98"/>
      <c r="GZ152" s="98" t="str">
        <f>IF(ISERROR(((GX152/GN152)^0.2-1)*100),"NA",IF((((GX152/GN152)^0.2-1)*100)&gt;100,"NM",IF((((GX152/GN152)^0.2-1)*100)&lt;-50,"NM",((GX152/GN152)^0.2-1)*100)))</f>
        <v>NA</v>
      </c>
      <c r="HA152" s="98"/>
      <c r="HB152" s="10"/>
      <c r="HC152"/>
      <c r="HD152"/>
      <c r="HE152"/>
      <c r="HF152"/>
      <c r="HG152"/>
      <c r="HH152"/>
      <c r="HI152" s="10"/>
    </row>
    <row r="153" spans="1:217" s="2" customFormat="1" ht="12.75" customHeight="1" x14ac:dyDescent="0.2">
      <c r="B153" s="91"/>
      <c r="C153" s="166"/>
      <c r="D153" s="156"/>
      <c r="E153" s="166"/>
      <c r="F153" s="156"/>
      <c r="G153" s="166"/>
      <c r="H153" s="156"/>
      <c r="I153" s="166"/>
      <c r="J153" s="156"/>
      <c r="K153" s="166"/>
      <c r="L153" s="156"/>
      <c r="M153" s="166"/>
      <c r="N153" s="156"/>
      <c r="O153" s="166"/>
      <c r="P153" s="156"/>
      <c r="Q153" s="166"/>
      <c r="R153" s="156"/>
      <c r="S153" s="166"/>
      <c r="T153" s="156"/>
      <c r="U153" s="166"/>
      <c r="V153" s="156"/>
      <c r="W153" s="166"/>
      <c r="X153" s="156"/>
      <c r="Y153" s="166"/>
      <c r="Z153" s="156"/>
      <c r="AA153" s="166"/>
      <c r="AB153" s="156"/>
      <c r="AC153" s="166"/>
      <c r="AD153" s="156"/>
      <c r="AE153" s="166"/>
      <c r="AF153" s="156"/>
      <c r="AG153" s="166"/>
      <c r="AH153" s="156"/>
      <c r="AI153" s="166"/>
      <c r="AJ153" s="156"/>
      <c r="AK153" s="166"/>
      <c r="AL153" s="156"/>
      <c r="AM153" s="166"/>
      <c r="AN153" s="156"/>
      <c r="AO153" s="166"/>
      <c r="AP153" s="156"/>
      <c r="AQ153" s="166"/>
      <c r="AR153" s="156"/>
      <c r="AS153" s="166"/>
      <c r="AT153" s="156"/>
      <c r="AU153" s="166"/>
      <c r="AV153" s="156"/>
      <c r="AW153" s="166"/>
      <c r="AX153" s="156"/>
      <c r="AY153" s="166"/>
      <c r="AZ153" s="156"/>
      <c r="BA153" s="166"/>
      <c r="BB153" s="156"/>
      <c r="BC153" s="166"/>
      <c r="BD153" s="156"/>
      <c r="BE153" s="166"/>
      <c r="BF153" s="156"/>
      <c r="BG153" s="166"/>
      <c r="BH153" s="156"/>
      <c r="BI153" s="166"/>
      <c r="BJ153" s="156"/>
      <c r="BK153" s="166"/>
      <c r="BL153" s="156"/>
      <c r="BM153" s="166"/>
      <c r="BN153" s="98"/>
      <c r="BO153" s="137"/>
      <c r="BP153" s="98"/>
      <c r="BQ153" s="137"/>
      <c r="BR153" s="98"/>
      <c r="BS153" s="137"/>
      <c r="BT153" s="98"/>
      <c r="BU153" s="137"/>
      <c r="BV153" s="98"/>
      <c r="BW153" s="137"/>
      <c r="BX153" s="98"/>
      <c r="BY153" s="137"/>
      <c r="BZ153" s="98"/>
      <c r="CA153" s="137"/>
      <c r="CB153" s="98"/>
      <c r="CC153" s="137"/>
      <c r="CD153" s="98"/>
      <c r="CE153" s="137"/>
      <c r="CF153" s="98"/>
      <c r="CG153" s="137"/>
      <c r="CH153" s="98"/>
      <c r="CI153" s="137"/>
      <c r="CJ153" s="98"/>
      <c r="CK153" s="137"/>
      <c r="CL153" s="98"/>
      <c r="CM153" s="137"/>
      <c r="CN153" s="98"/>
      <c r="CO153" s="137"/>
      <c r="CP153" s="98"/>
      <c r="CQ153" s="494"/>
      <c r="CR153" s="98"/>
      <c r="CS153" s="137"/>
      <c r="CT153" s="98"/>
      <c r="CU153" s="137"/>
      <c r="CV153" s="98"/>
      <c r="CW153" s="137"/>
      <c r="CX153" s="98"/>
      <c r="CY153" s="137"/>
      <c r="CZ153" s="98"/>
      <c r="DA153" s="137"/>
      <c r="DB153" s="98"/>
      <c r="DC153" s="137"/>
      <c r="DD153" s="98"/>
      <c r="DE153" s="137"/>
      <c r="DF153" s="98"/>
      <c r="DG153" s="137"/>
      <c r="DH153" s="98"/>
      <c r="DI153" s="137"/>
      <c r="DJ153" s="98"/>
      <c r="DK153" s="137"/>
      <c r="DL153" s="98"/>
      <c r="DM153" s="137"/>
      <c r="DN153" s="98"/>
      <c r="DO153" s="137"/>
      <c r="DP153" s="98"/>
      <c r="DQ153" s="137"/>
      <c r="DR153" s="98"/>
      <c r="DS153" s="137"/>
      <c r="DT153" s="98"/>
      <c r="DU153" s="137"/>
      <c r="DV153" s="98"/>
      <c r="DW153" s="137"/>
      <c r="DX153" s="98"/>
      <c r="DY153" s="137"/>
      <c r="DZ153" s="98"/>
      <c r="EA153" s="137"/>
      <c r="EB153" s="98"/>
      <c r="EC153" s="137"/>
      <c r="ED153" s="98"/>
      <c r="EE153" s="137"/>
      <c r="EF153" s="860"/>
      <c r="EG153" s="137"/>
      <c r="EH153" s="860"/>
      <c r="EI153" s="137"/>
      <c r="EJ153" s="860"/>
      <c r="EK153" s="137"/>
      <c r="EL153" s="860"/>
      <c r="EM153" s="137"/>
      <c r="EN153" s="860"/>
      <c r="EO153" s="137"/>
      <c r="EP153" s="98"/>
      <c r="EQ153" s="1026"/>
      <c r="ER153" s="98"/>
      <c r="ES153" s="1026"/>
      <c r="ET153" s="98"/>
      <c r="EU153" s="1026"/>
      <c r="EV153" s="98"/>
      <c r="EW153" s="1026"/>
      <c r="EX153" s="98"/>
      <c r="EY153" s="80"/>
      <c r="EZ153" s="594"/>
      <c r="FA153" s="405"/>
      <c r="FB153" s="114"/>
      <c r="FC153" s="98"/>
      <c r="FD153" s="137"/>
      <c r="FE153" s="98"/>
      <c r="FF153" s="125"/>
      <c r="FG153" s="98"/>
      <c r="FH153" s="125"/>
      <c r="FI153" s="98"/>
      <c r="FJ153" s="125"/>
      <c r="FK153" s="98"/>
      <c r="FL153" s="125"/>
      <c r="FM153" s="98"/>
      <c r="FN153" s="125"/>
      <c r="FO153" s="98"/>
      <c r="FP153" s="125"/>
      <c r="FQ153" s="98"/>
      <c r="FR153" s="130"/>
      <c r="FS153" s="120"/>
      <c r="FT153" s="130"/>
      <c r="FU153" s="120"/>
      <c r="FV153" s="130"/>
      <c r="FW153" s="98"/>
      <c r="FX153" s="487"/>
      <c r="FY153" s="98"/>
      <c r="FZ153" s="130"/>
      <c r="GA153" s="98"/>
      <c r="GB153" s="487"/>
      <c r="GC153" s="98"/>
      <c r="GD153" s="130"/>
      <c r="GE153" s="98"/>
      <c r="GF153" s="130"/>
      <c r="GG153" s="98"/>
      <c r="GH153" s="130"/>
      <c r="GI153" s="98"/>
      <c r="GJ153" s="130"/>
      <c r="GK153" s="98"/>
      <c r="GL153" s="130"/>
      <c r="GM153" s="98"/>
      <c r="GN153" s="130"/>
      <c r="GO153" s="98"/>
      <c r="GP153" s="130"/>
      <c r="GQ153" s="98"/>
      <c r="GR153" s="80"/>
      <c r="GS153" s="98"/>
      <c r="GT153" s="80"/>
      <c r="GU153" s="98"/>
      <c r="GV153" s="80"/>
      <c r="GW153" s="98"/>
      <c r="GX153" s="80"/>
      <c r="GY153" s="98"/>
      <c r="GZ153" s="98"/>
      <c r="HA153" s="98"/>
      <c r="HB153" s="10"/>
      <c r="HC153"/>
      <c r="HD153"/>
      <c r="HE153"/>
      <c r="HF153"/>
      <c r="HG153"/>
      <c r="HH153"/>
      <c r="HI153" s="10"/>
    </row>
    <row r="154" spans="1:217" s="2" customFormat="1" ht="12.75" customHeight="1" x14ac:dyDescent="0.2">
      <c r="B154" s="91" t="s">
        <v>353</v>
      </c>
      <c r="C154" s="256">
        <f>C144+C146</f>
        <v>-296</v>
      </c>
      <c r="D154" s="154"/>
      <c r="E154" s="256">
        <f>E144+E146</f>
        <v>-1423</v>
      </c>
      <c r="F154" s="154"/>
      <c r="G154" s="256">
        <f>G144+G146</f>
        <v>-411</v>
      </c>
      <c r="H154" s="154"/>
      <c r="I154" s="256">
        <f>I144+I146</f>
        <v>-1091</v>
      </c>
      <c r="J154" s="156"/>
      <c r="K154" s="256">
        <f>K144+K146</f>
        <v>-1625</v>
      </c>
      <c r="L154" s="156" t="str">
        <f>IF(ISERROR((K154/C154-1)*100),"NA",IF(((K154/C154-1)*100)&gt;100,"NM",IF(((K154/C154-1)*100)&lt;-50,"NM",(K154/C154-1)*100)))</f>
        <v>NM</v>
      </c>
      <c r="M154" s="256">
        <f>M144+M146</f>
        <v>-499</v>
      </c>
      <c r="N154" s="156" t="str">
        <f>IF(ISERROR((M154/E154-1)*100),"NA",IF(((M154/E154-1)*100)&gt;100,"NM",IF(((M154/E154-1)*100)&lt;-50,"NM",(M154/E154-1)*100)))</f>
        <v>NM</v>
      </c>
      <c r="O154" s="256">
        <f>O144+O146</f>
        <v>-656</v>
      </c>
      <c r="P154" s="156">
        <f>IF(ISERROR((O154/G154-1)*100),"NA",IF(((O154/G154-1)*100)&gt;100,"NM",IF(((O154/G154-1)*100)&lt;-50,"NM",(O154/G154-1)*100)))</f>
        <v>59.61070559610706</v>
      </c>
      <c r="Q154" s="256">
        <f>Q144+Q146</f>
        <v>-2000</v>
      </c>
      <c r="R154" s="156">
        <f>IF(ISERROR((Q154/I154-1)*100),"NA",IF(((Q154/I154-1)*100)&gt;100,"NM",IF(((Q154/I154-1)*100)&lt;-50,"NM",(Q154/I154-1)*100)))</f>
        <v>83.318056828597605</v>
      </c>
      <c r="S154" s="256">
        <f>S144+S146</f>
        <v>-901</v>
      </c>
      <c r="T154" s="156">
        <f>IF(ISERROR((S154/K154-1)*100),"NA",IF(((S154/K154-1)*100)&gt;100,"NM",IF(((S154/K154-1)*100)&lt;-50,"NM",(S154/K154-1)*100)))</f>
        <v>-44.553846153846152</v>
      </c>
      <c r="U154" s="256">
        <f>U144+U146</f>
        <v>-522</v>
      </c>
      <c r="V154" s="156">
        <f>IF(ISERROR((U154/M154-1)*100),"NA",IF(((U154/M154-1)*100)&gt;100,"NM",IF(((U154/M154-1)*100)&lt;-50,"NM",(U154/M154-1)*100)))</f>
        <v>4.609218436873741</v>
      </c>
      <c r="W154" s="256">
        <f>W144+W146</f>
        <v>227</v>
      </c>
      <c r="X154" s="156" t="str">
        <f>IF(ISERROR((W154/O154-1)*100),"NA",IF(((W154/O154-1)*100)&gt;100,"NM",IF(((W154/O154-1)*100)&lt;-50,"NM",(W154/O154-1)*100)))</f>
        <v>NM</v>
      </c>
      <c r="Y154" s="256">
        <f>Y144+Y146</f>
        <v>298</v>
      </c>
      <c r="Z154" s="156" t="str">
        <f>IF(ISERROR((Y154/Q154-1)*100),"NA",IF(((Y154/Q154-1)*100)&gt;100,"NM",IF(((Y154/Q154-1)*100)&lt;-50,"NM",(Y154/Q154-1)*100)))</f>
        <v>NM</v>
      </c>
      <c r="AA154" s="256">
        <f>AA144+AA146</f>
        <v>-63</v>
      </c>
      <c r="AB154" s="156" t="str">
        <f>IF(ISERROR((AA154/S154-1)*100),"NA",IF(((AA154/S154-1)*100)&gt;100,"NM",IF(((AA154/S154-1)*100)&lt;-50,"NM",(AA154/S154-1)*100)))</f>
        <v>NM</v>
      </c>
      <c r="AC154" s="256">
        <f>AC144+AC146</f>
        <v>-60</v>
      </c>
      <c r="AD154" s="156" t="str">
        <f>IF(ISERROR((AC154/U154-1)*100),"NA",IF(((AC154/U154-1)*100)&gt;100,"NM",IF(((AC154/U154-1)*100)&lt;-50,"NM",(AC154/U154-1)*100)))</f>
        <v>NM</v>
      </c>
      <c r="AE154" s="256">
        <f>AE144+AE146</f>
        <v>-162</v>
      </c>
      <c r="AF154" s="156" t="str">
        <f>IF(ISERROR((AE154/W154-1)*100),"NA",IF(((AE154/W154-1)*100)&gt;100,"NM",IF(((AE154/W154-1)*100)&lt;-50,"NM",(AE154/W154-1)*100)))</f>
        <v>NM</v>
      </c>
      <c r="AG154" s="256">
        <f>AG144+AG146</f>
        <v>-150</v>
      </c>
      <c r="AH154" s="156" t="str">
        <f>IF(ISERROR((AG154/Y154-1)*100),"NA",IF(((AG154/Y154-1)*100)&gt;100,"NM",IF(((AG154/Y154-1)*100)&lt;-50,"NM",(AG154/Y154-1)*100)))</f>
        <v>NM</v>
      </c>
      <c r="AI154" s="256">
        <f>AI144+AI146</f>
        <v>-507</v>
      </c>
      <c r="AJ154" s="156" t="str">
        <f>IF(ISERROR((AI154/AA154-1)*100),"NA",IF(((AI154/AA154-1)*100)&gt;100,"NM",IF(((AI154/AA154-1)*100)&lt;-50,"NM",(AI154/AA154-1)*100)))</f>
        <v>NM</v>
      </c>
      <c r="AK154" s="256">
        <f>AK144+AK146</f>
        <v>-137</v>
      </c>
      <c r="AL154" s="156" t="str">
        <f>IF(ISERROR((AK154/AC154-1)*100),"NA",IF(((AK154/AC154-1)*100)&gt;100,"NM",IF(((AK154/AC154-1)*100)&lt;-50,"NM",(AK154/AC154-1)*100)))</f>
        <v>NM</v>
      </c>
      <c r="AM154" s="256">
        <f>AM144+AM146</f>
        <v>-185</v>
      </c>
      <c r="AN154" s="156">
        <f>IF(ISERROR((AM154/AE154-1)*100),"NA",IF(((AM154/AE154-1)*100)&gt;100,"NM",IF(((AM154/AE154-1)*100)&lt;-50,"NM",(AM154/AE154-1)*100)))</f>
        <v>14.197530864197528</v>
      </c>
      <c r="AO154" s="256">
        <f>AO144+AO146</f>
        <v>-380</v>
      </c>
      <c r="AP154" s="156" t="str">
        <f>IF(ISERROR((AO154/AG154-1)*100),"NA",IF(((AO154/AG154-1)*100)&gt;100,"NM",IF(((AO154/AG154-1)*100)&lt;-50,"NM",(AO154/AG154-1)*100)))</f>
        <v>NM</v>
      </c>
      <c r="AQ154" s="256">
        <f>AQ144+AQ146</f>
        <v>-260</v>
      </c>
      <c r="AR154" s="156">
        <f>IF(ISERROR((AQ154/AI154-1)*100),"NA",IF(((AQ154/AI154-1)*100)&gt;100,"NM",IF(((AQ154/AI154-1)*100)&lt;-50,"NM",(AQ154/AI154-1)*100)))</f>
        <v>-48.717948717948723</v>
      </c>
      <c r="AS154" s="256">
        <f>AS144+AS146</f>
        <v>-439</v>
      </c>
      <c r="AT154" s="156" t="str">
        <f>IF(ISERROR((AS154/AK154-1)*100),"NA",IF(((AS154/AK154-1)*100)&gt;100,"NM",IF(((AS154/AK154-1)*100)&lt;-50,"NM",(AS154/AK154-1)*100)))</f>
        <v>NM</v>
      </c>
      <c r="AU154" s="256">
        <f>AU144+AU146</f>
        <v>1865</v>
      </c>
      <c r="AV154" s="156" t="str">
        <f>IF(ISERROR((AU154/AM154-1)*100),"NA",IF(((AU154/AM154-1)*100)&gt;100,"NM",IF(((AU154/AM154-1)*100)&lt;-50,"NM",(AU154/AM154-1)*100)))</f>
        <v>NM</v>
      </c>
      <c r="AW154" s="256">
        <f>AW144+AW146</f>
        <v>-661</v>
      </c>
      <c r="AX154" s="156">
        <f>IF(ISERROR((AW154/AO154-1)*100),"NA",IF(((AW154/AO154-1)*100)&gt;100,"NM",IF(((AW154/AO154-1)*100)&lt;-50,"NM",(AW154/AO154-1)*100)))</f>
        <v>73.94736842105263</v>
      </c>
      <c r="AY154" s="256">
        <f>AY144+AY146</f>
        <v>-1271</v>
      </c>
      <c r="AZ154" s="156" t="str">
        <f>IF(ISERROR((AY154/AQ154-1)*100),"NA",IF(((AY154/AQ154-1)*100)&gt;100,"NM",IF(((AY154/AQ154-1)*100)&lt;-50,"NM",(AY154/AQ154-1)*100)))</f>
        <v>NM</v>
      </c>
      <c r="BA154" s="256">
        <f>BA144+BA146</f>
        <v>-275</v>
      </c>
      <c r="BB154" s="156">
        <f>IF(ISERROR((BA154/AS154-1)*100),"NA",IF(((BA154/AS154-1)*100)&gt;100,"NM",IF(((BA154/AS154-1)*100)&lt;-50,"NM",(BA154/AS154-1)*100)))</f>
        <v>-37.357630979498857</v>
      </c>
      <c r="BC154" s="256">
        <f>BC144+BC146</f>
        <v>-1754</v>
      </c>
      <c r="BD154" s="156" t="str">
        <f>IF(ISERROR((BC154/AU154-1)*100),"NA",IF(((BC154/AU154-1)*100)&gt;100,"NM",IF(((BC154/AU154-1)*100)&lt;-50,"NM",(BC154/AU154-1)*100)))</f>
        <v>NM</v>
      </c>
      <c r="BE154" s="256">
        <f>BE144+BE146</f>
        <v>-409</v>
      </c>
      <c r="BF154" s="156">
        <f>IF(ISERROR((BE154/AW154-1)*100),"NA",IF(((BE154/AW154-1)*100)&gt;100,"NM",IF(((BE154/AW154-1)*100)&lt;-50,"NM",(BE154/AW154-1)*100)))</f>
        <v>-38.124054462934943</v>
      </c>
      <c r="BG154" s="256">
        <f>BG144+BG146</f>
        <v>-780</v>
      </c>
      <c r="BH154" s="156">
        <f>IF(ISERROR((BG154/AY154-1)*100),"NA",IF(((BG154/AY154-1)*100)&gt;100,"NM",IF(((BG154/AY154-1)*100)&lt;-50,"NM",(BG154/AY154-1)*100)))</f>
        <v>-38.63099921321794</v>
      </c>
      <c r="BI154" s="256">
        <f>BI144+BI146</f>
        <v>-298</v>
      </c>
      <c r="BJ154" s="156">
        <f>IF(ISERROR((BI154/BA154-1)*100),"NA",IF(((BI154/BA154-1)*100)&gt;100,"NM",IF(((BI154/BA154-1)*100)&lt;0,"NM",(BI154/BA154-1)*100)))</f>
        <v>8.363636363636374</v>
      </c>
      <c r="BK154" s="256">
        <f>BK144+BK146</f>
        <v>-477</v>
      </c>
      <c r="BL154" s="156" t="str">
        <f>IF(ISERROR((BK154/BC154-1)*100),"NA",IF(((BK154/BC154-1)*100)&gt;100,"NM",IF(((BK154/BC154-1)*100)&lt;-50,"NM",(BK154/BC154-1)*100)))</f>
        <v>NM</v>
      </c>
      <c r="BM154" s="256">
        <f>BM144+BM146</f>
        <v>-888</v>
      </c>
      <c r="BN154" s="98" t="str">
        <f>IF(ISERROR((BM154/BE154-1)*100),"NA",IF(((BM154/BE154-1)*100)&gt;100,"NM",IF(((BM154/BE154-1)*100)&lt;-50,"NM",(BM154/BE154-1)*100)))</f>
        <v>NM</v>
      </c>
      <c r="BO154" s="257">
        <f>BO144+BO146</f>
        <v>-490</v>
      </c>
      <c r="BP154" s="98">
        <f>IF(ISERROR((BO154/BG154-1)*100),"NA",IF(((BO154/BG154-1)*100)&gt;100,"NM",IF(((BO154/BG154-1)*100)&lt;-50,"NM",(BO154/BG154-1)*100)))</f>
        <v>-37.179487179487182</v>
      </c>
      <c r="BQ154" s="257">
        <f>BQ144+BQ146</f>
        <v>-799</v>
      </c>
      <c r="BR154" s="98" t="str">
        <f>IF(ISERROR((BQ154/BI154-1)*100),"NA",IF(((BQ154/BI154-1)*100)&gt;100,"NM",IF(((BQ154/BI154-1)*100)&lt;-50,"NM",(BQ154/BI154-1)*100)))</f>
        <v>NM</v>
      </c>
      <c r="BS154" s="257">
        <f>BS144+BS146</f>
        <v>447</v>
      </c>
      <c r="BT154" s="98" t="str">
        <f>IF(ISERROR((BS154/BK154-1)*100),"NA",IF(((BS154/BK154-1)*100)&gt;100,"NM",IF(((BS154/BK154-1)*100)&lt;-50,"NM",(BS154/BK154-1)*100)))</f>
        <v>NM</v>
      </c>
      <c r="BU154" s="257">
        <f>BU144+BU146</f>
        <v>-1907</v>
      </c>
      <c r="BV154" s="98" t="str">
        <f>IF(ISERROR((BU154/BM154-1)*100),"NA",IF(((BU154/BM154-1)*100)&gt;100,"NM",IF(((BU154/BM154-1)*100)&lt;-50,"NM",(BU154/BM154-1)*100)))</f>
        <v>NM</v>
      </c>
      <c r="BW154" s="257">
        <f>BW144+BW146</f>
        <v>-2103</v>
      </c>
      <c r="BX154" s="98" t="str">
        <f>IF(ISERROR((BW154/BO154-1)*100),"NA",IF(((BW154/BO154-1)*100)&gt;100,"NM",IF(((BW154/BO154-1)*100)&lt;-50,"NM",(BW154/BO154-1)*100)))</f>
        <v>NM</v>
      </c>
      <c r="BY154" s="257">
        <f>BY144+BY146</f>
        <v>-2023</v>
      </c>
      <c r="BZ154" s="98" t="str">
        <f>IF(ISERROR((BY154/BQ154-1)*100),"NA",IF(((BY154/BQ154-1)*100)&gt;100,"NM",IF(((BY154/BQ154-1)*100)&lt;-50,"NM",(BY154/BQ154-1)*100)))</f>
        <v>NM</v>
      </c>
      <c r="CA154" s="257">
        <f>CA144+CA146</f>
        <v>1019</v>
      </c>
      <c r="CB154" s="98" t="str">
        <f>IF(ISERROR((CA154/BS154-1)*100),"NA",IF(((CA154/BS154-1)*100)&gt;100,"NM",IF(((CA154/BS154-1)*100)&lt;-50,"NM",(CA154/BS154-1)*100)))</f>
        <v>NM</v>
      </c>
      <c r="CC154" s="257">
        <f>CC144+CC146</f>
        <v>-667</v>
      </c>
      <c r="CD154" s="98" t="str">
        <f>IF(ISERROR((CC154/BU154-1)*100),"NA",IF(((CC154/BU154-1)*100)&gt;100,"NM",IF(((CC154/BU154-1)*100)&lt;-50,"NM",(CC154/BU154-1)*100)))</f>
        <v>NM</v>
      </c>
      <c r="CE154" s="257">
        <f>CE144+CE146</f>
        <v>2096</v>
      </c>
      <c r="CF154" s="98" t="str">
        <f>IF(ISERROR((CE154/BW154-1)*100),"NA",IF(((CE154/BW154-1)*100)&gt;100,"NM",IF(((CE154/BW154-1)*100)&lt;-50,"NM",(CE154/BW154-1)*100)))</f>
        <v>NM</v>
      </c>
      <c r="CG154" s="257">
        <f>CG144+CG146</f>
        <v>599</v>
      </c>
      <c r="CH154" s="98" t="str">
        <f>IF(ISERROR((CG154/BY154-1)*100),"NA",IF(((CG154/BY154-1)*100)&gt;100,"NM",IF(((CG154/BY154-1)*100)&lt;-50,"NM",(CG154/BY154-1)*100)))</f>
        <v>NM</v>
      </c>
      <c r="CI154" s="257">
        <f>CI144+CI146</f>
        <v>4723</v>
      </c>
      <c r="CJ154" s="98" t="str">
        <f>IF(ISERROR((CI154/CA154-1)*100),"NA",IF(((CI154/CA154-1)*100)&gt;100,"NM",IF(((CI154/CA154-1)*100)&lt;-50,"NM",(CI154/CA154-1)*100)))</f>
        <v>NM</v>
      </c>
      <c r="CK154" s="257">
        <f>CK144+CK146</f>
        <v>-304</v>
      </c>
      <c r="CL154" s="98" t="str">
        <f>IF(ISERROR((CK154/CC154-1)*100),"NA",IF(((CK154/CC154-1)*100)&gt;100,"NM",IF(((CK154/CC154-1)*100)&lt;-50,"NM",(CK154/CC154-1)*100)))</f>
        <v>NM</v>
      </c>
      <c r="CM154" s="257">
        <f>CM144+CM146</f>
        <v>3675</v>
      </c>
      <c r="CN154" s="98">
        <f>IF(ISERROR((CM154/CE154-1)*100),"NA",IF(((CM154/CE154-1)*100)&gt;100,"NM",IF(((CM154/CE154-1)*100)&lt;-50,"NM",(CM154/CE154-1)*100)))</f>
        <v>75.333969465648849</v>
      </c>
      <c r="CO154" s="257">
        <f>CO144+CO146</f>
        <v>1179</v>
      </c>
      <c r="CP154" s="98">
        <f>IF(ISERROR((CO154/CG154-1)*100),"NA",IF(((CO154/CG154-1)*100)&gt;100,"NM",IF(((CO154/CG154-1)*100)&lt;-50,"NM",(CO154/CG154-1)*100)))</f>
        <v>96.82804674457428</v>
      </c>
      <c r="CQ154" s="515">
        <f>CQ144+CQ146</f>
        <v>1003</v>
      </c>
      <c r="CR154" s="98" t="str">
        <f>IF(ISERROR((CQ154/CI154-1)*100),"NA",IF(((CQ154/CI154-1)*100)&gt;100,"NM",IF(((CQ154/CI154-1)*100)&lt;-50,"NM",(CQ154/CI154-1)*100)))</f>
        <v>NM</v>
      </c>
      <c r="CS154" s="257">
        <f>CS144+CS146</f>
        <v>-1557</v>
      </c>
      <c r="CT154" s="98" t="str">
        <f>IF(ISERROR((CS154/CK154-1)*100),"NA",IF(((CS154/CK154-1)*100)&gt;100,"NM",IF(((CS154/CK154-1)*100)&lt;-50,"NM",(CS154/CK154-1)*100)))</f>
        <v>NM</v>
      </c>
      <c r="CU154" s="257">
        <f>CU144+CU146</f>
        <v>2669</v>
      </c>
      <c r="CV154" s="98">
        <f>IF(ISERROR((CU154/CM154-1)*100),"NA",IF(((CU154/CM154-1)*100)&gt;100,"NM",IF(((CU154/CM154-1)*100)&lt;-50,"NM",(CU154/CM154-1)*100)))</f>
        <v>-27.374149659863946</v>
      </c>
      <c r="CW154" s="257">
        <f>CW144+CW146</f>
        <v>-8</v>
      </c>
      <c r="CX154" s="98" t="str">
        <f>IF(ISERROR((CW154/CO154-1)*100),"NA",IF(((CW154/CO154-1)*100)&gt;100,"NM",IF(((CW154/CO154-1)*100)&lt;-50,"NM",(CW154/CO154-1)*100)))</f>
        <v>NM</v>
      </c>
      <c r="CY154" s="257">
        <f>CY144+CY146</f>
        <v>5735</v>
      </c>
      <c r="CZ154" s="98" t="str">
        <f>IF(ISERROR((CY154/CQ154-1)*100),"NA",IF(((CY154/CQ154-1)*100)&gt;100,"NM",IF(((CY154/CQ154-1)*100)&lt;-50,"NM",(CY154/CQ154-1)*100)))</f>
        <v>NM</v>
      </c>
      <c r="DA154" s="257">
        <f>DA144+DA146</f>
        <v>-5394</v>
      </c>
      <c r="DB154" s="98" t="str">
        <f>IF(ISERROR((DA154/CS154-1)*100),"NA",IF(((DA154/CS154-1)*100)&gt;100,"NM",IF(((DA154/CS154-1)*100)&lt;-50,"NM",(DA154/CS154-1)*100)))</f>
        <v>NM</v>
      </c>
      <c r="DC154" s="257">
        <f>DC144+DC146</f>
        <v>3163</v>
      </c>
      <c r="DD154" s="98">
        <f>IF(ISERROR((DC154/CU154-1)*100),"NA",IF(((DC154/CU154-1)*100)&gt;100,"NM",IF(((DC154/CU154-1)*100)&lt;-50,"NM",(DC154/CU154-1)*100)))</f>
        <v>18.50880479580368</v>
      </c>
      <c r="DE154" s="257">
        <f>DE144+DE146</f>
        <v>396</v>
      </c>
      <c r="DF154" s="98" t="str">
        <f>IF(ISERROR((DE154/CW154-1)*100),"NA",IF(((DE154/CW154-1)*100)&gt;100,"NM",IF(((DE154/CW154-1)*100)&lt;-50,"NM",(DE154/CW154-1)*100)))</f>
        <v>NM</v>
      </c>
      <c r="DG154" s="257">
        <f>DG144+DG146</f>
        <v>324</v>
      </c>
      <c r="DH154" s="98" t="str">
        <f>IF(ISERROR((DG154/CY154-1)*100),"NA",IF(((DG154/CY154-1)*100)&gt;100,"NM",IF(((DG154/CY154-1)*100)&lt;-50,"NM",(DG154/CY154-1)*100)))</f>
        <v>NM</v>
      </c>
      <c r="DI154" s="257">
        <f>DI144+DI146</f>
        <v>207</v>
      </c>
      <c r="DJ154" s="98" t="str">
        <f>IF(ISERROR((DI154/DA154-1)*100),"NA",IF(((DI154/DA154-1)*100)&gt;100,"NM",IF(((DI154/DA154-1)*100)&lt;-50,"NM",(DI154/DA154-1)*100)))</f>
        <v>NM</v>
      </c>
      <c r="DK154" s="257">
        <f>DK144+DK146</f>
        <v>1194</v>
      </c>
      <c r="DL154" s="98" t="str">
        <f>IF(ISERROR((DK154/DC154-1)*100),"NA",IF(((DK154/DC154-1)*100)&gt;100,"NM",IF(((DK154/DC154-1)*100)&lt;-50,"NM",(DK154/DC154-1)*100)))</f>
        <v>NM</v>
      </c>
      <c r="DM154" s="257">
        <f>DM144+DM146</f>
        <v>448</v>
      </c>
      <c r="DN154" s="98">
        <f>IF(ISERROR((DM154/DE154-1)*100),"NA",IF(((DM154/DE154-1)*100)&gt;100,"NM",IF(((DM154/DE154-1)*100)&lt;-50,"NM",(DM154/DE154-1)*100)))</f>
        <v>13.131313131313128</v>
      </c>
      <c r="DO154" s="257">
        <f>DO144+DO146</f>
        <v>221</v>
      </c>
      <c r="DP154" s="98">
        <f>IF(ISERROR((DO154/DG154-1)*100),"NA",IF(((DO154/DG154-1)*100)&gt;100,"NM",IF(((DO154/DG154-1)*100)&lt;-50,"NM",(DO154/DG154-1)*100)))</f>
        <v>-31.79012345679012</v>
      </c>
      <c r="DQ154" s="257">
        <f>DQ144+DQ146</f>
        <v>-2273</v>
      </c>
      <c r="DR154" s="98" t="str">
        <f>IF(ISERROR((DQ154/DI154-1)*100),"NA",IF(((DQ154/DI154-1)*100)&gt;100,"NM",IF(((DQ154/DI154-1)*100)&lt;-50,"NM",(DQ154/DI154-1)*100)))</f>
        <v>NM</v>
      </c>
      <c r="DS154" s="257">
        <f>DS144+DS146</f>
        <v>3570</v>
      </c>
      <c r="DT154" s="98" t="str">
        <f>IF(ISERROR((DS154/DK154-1)*100),"NA",IF(((DS154/DK154-1)*100)&gt;100,"NM",IF(((DS154/DK154-1)*100)&lt;-50,"NM",(DS154/DK154-1)*100)))</f>
        <v>NM</v>
      </c>
      <c r="DU154" s="257">
        <f>DU144+DU146</f>
        <v>229</v>
      </c>
      <c r="DV154" s="98">
        <f>IF(ISERROR((DU154/DM154-1)*100),"NA",IF(((DU154/DM154-1)*100)&gt;100,"NM",IF(((DU154/DM154-1)*100)&lt;-50,"NM",(DU154/DM154-1)*100)))</f>
        <v>-48.883928571428569</v>
      </c>
      <c r="DW154" s="257">
        <f>DW144+DW146</f>
        <v>-2563</v>
      </c>
      <c r="DX154" s="98" t="str">
        <f>IF(ISERROR((DW154/DO154-1)*100),"NA",IF(((DW154/DO154-1)*100)&gt;100,"NM",IF(((DW154/DO154-1)*100)&lt;-50,"NM",(DW154/DO154-1)*100)))</f>
        <v>NM</v>
      </c>
      <c r="DY154" s="257">
        <f>DY144+DY146</f>
        <v>-1638</v>
      </c>
      <c r="DZ154" s="98">
        <f>IF(ISERROR((DY154/DQ154-1)*100),"NA",IF(((DY154/DQ154-1)*100)&gt;100,"NM",IF(((DY154/DQ154-1)*100)&lt;-50,"NM",(DY154/DQ154-1)*100)))</f>
        <v>-27.936647602287724</v>
      </c>
      <c r="EA154" s="257">
        <f>EA144+EA146</f>
        <v>991</v>
      </c>
      <c r="EB154" s="98" t="str">
        <f>IF(ISERROR((EA154/DS154-1)*100),"NA",IF(((EA154/DS154-1)*100)&gt;100,"NM",IF(((EA154/DS154-1)*100)&lt;-50,"NM",(EA154/DS154-1)*100)))</f>
        <v>NM</v>
      </c>
      <c r="EC154" s="257">
        <f>EC144+EC146</f>
        <v>1672</v>
      </c>
      <c r="ED154" s="98" t="str">
        <f>IF(ISERROR((EC154/DU154-1)*100),"NA",IF(((EC154/DU154-1)*100)&gt;100,"NM",IF(((EC154/DU154-1)*100)&lt;-50,"NM",(EC154/DU154-1)*100)))</f>
        <v>NM</v>
      </c>
      <c r="EE154" s="257">
        <f>EE144+EE146</f>
        <v>-167</v>
      </c>
      <c r="EF154" s="860" t="str">
        <f>IF(ISERROR((EE154/DW154-1)*100),"NA",IF(((EE154/DW154-1)*100)&gt;100,"NM",IF(((EE154/DW154-1)*100)&lt;-50,"NM",(EE154/DW154-1)*100)))</f>
        <v>NM</v>
      </c>
      <c r="EG154" s="257">
        <f>EG144+EG146</f>
        <v>991</v>
      </c>
      <c r="EH154" s="860" t="str">
        <f>IF(ISERROR((EG154/DY154-1)*100),"NA",IF(((EG154/DY154-1)*100)&gt;100,"NM",IF(((EG154/DY154-1)*100)&lt;-50,"NM",(EG154/DY154-1)*100)))</f>
        <v>NM</v>
      </c>
      <c r="EI154" s="257">
        <f>EI144+EI146</f>
        <v>-290</v>
      </c>
      <c r="EJ154" s="860" t="str">
        <f t="shared" ref="EJ154:EJ155" si="870">IF(ISERROR((EI154/EA154-1)*100),"NA",IF(((EI154/EA154-1)*100)&gt;100,"NM",IF(((EI154/EA154-1)*100)&lt;-50,"NM",(EI154/EA154-1)*100)))</f>
        <v>NM</v>
      </c>
      <c r="EK154" s="257">
        <f>EK144+EK146</f>
        <v>-288</v>
      </c>
      <c r="EL154" s="860" t="str">
        <f t="shared" ref="EL154:EL155" si="871">IF(ISERROR((EK154/EC154-1)*100),"NA",IF(((EK154/EC154-1)*100)&gt;100,"NM",IF(((EK154/EC154-1)*100)&lt;-50,"NM",(EK154/EC154-1)*100)))</f>
        <v>NM</v>
      </c>
      <c r="EM154" s="257">
        <f>EM144+EM146</f>
        <v>-5711</v>
      </c>
      <c r="EN154" s="860" t="str">
        <f t="shared" ref="EN154:EN155" si="872">IF(ISERROR((EM154/EE154-1)*100),"NA",IF(((EM154/EE154-1)*100)&gt;100,"NM",IF(((EM154/EE154-1)*100)&lt;-50,"NM",(EM154/EE154-1)*100)))</f>
        <v>NM</v>
      </c>
      <c r="EO154" s="257">
        <f>EO144+EO146</f>
        <v>-2799</v>
      </c>
      <c r="EP154" s="98" t="str">
        <f t="shared" ref="EP154:EP155" si="873">IF(ISERROR((EO154/EG154-1)*100),"NA",IF(((EO154/EG154-1)*100)&gt;100,"NM",IF(((EO154/EG154-1)*100)&lt;-50,"NM",(EO154/EG154-1)*100)))</f>
        <v>NM</v>
      </c>
      <c r="EQ154" s="1041">
        <f t="shared" ref="EQ154" si="874">EQ144+EQ146</f>
        <v>-2650.5866938706117</v>
      </c>
      <c r="ER154" s="98" t="str">
        <f t="shared" ref="ER154:ER155" si="875">IF(ISERROR((EQ154/EI154-1)*100),"NA",IF(((EQ154/EI154-1)*100)&gt;100,"NM",IF(((EQ154/EI154-1)*100)&lt;-50,"NM",(EQ154/EI154-1)*100)))</f>
        <v>NM</v>
      </c>
      <c r="ES154" s="1041">
        <f t="shared" ref="ES154" si="876">ES144+ES146</f>
        <v>-2460.1103602961293</v>
      </c>
      <c r="ET154" s="98" t="str">
        <f t="shared" ref="ET154:ET155" si="877">IF(ISERROR((ES154/EK154-1)*100),"NA",IF(((ES154/EK154-1)*100)&gt;100,"NM",IF(((ES154/EK154-1)*100)&lt;-50,"NM",(ES154/EK154-1)*100)))</f>
        <v>NM</v>
      </c>
      <c r="EU154" s="1041">
        <f t="shared" ref="EU154" si="878">EU144+EU146</f>
        <v>-2296.0378601547518</v>
      </c>
      <c r="EV154" s="98" t="str">
        <f t="shared" ref="EV154:EV155" si="879">IF(ISERROR((EU154/EM154-1)*100),"NA",IF(((EU154/EM154-1)*100)&gt;100,"NM",IF(((EU154/EM154-1)*100)&lt;-50,"NM",(EU154/EM154-1)*100)))</f>
        <v>NM</v>
      </c>
      <c r="EW154" s="1041">
        <f t="shared" ref="EW154" si="880">EW144+EW146</f>
        <v>-2137.535574203785</v>
      </c>
      <c r="EX154" s="98">
        <f t="shared" ref="EX154:EX155" si="881">IF(ISERROR((EW154/EO154-1)*100),"NA",IF(((EW154/EO154-1)*100)&gt;100,"NM",IF(((EW154/EO154-1)*100)&lt;-50,"NM",(EW154/EO154-1)*100)))</f>
        <v>-23.632169553276704</v>
      </c>
      <c r="EY154" s="257"/>
      <c r="EZ154" s="594"/>
      <c r="FA154" s="405"/>
      <c r="FB154" s="95"/>
      <c r="FC154" s="113"/>
      <c r="FD154" s="257">
        <f>FD144+FD146</f>
        <v>-1691</v>
      </c>
      <c r="FE154" s="98" t="str">
        <f>IF(ISERROR((FD154/FB154-1)*100),"NA",IF(((FD154/FB154-1)*100)&gt;100,"NM",IF(((FD154/FB154-1)*100)&lt;-50,"NM",(FD154/FB154-1)*100)))</f>
        <v>NA</v>
      </c>
      <c r="FF154" s="257">
        <f>FF144+FF146</f>
        <v>-3221</v>
      </c>
      <c r="FG154" s="98">
        <f>IF(ISERROR((FF154/FD154-1)*100),"NA",IF(((FF154/FD154-1)*100)&gt;100,"NM",IF(((FF154/FD154-1)*100)&lt;-50,"NM",(FF154/FD154-1)*100)))</f>
        <v>90.479006505026604</v>
      </c>
      <c r="FH154" s="257">
        <f>FH144+FH146</f>
        <v>-4780</v>
      </c>
      <c r="FI154" s="98">
        <f>IF(ISERROR((FH154/FF154-1)*100),"NA",IF(((FH154/FF154-1)*100)&gt;100,"NM",IF(((FH154/FF154-1)*100)&lt;-50,"NM",(FH154/FF154-1)*100)))</f>
        <v>48.401117665321337</v>
      </c>
      <c r="FJ154" s="257">
        <f>FJ144+FJ146</f>
        <v>-898</v>
      </c>
      <c r="FK154" s="98" t="str">
        <f>IF(ISERROR((FJ154/FH154-1)*100),"NA",IF(((FJ154/FH154-1)*100)&gt;100,"NM",IF(((FJ154/FH154-1)*100)&lt;-50,"NM",(FJ154/FH154-1)*100)))</f>
        <v>NM</v>
      </c>
      <c r="FL154" s="257">
        <f>FL144+FL146</f>
        <v>-435</v>
      </c>
      <c r="FM154" s="98" t="str">
        <f>IF(ISERROR((FL154/FJ154-1)*100),"NA",IF(((FL154/FJ154-1)*100)&gt;100,"NM",IF(((FL154/FJ154-1)*100)&lt;-50,"NM",(FL154/FJ154-1)*100)))</f>
        <v>NM</v>
      </c>
      <c r="FN154" s="257">
        <f>FN144+FN146</f>
        <v>-1209</v>
      </c>
      <c r="FO154" s="98" t="str">
        <f>IF(ISERROR((FN154/FL154-1)*100),"NA",IF(((FN154/FL154-1)*100)&gt;100,"NM",IF(((FN154/FL154-1)*100)&lt;-50,"NM",(FN154/FL154-1)*100)))</f>
        <v>NM</v>
      </c>
      <c r="FP154" s="257">
        <f>FP144+FP146</f>
        <v>505</v>
      </c>
      <c r="FQ154" s="98" t="str">
        <f>IF(ISERROR((FP154/FN154-1)*100),"NA",IF(((FP154/FN154-1)*100)&gt;100,"NM",IF(((FP154/FN154-1)*100)&lt;-50,"NM",(FP154/FN154-1)*100)))</f>
        <v>NM</v>
      </c>
      <c r="FR154" s="257">
        <f>FR144+FR146</f>
        <v>-3709</v>
      </c>
      <c r="FS154" s="120" t="str">
        <f>IF(ISERROR((FR154/FP154-1)*100),"NA",IF(((FR154/FP154-1)*100)&gt;100,"NM",IF(((FR154/FP154-1)*100)&lt;-50,"NM",(FR154/FP154-1)*100)))</f>
        <v>NM</v>
      </c>
      <c r="FT154" s="257">
        <f>FT144+FT146</f>
        <v>-2443</v>
      </c>
      <c r="FU154" s="120">
        <f>IF(ISERROR((FT154/FR154-1)*100),"NA",IF(((FT154/FR154-1)*100)&gt;100,"NM",IF(((FT154/FR154-1)*100)&lt;-50,"NM",(FT154/FR154-1)*100)))</f>
        <v>-34.133189538959286</v>
      </c>
      <c r="FV154" s="257">
        <f>FV144+FV146</f>
        <v>-2749</v>
      </c>
      <c r="FW154" s="98">
        <f>IF(ISERROR((FV154/FT154-1)*100),"NA",IF(((FV154/FT154-1)*100)&gt;100,"NM",IF(((FV154/FT154-1)*100)&lt;-50,"NM",(FV154/FT154-1)*100)))</f>
        <v>12.525583299222266</v>
      </c>
      <c r="FX154" s="515">
        <f>FX144+FX146</f>
        <v>-3774</v>
      </c>
      <c r="FY154" s="98">
        <f>IF(ISERROR((FX154/FV154-1)*100),"NA",IF(((FX154/FV154-1)*100)&gt;100,"NM",IF(((FX154/FV154-1)*100)&lt;-50,"NM",(FX154/FV154-1)*100)))</f>
        <v>37.286285922153503</v>
      </c>
      <c r="FZ154" s="257">
        <f>FZ144+FZ146</f>
        <v>7114</v>
      </c>
      <c r="GA154" s="98" t="str">
        <f>IF(ISERROR((FZ154/FX154-1)*100),"NA",IF(((FZ154/FX154-1)*100)&gt;100,"NM",IF(((FZ154/FX154-1)*100)&lt;-50,"NM",(FZ154/FX154-1)*100)))</f>
        <v>NM</v>
      </c>
      <c r="GB154" s="515">
        <f>GB144+GB146</f>
        <v>4300</v>
      </c>
      <c r="GC154" s="98">
        <f>IF(ISERROR((GB154/FZ154-1)*100),"NA",IF(((GB154/FZ154-1)*100)&gt;100,"NM",IF(((GB154/FZ154-1)*100)&lt;-50,"NM",(GB154/FZ154-1)*100)))</f>
        <v>-39.555805454034299</v>
      </c>
      <c r="GD154" s="257">
        <f>GD144+GD146</f>
        <v>3002</v>
      </c>
      <c r="GE154" s="98">
        <f>IF(ISERROR((GD154/GB154-1)*100),"NA",IF(((GD154/GB154-1)*100)&gt;100,"NM",IF(((GD154/GB154-1)*100)&lt;-50,"NM",(GD154/GB154-1)*100)))</f>
        <v>-30.186046511627907</v>
      </c>
      <c r="GF154" s="257">
        <f>GF144+GF146</f>
        <v>4090</v>
      </c>
      <c r="GG154" s="98">
        <f>IF(ISERROR((GF154/GD154-1)*100),"NA",IF(((GF154/GD154-1)*100)&gt;100,"NM",IF(((GF154/GD154-1)*100)&lt;-50,"NM",(GF154/GD154-1)*100)))</f>
        <v>36.242504996668877</v>
      </c>
      <c r="GH154" s="257">
        <f>GH144+GH146</f>
        <v>-410</v>
      </c>
      <c r="GI154" s="98" t="str">
        <f>IF(ISERROR((GH154/GF154-1)*100),"NA",IF(((GH154/GF154-1)*100)&gt;100,"NM",IF(((GH154/GF154-1)*100)&lt;-50,"NM",(GH154/GF154-1)*100)))</f>
        <v>NM</v>
      </c>
      <c r="GJ154" s="257">
        <f>GJ144+GJ146</f>
        <v>-402</v>
      </c>
      <c r="GK154" s="98">
        <f>IF(ISERROR((GJ154/GH154-1)*100),"NA",IF(((GJ154/GH154-1)*100)&gt;100,"NM",IF(((GJ154/GH154-1)*100)&lt;-50,"NM",(GJ154/GH154-1)*100)))</f>
        <v>-1.9512195121951237</v>
      </c>
      <c r="GL154" s="257">
        <f>GL144+GL146</f>
        <v>3487</v>
      </c>
      <c r="GM154" s="98" t="str">
        <f>IF(ISERROR((GL154/GJ154-1)*100),"NA",IF(((GL154/GJ154-1)*100)&gt;100,"NM",IF(((GL154/GJ154-1)*100)&lt;-50,"NM",(GL154/GJ154-1)*100)))</f>
        <v>NM</v>
      </c>
      <c r="GN154" s="257">
        <f>GN144+GN146</f>
        <v>-9088</v>
      </c>
      <c r="GO154" s="98" t="str">
        <f>IF(ISERROR((GN154/GL154-1)*100),"NA",IF(((GN154/GL154-1)*100)&gt;100,"NM",IF(((GN154/GL154-1)*100)&lt;-50,"NM",(GN154/GL154-1)*100)))</f>
        <v>NM</v>
      </c>
      <c r="GP154" s="257">
        <f>GP144+GP146</f>
        <v>-9544.270488525277</v>
      </c>
      <c r="GQ154" s="98">
        <f>IF(ISERROR((GP154/GN154-1)*100),"NA",IF(((GP154/GN154-1)*100)&gt;100,"NM",IF(((GP154/GN154-1)*100)&lt;-50,"NM",(GP154/GN154-1)*100)))</f>
        <v>5.0205819600052548</v>
      </c>
      <c r="GR154" s="257">
        <f>GR144+GR146</f>
        <v>-7518.1530699713803</v>
      </c>
      <c r="GS154" s="98">
        <f>IF(ISERROR((GR154/GP154-1)*100),"NA",IF(((GR154/GP154-1)*100)&gt;100,"NM",IF(((GR154/GP154-1)*100)&lt;-50,"NM",(GR154/GP154-1)*100)))</f>
        <v>-21.228625288751225</v>
      </c>
      <c r="GT154" s="257">
        <f>GT144+GT146</f>
        <v>-5749.9260029123225</v>
      </c>
      <c r="GU154" s="98">
        <f>IF(ISERROR((GT154/GR154-1)*100),"NA",IF(((GT154/GR154-1)*100)&gt;100,"NM",IF(((GT154/GR154-1)*100)&lt;-50,"NM",(GT154/GR154-1)*100)))</f>
        <v>-23.519434236070815</v>
      </c>
      <c r="GV154" s="257">
        <f>GV144+GV146</f>
        <v>-4293.0218501170912</v>
      </c>
      <c r="GW154" s="98">
        <f>IF(ISERROR((GV154/GT154-1)*100),"NA",IF(((GV154/GT154-1)*100)&gt;100,"NM",IF(((GV154/GT154-1)*100)&lt;-50,"NM",(GV154/GT154-1)*100)))</f>
        <v>-25.33778960037596</v>
      </c>
      <c r="GX154" s="257">
        <f>GX144+GX146</f>
        <v>-3087.6108661946355</v>
      </c>
      <c r="GY154" s="98">
        <f>IF(ISERROR((GX154/GV154-1)*100),"NA",IF(((GX154/GV154-1)*100)&gt;100,"NM",IF(((GX154/GV154-1)*100)&lt;-50,"NM",(GX154/GV154-1)*100)))</f>
        <v>-28.078379892000282</v>
      </c>
      <c r="GZ154" s="98">
        <f>IF(ISERROR(((GX154/GN154)^0.2-1)*100),"NA",IF((((GX154/GN154)^0.2-1)*100)&gt;100,"NM",IF((((GX154/GN154)^0.2-1)*100)&lt;-50,"NM",((GX154/GN154)^0.2-1)*100)))</f>
        <v>-19.419334752395091</v>
      </c>
      <c r="HA154" s="98"/>
      <c r="HB154" s="10"/>
      <c r="HC154"/>
      <c r="HD154"/>
      <c r="HE154"/>
      <c r="HF154"/>
      <c r="HG154"/>
      <c r="HH154"/>
      <c r="HI154" s="10"/>
    </row>
    <row r="155" spans="1:217" s="2" customFormat="1" ht="12.75" customHeight="1" x14ac:dyDescent="0.2">
      <c r="A155" s="2" t="s">
        <v>605</v>
      </c>
      <c r="B155" s="91" t="s">
        <v>156</v>
      </c>
      <c r="C155" s="155">
        <f>C133+C147</f>
        <v>62405</v>
      </c>
      <c r="D155" s="156"/>
      <c r="E155" s="155">
        <f>E133+E147</f>
        <v>61104</v>
      </c>
      <c r="F155" s="156"/>
      <c r="G155" s="155">
        <f>G133+G147</f>
        <v>61302</v>
      </c>
      <c r="H155" s="156"/>
      <c r="I155" s="155">
        <f>I133+I147</f>
        <v>60166</v>
      </c>
      <c r="J155" s="156"/>
      <c r="K155" s="155">
        <f>K133+K147</f>
        <v>58547</v>
      </c>
      <c r="L155" s="156">
        <f>IF(ISERROR((K155/C155-1)*100),"NA",IF(((K155/C155-1)*100)&gt;100,"NM",IF(((K155/C155-1)*100)&lt;-50,"NM",(K155/C155-1)*100)))</f>
        <v>-6.182196939347806</v>
      </c>
      <c r="M155" s="155">
        <f>M133+M147</f>
        <v>58232</v>
      </c>
      <c r="N155" s="156">
        <f>IF(ISERROR((M155/E155-1)*100),"NA",IF(((M155/E155-1)*100)&gt;100,"NM",IF(((M155/E155-1)*100)&lt;-50,"NM",(M155/E155-1)*100)))</f>
        <v>-4.7001832940560373</v>
      </c>
      <c r="O155" s="155">
        <f>O133+O147</f>
        <v>58490</v>
      </c>
      <c r="P155" s="156">
        <f>IF(ISERROR((O155/G155-1)*100),"NA",IF(((O155/G155-1)*100)&gt;100,"NM",IF(((O155/G155-1)*100)&lt;-50,"NM",(O155/G155-1)*100)))</f>
        <v>-4.5871260317770997</v>
      </c>
      <c r="Q155" s="155">
        <f>Q133+Q147</f>
        <v>58169</v>
      </c>
      <c r="R155" s="156">
        <f>IF(ISERROR((Q155/I155-1)*100),"NA",IF(((Q155/I155-1)*100)&gt;100,"NM",IF(((Q155/I155-1)*100)&lt;-50,"NM",(Q155/I155-1)*100)))</f>
        <v>-3.3191503506964093</v>
      </c>
      <c r="S155" s="155">
        <f>S133+S147</f>
        <v>57117</v>
      </c>
      <c r="T155" s="156">
        <f>IF(ISERROR((S155/K155-1)*100),"NA",IF(((S155/K155-1)*100)&gt;100,"NM",IF(((S155/K155-1)*100)&lt;-50,"NM",(S155/K155-1)*100)))</f>
        <v>-2.4424821083915527</v>
      </c>
      <c r="U155" s="155">
        <f>U133+U147</f>
        <v>57668</v>
      </c>
      <c r="V155" s="156">
        <f>IF(ISERROR((U155/M155-1)*100),"NA",IF(((U155/M155-1)*100)&gt;100,"NM",IF(((U155/M155-1)*100)&lt;-50,"NM",(U155/M155-1)*100)))</f>
        <v>-0.96853963456519088</v>
      </c>
      <c r="W155" s="155">
        <f>W133+W147</f>
        <v>59146</v>
      </c>
      <c r="X155" s="156">
        <f>IF(ISERROR((W155/O155-1)*100),"NA",IF(((W155/O155-1)*100)&gt;100,"NM",IF(((W155/O155-1)*100)&lt;-50,"NM",(W155/O155-1)*100)))</f>
        <v>1.1215592408958752</v>
      </c>
      <c r="Y155" s="155">
        <f>Y133+Y147</f>
        <v>60323</v>
      </c>
      <c r="Z155" s="156">
        <f>IF(ISERROR((Y155/Q155-1)*100),"NA",IF(((Y155/Q155-1)*100)&gt;100,"NM",IF(((Y155/Q155-1)*100)&lt;-50,"NM",(Y155/Q155-1)*100)))</f>
        <v>3.7030033179184851</v>
      </c>
      <c r="AA155" s="155">
        <f>AA133+AA147</f>
        <v>61311</v>
      </c>
      <c r="AB155" s="156">
        <f>IF(ISERROR((AA155/S155-1)*100),"NA",IF(((AA155/S155-1)*100)&gt;100,"NM",IF(((AA155/S155-1)*100)&lt;-50,"NM",(AA155/S155-1)*100)))</f>
        <v>7.3428226272388208</v>
      </c>
      <c r="AC155" s="155">
        <f>AC133+AC147</f>
        <v>65637</v>
      </c>
      <c r="AD155" s="156">
        <f>IF(ISERROR((AC155/U155-1)*100),"NA",IF(((AC155/U155-1)*100)&gt;100,"NM",IF(((AC155/U155-1)*100)&lt;-50,"NM",(AC155/U155-1)*100)))</f>
        <v>13.818755635707847</v>
      </c>
      <c r="AE155" s="155">
        <f>AE133+AE147</f>
        <v>66761</v>
      </c>
      <c r="AF155" s="156">
        <f>IF(ISERROR((AE155/W155-1)*100),"NA",IF(((AE155/W155-1)*100)&gt;100,"NM",IF(((AE155/W155-1)*100)&lt;-50,"NM",(AE155/W155-1)*100)))</f>
        <v>12.874919690258002</v>
      </c>
      <c r="AG155" s="155">
        <f>AG133+AG147</f>
        <v>67379</v>
      </c>
      <c r="AH155" s="156">
        <f>IF(ISERROR((AG155/Y155-1)*100),"NA",IF(((AG155/Y155-1)*100)&gt;100,"NM",IF(((AG155/Y155-1)*100)&lt;-50,"NM",(AG155/Y155-1)*100)))</f>
        <v>11.697030983207068</v>
      </c>
      <c r="AI155" s="155">
        <f>AI133+AI147</f>
        <v>70010</v>
      </c>
      <c r="AJ155" s="156">
        <f>IF(ISERROR((AI155/AA155-1)*100),"NA",IF(((AI155/AA155-1)*100)&gt;100,"NM",IF(((AI155/AA155-1)*100)&lt;-50,"NM",(AI155/AA155-1)*100)))</f>
        <v>14.188318572523695</v>
      </c>
      <c r="AK155" s="155">
        <f>AK133+AK147</f>
        <v>69249</v>
      </c>
      <c r="AL155" s="156">
        <f>IF(ISERROR((AK155/AC155-1)*100),"NA",IF(((AK155/AC155-1)*100)&gt;100,"NM",IF(((AK155/AC155-1)*100)&lt;-50,"NM",(AK155/AC155-1)*100)))</f>
        <v>5.5029937382878646</v>
      </c>
      <c r="AM155" s="155">
        <f>AM133+AM147</f>
        <v>77505</v>
      </c>
      <c r="AN155" s="156">
        <f>IF(ISERROR((AM155/AE155-1)*100),"NA",IF(((AM155/AE155-1)*100)&gt;100,"NM",IF(((AM155/AE155-1)*100)&lt;-50,"NM",(AM155/AE155-1)*100)))</f>
        <v>16.09322808226359</v>
      </c>
      <c r="AO155" s="155">
        <f>AO133+AO147</f>
        <v>79813</v>
      </c>
      <c r="AP155" s="156">
        <f>IF(ISERROR((AO155/AG155-1)*100),"NA",IF(((AO155/AG155-1)*100)&gt;100,"NM",IF(((AO155/AG155-1)*100)&lt;-50,"NM",(AO155/AG155-1)*100)))</f>
        <v>18.453820923433106</v>
      </c>
      <c r="AQ155" s="155">
        <f>AQ133+AQ147</f>
        <v>79887</v>
      </c>
      <c r="AR155" s="156">
        <f>IF(ISERROR((AQ155/AI155-1)*100),"NA",IF(((AQ155/AI155-1)*100)&gt;100,"NM",IF(((AQ155/AI155-1)*100)&lt;-50,"NM",(AQ155/AI155-1)*100)))</f>
        <v>14.107984573632336</v>
      </c>
      <c r="AS155" s="155">
        <f>AS133+AS147</f>
        <v>83125</v>
      </c>
      <c r="AT155" s="156">
        <f>IF(ISERROR((AS155/AK155-1)*100),"NA",IF(((AS155/AK155-1)*100)&gt;100,"NM",IF(((AS155/AK155-1)*100)&lt;-50,"NM",(AS155/AK155-1)*100)))</f>
        <v>20.037834481364357</v>
      </c>
      <c r="AU155" s="155">
        <f>AU133+AU147</f>
        <v>112441</v>
      </c>
      <c r="AV155" s="156">
        <f>IF(ISERROR((AU155/AM155-1)*100),"NA",IF(((AU155/AM155-1)*100)&gt;100,"NM",IF(((AU155/AM155-1)*100)&lt;-50,"NM",(AU155/AM155-1)*100)))</f>
        <v>45.0758015611896</v>
      </c>
      <c r="AW155" s="155">
        <f>AW133+AW147</f>
        <v>112779</v>
      </c>
      <c r="AX155" s="156">
        <f>IF(ISERROR((AW155/AO155-1)*100),"NA",IF(((AW155/AO155-1)*100)&gt;100,"NM",IF(((AW155/AO155-1)*100)&lt;-50,"NM",(AW155/AO155-1)*100)))</f>
        <v>41.304048212697175</v>
      </c>
      <c r="AY155" s="155">
        <f>AY133+AY147</f>
        <v>111905</v>
      </c>
      <c r="AZ155" s="156">
        <f>IF(ISERROR((AY155/AQ155-1)*100),"NA",IF(((AY155/AQ155-1)*100)&gt;100,"NM",IF(((AY155/AQ155-1)*100)&lt;-50,"NM",(AY155/AQ155-1)*100)))</f>
        <v>40.079111745340292</v>
      </c>
      <c r="BA155" s="155">
        <f>BA133+BA147</f>
        <v>113063</v>
      </c>
      <c r="BB155" s="156">
        <f>IF(ISERROR((BA155/AS155-1)*100),"NA",IF(((BA155/AS155-1)*100)&gt;100,"NM",IF(((BA155/AS155-1)*100)&lt;-50,"NM",(BA155/AS155-1)*100)))</f>
        <v>36.015639097744369</v>
      </c>
      <c r="BC155" s="155">
        <f>BC133+BC147</f>
        <v>114561</v>
      </c>
      <c r="BD155" s="156">
        <f>IF(ISERROR((BC155/AU155-1)*100),"NA",IF(((BC155/AU155-1)*100)&gt;100,"NM",IF(((BC155/AU155-1)*100)&lt;-50,"NM",(BC155/AU155-1)*100)))</f>
        <v>1.8854332494374848</v>
      </c>
      <c r="BE155" s="155">
        <f>BE133+BE147</f>
        <v>117556</v>
      </c>
      <c r="BF155" s="156">
        <f>IF(ISERROR((BE155/AW155-1)*100),"NA",IF(((BE155/AW155-1)*100)&gt;100,"NM",IF(((BE155/AW155-1)*100)&lt;-50,"NM",(BE155/AW155-1)*100)))</f>
        <v>4.2357176424689058</v>
      </c>
      <c r="BG155" s="155">
        <f>BG133+BG147</f>
        <v>119273</v>
      </c>
      <c r="BH155" s="156">
        <f>IF(ISERROR((BG155/AY155-1)*100),"NA",IF(((BG155/AY155-1)*100)&gt;100,"NM",IF(((BG155/AY155-1)*100)&lt;-50,"NM",(BG155/AY155-1)*100)))</f>
        <v>6.584156203922964</v>
      </c>
      <c r="BI155" s="155">
        <f>BI133+BI147</f>
        <v>124416</v>
      </c>
      <c r="BJ155" s="156">
        <f>IF(ISERROR((BI155/BA155-1)*100),"NA",IF(((BI155/BA155-1)*100)&gt;100,"NM",IF(((BI155/BA155-1)*100)&lt;-50,"NM",(BI155/BA155-1)*100)))</f>
        <v>10.041304405508434</v>
      </c>
      <c r="BK155" s="155">
        <f>BK133+BK147</f>
        <v>127008</v>
      </c>
      <c r="BL155" s="156">
        <f>IF(ISERROR((BK155/BC155-1)*100),"NA",IF(((BK155/BC155-1)*100)&gt;100,"NM",IF(((BK155/BC155-1)*100)&lt;-50,"NM",(BK155/BC155-1)*100)))</f>
        <v>10.864954041951446</v>
      </c>
      <c r="BM155" s="155">
        <f>BM133+BM147</f>
        <v>124066</v>
      </c>
      <c r="BN155" s="98">
        <f>IF(ISERROR((BM155/BE155-1)*100),"NA",IF(((BM155/BE155-1)*100)&gt;100,"NM",IF(((BM155/BE155-1)*100)&lt;-50,"NM",(BM155/BE155-1)*100)))</f>
        <v>5.5377862465548322</v>
      </c>
      <c r="BO155" s="117">
        <f>BO133+BO147</f>
        <v>127163</v>
      </c>
      <c r="BP155" s="98">
        <f>IF(ISERROR((BO155/BG155-1)*100),"NA",IF(((BO155/BG155-1)*100)&gt;100,"NM",IF(((BO155/BG155-1)*100)&lt;-50,"NM",(BO155/BG155-1)*100)))</f>
        <v>6.6150763374778876</v>
      </c>
      <c r="BQ155" s="117">
        <f>BQ133+BQ147</f>
        <v>127684</v>
      </c>
      <c r="BR155" s="98">
        <f>IF(ISERROR((BQ155/BI155-1)*100),"NA",IF(((BQ155/BI155-1)*100)&gt;100,"NM",IF(((BQ155/BI155-1)*100)&lt;-50,"NM",(BQ155/BI155-1)*100)))</f>
        <v>2.626671810699599</v>
      </c>
      <c r="BS155" s="117">
        <f>BS133+BS147</f>
        <v>128462</v>
      </c>
      <c r="BT155" s="98">
        <f>IF(ISERROR((BS155/BK155-1)*100),"NA",IF(((BS155/BK155-1)*100)&gt;100,"NM",IF(((BS155/BK155-1)*100)&lt;-50,"NM",(BS155/BK155-1)*100)))</f>
        <v>1.1448097757621678</v>
      </c>
      <c r="BU155" s="117">
        <f>BU133+BU147</f>
        <v>152905</v>
      </c>
      <c r="BV155" s="98">
        <f>IF(ISERROR((BU155/BM155-1)*100),"NA",IF(((BU155/BM155-1)*100)&gt;100,"NM",IF(((BU155/BM155-1)*100)&lt;-50,"NM",(BU155/BM155-1)*100)))</f>
        <v>23.244885786597447</v>
      </c>
      <c r="BW155" s="117">
        <f>BW133+BW147</f>
        <v>144388</v>
      </c>
      <c r="BX155" s="98">
        <f>IF(ISERROR((BW155/BO155-1)*100),"NA",IF(((BW155/BO155-1)*100)&gt;100,"NM",IF(((BW155/BO155-1)*100)&lt;-50,"NM",(BW155/BO155-1)*100)))</f>
        <v>13.545606819593758</v>
      </c>
      <c r="BY155" s="117">
        <f>BY133+BY147</f>
        <v>141945</v>
      </c>
      <c r="BZ155" s="98">
        <f>IF(ISERROR((BY155/BQ155-1)*100),"NA",IF(((BY155/BQ155-1)*100)&gt;100,"NM",IF(((BY155/BQ155-1)*100)&lt;-50,"NM",(BY155/BQ155-1)*100)))</f>
        <v>11.168979668556744</v>
      </c>
      <c r="CA155" s="117">
        <f>CA133+CA147</f>
        <v>143912</v>
      </c>
      <c r="CB155" s="98">
        <f>IF(ISERROR((CA155/BS155-1)*100),"NA",IF(((CA155/BS155-1)*100)&gt;100,"NM",IF(((CA155/BS155-1)*100)&lt;-50,"NM",(CA155/BS155-1)*100)))</f>
        <v>12.026902897354862</v>
      </c>
      <c r="CC155" s="117">
        <f>CC133+CC147</f>
        <v>138587</v>
      </c>
      <c r="CD155" s="98">
        <f>IF(ISERROR((CC155/BU155-1)*100),"NA",IF(((CC155/BU155-1)*100)&gt;100,"NM",IF(((CC155/BU155-1)*100)&lt;-50,"NM",(CC155/BU155-1)*100)))</f>
        <v>-9.3639841731794284</v>
      </c>
      <c r="CE155" s="117">
        <f>CE133+CE147</f>
        <v>144626</v>
      </c>
      <c r="CF155" s="98">
        <f>IF(ISERROR((CE155/BW155-1)*100),"NA",IF(((CE155/BW155-1)*100)&gt;100,"NM",IF(((CE155/BW155-1)*100)&lt;-50,"NM",(CE155/BW155-1)*100)))</f>
        <v>0.16483364268498057</v>
      </c>
      <c r="CG155" s="117">
        <f>CG133+CG147</f>
        <v>145360</v>
      </c>
      <c r="CH155" s="98">
        <f>IF(ISERROR((CG155/BY155-1)*100),"NA",IF(((CG155/BY155-1)*100)&gt;100,"NM",IF(((CG155/BY155-1)*100)&lt;-50,"NM",(CG155/BY155-1)*100)))</f>
        <v>2.4058614251998955</v>
      </c>
      <c r="CI155" s="117">
        <f>CI133+CI147</f>
        <v>154599</v>
      </c>
      <c r="CJ155" s="98">
        <f>IF(ISERROR((CI155/CA155-1)*100),"NA",IF(((CI155/CA155-1)*100)&gt;100,"NM",IF(((CI155/CA155-1)*100)&lt;-50,"NM",(CI155/CA155-1)*100)))</f>
        <v>7.4260659291789377</v>
      </c>
      <c r="CK155" s="117">
        <f>CK133+CK147</f>
        <v>153531</v>
      </c>
      <c r="CL155" s="98">
        <f>IF(ISERROR((CK155/CC155-1)*100),"NA",IF(((CK155/CC155-1)*100)&gt;100,"NM",IF(((CK155/CC155-1)*100)&lt;-50,"NM",(CK155/CC155-1)*100)))</f>
        <v>10.783118185688423</v>
      </c>
      <c r="CM155" s="117">
        <f>CM133+CM147</f>
        <v>164389</v>
      </c>
      <c r="CN155" s="98">
        <f>IF(ISERROR((CM155/CE155-1)*100),"NA",IF(((CM155/CE155-1)*100)&gt;100,"NM",IF(((CM155/CE155-1)*100)&lt;-50,"NM",(CM155/CE155-1)*100)))</f>
        <v>13.664901193423029</v>
      </c>
      <c r="CO155" s="117">
        <f>CO133+CO147</f>
        <v>167790</v>
      </c>
      <c r="CP155" s="98">
        <f>IF(ISERROR((CO155/CG155-1)*100),"NA",IF(((CO155/CG155-1)*100)&gt;100,"NM",IF(((CO155/CG155-1)*100)&lt;-50,"NM",(CO155/CG155-1)*100)))</f>
        <v>15.430654925701702</v>
      </c>
      <c r="CQ155" s="486">
        <f>CQ133+CQ147</f>
        <v>169639</v>
      </c>
      <c r="CR155" s="98">
        <f>IF(ISERROR((CQ155/CI155-1)*100),"NA",IF(((CQ155/CI155-1)*100)&gt;100,"NM",IF(((CQ155/CI155-1)*100)&lt;-50,"NM",(CQ155/CI155-1)*100)))</f>
        <v>9.7283941034547396</v>
      </c>
      <c r="CS155" s="117">
        <f>CS133+CS147</f>
        <v>170875</v>
      </c>
      <c r="CT155" s="98">
        <f>IF(ISERROR((CS155/CK155-1)*100),"NA",IF(((CS155/CK155-1)*100)&gt;100,"NM",IF(((CS155/CK155-1)*100)&lt;-50,"NM",(CS155/CK155-1)*100)))</f>
        <v>11.296741374706087</v>
      </c>
      <c r="CU155" s="117">
        <f>CU133+CU147</f>
        <v>176974</v>
      </c>
      <c r="CV155" s="98">
        <f>IF(ISERROR((CU155/CM155-1)*100),"NA",IF(((CU155/CM155-1)*100)&gt;100,"NM",IF(((CU155/CM155-1)*100)&lt;-50,"NM",(CU155/CM155-1)*100)))</f>
        <v>7.6556217265145499</v>
      </c>
      <c r="CW155" s="117">
        <f>CW133+CW147</f>
        <v>184134</v>
      </c>
      <c r="CX155" s="98">
        <f>IF(ISERROR((CW155/CO155-1)*100),"NA",IF(((CW155/CO155-1)*100)&gt;100,"NM",IF(((CW155/CO155-1)*100)&lt;-50,"NM",(CW155/CO155-1)*100)))</f>
        <v>9.7407473627749042</v>
      </c>
      <c r="CY155" s="117">
        <f>CY133+CY147</f>
        <v>193564</v>
      </c>
      <c r="CZ155" s="98">
        <f>IF(ISERROR((CY155/CQ155-1)*100),"NA",IF(((CY155/CQ155-1)*100)&gt;100,"NM",IF(((CY155/CQ155-1)*100)&lt;-50,"NM",(CY155/CQ155-1)*100)))</f>
        <v>14.103478563302074</v>
      </c>
      <c r="DA155" s="117">
        <f>DA133+DA147</f>
        <v>188785</v>
      </c>
      <c r="DB155" s="98">
        <f>IF(ISERROR((DA155/CS155-1)*100),"NA",IF(((DA155/CS155-1)*100)&gt;100,"NM",IF(((DA155/CS155-1)*100)&lt;-50,"NM",(DA155/CS155-1)*100)))</f>
        <v>10.481346013167524</v>
      </c>
      <c r="DC155" s="117">
        <f>DC133+DC147</f>
        <v>194922</v>
      </c>
      <c r="DD155" s="98">
        <f>IF(ISERROR((DC155/CU155-1)*100),"NA",IF(((DC155/CU155-1)*100)&gt;100,"NM",IF(((DC155/CU155-1)*100)&lt;-50,"NM",(DC155/CU155-1)*100)))</f>
        <v>10.141602721303688</v>
      </c>
      <c r="DE155" s="117">
        <f>DE133+DE147</f>
        <v>187240</v>
      </c>
      <c r="DF155" s="98">
        <f>IF(ISERROR((DE155/CW155-1)*100),"NA",IF(((DE155/CW155-1)*100)&gt;100,"NM",IF(((DE155/CW155-1)*100)&lt;-50,"NM",(DE155/CW155-1)*100)))</f>
        <v>1.686815036875311</v>
      </c>
      <c r="DG155" s="117">
        <f>DG133+DG147</f>
        <v>187232</v>
      </c>
      <c r="DH155" s="98">
        <f>IF(ISERROR((DG155/CY155-1)*100),"NA",IF(((DG155/CY155-1)*100)&gt;100,"NM",IF(((DG155/CY155-1)*100)&lt;-50,"NM",(DG155/CY155-1)*100)))</f>
        <v>-3.2712694509309581</v>
      </c>
      <c r="DI155" s="117">
        <f>DI133+DI147</f>
        <v>189477</v>
      </c>
      <c r="DJ155" s="98">
        <f>IF(ISERROR((DI155/DA155-1)*100),"NA",IF(((DI155/DA155-1)*100)&gt;100,"NM",IF(((DI155/DA155-1)*100)&lt;-50,"NM",(DI155/DA155-1)*100)))</f>
        <v>0.36655454617686711</v>
      </c>
      <c r="DK155" s="117">
        <f>DK133+DK147</f>
        <v>189685</v>
      </c>
      <c r="DL155" s="98">
        <f>IF(ISERROR((DK155/DC155-1)*100),"NA",IF(((DK155/DC155-1)*100)&gt;100,"NM",IF(((DK155/DC155-1)*100)&lt;-50,"NM",(DK155/DC155-1)*100)))</f>
        <v>-2.6867157119257912</v>
      </c>
      <c r="DM155" s="117">
        <f>DM133+DM147</f>
        <v>193038</v>
      </c>
      <c r="DN155" s="98">
        <f>IF(ISERROR((DM155/DE155-1)*100),"NA",IF(((DM155/DE155-1)*100)&gt;100,"NM",IF(((DM155/DE155-1)*100)&lt;-50,"NM",(DM155/DE155-1)*100)))</f>
        <v>3.0965605639820648</v>
      </c>
      <c r="DO155" s="117">
        <f>DO133+DO147</f>
        <v>195434</v>
      </c>
      <c r="DP155" s="98">
        <f>IF(ISERROR((DO155/DG155-1)*100),"NA",IF(((DO155/DG155-1)*100)&gt;100,"NM",IF(((DO155/DG155-1)*100)&lt;-50,"NM",(DO155/DG155-1)*100)))</f>
        <v>4.3806614253973697</v>
      </c>
      <c r="DQ155" s="117">
        <f>DQ133+DQ147</f>
        <v>196445</v>
      </c>
      <c r="DR155" s="98">
        <f>IF(ISERROR((DQ155/DI155-1)*100),"NA",IF(((DQ155/DI155-1)*100)&gt;100,"NM",IF(((DQ155/DI155-1)*100)&lt;-50,"NM",(DQ155/DI155-1)*100)))</f>
        <v>3.6774911994595705</v>
      </c>
      <c r="DS155" s="117">
        <f>DS133+DS147</f>
        <v>182404</v>
      </c>
      <c r="DT155" s="98">
        <f>IF(ISERROR((DS155/DK155-1)*100),"NA",IF(((DS155/DK155-1)*100)&gt;100,"NM",IF(((DS155/DK155-1)*100)&lt;-50,"NM",(DS155/DK155-1)*100)))</f>
        <v>-3.8384690407781363</v>
      </c>
      <c r="DU155" s="117">
        <f>DU133+DU147</f>
        <v>179631</v>
      </c>
      <c r="DV155" s="98">
        <f>IF(ISERROR((DU155/DM155-1)*100),"NA",IF(((DU155/DM155-1)*100)&gt;100,"NM",IF(((DU155/DM155-1)*100)&lt;-50,"NM",(DU155/DM155-1)*100)))</f>
        <v>-6.9452646629161059</v>
      </c>
      <c r="DW155" s="117">
        <f>DW133+DW147</f>
        <v>175424</v>
      </c>
      <c r="DX155" s="98">
        <f>IF(ISERROR((DW155/DO155-1)*100),"NA",IF(((DW155/DO155-1)*100)&gt;100,"NM",IF(((DW155/DO155-1)*100)&lt;-50,"NM",(DW155/DO155-1)*100)))</f>
        <v>-10.238750677978247</v>
      </c>
      <c r="DY155" s="117">
        <f>DY133+DY147</f>
        <v>175096</v>
      </c>
      <c r="DZ155" s="98">
        <f>IF(ISERROR((DY155/DQ155-1)*100),"NA",IF(((DY155/DQ155-1)*100)&gt;100,"NM",IF(((DY155/DQ155-1)*100)&lt;-50,"NM",(DY155/DQ155-1)*100)))</f>
        <v>-10.867672885540481</v>
      </c>
      <c r="EA155" s="117">
        <f>EA133+EA147</f>
        <v>180191</v>
      </c>
      <c r="EB155" s="98">
        <f>IF(ISERROR((EA155/DS155-1)*100),"NA",IF(((EA155/DS155-1)*100)&gt;100,"NM",IF(((EA155/DS155-1)*100)&lt;-50,"NM",(EA155/DS155-1)*100)))</f>
        <v>-1.2132409376987341</v>
      </c>
      <c r="EC155" s="117">
        <f>EC133+EC147</f>
        <v>184692</v>
      </c>
      <c r="ED155" s="98">
        <f>IF(ISERROR((EC155/DU155-1)*100),"NA",IF(((EC155/DU155-1)*100)&gt;100,"NM",IF(((EC155/DU155-1)*100)&lt;-50,"NM",(EC155/DU155-1)*100)))</f>
        <v>2.8174424236351081</v>
      </c>
      <c r="EE155" s="117">
        <f>EE133+EE147</f>
        <v>187965</v>
      </c>
      <c r="EF155" s="860">
        <f>IF(ISERROR((EE155/DW155-1)*100),"NA",IF(((EE155/DW155-1)*100)&gt;100,"NM",IF(((EE155/DW155-1)*100)&lt;-50,"NM",(EE155/DW155-1)*100)))</f>
        <v>7.14896479387086</v>
      </c>
      <c r="EG155" s="117">
        <f>EG133+EG147</f>
        <v>186756</v>
      </c>
      <c r="EH155" s="860">
        <f>IF(ISERROR((EG155/DY155-1)*100),"NA",IF(((EG155/DY155-1)*100)&gt;100,"NM",IF(((EG155/DY155-1)*100)&lt;-50,"NM",(EG155/DY155-1)*100)))</f>
        <v>6.6592040937542896</v>
      </c>
      <c r="EI155" s="117">
        <f>EI133+EI147</f>
        <v>188582</v>
      </c>
      <c r="EJ155" s="860">
        <f t="shared" si="870"/>
        <v>4.6567253636419226</v>
      </c>
      <c r="EK155" s="117">
        <f>EK133+EK147</f>
        <v>190466</v>
      </c>
      <c r="EL155" s="860">
        <f t="shared" si="871"/>
        <v>3.1262859246745878</v>
      </c>
      <c r="EM155" s="117">
        <f>EM133+EM147</f>
        <v>189637</v>
      </c>
      <c r="EN155" s="860">
        <f t="shared" si="872"/>
        <v>0.88952730561540072</v>
      </c>
      <c r="EO155" s="117">
        <f>EO133+EO147</f>
        <v>188501</v>
      </c>
      <c r="EP155" s="98">
        <f t="shared" si="873"/>
        <v>0.93437426374520793</v>
      </c>
      <c r="EQ155" s="792">
        <f t="shared" ref="EQ155" si="882">EQ133+EQ147</f>
        <v>186332.20840091899</v>
      </c>
      <c r="ER155" s="98">
        <f t="shared" si="875"/>
        <v>-1.1930044219920277</v>
      </c>
      <c r="ES155" s="792">
        <f t="shared" ref="ES155" si="883">ES133+ES147</f>
        <v>184643.57227079655</v>
      </c>
      <c r="ET155" s="98">
        <f t="shared" si="877"/>
        <v>-3.0569381040203791</v>
      </c>
      <c r="EU155" s="792">
        <f t="shared" ref="EU155" si="884">EU133+EU147</f>
        <v>183029.6945420705</v>
      </c>
      <c r="EV155" s="98">
        <f t="shared" si="879"/>
        <v>-3.4841858170765683</v>
      </c>
      <c r="EW155" s="792">
        <f t="shared" ref="EW155" si="885">EW133+EW147</f>
        <v>181498.48521495651</v>
      </c>
      <c r="EX155" s="98">
        <f t="shared" si="881"/>
        <v>-3.7148422475443033</v>
      </c>
      <c r="EY155" s="118"/>
      <c r="EZ155" s="594"/>
      <c r="FA155" s="405"/>
      <c r="FB155" s="118">
        <f>FB133+FB147</f>
        <v>64852</v>
      </c>
      <c r="FC155" s="98"/>
      <c r="FD155" s="117">
        <f>FD133+FD147</f>
        <v>61473</v>
      </c>
      <c r="FE155" s="98">
        <f>IF(ISERROR((FD155/FB155-1)*100),"NA",IF(((FD155/FB155-1)*100)&gt;100,"NM",IF(((FD155/FB155-1)*100)&lt;-50,"NM",(FD155/FB155-1)*100)))</f>
        <v>-5.2103250478011454</v>
      </c>
      <c r="FF155" s="118">
        <f>FF133+FF147</f>
        <v>60165</v>
      </c>
      <c r="FG155" s="98">
        <f>IF(ISERROR((FF155/FD155-1)*100),"NA",IF(((FF155/FD155-1)*100)&gt;100,"NM",IF(((FF155/FD155-1)*100)&lt;-50,"NM",(FF155/FD155-1)*100)))</f>
        <v>-2.1277634083256114</v>
      </c>
      <c r="FH155" s="118">
        <f>FH133+FH147</f>
        <v>58168</v>
      </c>
      <c r="FI155" s="98">
        <f>IF(ISERROR((FH155/FF155-1)*100),"NA",IF(((FH155/FF155-1)*100)&gt;100,"NM",IF(((FH155/FF155-1)*100)&lt;-50,"NM",(FH155/FF155-1)*100)))</f>
        <v>-3.3192055181583968</v>
      </c>
      <c r="FJ155" s="118">
        <f>FJ133+FJ147</f>
        <v>60322</v>
      </c>
      <c r="FK155" s="98">
        <f>IF(ISERROR((FJ155/FH155-1)*100),"NA",IF(((FJ155/FH155-1)*100)&gt;100,"NM",IF(((FJ155/FH155-1)*100)&lt;-50,"NM",(FJ155/FH155-1)*100)))</f>
        <v>3.7030669784073655</v>
      </c>
      <c r="FL155" s="118">
        <f>FL133+FL147</f>
        <v>67379</v>
      </c>
      <c r="FM155" s="98">
        <f>IF(ISERROR((FL155/FJ155-1)*100),"NA",IF(((FL155/FJ155-1)*100)&gt;100,"NM",IF(((FL155/FJ155-1)*100)&lt;-50,"NM",(FL155/FJ155-1)*100)))</f>
        <v>11.698882663041665</v>
      </c>
      <c r="FN155" s="118">
        <f>FN133+FN147</f>
        <v>74258</v>
      </c>
      <c r="FO155" s="98">
        <f>IF(ISERROR((FN155/FL155-1)*100),"NA",IF(((FN155/FL155-1)*100)&gt;100,"NM",IF(((FN155/FL155-1)*100)&lt;-50,"NM",(FN155/FL155-1)*100)))</f>
        <v>10.209412428204633</v>
      </c>
      <c r="FP155" s="118">
        <f>FP133+FP147</f>
        <v>110932</v>
      </c>
      <c r="FQ155" s="98">
        <f>IF(ISERROR((FP155/FN155-1)*100),"NA",IF(((FP155/FN155-1)*100)&gt;100,"NM",IF(((FP155/FN155-1)*100)&lt;-50,"NM",(FP155/FN155-1)*100)))</f>
        <v>49.387271405101131</v>
      </c>
      <c r="FR155" s="119">
        <f>FR133+FR147</f>
        <v>117556</v>
      </c>
      <c r="FS155" s="120">
        <f>IF(ISERROR((FR155/FP155-1)*100),"NA",IF(((FR155/FP155-1)*100)&gt;100,"NM",IF(((FR155/FP155-1)*100)&lt;-50,"NM",(FR155/FP155-1)*100)))</f>
        <v>5.9712256156924992</v>
      </c>
      <c r="FT155" s="119">
        <f>FT133+FT147</f>
        <v>124066</v>
      </c>
      <c r="FU155" s="120">
        <f>IF(ISERROR((FT155/FR155-1)*100),"NA",IF(((FT155/FR155-1)*100)&gt;100,"NM",IF(((FT155/FR155-1)*100)&lt;-50,"NM",(FT155/FR155-1)*100)))</f>
        <v>5.5377862465548322</v>
      </c>
      <c r="FV155" s="119">
        <f>FV133+FV147</f>
        <v>130814</v>
      </c>
      <c r="FW155" s="98">
        <f>IF(ISERROR((FV155/FT155-1)*100),"NA",IF(((FV155/FT155-1)*100)&gt;100,"NM",IF(((FV155/FT155-1)*100)&lt;-50,"NM",(FV155/FT155-1)*100)))</f>
        <v>5.439040510695925</v>
      </c>
      <c r="FX155" s="485">
        <f>FX133+FX147</f>
        <v>120778</v>
      </c>
      <c r="FY155" s="98">
        <f>IF(ISERROR((FX155/FV155-1)*100),"NA",IF(((FX155/FV155-1)*100)&gt;100,"NM",IF(((FX155/FV155-1)*100)&lt;-50,"NM",(FX155/FV155-1)*100)))</f>
        <v>-7.6719617166358329</v>
      </c>
      <c r="FZ155" s="119">
        <f>FZ133+FZ147</f>
        <v>151842</v>
      </c>
      <c r="GA155" s="98">
        <f>IF(ISERROR((FZ155/FX155-1)*100),"NA",IF(((FZ155/FX155-1)*100)&gt;100,"NM",IF(((FZ155/FX155-1)*100)&lt;-50,"NM",(FZ155/FX155-1)*100)))</f>
        <v>25.719915878719625</v>
      </c>
      <c r="GB155" s="485">
        <f>GB133+GB147</f>
        <v>170875</v>
      </c>
      <c r="GC155" s="98">
        <f>IF(ISERROR((GB155/FZ155-1)*100),"NA",IF(((GB155/FZ155-1)*100)&gt;100,"NM",IF(((GB155/FZ155-1)*100)&lt;-50,"NM",(GB155/FZ155-1)*100)))</f>
        <v>12.534740058745264</v>
      </c>
      <c r="GD155" s="119">
        <f>GD133+GD147</f>
        <v>188785</v>
      </c>
      <c r="GE155" s="98">
        <f>IF(ISERROR((GD155/GB155-1)*100),"NA",IF(((GD155/GB155-1)*100)&gt;100,"NM",IF(((GD155/GB155-1)*100)&lt;-50,"NM",(GD155/GB155-1)*100)))</f>
        <v>10.481346013167524</v>
      </c>
      <c r="GF155" s="119">
        <f>GF133+GF147</f>
        <v>189477</v>
      </c>
      <c r="GG155" s="98">
        <f>IF(ISERROR((GF155/GD155-1)*100),"NA",IF(((GF155/GD155-1)*100)&gt;100,"NM",IF(((GF155/GD155-1)*100)&lt;-50,"NM",(GF155/GD155-1)*100)))</f>
        <v>0.36655454617686711</v>
      </c>
      <c r="GH155" s="119">
        <f>GH133+GH147</f>
        <v>196445</v>
      </c>
      <c r="GI155" s="98">
        <f>IF(ISERROR((GH155/GF155-1)*100),"NA",IF(((GH155/GF155-1)*100)&gt;100,"NM",IF(((GH155/GF155-1)*100)&lt;-50,"NM",(GH155/GF155-1)*100)))</f>
        <v>3.6774911994595705</v>
      </c>
      <c r="GJ155" s="119">
        <f>GJ133+GJ147</f>
        <v>175096</v>
      </c>
      <c r="GK155" s="98">
        <f>IF(ISERROR((GJ155/GH155-1)*100),"NA",IF(((GJ155/GH155-1)*100)&gt;100,"NM",IF(((GJ155/GH155-1)*100)&lt;-50,"NM",(GJ155/GH155-1)*100)))</f>
        <v>-10.867672885540481</v>
      </c>
      <c r="GL155" s="119">
        <f>GL133+GL147</f>
        <v>186756</v>
      </c>
      <c r="GM155" s="98">
        <f>IF(ISERROR((GL155/GJ155-1)*100),"NA",IF(((GL155/GJ155-1)*100)&gt;100,"NM",IF(((GL155/GJ155-1)*100)&lt;-50,"NM",(GL155/GJ155-1)*100)))</f>
        <v>6.6592040937542896</v>
      </c>
      <c r="GN155" s="119">
        <f>GN133+GN147</f>
        <v>188501</v>
      </c>
      <c r="GO155" s="98">
        <f>IF(ISERROR((GN155/GL155-1)*100),"NA",IF(((GN155/GL155-1)*100)&gt;100,"NM",IF(((GN155/GL155-1)*100)&lt;-50,"NM",(GN155/GL155-1)*100)))</f>
        <v>0.93437426374520793</v>
      </c>
      <c r="GP155" s="119">
        <f>GP133+GP147</f>
        <v>181498.48521495645</v>
      </c>
      <c r="GQ155" s="98">
        <f>IF(ISERROR((GP155/GN155-1)*100),"NA",IF(((GP155/GN155-1)*100)&gt;100,"NM",IF(((GP155/GN155-1)*100)&lt;-50,"NM",(GP155/GN155-1)*100)))</f>
        <v>-3.7148422475443366</v>
      </c>
      <c r="GR155" s="118">
        <f>GR133+GR147</f>
        <v>178855.69833012563</v>
      </c>
      <c r="GS155" s="98">
        <f>IF(ISERROR((GR155/GP155-1)*100),"NA",IF(((GR155/GP155-1)*100)&gt;100,"NM",IF(((GR155/GP155-1)*100)&lt;-50,"NM",(GR155/GP155-1)*100)))</f>
        <v>-1.4560930807223316</v>
      </c>
      <c r="GT155" s="118">
        <f>GT133+GT147</f>
        <v>179317.58219315973</v>
      </c>
      <c r="GU155" s="98">
        <f>IF(ISERROR((GT155/GR155-1)*100),"NA",IF(((GT155/GR155-1)*100)&gt;100,"NM",IF(((GT155/GR155-1)*100)&lt;-50,"NM",(GT155/GR155-1)*100)))</f>
        <v>0.25824386214499118</v>
      </c>
      <c r="GV155" s="118">
        <f>GV133+GV147</f>
        <v>181986.78349518555</v>
      </c>
      <c r="GW155" s="98">
        <f>IF(ISERROR((GV155/GT155-1)*100),"NA",IF(((GV155/GT155-1)*100)&gt;100,"NM",IF(((GV155/GT155-1)*100)&lt;-50,"NM",(GV155/GT155-1)*100)))</f>
        <v>1.4885329533110614</v>
      </c>
      <c r="GX155" s="118">
        <f>GX133+GX147</f>
        <v>186413.27256841707</v>
      </c>
      <c r="GY155" s="98">
        <f>IF(ISERROR((GX155/GV155-1)*100),"NA",IF(((GX155/GV155-1)*100)&gt;100,"NM",IF(((GX155/GV155-1)*100)&lt;-50,"NM",(GX155/GV155-1)*100)))</f>
        <v>2.432313483549553</v>
      </c>
      <c r="GZ155" s="98">
        <f>IF(ISERROR(((GX155/GN155)^0.2-1)*100),"NA",IF((((GX155/GN155)^0.2-1)*100)&gt;100,"NM",IF((((GX155/GN155)^0.2-1)*100)&lt;-50,"NM",((GX155/GN155)^0.2-1)*100)))</f>
        <v>-0.2224962579303158</v>
      </c>
      <c r="HA155" s="98"/>
      <c r="HB155" s="10"/>
      <c r="HC155"/>
      <c r="HD155"/>
      <c r="HE155"/>
      <c r="HF155"/>
      <c r="HG155"/>
      <c r="HH155"/>
      <c r="HI155" s="10"/>
    </row>
    <row r="156" spans="1:217" s="2" customFormat="1" ht="12.75" customHeight="1" x14ac:dyDescent="0.2">
      <c r="B156" s="91"/>
      <c r="C156" s="153"/>
      <c r="D156" s="154"/>
      <c r="E156" s="153"/>
      <c r="F156" s="154"/>
      <c r="G156" s="153"/>
      <c r="H156" s="154"/>
      <c r="I156" s="153"/>
      <c r="J156" s="156"/>
      <c r="K156" s="153"/>
      <c r="L156" s="156"/>
      <c r="M156" s="153"/>
      <c r="N156" s="156"/>
      <c r="O156" s="153"/>
      <c r="P156" s="156"/>
      <c r="Q156" s="153"/>
      <c r="R156" s="156"/>
      <c r="S156" s="153"/>
      <c r="T156" s="156"/>
      <c r="U156" s="153"/>
      <c r="V156" s="156"/>
      <c r="W156" s="153"/>
      <c r="X156" s="156"/>
      <c r="Y156" s="153"/>
      <c r="Z156" s="156"/>
      <c r="AA156" s="153"/>
      <c r="AB156" s="156"/>
      <c r="AC156" s="153"/>
      <c r="AD156" s="156"/>
      <c r="AE156" s="153"/>
      <c r="AF156" s="156"/>
      <c r="AG156" s="153"/>
      <c r="AH156" s="156"/>
      <c r="AI156" s="153"/>
      <c r="AJ156" s="156"/>
      <c r="AK156" s="153"/>
      <c r="AL156" s="156"/>
      <c r="AM156" s="153"/>
      <c r="AN156" s="156"/>
      <c r="AO156" s="153"/>
      <c r="AP156" s="156"/>
      <c r="AQ156" s="153"/>
      <c r="AR156" s="156"/>
      <c r="AS156" s="153"/>
      <c r="AT156" s="156"/>
      <c r="AU156" s="153"/>
      <c r="AV156" s="156"/>
      <c r="AW156" s="153"/>
      <c r="AX156" s="156"/>
      <c r="AY156" s="153"/>
      <c r="AZ156" s="156"/>
      <c r="BA156" s="153"/>
      <c r="BB156" s="156"/>
      <c r="BC156" s="153"/>
      <c r="BD156" s="156"/>
      <c r="BE156" s="153"/>
      <c r="BF156" s="156"/>
      <c r="BG156" s="153"/>
      <c r="BH156" s="156"/>
      <c r="BI156" s="153"/>
      <c r="BJ156" s="156"/>
      <c r="BK156" s="153"/>
      <c r="BL156" s="156"/>
      <c r="BM156" s="153"/>
      <c r="BN156" s="98"/>
      <c r="BO156" s="112"/>
      <c r="BP156" s="98"/>
      <c r="BQ156" s="112"/>
      <c r="BR156" s="98"/>
      <c r="BS156" s="112"/>
      <c r="BT156" s="98"/>
      <c r="BU156" s="112"/>
      <c r="BV156" s="98"/>
      <c r="BW156" s="112"/>
      <c r="BX156" s="98"/>
      <c r="BY156" s="112"/>
      <c r="BZ156" s="98"/>
      <c r="CA156" s="112"/>
      <c r="CB156" s="98"/>
      <c r="CC156" s="112"/>
      <c r="CD156" s="98"/>
      <c r="CE156" s="112"/>
      <c r="CF156" s="98"/>
      <c r="CG156" s="112"/>
      <c r="CH156" s="98"/>
      <c r="CI156" s="112"/>
      <c r="CJ156" s="98"/>
      <c r="CK156" s="112"/>
      <c r="CL156" s="98"/>
      <c r="CM156" s="112"/>
      <c r="CN156" s="98"/>
      <c r="CO156" s="112"/>
      <c r="CP156" s="98"/>
      <c r="CQ156" s="543"/>
      <c r="CR156" s="98"/>
      <c r="CS156" s="112"/>
      <c r="CT156" s="98"/>
      <c r="CU156" s="112"/>
      <c r="CV156" s="98"/>
      <c r="CW156" s="112"/>
      <c r="CX156" s="98"/>
      <c r="CY156" s="112"/>
      <c r="CZ156" s="98"/>
      <c r="DA156" s="112"/>
      <c r="DB156" s="98"/>
      <c r="DC156" s="112"/>
      <c r="DD156" s="98"/>
      <c r="DE156" s="112"/>
      <c r="DF156" s="98"/>
      <c r="DG156" s="112"/>
      <c r="DH156" s="98"/>
      <c r="DI156" s="112"/>
      <c r="DJ156" s="98"/>
      <c r="DK156" s="112"/>
      <c r="DL156" s="98"/>
      <c r="DM156" s="112"/>
      <c r="DN156" s="98"/>
      <c r="DO156" s="112"/>
      <c r="DP156" s="98"/>
      <c r="DQ156" s="112"/>
      <c r="DR156" s="98"/>
      <c r="DS156" s="112"/>
      <c r="DT156" s="98"/>
      <c r="DU156" s="112"/>
      <c r="DV156" s="98"/>
      <c r="DW156" s="112"/>
      <c r="DX156" s="98"/>
      <c r="DY156" s="112"/>
      <c r="DZ156" s="98"/>
      <c r="EA156" s="112"/>
      <c r="EB156" s="98"/>
      <c r="EC156" s="112"/>
      <c r="ED156" s="98"/>
      <c r="EE156" s="112"/>
      <c r="EF156" s="860"/>
      <c r="EG156" s="112"/>
      <c r="EH156" s="860"/>
      <c r="EI156" s="112"/>
      <c r="EJ156" s="860"/>
      <c r="EK156" s="112"/>
      <c r="EL156" s="860"/>
      <c r="EM156" s="112"/>
      <c r="EN156" s="860"/>
      <c r="EO156" s="112"/>
      <c r="EP156" s="98"/>
      <c r="EQ156" s="1022"/>
      <c r="ER156" s="98"/>
      <c r="ES156" s="1022"/>
      <c r="ET156" s="98"/>
      <c r="EU156" s="1022"/>
      <c r="EV156" s="98"/>
      <c r="EW156" s="1022"/>
      <c r="EX156" s="98"/>
      <c r="EY156" s="114"/>
      <c r="EZ156" s="594"/>
      <c r="FA156" s="405"/>
      <c r="FB156" s="114"/>
      <c r="FC156" s="113"/>
      <c r="FD156" s="112"/>
      <c r="FE156" s="113"/>
      <c r="FF156" s="114"/>
      <c r="FG156" s="113"/>
      <c r="FH156" s="114"/>
      <c r="FI156" s="113"/>
      <c r="FJ156" s="114"/>
      <c r="FK156" s="113"/>
      <c r="FL156" s="114"/>
      <c r="FM156" s="113"/>
      <c r="FN156" s="114"/>
      <c r="FO156" s="113"/>
      <c r="FP156" s="114"/>
      <c r="FQ156" s="113"/>
      <c r="FR156" s="115"/>
      <c r="FS156" s="116"/>
      <c r="FT156" s="115"/>
      <c r="FU156" s="116"/>
      <c r="FV156" s="115"/>
      <c r="FW156" s="98"/>
      <c r="FX156" s="484"/>
      <c r="FY156" s="98"/>
      <c r="FZ156" s="115"/>
      <c r="GA156" s="98"/>
      <c r="GB156" s="484"/>
      <c r="GC156" s="98"/>
      <c r="GD156" s="115"/>
      <c r="GE156" s="98"/>
      <c r="GF156" s="115"/>
      <c r="GG156" s="98"/>
      <c r="GH156" s="115"/>
      <c r="GI156" s="98"/>
      <c r="GJ156" s="115"/>
      <c r="GK156" s="98"/>
      <c r="GL156" s="115"/>
      <c r="GM156" s="98"/>
      <c r="GN156" s="115"/>
      <c r="GO156" s="98"/>
      <c r="GP156" s="115"/>
      <c r="GQ156" s="98"/>
      <c r="GR156" s="114"/>
      <c r="GS156" s="98"/>
      <c r="GT156" s="114"/>
      <c r="GU156" s="98"/>
      <c r="GV156" s="114"/>
      <c r="GW156" s="98"/>
      <c r="GX156" s="114"/>
      <c r="GY156" s="98"/>
      <c r="GZ156" s="98"/>
      <c r="HA156" s="98"/>
      <c r="HB156" s="10"/>
      <c r="HC156"/>
      <c r="HD156"/>
      <c r="HE156"/>
      <c r="HF156"/>
      <c r="HG156"/>
      <c r="HH156"/>
      <c r="HI156" s="10"/>
    </row>
    <row r="157" spans="1:217" s="2" customFormat="1" ht="12.75" customHeight="1" x14ac:dyDescent="0.2">
      <c r="B157" s="93" t="s">
        <v>284</v>
      </c>
      <c r="C157" s="153"/>
      <c r="D157" s="154"/>
      <c r="E157" s="153"/>
      <c r="F157" s="154"/>
      <c r="G157" s="153"/>
      <c r="H157" s="154"/>
      <c r="I157" s="153"/>
      <c r="J157" s="156"/>
      <c r="K157" s="153"/>
      <c r="L157" s="156"/>
      <c r="M157" s="153"/>
      <c r="N157" s="156"/>
      <c r="O157" s="153"/>
      <c r="P157" s="156"/>
      <c r="Q157" s="153"/>
      <c r="R157" s="156"/>
      <c r="S157" s="153"/>
      <c r="T157" s="156"/>
      <c r="U157" s="153"/>
      <c r="V157" s="156"/>
      <c r="W157" s="153"/>
      <c r="X157" s="156"/>
      <c r="Y157" s="153"/>
      <c r="Z157" s="156"/>
      <c r="AA157" s="153"/>
      <c r="AB157" s="156"/>
      <c r="AC157" s="153"/>
      <c r="AD157" s="156"/>
      <c r="AE157" s="153"/>
      <c r="AF157" s="156"/>
      <c r="AG157" s="153"/>
      <c r="AH157" s="156"/>
      <c r="AI157" s="153"/>
      <c r="AJ157" s="156"/>
      <c r="AK157" s="153"/>
      <c r="AL157" s="156"/>
      <c r="AM157" s="153"/>
      <c r="AN157" s="156"/>
      <c r="AO157" s="153"/>
      <c r="AP157" s="156"/>
      <c r="AQ157" s="153"/>
      <c r="AR157" s="156"/>
      <c r="AS157" s="153"/>
      <c r="AT157" s="156"/>
      <c r="AU157" s="153"/>
      <c r="AV157" s="156"/>
      <c r="AW157" s="153"/>
      <c r="AX157" s="156"/>
      <c r="AY157" s="153"/>
      <c r="AZ157" s="156"/>
      <c r="BA157" s="153"/>
      <c r="BB157" s="156"/>
      <c r="BC157" s="153"/>
      <c r="BD157" s="156"/>
      <c r="BE157" s="153"/>
      <c r="BF157" s="156"/>
      <c r="BG157" s="153"/>
      <c r="BH157" s="156"/>
      <c r="BI157" s="153"/>
      <c r="BJ157" s="156"/>
      <c r="BK157" s="153"/>
      <c r="BL157" s="156"/>
      <c r="BM157" s="153"/>
      <c r="BN157" s="98"/>
      <c r="BO157" s="112"/>
      <c r="BP157" s="98"/>
      <c r="BQ157" s="112"/>
      <c r="BR157" s="98"/>
      <c r="BS157" s="112"/>
      <c r="BT157" s="98"/>
      <c r="BU157" s="112"/>
      <c r="BV157" s="98"/>
      <c r="BW157" s="112"/>
      <c r="BX157" s="98"/>
      <c r="BY157" s="112"/>
      <c r="BZ157" s="98"/>
      <c r="CA157" s="112"/>
      <c r="CB157" s="98"/>
      <c r="CC157" s="112"/>
      <c r="CD157" s="98"/>
      <c r="CE157" s="112"/>
      <c r="CF157" s="98"/>
      <c r="CG157" s="112"/>
      <c r="CH157" s="98"/>
      <c r="CI157" s="112"/>
      <c r="CJ157" s="98"/>
      <c r="CK157" s="112"/>
      <c r="CL157" s="98"/>
      <c r="CM157" s="112"/>
      <c r="CN157" s="98"/>
      <c r="CO157" s="112"/>
      <c r="CP157" s="98"/>
      <c r="CQ157" s="543"/>
      <c r="CR157" s="98"/>
      <c r="CS157" s="112"/>
      <c r="CT157" s="98"/>
      <c r="CU157" s="112"/>
      <c r="CV157" s="98"/>
      <c r="CW157" s="112"/>
      <c r="CX157" s="98"/>
      <c r="CY157" s="112"/>
      <c r="CZ157" s="98"/>
      <c r="DA157" s="112"/>
      <c r="DB157" s="98"/>
      <c r="DC157" s="112"/>
      <c r="DD157" s="98"/>
      <c r="DE157" s="112"/>
      <c r="DF157" s="98"/>
      <c r="DG157" s="112"/>
      <c r="DH157" s="98"/>
      <c r="DI157" s="112"/>
      <c r="DJ157" s="98"/>
      <c r="DK157" s="112"/>
      <c r="DL157" s="98"/>
      <c r="DM157" s="112"/>
      <c r="DN157" s="98"/>
      <c r="DO157" s="112"/>
      <c r="DP157" s="98"/>
      <c r="DQ157" s="112"/>
      <c r="DR157" s="98"/>
      <c r="DS157" s="112"/>
      <c r="DT157" s="98"/>
      <c r="DU157" s="112"/>
      <c r="DV157" s="98"/>
      <c r="DW157" s="112"/>
      <c r="DX157" s="98"/>
      <c r="DY157" s="112"/>
      <c r="DZ157" s="98"/>
      <c r="EA157" s="112"/>
      <c r="EB157" s="98"/>
      <c r="EC157" s="112"/>
      <c r="ED157" s="98"/>
      <c r="EE157" s="112"/>
      <c r="EF157" s="860"/>
      <c r="EG157" s="112"/>
      <c r="EH157" s="860"/>
      <c r="EI157" s="112"/>
      <c r="EJ157" s="860"/>
      <c r="EK157" s="112"/>
      <c r="EL157" s="860"/>
      <c r="EM157" s="112"/>
      <c r="EN157" s="860"/>
      <c r="EO157" s="112"/>
      <c r="EP157" s="98"/>
      <c r="EQ157" s="1022"/>
      <c r="ER157" s="98"/>
      <c r="ES157" s="1022"/>
      <c r="ET157" s="98"/>
      <c r="EU157" s="1022"/>
      <c r="EV157" s="98"/>
      <c r="EW157" s="1022"/>
      <c r="EX157" s="98"/>
      <c r="EY157" s="114"/>
      <c r="EZ157" s="594"/>
      <c r="FA157" s="405"/>
      <c r="FB157" s="114"/>
      <c r="FC157" s="113"/>
      <c r="FD157" s="112"/>
      <c r="FE157" s="113"/>
      <c r="FF157" s="114"/>
      <c r="FG157" s="113"/>
      <c r="FH157" s="114"/>
      <c r="FI157" s="113"/>
      <c r="FJ157" s="114"/>
      <c r="FK157" s="113"/>
      <c r="FL157" s="114"/>
      <c r="FM157" s="113"/>
      <c r="FN157" s="114"/>
      <c r="FO157" s="113"/>
      <c r="FP157" s="114"/>
      <c r="FQ157" s="113"/>
      <c r="FR157" s="115"/>
      <c r="FS157" s="116"/>
      <c r="FT157" s="115"/>
      <c r="FU157" s="116"/>
      <c r="FV157" s="115"/>
      <c r="FW157" s="98"/>
      <c r="FX157" s="484"/>
      <c r="FY157" s="98"/>
      <c r="FZ157" s="115"/>
      <c r="GA157" s="98"/>
      <c r="GB157" s="484"/>
      <c r="GC157" s="98"/>
      <c r="GD157" s="115"/>
      <c r="GE157" s="98"/>
      <c r="GF157" s="115"/>
      <c r="GG157" s="98"/>
      <c r="GH157" s="115"/>
      <c r="GI157" s="98"/>
      <c r="GJ157" s="115"/>
      <c r="GK157" s="98"/>
      <c r="GL157" s="115"/>
      <c r="GM157" s="98"/>
      <c r="GN157" s="115"/>
      <c r="GO157" s="98"/>
      <c r="GP157" s="115"/>
      <c r="GQ157" s="98"/>
      <c r="GR157" s="114"/>
      <c r="GS157" s="98"/>
      <c r="GT157" s="114"/>
      <c r="GU157" s="98"/>
      <c r="GV157" s="114"/>
      <c r="GW157" s="98"/>
      <c r="GX157" s="114"/>
      <c r="GY157" s="98"/>
      <c r="GZ157" s="98"/>
      <c r="HA157" s="98"/>
      <c r="HB157" s="10"/>
      <c r="HC157"/>
      <c r="HD157"/>
      <c r="HE157"/>
      <c r="HF157"/>
      <c r="HG157"/>
      <c r="HH157"/>
      <c r="HI157" s="10"/>
    </row>
    <row r="158" spans="1:217" s="2" customFormat="1" ht="12.75" customHeight="1" x14ac:dyDescent="0.2">
      <c r="B158" s="91" t="s">
        <v>493</v>
      </c>
      <c r="C158" s="157">
        <v>153</v>
      </c>
      <c r="D158" s="156"/>
      <c r="E158" s="157">
        <v>227</v>
      </c>
      <c r="F158" s="156"/>
      <c r="G158" s="157">
        <v>170</v>
      </c>
      <c r="H158" s="156"/>
      <c r="I158" s="157">
        <v>223</v>
      </c>
      <c r="J158" s="156"/>
      <c r="K158" s="157">
        <v>141</v>
      </c>
      <c r="L158" s="156">
        <f>IF(ISERROR((K158/C158-1)*100),"NA",IF(((K158/C158-1)*100)&gt;100,"NM",IF(((K158/C158-1)*100)&lt;-50,"NM",(K158/C158-1)*100)))</f>
        <v>-7.8431372549019667</v>
      </c>
      <c r="M158" s="157">
        <v>59</v>
      </c>
      <c r="N158" s="156" t="str">
        <f>IF(ISERROR((M158/E158-1)*100),"NA",IF(((M158/E158-1)*100)&gt;100,"NM",IF(((M158/E158-1)*100)&lt;-50,"NM",(M158/E158-1)*100)))</f>
        <v>NM</v>
      </c>
      <c r="O158" s="157">
        <v>165</v>
      </c>
      <c r="P158" s="156">
        <f>IF(ISERROR((O158/G158-1)*100),"NA",IF(((O158/G158-1)*100)&gt;100,"NM",IF(((O158/G158-1)*100)&lt;-50,"NM",(O158/G158-1)*100)))</f>
        <v>-2.9411764705882359</v>
      </c>
      <c r="Q158" s="157">
        <v>117</v>
      </c>
      <c r="R158" s="156">
        <f>IF(ISERROR((Q158/I158-1)*100),"NA",IF(((Q158/I158-1)*100)&gt;100,"NM",IF(((Q158/I158-1)*100)&lt;-50,"NM",(Q158/I158-1)*100)))</f>
        <v>-47.53363228699552</v>
      </c>
      <c r="S158" s="157">
        <v>98</v>
      </c>
      <c r="T158" s="156">
        <f>IF(ISERROR((S158/K158-1)*100),"NA",IF(((S158/K158-1)*100)&gt;100,"NM",IF(((S158/K158-1)*100)&lt;-50,"NM",(S158/K158-1)*100)))</f>
        <v>-30.49645390070922</v>
      </c>
      <c r="U158" s="157">
        <v>388</v>
      </c>
      <c r="V158" s="156" t="str">
        <f>IF(ISERROR((U158/M158-1)*100),"NA",IF(((U158/M158-1)*100)&gt;100,"NM",IF(((U158/M158-1)*100)&lt;-50,"NM",(U158/M158-1)*100)))</f>
        <v>NM</v>
      </c>
      <c r="W158" s="157">
        <v>200</v>
      </c>
      <c r="X158" s="156">
        <f>IF(ISERROR((W158/O158-1)*100),"NA",IF(((W158/O158-1)*100)&gt;100,"NM",IF(((W158/O158-1)*100)&lt;-50,"NM",(W158/O158-1)*100)))</f>
        <v>21.212121212121215</v>
      </c>
      <c r="Y158" s="157">
        <v>257</v>
      </c>
      <c r="Z158" s="156" t="str">
        <f>IF(ISERROR((Y158/Q158-1)*100),"NA",IF(((Y158/Q158-1)*100)&gt;100,"NM",IF(((Y158/Q158-1)*100)&lt;-50,"NM",(Y158/Q158-1)*100)))</f>
        <v>NM</v>
      </c>
      <c r="AA158" s="157">
        <v>174</v>
      </c>
      <c r="AB158" s="156">
        <f>IF(ISERROR((AA158/S158-1)*100),"NA",IF(((AA158/S158-1)*100)&gt;100,"NM",IF(((AA158/S158-1)*100)&lt;-50,"NM",(AA158/S158-1)*100)))</f>
        <v>77.551020408163268</v>
      </c>
      <c r="AC158" s="157">
        <v>351</v>
      </c>
      <c r="AD158" s="156">
        <f>IF(ISERROR((AC158/U158-1)*100),"NA",IF(((AC158/U158-1)*100)&gt;100,"NM",IF(((AC158/U158-1)*100)&lt;-50,"NM",(AC158/U158-1)*100)))</f>
        <v>-9.536082474226804</v>
      </c>
      <c r="AE158" s="157">
        <v>289</v>
      </c>
      <c r="AF158" s="156">
        <f>IF(ISERROR((AE158/W158-1)*100),"NA",IF(((AE158/W158-1)*100)&gt;100,"NM",IF(((AE158/W158-1)*100)&lt;-50,"NM",(AE158/W158-1)*100)))</f>
        <v>44.500000000000007</v>
      </c>
      <c r="AG158" s="157">
        <v>305</v>
      </c>
      <c r="AH158" s="156">
        <f>IF(ISERROR((AG158/Y158-1)*100),"NA",IF(((AG158/Y158-1)*100)&gt;100,"NM",IF(((AG158/Y158-1)*100)&lt;-50,"NM",(AG158/Y158-1)*100)))</f>
        <v>18.677042801556421</v>
      </c>
      <c r="AI158" s="157">
        <v>265</v>
      </c>
      <c r="AJ158" s="156">
        <f>IF(ISERROR((AI158/AA158-1)*100),"NA",IF(((AI158/AA158-1)*100)&gt;100,"NM",IF(((AI158/AA158-1)*100)&lt;-50,"NM",(AI158/AA158-1)*100)))</f>
        <v>52.298850574712638</v>
      </c>
      <c r="AK158" s="157">
        <v>225</v>
      </c>
      <c r="AL158" s="156">
        <f>IF(ISERROR((AK158/AC158-1)*100),"NA",IF(((AK158/AC158-1)*100)&gt;100,"NM",IF(((AK158/AC158-1)*100)&lt;-50,"NM",(AK158/AC158-1)*100)))</f>
        <v>-35.897435897435891</v>
      </c>
      <c r="AM158" s="157">
        <v>505</v>
      </c>
      <c r="AN158" s="156">
        <f>IF(ISERROR((AM158/AE158-1)*100),"NA",IF(((AM158/AE158-1)*100)&gt;100,"NM",IF(((AM158/AE158-1)*100)&lt;-50,"NM",(AM158/AE158-1)*100)))</f>
        <v>74.740484429065731</v>
      </c>
      <c r="AO158" s="157">
        <v>300</v>
      </c>
      <c r="AP158" s="156">
        <f>IF(ISERROR((AO158/AG158-1)*100),"NA",IF(((AO158/AG158-1)*100)&gt;100,"NM",IF(((AO158/AG158-1)*100)&lt;-50,"NM",(AO158/AG158-1)*100)))</f>
        <v>-1.6393442622950838</v>
      </c>
      <c r="AQ158" s="157">
        <v>496</v>
      </c>
      <c r="AR158" s="156">
        <f>IF(ISERROR((AQ158/AI158-1)*100),"NA",IF(((AQ158/AI158-1)*100)&gt;100,"NM",IF(((AQ158/AI158-1)*100)&lt;-50,"NM",(AQ158/AI158-1)*100)))</f>
        <v>87.169811320754718</v>
      </c>
      <c r="AS158" s="157">
        <v>384</v>
      </c>
      <c r="AT158" s="156">
        <f>IF(ISERROR((AS158/AK158-1)*100),"NA",IF(((AS158/AK158-1)*100)&gt;100,"NM",IF(((AS158/AK158-1)*100)&lt;-50,"NM",(AS158/AK158-1)*100)))</f>
        <v>70.666666666666671</v>
      </c>
      <c r="AU158" s="157">
        <v>557</v>
      </c>
      <c r="AV158" s="156">
        <f>IF(ISERROR((AU158/AM158-1)*100),"NA",IF(((AU158/AM158-1)*100)&gt;100,"NM",IF(((AU158/AM158-1)*100)&lt;-50,"NM",(AU158/AM158-1)*100)))</f>
        <v>10.297029702970306</v>
      </c>
      <c r="AW158" s="157">
        <v>234</v>
      </c>
      <c r="AX158" s="156">
        <f>IF(ISERROR((AW158/AO158-1)*100),"NA",IF(((AW158/AO158-1)*100)&gt;100,"NM",IF(((AW158/AO158-1)*100)&lt;-50,"NM",(AW158/AO158-1)*100)))</f>
        <v>-21.999999999999996</v>
      </c>
      <c r="AY158" s="157">
        <v>334</v>
      </c>
      <c r="AZ158" s="156">
        <f>IF(ISERROR((AY158/AQ158-1)*100),"NA",IF(((AY158/AQ158-1)*100)&gt;100,"NM",IF(((AY158/AQ158-1)*100)&lt;-50,"NM",(AY158/AQ158-1)*100)))</f>
        <v>-32.661290322580648</v>
      </c>
      <c r="BA158" s="157">
        <v>254</v>
      </c>
      <c r="BB158" s="156">
        <f>IF(ISERROR((BA158/AS158-1)*100),"NA",IF(((BA158/AS158-1)*100)&gt;100,"NM",IF(((BA158/AS158-1)*100)&lt;-50,"NM",(BA158/AS158-1)*100)))</f>
        <v>-33.854166666666664</v>
      </c>
      <c r="BC158" s="157">
        <v>436</v>
      </c>
      <c r="BD158" s="156">
        <f>IF(ISERROR((BC158/AU158-1)*100),"NA",IF(((BC158/AU158-1)*100)&gt;100,"NM",IF(((BC158/AU158-1)*100)&lt;-50,"NM",(BC158/AU158-1)*100)))</f>
        <v>-21.723518850987432</v>
      </c>
      <c r="BE158" s="157">
        <v>436</v>
      </c>
      <c r="BF158" s="156">
        <f>IF(ISERROR((BE158/AW158-1)*100),"NA",IF(((BE158/AW158-1)*100)&gt;100,"NM",IF(((BE158/AW158-1)*100)&lt;-50,"NM",(BE158/AW158-1)*100)))</f>
        <v>86.324786324786331</v>
      </c>
      <c r="BG158" s="157">
        <v>310</v>
      </c>
      <c r="BH158" s="156">
        <f>IF(ISERROR((BG158/AY158-1)*100),"NA",IF(((BG158/AY158-1)*100)&gt;100,"NM",IF(((BG158/AY158-1)*100)&lt;-50,"NM",(BG158/AY158-1)*100)))</f>
        <v>-7.1856287425149716</v>
      </c>
      <c r="BI158" s="157">
        <v>272</v>
      </c>
      <c r="BJ158" s="156">
        <f>IF(ISERROR((BI158/BA158-1)*100),"NA",IF(((BI158/BA158-1)*100)&gt;100,"NM",IF(((BI158/BA158-1)*100)&lt;-50,"NM",(BI158/BA158-1)*100)))</f>
        <v>7.0866141732283561</v>
      </c>
      <c r="BK158" s="157">
        <v>330</v>
      </c>
      <c r="BL158" s="156">
        <f>IF(ISERROR((BK158/BC158-1)*100),"NA",IF(((BK158/BC158-1)*100)&gt;100,"NM",IF(((BK158/BC158-1)*100)&lt;-50,"NM",(BK158/BC158-1)*100)))</f>
        <v>-24.311926605504585</v>
      </c>
      <c r="BM158" s="157">
        <v>313</v>
      </c>
      <c r="BN158" s="98">
        <f>IF(ISERROR((BM158/BE158-1)*100),"NA",IF(((BM158/BE158-1)*100)&gt;100,"NM",IF(((BM158/BE158-1)*100)&lt;-50,"NM",(BM158/BE158-1)*100)))</f>
        <v>-28.211009174311929</v>
      </c>
      <c r="BO158" s="101">
        <v>541</v>
      </c>
      <c r="BP158" s="98">
        <f>IF(ISERROR((BO158/BG158-1)*100),"NA",IF(((BO158/BG158-1)*100)&gt;100,"NM",IF(((BO158/BG158-1)*100)&lt;-50,"NM",(BO158/BG158-1)*100)))</f>
        <v>74.516129032258064</v>
      </c>
      <c r="BQ158" s="101">
        <v>493</v>
      </c>
      <c r="BR158" s="98">
        <f>IF(ISERROR((BQ158/BI158-1)*100),"NA",IF(((BQ158/BI158-1)*100)&gt;100,"NM",IF(((BQ158/BI158-1)*100)&lt;-50,"NM",(BQ158/BI158-1)*100)))</f>
        <v>81.25</v>
      </c>
      <c r="BS158" s="101">
        <v>994</v>
      </c>
      <c r="BT158" s="98" t="str">
        <f>IF(ISERROR((BS158/BK158-1)*100),"NA",IF(((BS158/BK158-1)*100)&gt;100,"NM",IF(((BS158/BK158-1)*100)&lt;-50,"NM",(BS158/BK158-1)*100)))</f>
        <v>NM</v>
      </c>
      <c r="BU158" s="101">
        <v>644</v>
      </c>
      <c r="BV158" s="98" t="str">
        <f>IF(ISERROR((BU158/BM158-1)*100),"NA",IF(((BU158/BM158-1)*100)&gt;100,"NM",IF(((BU158/BM158-1)*100)&lt;-50,"NM",(BU158/BM158-1)*100)))</f>
        <v>NM</v>
      </c>
      <c r="BW158" s="101">
        <v>324</v>
      </c>
      <c r="BX158" s="98">
        <f>IF(ISERROR((BW158/BO158-1)*100),"NA",IF(((BW158/BO158-1)*100)&gt;100,"NM",IF(((BW158/BO158-1)*100)&lt;-50,"NM",(BW158/BO158-1)*100)))</f>
        <v>-40.110905730129389</v>
      </c>
      <c r="BY158" s="101">
        <v>695</v>
      </c>
      <c r="BZ158" s="98">
        <f>IF(ISERROR((BY158/BQ158-1)*100),"NA",IF(((BY158/BQ158-1)*100)&gt;100,"NM",IF(((BY158/BQ158-1)*100)&lt;-50,"NM",(BY158/BQ158-1)*100)))</f>
        <v>40.973630831643007</v>
      </c>
      <c r="CA158" s="101">
        <v>639</v>
      </c>
      <c r="CB158" s="98">
        <f>IF(ISERROR((CA158/BS158-1)*100),"NA",IF(((CA158/BS158-1)*100)&gt;100,"NM",IF(((CA158/BS158-1)*100)&lt;-50,"NM",(CA158/BS158-1)*100)))</f>
        <v>-35.714285714285708</v>
      </c>
      <c r="CC158" s="101">
        <v>822</v>
      </c>
      <c r="CD158" s="98">
        <f>IF(ISERROR((CC158/BU158-1)*100),"NA",IF(((CC158/BU158-1)*100)&gt;100,"NM",IF(((CC158/BU158-1)*100)&lt;-50,"NM",(CC158/BU158-1)*100)))</f>
        <v>27.639751552795033</v>
      </c>
      <c r="CE158" s="101">
        <v>671</v>
      </c>
      <c r="CF158" s="98" t="str">
        <f>IF(ISERROR((CE158/BW158-1)*100),"NA",IF(((CE158/BW158-1)*100)&gt;100,"NM",IF(((CE158/BW158-1)*100)&lt;-50,"NM",(CE158/BW158-1)*100)))</f>
        <v>NM</v>
      </c>
      <c r="CG158" s="101">
        <v>474</v>
      </c>
      <c r="CH158" s="98">
        <f>IF(ISERROR((CG158/BY158-1)*100),"NA",IF(((CG158/BY158-1)*100)&gt;100,"NM",IF(((CG158/BY158-1)*100)&lt;-50,"NM",(CG158/BY158-1)*100)))</f>
        <v>-31.798561151079141</v>
      </c>
      <c r="CI158" s="101">
        <v>402</v>
      </c>
      <c r="CJ158" s="98">
        <f>IF(ISERROR((CI158/CA158-1)*100),"NA",IF(((CI158/CA158-1)*100)&gt;100,"NM",IF(((CI158/CA158-1)*100)&lt;-50,"NM",(CI158/CA158-1)*100)))</f>
        <v>-37.089201877934272</v>
      </c>
      <c r="CK158" s="101">
        <v>391</v>
      </c>
      <c r="CL158" s="98" t="str">
        <f>IF(ISERROR((CK158/CC158-1)*100),"NA",IF(((CK158/CC158-1)*100)&gt;100,"NM",IF(((CK158/CC158-1)*100)&lt;-50,"NM",(CK158/CC158-1)*100)))</f>
        <v>NM</v>
      </c>
      <c r="CM158" s="101">
        <v>423</v>
      </c>
      <c r="CN158" s="98">
        <f>IF(ISERROR((CM158/CE158-1)*100),"NA",IF(((CM158/CE158-1)*100)&gt;100,"NM",IF(((CM158/CE158-1)*100)&lt;-50,"NM",(CM158/CE158-1)*100)))</f>
        <v>-36.959761549925489</v>
      </c>
      <c r="CO158" s="101">
        <v>874</v>
      </c>
      <c r="CP158" s="98">
        <f>IF(ISERROR((CO158/CG158-1)*100),"NA",IF(((CO158/CG158-1)*100)&gt;100,"NM",IF(((CO158/CG158-1)*100)&lt;-50,"NM",(CO158/CG158-1)*100)))</f>
        <v>84.388185654008424</v>
      </c>
      <c r="CQ158" s="542">
        <v>835</v>
      </c>
      <c r="CR158" s="98" t="str">
        <f>IF(ISERROR((CQ158/CI158-1)*100),"NA",IF(((CQ158/CI158-1)*100)&gt;100,"NM",IF(((CQ158/CI158-1)*100)&lt;-50,"NM",(CQ158/CI158-1)*100)))</f>
        <v>NM</v>
      </c>
      <c r="CS158" s="101">
        <v>716</v>
      </c>
      <c r="CT158" s="98">
        <f>IF(ISERROR((CS158/CK158-1)*100),"NA",IF(((CS158/CK158-1)*100)&gt;100,"NM",IF(((CS158/CK158-1)*100)&lt;-50,"NM",(CS158/CK158-1)*100)))</f>
        <v>83.120204603580561</v>
      </c>
      <c r="CU158" s="101">
        <v>507</v>
      </c>
      <c r="CV158" s="98">
        <f>IF(ISERROR((CU158/CM158-1)*100),"NA",IF(((CU158/CM158-1)*100)&gt;100,"NM",IF(((CU158/CM158-1)*100)&lt;-50,"NM",(CU158/CM158-1)*100)))</f>
        <v>19.8581560283688</v>
      </c>
      <c r="CW158" s="101">
        <v>523</v>
      </c>
      <c r="CX158" s="98">
        <f>IF(ISERROR((CW158/CO158-1)*100),"NA",IF(((CW158/CO158-1)*100)&gt;100,"NM",IF(((CW158/CO158-1)*100)&lt;-50,"NM",(CW158/CO158-1)*100)))</f>
        <v>-40.160183066361554</v>
      </c>
      <c r="CY158" s="101">
        <v>450</v>
      </c>
      <c r="CZ158" s="98">
        <f>IF(ISERROR((CY158/CQ158-1)*100),"NA",IF(((CY158/CQ158-1)*100)&gt;100,"NM",IF(((CY158/CQ158-1)*100)&lt;-50,"NM",(CY158/CQ158-1)*100)))</f>
        <v>-46.107784431137723</v>
      </c>
      <c r="DA158" s="101">
        <v>1757</v>
      </c>
      <c r="DB158" s="98" t="str">
        <f>IF(ISERROR((DA158/CS158-1)*100),"NA",IF(((DA158/CS158-1)*100)&gt;100,"NM",IF(((DA158/CS158-1)*100)&lt;-50,"NM",(DA158/CS158-1)*100)))</f>
        <v>NM</v>
      </c>
      <c r="DC158" s="101">
        <v>416</v>
      </c>
      <c r="DD158" s="98">
        <f>IF(ISERROR((DC158/CU158-1)*100),"NA",IF(((DC158/CU158-1)*100)&gt;100,"NM",IF(((DC158/CU158-1)*100)&lt;-50,"NM",(DC158/CU158-1)*100)))</f>
        <v>-17.948717948717952</v>
      </c>
      <c r="DE158" s="101">
        <v>503</v>
      </c>
      <c r="DF158" s="98">
        <f>IF(ISERROR((DE158/CW158-1)*100),"NA",IF(((DE158/CW158-1)*100)&gt;100,"NM",IF(((DE158/CW158-1)*100)&lt;-50,"NM",(DE158/CW158-1)*100)))</f>
        <v>-3.8240917782026762</v>
      </c>
      <c r="DG158" s="101">
        <v>450</v>
      </c>
      <c r="DH158" s="98">
        <f>IF(ISERROR((DG158/CY158-1)*100),"NA",IF(((DG158/CY158-1)*100)&gt;100,"NM",IF(((DG158/CY158-1)*100)&lt;-50,"NM",(DG158/CY158-1)*100)))</f>
        <v>0</v>
      </c>
      <c r="DI158" s="101">
        <v>1398</v>
      </c>
      <c r="DJ158" s="98">
        <f>IF(ISERROR((DI158/DA158-1)*100),"NA",IF(((DI158/DA158-1)*100)&gt;100,"NM",IF(((DI158/DA158-1)*100)&lt;-50,"NM",(DI158/DA158-1)*100)))</f>
        <v>-20.43255549231645</v>
      </c>
      <c r="DK158" s="101">
        <v>301</v>
      </c>
      <c r="DL158" s="98">
        <f>IF(ISERROR((DK158/DC158-1)*100),"NA",IF(((DK158/DC158-1)*100)&gt;100,"NM",IF(((DK158/DC158-1)*100)&lt;-50,"NM",(DK158/DC158-1)*100)))</f>
        <v>-27.64423076923077</v>
      </c>
      <c r="DM158" s="101">
        <v>686</v>
      </c>
      <c r="DN158" s="98">
        <f>IF(ISERROR((DM158/DE158-1)*100),"NA",IF(((DM158/DE158-1)*100)&gt;100,"NM",IF(((DM158/DE158-1)*100)&lt;-50,"NM",(DM158/DE158-1)*100)))</f>
        <v>36.381709741550708</v>
      </c>
      <c r="DO158" s="101">
        <v>451</v>
      </c>
      <c r="DP158" s="98">
        <f>IF(ISERROR((DO158/DG158-1)*100),"NA",IF(((DO158/DG158-1)*100)&gt;100,"NM",IF(((DO158/DG158-1)*100)&lt;-50,"NM",(DO158/DG158-1)*100)))</f>
        <v>0.22222222222221255</v>
      </c>
      <c r="DQ158" s="101">
        <v>1330</v>
      </c>
      <c r="DR158" s="98">
        <f>IF(ISERROR((DQ158/DI158-1)*100),"NA",IF(((DQ158/DI158-1)*100)&gt;100,"NM",IF(((DQ158/DI158-1)*100)&lt;-50,"NM",(DQ158/DI158-1)*100)))</f>
        <v>-4.8640915593705314</v>
      </c>
      <c r="DS158" s="101">
        <v>415</v>
      </c>
      <c r="DT158" s="98">
        <f>IF(ISERROR((DS158/DK158-1)*100),"NA",IF(((DS158/DK158-1)*100)&gt;100,"NM",IF(((DS158/DK158-1)*100)&lt;-50,"NM",(DS158/DK158-1)*100)))</f>
        <v>37.873754152823921</v>
      </c>
      <c r="DU158" s="101">
        <v>315</v>
      </c>
      <c r="DV158" s="98" t="str">
        <f>IF(ISERROR((DU158/DM158-1)*100),"NA",IF(((DU158/DM158-1)*100)&gt;100,"NM",IF(((DU158/DM158-1)*100)&lt;-50,"NM",(DU158/DM158-1)*100)))</f>
        <v>NM</v>
      </c>
      <c r="DW158" s="101">
        <v>1551</v>
      </c>
      <c r="DX158" s="98" t="str">
        <f>IF(ISERROR((DW158/DO158-1)*100),"NA",IF(((DW158/DO158-1)*100)&gt;100,"NM",IF(((DW158/DO158-1)*100)&lt;-50,"NM",(DW158/DO158-1)*100)))</f>
        <v>NM</v>
      </c>
      <c r="DY158" s="101">
        <v>723</v>
      </c>
      <c r="DZ158" s="98">
        <f>IF(ISERROR((DY158/DQ158-1)*100),"NA",IF(((DY158/DQ158-1)*100)&gt;100,"NM",IF(((DY158/DQ158-1)*100)&lt;-50,"NM",(DY158/DQ158-1)*100)))</f>
        <v>-45.639097744360903</v>
      </c>
      <c r="EA158" s="101">
        <v>345</v>
      </c>
      <c r="EB158" s="98">
        <f>IF(ISERROR((EA158/DS158-1)*100),"NA",IF(((EA158/DS158-1)*100)&gt;100,"NM",IF(((EA158/DS158-1)*100)&lt;-50,"NM",(EA158/DS158-1)*100)))</f>
        <v>-16.867469879518072</v>
      </c>
      <c r="EC158" s="101">
        <v>516</v>
      </c>
      <c r="ED158" s="98">
        <f>IF(ISERROR((EC158/DU158-1)*100),"NA",IF(((EC158/DU158-1)*100)&gt;100,"NM",IF(((EC158/DU158-1)*100)&lt;-50,"NM",(EC158/DU158-1)*100)))</f>
        <v>63.809523809523803</v>
      </c>
      <c r="EE158" s="101">
        <v>1317</v>
      </c>
      <c r="EF158" s="860">
        <f>IF(ISERROR((EE158/DW158-1)*100),"NA",IF(((EE158/DW158-1)*100)&gt;100,"NM",IF(((EE158/DW158-1)*100)&lt;-50,"NM",(EE158/DW158-1)*100)))</f>
        <v>-15.087040618955516</v>
      </c>
      <c r="EG158" s="101">
        <v>770</v>
      </c>
      <c r="EH158" s="860">
        <f>IF(ISERROR((EG158/DY158-1)*100),"NA",IF(((EG158/DY158-1)*100)&gt;100,"NM",IF(((EG158/DY158-1)*100)&lt;-50,"NM",(EG158/DY158-1)*100)))</f>
        <v>6.5006915629322259</v>
      </c>
      <c r="EI158" s="101">
        <v>346</v>
      </c>
      <c r="EJ158" s="860">
        <f t="shared" ref="EJ158" si="886">IF(ISERROR((EI158/EA158-1)*100),"NA",IF(((EI158/EA158-1)*100)&gt;100,"NM",IF(((EI158/EA158-1)*100)&lt;-50,"NM",(EI158/EA158-1)*100)))</f>
        <v>0.28985507246377384</v>
      </c>
      <c r="EK158" s="101">
        <v>1115</v>
      </c>
      <c r="EL158" s="860" t="str">
        <f t="shared" ref="EL158" si="887">IF(ISERROR((EK158/EC158-1)*100),"NA",IF(((EK158/EC158-1)*100)&gt;100,"NM",IF(((EK158/EC158-1)*100)&lt;-50,"NM",(EK158/EC158-1)*100)))</f>
        <v>NM</v>
      </c>
      <c r="EM158" s="101">
        <v>2336</v>
      </c>
      <c r="EN158" s="860">
        <f t="shared" ref="EN158" si="888">IF(ISERROR((EM158/EE158-1)*100),"NA",IF(((EM158/EE158-1)*100)&gt;100,"NM",IF(((EM158/EE158-1)*100)&lt;-50,"NM",(EM158/EE158-1)*100)))</f>
        <v>77.372817008352328</v>
      </c>
      <c r="EO158" s="101">
        <v>902</v>
      </c>
      <c r="EP158" s="98">
        <f t="shared" ref="EP158" si="889">IF(ISERROR((EO158/EG158-1)*100),"NA",IF(((EO158/EG158-1)*100)&gt;100,"NM",IF(((EO158/EG158-1)*100)&lt;-50,"NM",(EO158/EG158-1)*100)))</f>
        <v>17.142857142857149</v>
      </c>
      <c r="EQ158" s="1023">
        <f t="shared" ref="EQ158" si="890">(EQ135+EQ148)*(EQ167/400)</f>
        <v>1146.7074512560598</v>
      </c>
      <c r="ER158" s="98" t="str">
        <f t="shared" ref="ER158" si="891">IF(ISERROR((EQ158/EI158-1)*100),"NA",IF(((EQ158/EI158-1)*100)&gt;100,"NM",IF(((EQ158/EI158-1)*100)&lt;-50,"NM",(EQ158/EI158-1)*100)))</f>
        <v>NM</v>
      </c>
      <c r="ES158" s="1023">
        <f t="shared" ref="ES158" si="892">(ES135+ES148)*(ES167/400)</f>
        <v>1134.3165513865192</v>
      </c>
      <c r="ET158" s="98">
        <f t="shared" ref="ET158" si="893">IF(ISERROR((ES158/EK158-1)*100),"NA",IF(((ES158/EK158-1)*100)&gt;100,"NM",IF(((ES158/EK158-1)*100)&lt;-50,"NM",(ES158/EK158-1)*100)))</f>
        <v>1.7324261333201196</v>
      </c>
      <c r="EU158" s="1023">
        <f t="shared" ref="EU158" si="894">(EU135+EU148)*(EU167/400)</f>
        <v>1124.7116823699196</v>
      </c>
      <c r="EV158" s="98" t="str">
        <f t="shared" ref="EV158" si="895">IF(ISERROR((EU158/EM158-1)*100),"NA",IF(((EU158/EM158-1)*100)&gt;100,"NM",IF(((EU158/EM158-1)*100)&lt;-50,"NM",(EU158/EM158-1)*100)))</f>
        <v>NM</v>
      </c>
      <c r="EW158" s="1023">
        <f t="shared" ref="EW158" si="896">(EW135+EW148)*(EW167/400)</f>
        <v>1115.5481243019863</v>
      </c>
      <c r="EX158" s="98">
        <f t="shared" ref="EX158" si="897">IF(ISERROR((EW158/EO158-1)*100),"NA",IF(((EW158/EO158-1)*100)&gt;100,"NM",IF(((EW158/EO158-1)*100)&lt;-50,"NM",(EW158/EO158-1)*100)))</f>
        <v>23.674958348335508</v>
      </c>
      <c r="EY158" s="119"/>
      <c r="EZ158" s="594"/>
      <c r="FA158" s="405"/>
      <c r="FB158" s="121">
        <v>542</v>
      </c>
      <c r="FC158" s="98"/>
      <c r="FD158" s="101">
        <v>430</v>
      </c>
      <c r="FE158" s="98">
        <f t="shared" ref="FE158:FE165" si="898">IF(ISERROR((FD158/FB158-1)*100),"NA",IF(((FD158/FB158-1)*100)&gt;100,"NM",IF(((FD158/FB158-1)*100)&lt;-50,"NM",(FD158/FB158-1)*100)))</f>
        <v>-20.664206642066418</v>
      </c>
      <c r="FF158" s="118">
        <f>C158+E158+G158+I158</f>
        <v>773</v>
      </c>
      <c r="FG158" s="98">
        <f t="shared" ref="FG158:FG165" si="899">IF(ISERROR((FF158/FD158-1)*100),"NA",IF(((FF158/FD158-1)*100)&gt;100,"NM",IF(((FF158/FD158-1)*100)&lt;-50,"NM",(FF158/FD158-1)*100)))</f>
        <v>79.767441860465112</v>
      </c>
      <c r="FH158" s="118">
        <f>K158+M158+O158+Q158</f>
        <v>482</v>
      </c>
      <c r="FI158" s="98">
        <f t="shared" ref="FI158:FI165" si="900">IF(ISERROR((FH158/FF158-1)*100),"NA",IF(((FH158/FF158-1)*100)&gt;100,"NM",IF(((FH158/FF158-1)*100)&lt;-50,"NM",(FH158/FF158-1)*100)))</f>
        <v>-37.645536869340233</v>
      </c>
      <c r="FJ158" s="118">
        <f>S158+U158+W158+Y158</f>
        <v>943</v>
      </c>
      <c r="FK158" s="98">
        <f t="shared" ref="FK158:FK165" si="901">IF(ISERROR((FJ158/FH158-1)*100),"NA",IF(((FJ158/FH158-1)*100)&gt;100,"NM",IF(((FJ158/FH158-1)*100)&lt;-50,"NM",(FJ158/FH158-1)*100)))</f>
        <v>95.643153526970949</v>
      </c>
      <c r="FL158" s="118">
        <f>AA158+AC158+AE158+AG158</f>
        <v>1119</v>
      </c>
      <c r="FM158" s="98">
        <f t="shared" ref="FM158:FM165" si="902">IF(ISERROR((FL158/FJ158-1)*100),"NA",IF(((FL158/FJ158-1)*100)&gt;100,"NM",IF(((FL158/FJ158-1)*100)&lt;-50,"NM",(FL158/FJ158-1)*100)))</f>
        <v>18.663838812301158</v>
      </c>
      <c r="FN158" s="118">
        <f>AI158+AK158+AM158+AO158</f>
        <v>1295</v>
      </c>
      <c r="FO158" s="98">
        <f t="shared" ref="FO158:FO165" si="903">IF(ISERROR((FN158/FL158-1)*100),"NA",IF(((FN158/FL158-1)*100)&gt;100,"NM",IF(((FN158/FL158-1)*100)&lt;-50,"NM",(FN158/FL158-1)*100)))</f>
        <v>15.728328865058083</v>
      </c>
      <c r="FP158" s="118">
        <f>AQ158+AS158+AU158+AW158</f>
        <v>1671</v>
      </c>
      <c r="FQ158" s="98">
        <f t="shared" ref="FQ158:FQ165" si="904">IF(ISERROR((FP158/FN158-1)*100),"NA",IF(((FP158/FN158-1)*100)&gt;100,"NM",IF(((FP158/FN158-1)*100)&lt;-50,"NM",(FP158/FN158-1)*100)))</f>
        <v>29.03474903474903</v>
      </c>
      <c r="FR158" s="119">
        <f>AY158+BA158+BC158+BE158</f>
        <v>1460</v>
      </c>
      <c r="FS158" s="120">
        <f t="shared" ref="FS158:FS165" si="905">IF(ISERROR((FR158/FP158-1)*100),"NA",IF(((FR158/FP158-1)*100)&gt;100,"NM",IF(((FR158/FP158-1)*100)&lt;-50,"NM",(FR158/FP158-1)*100)))</f>
        <v>-12.627169359664869</v>
      </c>
      <c r="FT158" s="119">
        <f>BG158+BI158+BK158+BM158</f>
        <v>1225</v>
      </c>
      <c r="FU158" s="120">
        <f>IF(ISERROR((FT158/FR158-1)*100),"NA",IF(((FT158/FR158-1)*100)&gt;100,"NM",IF(((FT158/FR158-1)*100)&lt;-50,"NM",(FT158/FR158-1)*100)))</f>
        <v>-16.095890410958901</v>
      </c>
      <c r="FV158" s="121">
        <v>2683</v>
      </c>
      <c r="FW158" s="98" t="str">
        <f t="shared" ref="FW158:FW165" si="906">IF(ISERROR((FV158/FT158-1)*100),"NA",IF(((FV158/FT158-1)*100)&gt;100,"NM",IF(((FV158/FT158-1)*100)&lt;-50,"NM",(FV158/FT158-1)*100)))</f>
        <v>NM</v>
      </c>
      <c r="FX158" s="485">
        <f>BW158+BY158+CA158+CC158</f>
        <v>2480</v>
      </c>
      <c r="FY158" s="98">
        <f t="shared" ref="FY158:FY165" si="907">IF(ISERROR((FX158/FV158-1)*100),"NA",IF(((FX158/FV158-1)*100)&gt;100,"NM",IF(((FX158/FV158-1)*100)&lt;-50,"NM",(FX158/FV158-1)*100)))</f>
        <v>-7.5661572866194575</v>
      </c>
      <c r="FZ158" s="119">
        <f>CE158+CG158+CI158+CK158</f>
        <v>1938</v>
      </c>
      <c r="GA158" s="98">
        <f t="shared" ref="GA158:GA165" si="908">IF(ISERROR((FZ158/FX158-1)*100),"NA",IF(((FZ158/FX158-1)*100)&gt;100,"NM",IF(((FZ158/FX158-1)*100)&lt;-50,"NM",(FZ158/FX158-1)*100)))</f>
        <v>-21.854838709677416</v>
      </c>
      <c r="GB158" s="485">
        <f>CM158+CO158+CQ158+CS158</f>
        <v>2848</v>
      </c>
      <c r="GC158" s="98">
        <f t="shared" ref="GC158:GC165" si="909">IF(ISERROR((GB158/FZ158-1)*100),"NA",IF(((GB158/FZ158-1)*100)&gt;100,"NM",IF(((GB158/FZ158-1)*100)&lt;-50,"NM",(GB158/FZ158-1)*100)))</f>
        <v>46.955624355005156</v>
      </c>
      <c r="GD158" s="119">
        <f>CU158+CW158+CY158+DA158</f>
        <v>3237</v>
      </c>
      <c r="GE158" s="98">
        <f t="shared" ref="GE158:GW165" si="910">IF(ISERROR((GD158/GB158-1)*100),"NA",IF(((GD158/GB158-1)*100)&gt;100,"NM",IF(((GD158/GB158-1)*100)&lt;-50,"NM",(GD158/GB158-1)*100)))</f>
        <v>13.658707865168541</v>
      </c>
      <c r="GF158" s="119">
        <f>DC158+DE158+DG158+DI158</f>
        <v>2767</v>
      </c>
      <c r="GG158" s="98">
        <f t="shared" si="910"/>
        <v>-14.519616929255486</v>
      </c>
      <c r="GH158" s="119">
        <f>DK158+DM158+DO158+DQ158</f>
        <v>2768</v>
      </c>
      <c r="GI158" s="98">
        <f t="shared" si="910"/>
        <v>3.6140224069391991E-2</v>
      </c>
      <c r="GJ158" s="119">
        <f>DS158+DU158+DW158+DY158</f>
        <v>3004</v>
      </c>
      <c r="GK158" s="98">
        <f t="shared" si="910"/>
        <v>8.526011560693636</v>
      </c>
      <c r="GL158" s="119">
        <f>EA158+EC158+EE158+EG158</f>
        <v>2948</v>
      </c>
      <c r="GM158" s="98">
        <f t="shared" si="910"/>
        <v>-1.8641810918774926</v>
      </c>
      <c r="GN158" s="119">
        <f>EI158+EK158+EM158+EO158</f>
        <v>4699</v>
      </c>
      <c r="GO158" s="98">
        <f t="shared" si="910"/>
        <v>59.396200814111253</v>
      </c>
      <c r="GP158" s="119">
        <f>EQ158+ES158+EU158+EW158</f>
        <v>4521.2838093144856</v>
      </c>
      <c r="GQ158" s="98">
        <f t="shared" si="910"/>
        <v>-3.7820002273997511</v>
      </c>
      <c r="GR158" s="119">
        <f>(GR135+GR148)*(GR167/100)</f>
        <v>4400.9470675754374</v>
      </c>
      <c r="GS158" s="98">
        <f t="shared" si="910"/>
        <v>-2.6615613355467138</v>
      </c>
      <c r="GT158" s="119">
        <f>(GT135+GT148)*(GT167/100)</f>
        <v>4374.3120534789741</v>
      </c>
      <c r="GU158" s="98">
        <f t="shared" si="910"/>
        <v>-0.60521096226537896</v>
      </c>
      <c r="GV158" s="119">
        <f>(GV135+GV148)*(GV167/100)</f>
        <v>4412.5514876377156</v>
      </c>
      <c r="GW158" s="98">
        <f t="shared" si="910"/>
        <v>0.87418166996862112</v>
      </c>
      <c r="GX158" s="119">
        <f>(GX135+GX148)*(GX167/100)</f>
        <v>4499.2100007766521</v>
      </c>
      <c r="GY158" s="98">
        <f t="shared" ref="GY158:GY165" si="911">IF(ISERROR((GX158/GV158-1)*100),"NA",IF(((GX158/GV158-1)*100)&gt;100,"NM",IF(((GX158/GV158-1)*100)&lt;-50,"NM",(GX158/GV158-1)*100)))</f>
        <v>1.9639093930511775</v>
      </c>
      <c r="GZ158" s="98">
        <f t="shared" ref="GZ158:GZ165" si="912">IF(ISERROR(((GX158/GN158)^0.2-1)*100),"NA",IF((((GX158/GN158)^0.2-1)*100)&gt;100,"NM",IF((((GX158/GN158)^0.2-1)*100)&lt;-50,"NM",((GX158/GN158)^0.2-1)*100)))</f>
        <v>-0.86519335571314526</v>
      </c>
      <c r="HA158" s="98"/>
      <c r="HB158" s="10"/>
      <c r="HC158"/>
      <c r="HD158"/>
      <c r="HE158"/>
      <c r="HF158"/>
      <c r="HG158"/>
      <c r="HH158"/>
      <c r="HI158" s="10"/>
    </row>
    <row r="159" spans="1:217" s="2" customFormat="1" ht="12.75" customHeight="1" x14ac:dyDescent="0.2">
      <c r="B159" s="91" t="s">
        <v>57</v>
      </c>
      <c r="C159" s="157"/>
      <c r="D159" s="156"/>
      <c r="E159" s="157"/>
      <c r="F159" s="156"/>
      <c r="G159" s="157"/>
      <c r="H159" s="156"/>
      <c r="I159" s="157"/>
      <c r="J159" s="156"/>
      <c r="K159" s="157"/>
      <c r="L159" s="156"/>
      <c r="M159" s="157"/>
      <c r="N159" s="156"/>
      <c r="O159" s="157"/>
      <c r="P159" s="156"/>
      <c r="Q159" s="157"/>
      <c r="R159" s="156"/>
      <c r="S159" s="157"/>
      <c r="T159" s="156"/>
      <c r="U159" s="157"/>
      <c r="V159" s="156"/>
      <c r="W159" s="157"/>
      <c r="X159" s="156"/>
      <c r="Y159" s="157"/>
      <c r="Z159" s="156"/>
      <c r="AA159" s="157"/>
      <c r="AB159" s="156"/>
      <c r="AC159" s="157"/>
      <c r="AD159" s="156"/>
      <c r="AE159" s="157"/>
      <c r="AF159" s="156"/>
      <c r="AG159" s="157"/>
      <c r="AH159" s="156"/>
      <c r="AI159" s="157"/>
      <c r="AJ159" s="156"/>
      <c r="AK159" s="156"/>
      <c r="AL159" s="156"/>
      <c r="AM159" s="157">
        <v>6</v>
      </c>
      <c r="AN159" s="156" t="str">
        <f>IF(ISERROR((AM159/AK159-1)*100),"NA",IF(((AM159/AK159-1)*100)&gt;100,"NM",IF(((AM159/AK159-1)*100)&lt;-50,"NM",(AM159/AK159-1)*100)))</f>
        <v>NA</v>
      </c>
      <c r="AO159" s="157">
        <v>6</v>
      </c>
      <c r="AP159" s="156">
        <f>IF(ISERROR((AO159/AM159-1)*100),"NA",IF(((AO159/AM159-1)*100)&gt;100,"NM",IF(((AO159/AM159-1)*100)&lt;-50,"NM",(AO159/AM159-1)*100)))</f>
        <v>0</v>
      </c>
      <c r="AQ159" s="157">
        <v>6</v>
      </c>
      <c r="AR159" s="156">
        <f>IF(ISERROR((AQ159/AO159-1)*100),"NA",IF(((AQ159/AO159-1)*100)&gt;100,"NM",IF(((AQ159/AO159-1)*100)&lt;-50,"NM",(AQ159/AO159-1)*100)))</f>
        <v>0</v>
      </c>
      <c r="AS159" s="157">
        <v>5</v>
      </c>
      <c r="AT159" s="156">
        <f>IF(ISERROR((AS159/AQ159-1)*100),"NA",IF(((AS159/AQ159-1)*100)&gt;100,"NM",IF(((AS159/AQ159-1)*100)&lt;-50,"NM",(AS159/AQ159-1)*100)))</f>
        <v>-16.666666666666664</v>
      </c>
      <c r="AU159" s="157">
        <v>5</v>
      </c>
      <c r="AV159" s="156">
        <f>IF(ISERROR((AU159/AS159-1)*100),"NA",IF(((AU159/AS159-1)*100)&gt;100,"NM",IF(((AU159/AS159-1)*100)&lt;-50,"NM",(AU159/AS159-1)*100)))</f>
        <v>0</v>
      </c>
      <c r="AW159" s="157">
        <v>3</v>
      </c>
      <c r="AX159" s="156">
        <f>IF(ISERROR((AW159/AU159-1)*100),"NA",IF(((AW159/AU159-1)*100)&gt;100,"NM",IF(((AW159/AU159-1)*100)&lt;-50,"NM",(AW159/AU159-1)*100)))</f>
        <v>-40</v>
      </c>
      <c r="AY159" s="157">
        <v>6</v>
      </c>
      <c r="AZ159" s="156">
        <f>IF(ISERROR((AY159/AW159-1)*100),"NA",IF(((AY159/AW159-1)*100)&gt;100,"NM",IF(((AY159/AW159-1)*100)&lt;-50,"NM",(AY159/AW159-1)*100)))</f>
        <v>100</v>
      </c>
      <c r="BA159" s="157">
        <v>4</v>
      </c>
      <c r="BB159" s="156">
        <f>IF(ISERROR((BA159/AY159-1)*100),"NA",IF(((BA159/AY159-1)*100)&gt;100,"NM",IF(((BA159/AY159-1)*100)&lt;-50,"NM",(BA159/AY159-1)*100)))</f>
        <v>-33.333333333333336</v>
      </c>
      <c r="BC159" s="157">
        <v>5</v>
      </c>
      <c r="BD159" s="156">
        <f>IF(ISERROR((BC159/BA159-1)*100),"NA",IF(((BC159/BA159-1)*100)&gt;100,"NM",IF(((BC159/BA159-1)*100)&lt;-50,"NM",(BC159/BA159-1)*100)))</f>
        <v>25</v>
      </c>
      <c r="BE159" s="157">
        <v>1</v>
      </c>
      <c r="BF159" s="156" t="str">
        <f>IF(ISERROR((BE159/BC159-1)*100),"NA",IF(((BE159/BC159-1)*100)&gt;100,"NM",IF(((BE159/BC159-1)*100)&lt;-50,"NM",(BE159/BC159-1)*100)))</f>
        <v>NM</v>
      </c>
      <c r="BG159" s="157">
        <v>2</v>
      </c>
      <c r="BH159" s="156">
        <f>IF(ISERROR((BG159/BE159-1)*100),"NA",IF(((BG159/BE159-1)*100)&gt;100,"NM",IF(((BG159/BE159-1)*100)&lt;-50,"NM",(BG159/BE159-1)*100)))</f>
        <v>100</v>
      </c>
      <c r="BI159" s="157">
        <v>2</v>
      </c>
      <c r="BJ159" s="156">
        <f>IF(ISERROR((BI159/BG159-1)*100),"NA",IF(((BI159/BG159-1)*100)&gt;100,"NM",IF(((BI159/BG159-1)*100)&lt;-50,"NM",(BI159/BG159-1)*100)))</f>
        <v>0</v>
      </c>
      <c r="BK159" s="157">
        <v>2</v>
      </c>
      <c r="BL159" s="156">
        <f>IF(ISERROR((BK159/BI159-1)*100),"NA",IF(((BK159/BI159-1)*100)&gt;100,"NM",IF(((BK159/BI159-1)*100)&lt;-50,"NM",(BK159/BI159-1)*100)))</f>
        <v>0</v>
      </c>
      <c r="BM159" s="157">
        <v>2</v>
      </c>
      <c r="BN159" s="98">
        <f>IF(ISERROR((BM159/BK159-1)*100),"NA",IF(((BM159/BK159-1)*100)&gt;100,"NM",IF(((BM159/BK159-1)*100)&lt;-50,"NM",(BM159/BK159-1)*100)))</f>
        <v>0</v>
      </c>
      <c r="BO159" s="101">
        <v>2</v>
      </c>
      <c r="BP159" s="98">
        <f>IF(ISERROR((BO159/BM159-1)*100),"NA",IF(((BO159/BM159-1)*100)&gt;100,"NM",IF(((BO159/BM159-1)*100)&lt;-50,"NM",(BO159/BM159-1)*100)))</f>
        <v>0</v>
      </c>
      <c r="BQ159" s="101">
        <v>1</v>
      </c>
      <c r="BR159" s="98">
        <f>IF(ISERROR((BQ159/BO159-1)*100),"NA",IF(((BQ159/BO159-1)*100)&gt;100,"NM",IF(((BQ159/BO159-1)*100)&lt;-50,"NM",(BQ159/BO159-1)*100)))</f>
        <v>-50</v>
      </c>
      <c r="BS159" s="101">
        <v>2</v>
      </c>
      <c r="BT159" s="98">
        <f>IF(ISERROR((BS159/BQ159-1)*100),"NA",IF(((BS159/BQ159-1)*100)&gt;100,"NM",IF(((BS159/BQ159-1)*100)&lt;-50,"NM",(BS159/BQ159-1)*100)))</f>
        <v>100</v>
      </c>
      <c r="BU159" s="101">
        <v>72</v>
      </c>
      <c r="BV159" s="98" t="str">
        <f>IF(ISERROR((BU159/BS159-1)*100),"NA",IF(((BU159/BS159-1)*100)&gt;100,"NM",IF(((BU159/BS159-1)*100)&lt;-50,"NM",(BU159/BS159-1)*100)))</f>
        <v>NM</v>
      </c>
      <c r="BW159" s="101">
        <v>40</v>
      </c>
      <c r="BX159" s="98">
        <f>IF(ISERROR((BW159/BU159-1)*100),"NA",IF(((BW159/BU159-1)*100)&gt;100,"NM",IF(((BW159/BU159-1)*100)&lt;-50,"NM",(BW159/BU159-1)*100)))</f>
        <v>-44.444444444444443</v>
      </c>
      <c r="BY159" s="101">
        <v>61</v>
      </c>
      <c r="BZ159" s="98">
        <f>IF(ISERROR((BY159/BW159-1)*100),"NA",IF(((BY159/BW159-1)*100)&gt;100,"NM",IF(((BY159/BW159-1)*100)&lt;-50,"NM",(BY159/BW159-1)*100)))</f>
        <v>52.499999999999993</v>
      </c>
      <c r="CA159" s="101">
        <v>34</v>
      </c>
      <c r="CB159" s="98">
        <f>IF(ISERROR((CA159/BY159-1)*100),"NA",IF(((CA159/BY159-1)*100)&gt;100,"NM",IF(((CA159/BY159-1)*100)&lt;-50,"NM",(CA159/BY159-1)*100)))</f>
        <v>-44.262295081967217</v>
      </c>
      <c r="CC159" s="101">
        <v>41</v>
      </c>
      <c r="CD159" s="98">
        <f>IF(ISERROR((CC159/CA159-1)*100),"NA",IF(((CC159/CA159-1)*100)&gt;100,"NM",IF(((CC159/CA159-1)*100)&lt;-50,"NM",(CC159/CA159-1)*100)))</f>
        <v>20.588235294117641</v>
      </c>
      <c r="CE159" s="101">
        <v>55</v>
      </c>
      <c r="CF159" s="98">
        <f>IF(ISERROR((CE159/CC159-1)*100),"NA",IF(((CE159/CC159-1)*100)&gt;100,"NM",IF(((CE159/CC159-1)*100)&lt;-50,"NM",(CE159/CC159-1)*100)))</f>
        <v>34.146341463414643</v>
      </c>
      <c r="CG159" s="101">
        <v>56</v>
      </c>
      <c r="CH159" s="98">
        <f>IF(ISERROR((CG159/CE159-1)*100),"NA",IF(((CG159/CE159-1)*100)&gt;100,"NM",IF(((CG159/CE159-1)*100)&lt;-50,"NM",(CG159/CE159-1)*100)))</f>
        <v>1.8181818181818077</v>
      </c>
      <c r="CI159" s="101">
        <v>58</v>
      </c>
      <c r="CJ159" s="98">
        <f>IF(ISERROR((CI159/CG159-1)*100),"NA",IF(((CI159/CG159-1)*100)&gt;100,"NM",IF(((CI159/CG159-1)*100)&lt;-50,"NM",(CI159/CG159-1)*100)))</f>
        <v>3.5714285714285809</v>
      </c>
      <c r="CK159" s="101">
        <v>57</v>
      </c>
      <c r="CL159" s="98">
        <f>IF(ISERROR((CK159/CI159-1)*100),"NA",IF(((CK159/CI159-1)*100)&gt;100,"NM",IF(((CK159/CI159-1)*100)&lt;-50,"NM",(CK159/CI159-1)*100)))</f>
        <v>-1.7241379310344862</v>
      </c>
      <c r="CM159" s="101">
        <v>54</v>
      </c>
      <c r="CN159" s="98">
        <f>IF(ISERROR((CM159/CK159-1)*100),"NA",IF(((CM159/CK159-1)*100)&gt;100,"NM",IF(((CM159/CK159-1)*100)&lt;-50,"NM",(CM159/CK159-1)*100)))</f>
        <v>-5.2631578947368478</v>
      </c>
      <c r="CO159" s="101">
        <v>58</v>
      </c>
      <c r="CP159" s="98">
        <f>IF(ISERROR((CO159/CM159-1)*100),"NA",IF(((CO159/CM159-1)*100)&gt;100,"NM",IF(((CO159/CM159-1)*100)&lt;-50,"NM",(CO159/CM159-1)*100)))</f>
        <v>7.4074074074074181</v>
      </c>
      <c r="CQ159" s="542">
        <v>69</v>
      </c>
      <c r="CR159" s="98">
        <f>IF(ISERROR((CQ159/CO159-1)*100),"NA",IF(((CQ159/CO159-1)*100)&gt;100,"NM",IF(((CQ159/CO159-1)*100)&lt;-50,"NM",(CQ159/CO159-1)*100)))</f>
        <v>18.965517241379317</v>
      </c>
      <c r="CS159" s="101">
        <v>51</v>
      </c>
      <c r="CT159" s="98">
        <f>IF(ISERROR((CS159/CQ159-1)*100),"NA",IF(((CS159/CQ159-1)*100)&gt;100,"NM",IF(((CS159/CQ159-1)*100)&lt;-50,"NM",(CS159/CQ159-1)*100)))</f>
        <v>-26.086956521739136</v>
      </c>
      <c r="CU159" s="101">
        <v>51</v>
      </c>
      <c r="CV159" s="98">
        <f>IF(ISERROR((CU159/CS159-1)*100),"NA",IF(((CU159/CS159-1)*100)&gt;100,"NM",IF(((CU159/CS159-1)*100)&lt;-50,"NM",(CU159/CS159-1)*100)))</f>
        <v>0</v>
      </c>
      <c r="CW159" s="101">
        <v>57</v>
      </c>
      <c r="CX159" s="98">
        <f>IF(ISERROR((CW159/CU159-1)*100),"NA",IF(((CW159/CU159-1)*100)&gt;100,"NM",IF(((CW159/CU159-1)*100)&lt;-50,"NM",(CW159/CU159-1)*100)))</f>
        <v>11.764705882352944</v>
      </c>
      <c r="CY159" s="101">
        <v>53</v>
      </c>
      <c r="CZ159" s="98">
        <f>IF(ISERROR((CY159/CW159-1)*100),"NA",IF(((CY159/CW159-1)*100)&gt;100,"NM",IF(((CY159/CW159-1)*100)&lt;-50,"NM",(CY159/CW159-1)*100)))</f>
        <v>-7.0175438596491224</v>
      </c>
      <c r="DA159" s="101">
        <v>64</v>
      </c>
      <c r="DB159" s="98">
        <f>IF(ISERROR((DA159/CY159-1)*100),"NA",IF(((DA159/CY159-1)*100)&gt;100,"NM",IF(((DA159/CY159-1)*100)&lt;-50,"NM",(DA159/CY159-1)*100)))</f>
        <v>20.75471698113207</v>
      </c>
      <c r="DC159" s="101">
        <v>68</v>
      </c>
      <c r="DD159" s="98">
        <f>IF(ISERROR((DC159/DA159-1)*100),"NA",IF(((DC159/DA159-1)*100)&gt;100,"NM",IF(((DC159/DA159-1)*100)&lt;-50,"NM",(DC159/DA159-1)*100)))</f>
        <v>6.25</v>
      </c>
      <c r="DE159" s="101">
        <v>65</v>
      </c>
      <c r="DF159" s="98">
        <f>IF(ISERROR((DE159/DC159-1)*100),"NA",IF(((DE159/DC159-1)*100)&gt;100,"NM",IF(((DE159/DC159-1)*100)&lt;-50,"NM",(DE159/DC159-1)*100)))</f>
        <v>-4.4117647058823479</v>
      </c>
      <c r="DG159" s="101">
        <v>54</v>
      </c>
      <c r="DH159" s="98">
        <f>IF(ISERROR((DG159/DE159-1)*100),"NA",IF(((DG159/DE159-1)*100)&gt;100,"NM",IF(((DG159/DE159-1)*100)&lt;-50,"NM",(DG159/DE159-1)*100)))</f>
        <v>-16.92307692307692</v>
      </c>
      <c r="DI159" s="101">
        <v>60</v>
      </c>
      <c r="DJ159" s="98">
        <f>IF(ISERROR((DI159/DG159-1)*100),"NA",IF(((DI159/DG159-1)*100)&gt;100,"NM",IF(((DI159/DG159-1)*100)&lt;-50,"NM",(DI159/DG159-1)*100)))</f>
        <v>11.111111111111116</v>
      </c>
      <c r="DK159" s="101">
        <v>57</v>
      </c>
      <c r="DL159" s="98">
        <f>IF(ISERROR((DK159/DI159-1)*100),"NA",IF(((DK159/DI159-1)*100)&gt;100,"NM",IF(((DK159/DI159-1)*100)&lt;-50,"NM",(DK159/DI159-1)*100)))</f>
        <v>-5.0000000000000044</v>
      </c>
      <c r="DM159" s="101">
        <v>55</v>
      </c>
      <c r="DN159" s="98">
        <f>IF(ISERROR((DM159/DK159-1)*100),"NA",IF(((DM159/DK159-1)*100)&gt;100,"NM",IF(((DM159/DK159-1)*100)&lt;-50,"NM",(DM159/DK159-1)*100)))</f>
        <v>-3.5087719298245612</v>
      </c>
      <c r="DO159" s="101">
        <v>60</v>
      </c>
      <c r="DP159" s="98">
        <f>IF(ISERROR((DO159/DM159-1)*100),"NA",IF(((DO159/DM159-1)*100)&gt;100,"NM",IF(((DO159/DM159-1)*100)&lt;-50,"NM",(DO159/DM159-1)*100)))</f>
        <v>9.0909090909090828</v>
      </c>
      <c r="DQ159" s="101">
        <v>54</v>
      </c>
      <c r="DR159" s="98">
        <f>IF(ISERROR((DQ159/DO159-1)*100),"NA",IF(((DQ159/DO159-1)*100)&gt;100,"NM",IF(((DQ159/DO159-1)*100)&lt;-50,"NM",(DQ159/DO159-1)*100)))</f>
        <v>-9.9999999999999982</v>
      </c>
      <c r="DS159" s="101">
        <v>45</v>
      </c>
      <c r="DT159" s="98">
        <f>IF(ISERROR((DS159/DQ159-1)*100),"NA",IF(((DS159/DQ159-1)*100)&gt;100,"NM",IF(((DS159/DQ159-1)*100)&lt;-50,"NM",(DS159/DQ159-1)*100)))</f>
        <v>-16.666666666666664</v>
      </c>
      <c r="DU159" s="101">
        <v>51</v>
      </c>
      <c r="DV159" s="98">
        <f>IF(ISERROR((DU159/DS159-1)*100),"NA",IF(((DU159/DS159-1)*100)&gt;100,"NM",IF(((DU159/DS159-1)*100)&lt;-50,"NM",(DU159/DS159-1)*100)))</f>
        <v>13.33333333333333</v>
      </c>
      <c r="DW159" s="101">
        <v>45</v>
      </c>
      <c r="DX159" s="98">
        <f>IF(ISERROR((DW159/DU159-1)*100),"NA",IF(((DW159/DU159-1)*100)&gt;100,"NM",IF(((DW159/DU159-1)*100)&lt;-50,"NM",(DW159/DU159-1)*100)))</f>
        <v>-11.764705882352944</v>
      </c>
      <c r="DY159" s="101">
        <v>62</v>
      </c>
      <c r="DZ159" s="98">
        <f>IF(ISERROR((DY159/DW159-1)*100),"NA",IF(((DY159/DW159-1)*100)&gt;100,"NM",IF(((DY159/DW159-1)*100)&lt;-50,"NM",(DY159/DW159-1)*100)))</f>
        <v>37.777777777777779</v>
      </c>
      <c r="EA159" s="101">
        <v>65</v>
      </c>
      <c r="EB159" s="98">
        <f>IF(ISERROR((EA159/DY159-1)*100),"NA",IF(((EA159/DY159-1)*100)&gt;100,"NM",IF(((EA159/DY159-1)*100)&lt;-50,"NM",(EA159/DY159-1)*100)))</f>
        <v>4.8387096774193505</v>
      </c>
      <c r="EC159" s="101">
        <v>51</v>
      </c>
      <c r="ED159" s="98">
        <f>IF(ISERROR((EC159/EA159-1)*100),"NA",IF(((EC159/EA159-1)*100)&gt;100,"NM",IF(((EC159/EA159-1)*100)&lt;-50,"NM",(EC159/EA159-1)*100)))</f>
        <v>-21.53846153846154</v>
      </c>
      <c r="EE159" s="101">
        <v>51</v>
      </c>
      <c r="EF159" s="860">
        <f>IF(ISERROR((EE159/EC159-1)*100),"NA",IF(((EE159/EC159-1)*100)&gt;100,"NM",IF(((EE159/EC159-1)*100)&lt;-50,"NM",(EE159/EC159-1)*100)))</f>
        <v>0</v>
      </c>
      <c r="EG159" s="101">
        <v>52</v>
      </c>
      <c r="EH159" s="860">
        <f>IF(ISERROR((EG159/EE159-1)*100),"NA",IF(((EG159/EE159-1)*100)&gt;100,"NM",IF(((EG159/EE159-1)*100)&lt;-50,"NM",(EG159/EE159-1)*100)))</f>
        <v>1.9607843137254832</v>
      </c>
      <c r="EI159" s="101">
        <v>61</v>
      </c>
      <c r="EJ159" s="860">
        <f t="shared" ref="EJ159" si="913">IF(ISERROR((EI159/EG159-1)*100),"NA",IF(((EI159/EG159-1)*100)&gt;100,"NM",IF(((EI159/EG159-1)*100)&lt;-50,"NM",(EI159/EG159-1)*100)))</f>
        <v>17.307692307692314</v>
      </c>
      <c r="EK159" s="101">
        <v>51</v>
      </c>
      <c r="EL159" s="860">
        <f t="shared" ref="EL159" si="914">IF(ISERROR((EK159/EI159-1)*100),"NA",IF(((EK159/EI159-1)*100)&gt;100,"NM",IF(((EK159/EI159-1)*100)&lt;-50,"NM",(EK159/EI159-1)*100)))</f>
        <v>-16.393442622950815</v>
      </c>
      <c r="EM159" s="101">
        <v>50</v>
      </c>
      <c r="EN159" s="860">
        <f t="shared" ref="EN159" si="915">IF(ISERROR((EM159/EK159-1)*100),"NA",IF(((EM159/EK159-1)*100)&gt;100,"NM",IF(((EM159/EK159-1)*100)&lt;-50,"NM",(EM159/EK159-1)*100)))</f>
        <v>-1.9607843137254943</v>
      </c>
      <c r="EO159" s="101">
        <v>51</v>
      </c>
      <c r="EP159" s="98">
        <f t="shared" ref="EP159" si="916">IF(ISERROR((EO159/EM159-1)*100),"NA",IF(((EO159/EM159-1)*100)&gt;100,"NM",IF(((EO159/EM159-1)*100)&lt;-50,"NM",(EO159/EM159-1)*100)))</f>
        <v>2.0000000000000018</v>
      </c>
      <c r="EQ159" s="952">
        <f>EO159*1.01</f>
        <v>51.51</v>
      </c>
      <c r="ER159" s="98">
        <f t="shared" ref="ER159" si="917">IF(ISERROR((EQ159/EO159-1)*100),"NA",IF(((EQ159/EO159-1)*100)&gt;100,"NM",IF(((EQ159/EO159-1)*100)&lt;-50,"NM",(EQ159/EO159-1)*100)))</f>
        <v>1.0000000000000009</v>
      </c>
      <c r="ES159" s="952">
        <f t="shared" ref="ES159" si="918">EQ159*1.01</f>
        <v>52.025100000000002</v>
      </c>
      <c r="ET159" s="98">
        <f t="shared" ref="ET159" si="919">IF(ISERROR((ES159/EQ159-1)*100),"NA",IF(((ES159/EQ159-1)*100)&gt;100,"NM",IF(((ES159/EQ159-1)*100)&lt;-50,"NM",(ES159/EQ159-1)*100)))</f>
        <v>1.0000000000000009</v>
      </c>
      <c r="EU159" s="952">
        <f t="shared" ref="EU159" si="920">ES159*1.01</f>
        <v>52.545351000000004</v>
      </c>
      <c r="EV159" s="98">
        <f t="shared" ref="EV159" si="921">IF(ISERROR((EU159/ES159-1)*100),"NA",IF(((EU159/ES159-1)*100)&gt;100,"NM",IF(((EU159/ES159-1)*100)&lt;-50,"NM",(EU159/ES159-1)*100)))</f>
        <v>1.0000000000000009</v>
      </c>
      <c r="EW159" s="952">
        <f t="shared" ref="EW159" si="922">EU159*1.01</f>
        <v>53.070804510000002</v>
      </c>
      <c r="EX159" s="98">
        <f t="shared" ref="EX159" si="923">IF(ISERROR((EW159/EU159-1)*100),"NA",IF(((EW159/EU159-1)*100)&gt;100,"NM",IF(((EW159/EU159-1)*100)&lt;-50,"NM",(EW159/EU159-1)*100)))</f>
        <v>1.0000000000000009</v>
      </c>
      <c r="EY159" s="121"/>
      <c r="EZ159" s="599"/>
      <c r="FA159" s="410"/>
      <c r="FB159" s="121"/>
      <c r="FC159" s="224"/>
      <c r="FD159" s="101"/>
      <c r="FE159" s="224"/>
      <c r="FF159" s="118"/>
      <c r="FG159" s="224"/>
      <c r="FH159" s="118"/>
      <c r="FI159" s="224"/>
      <c r="FJ159" s="118"/>
      <c r="FK159" s="224"/>
      <c r="FL159" s="118"/>
      <c r="FM159" s="224"/>
      <c r="FN159" s="118">
        <f>AI159+AK159+AM159+AO159</f>
        <v>12</v>
      </c>
      <c r="FO159" s="224" t="str">
        <f>IF(ISERROR((FN159/FL159-1)*100),"NA",IF(((FN159/FL159-1)*100)&gt;100,"NM",IF(((FN159/FL159-1)*100)&lt;-50,"NM",(FN159/FL159-1)*100)))</f>
        <v>NA</v>
      </c>
      <c r="FP159" s="118">
        <f>AQ159+AS159+AU159+AW159</f>
        <v>19</v>
      </c>
      <c r="FQ159" s="224">
        <f>IF(ISERROR((FP159/FN159-1)*100),"NA",IF(((FP159/FN159-1)*100)&gt;100,"NM",IF(((FP159/FN159-1)*100)&lt;-50,"NM",(FP159/FN159-1)*100)))</f>
        <v>58.333333333333329</v>
      </c>
      <c r="FR159" s="119">
        <f>AY159+BA159+BC159+BE159</f>
        <v>16</v>
      </c>
      <c r="FS159" s="120">
        <f>IF(ISERROR((FR159/FP159-1)*100),"NA",IF(((FR159/FP159-1)*100)&gt;100,"NM",IF(((FR159/FP159-1)*100)&lt;-50,"NM",(FR159/FP159-1)*100)))</f>
        <v>-15.789473684210531</v>
      </c>
      <c r="FT159" s="119">
        <f>BG159+BI159+BK159+BM159</f>
        <v>8</v>
      </c>
      <c r="FU159" s="120">
        <f>IF(ISERROR((FT159/FR159-1)*100),"NA",IF(((FT159/FR159-1)*100)&gt;100,"NM",IF(((FT159/FR159-1)*100)&lt;-50,"NM",(FT159/FR159-1)*100)))</f>
        <v>-50</v>
      </c>
      <c r="FV159" s="121">
        <v>227</v>
      </c>
      <c r="FW159" s="98" t="str">
        <f t="shared" si="906"/>
        <v>NM</v>
      </c>
      <c r="FX159" s="485">
        <f>BW159+BY159+CA159+CC159</f>
        <v>176</v>
      </c>
      <c r="FY159" s="98">
        <f t="shared" si="907"/>
        <v>-22.466960352422905</v>
      </c>
      <c r="FZ159" s="119">
        <f>CE159+CG159+CI159+CK159</f>
        <v>226</v>
      </c>
      <c r="GA159" s="98">
        <f t="shared" si="908"/>
        <v>28.409090909090917</v>
      </c>
      <c r="GB159" s="485">
        <f>CM159+CO159+CQ159+CS159</f>
        <v>232</v>
      </c>
      <c r="GC159" s="98">
        <f t="shared" si="909"/>
        <v>2.6548672566371723</v>
      </c>
      <c r="GD159" s="119">
        <f>CU159+CW159+CY159+DA159</f>
        <v>225</v>
      </c>
      <c r="GE159" s="98">
        <f t="shared" si="910"/>
        <v>-3.0172413793103425</v>
      </c>
      <c r="GF159" s="119">
        <f>DC159+DE159+DG159+DI159</f>
        <v>247</v>
      </c>
      <c r="GG159" s="98">
        <f t="shared" si="910"/>
        <v>9.777777777777775</v>
      </c>
      <c r="GH159" s="119">
        <f>DK159+DM159+DO159+DQ159</f>
        <v>226</v>
      </c>
      <c r="GI159" s="98">
        <f t="shared" si="910"/>
        <v>-8.5020242914979782</v>
      </c>
      <c r="GJ159" s="119">
        <f>DS159+DU159+DW159+DY159</f>
        <v>203</v>
      </c>
      <c r="GK159" s="98">
        <f t="shared" si="910"/>
        <v>-10.176991150442483</v>
      </c>
      <c r="GL159" s="119">
        <f>EA159+EC159+EE159+EG159</f>
        <v>219</v>
      </c>
      <c r="GM159" s="98">
        <f t="shared" si="910"/>
        <v>7.8817733990147687</v>
      </c>
      <c r="GN159" s="119">
        <f>EI159+EK159+EM159+EO159</f>
        <v>213</v>
      </c>
      <c r="GO159" s="98">
        <f t="shared" si="910"/>
        <v>-2.7397260273972601</v>
      </c>
      <c r="GP159" s="119">
        <f>EQ159+ES159+EU159+EW159</f>
        <v>209.15125551</v>
      </c>
      <c r="GQ159" s="98">
        <f t="shared" si="910"/>
        <v>-1.8069222957746489</v>
      </c>
      <c r="GR159" s="121">
        <f>GP159*1.04</f>
        <v>217.51730573040001</v>
      </c>
      <c r="GS159" s="98">
        <f t="shared" si="910"/>
        <v>4.0000000000000036</v>
      </c>
      <c r="GT159" s="121">
        <f>GR159*1.04</f>
        <v>226.21799795961601</v>
      </c>
      <c r="GU159" s="98">
        <f t="shared" si="910"/>
        <v>4.0000000000000036</v>
      </c>
      <c r="GV159" s="121">
        <f>GT159*1.04</f>
        <v>235.26671787800066</v>
      </c>
      <c r="GW159" s="98">
        <f t="shared" si="910"/>
        <v>4.0000000000000036</v>
      </c>
      <c r="GX159" s="121">
        <f>GV159*1.04</f>
        <v>244.6773865931207</v>
      </c>
      <c r="GY159" s="98">
        <f t="shared" si="911"/>
        <v>4.0000000000000036</v>
      </c>
      <c r="GZ159" s="98">
        <f t="shared" si="912"/>
        <v>2.8117723539423656</v>
      </c>
      <c r="HA159" s="98"/>
      <c r="HB159" s="10"/>
      <c r="HC159"/>
      <c r="HD159"/>
      <c r="HE159"/>
      <c r="HF159"/>
      <c r="HG159"/>
      <c r="HH159"/>
      <c r="HI159" s="10"/>
    </row>
    <row r="160" spans="1:217" s="2" customFormat="1" ht="12.75" customHeight="1" x14ac:dyDescent="0.2">
      <c r="B160" s="9" t="s">
        <v>534</v>
      </c>
      <c r="C160" s="157">
        <v>621</v>
      </c>
      <c r="D160" s="156"/>
      <c r="E160" s="157">
        <v>631</v>
      </c>
      <c r="F160" s="156"/>
      <c r="G160" s="157">
        <v>680</v>
      </c>
      <c r="H160" s="156"/>
      <c r="I160" s="157">
        <v>698</v>
      </c>
      <c r="J160" s="156"/>
      <c r="K160" s="157">
        <v>701</v>
      </c>
      <c r="L160" s="156">
        <f t="shared" ref="L160:L165" si="924">IF(ISERROR((K160/C160-1)*100),"NA",IF(((K160/C160-1)*100)&gt;100,"NM",IF(((K160/C160-1)*100)&lt;-50,"NM",(K160/C160-1)*100)))</f>
        <v>12.88244766505635</v>
      </c>
      <c r="M160" s="157">
        <v>682</v>
      </c>
      <c r="N160" s="156">
        <f t="shared" ref="N160:N165" si="925">IF(ISERROR((M160/E160-1)*100),"NA",IF(((M160/E160-1)*100)&gt;100,"NM",IF(((M160/E160-1)*100)&lt;-50,"NM",(M160/E160-1)*100)))</f>
        <v>8.0824088748018941</v>
      </c>
      <c r="O160" s="157">
        <v>678</v>
      </c>
      <c r="P160" s="156">
        <f t="shared" ref="P160:P165" si="926">IF(ISERROR((O160/G160-1)*100),"NA",IF(((O160/G160-1)*100)&gt;100,"NM",IF(((O160/G160-1)*100)&lt;-50,"NM",(O160/G160-1)*100)))</f>
        <v>-0.29411764705882248</v>
      </c>
      <c r="Q160" s="157">
        <v>703</v>
      </c>
      <c r="R160" s="156">
        <f t="shared" ref="R160:R165" si="927">IF(ISERROR((Q160/I160-1)*100),"NA",IF(((Q160/I160-1)*100)&gt;100,"NM",IF(((Q160/I160-1)*100)&lt;-50,"NM",(Q160/I160-1)*100)))</f>
        <v>0.71633237822350537</v>
      </c>
      <c r="S160" s="157">
        <v>655</v>
      </c>
      <c r="T160" s="156">
        <f t="shared" ref="T160:T165" si="928">IF(ISERROR((S160/K160-1)*100),"NA",IF(((S160/K160-1)*100)&gt;100,"NM",IF(((S160/K160-1)*100)&lt;-50,"NM",(S160/K160-1)*100)))</f>
        <v>-6.5620542082738931</v>
      </c>
      <c r="U160" s="157">
        <v>673</v>
      </c>
      <c r="V160" s="156">
        <f t="shared" ref="V160:V165" si="929">IF(ISERROR((U160/M160-1)*100),"NA",IF(((U160/M160-1)*100)&gt;100,"NM",IF(((U160/M160-1)*100)&lt;-50,"NM",(U160/M160-1)*100)))</f>
        <v>-1.3196480938416411</v>
      </c>
      <c r="W160" s="157">
        <v>641</v>
      </c>
      <c r="X160" s="156">
        <f t="shared" ref="X160:X165" si="930">IF(ISERROR((W160/O160-1)*100),"NA",IF(((W160/O160-1)*100)&gt;100,"NM",IF(((W160/O160-1)*100)&lt;-50,"NM",(W160/O160-1)*100)))</f>
        <v>-5.4572271386430726</v>
      </c>
      <c r="Y160" s="157">
        <v>674</v>
      </c>
      <c r="Z160" s="156">
        <f t="shared" ref="Z160:Z165" si="931">IF(ISERROR((Y160/Q160-1)*100),"NA",IF(((Y160/Q160-1)*100)&gt;100,"NM",IF(((Y160/Q160-1)*100)&lt;-50,"NM",(Y160/Q160-1)*100)))</f>
        <v>-4.1251778093883367</v>
      </c>
      <c r="AA160" s="157">
        <v>642</v>
      </c>
      <c r="AB160" s="156">
        <f t="shared" ref="AB160:AB165" si="932">IF(ISERROR((AA160/S160-1)*100),"NA",IF(((AA160/S160-1)*100)&gt;100,"NM",IF(((AA160/S160-1)*100)&lt;-50,"NM",(AA160/S160-1)*100)))</f>
        <v>-1.984732824427482</v>
      </c>
      <c r="AC160" s="157">
        <v>674</v>
      </c>
      <c r="AD160" s="156">
        <f t="shared" ref="AD160:AD165" si="933">IF(ISERROR((AC160/U160-1)*100),"NA",IF(((AC160/U160-1)*100)&gt;100,"NM",IF(((AC160/U160-1)*100)&lt;-50,"NM",(AC160/U160-1)*100)))</f>
        <v>0.14858841010401136</v>
      </c>
      <c r="AE160" s="157">
        <v>653</v>
      </c>
      <c r="AF160" s="156">
        <f t="shared" ref="AF160:AF165" si="934">IF(ISERROR((AE160/W160-1)*100),"NA",IF(((AE160/W160-1)*100)&gt;100,"NM",IF(((AE160/W160-1)*100)&lt;-50,"NM",(AE160/W160-1)*100)))</f>
        <v>1.8720748829953227</v>
      </c>
      <c r="AG160" s="157">
        <v>732</v>
      </c>
      <c r="AH160" s="156">
        <f t="shared" ref="AH160:AH165" si="935">IF(ISERROR((AG160/Y160-1)*100),"NA",IF(((AG160/Y160-1)*100)&gt;100,"NM",IF(((AG160/Y160-1)*100)&lt;-50,"NM",(AG160/Y160-1)*100)))</f>
        <v>8.6053412462907986</v>
      </c>
      <c r="AI160" s="157">
        <v>735</v>
      </c>
      <c r="AJ160" s="156">
        <f t="shared" ref="AJ160:AJ165" si="936">IF(ISERROR((AI160/AA160-1)*100),"NA",IF(((AI160/AA160-1)*100)&gt;100,"NM",IF(((AI160/AA160-1)*100)&lt;-50,"NM",(AI160/AA160-1)*100)))</f>
        <v>14.485981308411212</v>
      </c>
      <c r="AK160" s="157">
        <v>744</v>
      </c>
      <c r="AL160" s="156">
        <f t="shared" ref="AL160:AL165" si="937">IF(ISERROR((AK160/AC160-1)*100),"NA",IF(((AK160/AC160-1)*100)&gt;100,"NM",IF(((AK160/AC160-1)*100)&lt;-50,"NM",(AK160/AC160-1)*100)))</f>
        <v>10.385756676557856</v>
      </c>
      <c r="AM160" s="157">
        <v>778</v>
      </c>
      <c r="AN160" s="156">
        <f t="shared" ref="AN160:AN165" si="938">IF(ISERROR((AM160/AE160-1)*100),"NA",IF(((AM160/AE160-1)*100)&gt;100,"NM",IF(((AM160/AE160-1)*100)&lt;-50,"NM",(AM160/AE160-1)*100)))</f>
        <v>19.142419601837666</v>
      </c>
      <c r="AO160" s="157">
        <v>831</v>
      </c>
      <c r="AP160" s="156">
        <f t="shared" ref="AP160:AP165" si="939">IF(ISERROR((AO160/AG160-1)*100),"NA",IF(((AO160/AG160-1)*100)&gt;100,"NM",IF(((AO160/AG160-1)*100)&lt;-50,"NM",(AO160/AG160-1)*100)))</f>
        <v>13.524590163934436</v>
      </c>
      <c r="AQ160" s="157">
        <v>846</v>
      </c>
      <c r="AR160" s="156">
        <f t="shared" ref="AR160:AR165" si="940">IF(ISERROR((AQ160/AI160-1)*100),"NA",IF(((AQ160/AI160-1)*100)&gt;100,"NM",IF(((AQ160/AI160-1)*100)&lt;-50,"NM",(AQ160/AI160-1)*100)))</f>
        <v>15.102040816326534</v>
      </c>
      <c r="AS160" s="157">
        <v>926</v>
      </c>
      <c r="AT160" s="156">
        <f t="shared" ref="AT160:AT165" si="941">IF(ISERROR((AS160/AK160-1)*100),"NA",IF(((AS160/AK160-1)*100)&gt;100,"NM",IF(((AS160/AK160-1)*100)&lt;-50,"NM",(AS160/AK160-1)*100)))</f>
        <v>24.462365591397848</v>
      </c>
      <c r="AU160" s="157">
        <v>1255</v>
      </c>
      <c r="AV160" s="156">
        <f t="shared" ref="AV160:AV165" si="942">IF(ISERROR((AU160/AM160-1)*100),"NA",IF(((AU160/AM160-1)*100)&gt;100,"NM",IF(((AU160/AM160-1)*100)&lt;-50,"NM",(AU160/AM160-1)*100)))</f>
        <v>61.311053984575835</v>
      </c>
      <c r="AW160" s="157">
        <v>1273</v>
      </c>
      <c r="AX160" s="156">
        <f t="shared" ref="AX160:AX165" si="943">IF(ISERROR((AW160/AO160-1)*100),"NA",IF(((AW160/AO160-1)*100)&gt;100,"NM",IF(((AW160/AO160-1)*100)&lt;-50,"NM",(AW160/AO160-1)*100)))</f>
        <v>53.188929001203377</v>
      </c>
      <c r="AY160" s="157">
        <v>1325</v>
      </c>
      <c r="AZ160" s="156">
        <f t="shared" ref="AZ160:AZ165" si="944">IF(ISERROR((AY160/AQ160-1)*100),"NA",IF(((AY160/AQ160-1)*100)&gt;100,"NM",IF(((AY160/AQ160-1)*100)&lt;-50,"NM",(AY160/AQ160-1)*100)))</f>
        <v>56.619385342789606</v>
      </c>
      <c r="BA160" s="157">
        <v>1361</v>
      </c>
      <c r="BB160" s="156">
        <f t="shared" ref="BB160:BB165" si="945">IF(ISERROR((BA160/AS160-1)*100),"NA",IF(((BA160/AS160-1)*100)&gt;100,"NM",IF(((BA160/AS160-1)*100)&lt;-50,"NM",(BA160/AS160-1)*100)))</f>
        <v>46.976241900647949</v>
      </c>
      <c r="BC160" s="157">
        <v>1386</v>
      </c>
      <c r="BD160" s="156">
        <f t="shared" ref="BD160:BD165" si="946">IF(ISERROR((BC160/AU160-1)*100),"NA",IF(((BC160/AU160-1)*100)&gt;100,"NM",IF(((BC160/AU160-1)*100)&lt;-50,"NM",(BC160/AU160-1)*100)))</f>
        <v>10.438247011952196</v>
      </c>
      <c r="BE160" s="157">
        <v>1505</v>
      </c>
      <c r="BF160" s="156">
        <f t="shared" ref="BF160:BF165" si="947">IF(ISERROR((BE160/AW160-1)*100),"NA",IF(((BE160/AW160-1)*100)&gt;100,"NM",IF(((BE160/AW160-1)*100)&lt;-50,"NM",(BE160/AW160-1)*100)))</f>
        <v>18.224666142969358</v>
      </c>
      <c r="BG160" s="157">
        <v>1468</v>
      </c>
      <c r="BH160" s="156">
        <f t="shared" ref="BH160:BH165" si="948">IF(ISERROR((BG160/AY160-1)*100),"NA",IF(((BG160/AY160-1)*100)&gt;100,"NM",IF(((BG160/AY160-1)*100)&lt;-50,"NM",(BG160/AY160-1)*100)))</f>
        <v>10.792452830188681</v>
      </c>
      <c r="BI160" s="157">
        <v>1603</v>
      </c>
      <c r="BJ160" s="156">
        <f t="shared" ref="BJ160:BJ165" si="949">IF(ISERROR((BI160/BA160-1)*100),"NA",IF(((BI160/BA160-1)*100)&gt;100,"NM",IF(((BI160/BA160-1)*100)&lt;-50,"NM",(BI160/BA160-1)*100)))</f>
        <v>17.781043350477589</v>
      </c>
      <c r="BK160" s="157">
        <v>1545</v>
      </c>
      <c r="BL160" s="156">
        <f t="shared" ref="BL160:BL165" si="950">IF(ISERROR((BK160/BC160-1)*100),"NA",IF(((BK160/BC160-1)*100)&gt;100,"NM",IF(((BK160/BC160-1)*100)&lt;-50,"NM",(BK160/BC160-1)*100)))</f>
        <v>11.471861471861477</v>
      </c>
      <c r="BM160" s="157">
        <v>1638</v>
      </c>
      <c r="BN160" s="98">
        <f t="shared" ref="BN160:BN165" si="951">IF(ISERROR((BM160/BE160-1)*100),"NA",IF(((BM160/BE160-1)*100)&gt;100,"NM",IF(((BM160/BE160-1)*100)&lt;-50,"NM",(BM160/BE160-1)*100)))</f>
        <v>8.8372093023255882</v>
      </c>
      <c r="BO160" s="101">
        <v>1502</v>
      </c>
      <c r="BP160" s="98">
        <f t="shared" ref="BP160:BP165" si="952">IF(ISERROR((BO160/BG160-1)*100),"NA",IF(((BO160/BG160-1)*100)&gt;100,"NM",IF(((BO160/BG160-1)*100)&lt;-50,"NM",(BO160/BG160-1)*100)))</f>
        <v>2.3160762942779245</v>
      </c>
      <c r="BQ160" s="101">
        <v>1405</v>
      </c>
      <c r="BR160" s="98">
        <f t="shared" ref="BR160:BR165" si="953">IF(ISERROR((BQ160/BI160-1)*100),"NA",IF(((BQ160/BI160-1)*100)&gt;100,"NM",IF(((BQ160/BI160-1)*100)&lt;-50,"NM",(BQ160/BI160-1)*100)))</f>
        <v>-12.351840299438555</v>
      </c>
      <c r="BS160" s="101">
        <v>1359</v>
      </c>
      <c r="BT160" s="98">
        <f t="shared" ref="BT160:BT165" si="954">IF(ISERROR((BS160/BK160-1)*100),"NA",IF(((BS160/BK160-1)*100)&gt;100,"NM",IF(((BS160/BK160-1)*100)&lt;-50,"NM",(BS160/BK160-1)*100)))</f>
        <v>-12.038834951456312</v>
      </c>
      <c r="BU160" s="101">
        <v>1320</v>
      </c>
      <c r="BV160" s="98">
        <f t="shared" ref="BV160:BV165" si="955">IF(ISERROR((BU160/BM160-1)*100),"NA",IF(((BU160/BM160-1)*100)&gt;100,"NM",IF(((BU160/BM160-1)*100)&lt;-50,"NM",(BU160/BM160-1)*100)))</f>
        <v>-19.413919413919412</v>
      </c>
      <c r="BW160" s="101">
        <v>1111</v>
      </c>
      <c r="BX160" s="98">
        <f t="shared" ref="BX160:BX165" si="956">IF(ISERROR((BW160/BO160-1)*100),"NA",IF(((BW160/BO160-1)*100)&gt;100,"NM",IF(((BW160/BO160-1)*100)&lt;-50,"NM",(BW160/BO160-1)*100)))</f>
        <v>-26.031957390146477</v>
      </c>
      <c r="BY160" s="101">
        <v>1179</v>
      </c>
      <c r="BZ160" s="98">
        <f t="shared" ref="BZ160:BZ165" si="957">IF(ISERROR((BY160/BQ160-1)*100),"NA",IF(((BY160/BQ160-1)*100)&gt;100,"NM",IF(((BY160/BQ160-1)*100)&lt;-50,"NM",(BY160/BQ160-1)*100)))</f>
        <v>-16.085409252669038</v>
      </c>
      <c r="CA160" s="101">
        <v>1210</v>
      </c>
      <c r="CB160" s="98">
        <f t="shared" ref="CB160:CB165" si="958">IF(ISERROR((CA160/BS160-1)*100),"NA",IF(((CA160/BS160-1)*100)&gt;100,"NM",IF(((CA160/BS160-1)*100)&lt;-50,"NM",(CA160/BS160-1)*100)))</f>
        <v>-10.963944076526854</v>
      </c>
      <c r="CC160" s="101">
        <v>1189</v>
      </c>
      <c r="CD160" s="98">
        <f t="shared" ref="CD160:CD165" si="959">IF(ISERROR((CC160/BU160-1)*100),"NA",IF(((CC160/BU160-1)*100)&gt;100,"NM",IF(((CC160/BU160-1)*100)&lt;-50,"NM",(CC160/BU160-1)*100)))</f>
        <v>-9.9242424242424239</v>
      </c>
      <c r="CE160" s="101">
        <v>1191</v>
      </c>
      <c r="CF160" s="98">
        <f t="shared" ref="CF160:CF165" si="960">IF(ISERROR((CE160/BW160-1)*100),"NA",IF(((CE160/BW160-1)*100)&gt;100,"NM",IF(((CE160/BW160-1)*100)&lt;-50,"NM",(CE160/BW160-1)*100)))</f>
        <v>7.2007200720072051</v>
      </c>
      <c r="CG160" s="101">
        <v>1234</v>
      </c>
      <c r="CH160" s="98">
        <f t="shared" ref="CH160:CH165" si="961">IF(ISERROR((CG160/BY160-1)*100),"NA",IF(((CG160/BY160-1)*100)&gt;100,"NM",IF(((CG160/BY160-1)*100)&lt;-50,"NM",(CG160/BY160-1)*100)))</f>
        <v>4.6649703138252674</v>
      </c>
      <c r="CI160" s="101">
        <v>1216</v>
      </c>
      <c r="CJ160" s="98">
        <f t="shared" ref="CJ160:CJ165" si="962">IF(ISERROR((CI160/CA160-1)*100),"NA",IF(((CI160/CA160-1)*100)&gt;100,"NM",IF(((CI160/CA160-1)*100)&lt;-50,"NM",(CI160/CA160-1)*100)))</f>
        <v>0.49586776859504855</v>
      </c>
      <c r="CK160" s="101">
        <v>1313</v>
      </c>
      <c r="CL160" s="98">
        <f t="shared" ref="CL160:CL165" si="963">IF(ISERROR((CK160/CC160-1)*100),"NA",IF(((CK160/CC160-1)*100)&gt;100,"NM",IF(((CK160/CC160-1)*100)&lt;-50,"NM",(CK160/CC160-1)*100)))</f>
        <v>10.428931875525649</v>
      </c>
      <c r="CM160" s="101">
        <v>1386</v>
      </c>
      <c r="CN160" s="98">
        <f t="shared" ref="CN160:CN165" si="964">IF(ISERROR((CM160/CE160-1)*100),"NA",IF(((CM160/CE160-1)*100)&gt;100,"NM",IF(((CM160/CE160-1)*100)&lt;-50,"NM",(CM160/CE160-1)*100)))</f>
        <v>16.3727959697733</v>
      </c>
      <c r="CO160" s="101">
        <v>1408</v>
      </c>
      <c r="CP160" s="98">
        <f t="shared" ref="CP160:CP165" si="965">IF(ISERROR((CO160/CG160-1)*100),"NA",IF(((CO160/CG160-1)*100)&gt;100,"NM",IF(((CO160/CG160-1)*100)&lt;-50,"NM",(CO160/CG160-1)*100)))</f>
        <v>14.100486223662889</v>
      </c>
      <c r="CQ160" s="542">
        <v>1375</v>
      </c>
      <c r="CR160" s="98">
        <f t="shared" ref="CR160:CR165" si="966">IF(ISERROR((CQ160/CI160-1)*100),"NA",IF(((CQ160/CI160-1)*100)&gt;100,"NM",IF(((CQ160/CI160-1)*100)&lt;-50,"NM",(CQ160/CI160-1)*100)))</f>
        <v>13.075657894736835</v>
      </c>
      <c r="CS160" s="101">
        <v>1337</v>
      </c>
      <c r="CT160" s="98">
        <f t="shared" ref="CT160:CT165" si="967">IF(ISERROR((CS160/CK160-1)*100),"NA",IF(((CS160/CK160-1)*100)&gt;100,"NM",IF(((CS160/CK160-1)*100)&lt;-50,"NM",(CS160/CK160-1)*100)))</f>
        <v>1.8278750952018363</v>
      </c>
      <c r="CU160" s="101">
        <v>1401</v>
      </c>
      <c r="CV160" s="98">
        <f t="shared" ref="CV160:CV165" si="968">IF(ISERROR((CU160/CM160-1)*100),"NA",IF(((CU160/CM160-1)*100)&gt;100,"NM",IF(((CU160/CM160-1)*100)&lt;-50,"NM",(CU160/CM160-1)*100)))</f>
        <v>1.0822510822510845</v>
      </c>
      <c r="CW160" s="101">
        <v>1431</v>
      </c>
      <c r="CX160" s="98">
        <f t="shared" ref="CX160:CX165" si="969">IF(ISERROR((CW160/CO160-1)*100),"NA",IF(((CW160/CO160-1)*100)&gt;100,"NM",IF(((CW160/CO160-1)*100)&lt;-50,"NM",(CW160/CO160-1)*100)))</f>
        <v>1.6335227272727293</v>
      </c>
      <c r="CY160" s="101">
        <v>1421</v>
      </c>
      <c r="CZ160" s="98">
        <f t="shared" ref="CZ160:CZ165" si="970">IF(ISERROR((CY160/CQ160-1)*100),"NA",IF(((CY160/CQ160-1)*100)&gt;100,"NM",IF(((CY160/CQ160-1)*100)&lt;-50,"NM",(CY160/CQ160-1)*100)))</f>
        <v>3.3454545454545404</v>
      </c>
      <c r="DA160" s="101">
        <v>1450</v>
      </c>
      <c r="DB160" s="98">
        <f t="shared" ref="DB160:DB165" si="971">IF(ISERROR((DA160/CS160-1)*100),"NA",IF(((DA160/CS160-1)*100)&gt;100,"NM",IF(((DA160/CS160-1)*100)&lt;-50,"NM",(DA160/CS160-1)*100)))</f>
        <v>8.4517576664173468</v>
      </c>
      <c r="DC160" s="101">
        <v>1390</v>
      </c>
      <c r="DD160" s="98">
        <f t="shared" ref="DD160:DD165" si="972">IF(ISERROR((DC160/CU160-1)*100),"NA",IF(((DC160/CU160-1)*100)&gt;100,"NM",IF(((DC160/CU160-1)*100)&lt;-50,"NM",(DC160/CU160-1)*100)))</f>
        <v>-0.78515346181299295</v>
      </c>
      <c r="DE160" s="101">
        <v>1402</v>
      </c>
      <c r="DF160" s="98">
        <f t="shared" ref="DF160:DF165" si="973">IF(ISERROR((DE160/CW160-1)*100),"NA",IF(((DE160/CW160-1)*100)&gt;100,"NM",IF(((DE160/CW160-1)*100)&lt;-50,"NM",(DE160/CW160-1)*100)))</f>
        <v>-2.0265548567435343</v>
      </c>
      <c r="DG160" s="101">
        <v>1384</v>
      </c>
      <c r="DH160" s="98">
        <f t="shared" ref="DH160:DH165" si="974">IF(ISERROR((DG160/CY160-1)*100),"NA",IF(((DG160/CY160-1)*100)&gt;100,"NM",IF(((DG160/CY160-1)*100)&lt;-50,"NM",(DG160/CY160-1)*100)))</f>
        <v>-2.6038001407459488</v>
      </c>
      <c r="DI160" s="101">
        <v>1445</v>
      </c>
      <c r="DJ160" s="98">
        <f t="shared" ref="DJ160:DJ165" si="975">IF(ISERROR((DI160/DA160-1)*100),"NA",IF(((DI160/DA160-1)*100)&gt;100,"NM",IF(((DI160/DA160-1)*100)&lt;-50,"NM",(DI160/DA160-1)*100)))</f>
        <v>-0.34482758620689724</v>
      </c>
      <c r="DK160" s="101">
        <v>1382</v>
      </c>
      <c r="DL160" s="98">
        <f t="shared" ref="DL160:DL165" si="976">IF(ISERROR((DK160/DC160-1)*100),"NA",IF(((DK160/DC160-1)*100)&gt;100,"NM",IF(((DK160/DC160-1)*100)&lt;-50,"NM",(DK160/DC160-1)*100)))</f>
        <v>-0.57553956834532904</v>
      </c>
      <c r="DM160" s="101">
        <v>1413</v>
      </c>
      <c r="DN160" s="98">
        <f t="shared" ref="DN160:DZ165" si="977">IF(ISERROR((DM160/DE160-1)*100),"NA",IF(((DM160/DE160-1)*100)&gt;100,"NM",IF(((DM160/DE160-1)*100)&lt;-50,"NM",(DM160/DE160-1)*100)))</f>
        <v>0.78459343794579084</v>
      </c>
      <c r="DO160" s="101">
        <v>1464</v>
      </c>
      <c r="DP160" s="98">
        <f t="shared" si="977"/>
        <v>5.7803468208092568</v>
      </c>
      <c r="DQ160" s="101">
        <v>1425</v>
      </c>
      <c r="DR160" s="98">
        <f t="shared" si="977"/>
        <v>-1.384083044982698</v>
      </c>
      <c r="DS160" s="101">
        <v>1213</v>
      </c>
      <c r="DT160" s="98">
        <f t="shared" si="977"/>
        <v>-12.228654124457305</v>
      </c>
      <c r="DU160" s="101">
        <v>1325</v>
      </c>
      <c r="DV160" s="98">
        <f t="shared" si="977"/>
        <v>-6.2278839348902988</v>
      </c>
      <c r="DW160" s="101">
        <v>1195</v>
      </c>
      <c r="DX160" s="98">
        <f t="shared" si="977"/>
        <v>-18.374316939890711</v>
      </c>
      <c r="DY160" s="101">
        <v>1182</v>
      </c>
      <c r="DZ160" s="98">
        <f t="shared" si="977"/>
        <v>-17.052631578947363</v>
      </c>
      <c r="EA160" s="101">
        <v>1164</v>
      </c>
      <c r="EB160" s="98">
        <f t="shared" ref="EB160:EB165" si="978">IF(ISERROR((EA160/DS160-1)*100),"NA",IF(((EA160/DS160-1)*100)&gt;100,"NM",IF(((EA160/DS160-1)*100)&lt;-50,"NM",(EA160/DS160-1)*100)))</f>
        <v>-4.0395713107996727</v>
      </c>
      <c r="EC160" s="101">
        <v>1252</v>
      </c>
      <c r="ED160" s="98">
        <f t="shared" ref="ED160:ED165" si="979">IF(ISERROR((EC160/DU160-1)*100),"NA",IF(((EC160/DU160-1)*100)&gt;100,"NM",IF(((EC160/DU160-1)*100)&lt;-50,"NM",(EC160/DU160-1)*100)))</f>
        <v>-5.5094339622641542</v>
      </c>
      <c r="EE160" s="101">
        <v>1249</v>
      </c>
      <c r="EF160" s="860">
        <f t="shared" ref="EF160:EF165" si="980">IF(ISERROR((EE160/DW160-1)*100),"NA",IF(((EE160/DW160-1)*100)&gt;100,"NM",IF(((EE160/DW160-1)*100)&lt;-50,"NM",(EE160/DW160-1)*100)))</f>
        <v>4.5188284518828503</v>
      </c>
      <c r="EG160" s="101">
        <v>1287</v>
      </c>
      <c r="EH160" s="860">
        <f t="shared" ref="EH160:EH165" si="981">IF(ISERROR((EG160/DY160-1)*100),"NA",IF(((EG160/DY160-1)*100)&gt;100,"NM",IF(((EG160/DY160-1)*100)&lt;-50,"NM",(EG160/DY160-1)*100)))</f>
        <v>8.8832487309644659</v>
      </c>
      <c r="EI160" s="101">
        <v>1285</v>
      </c>
      <c r="EJ160" s="860">
        <f t="shared" ref="EJ160:EJ165" si="982">IF(ISERROR((EI160/EA160-1)*100),"NA",IF(((EI160/EA160-1)*100)&gt;100,"NM",IF(((EI160/EA160-1)*100)&lt;-50,"NM",(EI160/EA160-1)*100)))</f>
        <v>10.395189003436434</v>
      </c>
      <c r="EK160" s="101">
        <v>1254</v>
      </c>
      <c r="EL160" s="860">
        <f t="shared" ref="EL160:EL165" si="983">IF(ISERROR((EK160/EC160-1)*100),"NA",IF(((EK160/EC160-1)*100)&gt;100,"NM",IF(((EK160/EC160-1)*100)&lt;-50,"NM",(EK160/EC160-1)*100)))</f>
        <v>0.15974440894568342</v>
      </c>
      <c r="EM160" s="101">
        <v>1276</v>
      </c>
      <c r="EN160" s="860">
        <f t="shared" ref="EN160:EN165" si="984">IF(ISERROR((EM160/EE160-1)*100),"NA",IF(((EM160/EE160-1)*100)&gt;100,"NM",IF(((EM160/EE160-1)*100)&lt;-50,"NM",(EM160/EE160-1)*100)))</f>
        <v>2.1617293835068052</v>
      </c>
      <c r="EO160" s="101">
        <v>1294</v>
      </c>
      <c r="EP160" s="98">
        <f t="shared" ref="EP160:EP165" si="985">IF(ISERROR((EO160/EG160-1)*100),"NA",IF(((EO160/EG160-1)*100)&gt;100,"NM",IF(((EO160/EG160-1)*100)&lt;-50,"NM",(EO160/EG160-1)*100)))</f>
        <v>0.54390054390054399</v>
      </c>
      <c r="EQ160" s="792">
        <f t="shared" ref="EQ160" si="986">EQ169/400*EQ135</f>
        <v>1274.4306801878822</v>
      </c>
      <c r="ER160" s="98">
        <f t="shared" ref="ER160:ER165" si="987">IF(ISERROR((EQ160/EI160-1)*100),"NA",IF(((EQ160/EI160-1)*100)&gt;100,"NM",IF(((EQ160/EI160-1)*100)&lt;-50,"NM",(EQ160/EI160-1)*100)))</f>
        <v>-0.82251516047608941</v>
      </c>
      <c r="ES160" s="792">
        <f t="shared" ref="ES160" si="988">ES169/400*ES135</f>
        <v>1281.2623935551135</v>
      </c>
      <c r="ET160" s="98">
        <f t="shared" ref="ET160:ET165" si="989">IF(ISERROR((ES160/EK160-1)*100),"NA",IF(((ES160/EK160-1)*100)&gt;100,"NM",IF(((ES160/EK160-1)*100)&lt;-50,"NM",(ES160/EK160-1)*100)))</f>
        <v>2.1740345737730093</v>
      </c>
      <c r="EU160" s="792">
        <f t="shared" ref="EU160" si="990">EU169/400*EU135</f>
        <v>1287.0344527088309</v>
      </c>
      <c r="EV160" s="98">
        <f t="shared" ref="EV160:EV165" si="991">IF(ISERROR((EU160/EM160-1)*100),"NA",IF(((EU160/EM160-1)*100)&gt;100,"NM",IF(((EU160/EM160-1)*100)&lt;-50,"NM",(EU160/EM160-1)*100)))</f>
        <v>0.86476902106824571</v>
      </c>
      <c r="EW160" s="792">
        <f t="shared" ref="EW160" si="992">EW169/400*EW135</f>
        <v>1291.9138471093584</v>
      </c>
      <c r="EX160" s="98">
        <f t="shared" ref="EX160:EX165" si="993">IF(ISERROR((EW160/EO160-1)*100),"NA",IF(((EW160/EO160-1)*100)&gt;100,"NM",IF(((EW160/EO160-1)*100)&lt;-50,"NM",(EW160/EO160-1)*100)))</f>
        <v>-0.16121737949317261</v>
      </c>
      <c r="EY160" s="118"/>
      <c r="EZ160" s="594"/>
      <c r="FA160" s="405"/>
      <c r="FB160" s="121">
        <v>2773</v>
      </c>
      <c r="FC160" s="98"/>
      <c r="FD160" s="101">
        <v>2652</v>
      </c>
      <c r="FE160" s="98">
        <f t="shared" si="898"/>
        <v>-4.3635052289938692</v>
      </c>
      <c r="FF160" s="118">
        <f>C160+E160+G160+I160</f>
        <v>2630</v>
      </c>
      <c r="FG160" s="98">
        <f t="shared" si="899"/>
        <v>-0.82956259426847367</v>
      </c>
      <c r="FH160" s="118">
        <f>K160+M160+O160+Q160</f>
        <v>2764</v>
      </c>
      <c r="FI160" s="98">
        <f t="shared" si="900"/>
        <v>5.0950570342205292</v>
      </c>
      <c r="FJ160" s="118">
        <f>S160+U160+W160+Y160</f>
        <v>2643</v>
      </c>
      <c r="FK160" s="98">
        <f t="shared" si="901"/>
        <v>-4.3777134587554283</v>
      </c>
      <c r="FL160" s="118">
        <f>AA160+AC160+AE160+AG160</f>
        <v>2701</v>
      </c>
      <c r="FM160" s="98">
        <f t="shared" si="902"/>
        <v>2.1944759742716702</v>
      </c>
      <c r="FN160" s="118">
        <f>AI160+AK160+AM160+AO160</f>
        <v>3088</v>
      </c>
      <c r="FO160" s="98">
        <f t="shared" si="903"/>
        <v>14.32802665679378</v>
      </c>
      <c r="FP160" s="118">
        <f>AQ160+AS160+AU160+AW160</f>
        <v>4300</v>
      </c>
      <c r="FQ160" s="98">
        <f t="shared" si="904"/>
        <v>39.248704663212443</v>
      </c>
      <c r="FR160" s="119">
        <f>AY160+BA160+BC160+BE160</f>
        <v>5577</v>
      </c>
      <c r="FS160" s="120">
        <f t="shared" si="905"/>
        <v>29.697674418604649</v>
      </c>
      <c r="FT160" s="119">
        <f>BG160+BI160+BK160+BM160</f>
        <v>6254</v>
      </c>
      <c r="FU160" s="120">
        <f t="shared" ref="FU160:FU165" si="994">IF(ISERROR((FT160/FR160-1)*100),"NA",IF(((FT160/FR160-1)*100)&gt;100,"NM",IF(((FT160/FR160-1)*100)&lt;-50,"NM",(FT160/FR160-1)*100)))</f>
        <v>12.139142908373678</v>
      </c>
      <c r="FV160" s="121">
        <v>5874</v>
      </c>
      <c r="FW160" s="98">
        <f t="shared" si="906"/>
        <v>-6.0761112887751878</v>
      </c>
      <c r="FX160" s="485">
        <f>BW160+BY160+CA160+CC160</f>
        <v>4689</v>
      </c>
      <c r="FY160" s="98">
        <f t="shared" si="907"/>
        <v>-20.173646578140957</v>
      </c>
      <c r="FZ160" s="119">
        <f>CE160+CG160+CI160+CK160</f>
        <v>4954</v>
      </c>
      <c r="GA160" s="98">
        <f t="shared" si="908"/>
        <v>5.6515248453828049</v>
      </c>
      <c r="GB160" s="485">
        <f>CM160+CO160+CQ160+CS160</f>
        <v>5506</v>
      </c>
      <c r="GC160" s="98">
        <f t="shared" si="909"/>
        <v>11.142511102139686</v>
      </c>
      <c r="GD160" s="119">
        <f>CU160+CW160+CY160+DA160</f>
        <v>5703</v>
      </c>
      <c r="GE160" s="98">
        <f t="shared" si="910"/>
        <v>3.5779150018161898</v>
      </c>
      <c r="GF160" s="119">
        <f>DC160+DE160+DG160+DI160</f>
        <v>5621</v>
      </c>
      <c r="GG160" s="98">
        <f t="shared" si="910"/>
        <v>-1.4378397334736115</v>
      </c>
      <c r="GH160" s="119">
        <f>DK160+DM160+DO160+DQ160</f>
        <v>5684</v>
      </c>
      <c r="GI160" s="98">
        <f t="shared" si="910"/>
        <v>1.1207970112079746</v>
      </c>
      <c r="GJ160" s="119">
        <f>DS160+DU160+DW160+DY160</f>
        <v>4915</v>
      </c>
      <c r="GK160" s="98">
        <f t="shared" si="910"/>
        <v>-13.529204785362426</v>
      </c>
      <c r="GL160" s="119">
        <f>EA160+EC160+EE160+EG160</f>
        <v>4952</v>
      </c>
      <c r="GM160" s="98">
        <f t="shared" si="910"/>
        <v>0.75279755849440022</v>
      </c>
      <c r="GN160" s="119">
        <f>EI160+EK160+EM160+EO160</f>
        <v>5109</v>
      </c>
      <c r="GO160" s="98">
        <f t="shared" si="910"/>
        <v>3.1704361873990283</v>
      </c>
      <c r="GP160" s="119">
        <f>EQ160+ES160+EU160+EW160</f>
        <v>5134.641373561185</v>
      </c>
      <c r="GQ160" s="98">
        <f t="shared" si="910"/>
        <v>0.50188634881944694</v>
      </c>
      <c r="GR160" s="118">
        <f>GR169/100*GR135</f>
        <v>5178.590904354729</v>
      </c>
      <c r="GS160" s="98">
        <f t="shared" si="910"/>
        <v>0.85594158571316026</v>
      </c>
      <c r="GT160" s="118">
        <f>GT169/100*GT135</f>
        <v>5315.4743023660403</v>
      </c>
      <c r="GU160" s="98">
        <f t="shared" si="910"/>
        <v>2.6432556759060644</v>
      </c>
      <c r="GV160" s="118">
        <f>GV169/100*GV135</f>
        <v>5487.1813776003155</v>
      </c>
      <c r="GW160" s="98">
        <f t="shared" si="910"/>
        <v>3.2303246232955107</v>
      </c>
      <c r="GX160" s="118">
        <f>GX169/100*GX135</f>
        <v>5673.7136563963177</v>
      </c>
      <c r="GY160" s="98">
        <f t="shared" si="911"/>
        <v>3.3994188629787425</v>
      </c>
      <c r="GZ160" s="98">
        <f t="shared" si="912"/>
        <v>2.1189409582518248</v>
      </c>
      <c r="HA160" s="98"/>
      <c r="HB160" s="10"/>
      <c r="HC160"/>
      <c r="HD160"/>
      <c r="HE160"/>
      <c r="HF160"/>
      <c r="HG160"/>
      <c r="HH160"/>
      <c r="HI160" s="10"/>
    </row>
    <row r="161" spans="1:217" s="2" customFormat="1" ht="12.75" customHeight="1" x14ac:dyDescent="0.2">
      <c r="B161" s="434" t="s">
        <v>306</v>
      </c>
      <c r="C161" s="157">
        <v>138</v>
      </c>
      <c r="D161" s="156"/>
      <c r="E161" s="157">
        <v>150</v>
      </c>
      <c r="F161" s="156"/>
      <c r="G161" s="157">
        <v>157</v>
      </c>
      <c r="H161" s="156"/>
      <c r="I161" s="157">
        <v>157</v>
      </c>
      <c r="J161" s="156"/>
      <c r="K161" s="157">
        <v>143</v>
      </c>
      <c r="L161" s="156">
        <f t="shared" si="924"/>
        <v>3.6231884057970953</v>
      </c>
      <c r="M161" s="157">
        <v>138</v>
      </c>
      <c r="N161" s="156">
        <f t="shared" si="925"/>
        <v>-7.9999999999999964</v>
      </c>
      <c r="O161" s="157">
        <v>135</v>
      </c>
      <c r="P161" s="156">
        <f t="shared" si="926"/>
        <v>-14.012738853503182</v>
      </c>
      <c r="Q161" s="157">
        <v>133</v>
      </c>
      <c r="R161" s="156">
        <f t="shared" si="927"/>
        <v>-15.286624203821653</v>
      </c>
      <c r="S161" s="157">
        <v>126</v>
      </c>
      <c r="T161" s="156">
        <f t="shared" si="928"/>
        <v>-11.888111888111885</v>
      </c>
      <c r="U161" s="157">
        <v>126</v>
      </c>
      <c r="V161" s="156">
        <f t="shared" si="929"/>
        <v>-8.6956521739130483</v>
      </c>
      <c r="W161" s="157">
        <v>129</v>
      </c>
      <c r="X161" s="156">
        <f t="shared" si="930"/>
        <v>-4.4444444444444393</v>
      </c>
      <c r="Y161" s="157">
        <v>126</v>
      </c>
      <c r="Z161" s="156">
        <f t="shared" si="931"/>
        <v>-5.2631578947368478</v>
      </c>
      <c r="AA161" s="157">
        <v>118</v>
      </c>
      <c r="AB161" s="156">
        <f t="shared" si="932"/>
        <v>-6.3492063492063489</v>
      </c>
      <c r="AC161" s="157">
        <v>124</v>
      </c>
      <c r="AD161" s="156">
        <f t="shared" si="933"/>
        <v>-1.5873015873015928</v>
      </c>
      <c r="AE161" s="157">
        <v>121</v>
      </c>
      <c r="AF161" s="156">
        <f t="shared" si="934"/>
        <v>-6.2015503875968996</v>
      </c>
      <c r="AG161" s="157">
        <v>129</v>
      </c>
      <c r="AH161" s="156">
        <f t="shared" si="935"/>
        <v>2.3809523809523725</v>
      </c>
      <c r="AI161" s="157">
        <v>132</v>
      </c>
      <c r="AJ161" s="156">
        <f t="shared" si="936"/>
        <v>11.864406779661007</v>
      </c>
      <c r="AK161" s="157">
        <v>139</v>
      </c>
      <c r="AL161" s="156">
        <f t="shared" si="937"/>
        <v>12.096774193548377</v>
      </c>
      <c r="AM161" s="157">
        <v>155</v>
      </c>
      <c r="AN161" s="156">
        <f t="shared" si="938"/>
        <v>28.099173553719005</v>
      </c>
      <c r="AO161" s="157">
        <v>172</v>
      </c>
      <c r="AP161" s="156">
        <f t="shared" si="939"/>
        <v>33.333333333333329</v>
      </c>
      <c r="AQ161" s="157">
        <v>202</v>
      </c>
      <c r="AR161" s="156">
        <f t="shared" si="940"/>
        <v>53.030303030303031</v>
      </c>
      <c r="AS161" s="157">
        <v>221</v>
      </c>
      <c r="AT161" s="156">
        <f t="shared" si="941"/>
        <v>58.992805755395693</v>
      </c>
      <c r="AU161" s="157">
        <v>389</v>
      </c>
      <c r="AV161" s="156" t="str">
        <f t="shared" si="942"/>
        <v>NM</v>
      </c>
      <c r="AW161" s="157">
        <v>405</v>
      </c>
      <c r="AX161" s="156" t="str">
        <f t="shared" si="943"/>
        <v>NM</v>
      </c>
      <c r="AY161" s="157">
        <v>460</v>
      </c>
      <c r="AZ161" s="156" t="str">
        <f t="shared" si="944"/>
        <v>NM</v>
      </c>
      <c r="BA161" s="157">
        <v>474</v>
      </c>
      <c r="BB161" s="156" t="str">
        <f t="shared" si="945"/>
        <v>NM</v>
      </c>
      <c r="BC161" s="157">
        <v>534</v>
      </c>
      <c r="BD161" s="156">
        <f t="shared" si="946"/>
        <v>37.275064267352185</v>
      </c>
      <c r="BE161" s="157">
        <v>541</v>
      </c>
      <c r="BF161" s="156">
        <f t="shared" si="947"/>
        <v>33.58024691358024</v>
      </c>
      <c r="BG161" s="157">
        <v>570</v>
      </c>
      <c r="BH161" s="156">
        <f t="shared" si="948"/>
        <v>23.913043478260864</v>
      </c>
      <c r="BI161" s="157">
        <v>612</v>
      </c>
      <c r="BJ161" s="156">
        <f t="shared" si="949"/>
        <v>29.11392405063291</v>
      </c>
      <c r="BK161" s="157">
        <v>646</v>
      </c>
      <c r="BL161" s="156">
        <f t="shared" si="950"/>
        <v>20.973782771535589</v>
      </c>
      <c r="BM161" s="157">
        <v>625</v>
      </c>
      <c r="BN161" s="98">
        <f t="shared" si="951"/>
        <v>15.5268022181146</v>
      </c>
      <c r="BO161" s="101">
        <v>536</v>
      </c>
      <c r="BP161" s="98">
        <f t="shared" si="952"/>
        <v>-5.9649122807017507</v>
      </c>
      <c r="BQ161" s="101">
        <v>472</v>
      </c>
      <c r="BR161" s="98">
        <f t="shared" si="953"/>
        <v>-22.875816993464049</v>
      </c>
      <c r="BS161" s="101">
        <v>496</v>
      </c>
      <c r="BT161" s="98">
        <f t="shared" si="954"/>
        <v>-23.21981424148607</v>
      </c>
      <c r="BU161" s="101">
        <v>588</v>
      </c>
      <c r="BV161" s="98">
        <f t="shared" si="955"/>
        <v>-5.9200000000000035</v>
      </c>
      <c r="BW161" s="101">
        <v>459</v>
      </c>
      <c r="BX161" s="98">
        <f t="shared" si="956"/>
        <v>-14.365671641791044</v>
      </c>
      <c r="BY161" s="101">
        <v>409</v>
      </c>
      <c r="BZ161" s="98">
        <f t="shared" si="957"/>
        <v>-13.347457627118642</v>
      </c>
      <c r="CA161" s="101">
        <v>390</v>
      </c>
      <c r="CB161" s="98">
        <f t="shared" si="958"/>
        <v>-21.370967741935488</v>
      </c>
      <c r="CC161" s="101">
        <v>375</v>
      </c>
      <c r="CD161" s="98">
        <f t="shared" si="959"/>
        <v>-36.224489795918366</v>
      </c>
      <c r="CE161" s="101">
        <v>355</v>
      </c>
      <c r="CF161" s="98">
        <f t="shared" si="960"/>
        <v>-22.657952069716782</v>
      </c>
      <c r="CG161" s="101">
        <v>364</v>
      </c>
      <c r="CH161" s="98">
        <f t="shared" si="961"/>
        <v>-11.002444987775062</v>
      </c>
      <c r="CI161" s="101">
        <v>380</v>
      </c>
      <c r="CJ161" s="98">
        <f t="shared" si="962"/>
        <v>-2.5641025641025661</v>
      </c>
      <c r="CK161" s="101">
        <v>346</v>
      </c>
      <c r="CL161" s="98">
        <f t="shared" si="963"/>
        <v>-7.7333333333333361</v>
      </c>
      <c r="CM161" s="101">
        <v>335</v>
      </c>
      <c r="CN161" s="98">
        <f t="shared" si="964"/>
        <v>-5.6338028169014116</v>
      </c>
      <c r="CO161" s="101">
        <v>331</v>
      </c>
      <c r="CP161" s="98">
        <f t="shared" si="965"/>
        <v>-9.0659340659340675</v>
      </c>
      <c r="CQ161" s="542">
        <v>327</v>
      </c>
      <c r="CR161" s="98">
        <f t="shared" si="966"/>
        <v>-13.94736842105263</v>
      </c>
      <c r="CS161" s="101">
        <v>330</v>
      </c>
      <c r="CT161" s="98">
        <f t="shared" si="967"/>
        <v>-4.6242774566473965</v>
      </c>
      <c r="CU161" s="101">
        <v>339</v>
      </c>
      <c r="CV161" s="98">
        <f t="shared" si="968"/>
        <v>1.1940298507462588</v>
      </c>
      <c r="CW161" s="101">
        <v>338</v>
      </c>
      <c r="CX161" s="98">
        <f t="shared" si="969"/>
        <v>2.114803625377637</v>
      </c>
      <c r="CY161" s="101">
        <v>339</v>
      </c>
      <c r="CZ161" s="98">
        <f t="shared" si="970"/>
        <v>3.669724770642202</v>
      </c>
      <c r="DA161" s="101">
        <v>342</v>
      </c>
      <c r="DB161" s="98">
        <f t="shared" si="971"/>
        <v>3.6363636363636376</v>
      </c>
      <c r="DC161" s="101">
        <v>343</v>
      </c>
      <c r="DD161" s="98">
        <f t="shared" si="972"/>
        <v>1.1799410029498469</v>
      </c>
      <c r="DE161" s="101">
        <v>305</v>
      </c>
      <c r="DF161" s="98">
        <f t="shared" si="973"/>
        <v>-9.7633136094674615</v>
      </c>
      <c r="DG161" s="101">
        <v>292</v>
      </c>
      <c r="DH161" s="98">
        <f t="shared" si="974"/>
        <v>-13.864306784660762</v>
      </c>
      <c r="DI161" s="101">
        <v>293</v>
      </c>
      <c r="DJ161" s="98">
        <f t="shared" si="975"/>
        <v>-14.327485380116956</v>
      </c>
      <c r="DK161" s="101">
        <v>278</v>
      </c>
      <c r="DL161" s="98">
        <f t="shared" si="976"/>
        <v>-18.950437317784253</v>
      </c>
      <c r="DM161" s="101">
        <v>287</v>
      </c>
      <c r="DN161" s="98">
        <f t="shared" si="977"/>
        <v>-5.9016393442622999</v>
      </c>
      <c r="DO161" s="101">
        <v>279</v>
      </c>
      <c r="DP161" s="98">
        <f t="shared" si="977"/>
        <v>-4.452054794520544</v>
      </c>
      <c r="DQ161" s="101">
        <v>296</v>
      </c>
      <c r="DR161" s="98">
        <f t="shared" si="977"/>
        <v>1.0238907849829282</v>
      </c>
      <c r="DS161" s="101">
        <v>265</v>
      </c>
      <c r="DT161" s="98">
        <f t="shared" si="977"/>
        <v>-4.6762589928057601</v>
      </c>
      <c r="DU161" s="101">
        <v>267</v>
      </c>
      <c r="DV161" s="98">
        <f t="shared" si="977"/>
        <v>-6.9686411149825762</v>
      </c>
      <c r="DW161" s="101">
        <v>268</v>
      </c>
      <c r="DX161" s="98">
        <f t="shared" si="977"/>
        <v>-3.9426523297491078</v>
      </c>
      <c r="DY161" s="101">
        <v>277</v>
      </c>
      <c r="DZ161" s="98">
        <f t="shared" si="977"/>
        <v>-6.418918918918914</v>
      </c>
      <c r="EA161" s="101">
        <v>288</v>
      </c>
      <c r="EB161" s="98">
        <f t="shared" si="978"/>
        <v>8.6792452830188651</v>
      </c>
      <c r="EC161" s="101">
        <v>289</v>
      </c>
      <c r="ED161" s="98">
        <f t="shared" si="979"/>
        <v>8.2397003745318322</v>
      </c>
      <c r="EE161" s="101">
        <v>287</v>
      </c>
      <c r="EF161" s="860">
        <f t="shared" si="980"/>
        <v>7.0895522388059629</v>
      </c>
      <c r="EG161" s="101">
        <v>301</v>
      </c>
      <c r="EH161" s="860">
        <f t="shared" si="981"/>
        <v>8.6642599277978238</v>
      </c>
      <c r="EI161" s="101">
        <v>317</v>
      </c>
      <c r="EJ161" s="860">
        <f t="shared" si="982"/>
        <v>10.069444444444443</v>
      </c>
      <c r="EK161" s="101">
        <v>325</v>
      </c>
      <c r="EL161" s="860">
        <f t="shared" si="983"/>
        <v>12.456747404844283</v>
      </c>
      <c r="EM161" s="101">
        <v>342</v>
      </c>
      <c r="EN161" s="860">
        <f t="shared" si="984"/>
        <v>19.163763066202087</v>
      </c>
      <c r="EO161" s="101">
        <v>354</v>
      </c>
      <c r="EP161" s="98">
        <f t="shared" si="985"/>
        <v>17.607973421926904</v>
      </c>
      <c r="EQ161" s="792">
        <f t="shared" ref="EQ161" si="995">EQ168/100*EQ160</f>
        <v>344.0962836507282</v>
      </c>
      <c r="ER161" s="98">
        <f t="shared" si="987"/>
        <v>8.5477235491256067</v>
      </c>
      <c r="ES161" s="792">
        <f t="shared" ref="ES161" si="996">ES168/100*ES160</f>
        <v>345.94084625988069</v>
      </c>
      <c r="ET161" s="98">
        <f t="shared" si="989"/>
        <v>6.443337310732522</v>
      </c>
      <c r="EU161" s="792">
        <f t="shared" ref="EU161" si="997">EU168/100*EU160</f>
        <v>347.49930223138438</v>
      </c>
      <c r="EV161" s="98">
        <f t="shared" si="991"/>
        <v>1.607983108591915</v>
      </c>
      <c r="EW161" s="792">
        <f t="shared" ref="EW161" si="998">EW168/100*EW160</f>
        <v>348.81673871952677</v>
      </c>
      <c r="EX161" s="98">
        <f t="shared" si="993"/>
        <v>-1.4641981018285954</v>
      </c>
      <c r="EY161" s="118"/>
      <c r="EZ161" s="594"/>
      <c r="FA161" s="405"/>
      <c r="FB161" s="121">
        <v>738</v>
      </c>
      <c r="FC161" s="98"/>
      <c r="FD161" s="101">
        <v>632</v>
      </c>
      <c r="FE161" s="98">
        <f t="shared" si="898"/>
        <v>-14.363143631436316</v>
      </c>
      <c r="FF161" s="118">
        <f>C161+E161+G161+I161</f>
        <v>602</v>
      </c>
      <c r="FG161" s="98">
        <f t="shared" si="899"/>
        <v>-4.7468354430379778</v>
      </c>
      <c r="FH161" s="118">
        <f>K161+M161+O161+Q161</f>
        <v>549</v>
      </c>
      <c r="FI161" s="98">
        <f t="shared" si="900"/>
        <v>-8.8039867109634518</v>
      </c>
      <c r="FJ161" s="118">
        <f>S161+U161+W161+Y161</f>
        <v>507</v>
      </c>
      <c r="FK161" s="98">
        <f t="shared" si="901"/>
        <v>-7.6502732240437137</v>
      </c>
      <c r="FL161" s="118">
        <f>AA161+AC161+AE161+AG161</f>
        <v>492</v>
      </c>
      <c r="FM161" s="98">
        <f t="shared" si="902"/>
        <v>-2.9585798816568087</v>
      </c>
      <c r="FN161" s="118">
        <f>AI161+AK161+AM161+AO161</f>
        <v>598</v>
      </c>
      <c r="FO161" s="98">
        <f t="shared" si="903"/>
        <v>21.544715447154459</v>
      </c>
      <c r="FP161" s="118">
        <f>AQ161+AS161+AU161+AW161</f>
        <v>1217</v>
      </c>
      <c r="FQ161" s="98" t="str">
        <f t="shared" si="904"/>
        <v>NM</v>
      </c>
      <c r="FR161" s="119">
        <f>AY161+BA161+BC161+BE161</f>
        <v>2009</v>
      </c>
      <c r="FS161" s="120">
        <f t="shared" si="905"/>
        <v>65.078060805258843</v>
      </c>
      <c r="FT161" s="119">
        <f>BG161+BI161+BK161+BM161</f>
        <v>2453</v>
      </c>
      <c r="FU161" s="120">
        <f t="shared" si="994"/>
        <v>22.10054753608761</v>
      </c>
      <c r="FV161" s="121">
        <v>2298</v>
      </c>
      <c r="FW161" s="98">
        <f t="shared" si="906"/>
        <v>-6.318793314309012</v>
      </c>
      <c r="FX161" s="485">
        <f>BW161+BY161+CA161+CC161</f>
        <v>1633</v>
      </c>
      <c r="FY161" s="98">
        <f t="shared" si="907"/>
        <v>-28.93820713664056</v>
      </c>
      <c r="FZ161" s="119">
        <f>CE161+CG161+CI161+CK161</f>
        <v>1445</v>
      </c>
      <c r="GA161" s="98">
        <f t="shared" si="908"/>
        <v>-11.512553582363749</v>
      </c>
      <c r="GB161" s="485">
        <f>CM161+CO161+CQ161+CS161</f>
        <v>1323</v>
      </c>
      <c r="GC161" s="98">
        <f t="shared" si="909"/>
        <v>-8.4429065743944598</v>
      </c>
      <c r="GD161" s="119">
        <f>CU161+CW161+CY161+DA161</f>
        <v>1358</v>
      </c>
      <c r="GE161" s="98">
        <f t="shared" si="910"/>
        <v>2.6455026455026509</v>
      </c>
      <c r="GF161" s="119">
        <f>DC161+DE161+DG161+DI161</f>
        <v>1233</v>
      </c>
      <c r="GG161" s="98">
        <f t="shared" si="910"/>
        <v>-9.2047128129602367</v>
      </c>
      <c r="GH161" s="119">
        <f>DK161+DM161+DO161+DQ161</f>
        <v>1140</v>
      </c>
      <c r="GI161" s="98">
        <f t="shared" si="910"/>
        <v>-7.5425790754257926</v>
      </c>
      <c r="GJ161" s="119">
        <f>DS161+DU161+DW161+DY161</f>
        <v>1077</v>
      </c>
      <c r="GK161" s="98">
        <f t="shared" si="910"/>
        <v>-5.5263157894736796</v>
      </c>
      <c r="GL161" s="119">
        <f>EA161+EC161+EE161+EG161</f>
        <v>1165</v>
      </c>
      <c r="GM161" s="98">
        <f t="shared" si="910"/>
        <v>8.1708449396471714</v>
      </c>
      <c r="GN161" s="119">
        <f>EI161+EK161+EM161+EO161</f>
        <v>1338</v>
      </c>
      <c r="GO161" s="98">
        <f t="shared" si="910"/>
        <v>14.849785407725324</v>
      </c>
      <c r="GP161" s="119">
        <f>EQ161+ES161+EU161+EW161</f>
        <v>1386.3531708615201</v>
      </c>
      <c r="GQ161" s="98">
        <f t="shared" si="910"/>
        <v>3.6138393767952248</v>
      </c>
      <c r="GR161" s="118">
        <f>GR168/100*GR160</f>
        <v>1403.3981350801316</v>
      </c>
      <c r="GS161" s="98">
        <f t="shared" si="910"/>
        <v>1.229482110104696</v>
      </c>
      <c r="GT161" s="118">
        <f>GT168/100*GT160</f>
        <v>1445.8090102435631</v>
      </c>
      <c r="GU161" s="98">
        <f t="shared" si="910"/>
        <v>3.0220130769241571</v>
      </c>
      <c r="GV161" s="118">
        <f>GV168/100*GV160</f>
        <v>1498.0005160848862</v>
      </c>
      <c r="GW161" s="98">
        <f t="shared" si="910"/>
        <v>3.6098478755870245</v>
      </c>
      <c r="GX161" s="118">
        <f>GX168/100*GX160</f>
        <v>1554.5975418525916</v>
      </c>
      <c r="GY161" s="98">
        <f t="shared" si="911"/>
        <v>3.7781713130263128</v>
      </c>
      <c r="GZ161" s="98">
        <f t="shared" si="912"/>
        <v>3.0462929079732026</v>
      </c>
      <c r="HA161" s="98"/>
      <c r="HB161" s="10"/>
      <c r="HC161"/>
      <c r="HD161"/>
      <c r="HE161"/>
      <c r="HF161"/>
      <c r="HG161"/>
      <c r="HH161"/>
      <c r="HI161" s="10"/>
    </row>
    <row r="162" spans="1:217" s="2" customFormat="1" ht="12.75" customHeight="1" x14ac:dyDescent="0.2">
      <c r="B162" s="91" t="s">
        <v>535</v>
      </c>
      <c r="C162" s="155">
        <f>C160-C161</f>
        <v>483</v>
      </c>
      <c r="D162" s="156"/>
      <c r="E162" s="155">
        <f>E160-E161</f>
        <v>481</v>
      </c>
      <c r="F162" s="156"/>
      <c r="G162" s="155">
        <f>G160-G161</f>
        <v>523</v>
      </c>
      <c r="H162" s="156"/>
      <c r="I162" s="155">
        <f>I160-I161</f>
        <v>541</v>
      </c>
      <c r="J162" s="156"/>
      <c r="K162" s="155">
        <f>K160-K161</f>
        <v>558</v>
      </c>
      <c r="L162" s="156">
        <f t="shared" si="924"/>
        <v>15.527950310559003</v>
      </c>
      <c r="M162" s="155">
        <f>M160-M161</f>
        <v>544</v>
      </c>
      <c r="N162" s="156">
        <f t="shared" si="925"/>
        <v>13.097713097713104</v>
      </c>
      <c r="O162" s="155">
        <f>O160-O161</f>
        <v>543</v>
      </c>
      <c r="P162" s="156">
        <f t="shared" si="926"/>
        <v>3.8240917782026873</v>
      </c>
      <c r="Q162" s="155">
        <f>Q160-Q161</f>
        <v>570</v>
      </c>
      <c r="R162" s="156">
        <f t="shared" si="927"/>
        <v>5.3604436229205188</v>
      </c>
      <c r="S162" s="155">
        <f>S160-S161</f>
        <v>529</v>
      </c>
      <c r="T162" s="156">
        <f t="shared" si="928"/>
        <v>-5.1971326164874547</v>
      </c>
      <c r="U162" s="155">
        <f>U160-U161</f>
        <v>547</v>
      </c>
      <c r="V162" s="156">
        <f t="shared" si="929"/>
        <v>0.55147058823530326</v>
      </c>
      <c r="W162" s="155">
        <f>W160-W161</f>
        <v>512</v>
      </c>
      <c r="X162" s="156">
        <f t="shared" si="930"/>
        <v>-5.7090239410681365</v>
      </c>
      <c r="Y162" s="155">
        <f>Y160-Y161</f>
        <v>548</v>
      </c>
      <c r="Z162" s="156">
        <f t="shared" si="931"/>
        <v>-3.8596491228070184</v>
      </c>
      <c r="AA162" s="155">
        <f>AA160-AA161</f>
        <v>524</v>
      </c>
      <c r="AB162" s="156">
        <f t="shared" si="932"/>
        <v>-0.94517958412098091</v>
      </c>
      <c r="AC162" s="155">
        <f>AC160-AC161</f>
        <v>550</v>
      </c>
      <c r="AD162" s="156">
        <f t="shared" si="933"/>
        <v>0.54844606946984342</v>
      </c>
      <c r="AE162" s="155">
        <f>AE160-AE161</f>
        <v>532</v>
      </c>
      <c r="AF162" s="156">
        <f t="shared" si="934"/>
        <v>3.90625</v>
      </c>
      <c r="AG162" s="155">
        <f>AG160-AG161</f>
        <v>603</v>
      </c>
      <c r="AH162" s="156">
        <f t="shared" si="935"/>
        <v>10.036496350364965</v>
      </c>
      <c r="AI162" s="155">
        <f>AI160-AI161</f>
        <v>603</v>
      </c>
      <c r="AJ162" s="156">
        <f t="shared" si="936"/>
        <v>15.07633587786259</v>
      </c>
      <c r="AK162" s="155">
        <f>AK160-AK161</f>
        <v>605</v>
      </c>
      <c r="AL162" s="156">
        <f t="shared" si="937"/>
        <v>10.000000000000009</v>
      </c>
      <c r="AM162" s="155">
        <f>AM160-AM161</f>
        <v>623</v>
      </c>
      <c r="AN162" s="156">
        <f t="shared" si="938"/>
        <v>17.105263157894733</v>
      </c>
      <c r="AO162" s="155">
        <f>AO160-AO161</f>
        <v>659</v>
      </c>
      <c r="AP162" s="156">
        <f t="shared" si="939"/>
        <v>9.2868988391376472</v>
      </c>
      <c r="AQ162" s="155">
        <f>AQ160-AQ161</f>
        <v>644</v>
      </c>
      <c r="AR162" s="156">
        <f t="shared" si="940"/>
        <v>6.7993366500829211</v>
      </c>
      <c r="AS162" s="155">
        <f>AS160-AS161</f>
        <v>705</v>
      </c>
      <c r="AT162" s="156">
        <f t="shared" si="941"/>
        <v>16.528925619834702</v>
      </c>
      <c r="AU162" s="155">
        <f>AU160-AU161</f>
        <v>866</v>
      </c>
      <c r="AV162" s="156">
        <f t="shared" si="942"/>
        <v>39.004815409309799</v>
      </c>
      <c r="AW162" s="155">
        <f>AW160-AW161</f>
        <v>868</v>
      </c>
      <c r="AX162" s="156">
        <f t="shared" si="943"/>
        <v>31.714719271623682</v>
      </c>
      <c r="AY162" s="155">
        <f>AY160-AY161</f>
        <v>865</v>
      </c>
      <c r="AZ162" s="156">
        <f t="shared" si="944"/>
        <v>34.316770186335411</v>
      </c>
      <c r="BA162" s="155">
        <f>BA160-BA161</f>
        <v>887</v>
      </c>
      <c r="BB162" s="156">
        <f t="shared" si="945"/>
        <v>25.815602836879425</v>
      </c>
      <c r="BC162" s="155">
        <f>BC160-BC161</f>
        <v>852</v>
      </c>
      <c r="BD162" s="156">
        <f t="shared" si="946"/>
        <v>-1.6166281755196299</v>
      </c>
      <c r="BE162" s="155">
        <f>BE160-BE161</f>
        <v>964</v>
      </c>
      <c r="BF162" s="156">
        <f t="shared" si="947"/>
        <v>11.059907834101379</v>
      </c>
      <c r="BG162" s="155">
        <f>BG160-BG161</f>
        <v>898</v>
      </c>
      <c r="BH162" s="156">
        <f t="shared" si="948"/>
        <v>3.8150289017341077</v>
      </c>
      <c r="BI162" s="155">
        <f>BI160-BI161</f>
        <v>991</v>
      </c>
      <c r="BJ162" s="156">
        <f t="shared" si="949"/>
        <v>11.724915445321304</v>
      </c>
      <c r="BK162" s="155">
        <f>BK160-BK161</f>
        <v>899</v>
      </c>
      <c r="BL162" s="156">
        <f t="shared" si="950"/>
        <v>5.5164319248826255</v>
      </c>
      <c r="BM162" s="155">
        <f>BM160-BM161</f>
        <v>1013</v>
      </c>
      <c r="BN162" s="98">
        <f t="shared" si="951"/>
        <v>5.0829875518672241</v>
      </c>
      <c r="BO162" s="117">
        <f>BO160-BO161</f>
        <v>966</v>
      </c>
      <c r="BP162" s="98">
        <f t="shared" si="952"/>
        <v>7.572383073496658</v>
      </c>
      <c r="BQ162" s="117">
        <f>BQ160-BQ161</f>
        <v>933</v>
      </c>
      <c r="BR162" s="98">
        <f t="shared" si="953"/>
        <v>-5.8526740665993948</v>
      </c>
      <c r="BS162" s="117">
        <f>BS160-BS161</f>
        <v>863</v>
      </c>
      <c r="BT162" s="98">
        <f t="shared" si="954"/>
        <v>-4.0044493882091192</v>
      </c>
      <c r="BU162" s="117">
        <f>BU160-BU161</f>
        <v>732</v>
      </c>
      <c r="BV162" s="98">
        <f t="shared" si="955"/>
        <v>-27.739387956564656</v>
      </c>
      <c r="BW162" s="117">
        <f>BW160-BW161</f>
        <v>652</v>
      </c>
      <c r="BX162" s="98">
        <f t="shared" si="956"/>
        <v>-32.50517598343685</v>
      </c>
      <c r="BY162" s="117">
        <f>BY160-BY161</f>
        <v>770</v>
      </c>
      <c r="BZ162" s="98">
        <f t="shared" si="957"/>
        <v>-17.470525187566988</v>
      </c>
      <c r="CA162" s="117">
        <f>CA160-CA161</f>
        <v>820</v>
      </c>
      <c r="CB162" s="98">
        <f t="shared" si="958"/>
        <v>-4.982618771726532</v>
      </c>
      <c r="CC162" s="117">
        <f>CC160-CC161</f>
        <v>814</v>
      </c>
      <c r="CD162" s="98">
        <f t="shared" si="959"/>
        <v>11.202185792349727</v>
      </c>
      <c r="CE162" s="117">
        <f>CE160-CE161</f>
        <v>836</v>
      </c>
      <c r="CF162" s="98">
        <f t="shared" si="960"/>
        <v>28.220858895705515</v>
      </c>
      <c r="CG162" s="117">
        <f>CG160-CG161</f>
        <v>870</v>
      </c>
      <c r="CH162" s="98">
        <f t="shared" si="961"/>
        <v>12.987012987012992</v>
      </c>
      <c r="CI162" s="117">
        <f>CI160-CI161</f>
        <v>836</v>
      </c>
      <c r="CJ162" s="98">
        <f t="shared" si="962"/>
        <v>1.9512195121951237</v>
      </c>
      <c r="CK162" s="117">
        <f>CK160-CK161</f>
        <v>967</v>
      </c>
      <c r="CL162" s="98">
        <f t="shared" si="963"/>
        <v>18.796068796068788</v>
      </c>
      <c r="CM162" s="117">
        <f>CM160-CM161</f>
        <v>1051</v>
      </c>
      <c r="CN162" s="98">
        <f t="shared" si="964"/>
        <v>25.717703349282296</v>
      </c>
      <c r="CO162" s="117">
        <f>CO160-CO161</f>
        <v>1077</v>
      </c>
      <c r="CP162" s="98">
        <f t="shared" si="965"/>
        <v>23.793103448275854</v>
      </c>
      <c r="CQ162" s="486">
        <f>CQ160-CQ161</f>
        <v>1048</v>
      </c>
      <c r="CR162" s="98">
        <f t="shared" si="966"/>
        <v>25.358851674641159</v>
      </c>
      <c r="CS162" s="117">
        <f>CS160-CS161</f>
        <v>1007</v>
      </c>
      <c r="CT162" s="98">
        <f t="shared" si="967"/>
        <v>4.1365046535677408</v>
      </c>
      <c r="CU162" s="117">
        <f>CU160-CU161</f>
        <v>1062</v>
      </c>
      <c r="CV162" s="98">
        <f t="shared" si="968"/>
        <v>1.0466222645099998</v>
      </c>
      <c r="CW162" s="117">
        <f>CW160-CW161</f>
        <v>1093</v>
      </c>
      <c r="CX162" s="98">
        <f t="shared" si="969"/>
        <v>1.485608170844932</v>
      </c>
      <c r="CY162" s="117">
        <f>CY160-CY161</f>
        <v>1082</v>
      </c>
      <c r="CZ162" s="98">
        <f t="shared" si="970"/>
        <v>3.2442748091602969</v>
      </c>
      <c r="DA162" s="117">
        <f>DA160-DA161</f>
        <v>1108</v>
      </c>
      <c r="DB162" s="98">
        <f t="shared" si="971"/>
        <v>10.029791459781535</v>
      </c>
      <c r="DC162" s="117">
        <f>DC160-DC161</f>
        <v>1047</v>
      </c>
      <c r="DD162" s="98">
        <f t="shared" si="972"/>
        <v>-1.4124293785310771</v>
      </c>
      <c r="DE162" s="117">
        <f>DE160-DE161</f>
        <v>1097</v>
      </c>
      <c r="DF162" s="98">
        <f t="shared" si="973"/>
        <v>0.36596523330283404</v>
      </c>
      <c r="DG162" s="117">
        <f>DG160-DG161</f>
        <v>1092</v>
      </c>
      <c r="DH162" s="98">
        <f t="shared" si="974"/>
        <v>0.92421441774490631</v>
      </c>
      <c r="DI162" s="117">
        <f>DI160-DI161</f>
        <v>1152</v>
      </c>
      <c r="DJ162" s="98">
        <f t="shared" si="975"/>
        <v>3.971119133573997</v>
      </c>
      <c r="DK162" s="117">
        <f>DK160-DK161</f>
        <v>1104</v>
      </c>
      <c r="DL162" s="98">
        <f t="shared" si="976"/>
        <v>5.4441260744985565</v>
      </c>
      <c r="DM162" s="117">
        <f>DM160-DM161</f>
        <v>1126</v>
      </c>
      <c r="DN162" s="98">
        <f t="shared" si="977"/>
        <v>2.6435733819507812</v>
      </c>
      <c r="DO162" s="117">
        <f>DO160-DO161</f>
        <v>1185</v>
      </c>
      <c r="DP162" s="98">
        <f t="shared" si="977"/>
        <v>8.5164835164835075</v>
      </c>
      <c r="DQ162" s="117">
        <f>DQ160-DQ161</f>
        <v>1129</v>
      </c>
      <c r="DR162" s="98">
        <f t="shared" si="977"/>
        <v>-1.996527777777779</v>
      </c>
      <c r="DS162" s="117">
        <f>DS160-DS161</f>
        <v>948</v>
      </c>
      <c r="DT162" s="98">
        <f t="shared" si="977"/>
        <v>-14.130434782608692</v>
      </c>
      <c r="DU162" s="117">
        <f>DU160-DU161</f>
        <v>1058</v>
      </c>
      <c r="DV162" s="98">
        <f t="shared" si="977"/>
        <v>-6.039076376554176</v>
      </c>
      <c r="DW162" s="117">
        <f>DW160-DW161</f>
        <v>927</v>
      </c>
      <c r="DX162" s="98">
        <f t="shared" si="977"/>
        <v>-21.772151898734183</v>
      </c>
      <c r="DY162" s="117">
        <f>DY160-DY161</f>
        <v>905</v>
      </c>
      <c r="DZ162" s="98">
        <f t="shared" si="977"/>
        <v>-19.840566873339238</v>
      </c>
      <c r="EA162" s="117">
        <f>EA160-EA161</f>
        <v>876</v>
      </c>
      <c r="EB162" s="98">
        <f t="shared" si="978"/>
        <v>-7.5949367088607556</v>
      </c>
      <c r="EC162" s="117">
        <f>EC160-EC161</f>
        <v>963</v>
      </c>
      <c r="ED162" s="98">
        <f t="shared" si="979"/>
        <v>-8.9792060491493348</v>
      </c>
      <c r="EE162" s="117">
        <f>EE160-EE161</f>
        <v>962</v>
      </c>
      <c r="EF162" s="860">
        <f t="shared" si="980"/>
        <v>3.7756202804746453</v>
      </c>
      <c r="EG162" s="117">
        <f>EG160-EG161</f>
        <v>986</v>
      </c>
      <c r="EH162" s="860">
        <f t="shared" si="981"/>
        <v>8.9502762430939242</v>
      </c>
      <c r="EI162" s="117">
        <f>EI160-EI161</f>
        <v>968</v>
      </c>
      <c r="EJ162" s="860">
        <f t="shared" si="982"/>
        <v>10.502283105022837</v>
      </c>
      <c r="EK162" s="117">
        <f>EK160-EK161</f>
        <v>929</v>
      </c>
      <c r="EL162" s="860">
        <f t="shared" si="983"/>
        <v>-3.5306334371754899</v>
      </c>
      <c r="EM162" s="117">
        <f>EM160-EM161</f>
        <v>934</v>
      </c>
      <c r="EN162" s="860">
        <f t="shared" si="984"/>
        <v>-2.9106029106029108</v>
      </c>
      <c r="EO162" s="117">
        <f>EO160-EO161</f>
        <v>940</v>
      </c>
      <c r="EP162" s="98">
        <f t="shared" si="985"/>
        <v>-4.6653144016227222</v>
      </c>
      <c r="EQ162" s="792">
        <f t="shared" ref="EQ162" si="999">EQ160-EQ161</f>
        <v>930.33439653715402</v>
      </c>
      <c r="ER162" s="98">
        <f t="shared" si="987"/>
        <v>-3.8910747378973154</v>
      </c>
      <c r="ES162" s="792">
        <f t="shared" ref="ES162" si="1000">ES160-ES161</f>
        <v>935.32154729523279</v>
      </c>
      <c r="ET162" s="98">
        <f t="shared" si="989"/>
        <v>0.68046795427694207</v>
      </c>
      <c r="EU162" s="792">
        <f t="shared" ref="EU162" si="1001">EU160-EU161</f>
        <v>939.53515047744656</v>
      </c>
      <c r="EV162" s="98">
        <f t="shared" si="991"/>
        <v>0.59262853077586275</v>
      </c>
      <c r="EW162" s="792">
        <f t="shared" ref="EW162" si="1002">EW160-EW161</f>
        <v>943.09710838983165</v>
      </c>
      <c r="EX162" s="98">
        <f t="shared" si="993"/>
        <v>0.329479615939543</v>
      </c>
      <c r="EY162" s="118"/>
      <c r="EZ162" s="594"/>
      <c r="FA162" s="405"/>
      <c r="FB162" s="118">
        <f>FB160-FB161</f>
        <v>2035</v>
      </c>
      <c r="FC162" s="98"/>
      <c r="FD162" s="117">
        <f>FD160-FD161</f>
        <v>2020</v>
      </c>
      <c r="FE162" s="98">
        <f t="shared" si="898"/>
        <v>-0.73710073710073765</v>
      </c>
      <c r="FF162" s="118">
        <f>FF160-FF161</f>
        <v>2028</v>
      </c>
      <c r="FG162" s="98">
        <f t="shared" si="899"/>
        <v>0.39603960396039639</v>
      </c>
      <c r="FH162" s="118">
        <f>FH160-FH161</f>
        <v>2215</v>
      </c>
      <c r="FI162" s="98">
        <f t="shared" si="900"/>
        <v>9.220907297830383</v>
      </c>
      <c r="FJ162" s="118">
        <f>FJ160-FJ161</f>
        <v>2136</v>
      </c>
      <c r="FK162" s="98">
        <f t="shared" si="901"/>
        <v>-3.5665914221219008</v>
      </c>
      <c r="FL162" s="118">
        <f>FL160-FL161</f>
        <v>2209</v>
      </c>
      <c r="FM162" s="98">
        <f t="shared" si="902"/>
        <v>3.4176029962546872</v>
      </c>
      <c r="FN162" s="118">
        <f>FN160-FN161</f>
        <v>2490</v>
      </c>
      <c r="FO162" s="98">
        <f t="shared" si="903"/>
        <v>12.720688094160248</v>
      </c>
      <c r="FP162" s="118">
        <f>FP160-FP161</f>
        <v>3083</v>
      </c>
      <c r="FQ162" s="98">
        <f t="shared" si="904"/>
        <v>23.815261044176705</v>
      </c>
      <c r="FR162" s="119">
        <f>FR160-FR161</f>
        <v>3568</v>
      </c>
      <c r="FS162" s="120">
        <f t="shared" si="905"/>
        <v>15.731430424910808</v>
      </c>
      <c r="FT162" s="119">
        <f>FT160-FT161</f>
        <v>3801</v>
      </c>
      <c r="FU162" s="120">
        <f t="shared" si="994"/>
        <v>6.5302690582959677</v>
      </c>
      <c r="FV162" s="119">
        <f>FV160-FV161</f>
        <v>3576</v>
      </c>
      <c r="FW162" s="98">
        <f t="shared" si="906"/>
        <v>-5.9194948697711141</v>
      </c>
      <c r="FX162" s="485">
        <f>FX160-FX161</f>
        <v>3056</v>
      </c>
      <c r="FY162" s="98">
        <f t="shared" si="907"/>
        <v>-14.541387024608499</v>
      </c>
      <c r="FZ162" s="119">
        <f>FZ160-FZ161</f>
        <v>3509</v>
      </c>
      <c r="GA162" s="98">
        <f t="shared" si="908"/>
        <v>14.823298429319376</v>
      </c>
      <c r="GB162" s="485">
        <f>GB160-GB161</f>
        <v>4183</v>
      </c>
      <c r="GC162" s="98">
        <f t="shared" si="909"/>
        <v>19.207751496152746</v>
      </c>
      <c r="GD162" s="119">
        <f>GD160-GD161</f>
        <v>4345</v>
      </c>
      <c r="GE162" s="98">
        <f t="shared" si="910"/>
        <v>3.8728185512789892</v>
      </c>
      <c r="GF162" s="119">
        <f>GF160-GF161</f>
        <v>4388</v>
      </c>
      <c r="GG162" s="98">
        <f t="shared" si="910"/>
        <v>0.98964326812427394</v>
      </c>
      <c r="GH162" s="119">
        <f>GH160-GH161</f>
        <v>4544</v>
      </c>
      <c r="GI162" s="98">
        <f t="shared" si="910"/>
        <v>3.555150410209662</v>
      </c>
      <c r="GJ162" s="119">
        <f>GJ160-GJ161</f>
        <v>3838</v>
      </c>
      <c r="GK162" s="98">
        <f t="shared" si="910"/>
        <v>-15.536971830985912</v>
      </c>
      <c r="GL162" s="119">
        <f>GL160-GL161</f>
        <v>3787</v>
      </c>
      <c r="GM162" s="98">
        <f t="shared" si="910"/>
        <v>-1.3288170922355347</v>
      </c>
      <c r="GN162" s="119">
        <f>GN160-GN161</f>
        <v>3771</v>
      </c>
      <c r="GO162" s="98">
        <f t="shared" si="910"/>
        <v>-0.42249801954052923</v>
      </c>
      <c r="GP162" s="119">
        <f>GP160-GP161</f>
        <v>3748.2882026996649</v>
      </c>
      <c r="GQ162" s="98">
        <f t="shared" si="910"/>
        <v>-0.60227518696195359</v>
      </c>
      <c r="GR162" s="118">
        <f>GR160-GR161</f>
        <v>3775.1927692745976</v>
      </c>
      <c r="GS162" s="98">
        <f t="shared" si="910"/>
        <v>0.71778276162315358</v>
      </c>
      <c r="GT162" s="118">
        <f>GT160-GT161</f>
        <v>3869.6652921224772</v>
      </c>
      <c r="GU162" s="98">
        <f t="shared" si="910"/>
        <v>2.50245559953306</v>
      </c>
      <c r="GV162" s="118">
        <f>GV160-GV161</f>
        <v>3989.1808615154296</v>
      </c>
      <c r="GW162" s="98">
        <f t="shared" si="910"/>
        <v>3.0885247268349403</v>
      </c>
      <c r="GX162" s="118">
        <f>GX160-GX161</f>
        <v>4119.1161145437263</v>
      </c>
      <c r="GY162" s="98">
        <f t="shared" si="911"/>
        <v>3.2571913267160468</v>
      </c>
      <c r="GZ162" s="98">
        <f t="shared" si="912"/>
        <v>1.7816531425327131</v>
      </c>
      <c r="HA162" s="98"/>
      <c r="HB162" s="10"/>
      <c r="HC162"/>
      <c r="HD162"/>
      <c r="HE162"/>
      <c r="HF162"/>
      <c r="HG162"/>
      <c r="HH162"/>
      <c r="HI162" s="10"/>
    </row>
    <row r="163" spans="1:217" s="2" customFormat="1" ht="12.75" customHeight="1" x14ac:dyDescent="0.2">
      <c r="B163" s="91" t="s">
        <v>537</v>
      </c>
      <c r="C163" s="173">
        <v>79</v>
      </c>
      <c r="D163" s="156"/>
      <c r="E163" s="173">
        <v>84</v>
      </c>
      <c r="F163" s="156"/>
      <c r="G163" s="173">
        <v>81</v>
      </c>
      <c r="H163" s="156"/>
      <c r="I163" s="173">
        <v>56</v>
      </c>
      <c r="J163" s="156"/>
      <c r="K163" s="173">
        <v>79</v>
      </c>
      <c r="L163" s="156">
        <f t="shared" si="924"/>
        <v>0</v>
      </c>
      <c r="M163" s="173">
        <v>72</v>
      </c>
      <c r="N163" s="156">
        <f t="shared" si="925"/>
        <v>-14.28571428571429</v>
      </c>
      <c r="O163" s="173">
        <v>63</v>
      </c>
      <c r="P163" s="156">
        <f t="shared" si="926"/>
        <v>-22.222222222222221</v>
      </c>
      <c r="Q163" s="173">
        <v>92</v>
      </c>
      <c r="R163" s="156">
        <f t="shared" si="927"/>
        <v>64.285714285714278</v>
      </c>
      <c r="S163" s="173">
        <v>70</v>
      </c>
      <c r="T163" s="156">
        <f t="shared" si="928"/>
        <v>-11.392405063291145</v>
      </c>
      <c r="U163" s="173">
        <v>62</v>
      </c>
      <c r="V163" s="156">
        <f t="shared" si="929"/>
        <v>-13.888888888888884</v>
      </c>
      <c r="W163" s="173">
        <v>55</v>
      </c>
      <c r="X163" s="156">
        <f t="shared" si="930"/>
        <v>-12.698412698412698</v>
      </c>
      <c r="Y163" s="173">
        <v>46</v>
      </c>
      <c r="Z163" s="156">
        <f t="shared" si="931"/>
        <v>-50</v>
      </c>
      <c r="AA163" s="173">
        <v>45</v>
      </c>
      <c r="AB163" s="156">
        <f t="shared" si="932"/>
        <v>-35.714285714285708</v>
      </c>
      <c r="AC163" s="173">
        <v>52</v>
      </c>
      <c r="AD163" s="156">
        <f t="shared" si="933"/>
        <v>-16.129032258064512</v>
      </c>
      <c r="AE163" s="173">
        <v>48</v>
      </c>
      <c r="AF163" s="156">
        <f t="shared" si="934"/>
        <v>-12.727272727272732</v>
      </c>
      <c r="AG163" s="173">
        <v>58</v>
      </c>
      <c r="AH163" s="156">
        <f t="shared" si="935"/>
        <v>26.086956521739136</v>
      </c>
      <c r="AI163" s="173">
        <v>57</v>
      </c>
      <c r="AJ163" s="156">
        <f t="shared" si="936"/>
        <v>26.666666666666661</v>
      </c>
      <c r="AK163" s="173">
        <v>55</v>
      </c>
      <c r="AL163" s="156">
        <f t="shared" si="937"/>
        <v>5.7692307692307709</v>
      </c>
      <c r="AM163" s="173">
        <v>58</v>
      </c>
      <c r="AN163" s="156">
        <f t="shared" si="938"/>
        <v>20.833333333333325</v>
      </c>
      <c r="AO163" s="173">
        <v>56</v>
      </c>
      <c r="AP163" s="156">
        <f t="shared" si="939"/>
        <v>-3.4482758620689613</v>
      </c>
      <c r="AQ163" s="173">
        <v>59</v>
      </c>
      <c r="AR163" s="156">
        <f t="shared" si="940"/>
        <v>3.5087719298245723</v>
      </c>
      <c r="AS163" s="173">
        <v>59</v>
      </c>
      <c r="AT163" s="156">
        <f t="shared" si="941"/>
        <v>7.2727272727272751</v>
      </c>
      <c r="AU163" s="173">
        <v>63</v>
      </c>
      <c r="AV163" s="156">
        <f t="shared" si="942"/>
        <v>8.6206896551724199</v>
      </c>
      <c r="AW163" s="173">
        <v>67</v>
      </c>
      <c r="AX163" s="156">
        <f t="shared" si="943"/>
        <v>19.642857142857139</v>
      </c>
      <c r="AY163" s="173">
        <v>62</v>
      </c>
      <c r="AZ163" s="156">
        <f t="shared" si="944"/>
        <v>5.0847457627118731</v>
      </c>
      <c r="BA163" s="173">
        <v>64</v>
      </c>
      <c r="BB163" s="156">
        <f t="shared" si="945"/>
        <v>8.4745762711864394</v>
      </c>
      <c r="BC163" s="173">
        <v>62</v>
      </c>
      <c r="BD163" s="156">
        <f t="shared" si="946"/>
        <v>-1.5873015873015928</v>
      </c>
      <c r="BE163" s="173">
        <v>67</v>
      </c>
      <c r="BF163" s="156">
        <f t="shared" si="947"/>
        <v>0</v>
      </c>
      <c r="BG163" s="173">
        <v>71</v>
      </c>
      <c r="BH163" s="156">
        <f t="shared" si="948"/>
        <v>14.516129032258075</v>
      </c>
      <c r="BI163" s="173">
        <v>61</v>
      </c>
      <c r="BJ163" s="156">
        <f t="shared" si="949"/>
        <v>-4.6875</v>
      </c>
      <c r="BK163" s="173">
        <v>63</v>
      </c>
      <c r="BL163" s="156">
        <f t="shared" si="950"/>
        <v>1.6129032258064502</v>
      </c>
      <c r="BM163" s="173">
        <v>69</v>
      </c>
      <c r="BN163" s="98">
        <f t="shared" si="951"/>
        <v>2.9850746268656803</v>
      </c>
      <c r="BO163" s="122">
        <v>65</v>
      </c>
      <c r="BP163" s="98">
        <f t="shared" si="952"/>
        <v>-8.4507042253521121</v>
      </c>
      <c r="BQ163" s="122">
        <v>59</v>
      </c>
      <c r="BR163" s="98">
        <f t="shared" si="953"/>
        <v>-3.2786885245901676</v>
      </c>
      <c r="BS163" s="122">
        <v>103</v>
      </c>
      <c r="BT163" s="98">
        <f t="shared" si="954"/>
        <v>63.492063492063487</v>
      </c>
      <c r="BU163" s="122">
        <v>86</v>
      </c>
      <c r="BV163" s="98">
        <f t="shared" si="955"/>
        <v>24.637681159420289</v>
      </c>
      <c r="BW163" s="122">
        <v>69</v>
      </c>
      <c r="BX163" s="98">
        <f t="shared" si="956"/>
        <v>6.1538461538461542</v>
      </c>
      <c r="BY163" s="122">
        <v>69</v>
      </c>
      <c r="BZ163" s="98">
        <f t="shared" si="957"/>
        <v>16.949152542372879</v>
      </c>
      <c r="CA163" s="122">
        <v>34</v>
      </c>
      <c r="CB163" s="98" t="str">
        <f t="shared" si="958"/>
        <v>NM</v>
      </c>
      <c r="CC163" s="122">
        <v>67</v>
      </c>
      <c r="CD163" s="98">
        <f t="shared" si="959"/>
        <v>-22.093023255813947</v>
      </c>
      <c r="CE163" s="122">
        <v>63</v>
      </c>
      <c r="CF163" s="98">
        <f t="shared" si="960"/>
        <v>-8.6956521739130483</v>
      </c>
      <c r="CG163" s="122">
        <v>59</v>
      </c>
      <c r="CH163" s="98">
        <f t="shared" si="961"/>
        <v>-14.492753623188403</v>
      </c>
      <c r="CI163" s="122">
        <v>59</v>
      </c>
      <c r="CJ163" s="98">
        <f t="shared" si="962"/>
        <v>73.529411764705884</v>
      </c>
      <c r="CK163" s="122">
        <v>65</v>
      </c>
      <c r="CL163" s="98">
        <f t="shared" si="963"/>
        <v>-2.9850746268656692</v>
      </c>
      <c r="CM163" s="122">
        <v>60</v>
      </c>
      <c r="CN163" s="98">
        <f t="shared" si="964"/>
        <v>-4.7619047619047672</v>
      </c>
      <c r="CO163" s="122">
        <v>61</v>
      </c>
      <c r="CP163" s="98">
        <f t="shared" si="965"/>
        <v>3.3898305084745672</v>
      </c>
      <c r="CQ163" s="547">
        <v>61</v>
      </c>
      <c r="CR163" s="98">
        <f t="shared" si="966"/>
        <v>3.3898305084745672</v>
      </c>
      <c r="CS163" s="122">
        <v>67</v>
      </c>
      <c r="CT163" s="98">
        <f t="shared" si="967"/>
        <v>3.076923076923066</v>
      </c>
      <c r="CU163" s="122">
        <v>64</v>
      </c>
      <c r="CV163" s="98">
        <f t="shared" si="968"/>
        <v>6.6666666666666652</v>
      </c>
      <c r="CW163" s="122">
        <v>65</v>
      </c>
      <c r="CX163" s="98">
        <f t="shared" si="969"/>
        <v>6.5573770491803351</v>
      </c>
      <c r="CY163" s="122">
        <v>64</v>
      </c>
      <c r="CZ163" s="98">
        <f t="shared" si="970"/>
        <v>4.9180327868852514</v>
      </c>
      <c r="DA163" s="122">
        <v>66</v>
      </c>
      <c r="DB163" s="98">
        <f t="shared" si="971"/>
        <v>-1.4925373134328401</v>
      </c>
      <c r="DC163" s="122">
        <v>73</v>
      </c>
      <c r="DD163" s="98">
        <f t="shared" si="972"/>
        <v>14.0625</v>
      </c>
      <c r="DE163" s="122">
        <v>67</v>
      </c>
      <c r="DF163" s="98">
        <f t="shared" si="973"/>
        <v>3.076923076923066</v>
      </c>
      <c r="DG163" s="122">
        <v>68</v>
      </c>
      <c r="DH163" s="98">
        <f t="shared" si="974"/>
        <v>6.25</v>
      </c>
      <c r="DI163" s="122">
        <v>70</v>
      </c>
      <c r="DJ163" s="98">
        <f t="shared" si="975"/>
        <v>6.0606060606060552</v>
      </c>
      <c r="DK163" s="122">
        <v>68</v>
      </c>
      <c r="DL163" s="98">
        <f t="shared" si="976"/>
        <v>-6.8493150684931559</v>
      </c>
      <c r="DM163" s="122">
        <v>75</v>
      </c>
      <c r="DN163" s="98">
        <f t="shared" si="977"/>
        <v>11.940298507462677</v>
      </c>
      <c r="DO163" s="122">
        <v>71</v>
      </c>
      <c r="DP163" s="98">
        <f t="shared" si="977"/>
        <v>4.4117647058823595</v>
      </c>
      <c r="DQ163" s="122">
        <v>72</v>
      </c>
      <c r="DR163" s="98">
        <f t="shared" si="977"/>
        <v>2.857142857142847</v>
      </c>
      <c r="DS163" s="122">
        <v>72</v>
      </c>
      <c r="DT163" s="98">
        <f t="shared" si="977"/>
        <v>5.8823529411764719</v>
      </c>
      <c r="DU163" s="122">
        <v>77</v>
      </c>
      <c r="DV163" s="98">
        <f t="shared" si="977"/>
        <v>2.6666666666666616</v>
      </c>
      <c r="DW163" s="122">
        <v>69</v>
      </c>
      <c r="DX163" s="98">
        <f t="shared" si="977"/>
        <v>-2.8169014084507005</v>
      </c>
      <c r="DY163" s="122">
        <v>69</v>
      </c>
      <c r="DZ163" s="98">
        <f t="shared" si="977"/>
        <v>-4.1666666666666625</v>
      </c>
      <c r="EA163" s="122">
        <v>70</v>
      </c>
      <c r="EB163" s="98">
        <f t="shared" si="978"/>
        <v>-2.777777777777779</v>
      </c>
      <c r="EC163" s="122">
        <v>72</v>
      </c>
      <c r="ED163" s="98">
        <f t="shared" si="979"/>
        <v>-6.4935064935064961</v>
      </c>
      <c r="EE163" s="122">
        <v>73</v>
      </c>
      <c r="EF163" s="860">
        <f t="shared" si="980"/>
        <v>5.7971014492753659</v>
      </c>
      <c r="EG163" s="122">
        <v>73</v>
      </c>
      <c r="EH163" s="860">
        <f t="shared" si="981"/>
        <v>5.7971014492753659</v>
      </c>
      <c r="EI163" s="122">
        <v>72</v>
      </c>
      <c r="EJ163" s="860">
        <f t="shared" si="982"/>
        <v>2.857142857142847</v>
      </c>
      <c r="EK163" s="122">
        <v>72</v>
      </c>
      <c r="EL163" s="860">
        <f t="shared" si="983"/>
        <v>0</v>
      </c>
      <c r="EM163" s="122">
        <v>73</v>
      </c>
      <c r="EN163" s="860">
        <f t="shared" si="984"/>
        <v>0</v>
      </c>
      <c r="EO163" s="122">
        <v>73</v>
      </c>
      <c r="EP163" s="98">
        <f t="shared" si="985"/>
        <v>0</v>
      </c>
      <c r="EQ163" s="952">
        <f>EI163*1.04</f>
        <v>74.88</v>
      </c>
      <c r="ER163" s="98">
        <f t="shared" si="987"/>
        <v>4.0000000000000036</v>
      </c>
      <c r="ES163" s="952">
        <f t="shared" ref="ES163" si="1003">EK163*1.04</f>
        <v>74.88</v>
      </c>
      <c r="ET163" s="98">
        <f t="shared" si="989"/>
        <v>4.0000000000000036</v>
      </c>
      <c r="EU163" s="952">
        <f t="shared" ref="EU163" si="1004">EM163*1.04</f>
        <v>75.92</v>
      </c>
      <c r="EV163" s="98">
        <f t="shared" si="991"/>
        <v>4.0000000000000036</v>
      </c>
      <c r="EW163" s="952">
        <f t="shared" ref="EW163" si="1005">EO163*1.04</f>
        <v>75.92</v>
      </c>
      <c r="EX163" s="98">
        <f t="shared" si="993"/>
        <v>4.0000000000000036</v>
      </c>
      <c r="EY163" s="121"/>
      <c r="EZ163" s="594"/>
      <c r="FA163" s="405"/>
      <c r="FB163" s="177">
        <v>283</v>
      </c>
      <c r="FC163" s="98"/>
      <c r="FD163" s="122">
        <v>327</v>
      </c>
      <c r="FE163" s="98">
        <f t="shared" si="898"/>
        <v>15.547703180212014</v>
      </c>
      <c r="FF163" s="118">
        <f>C163+E163+G163+I163</f>
        <v>300</v>
      </c>
      <c r="FG163" s="98">
        <f t="shared" si="899"/>
        <v>-8.2568807339449499</v>
      </c>
      <c r="FH163" s="118">
        <f>K163+M163+O163+Q163</f>
        <v>306</v>
      </c>
      <c r="FI163" s="98">
        <f t="shared" si="900"/>
        <v>2.0000000000000018</v>
      </c>
      <c r="FJ163" s="118">
        <f>S163+U163+W163+Y163</f>
        <v>233</v>
      </c>
      <c r="FK163" s="98">
        <f t="shared" si="901"/>
        <v>-23.856209150326801</v>
      </c>
      <c r="FL163" s="118">
        <f>AA163+AC163+AE163+AG163</f>
        <v>203</v>
      </c>
      <c r="FM163" s="98">
        <f t="shared" si="902"/>
        <v>-12.8755364806867</v>
      </c>
      <c r="FN163" s="118">
        <f>AI163+AK163+AM163+AO163</f>
        <v>226</v>
      </c>
      <c r="FO163" s="98">
        <f t="shared" si="903"/>
        <v>11.33004926108374</v>
      </c>
      <c r="FP163" s="118">
        <f>AQ163+AS163+AU163+AW163</f>
        <v>248</v>
      </c>
      <c r="FQ163" s="98">
        <f t="shared" si="904"/>
        <v>9.7345132743362761</v>
      </c>
      <c r="FR163" s="119">
        <f>AY163+BA163+BC163+BE163</f>
        <v>255</v>
      </c>
      <c r="FS163" s="120">
        <f t="shared" si="905"/>
        <v>2.8225806451612989</v>
      </c>
      <c r="FT163" s="119">
        <f>BG163+BI163+BK163+BM163</f>
        <v>264</v>
      </c>
      <c r="FU163" s="120">
        <f t="shared" si="994"/>
        <v>3.529411764705892</v>
      </c>
      <c r="FV163" s="121">
        <v>359</v>
      </c>
      <c r="FW163" s="98">
        <f t="shared" si="906"/>
        <v>35.984848484848484</v>
      </c>
      <c r="FX163" s="485">
        <f>BW163+BY163+CA163+CC163</f>
        <v>239</v>
      </c>
      <c r="FY163" s="98">
        <f t="shared" si="907"/>
        <v>-33.426183844011135</v>
      </c>
      <c r="FZ163" s="119">
        <f>CE163+CG163+CI163+CK163</f>
        <v>246</v>
      </c>
      <c r="GA163" s="98">
        <f t="shared" si="908"/>
        <v>2.9288702928870203</v>
      </c>
      <c r="GB163" s="485">
        <f>CM163+CO163+CQ163+CS163</f>
        <v>249</v>
      </c>
      <c r="GC163" s="98">
        <f t="shared" si="909"/>
        <v>1.2195121951219523</v>
      </c>
      <c r="GD163" s="119">
        <f>CU163+CW163+CY163+DA163</f>
        <v>259</v>
      </c>
      <c r="GE163" s="98">
        <f t="shared" si="910"/>
        <v>4.016064257028118</v>
      </c>
      <c r="GF163" s="119">
        <f>DC163+DE163+DG163+DI163</f>
        <v>278</v>
      </c>
      <c r="GG163" s="98">
        <f t="shared" si="910"/>
        <v>7.3359073359073435</v>
      </c>
      <c r="GH163" s="119">
        <f>DK163+DM163+DO163+DQ163</f>
        <v>286</v>
      </c>
      <c r="GI163" s="98">
        <f t="shared" si="910"/>
        <v>2.877697841726623</v>
      </c>
      <c r="GJ163" s="119">
        <f>DS163+DU163+DW163+DY163</f>
        <v>287</v>
      </c>
      <c r="GK163" s="98">
        <f t="shared" si="910"/>
        <v>0.34965034965035446</v>
      </c>
      <c r="GL163" s="119">
        <f>EA163+EC163+EE163+EG163</f>
        <v>288</v>
      </c>
      <c r="GM163" s="98">
        <f t="shared" si="910"/>
        <v>0.34843205574912606</v>
      </c>
      <c r="GN163" s="119">
        <f>EI163+EK163+EM163+EO163</f>
        <v>290</v>
      </c>
      <c r="GO163" s="98">
        <f t="shared" si="910"/>
        <v>0.69444444444444198</v>
      </c>
      <c r="GP163" s="119">
        <f>EQ163+ES163+EU163+EW163</f>
        <v>301.60000000000002</v>
      </c>
      <c r="GQ163" s="98">
        <f t="shared" si="910"/>
        <v>4.0000000000000036</v>
      </c>
      <c r="GR163" s="121">
        <f>GP163*1.04</f>
        <v>313.66400000000004</v>
      </c>
      <c r="GS163" s="98">
        <f t="shared" si="910"/>
        <v>4.0000000000000036</v>
      </c>
      <c r="GT163" s="121">
        <f>GR163*1.04</f>
        <v>326.21056000000004</v>
      </c>
      <c r="GU163" s="98">
        <f t="shared" si="910"/>
        <v>4.0000000000000036</v>
      </c>
      <c r="GV163" s="121">
        <f>GT163*1.04</f>
        <v>339.25898240000004</v>
      </c>
      <c r="GW163" s="98">
        <f t="shared" si="910"/>
        <v>4.0000000000000036</v>
      </c>
      <c r="GX163" s="121">
        <f>GV163*1.04</f>
        <v>352.82934169600003</v>
      </c>
      <c r="GY163" s="98">
        <f t="shared" si="911"/>
        <v>4.0000000000000036</v>
      </c>
      <c r="GZ163" s="98">
        <f t="shared" si="912"/>
        <v>4.0000000000000036</v>
      </c>
      <c r="HA163" s="98"/>
      <c r="HB163" s="10"/>
      <c r="HC163"/>
      <c r="HD163"/>
      <c r="HE163"/>
      <c r="HF163"/>
      <c r="HG163"/>
      <c r="HH163"/>
      <c r="HI163" s="10"/>
    </row>
    <row r="164" spans="1:217" s="2" customFormat="1" ht="12.75" customHeight="1" x14ac:dyDescent="0.2">
      <c r="A164" s="2" t="s">
        <v>606</v>
      </c>
      <c r="B164" s="131" t="s">
        <v>538</v>
      </c>
      <c r="C164" s="181">
        <f>+C163+C160+C158+C159</f>
        <v>853</v>
      </c>
      <c r="D164" s="156"/>
      <c r="E164" s="181">
        <f>+E163+E160+E158+E159</f>
        <v>942</v>
      </c>
      <c r="F164" s="156"/>
      <c r="G164" s="181">
        <f>+G163+G160+G158+G159</f>
        <v>931</v>
      </c>
      <c r="H164" s="156"/>
      <c r="I164" s="181">
        <f>+I163+I160+I158+I159</f>
        <v>977</v>
      </c>
      <c r="J164" s="156"/>
      <c r="K164" s="181">
        <f>+K163+K160+K158+K159</f>
        <v>921</v>
      </c>
      <c r="L164" s="156">
        <f t="shared" si="924"/>
        <v>7.9718640093786597</v>
      </c>
      <c r="M164" s="181">
        <f>+M163+M160+M158+M159</f>
        <v>813</v>
      </c>
      <c r="N164" s="156">
        <f t="shared" si="925"/>
        <v>-13.694267515923563</v>
      </c>
      <c r="O164" s="181">
        <f>+O163+O160+O158+O159</f>
        <v>906</v>
      </c>
      <c r="P164" s="156">
        <f t="shared" si="926"/>
        <v>-2.6852846401718589</v>
      </c>
      <c r="Q164" s="181">
        <f>+Q163+Q160+Q158+Q159</f>
        <v>912</v>
      </c>
      <c r="R164" s="156">
        <f t="shared" si="927"/>
        <v>-6.6530194472876119</v>
      </c>
      <c r="S164" s="181">
        <f>+S163+S160+S158+S159</f>
        <v>823</v>
      </c>
      <c r="T164" s="156">
        <f t="shared" si="928"/>
        <v>-10.640608034744847</v>
      </c>
      <c r="U164" s="181">
        <f>+U163+U160+U158+U159</f>
        <v>1123</v>
      </c>
      <c r="V164" s="156">
        <f t="shared" si="929"/>
        <v>38.130381303813031</v>
      </c>
      <c r="W164" s="181">
        <f>+W163+W160+W158+W159</f>
        <v>896</v>
      </c>
      <c r="X164" s="156">
        <f t="shared" si="930"/>
        <v>-1.103752759381893</v>
      </c>
      <c r="Y164" s="181">
        <f>+Y163+Y160+Y158+Y159</f>
        <v>977</v>
      </c>
      <c r="Z164" s="156">
        <f t="shared" si="931"/>
        <v>7.1271929824561431</v>
      </c>
      <c r="AA164" s="181">
        <f>+AA163+AA160+AA158+AA159</f>
        <v>861</v>
      </c>
      <c r="AB164" s="156">
        <f t="shared" si="932"/>
        <v>4.6172539489671927</v>
      </c>
      <c r="AC164" s="181">
        <f>+AC163+AC160+AC158+AC159</f>
        <v>1077</v>
      </c>
      <c r="AD164" s="156">
        <f t="shared" si="933"/>
        <v>-4.0961709706144216</v>
      </c>
      <c r="AE164" s="181">
        <f>+AE163+AE160+AE158+AE159</f>
        <v>990</v>
      </c>
      <c r="AF164" s="156">
        <f t="shared" si="934"/>
        <v>10.49107142857142</v>
      </c>
      <c r="AG164" s="181">
        <f>+AG163+AG160+AG158+AG159</f>
        <v>1095</v>
      </c>
      <c r="AH164" s="156">
        <f t="shared" si="935"/>
        <v>12.077789150460582</v>
      </c>
      <c r="AI164" s="181">
        <f>+AI163+AI160+AI158+AI159</f>
        <v>1057</v>
      </c>
      <c r="AJ164" s="156">
        <f t="shared" si="936"/>
        <v>22.764227642276413</v>
      </c>
      <c r="AK164" s="181">
        <f>+AK163+AK160+AK158+AK159</f>
        <v>1024</v>
      </c>
      <c r="AL164" s="156">
        <f t="shared" si="937"/>
        <v>-4.9210770659238623</v>
      </c>
      <c r="AM164" s="181">
        <f>+AM163+AM160+AM158+AM159</f>
        <v>1347</v>
      </c>
      <c r="AN164" s="156">
        <f t="shared" si="938"/>
        <v>36.060606060606062</v>
      </c>
      <c r="AO164" s="181">
        <f>+AO163+AO160+AO158+AO159</f>
        <v>1193</v>
      </c>
      <c r="AP164" s="156">
        <f t="shared" si="939"/>
        <v>8.9497716894977088</v>
      </c>
      <c r="AQ164" s="181">
        <f>+AQ163+AQ160+AQ158+AQ159</f>
        <v>1407</v>
      </c>
      <c r="AR164" s="156">
        <f t="shared" si="940"/>
        <v>33.112582781456943</v>
      </c>
      <c r="AS164" s="181">
        <f>+AS163+AS160+AS158+AS159</f>
        <v>1374</v>
      </c>
      <c r="AT164" s="156">
        <f t="shared" si="941"/>
        <v>34.1796875</v>
      </c>
      <c r="AU164" s="181">
        <f>+AU163+AU160+AU158+AU159</f>
        <v>1880</v>
      </c>
      <c r="AV164" s="156">
        <f t="shared" si="942"/>
        <v>39.569413511507044</v>
      </c>
      <c r="AW164" s="181">
        <f>+AW163+AW160+AW158+AW159</f>
        <v>1577</v>
      </c>
      <c r="AX164" s="156">
        <f t="shared" si="943"/>
        <v>32.187761944677277</v>
      </c>
      <c r="AY164" s="181">
        <f>+AY163+AY160+AY158+AY159</f>
        <v>1727</v>
      </c>
      <c r="AZ164" s="156">
        <f t="shared" si="944"/>
        <v>22.743425728500366</v>
      </c>
      <c r="BA164" s="181">
        <f>+BA163+BA160+BA158+BA159</f>
        <v>1683</v>
      </c>
      <c r="BB164" s="156">
        <f t="shared" si="945"/>
        <v>22.489082969432307</v>
      </c>
      <c r="BC164" s="181">
        <f>+BC163+BC160+BC158+BC159</f>
        <v>1889</v>
      </c>
      <c r="BD164" s="156">
        <f t="shared" si="946"/>
        <v>0.47872340425532123</v>
      </c>
      <c r="BE164" s="181">
        <f>+BE163+BE160+BE158+BE159</f>
        <v>2009</v>
      </c>
      <c r="BF164" s="156">
        <f t="shared" si="947"/>
        <v>27.393785668991754</v>
      </c>
      <c r="BG164" s="181">
        <f>+BG163+BG160+BG158+BG159</f>
        <v>1851</v>
      </c>
      <c r="BH164" s="156">
        <f t="shared" si="948"/>
        <v>7.1800810654313763</v>
      </c>
      <c r="BI164" s="181">
        <f>+BI163+BI160+BI158+BI159</f>
        <v>1938</v>
      </c>
      <c r="BJ164" s="156">
        <f t="shared" si="949"/>
        <v>15.151515151515159</v>
      </c>
      <c r="BK164" s="181">
        <f>+BK163+BK160+BK158+BK159</f>
        <v>1940</v>
      </c>
      <c r="BL164" s="156">
        <f t="shared" si="950"/>
        <v>2.6998411858125904</v>
      </c>
      <c r="BM164" s="181">
        <f>+BM163+BM160+BM158+BM159</f>
        <v>2022</v>
      </c>
      <c r="BN164" s="98">
        <f t="shared" si="951"/>
        <v>0.64708810353408808</v>
      </c>
      <c r="BO164" s="182">
        <f>+BO163+BO160+BO158+BO159</f>
        <v>2110</v>
      </c>
      <c r="BP164" s="98">
        <f t="shared" si="952"/>
        <v>13.992436520799579</v>
      </c>
      <c r="BQ164" s="182">
        <f>+BQ163+BQ160+BQ158+BQ159</f>
        <v>1958</v>
      </c>
      <c r="BR164" s="98">
        <f t="shared" si="953"/>
        <v>1.031991744066052</v>
      </c>
      <c r="BS164" s="182">
        <f>+BS163+BS160+BS158+BS159</f>
        <v>2458</v>
      </c>
      <c r="BT164" s="98">
        <f t="shared" si="954"/>
        <v>26.701030927835046</v>
      </c>
      <c r="BU164" s="182">
        <f>+BU163+BU160+BU158+BU159</f>
        <v>2122</v>
      </c>
      <c r="BV164" s="98">
        <f t="shared" si="955"/>
        <v>4.9455984174085144</v>
      </c>
      <c r="BW164" s="182">
        <f>+BW163+BW160+BW158+BW159</f>
        <v>1544</v>
      </c>
      <c r="BX164" s="98">
        <f t="shared" si="956"/>
        <v>-26.824644549763033</v>
      </c>
      <c r="BY164" s="182">
        <f>+BY163+BY160+BY158+BY159</f>
        <v>2004</v>
      </c>
      <c r="BZ164" s="98">
        <f t="shared" si="957"/>
        <v>2.3493360572012234</v>
      </c>
      <c r="CA164" s="182">
        <f>+CA163+CA160+CA158+CA159</f>
        <v>1917</v>
      </c>
      <c r="CB164" s="98">
        <f t="shared" si="958"/>
        <v>-22.00976403580146</v>
      </c>
      <c r="CC164" s="182">
        <f>+CC163+CC160+CC158+CC159</f>
        <v>2119</v>
      </c>
      <c r="CD164" s="98">
        <f t="shared" si="959"/>
        <v>-0.1413760603204528</v>
      </c>
      <c r="CE164" s="182">
        <f>+CE163+CE160+CE158+CE159</f>
        <v>1980</v>
      </c>
      <c r="CF164" s="98">
        <f t="shared" si="960"/>
        <v>28.238341968911907</v>
      </c>
      <c r="CG164" s="182">
        <f>+CG163+CG160+CG158+CG159</f>
        <v>1823</v>
      </c>
      <c r="CH164" s="98">
        <f t="shared" si="961"/>
        <v>-9.0319361277445118</v>
      </c>
      <c r="CI164" s="182">
        <f>+CI163+CI160+CI158+CI159</f>
        <v>1735</v>
      </c>
      <c r="CJ164" s="98">
        <f t="shared" si="962"/>
        <v>-9.4940010432968176</v>
      </c>
      <c r="CK164" s="182">
        <f>+CK163+CK160+CK158+CK159</f>
        <v>1826</v>
      </c>
      <c r="CL164" s="98">
        <f t="shared" si="963"/>
        <v>-13.827277017461071</v>
      </c>
      <c r="CM164" s="182">
        <f>+CM163+CM160+CM158+CM159</f>
        <v>1923</v>
      </c>
      <c r="CN164" s="98">
        <f t="shared" si="964"/>
        <v>-2.8787878787878807</v>
      </c>
      <c r="CO164" s="182">
        <f>+CO163+CO160+CO158+CO159</f>
        <v>2401</v>
      </c>
      <c r="CP164" s="98">
        <f t="shared" si="965"/>
        <v>31.70597915523863</v>
      </c>
      <c r="CQ164" s="512">
        <f>+CQ163+CQ160+CQ158+CQ159</f>
        <v>2340</v>
      </c>
      <c r="CR164" s="98">
        <f t="shared" si="966"/>
        <v>34.870317002881833</v>
      </c>
      <c r="CS164" s="182">
        <f>+CS163+CS160+CS158+CS159</f>
        <v>2171</v>
      </c>
      <c r="CT164" s="98">
        <f t="shared" si="967"/>
        <v>18.89375684556407</v>
      </c>
      <c r="CU164" s="182">
        <f>+CU163+CU160+CU158+CU159</f>
        <v>2023</v>
      </c>
      <c r="CV164" s="98">
        <f t="shared" si="968"/>
        <v>5.2002080083203284</v>
      </c>
      <c r="CW164" s="182">
        <f>+CW163+CW160+CW158+CW159</f>
        <v>2076</v>
      </c>
      <c r="CX164" s="98">
        <f t="shared" si="969"/>
        <v>-13.536026655560185</v>
      </c>
      <c r="CY164" s="182">
        <f>+CY163+CY160+CY158+CY159</f>
        <v>1988</v>
      </c>
      <c r="CZ164" s="98">
        <f t="shared" si="970"/>
        <v>-15.042735042735044</v>
      </c>
      <c r="DA164" s="182">
        <f>+DA163+DA160+DA158+DA159</f>
        <v>3337</v>
      </c>
      <c r="DB164" s="98">
        <f t="shared" si="971"/>
        <v>53.707968678028564</v>
      </c>
      <c r="DC164" s="182">
        <f>+DC163+DC160+DC158+DC159</f>
        <v>1947</v>
      </c>
      <c r="DD164" s="98">
        <f t="shared" si="972"/>
        <v>-3.7567968363816151</v>
      </c>
      <c r="DE164" s="182">
        <f>+DE163+DE160+DE158+DE159</f>
        <v>2037</v>
      </c>
      <c r="DF164" s="98">
        <f t="shared" si="973"/>
        <v>-1.8786127167630062</v>
      </c>
      <c r="DG164" s="182">
        <f>+DG163+DG160+DG158+DG159</f>
        <v>1956</v>
      </c>
      <c r="DH164" s="98">
        <f t="shared" si="974"/>
        <v>-1.6096579476861161</v>
      </c>
      <c r="DI164" s="182">
        <f>+DI163+DI160+DI158+DI159</f>
        <v>2973</v>
      </c>
      <c r="DJ164" s="98">
        <f t="shared" si="975"/>
        <v>-10.90800119868145</v>
      </c>
      <c r="DK164" s="182">
        <f>+DK163+DK160+DK158+DK159</f>
        <v>1808</v>
      </c>
      <c r="DL164" s="98">
        <f t="shared" si="976"/>
        <v>-7.1391884951206963</v>
      </c>
      <c r="DM164" s="182">
        <f>+DM163+DM160+DM158+DM159</f>
        <v>2229</v>
      </c>
      <c r="DN164" s="98">
        <f t="shared" si="977"/>
        <v>9.4256259204712922</v>
      </c>
      <c r="DO164" s="182">
        <f>+DO163+DO160+DO158+DO159</f>
        <v>2046</v>
      </c>
      <c r="DP164" s="98">
        <f t="shared" si="977"/>
        <v>4.6012269938650263</v>
      </c>
      <c r="DQ164" s="182">
        <f>+DQ163+DQ160+DQ158+DQ159</f>
        <v>2881</v>
      </c>
      <c r="DR164" s="98">
        <f t="shared" si="977"/>
        <v>-3.0945173225697897</v>
      </c>
      <c r="DS164" s="182">
        <f>+DS163+DS160+DS158+DS159</f>
        <v>1745</v>
      </c>
      <c r="DT164" s="98">
        <f t="shared" si="977"/>
        <v>-3.4845132743362872</v>
      </c>
      <c r="DU164" s="182">
        <f>+DU163+DU160+DU158+DU159</f>
        <v>1768</v>
      </c>
      <c r="DV164" s="98">
        <f t="shared" si="977"/>
        <v>-20.681920143562138</v>
      </c>
      <c r="DW164" s="182">
        <f>+DW163+DW160+DW158+DW159</f>
        <v>2860</v>
      </c>
      <c r="DX164" s="98">
        <f t="shared" si="977"/>
        <v>39.784946236559151</v>
      </c>
      <c r="DY164" s="182">
        <f>+DY163+DY160+DY158+DY159</f>
        <v>2036</v>
      </c>
      <c r="DZ164" s="98">
        <f t="shared" si="977"/>
        <v>-29.330093717459217</v>
      </c>
      <c r="EA164" s="182">
        <f>+EA163+EA160+EA158+EA159</f>
        <v>1644</v>
      </c>
      <c r="EB164" s="98">
        <f t="shared" si="978"/>
        <v>-5.7879656160458426</v>
      </c>
      <c r="EC164" s="182">
        <f>+EC163+EC160+EC158+EC159</f>
        <v>1891</v>
      </c>
      <c r="ED164" s="98">
        <f t="shared" si="979"/>
        <v>6.957013574660631</v>
      </c>
      <c r="EE164" s="182">
        <f>+EE163+EE160+EE158+EE159</f>
        <v>2690</v>
      </c>
      <c r="EF164" s="860">
        <f t="shared" si="980"/>
        <v>-5.9440559440559486</v>
      </c>
      <c r="EG164" s="182">
        <f>+EG163+EG160+EG158+EG159</f>
        <v>2182</v>
      </c>
      <c r="EH164" s="860">
        <f t="shared" si="981"/>
        <v>7.1709233791748428</v>
      </c>
      <c r="EI164" s="182">
        <f>+EI163+EI160+EI158+EI159</f>
        <v>1764</v>
      </c>
      <c r="EJ164" s="860">
        <f t="shared" si="982"/>
        <v>7.2992700729926918</v>
      </c>
      <c r="EK164" s="182">
        <f>+EK163+EK160+EK158+EK159</f>
        <v>2492</v>
      </c>
      <c r="EL164" s="860">
        <f t="shared" si="983"/>
        <v>31.782125859333689</v>
      </c>
      <c r="EM164" s="182">
        <f>+EM163+EM160+EM158+EM159</f>
        <v>3735</v>
      </c>
      <c r="EN164" s="860">
        <f t="shared" si="984"/>
        <v>38.847583643122682</v>
      </c>
      <c r="EO164" s="182">
        <f>+EO163+EO160+EO158+EO159</f>
        <v>2320</v>
      </c>
      <c r="EP164" s="98">
        <f t="shared" si="985"/>
        <v>6.3244729605866246</v>
      </c>
      <c r="EQ164" s="1021">
        <f t="shared" ref="EQ164" si="1006">+EQ163+EQ160+EQ158+EQ159</f>
        <v>2547.5281314439421</v>
      </c>
      <c r="ER164" s="98">
        <f t="shared" si="987"/>
        <v>44.417694526300579</v>
      </c>
      <c r="ES164" s="1021">
        <f t="shared" ref="ES164" si="1007">+ES163+ES160+ES158+ES159</f>
        <v>2542.4840449416324</v>
      </c>
      <c r="ET164" s="98">
        <f t="shared" si="989"/>
        <v>2.0258445000655101</v>
      </c>
      <c r="EU164" s="1021">
        <f t="shared" ref="EU164" si="1008">+EU163+EU160+EU158+EU159</f>
        <v>2540.211486078751</v>
      </c>
      <c r="EV164" s="98">
        <f t="shared" si="991"/>
        <v>-31.988982969779091</v>
      </c>
      <c r="EW164" s="1021">
        <f t="shared" ref="EW164" si="1009">+EW163+EW160+EW158+EW159</f>
        <v>2536.4527759213447</v>
      </c>
      <c r="EX164" s="98">
        <f t="shared" si="993"/>
        <v>9.3298610310924346</v>
      </c>
      <c r="EY164" s="182"/>
      <c r="EZ164" s="594"/>
      <c r="FA164" s="405"/>
      <c r="FB164" s="182">
        <f>+FB163+FB160+FB158+FB159</f>
        <v>3598</v>
      </c>
      <c r="FC164" s="98"/>
      <c r="FD164" s="182">
        <f>+FD163+FD160+FD158+FD159</f>
        <v>3409</v>
      </c>
      <c r="FE164" s="98">
        <f t="shared" si="898"/>
        <v>-5.2529182879377467</v>
      </c>
      <c r="FF164" s="182">
        <f>+FF163+FF160+FF158+FF159</f>
        <v>3703</v>
      </c>
      <c r="FG164" s="98">
        <f t="shared" si="899"/>
        <v>8.6242299794661257</v>
      </c>
      <c r="FH164" s="182">
        <f>+FH163+FH160+FH158+FH159</f>
        <v>3552</v>
      </c>
      <c r="FI164" s="98">
        <f t="shared" si="900"/>
        <v>-4.0777747772076651</v>
      </c>
      <c r="FJ164" s="182">
        <f>+FJ163+FJ160+FJ158+FJ159</f>
        <v>3819</v>
      </c>
      <c r="FK164" s="98">
        <f t="shared" si="901"/>
        <v>7.5168918918918859</v>
      </c>
      <c r="FL164" s="182">
        <f>+FL163+FL160+FL158+FL159</f>
        <v>4023</v>
      </c>
      <c r="FM164" s="98">
        <f t="shared" si="902"/>
        <v>5.3417124901806723</v>
      </c>
      <c r="FN164" s="182">
        <f>+FN163+FN160+FN158+FN159</f>
        <v>4621</v>
      </c>
      <c r="FO164" s="98">
        <f t="shared" si="903"/>
        <v>14.864528958488687</v>
      </c>
      <c r="FP164" s="182">
        <f>+FP163+FP160+FP158+FP159</f>
        <v>6238</v>
      </c>
      <c r="FQ164" s="98">
        <f t="shared" si="904"/>
        <v>34.992425881843744</v>
      </c>
      <c r="FR164" s="197">
        <f>+FR163+FR160+FR158+FR159</f>
        <v>7308</v>
      </c>
      <c r="FS164" s="120">
        <f t="shared" si="905"/>
        <v>17.152933632574552</v>
      </c>
      <c r="FT164" s="197">
        <f>+FT163+FT160+FT158+FT159</f>
        <v>7751</v>
      </c>
      <c r="FU164" s="120">
        <f t="shared" si="994"/>
        <v>6.0618500273672771</v>
      </c>
      <c r="FV164" s="197">
        <f>+FV163+FV160+FV158+FV159</f>
        <v>9143</v>
      </c>
      <c r="FW164" s="98">
        <f t="shared" si="906"/>
        <v>17.958973035737323</v>
      </c>
      <c r="FX164" s="502">
        <f>+FX163+FX160+FX158+FX159</f>
        <v>7584</v>
      </c>
      <c r="FY164" s="98">
        <f t="shared" si="907"/>
        <v>-17.051296073498857</v>
      </c>
      <c r="FZ164" s="197">
        <f>+FZ163+FZ160+FZ158+FZ159</f>
        <v>7364</v>
      </c>
      <c r="GA164" s="98">
        <f t="shared" si="908"/>
        <v>-2.9008438818565407</v>
      </c>
      <c r="GB164" s="502">
        <f>+GB163+GB160+GB158+GB159</f>
        <v>8835</v>
      </c>
      <c r="GC164" s="98">
        <f t="shared" si="909"/>
        <v>19.975556762629012</v>
      </c>
      <c r="GD164" s="197">
        <f>+GD163+GD160+GD158+GD159</f>
        <v>9424</v>
      </c>
      <c r="GE164" s="98">
        <f t="shared" si="910"/>
        <v>6.6666666666666652</v>
      </c>
      <c r="GF164" s="197">
        <f>+GF163+GF160+GF158+GF159</f>
        <v>8913</v>
      </c>
      <c r="GG164" s="98">
        <f t="shared" si="910"/>
        <v>-5.4223259762309013</v>
      </c>
      <c r="GH164" s="197">
        <f>+GH163+GH160+GH158+GH159</f>
        <v>8964</v>
      </c>
      <c r="GI164" s="98">
        <f t="shared" si="910"/>
        <v>0.57219791316054369</v>
      </c>
      <c r="GJ164" s="197">
        <f>+GJ163+GJ160+GJ158+GJ159</f>
        <v>8409</v>
      </c>
      <c r="GK164" s="98">
        <f t="shared" si="910"/>
        <v>-6.1914323962516722</v>
      </c>
      <c r="GL164" s="197">
        <f>+GL163+GL160+GL158+GL159</f>
        <v>8407</v>
      </c>
      <c r="GM164" s="98">
        <f t="shared" si="910"/>
        <v>-2.3784040908547688E-2</v>
      </c>
      <c r="GN164" s="197">
        <f>+GN163+GN160+GN158+GN159</f>
        <v>10311</v>
      </c>
      <c r="GO164" s="98">
        <f t="shared" si="910"/>
        <v>22.64779350541215</v>
      </c>
      <c r="GP164" s="197">
        <f>+GP163+GP160+GP158+GP159</f>
        <v>10166.67643838567</v>
      </c>
      <c r="GQ164" s="98">
        <f t="shared" si="910"/>
        <v>-1.3997047969579124</v>
      </c>
      <c r="GR164" s="182">
        <f>+GR163+GR160+GR158+GR159</f>
        <v>10110.719277660566</v>
      </c>
      <c r="GS164" s="98">
        <f t="shared" si="910"/>
        <v>-0.55039777319783045</v>
      </c>
      <c r="GT164" s="182">
        <f>+GT163+GT160+GT158+GT159</f>
        <v>10242.214913804632</v>
      </c>
      <c r="GU164" s="98">
        <f t="shared" si="910"/>
        <v>1.3005566916945543</v>
      </c>
      <c r="GV164" s="182">
        <f>+GV163+GV160+GV158+GV159</f>
        <v>10474.258565516031</v>
      </c>
      <c r="GW164" s="98">
        <f t="shared" si="910"/>
        <v>2.2655612449475893</v>
      </c>
      <c r="GX164" s="182">
        <f>+GX163+GX160+GX158+GX159</f>
        <v>10770.430385462092</v>
      </c>
      <c r="GY164" s="98">
        <f t="shared" si="911"/>
        <v>2.8276160846471221</v>
      </c>
      <c r="GZ164" s="98">
        <f t="shared" si="912"/>
        <v>0.87567510484523048</v>
      </c>
      <c r="HA164" s="98"/>
      <c r="HB164" s="10"/>
      <c r="HC164"/>
      <c r="HD164"/>
      <c r="HE164"/>
      <c r="HF164"/>
      <c r="HG164"/>
      <c r="HH164"/>
      <c r="HI164" s="10"/>
    </row>
    <row r="165" spans="1:217" s="2" customFormat="1" ht="12.75" customHeight="1" x14ac:dyDescent="0.2">
      <c r="B165" s="179" t="s">
        <v>539</v>
      </c>
      <c r="C165" s="155">
        <f>C164-C161</f>
        <v>715</v>
      </c>
      <c r="D165" s="156"/>
      <c r="E165" s="155">
        <f>E164-E161</f>
        <v>792</v>
      </c>
      <c r="F165" s="156"/>
      <c r="G165" s="155">
        <f>G164-G161</f>
        <v>774</v>
      </c>
      <c r="H165" s="156"/>
      <c r="I165" s="155">
        <f>I164-I161</f>
        <v>820</v>
      </c>
      <c r="J165" s="156"/>
      <c r="K165" s="155">
        <f>K164-K161</f>
        <v>778</v>
      </c>
      <c r="L165" s="156">
        <f t="shared" si="924"/>
        <v>8.8111888111888081</v>
      </c>
      <c r="M165" s="155">
        <f>M164-M161</f>
        <v>675</v>
      </c>
      <c r="N165" s="156">
        <f t="shared" si="925"/>
        <v>-14.77272727272727</v>
      </c>
      <c r="O165" s="155">
        <f>O164-O161</f>
        <v>771</v>
      </c>
      <c r="P165" s="156">
        <f t="shared" si="926"/>
        <v>-0.38759689922480689</v>
      </c>
      <c r="Q165" s="155">
        <f>Q164-Q161</f>
        <v>779</v>
      </c>
      <c r="R165" s="156">
        <f t="shared" si="927"/>
        <v>-5.0000000000000044</v>
      </c>
      <c r="S165" s="155">
        <f>S164-S161</f>
        <v>697</v>
      </c>
      <c r="T165" s="156">
        <f t="shared" si="928"/>
        <v>-10.411311053984573</v>
      </c>
      <c r="U165" s="155">
        <f>U164-U161</f>
        <v>997</v>
      </c>
      <c r="V165" s="156">
        <f t="shared" si="929"/>
        <v>47.703703703703695</v>
      </c>
      <c r="W165" s="155">
        <f>W164-W161</f>
        <v>767</v>
      </c>
      <c r="X165" s="156">
        <f t="shared" si="930"/>
        <v>-0.5188067444876765</v>
      </c>
      <c r="Y165" s="155">
        <f>Y164-Y161</f>
        <v>851</v>
      </c>
      <c r="Z165" s="156">
        <f t="shared" si="931"/>
        <v>9.2426187419768944</v>
      </c>
      <c r="AA165" s="155">
        <f>AA164-AA161</f>
        <v>743</v>
      </c>
      <c r="AB165" s="156">
        <f t="shared" si="932"/>
        <v>6.5997130559540818</v>
      </c>
      <c r="AC165" s="155">
        <f>AC164-AC161</f>
        <v>953</v>
      </c>
      <c r="AD165" s="156">
        <f t="shared" si="933"/>
        <v>-4.4132397191574686</v>
      </c>
      <c r="AE165" s="155">
        <f>AE164-AE161</f>
        <v>869</v>
      </c>
      <c r="AF165" s="156">
        <f t="shared" si="934"/>
        <v>13.298565840938714</v>
      </c>
      <c r="AG165" s="155">
        <f>AG164-AG161</f>
        <v>966</v>
      </c>
      <c r="AH165" s="156">
        <f t="shared" si="935"/>
        <v>13.513513513513509</v>
      </c>
      <c r="AI165" s="155">
        <f>AI164-AI161</f>
        <v>925</v>
      </c>
      <c r="AJ165" s="156">
        <f t="shared" si="936"/>
        <v>24.495289367429351</v>
      </c>
      <c r="AK165" s="155">
        <f>AK164-AK161</f>
        <v>885</v>
      </c>
      <c r="AL165" s="156">
        <f t="shared" si="937"/>
        <v>-7.1353620146904495</v>
      </c>
      <c r="AM165" s="155">
        <f>AM164-AM161</f>
        <v>1192</v>
      </c>
      <c r="AN165" s="156">
        <f t="shared" si="938"/>
        <v>37.16915995397008</v>
      </c>
      <c r="AO165" s="155">
        <f>AO164-AO161</f>
        <v>1021</v>
      </c>
      <c r="AP165" s="156">
        <f t="shared" si="939"/>
        <v>5.6935817805382927</v>
      </c>
      <c r="AQ165" s="155">
        <f>AQ164-AQ161</f>
        <v>1205</v>
      </c>
      <c r="AR165" s="156">
        <f t="shared" si="940"/>
        <v>30.270270270270274</v>
      </c>
      <c r="AS165" s="155">
        <f>AS164-AS161</f>
        <v>1153</v>
      </c>
      <c r="AT165" s="156">
        <f t="shared" si="941"/>
        <v>30.282485875706211</v>
      </c>
      <c r="AU165" s="155">
        <f>AU164-AU161</f>
        <v>1491</v>
      </c>
      <c r="AV165" s="156">
        <f t="shared" si="942"/>
        <v>25.083892617449656</v>
      </c>
      <c r="AW165" s="155">
        <f>AW164-AW161</f>
        <v>1172</v>
      </c>
      <c r="AX165" s="156">
        <f t="shared" si="943"/>
        <v>14.789422135161612</v>
      </c>
      <c r="AY165" s="155">
        <f>AY164-AY161</f>
        <v>1267</v>
      </c>
      <c r="AZ165" s="156">
        <f t="shared" si="944"/>
        <v>5.1452282157676388</v>
      </c>
      <c r="BA165" s="155">
        <f>BA164-BA161</f>
        <v>1209</v>
      </c>
      <c r="BB165" s="156">
        <f t="shared" si="945"/>
        <v>4.8568950563746771</v>
      </c>
      <c r="BC165" s="155">
        <f>BC164-BC161</f>
        <v>1355</v>
      </c>
      <c r="BD165" s="156">
        <f t="shared" si="946"/>
        <v>-9.121395036887991</v>
      </c>
      <c r="BE165" s="155">
        <f>BE164-BE161</f>
        <v>1468</v>
      </c>
      <c r="BF165" s="156">
        <f t="shared" si="947"/>
        <v>25.255972696245731</v>
      </c>
      <c r="BG165" s="155">
        <f>BG164-BG161</f>
        <v>1281</v>
      </c>
      <c r="BH165" s="156">
        <f t="shared" si="948"/>
        <v>1.1049723756906049</v>
      </c>
      <c r="BI165" s="155">
        <f>BI164-BI161</f>
        <v>1326</v>
      </c>
      <c r="BJ165" s="156">
        <f t="shared" si="949"/>
        <v>9.6774193548387011</v>
      </c>
      <c r="BK165" s="155">
        <f>BK164-BK161</f>
        <v>1294</v>
      </c>
      <c r="BL165" s="156">
        <f t="shared" si="950"/>
        <v>-4.5018450184501795</v>
      </c>
      <c r="BM165" s="155">
        <f>BM164-BM161</f>
        <v>1397</v>
      </c>
      <c r="BN165" s="98">
        <f t="shared" si="951"/>
        <v>-4.8365122615803831</v>
      </c>
      <c r="BO165" s="117">
        <f>BO164-BO161</f>
        <v>1574</v>
      </c>
      <c r="BP165" s="98">
        <f t="shared" si="952"/>
        <v>22.872755659640909</v>
      </c>
      <c r="BQ165" s="117">
        <f>BQ164-BQ161</f>
        <v>1486</v>
      </c>
      <c r="BR165" s="98">
        <f t="shared" si="953"/>
        <v>12.06636500754148</v>
      </c>
      <c r="BS165" s="117">
        <f>BS164-BS161</f>
        <v>1962</v>
      </c>
      <c r="BT165" s="98">
        <f t="shared" si="954"/>
        <v>51.62287480680061</v>
      </c>
      <c r="BU165" s="117">
        <f>BU164-BU161</f>
        <v>1534</v>
      </c>
      <c r="BV165" s="98">
        <f t="shared" si="955"/>
        <v>9.8067287043664955</v>
      </c>
      <c r="BW165" s="117">
        <f>BW164-BW161</f>
        <v>1085</v>
      </c>
      <c r="BX165" s="98">
        <f t="shared" si="956"/>
        <v>-31.067344345616267</v>
      </c>
      <c r="BY165" s="117">
        <f>BY164-BY161</f>
        <v>1595</v>
      </c>
      <c r="BZ165" s="98">
        <f t="shared" si="957"/>
        <v>7.3351278600269243</v>
      </c>
      <c r="CA165" s="117">
        <f>CA164-CA161</f>
        <v>1527</v>
      </c>
      <c r="CB165" s="98">
        <f t="shared" si="958"/>
        <v>-22.171253822629964</v>
      </c>
      <c r="CC165" s="117">
        <f>CC164-CC161</f>
        <v>1744</v>
      </c>
      <c r="CD165" s="98">
        <f t="shared" si="959"/>
        <v>13.689700130378091</v>
      </c>
      <c r="CE165" s="117">
        <f>CE164-CE161</f>
        <v>1625</v>
      </c>
      <c r="CF165" s="98">
        <f t="shared" si="960"/>
        <v>49.769585253456228</v>
      </c>
      <c r="CG165" s="117">
        <f>CG164-CG161</f>
        <v>1459</v>
      </c>
      <c r="CH165" s="98">
        <f t="shared" si="961"/>
        <v>-8.5266457680250767</v>
      </c>
      <c r="CI165" s="117">
        <f>CI164-CI161</f>
        <v>1355</v>
      </c>
      <c r="CJ165" s="98">
        <f t="shared" si="962"/>
        <v>-11.263916175507527</v>
      </c>
      <c r="CK165" s="117">
        <f>CK164-CK161</f>
        <v>1480</v>
      </c>
      <c r="CL165" s="98">
        <f t="shared" si="963"/>
        <v>-15.13761467889908</v>
      </c>
      <c r="CM165" s="117">
        <f>CM164-CM161</f>
        <v>1588</v>
      </c>
      <c r="CN165" s="98">
        <f t="shared" si="964"/>
        <v>-2.2769230769230764</v>
      </c>
      <c r="CO165" s="117">
        <f>CO164-CO161</f>
        <v>2070</v>
      </c>
      <c r="CP165" s="98">
        <f t="shared" si="965"/>
        <v>41.877998629198075</v>
      </c>
      <c r="CQ165" s="486">
        <f>CQ164-CQ161</f>
        <v>2013</v>
      </c>
      <c r="CR165" s="98">
        <f t="shared" si="966"/>
        <v>48.560885608856097</v>
      </c>
      <c r="CS165" s="117">
        <f>CS164-CS161</f>
        <v>1841</v>
      </c>
      <c r="CT165" s="98">
        <f t="shared" si="967"/>
        <v>24.391891891891881</v>
      </c>
      <c r="CU165" s="117">
        <f>CU164-CU161</f>
        <v>1684</v>
      </c>
      <c r="CV165" s="98">
        <f t="shared" si="968"/>
        <v>6.0453400503778232</v>
      </c>
      <c r="CW165" s="117">
        <f>CW164-CW161</f>
        <v>1738</v>
      </c>
      <c r="CX165" s="98">
        <f t="shared" si="969"/>
        <v>-16.038647342995173</v>
      </c>
      <c r="CY165" s="117">
        <f>CY164-CY161</f>
        <v>1649</v>
      </c>
      <c r="CZ165" s="98">
        <f t="shared" si="970"/>
        <v>-18.082463984103324</v>
      </c>
      <c r="DA165" s="117">
        <f>DA164-DA161</f>
        <v>2995</v>
      </c>
      <c r="DB165" s="98">
        <f t="shared" si="971"/>
        <v>62.683324280282449</v>
      </c>
      <c r="DC165" s="117">
        <f>DC164-DC161</f>
        <v>1604</v>
      </c>
      <c r="DD165" s="98">
        <f t="shared" si="972"/>
        <v>-4.7505938242280337</v>
      </c>
      <c r="DE165" s="117">
        <f>DE164-DE161</f>
        <v>1732</v>
      </c>
      <c r="DF165" s="98">
        <f t="shared" si="973"/>
        <v>-0.34522439585730202</v>
      </c>
      <c r="DG165" s="117">
        <f>DG164-DG161</f>
        <v>1664</v>
      </c>
      <c r="DH165" s="98">
        <f t="shared" si="974"/>
        <v>0.90964220739842006</v>
      </c>
      <c r="DI165" s="117">
        <f>DI164-DI161</f>
        <v>2680</v>
      </c>
      <c r="DJ165" s="98">
        <f t="shared" si="975"/>
        <v>-10.517529215358934</v>
      </c>
      <c r="DK165" s="117">
        <f>DK164-DK161</f>
        <v>1530</v>
      </c>
      <c r="DL165" s="98">
        <f t="shared" si="976"/>
        <v>-4.6134663341645847</v>
      </c>
      <c r="DM165" s="117">
        <f>DM164-DM161</f>
        <v>1942</v>
      </c>
      <c r="DN165" s="98">
        <f t="shared" si="977"/>
        <v>12.12471131639723</v>
      </c>
      <c r="DO165" s="117">
        <f>DO164-DO161</f>
        <v>1767</v>
      </c>
      <c r="DP165" s="98">
        <f t="shared" si="977"/>
        <v>6.1899038461538547</v>
      </c>
      <c r="DQ165" s="117">
        <f>DQ164-DQ161</f>
        <v>2585</v>
      </c>
      <c r="DR165" s="98">
        <f t="shared" si="977"/>
        <v>-3.5447761194029814</v>
      </c>
      <c r="DS165" s="117">
        <f>DS164-DS161</f>
        <v>1480</v>
      </c>
      <c r="DT165" s="98">
        <f t="shared" si="977"/>
        <v>-3.2679738562091498</v>
      </c>
      <c r="DU165" s="117">
        <f>DU164-DU161</f>
        <v>1501</v>
      </c>
      <c r="DV165" s="98">
        <f t="shared" si="977"/>
        <v>-22.708547888774454</v>
      </c>
      <c r="DW165" s="117">
        <f>DW164-DW161</f>
        <v>2592</v>
      </c>
      <c r="DX165" s="98">
        <f t="shared" si="977"/>
        <v>46.689303904923605</v>
      </c>
      <c r="DY165" s="117">
        <f>DY164-DY161</f>
        <v>1759</v>
      </c>
      <c r="DZ165" s="98">
        <f t="shared" si="977"/>
        <v>-31.953578336557065</v>
      </c>
      <c r="EA165" s="117">
        <f>EA164-EA161</f>
        <v>1356</v>
      </c>
      <c r="EB165" s="98">
        <f t="shared" si="978"/>
        <v>-8.3783783783783825</v>
      </c>
      <c r="EC165" s="117">
        <f>EC164-EC161</f>
        <v>1602</v>
      </c>
      <c r="ED165" s="98">
        <f t="shared" si="979"/>
        <v>6.7288474350432947</v>
      </c>
      <c r="EE165" s="117">
        <f>EE164-EE161</f>
        <v>2403</v>
      </c>
      <c r="EF165" s="860">
        <f t="shared" si="980"/>
        <v>-7.2916666666666625</v>
      </c>
      <c r="EG165" s="117">
        <f>EG164-EG161</f>
        <v>1881</v>
      </c>
      <c r="EH165" s="860">
        <f t="shared" si="981"/>
        <v>6.93575895395111</v>
      </c>
      <c r="EI165" s="117">
        <f>EI164-EI161</f>
        <v>1447</v>
      </c>
      <c r="EJ165" s="860">
        <f t="shared" si="982"/>
        <v>6.7109144542772947</v>
      </c>
      <c r="EK165" s="117">
        <f>EK164-EK161</f>
        <v>2167</v>
      </c>
      <c r="EL165" s="860">
        <f t="shared" si="983"/>
        <v>35.268414481897636</v>
      </c>
      <c r="EM165" s="117">
        <f>EM164-EM161</f>
        <v>3393</v>
      </c>
      <c r="EN165" s="860">
        <f t="shared" si="984"/>
        <v>41.198501872659165</v>
      </c>
      <c r="EO165" s="117">
        <f>EO164-EO161</f>
        <v>1966</v>
      </c>
      <c r="EP165" s="98">
        <f t="shared" si="985"/>
        <v>4.5188729399255667</v>
      </c>
      <c r="EQ165" s="792">
        <f t="shared" ref="EQ165" si="1010">EQ164-EQ161</f>
        <v>2203.4318477932138</v>
      </c>
      <c r="ER165" s="98">
        <f t="shared" si="987"/>
        <v>52.275870614596663</v>
      </c>
      <c r="ES165" s="792">
        <f t="shared" ref="ES165" si="1011">ES164-ES161</f>
        <v>2196.5431986817516</v>
      </c>
      <c r="ET165" s="98">
        <f t="shared" si="989"/>
        <v>1.3633225049262343</v>
      </c>
      <c r="EU165" s="792">
        <f t="shared" ref="EU165" si="1012">EU164-EU161</f>
        <v>2192.7121838473668</v>
      </c>
      <c r="EV165" s="98">
        <f t="shared" si="991"/>
        <v>-35.375414563885442</v>
      </c>
      <c r="EW165" s="792">
        <f t="shared" ref="EW165" si="1013">EW164-EW161</f>
        <v>2187.636037201818</v>
      </c>
      <c r="EX165" s="98">
        <f t="shared" si="993"/>
        <v>11.273450518912419</v>
      </c>
      <c r="EY165" s="118"/>
      <c r="EZ165" s="594"/>
      <c r="FA165" s="405"/>
      <c r="FB165" s="118">
        <f>FB164-FB161</f>
        <v>2860</v>
      </c>
      <c r="FC165" s="98"/>
      <c r="FD165" s="117">
        <f>FD164-FD161</f>
        <v>2777</v>
      </c>
      <c r="FE165" s="98">
        <f t="shared" si="898"/>
        <v>-2.9020979020978999</v>
      </c>
      <c r="FF165" s="118">
        <f>FF164-FF161</f>
        <v>3101</v>
      </c>
      <c r="FG165" s="98">
        <f t="shared" si="899"/>
        <v>11.667266834713729</v>
      </c>
      <c r="FH165" s="118">
        <f>FH164-FH161</f>
        <v>3003</v>
      </c>
      <c r="FI165" s="98">
        <f t="shared" si="900"/>
        <v>-3.1602708803611712</v>
      </c>
      <c r="FJ165" s="118">
        <f>FJ164-FJ161</f>
        <v>3312</v>
      </c>
      <c r="FK165" s="98">
        <f t="shared" si="901"/>
        <v>10.289710289710285</v>
      </c>
      <c r="FL165" s="118">
        <f>FL164-FL161</f>
        <v>3531</v>
      </c>
      <c r="FM165" s="98">
        <f t="shared" si="902"/>
        <v>6.6123188405797118</v>
      </c>
      <c r="FN165" s="118">
        <f>FN164-FN161</f>
        <v>4023</v>
      </c>
      <c r="FO165" s="98">
        <f t="shared" si="903"/>
        <v>13.933729821580298</v>
      </c>
      <c r="FP165" s="118">
        <f>FP164-FP161</f>
        <v>5021</v>
      </c>
      <c r="FQ165" s="98">
        <f t="shared" si="904"/>
        <v>24.807357693263743</v>
      </c>
      <c r="FR165" s="119">
        <f>FR164-FR161</f>
        <v>5299</v>
      </c>
      <c r="FS165" s="120">
        <f t="shared" si="905"/>
        <v>5.5367456681935767</v>
      </c>
      <c r="FT165" s="119">
        <f>FT164-FT161</f>
        <v>5298</v>
      </c>
      <c r="FU165" s="120">
        <f t="shared" si="994"/>
        <v>-1.8871485185889547E-2</v>
      </c>
      <c r="FV165" s="119">
        <f>FV164-FV161</f>
        <v>6845</v>
      </c>
      <c r="FW165" s="98">
        <f t="shared" si="906"/>
        <v>29.199697999245</v>
      </c>
      <c r="FX165" s="485">
        <f>FX164-FX161</f>
        <v>5951</v>
      </c>
      <c r="FY165" s="98">
        <f t="shared" si="907"/>
        <v>-13.060628195763336</v>
      </c>
      <c r="FZ165" s="119">
        <f>FZ164-FZ161</f>
        <v>5919</v>
      </c>
      <c r="GA165" s="98">
        <f t="shared" si="908"/>
        <v>-0.53772475214249882</v>
      </c>
      <c r="GB165" s="485">
        <f>GB164-GB161</f>
        <v>7512</v>
      </c>
      <c r="GC165" s="98">
        <f t="shared" si="909"/>
        <v>26.913329954384182</v>
      </c>
      <c r="GD165" s="119">
        <f>GD164-GD161</f>
        <v>8066</v>
      </c>
      <c r="GE165" s="98">
        <f t="shared" si="910"/>
        <v>7.3748668796592032</v>
      </c>
      <c r="GF165" s="119">
        <f>GF164-GF161</f>
        <v>7680</v>
      </c>
      <c r="GG165" s="98">
        <f t="shared" si="910"/>
        <v>-4.7855194644185417</v>
      </c>
      <c r="GH165" s="119">
        <f>GH164-GH161</f>
        <v>7824</v>
      </c>
      <c r="GI165" s="98">
        <f t="shared" si="910"/>
        <v>1.8750000000000044</v>
      </c>
      <c r="GJ165" s="119">
        <f>GJ164-GJ161</f>
        <v>7332</v>
      </c>
      <c r="GK165" s="98">
        <f t="shared" si="910"/>
        <v>-6.2883435582822056</v>
      </c>
      <c r="GL165" s="119">
        <f>GL164-GL161</f>
        <v>7242</v>
      </c>
      <c r="GM165" s="98">
        <f t="shared" si="910"/>
        <v>-1.2274959083469761</v>
      </c>
      <c r="GN165" s="119">
        <f>GN164-GN161</f>
        <v>8973</v>
      </c>
      <c r="GO165" s="98">
        <f t="shared" si="910"/>
        <v>23.902236951118482</v>
      </c>
      <c r="GP165" s="119">
        <f>GP164-GP161</f>
        <v>8780.3232675241488</v>
      </c>
      <c r="GQ165" s="98">
        <f t="shared" si="910"/>
        <v>-2.1472944664644111</v>
      </c>
      <c r="GR165" s="118">
        <f>GR164-GR161</f>
        <v>8707.3211425804348</v>
      </c>
      <c r="GS165" s="98">
        <f t="shared" si="910"/>
        <v>-0.83142866975898233</v>
      </c>
      <c r="GT165" s="118">
        <f>GT164-GT161</f>
        <v>8796.405903561068</v>
      </c>
      <c r="GU165" s="98">
        <f t="shared" si="910"/>
        <v>1.0231018188245233</v>
      </c>
      <c r="GV165" s="118">
        <f>GV164-GV161</f>
        <v>8976.2580494311442</v>
      </c>
      <c r="GW165" s="98">
        <f t="shared" si="910"/>
        <v>2.0446094443784757</v>
      </c>
      <c r="GX165" s="118">
        <f>GX164-GX161</f>
        <v>9215.8328436094998</v>
      </c>
      <c r="GY165" s="98">
        <f t="shared" si="911"/>
        <v>2.6689829198207837</v>
      </c>
      <c r="GZ165" s="98">
        <f t="shared" si="912"/>
        <v>0.53548658849349451</v>
      </c>
      <c r="HA165" s="98"/>
      <c r="HB165" s="10"/>
      <c r="HC165"/>
      <c r="HD165"/>
      <c r="HE165"/>
      <c r="HF165"/>
      <c r="HG165"/>
      <c r="HH165"/>
      <c r="HI165" s="10"/>
    </row>
    <row r="166" spans="1:217" s="2" customFormat="1" ht="12.75" customHeight="1" x14ac:dyDescent="0.2">
      <c r="B166" s="91"/>
      <c r="C166" s="157"/>
      <c r="D166" s="156"/>
      <c r="E166" s="157"/>
      <c r="F166" s="156"/>
      <c r="G166" s="157"/>
      <c r="H166" s="156"/>
      <c r="I166" s="157"/>
      <c r="J166" s="156"/>
      <c r="K166" s="157"/>
      <c r="L166" s="156"/>
      <c r="M166" s="157"/>
      <c r="N166" s="156"/>
      <c r="O166" s="157"/>
      <c r="P166" s="156"/>
      <c r="Q166" s="157"/>
      <c r="R166" s="156"/>
      <c r="S166" s="157"/>
      <c r="T166" s="156"/>
      <c r="U166" s="157"/>
      <c r="V166" s="156"/>
      <c r="W166" s="157"/>
      <c r="X166" s="156"/>
      <c r="Y166" s="157"/>
      <c r="Z166" s="156"/>
      <c r="AA166" s="157"/>
      <c r="AB166" s="156"/>
      <c r="AC166" s="157"/>
      <c r="AD166" s="156"/>
      <c r="AE166" s="157"/>
      <c r="AF166" s="156"/>
      <c r="AG166" s="157"/>
      <c r="AH166" s="156"/>
      <c r="AI166" s="157"/>
      <c r="AJ166" s="156"/>
      <c r="AK166" s="157"/>
      <c r="AL166" s="156"/>
      <c r="AM166" s="157"/>
      <c r="AN166" s="156"/>
      <c r="AO166" s="157"/>
      <c r="AP166" s="156"/>
      <c r="AQ166" s="157"/>
      <c r="AR166" s="156"/>
      <c r="AS166" s="157"/>
      <c r="AT166" s="156"/>
      <c r="AU166" s="157"/>
      <c r="AV166" s="156"/>
      <c r="AW166" s="157"/>
      <c r="AX166" s="156"/>
      <c r="AY166" s="157"/>
      <c r="AZ166" s="156"/>
      <c r="BA166" s="157"/>
      <c r="BB166" s="156"/>
      <c r="BC166" s="157"/>
      <c r="BD166" s="156"/>
      <c r="BE166" s="157"/>
      <c r="BF166" s="156"/>
      <c r="BG166" s="157"/>
      <c r="BH166" s="156"/>
      <c r="BI166" s="157"/>
      <c r="BJ166" s="156"/>
      <c r="BK166" s="157"/>
      <c r="BL166" s="156"/>
      <c r="BM166" s="157"/>
      <c r="BN166" s="98"/>
      <c r="BO166" s="101"/>
      <c r="BP166" s="98"/>
      <c r="BQ166" s="101"/>
      <c r="BR166" s="98"/>
      <c r="BS166" s="101"/>
      <c r="BT166" s="98"/>
      <c r="BU166" s="101"/>
      <c r="BV166" s="98"/>
      <c r="BW166" s="101"/>
      <c r="BX166" s="98"/>
      <c r="BY166" s="101"/>
      <c r="BZ166" s="98"/>
      <c r="CA166" s="101"/>
      <c r="CB166" s="98"/>
      <c r="CC166" s="101"/>
      <c r="CD166" s="98"/>
      <c r="CE166" s="101"/>
      <c r="CF166" s="98"/>
      <c r="CG166" s="101"/>
      <c r="CH166" s="98"/>
      <c r="CI166" s="101"/>
      <c r="CJ166" s="98"/>
      <c r="CK166" s="101"/>
      <c r="CL166" s="98"/>
      <c r="CM166" s="101"/>
      <c r="CN166" s="98"/>
      <c r="CO166" s="101"/>
      <c r="CP166" s="98"/>
      <c r="CQ166" s="542"/>
      <c r="CR166" s="98"/>
      <c r="CS166" s="101"/>
      <c r="CT166" s="98"/>
      <c r="CU166" s="101"/>
      <c r="CV166" s="98"/>
      <c r="CW166" s="101"/>
      <c r="CX166" s="98"/>
      <c r="CY166" s="101"/>
      <c r="CZ166" s="98"/>
      <c r="DA166" s="101"/>
      <c r="DB166" s="98"/>
      <c r="DC166" s="101"/>
      <c r="DD166" s="98"/>
      <c r="DE166" s="101"/>
      <c r="DF166" s="98"/>
      <c r="DG166" s="101"/>
      <c r="DH166" s="98"/>
      <c r="DI166" s="101"/>
      <c r="DJ166" s="98"/>
      <c r="DK166" s="101"/>
      <c r="DL166" s="98"/>
      <c r="DM166" s="101"/>
      <c r="DN166" s="98"/>
      <c r="DO166" s="101"/>
      <c r="DP166" s="98"/>
      <c r="DQ166" s="101"/>
      <c r="DR166" s="98"/>
      <c r="DS166" s="101"/>
      <c r="DT166" s="98"/>
      <c r="DU166" s="101"/>
      <c r="DV166" s="98"/>
      <c r="DW166" s="101"/>
      <c r="DX166" s="98"/>
      <c r="DY166" s="101"/>
      <c r="DZ166" s="98"/>
      <c r="EA166" s="101"/>
      <c r="EB166" s="98"/>
      <c r="EC166" s="101"/>
      <c r="ED166" s="98"/>
      <c r="EE166" s="101"/>
      <c r="EF166" s="860"/>
      <c r="EG166" s="101"/>
      <c r="EH166" s="860"/>
      <c r="EI166" s="101"/>
      <c r="EJ166" s="860"/>
      <c r="EK166" s="101"/>
      <c r="EL166" s="860"/>
      <c r="EM166" s="101"/>
      <c r="EN166" s="860"/>
      <c r="EO166" s="101"/>
      <c r="EP166" s="98"/>
      <c r="EQ166" s="1023"/>
      <c r="ER166" s="98"/>
      <c r="ES166" s="1023"/>
      <c r="ET166" s="98"/>
      <c r="EU166" s="1023"/>
      <c r="EV166" s="98"/>
      <c r="EW166" s="1023"/>
      <c r="EX166" s="98"/>
      <c r="EY166" s="119"/>
      <c r="EZ166" s="594"/>
      <c r="FA166" s="405"/>
      <c r="FB166" s="121"/>
      <c r="FC166" s="98"/>
      <c r="FD166" s="101"/>
      <c r="FE166" s="98"/>
      <c r="FF166" s="118"/>
      <c r="FG166" s="98"/>
      <c r="FH166" s="118"/>
      <c r="FI166" s="98"/>
      <c r="FJ166" s="118"/>
      <c r="FK166" s="98"/>
      <c r="FL166" s="118"/>
      <c r="FM166" s="98"/>
      <c r="FN166" s="118"/>
      <c r="FO166" s="98"/>
      <c r="FP166" s="118"/>
      <c r="FQ166" s="98"/>
      <c r="FR166" s="119"/>
      <c r="FS166" s="120"/>
      <c r="FT166" s="119"/>
      <c r="FU166" s="120"/>
      <c r="FV166" s="119"/>
      <c r="FW166" s="98"/>
      <c r="FX166" s="485"/>
      <c r="FY166" s="98"/>
      <c r="FZ166" s="119"/>
      <c r="GA166" s="98"/>
      <c r="GB166" s="485"/>
      <c r="GC166" s="98"/>
      <c r="GD166" s="119"/>
      <c r="GE166" s="98"/>
      <c r="GF166" s="119"/>
      <c r="GG166" s="98"/>
      <c r="GH166" s="119"/>
      <c r="GI166" s="98"/>
      <c r="GJ166" s="119"/>
      <c r="GK166" s="98"/>
      <c r="GL166" s="119"/>
      <c r="GM166" s="98"/>
      <c r="GN166" s="119"/>
      <c r="GO166" s="98"/>
      <c r="GP166" s="119"/>
      <c r="GQ166" s="98"/>
      <c r="GR166" s="119"/>
      <c r="GS166" s="98"/>
      <c r="GT166" s="119"/>
      <c r="GU166" s="98"/>
      <c r="GV166" s="119"/>
      <c r="GW166" s="98"/>
      <c r="GX166" s="119"/>
      <c r="GY166" s="98"/>
      <c r="GZ166" s="98"/>
      <c r="HA166" s="98"/>
      <c r="HB166" s="10"/>
      <c r="HC166"/>
      <c r="HD166"/>
      <c r="HE166"/>
      <c r="HF166"/>
      <c r="HG166"/>
      <c r="HH166"/>
      <c r="HI166" s="10"/>
    </row>
    <row r="167" spans="1:217" s="2" customFormat="1" ht="12.75" customHeight="1" x14ac:dyDescent="0.2">
      <c r="B167" s="91" t="s">
        <v>283</v>
      </c>
      <c r="C167" s="258">
        <f>(C158*4)/(C135+C148)*100</f>
        <v>0.98806890650478696</v>
      </c>
      <c r="D167" s="156"/>
      <c r="E167" s="258">
        <f>(E158*4)/(E135+E148)*100</f>
        <v>1.4703381939777669</v>
      </c>
      <c r="F167" s="156"/>
      <c r="G167" s="258">
        <f>(G158*4)/(G135+G148)*100</f>
        <v>1.1110566475499568</v>
      </c>
      <c r="H167" s="156"/>
      <c r="I167" s="258">
        <f>(I158*4)/(I135+I148)*100</f>
        <v>1.4686995751967598</v>
      </c>
      <c r="J167" s="156"/>
      <c r="K167" s="258">
        <f>(K158*4)/(K135+K148)*100</f>
        <v>0.95019079629021252</v>
      </c>
      <c r="L167" s="156">
        <f>IF(ISERROR((K167/C167-1)*100),"NA",IF(((K167/C167-1)*100)&gt;100,"NM",IF(((K167/C167-1)*100)&lt;-50,"NM",(K167/C167-1)*100)))</f>
        <v>-3.8335494584649132</v>
      </c>
      <c r="M167" s="258">
        <f>(M158*4)/(M135+M148)*100</f>
        <v>0.40418225879653019</v>
      </c>
      <c r="N167" s="156" t="str">
        <f>IF(ISERROR((M167/E167-1)*100),"NA",IF(((M167/E167-1)*100)&gt;100,"NM",IF(((M167/E167-1)*100)&lt;-50,"NM",(M167/E167-1)*100)))</f>
        <v>NM</v>
      </c>
      <c r="O167" s="258">
        <f>(O158*4)/(O135+O148)*100</f>
        <v>1.1308922054111479</v>
      </c>
      <c r="P167" s="156">
        <f>IF(ISERROR((O167/G167-1)*100),"NA",IF(((O167/G167-1)*100)&gt;100,"NM",IF(((O167/G167-1)*100)&lt;-50,"NM",(O167/G167-1)*100)))</f>
        <v>1.7852877173212933</v>
      </c>
      <c r="Q167" s="258">
        <f>(Q158*4)/(Q135+Q148)*100</f>
        <v>0.80233843938315941</v>
      </c>
      <c r="R167" s="156">
        <f>IF(ISERROR((Q167/I167-1)*100),"NA",IF(((Q167/I167-1)*100)&gt;100,"NM",IF(((Q167/I167-1)*100)&lt;-50,"NM",(Q167/I167-1)*100)))</f>
        <v>-45.370826482626903</v>
      </c>
      <c r="S167" s="258">
        <f>(S158*4)/(S135+S148)*100</f>
        <v>0.68004788092222812</v>
      </c>
      <c r="T167" s="156">
        <f>IF(ISERROR((S167/K167-1)*100),"NA",IF(((S167/K167-1)*100)&gt;100,"NM",IF(((S167/K167-1)*100)&lt;-50,"NM",(S167/K167-1)*100)))</f>
        <v>-28.43038644687902</v>
      </c>
      <c r="U167" s="258">
        <f>(U158*4)/(U135+U148)*100</f>
        <v>2.7041860870322778</v>
      </c>
      <c r="V167" s="156" t="str">
        <f>IF(ISERROR((U167/M167-1)*100),"NA",IF(((U167/M167-1)*100)&gt;100,"NM",IF(((U167/M167-1)*100)&lt;-50,"NM",(U167/M167-1)*100)))</f>
        <v>NM</v>
      </c>
      <c r="W167" s="258">
        <f>(W158*4)/(W135+W148)*100</f>
        <v>1.3696988374681116</v>
      </c>
      <c r="X167" s="156">
        <f>IF(ISERROR((W167/O167-1)*100),"NA",IF(((W167/O167-1)*100)&gt;100,"NM",IF(((W167/O167-1)*100)&lt;-50,"NM",(W167/O167-1)*100)))</f>
        <v>21.11665735375221</v>
      </c>
      <c r="Y167" s="258">
        <f>(Y158*4)/(Y135+Y148)*100</f>
        <v>1.7209485305811549</v>
      </c>
      <c r="Z167" s="156" t="str">
        <f>IF(ISERROR((Y167/Q167-1)*100),"NA",IF(((Y167/Q167-1)*100)&gt;100,"NM",IF(((Y167/Q167-1)*100)&lt;-50,"NM",(Y167/Q167-1)*100)))</f>
        <v>NM</v>
      </c>
      <c r="AA167" s="258">
        <f>(AA158*4)/(AA135+AA148)*100</f>
        <v>1.1444168571287632</v>
      </c>
      <c r="AB167" s="156">
        <f>IF(ISERROR((AA167/S167-1)*100),"NA",IF(((AA167/S167-1)*100)&gt;100,"NM",IF(((AA167/S167-1)*100)&lt;-50,"NM",(AA167/S167-1)*100)))</f>
        <v>68.284747182329866</v>
      </c>
      <c r="AC167" s="258">
        <f>(AC158*4)/(AC135+AC148)*100</f>
        <v>2.21192929388411</v>
      </c>
      <c r="AD167" s="156">
        <f>IF(ISERROR((AC167/U167-1)*100),"NA",IF(((AC167/U167-1)*100)&gt;100,"NM",IF(((AC167/U167-1)*100)&lt;-50,"NM",(AC167/U167-1)*100)))</f>
        <v>-18.203510309765601</v>
      </c>
      <c r="AE167" s="258">
        <f>(AE158*4)/(AE135+AE148)*100</f>
        <v>1.7462499433526186</v>
      </c>
      <c r="AF167" s="156">
        <f>IF(ISERROR((AE167/W167-1)*100),"NA",IF(((AE167/W167-1)*100)&gt;100,"NM",IF(((AE167/W167-1)*100)&lt;-50,"NM",(AE167/W167-1)*100)))</f>
        <v>27.4915255517455</v>
      </c>
      <c r="AG167" s="258">
        <f>(AG158*4)/(AG135+AG148)*100</f>
        <v>1.8189950797674073</v>
      </c>
      <c r="AH167" s="156">
        <f>IF(ISERROR((AG167/Y167-1)*100),"NA",IF(((AG167/Y167-1)*100)&gt;100,"NM",IF(((AG167/Y167-1)*100)&lt;-50,"NM",(AG167/Y167-1)*100)))</f>
        <v>5.6972389030799597</v>
      </c>
      <c r="AI167" s="258">
        <f>(AI158*4)/(AI135+AI148)*100</f>
        <v>1.543063855184913</v>
      </c>
      <c r="AJ167" s="156">
        <f>IF(ISERROR((AI167/AA167-1)*100),"NA",IF(((AI167/AA167-1)*100)&gt;100,"NM",IF(((AI167/AA167-1)*100)&lt;-50,"NM",(AI167/AA167-1)*100)))</f>
        <v>34.834072529857572</v>
      </c>
      <c r="AK167" s="258">
        <f>(AK158*4)/(AK135+AK148)*100</f>
        <v>1.2925555978428684</v>
      </c>
      <c r="AL167" s="156">
        <f>IF(ISERROR((AK167/AC167-1)*100),"NA",IF(((AK167/AC167-1)*100)&gt;100,"NM",IF(((AK167/AC167-1)*100)&lt;-50,"NM",(AK167/AC167-1)*100)))</f>
        <v>-41.564334745385878</v>
      </c>
      <c r="AM167" s="258">
        <f>(AM158*4)/(AM135+AM148)*100</f>
        <v>2.7529062240211513</v>
      </c>
      <c r="AN167" s="156">
        <f>IF(ISERROR((AM167/AE167-1)*100),"NA",IF(((AM167/AE167-1)*100)&gt;100,"NM",IF(((AM167/AE167-1)*100)&lt;-50,"NM",(AM167/AE167-1)*100)))</f>
        <v>57.646746647038242</v>
      </c>
      <c r="AO167" s="258">
        <f>(AO158*4)/(AO135+AO148)*100</f>
        <v>1.52557240748039</v>
      </c>
      <c r="AP167" s="156">
        <f>IF(ISERROR((AO167/AG167-1)*100),"NA",IF(((AO167/AG167-1)*100)&gt;100,"NM",IF(((AO167/AG167-1)*100)&lt;-50,"NM",(AO167/AG167-1)*100)))</f>
        <v>-16.131031664172333</v>
      </c>
      <c r="AQ167" s="258">
        <f>(AQ158*4)/(AQ135+AQ148)*100</f>
        <v>2.4846587351283658</v>
      </c>
      <c r="AR167" s="156">
        <f>IF(ISERROR((AQ167/AI167-1)*100),"NA",IF(((AQ167/AI167-1)*100)&gt;100,"NM",IF(((AQ167/AI167-1)*100)&lt;-50,"NM",(AQ167/AI167-1)*100)))</f>
        <v>61.021122151203322</v>
      </c>
      <c r="AS167" s="258">
        <f>(AS158*4)/(AS135+AS148)*100</f>
        <v>1.8845238387357985</v>
      </c>
      <c r="AT167" s="156">
        <f>IF(ISERROR((AS167/AK167-1)*100),"NA",IF(((AS167/AK167-1)*100)&gt;100,"NM",IF(((AS167/AK167-1)*100)&lt;-50,"NM",(AS167/AK167-1)*100)))</f>
        <v>45.798280699171421</v>
      </c>
      <c r="AU167" s="258">
        <f>(AU158*4)/(AU135+AU148)*100</f>
        <v>1.9997576595295903</v>
      </c>
      <c r="AV167" s="156">
        <f>IF(ISERROR((AU167/AM167-1)*100),"NA",IF(((AU167/AM167-1)*100)&gt;100,"NM",IF(((AU167/AM167-1)*100)&lt;-50,"NM",(AU167/AM167-1)*100)))</f>
        <v>-27.358308028067956</v>
      </c>
      <c r="AW167" s="258">
        <f>(AW158*4)/(AW135+AW148)*100</f>
        <v>0.84081548322186839</v>
      </c>
      <c r="AX167" s="156">
        <f>IF(ISERROR((AW167/AO167-1)*100),"NA",IF(((AW167/AO167-1)*100)&gt;100,"NM",IF(((AW167/AO167-1)*100)&lt;-50,"NM",(AW167/AO167-1)*100)))</f>
        <v>-44.88524575437588</v>
      </c>
      <c r="AY167" s="259">
        <f>(AY158*4)/(AY135+AY148)*100</f>
        <v>1.2110224800580132</v>
      </c>
      <c r="AZ167" s="156" t="str">
        <f>IF(ISERROR((AY167/AQ167-1)*100),"NA",IF(((AY167/AQ167-1)*100)&gt;100,"NM",IF(((AY167/AQ167-1)*100)&lt;-50,"NM",(AY167/AQ167-1)*100)))</f>
        <v>NM</v>
      </c>
      <c r="BA167" s="259">
        <f>(BA158*4)/(BA135+BA148)*100</f>
        <v>0.908586861261648</v>
      </c>
      <c r="BB167" s="156" t="str">
        <f>IF(ISERROR((BA167/AS167-1)*100),"NA",IF(((BA167/AS167-1)*100)&gt;100,"NM",IF(((BA167/AS167-1)*100)&lt;-50,"NM",(BA167/AS167-1)*100)))</f>
        <v>NM</v>
      </c>
      <c r="BC167" s="259">
        <f>(BC158*4)/(BC135+BC148)*100</f>
        <v>1.5509184122650612</v>
      </c>
      <c r="BD167" s="156">
        <f>IF(ISERROR((BC167/AU167-1)*100),"NA",IF(((BC167/AU167-1)*100)&gt;100,"NM",IF(((BC167/AU167-1)*100)&lt;-50,"NM",(BC167/AU167-1)*100)))</f>
        <v>-22.44468199062235</v>
      </c>
      <c r="BE167" s="259">
        <f>(BE158*4)/(BE135+BE148)*100</f>
        <v>1.5054143989779756</v>
      </c>
      <c r="BF167" s="156">
        <f>IF(ISERROR((BE167/AW167-1)*100),"NA",IF(((BE167/AW167-1)*100)&gt;100,"NM",IF(((BE167/AW167-1)*100)&lt;-50,"NM",(BE167/AW167-1)*100)))</f>
        <v>79.042183334858692</v>
      </c>
      <c r="BG167" s="259">
        <f>(BG158*4)/(BG135+BG148)*100</f>
        <v>1.0551126162538398</v>
      </c>
      <c r="BH167" s="156">
        <f>IF(ISERROR((BG167/AY167-1)*100),"NA",IF(((BG167/AY167-1)*100)&gt;100,"NM",IF(((BG167/AY167-1)*100)&lt;-50,"NM",(BG167/AY167-1)*100)))</f>
        <v>-12.874233663829649</v>
      </c>
      <c r="BI167" s="259">
        <f>(BI158*4)/(BI135+BI148)*100</f>
        <v>0.90146073094545676</v>
      </c>
      <c r="BJ167" s="156">
        <f>IF(ISERROR((BI167/BA167-1)*100),"NA",IF(((BI167/BA167-1)*100)&gt;100,"NM",IF(((BI167/BA167-1)*100)&lt;-50,"NM",(BI167/BA167-1)*100)))</f>
        <v>-0.78430919706411473</v>
      </c>
      <c r="BK167" s="259">
        <f>(BK158*4)/(BK135+BK148)*100</f>
        <v>1.0524805051906425</v>
      </c>
      <c r="BL167" s="156">
        <f>IF(ISERROR((BK167/BC167-1)*100),"NA",IF(((BK167/BC167-1)*100)&gt;100,"NM",IF(((BK167/BC167-1)*100)&lt;-50,"NM",(BK167/BC167-1)*100)))</f>
        <v>-32.138241646539477</v>
      </c>
      <c r="BM167" s="259">
        <f>(BM158*4)/(BM135+BM148)*100</f>
        <v>1.0044889101054633</v>
      </c>
      <c r="BN167" s="98">
        <f>IF(ISERROR((BM167/BE167-1)*100),"NA",IF(((BM167/BE167-1)*100)&gt;100,"NM",IF(((BM167/BE167-1)*100)&lt;-50,"NM",(BM167/BE167-1)*100)))</f>
        <v>-33.274923450485808</v>
      </c>
      <c r="BO167" s="260">
        <f>(BO158*4)/(BO135+BO148)*100</f>
        <v>1.7311515277572229</v>
      </c>
      <c r="BP167" s="98">
        <f>IF(ISERROR((BO167/BG167-1)*100),"NA",IF(((BO167/BG167-1)*100)&gt;100,"NM",IF(((BO167/BG167-1)*100)&lt;-50,"NM",(BO167/BG167-1)*100)))</f>
        <v>64.072678223074249</v>
      </c>
      <c r="BQ167" s="260">
        <f>(BQ158*4)/(BQ135+BQ148)*100</f>
        <v>1.5615782075901254</v>
      </c>
      <c r="BR167" s="98">
        <f>IF(ISERROR((BQ167/BI167-1)*100),"NA",IF(((BQ167/BI167-1)*100)&gt;100,"NM",IF(((BQ167/BI167-1)*100)&lt;-50,"NM",(BQ167/BI167-1)*100)))</f>
        <v>73.227535485914515</v>
      </c>
      <c r="BS167" s="260">
        <f>(BS158*4)/(BS135+BS148)*100</f>
        <v>3.125565015053966</v>
      </c>
      <c r="BT167" s="98" t="str">
        <f>IF(ISERROR((BS167/BK167-1)*100),"NA",IF(((BS167/BK167-1)*100)&gt;100,"NM",IF(((BS167/BK167-1)*100)&lt;-50,"NM",(BS167/BK167-1)*100)))</f>
        <v>NM</v>
      </c>
      <c r="BU167" s="260">
        <f>(BU158*4)/(BU135+BU148)*100</f>
        <v>1.7143560682947281</v>
      </c>
      <c r="BV167" s="98">
        <f>IF(ISERROR((BU167/BM167-1)*100),"NA",IF(((BU167/BM167-1)*100)&gt;100,"NM",IF(((BU167/BM167-1)*100)&lt;-50,"NM",(BU167/BM167-1)*100)))</f>
        <v>70.669486845278811</v>
      </c>
      <c r="BW167" s="260">
        <f>(BW158*4)/(BW135+BW148)*100</f>
        <v>0.88524892503048169</v>
      </c>
      <c r="BX167" s="98">
        <f>IF(ISERROR((BW167/BO167-1)*100),"NA",IF(((BW167/BO167-1)*100)&gt;100,"NM",IF(((BW167/BO167-1)*100)&lt;-50,"NM",(BW167/BO167-1)*100)))</f>
        <v>-48.863579482417826</v>
      </c>
      <c r="BY167" s="260">
        <f>(BY158*4)/(BY135+BY148)*100</f>
        <v>1.9648656576115573</v>
      </c>
      <c r="BZ167" s="98">
        <f>IF(ISERROR((BY167/BQ167-1)*100),"NA",IF(((BY167/BQ167-1)*100)&gt;100,"NM",IF(((BY167/BQ167-1)*100)&lt;-50,"NM",(BY167/BQ167-1)*100)))</f>
        <v>25.825632559498722</v>
      </c>
      <c r="CA167" s="260">
        <f>(CA158*4)/(CA135+CA148)*100</f>
        <v>1.7932374741731008</v>
      </c>
      <c r="CB167" s="98">
        <f>IF(ISERROR((CA167/BS167-1)*100),"NA",IF(((CA167/BS167-1)*100)&gt;100,"NM",IF(((CA167/BS167-1)*100)&lt;-50,"NM",(CA167/BS167-1)*100)))</f>
        <v>-42.626774182070925</v>
      </c>
      <c r="CC167" s="260">
        <f>(CC158*4)/(CC135+CC148)*100</f>
        <v>2.38730545965432</v>
      </c>
      <c r="CD167" s="98">
        <f>IF(ISERROR((CC167/BU167-1)*100),"NA",IF(((CC167/BU167-1)*100)&gt;100,"NM",IF(((CC167/BU167-1)*100)&lt;-50,"NM",(CC167/BU167-1)*100)))</f>
        <v>39.253770194249981</v>
      </c>
      <c r="CE167" s="260">
        <f>(CE158*4)/(CE135+CE148)*100</f>
        <v>1.8960225205655572</v>
      </c>
      <c r="CF167" s="98" t="str">
        <f>IF(ISERROR((CE167/BW167-1)*100),"NA",IF(((CE167/BW167-1)*100)&gt;100,"NM",IF(((CE167/BW167-1)*100)&lt;-50,"NM",(CE167/BW167-1)*100)))</f>
        <v>NM</v>
      </c>
      <c r="CG167" s="260">
        <f>(CG158*4)/(CG135+CG148)*100</f>
        <v>1.3070814030443416</v>
      </c>
      <c r="CH167" s="98">
        <f>IF(ISERROR((CG167/BY167-1)*100),"NA",IF(((CG167/BY167-1)*100)&gt;100,"NM",IF(((CG167/BY167-1)*100)&lt;-50,"NM",(CG167/BY167-1)*100)))</f>
        <v>-33.477314442291295</v>
      </c>
      <c r="CI167" s="260">
        <f>(CI158*4)/(CI135+CI148)*100</f>
        <v>1.0669179143347189</v>
      </c>
      <c r="CJ167" s="98">
        <f>IF(ISERROR((CI167/CA167-1)*100),"NA",IF(((CI167/CA167-1)*100)&gt;100,"NM",IF(((CI167/CA167-1)*100)&lt;-50,"NM",(CI167/CA167-1)*100)))</f>
        <v>-40.503255720400503</v>
      </c>
      <c r="CK167" s="260">
        <f>(CK158*4)/(CK135+CK148)*100</f>
        <v>1.0291234026873017</v>
      </c>
      <c r="CL167" s="98" t="str">
        <f>IF(ISERROR((CK167/CC167-1)*100),"NA",IF(((CK167/CC167-1)*100)&gt;100,"NM",IF(((CK167/CC167-1)*100)&lt;-50,"NM",(CK167/CC167-1)*100)))</f>
        <v>NM</v>
      </c>
      <c r="CM167" s="260">
        <f>(CM158*4)/(CM135+CM148)*100</f>
        <v>1.0521733723027176</v>
      </c>
      <c r="CN167" s="98">
        <f>IF(ISERROR((CM167/CE167-1)*100),"NA",IF(((CM167/CE167-1)*100)&gt;100,"NM",IF(((CM167/CE167-1)*100)&lt;-50,"NM",(CM167/CE167-1)*100)))</f>
        <v>-44.506282974483405</v>
      </c>
      <c r="CO167" s="260">
        <f>(CO158*4)/(CO135+CO148)*100</f>
        <v>2.111850768989139</v>
      </c>
      <c r="CP167" s="98">
        <f>IF(ISERROR((CO167/CG167-1)*100),"NA",IF(((CO167/CG167-1)*100)&gt;100,"NM",IF(((CO167/CG167-1)*100)&lt;-50,"NM",(CO167/CG167-1)*100)))</f>
        <v>61.569949971776651</v>
      </c>
      <c r="CQ167" s="559">
        <f>(CQ158*4)/(CQ135+CQ148)*100</f>
        <v>1.9744620477654291</v>
      </c>
      <c r="CR167" s="98">
        <f>IF(ISERROR((CQ167/CI167-1)*100),"NA",IF(((CQ167/CI167-1)*100)&gt;100,"NM",IF(((CQ167/CI167-1)*100)&lt;-50,"NM",(CQ167/CI167-1)*100)))</f>
        <v>85.06222655344699</v>
      </c>
      <c r="CS167" s="260">
        <f>(CS158*4)/(CS135+CS148)*100</f>
        <v>1.6993200346509394</v>
      </c>
      <c r="CT167" s="98">
        <f>IF(ISERROR((CS167/CK167-1)*100),"NA",IF(((CS167/CK167-1)*100)&gt;100,"NM",IF(((CS167/CK167-1)*100)&lt;-50,"NM",(CS167/CK167-1)*100)))</f>
        <v>65.123058149643143</v>
      </c>
      <c r="CU167" s="260">
        <f>(CU158*4)/(CU135+CU148)*100</f>
        <v>1.1676747553669569</v>
      </c>
      <c r="CV167" s="98">
        <f>IF(ISERROR((CU167/CM167-1)*100),"NA",IF(((CU167/CM167-1)*100)&gt;100,"NM",IF(((CU167/CM167-1)*100)&lt;-50,"NM",(CU167/CM167-1)*100)))</f>
        <v>10.977409817116035</v>
      </c>
      <c r="CW167" s="260">
        <f>(CW158*4)/(CW135+CW148)*100</f>
        <v>1.1592018573827083</v>
      </c>
      <c r="CX167" s="98">
        <f>IF(ISERROR((CW167/CO167-1)*100),"NA",IF(((CW167/CO167-1)*100)&gt;100,"NM",IF(((CW167/CO167-1)*100)&lt;-50,"NM",(CW167/CO167-1)*100)))</f>
        <v>-45.109669944265377</v>
      </c>
      <c r="CY167" s="260">
        <f>(CY158*4)/(CY135+CY148)*100</f>
        <v>0.94204339679914584</v>
      </c>
      <c r="CZ167" s="98" t="str">
        <f>IF(ISERROR((CY167/CQ167-1)*100),"NA",IF(((CY167/CQ167-1)*100)&gt;100,"NM",IF(((CY167/CQ167-1)*100)&lt;-50,"NM",(CY167/CQ167-1)*100)))</f>
        <v>NM</v>
      </c>
      <c r="DA167" s="260">
        <f>(DA158*4)/(DA135+DA148)*100</f>
        <v>3.7583993112096876</v>
      </c>
      <c r="DB167" s="98" t="str">
        <f>IF(ISERROR((DA167/CS167-1)*100),"NA",IF(((DA167/CS167-1)*100)&gt;100,"NM",IF(((DA167/CS167-1)*100)&lt;-50,"NM",(DA167/CS167-1)*100)))</f>
        <v>NM</v>
      </c>
      <c r="DC167" s="260">
        <f>(DC158*4)/(DC135+DC148)*100</f>
        <v>0.86645456580941127</v>
      </c>
      <c r="DD167" s="98">
        <f>IF(ISERROR((DC167/CU167-1)*100),"NA",IF(((DC167/CU167-1)*100)&gt;100,"NM",IF(((DC167/CU167-1)*100)&lt;-50,"NM",(DC167/CU167-1)*100)))</f>
        <v>-25.796583181494171</v>
      </c>
      <c r="DE167" s="260">
        <f>(DE158*4)/(DE135+DE148)*100</f>
        <v>1.0664659533924696</v>
      </c>
      <c r="DF167" s="98">
        <f>IF(ISERROR((DE167/CW167-1)*100),"NA",IF(((DE167/CW167-1)*100)&gt;100,"NM",IF(((DE167/CW167-1)*100)&lt;-50,"NM",(DE167/CW167-1)*100)))</f>
        <v>-7.9999788992420555</v>
      </c>
      <c r="DG167" s="260">
        <f>(DG158*4)/(DG135+DG148)*100</f>
        <v>0.96922965088886448</v>
      </c>
      <c r="DH167" s="98">
        <f>IF(ISERROR((DG167/CY167-1)*100),"NA",IF(((DG167/CY167-1)*100)&gt;100,"NM",IF(((DG167/CY167-1)*100)&lt;-50,"NM",(DG167/CY167-1)*100)))</f>
        <v>2.8858812855216076</v>
      </c>
      <c r="DI167" s="260">
        <f>(DI158*4)/(DI135+DI148)*100</f>
        <v>2.9853933544033486</v>
      </c>
      <c r="DJ167" s="98">
        <f>IF(ISERROR((DI167/DA167-1)*100),"NA",IF(((DI167/DA167-1)*100)&gt;100,"NM",IF(((DI167/DA167-1)*100)&lt;-50,"NM",(DI167/DA167-1)*100)))</f>
        <v>-20.567424927436395</v>
      </c>
      <c r="DK167" s="260">
        <f>(DK158*4)/(DK135+DK148)*100</f>
        <v>0.63605939019654978</v>
      </c>
      <c r="DL167" s="98">
        <f>IF(ISERROR((DK167/DC167-1)*100),"NA",IF(((DK167/DC167-1)*100)&gt;100,"NM",IF(((DK167/DC167-1)*100)&lt;-50,"NM",(DK167/DC167-1)*100)))</f>
        <v>-26.590566280602889</v>
      </c>
      <c r="DM167" s="260">
        <f>(DM158*4)/(DM135+DM148)*100</f>
        <v>1.4583255828784925</v>
      </c>
      <c r="DN167" s="98">
        <f>IF(ISERROR((DM167/DE167-1)*100),"NA",IF(((DM167/DE167-1)*100)&gt;100,"NM",IF(((DM167/DE167-1)*100)&lt;-50,"NM",(DM167/DE167-1)*100)))</f>
        <v>36.743754288592356</v>
      </c>
      <c r="DO167" s="260">
        <f>(DO158*4)/(DO135+DO148)*100</f>
        <v>0.93328849685713544</v>
      </c>
      <c r="DP167" s="98">
        <f>IF(ISERROR((DO167/DG167-1)*100),"NA",IF(((DO167/DG167-1)*100)&gt;100,"NM",IF(((DO167/DG167-1)*100)&lt;-50,"NM",(DO167/DG167-1)*100)))</f>
        <v>-3.7082185835697445</v>
      </c>
      <c r="DQ167" s="260">
        <f>(DQ158*4)/(DQ135+DQ148)*100</f>
        <v>2.7275966643338538</v>
      </c>
      <c r="DR167" s="98">
        <f>IF(ISERROR((DQ167/DI167-1)*100),"NA",IF(((DQ167/DI167-1)*100)&gt;100,"NM",IF(((DQ167/DI167-1)*100)&lt;-50,"NM",(DQ167/DI167-1)*100)))</f>
        <v>-8.6352670976926333</v>
      </c>
      <c r="DS167" s="260">
        <f>(DS158*4)/(DS135+DS148)*100</f>
        <v>0.92049373953354252</v>
      </c>
      <c r="DT167" s="98">
        <f>IF(ISERROR((DS167/DK167-1)*100),"NA",IF(((DS167/DK167-1)*100)&gt;100,"NM",IF(((DS167/DK167-1)*100)&lt;-50,"NM",(DS167/DK167-1)*100)))</f>
        <v>44.718206148815632</v>
      </c>
      <c r="DU167" s="260">
        <f>(DU158*4)/(DU135+DU148)*100</f>
        <v>0.70034433596518286</v>
      </c>
      <c r="DV167" s="98" t="str">
        <f>IF(ISERROR((DU167/DM167-1)*100),"NA",IF(((DU167/DM167-1)*100)&gt;100,"NM",IF(((DU167/DM167-1)*100)&lt;-50,"NM",(DU167/DM167-1)*100)))</f>
        <v>NM</v>
      </c>
      <c r="DW167" s="260">
        <f>(DW158*4)/(DW135+DW148)*100</f>
        <v>3.5446972380615005</v>
      </c>
      <c r="DX167" s="98" t="str">
        <f>IF(ISERROR((DW167/DO167-1)*100),"NA",IF(((DW167/DO167-1)*100)&gt;100,"NM",IF(((DW167/DO167-1)*100)&lt;-50,"NM",(DW167/DO167-1)*100)))</f>
        <v>NM</v>
      </c>
      <c r="DY167" s="260">
        <f>(DY158*4)/(DY135+DY148)*100</f>
        <v>1.667036542801394</v>
      </c>
      <c r="DZ167" s="98">
        <f>IF(ISERROR((DY167/DQ167-1)*100),"NA",IF(((DY167/DQ167-1)*100)&gt;100,"NM",IF(((DY167/DQ167-1)*100)&lt;-50,"NM",(DY167/DQ167-1)*100)))</f>
        <v>-38.882586102277507</v>
      </c>
      <c r="EA167" s="260">
        <f>(EA158*4)/(EA135+EA148)*100</f>
        <v>0.79585509439533475</v>
      </c>
      <c r="EB167" s="98">
        <f>IF(ISERROR((EA167/DS167-1)*100),"NA",IF(((EA167/DS167-1)*100)&gt;100,"NM",IF(((EA167/DS167-1)*100)&lt;-50,"NM",(EA167/DS167-1)*100)))</f>
        <v>-13.540412040321758</v>
      </c>
      <c r="EC167" s="260">
        <f>(EC158*4)/(EC135+EC148)*100</f>
        <v>1.1604133747761327</v>
      </c>
      <c r="ED167" s="98">
        <f>IF(ISERROR((EC167/DU167-1)*100),"NA",IF(((EC167/DU167-1)*100)&gt;100,"NM",IF(((EC167/DU167-1)*100)&lt;-50,"NM",(EC167/DU167-1)*100)))</f>
        <v>65.691834028600169</v>
      </c>
      <c r="EE167" s="260">
        <f>(EE158*4)/(EE135+EE148)*100</f>
        <v>2.8973797907759593</v>
      </c>
      <c r="EF167" s="860">
        <f>IF(ISERROR((EE167/DW167-1)*100),"NA",IF(((EE167/DW167-1)*100)&gt;100,"NM",IF(((EE167/DW167-1)*100)&lt;-50,"NM",(EE167/DW167-1)*100)))</f>
        <v>-18.261572253193105</v>
      </c>
      <c r="EG167" s="260">
        <f>(EG158*4)/(EG135+EG148)*100</f>
        <v>1.6887673122637681</v>
      </c>
      <c r="EH167" s="860">
        <f>IF(ISERROR((EG167/DY167-1)*100),"NA",IF(((EG167/DY167-1)*100)&gt;100,"NM",IF(((EG167/DY167-1)*100)&lt;-50,"NM",(EG167/DY167-1)*100)))</f>
        <v>1.3035568749954596</v>
      </c>
      <c r="EI167" s="260">
        <f>(EI158*4)/(EI135+EI148)*100</f>
        <v>0.75672433500251923</v>
      </c>
      <c r="EJ167" s="860">
        <f t="shared" ref="EJ167:EJ171" si="1014">IF(ISERROR((EI167/EA167-1)*100),"NA",IF(((EI167/EA167-1)*100)&gt;100,"NM",IF(((EI167/EA167-1)*100)&lt;-50,"NM",(EI167/EA167-1)*100)))</f>
        <v>-4.9168196155791151</v>
      </c>
      <c r="EK167" s="260">
        <f>(EK158*4)/(EK135+EK148)*100</f>
        <v>2.4113080616354132</v>
      </c>
      <c r="EL167" s="860" t="str">
        <f t="shared" ref="EL167:EL171" si="1015">IF(ISERROR((EK167/EC167-1)*100),"NA",IF(((EK167/EC167-1)*100)&gt;100,"NM",IF(((EK167/EC167-1)*100)&lt;-50,"NM",(EK167/EC167-1)*100)))</f>
        <v>NM</v>
      </c>
      <c r="EM167" s="260">
        <f>(EM158*4)/(EM135+EM148)*100</f>
        <v>5.0431493128951939</v>
      </c>
      <c r="EN167" s="860">
        <f t="shared" ref="EN167:EN171" si="1016">IF(ISERROR((EM167/EE167-1)*100),"NA",IF(((EM167/EE167-1)*100)&gt;100,"NM",IF(((EM167/EE167-1)*100)&lt;-50,"NM",(EM167/EE167-1)*100)))</f>
        <v>74.058966275338278</v>
      </c>
      <c r="EO167" s="260">
        <f>(EO158*4)/(EO135+EO148)*100</f>
        <v>1.9547561715276867</v>
      </c>
      <c r="EP167" s="98">
        <f t="shared" ref="EP167:EP171" si="1017">IF(ISERROR((EO167/EG167-1)*100),"NA",IF(((EO167/EG167-1)*100)&gt;100,"NM",IF(((EO167/EG167-1)*100)&lt;-50,"NM",(EO167/EG167-1)*100)))</f>
        <v>15.750474167300421</v>
      </c>
      <c r="EQ167" s="1042">
        <v>2.5</v>
      </c>
      <c r="ER167" s="98" t="str">
        <f t="shared" ref="ER167:ER171" si="1018">IF(ISERROR((EQ167/EI167-1)*100),"NA",IF(((EQ167/EI167-1)*100)&gt;100,"NM",IF(((EQ167/EI167-1)*100)&lt;-50,"NM",(EQ167/EI167-1)*100)))</f>
        <v>NM</v>
      </c>
      <c r="ES167" s="1042">
        <f t="shared" ref="ES167:ES169" si="1019">EQ167</f>
        <v>2.5</v>
      </c>
      <c r="ET167" s="98">
        <f t="shared" ref="ET167:ET171" si="1020">IF(ISERROR((ES167/EK167-1)*100),"NA",IF(((ES167/EK167-1)*100)&gt;100,"NM",IF(((ES167/EK167-1)*100)&lt;-50,"NM",(ES167/EK167-1)*100)))</f>
        <v>3.6781670403587263</v>
      </c>
      <c r="EU167" s="1042">
        <f t="shared" ref="EU167:EU169" si="1021">ES167</f>
        <v>2.5</v>
      </c>
      <c r="EV167" s="98" t="str">
        <f t="shared" ref="EV167:EV171" si="1022">IF(ISERROR((EU167/EM167-1)*100),"NA",IF(((EU167/EM167-1)*100)&gt;100,"NM",IF(((EU167/EM167-1)*100)&lt;-50,"NM",(EU167/EM167-1)*100)))</f>
        <v>NM</v>
      </c>
      <c r="EW167" s="1042">
        <f t="shared" ref="EW167:EW169" si="1023">EU167</f>
        <v>2.5</v>
      </c>
      <c r="EX167" s="98">
        <f t="shared" ref="EX167:EX171" si="1024">IF(ISERROR((EW167/EO167-1)*100),"NA",IF(((EW167/EO167-1)*100)&gt;100,"NM",IF(((EW167/EO167-1)*100)&lt;-50,"NM",(EW167/EO167-1)*100)))</f>
        <v>27.893188747228393</v>
      </c>
      <c r="EY167" s="252"/>
      <c r="EZ167" s="601"/>
      <c r="FA167" s="411"/>
      <c r="FB167" s="261">
        <f>(FB158)/(FB135+FB148)*100</f>
        <v>0.83574909023623012</v>
      </c>
      <c r="FC167" s="233"/>
      <c r="FD167" s="260">
        <f>(FD158)/(FD135+FD148)*100</f>
        <v>0.68078369285572926</v>
      </c>
      <c r="FE167" s="233">
        <f>IF(ISERROR((FD167/FB167-1)*100),"NA",IF(((FD167/FB167-1)*100)&gt;100,"NM",IF(((FD167/FB167-1)*100)&lt;-50,"NM",(FD167/FB167-1)*100)))</f>
        <v>-18.542095850406348</v>
      </c>
      <c r="FF167" s="261">
        <f>(FF158)/(FF135+FF148)*100</f>
        <v>1.2709843963235172</v>
      </c>
      <c r="FG167" s="233">
        <f>IF(ISERROR((FF167/FD167-1)*100),"NA",IF(((FF167/FD167-1)*100)&gt;100,"NM",IF(((FF167/FD167-1)*100)&lt;-50,"NM",(FF167/FD167-1)*100)))</f>
        <v>86.694306820428267</v>
      </c>
      <c r="FH167" s="261">
        <f>(FH158)/(FH135+FH148)*100</f>
        <v>0.81465018211318907</v>
      </c>
      <c r="FI167" s="233">
        <f>IF(ISERROR((FH167/FF167-1)*100),"NA",IF(((FH167/FF167-1)*100)&gt;100,"NM",IF(((FH167/FF167-1)*100)&lt;-50,"NM",(FH167/FF167-1)*100)))</f>
        <v>-35.903998155314298</v>
      </c>
      <c r="FJ167" s="261">
        <f>(FJ158)/(FJ135+FJ148)*100</f>
        <v>1.591695501730104</v>
      </c>
      <c r="FK167" s="233">
        <f>IF(ISERROR((FJ167/FH167-1)*100),"NA",IF(((FJ167/FH167-1)*100)&gt;100,"NM",IF(((FJ167/FH167-1)*100)&lt;-50,"NM",(FJ167/FH167-1)*100)))</f>
        <v>95.38392511019542</v>
      </c>
      <c r="FL167" s="261">
        <f>(FL158)/(FL135+FL148)*100</f>
        <v>1.7525313035919845</v>
      </c>
      <c r="FM167" s="233">
        <f>IF(ISERROR((FL167/FJ167-1)*100),"NA",IF(((FL167/FJ167-1)*100)&gt;100,"NM",IF(((FL167/FJ167-1)*100)&lt;-50,"NM",(FL167/FJ167-1)*100)))</f>
        <v>10.104684073496406</v>
      </c>
      <c r="FN167" s="261">
        <f>(FN158)/(FN135+FN148)*100</f>
        <v>1.8286182282878063</v>
      </c>
      <c r="FO167" s="233">
        <f>IF(ISERROR((FN167/FL167-1)*100),"NA",IF(((FN167/FL167-1)*100)&gt;100,"NM",IF(((FN167/FL167-1)*100)&lt;-50,"NM",(FN167/FL167-1)*100)))</f>
        <v>4.3415444015107774</v>
      </c>
      <c r="FP167" s="261">
        <f>(FP158)/(FP135+FP148)*100</f>
        <v>1.8046330795399319</v>
      </c>
      <c r="FQ167" s="233">
        <f>IF(ISERROR((FP167/FN167-1)*100),"NA",IF(((FP167/FN167-1)*100)&gt;100,"NM",IF(((FP167/FN167-1)*100)&lt;-50,"NM",(FP167/FN167-1)*100)))</f>
        <v>-1.3116542522018104</v>
      </c>
      <c r="FR167" s="262">
        <f>(FR158)/(FR135+FR148)*100</f>
        <v>1.2779664577570813</v>
      </c>
      <c r="FS167" s="120">
        <f>IF(ISERROR((FR167/FP167-1)*100),"NA",IF(((FR167/FP167-1)*100)&gt;100,"NM",IF(((FR167/FP167-1)*100)&lt;-50,"NM",(FR167/FP167-1)*100)))</f>
        <v>-29.184138745651143</v>
      </c>
      <c r="FT167" s="262">
        <f>(FT158)/(FT135+FT148)*100</f>
        <v>1.0139805150193277</v>
      </c>
      <c r="FU167" s="120">
        <f>IF(ISERROR((FT167/FR167-1)*100),"NA",IF(((FT167/FR167-1)*100)&gt;100,"NM",IF(((FT167/FR167-1)*100)&lt;-50,"NM",(FT167/FR167-1)*100)))</f>
        <v>-20.656719206939666</v>
      </c>
      <c r="FV167" s="262">
        <f>(FV158)/(FV135+FV148)*100</f>
        <v>2.0958358639464283</v>
      </c>
      <c r="FW167" s="98" t="str">
        <f>IF(ISERROR((FV167/FT167-1)*100),"NA",IF(((FV167/FT167-1)*100)&gt;100,"NM",IF(((FV167/FT167-1)*100)&lt;-50,"NM",(FV167/FT167-1)*100)))</f>
        <v>NM</v>
      </c>
      <c r="FX167" s="516">
        <f>(FX158)/(FX135+FX148)*100</f>
        <v>1.9266232334836244</v>
      </c>
      <c r="FY167" s="98">
        <f>IF(ISERROR((FX167/FV167-1)*100),"NA",IF(((FX167/FV167-1)*100)&gt;100,"NM",IF(((FX167/FV167-1)*100)&lt;-50,"NM",(FX167/FV167-1)*100)))</f>
        <v>-8.0737539314829299</v>
      </c>
      <c r="FZ167" s="262">
        <f>(FZ158)/(FZ135+FZ148)*100</f>
        <v>1.3924802116742365</v>
      </c>
      <c r="GA167" s="98">
        <f>IF(ISERROR((FZ167/FX167-1)*100),"NA",IF(((FZ167/FX167-1)*100)&gt;100,"NM",IF(((FZ167/FX167-1)*100)&lt;-50,"NM",(FZ167/FX167-1)*100)))</f>
        <v>-27.724311247071231</v>
      </c>
      <c r="GB167" s="516">
        <f>(GB158)/(GB135+GB148)*100</f>
        <v>1.7240283423479594</v>
      </c>
      <c r="GC167" s="98">
        <f>IF(ISERROR((GB167/FZ167-1)*100),"NA",IF(((GB167/FZ167-1)*100)&gt;100,"NM",IF(((GB167/FZ167-1)*100)&lt;-50,"NM",(GB167/FZ167-1)*100)))</f>
        <v>23.809898905140557</v>
      </c>
      <c r="GD167" s="262">
        <f>(GD158)/(GD135+GD148)*100</f>
        <v>1.7861638517020495</v>
      </c>
      <c r="GE167" s="98">
        <f>IF(ISERROR((GD167/GB167-1)*100),"NA",IF(((GD167/GB167-1)*100)&gt;100,"NM",IF(((GD167/GB167-1)*100)&lt;-50,"NM",(GD167/GB167-1)*100)))</f>
        <v>3.604088623593471</v>
      </c>
      <c r="GF167" s="262">
        <f>(GF158)/(GF135+GF148)*100</f>
        <v>1.4706585807905521</v>
      </c>
      <c r="GG167" s="98">
        <f>IF(ISERROR((GF167/GD167-1)*100),"NA",IF(((GF167/GD167-1)*100)&gt;100,"NM",IF(((GF167/GD167-1)*100)&lt;-50,"NM",(GF167/GD167-1)*100)))</f>
        <v>-17.663848174446596</v>
      </c>
      <c r="GH167" s="262">
        <f>(GH158)/(GH135+GH148)*100</f>
        <v>1.449761166513031</v>
      </c>
      <c r="GI167" s="98">
        <f>IF(ISERROR((GH167/GF167-1)*100),"NA",IF(((GH167/GF167-1)*100)&gt;100,"NM",IF(((GH167/GF167-1)*100)&lt;-50,"NM",(GH167/GF167-1)*100)))</f>
        <v>-1.4209561995203401</v>
      </c>
      <c r="GJ167" s="262">
        <f>(GJ158)/(GJ135+GJ148)*100</f>
        <v>1.7547923091729083</v>
      </c>
      <c r="GK167" s="98">
        <f>IF(ISERROR((GJ167/GH167-1)*100),"NA",IF(((GJ167/GH167-1)*100)&gt;100,"NM",IF(((GJ167/GH167-1)*100)&lt;-50,"NM",(GJ167/GH167-1)*100)))</f>
        <v>21.040096100348649</v>
      </c>
      <c r="GL167" s="262">
        <f>(GL158)/(GL135+GL148)*100</f>
        <v>1.6723024621079976</v>
      </c>
      <c r="GM167" s="98">
        <f>IF(ISERROR((GL167/GJ167-1)*100),"NA",IF(((GL167/GJ167-1)*100)&gt;100,"NM",IF(((GL167/GJ167-1)*100)&lt;-50,"NM",(GL167/GJ167-1)*100)))</f>
        <v>-4.7008324936066543</v>
      </c>
      <c r="GN167" s="262">
        <f>(GN158)/(GN135+GN148)*100</f>
        <v>2.5067750677506777</v>
      </c>
      <c r="GO167" s="98">
        <f>IF(ISERROR((GN167/GL167-1)*100),"NA",IF(((GN167/GL167-1)*100)&gt;100,"NM",IF(((GN167/GL167-1)*100)&lt;-50,"NM",(GN167/GL167-1)*100)))</f>
        <v>49.89962190157857</v>
      </c>
      <c r="GP167" s="262">
        <f>(GP158)/(GP135+GP148)*100</f>
        <v>2.4425674897290914</v>
      </c>
      <c r="GQ167" s="98">
        <f>IF(ISERROR((GP167/GN167-1)*100),"NA",IF(((GP167/GN167-1)*100)&gt;100,"NM",IF(((GP167/GN167-1)*100)&lt;-50,"NM",(GP167/GN167-1)*100)))</f>
        <v>-2.5613617610773298</v>
      </c>
      <c r="GR167" s="252">
        <f>GP167</f>
        <v>2.4425674897290914</v>
      </c>
      <c r="GS167" s="98">
        <f>IF(ISERROR((GR167/GP167-1)*100),"NA",IF(((GR167/GP167-1)*100)&gt;100,"NM",IF(((GR167/GP167-1)*100)&lt;-50,"NM",(GR167/GP167-1)*100)))</f>
        <v>0</v>
      </c>
      <c r="GT167" s="252">
        <f>GR167</f>
        <v>2.4425674897290914</v>
      </c>
      <c r="GU167" s="98">
        <f>IF(ISERROR((GT167/GR167-1)*100),"NA",IF(((GT167/GR167-1)*100)&gt;100,"NM",IF(((GT167/GR167-1)*100)&lt;-50,"NM",(GT167/GR167-1)*100)))</f>
        <v>0</v>
      </c>
      <c r="GV167" s="252">
        <f>GT167</f>
        <v>2.4425674897290914</v>
      </c>
      <c r="GW167" s="98">
        <f>IF(ISERROR((GV167/GT167-1)*100),"NA",IF(((GV167/GT167-1)*100)&gt;100,"NM",IF(((GV167/GT167-1)*100)&lt;-50,"NM",(GV167/GT167-1)*100)))</f>
        <v>0</v>
      </c>
      <c r="GX167" s="252">
        <f>GV167</f>
        <v>2.4425674897290914</v>
      </c>
      <c r="GY167" s="98">
        <f>IF(ISERROR((GX167/GV167-1)*100),"NA",IF(((GX167/GV167-1)*100)&gt;100,"NM",IF(((GX167/GV167-1)*100)&lt;-50,"NM",(GX167/GV167-1)*100)))</f>
        <v>0</v>
      </c>
      <c r="GZ167" s="98">
        <f>IF(ISERROR(((GX167/GN167)^0.2-1)*100),"NA",IF((((GX167/GN167)^0.2-1)*100)&gt;100,"NM",IF((((GX167/GN167)^0.2-1)*100)&lt;-50,"NM",((GX167/GN167)^0.2-1)*100)))</f>
        <v>-0.51760294561271625</v>
      </c>
      <c r="HA167" s="98"/>
      <c r="HB167" s="10"/>
      <c r="HC167"/>
      <c r="HD167"/>
      <c r="HE167"/>
      <c r="HF167"/>
      <c r="HG167"/>
      <c r="HH167"/>
      <c r="HI167" s="10"/>
    </row>
    <row r="168" spans="1:217" s="2" customFormat="1" ht="12.75" customHeight="1" x14ac:dyDescent="0.2">
      <c r="B168" s="102" t="s">
        <v>77</v>
      </c>
      <c r="C168" s="201">
        <f>C161/C160*100</f>
        <v>22.222222222222221</v>
      </c>
      <c r="D168" s="263"/>
      <c r="E168" s="201">
        <f>E161/E160*100</f>
        <v>23.771790808240887</v>
      </c>
      <c r="F168" s="263"/>
      <c r="G168" s="201">
        <f>G161/G160*100</f>
        <v>23.088235294117649</v>
      </c>
      <c r="H168" s="263"/>
      <c r="I168" s="201">
        <f>I161/I160*100</f>
        <v>22.492836676217763</v>
      </c>
      <c r="J168" s="156"/>
      <c r="K168" s="201">
        <f>K161/K160*100</f>
        <v>20.399429386590583</v>
      </c>
      <c r="L168" s="156">
        <f>IF(ISERROR((K168/C168-1)*100),"NA",IF(((K168/C168-1)*100)&gt;100,"NM",IF(((K168/C168-1)*100)&lt;-50,"NM",(K168/C168-1)*100)))</f>
        <v>-8.2025677603423723</v>
      </c>
      <c r="M168" s="201">
        <f>M161/M160*100</f>
        <v>20.234604105571847</v>
      </c>
      <c r="N168" s="156">
        <f>IF(ISERROR((M168/E168-1)*100),"NA",IF(((M168/E168-1)*100)&gt;100,"NM",IF(((M168/E168-1)*100)&lt;-50,"NM",(M168/E168-1)*100)))</f>
        <v>-14.879765395894429</v>
      </c>
      <c r="O168" s="201">
        <f>O161/O160*100</f>
        <v>19.911504424778762</v>
      </c>
      <c r="P168" s="156">
        <f>IF(ISERROR((O168/G168-1)*100),"NA",IF(((O168/G168-1)*100)&gt;100,"NM",IF(((O168/G168-1)*100)&lt;-50,"NM",(O168/G168-1)*100)))</f>
        <v>-13.759089115607914</v>
      </c>
      <c r="Q168" s="201">
        <f>Q161/Q160*100</f>
        <v>18.918918918918919</v>
      </c>
      <c r="R168" s="156">
        <f>IF(ISERROR((Q168/I168-1)*100),"NA",IF(((Q168/I168-1)*100)&gt;100,"NM",IF(((Q168/I168-1)*100)&lt;-50,"NM",(Q168/I168-1)*100)))</f>
        <v>-15.889137545188492</v>
      </c>
      <c r="S168" s="201">
        <f>S161/S160*100</f>
        <v>19.236641221374047</v>
      </c>
      <c r="T168" s="156">
        <f>IF(ISERROR((S168/K168-1)*100),"NA",IF(((S168/K168-1)*100)&gt;100,"NM",IF(((S168/K168-1)*100)&lt;-50,"NM",(S168/K168-1)*100)))</f>
        <v>-5.7001014252922477</v>
      </c>
      <c r="U168" s="201">
        <f>U161/U160*100</f>
        <v>18.722139673105499</v>
      </c>
      <c r="V168" s="156">
        <f>IF(ISERROR((U168/M168-1)*100),"NA",IF(((U168/M168-1)*100)&gt;100,"NM",IF(((U168/M168-1)*100)&lt;-50,"NM",(U168/M168-1)*100)))</f>
        <v>-7.4746430647974593</v>
      </c>
      <c r="W168" s="201">
        <f>W161/W160*100</f>
        <v>20.124804992199689</v>
      </c>
      <c r="X168" s="156">
        <f>IF(ISERROR((W168/O168-1)*100),"NA",IF(((W168/O168-1)*100)&gt;100,"NM",IF(((W168/O168-1)*100)&lt;-50,"NM",(W168/O168-1)*100)))</f>
        <v>1.0712428497139825</v>
      </c>
      <c r="Y168" s="201">
        <f>Y161/Y160*100</f>
        <v>18.694362017804153</v>
      </c>
      <c r="Z168" s="156">
        <f>IF(ISERROR((Y168/Q168-1)*100),"NA",IF(((Y168/Q168-1)*100)&gt;100,"NM",IF(((Y168/Q168-1)*100)&lt;-50,"NM",(Y168/Q168-1)*100)))</f>
        <v>-1.1869436201780492</v>
      </c>
      <c r="AA168" s="201">
        <f>AA161/AA160*100</f>
        <v>18.380062305295951</v>
      </c>
      <c r="AB168" s="156">
        <f>IF(ISERROR((AA168/S168-1)*100),"NA",IF(((AA168/S168-1)*100)&gt;100,"NM",IF(((AA168/S168-1)*100)&lt;-50,"NM",(AA168/S168-1)*100)))</f>
        <v>-4.4528507145329632</v>
      </c>
      <c r="AC168" s="201">
        <f>AC161/AC160*100</f>
        <v>18.397626112759642</v>
      </c>
      <c r="AD168" s="156">
        <f>IF(ISERROR((AC168/U168-1)*100),"NA",IF(((AC168/U168-1)*100)&gt;100,"NM",IF(((AC168/U168-1)*100)&lt;-50,"NM",(AC168/U168-1)*100)))</f>
        <v>-1.7333144929584265</v>
      </c>
      <c r="AE168" s="201">
        <f>AE161/AE160*100</f>
        <v>18.529862174578867</v>
      </c>
      <c r="AF168" s="156">
        <f>IF(ISERROR((AE168/W168-1)*100),"NA",IF(((AE168/W168-1)*100)&gt;100,"NM",IF(((AE168/W168-1)*100)&lt;-50,"NM",(AE168/W168-1)*100)))</f>
        <v>-7.9252584968600548</v>
      </c>
      <c r="AG168" s="201">
        <f>AG161/AG160*100</f>
        <v>17.622950819672131</v>
      </c>
      <c r="AH168" s="156">
        <f>IF(ISERROR((AG168/Y168-1)*100),"NA",IF(((AG168/Y168-1)*100)&gt;100,"NM",IF(((AG168/Y168-1)*100)&lt;-50,"NM",(AG168/Y168-1)*100)))</f>
        <v>-5.7311995836585972</v>
      </c>
      <c r="AI168" s="201">
        <f>AI161/AI160*100</f>
        <v>17.959183673469386</v>
      </c>
      <c r="AJ168" s="156">
        <f>IF(ISERROR((AI168/AA168-1)*100),"NA",IF(((AI168/AA168-1)*100)&gt;100,"NM",IF(((AI168/AA168-1)*100)&lt;-50,"NM",(AI168/AA168-1)*100)))</f>
        <v>-2.2898650985818114</v>
      </c>
      <c r="AK168" s="201">
        <f>AK161/AK160*100</f>
        <v>18.682795698924732</v>
      </c>
      <c r="AL168" s="156">
        <f>IF(ISERROR((AK168/AC168-1)*100),"NA",IF(((AK168/AC168-1)*100)&gt;100,"NM",IF(((AK168/AC168-1)*100)&lt;-50,"NM",(AK168/AC168-1)*100)))</f>
        <v>1.5500346860908953</v>
      </c>
      <c r="AM168" s="201">
        <f>AM161/AM160*100</f>
        <v>19.92287917737789</v>
      </c>
      <c r="AN168" s="156">
        <f>IF(ISERROR((AM168/AE168-1)*100),"NA",IF(((AM168/AE168-1)*100)&gt;100,"NM",IF(((AM168/AE168-1)*100)&lt;-50,"NM",(AM168/AE168-1)*100)))</f>
        <v>7.5176868002294395</v>
      </c>
      <c r="AO168" s="201">
        <f>AO161/AO160*100</f>
        <v>20.697954271961493</v>
      </c>
      <c r="AP168" s="156">
        <f>IF(ISERROR((AO168/AG168-1)*100),"NA",IF(((AO168/AG168-1)*100)&gt;100,"NM",IF(((AO168/AG168-1)*100)&lt;-50,"NM",(AO168/AG168-1)*100)))</f>
        <v>17.448856799037316</v>
      </c>
      <c r="AQ168" s="201">
        <f>AQ161/AQ160*100</f>
        <v>23.877068557919621</v>
      </c>
      <c r="AR168" s="156">
        <f>IF(ISERROR((AQ168/AI168-1)*100),"NA",IF(((AQ168/AI168-1)*100)&gt;100,"NM",IF(((AQ168/AI168-1)*100)&lt;-50,"NM",(AQ168/AI168-1)*100)))</f>
        <v>32.951859015688797</v>
      </c>
      <c r="AS168" s="201">
        <f>AS161/AS160*100</f>
        <v>23.866090712742981</v>
      </c>
      <c r="AT168" s="156">
        <f>IF(ISERROR((AS168/AK168-1)*100),"NA",IF(((AS168/AK168-1)*100)&gt;100,"NM",IF(((AS168/AK168-1)*100)&lt;-50,"NM",(AS168/AK168-1)*100)))</f>
        <v>27.743679786192633</v>
      </c>
      <c r="AU168" s="201">
        <f>AU161/AU160*100</f>
        <v>30.996015936254977</v>
      </c>
      <c r="AV168" s="156">
        <f>IF(ISERROR((AU168/AM168-1)*100),"NA",IF(((AU168/AM168-1)*100)&gt;100,"NM",IF(((AU168/AM168-1)*100)&lt;-50,"NM",(AU168/AM168-1)*100)))</f>
        <v>55.580002570363703</v>
      </c>
      <c r="AW168" s="201">
        <f>AW161/AW160*100</f>
        <v>31.814611154752555</v>
      </c>
      <c r="AX168" s="156">
        <f>IF(ISERROR((AW168/AO168-1)*100),"NA",IF(((AW168/AO168-1)*100)&gt;100,"NM",IF(((AW168/AO168-1)*100)&lt;-50,"NM",(AW168/AO168-1)*100)))</f>
        <v>53.70896435813588</v>
      </c>
      <c r="AY168" s="201">
        <f>AY161/AY160*100</f>
        <v>34.716981132075468</v>
      </c>
      <c r="AZ168" s="156">
        <f>IF(ISERROR((AY168/AQ168-1)*100),"NA",IF(((AY168/AQ168-1)*100)&gt;100,"NM",IF(((AY168/AQ168-1)*100)&lt;-50,"NM",(AY168/AQ168-1)*100)))</f>
        <v>45.398841770969533</v>
      </c>
      <c r="BA168" s="201">
        <f>BA161/BA160*100</f>
        <v>34.82733284349743</v>
      </c>
      <c r="BB168" s="156">
        <f>IF(ISERROR((BA168/AS168-1)*100),"NA",IF(((BA168/AS168-1)*100)&gt;100,"NM",IF(((BA168/AS168-1)*100)&lt;-50,"NM",(BA168/AS168-1)*100)))</f>
        <v>45.928100511667957</v>
      </c>
      <c r="BC168" s="201">
        <f>BC161/BC160*100</f>
        <v>38.528138528138527</v>
      </c>
      <c r="BD168" s="156">
        <f>IF(ISERROR((BC168/AU168-1)*100),"NA",IF(((BC168/AU168-1)*100)&gt;100,"NM",IF(((BC168/AU168-1)*100)&lt;-50,"NM",(BC168/AU168-1)*100)))</f>
        <v>24.300292680755419</v>
      </c>
      <c r="BE168" s="201">
        <f>BE161/BE160*100</f>
        <v>35.946843853820596</v>
      </c>
      <c r="BF168" s="156">
        <f>IF(ISERROR((BE168/AW168-1)*100),"NA",IF(((BE168/AW168-1)*100)&gt;100,"NM",IF(((BE168/AW168-1)*100)&lt;-50,"NM",(BE168/AW168-1)*100)))</f>
        <v>12.98847463188546</v>
      </c>
      <c r="BG168" s="201">
        <f>BG161/BG160*100</f>
        <v>38.828337874659404</v>
      </c>
      <c r="BH168" s="156">
        <f>IF(ISERROR((BG168/AY168-1)*100),"NA",IF(((BG168/AY168-1)*100)&gt;100,"NM",IF(((BG168/AY168-1)*100)&lt;-50,"NM",(BG168/AY168-1)*100)))</f>
        <v>11.842494965051564</v>
      </c>
      <c r="BI168" s="201">
        <f>BI161/BI160*100</f>
        <v>38.178415470991887</v>
      </c>
      <c r="BJ168" s="156">
        <f>IF(ISERROR((BI168/BA168-1)*100),"NA",IF(((BI168/BA168-1)*100)&gt;100,"NM",IF(((BI168/BA168-1)*100)&lt;-50,"NM",(BI168/BA168-1)*100)))</f>
        <v>9.6219904135442125</v>
      </c>
      <c r="BK168" s="201">
        <f>BK161/BK160*100</f>
        <v>41.812297734627826</v>
      </c>
      <c r="BL168" s="156">
        <f>IF(ISERROR((BK168/BC168-1)*100),"NA",IF(((BK168/BC168-1)*100)&gt;100,"NM",IF(((BK168/BC168-1)*100)&lt;-50,"NM",(BK168/BC168-1)*100)))</f>
        <v>8.5240536707756007</v>
      </c>
      <c r="BM168" s="201">
        <f>BM161/BM160*100</f>
        <v>38.156288156288156</v>
      </c>
      <c r="BN168" s="98">
        <f>IF(ISERROR((BM168/BE168-1)*100),"NA",IF(((BM168/BE168-1)*100)&gt;100,"NM",IF(((BM168/BE168-1)*100)&lt;-50,"NM",(BM168/BE168-1)*100)))</f>
        <v>6.1464208414300892</v>
      </c>
      <c r="BO168" s="202">
        <f>BO161/BO160*100</f>
        <v>35.685752330226364</v>
      </c>
      <c r="BP168" s="98">
        <f>IF(ISERROR((BO168/BG168-1)*100),"NA",IF(((BO168/BG168-1)*100)&gt;100,"NM",IF(((BO168/BG168-1)*100)&lt;-50,"NM",(BO168/BG168-1)*100)))</f>
        <v>-8.0935361039082494</v>
      </c>
      <c r="BQ168" s="202">
        <f>BQ161/BQ160*100</f>
        <v>33.594306049822066</v>
      </c>
      <c r="BR168" s="98">
        <f>IF(ISERROR((BQ168/BI168-1)*100),"NA",IF(((BQ168/BI168-1)*100)&gt;100,"NM",IF(((BQ168/BI168-1)*100)&lt;-50,"NM",(BQ168/BI168-1)*100)))</f>
        <v>-12.007070918521611</v>
      </c>
      <c r="BS168" s="202">
        <f>BS161/BS160*100</f>
        <v>36.49742457689478</v>
      </c>
      <c r="BT168" s="98">
        <f>IF(ISERROR((BS168/BK168-1)*100),"NA",IF(((BS168/BK168-1)*100)&gt;100,"NM",IF(((BS168/BK168-1)*100)&lt;-50,"NM",(BS168/BK168-1)*100)))</f>
        <v>-12.71126784628105</v>
      </c>
      <c r="BU168" s="202">
        <f>BU161/BU160*100</f>
        <v>44.545454545454547</v>
      </c>
      <c r="BV168" s="98">
        <f>IF(ISERROR((BU168/BM168-1)*100),"NA",IF(((BU168/BM168-1)*100)&gt;100,"NM",IF(((BU168/BM168-1)*100)&lt;-50,"NM",(BU168/BM168-1)*100)))</f>
        <v>16.744727272727289</v>
      </c>
      <c r="BW168" s="202">
        <f>BW161/BW160*100</f>
        <v>41.314131413141311</v>
      </c>
      <c r="BX168" s="98">
        <f>IF(ISERROR((BW168/BO168-1)*100),"NA",IF(((BW168/BO168-1)*100)&gt;100,"NM",IF(((BW168/BO168-1)*100)&lt;-50,"NM",(BW168/BO168-1)*100)))</f>
        <v>15.772062280854948</v>
      </c>
      <c r="BY168" s="202">
        <f>BY161/BY160*100</f>
        <v>34.690415606446138</v>
      </c>
      <c r="BZ168" s="98">
        <f>IF(ISERROR((BY168/BQ168-1)*100),"NA",IF(((BY168/BQ168-1)*100)&gt;100,"NM",IF(((BY168/BQ168-1)*100)&lt;-50,"NM",(BY168/BQ168-1)*100)))</f>
        <v>3.2627837437644525</v>
      </c>
      <c r="CA168" s="202">
        <f>CA161/CA160*100</f>
        <v>32.231404958677686</v>
      </c>
      <c r="CB168" s="98">
        <f>IF(ISERROR((CA168/BS168-1)*100),"NA",IF(((CA168/BS168-1)*100)&gt;100,"NM",IF(((CA168/BS168-1)*100)&lt;-50,"NM",(CA168/BS168-1)*100)))</f>
        <v>-11.68854972007466</v>
      </c>
      <c r="CC168" s="202">
        <f>CC161/CC160*100</f>
        <v>31.53910849453322</v>
      </c>
      <c r="CD168" s="98">
        <f>IF(ISERROR((CC168/BU168-1)*100),"NA",IF(((CC168/BU168-1)*100)&gt;100,"NM",IF(((CC168/BU168-1)*100)&lt;-50,"NM",(CC168/BU168-1)*100)))</f>
        <v>-29.197919706149911</v>
      </c>
      <c r="CE168" s="202">
        <f>CE161/CE160*100</f>
        <v>29.806884970612931</v>
      </c>
      <c r="CF168" s="98">
        <f>IF(ISERROR((CE168/BW168-1)*100),"NA",IF(((CE168/BW168-1)*100)&gt;100,"NM",IF(((CE168/BW168-1)*100)&lt;-50,"NM",(CE168/BW168-1)*100)))</f>
        <v>-27.853051846729915</v>
      </c>
      <c r="CG168" s="202">
        <f>CG161/CG160*100</f>
        <v>29.497568881685577</v>
      </c>
      <c r="CH168" s="98">
        <f>IF(ISERROR((CG168/BY168-1)*100),"NA",IF(((CG168/BY168-1)*100)&gt;100,"NM",IF(((CG168/BY168-1)*100)&lt;-50,"NM",(CG168/BY168-1)*100)))</f>
        <v>-14.969110729811009</v>
      </c>
      <c r="CI168" s="202">
        <f>CI161/CI160*100</f>
        <v>31.25</v>
      </c>
      <c r="CJ168" s="98">
        <f>IF(ISERROR((CI168/CA168-1)*100),"NA",IF(((CI168/CA168-1)*100)&gt;100,"NM",IF(((CI168/CA168-1)*100)&lt;-50,"NM",(CI168/CA168-1)*100)))</f>
        <v>-3.0448717948717952</v>
      </c>
      <c r="CK168" s="202">
        <f>CK161/CK160*100</f>
        <v>26.351865955826355</v>
      </c>
      <c r="CL168" s="98">
        <f>IF(ISERROR((CK168/CC168-1)*100),"NA",IF(((CK168/CC168-1)*100)&gt;100,"NM",IF(((CK168/CC168-1)*100)&lt;-50,"NM",(CK168/CC168-1)*100)))</f>
        <v>-16.447017009393239</v>
      </c>
      <c r="CM168" s="202">
        <f>CM161/CM160*100</f>
        <v>24.170274170274169</v>
      </c>
      <c r="CN168" s="98">
        <f>IF(ISERROR((CM168/CE168-1)*100),"NA",IF(((CM168/CE168-1)*100)&gt;100,"NM",IF(((CM168/CE168-1)*100)&lt;-50,"NM",(CM168/CE168-1)*100)))</f>
        <v>-18.910432290713985</v>
      </c>
      <c r="CO168" s="202">
        <f>CO161/CO160*100</f>
        <v>23.508522727272727</v>
      </c>
      <c r="CP168" s="98">
        <f>IF(ISERROR((CO168/CG168-1)*100),"NA",IF(((CO168/CG168-1)*100)&gt;100,"NM",IF(((CO168/CG168-1)*100)&lt;-50,"NM",(CO168/CG168-1)*100)))</f>
        <v>-20.303524600399601</v>
      </c>
      <c r="CQ168" s="551">
        <f>CQ161/CQ160*100</f>
        <v>23.781818181818181</v>
      </c>
      <c r="CR168" s="98">
        <f>IF(ISERROR((CQ168/CI168-1)*100),"NA",IF(((CQ168/CI168-1)*100)&gt;100,"NM",IF(((CQ168/CI168-1)*100)&lt;-50,"NM",(CQ168/CI168-1)*100)))</f>
        <v>-23.898181818181818</v>
      </c>
      <c r="CS168" s="202">
        <f>CS161/CS160*100</f>
        <v>24.682124158563948</v>
      </c>
      <c r="CT168" s="98">
        <f>IF(ISERROR((CS168/CK168-1)*100),"NA",IF(((CS168/CK168-1)*100)&gt;100,"NM",IF(((CS168/CK168-1)*100)&lt;-50,"NM",(CS168/CK168-1)*100)))</f>
        <v>-6.336332311576709</v>
      </c>
      <c r="CU168" s="202">
        <f>CU161/CU160*100</f>
        <v>24.197002141327623</v>
      </c>
      <c r="CV168" s="98">
        <f>IF(ISERROR((CU168/CM168-1)*100),"NA",IF(((CU168/CM168-1)*100)&gt;100,"NM",IF(((CU168/CM168-1)*100)&lt;-50,"NM",(CU168/CM168-1)*100)))</f>
        <v>0.11058199367190991</v>
      </c>
      <c r="CW168" s="202">
        <f>CW161/CW160*100</f>
        <v>23.619846261355697</v>
      </c>
      <c r="CX168" s="98">
        <f>IF(ISERROR((CW168/CO168-1)*100),"NA",IF(((CW168/CO168-1)*100)&gt;100,"NM",IF(((CW168/CO168-1)*100)&lt;-50,"NM",(CW168/CO168-1)*100)))</f>
        <v>0.47354542594810756</v>
      </c>
      <c r="CY168" s="202">
        <f>CY161/CY160*100</f>
        <v>23.856439127375086</v>
      </c>
      <c r="CZ168" s="98">
        <f>IF(ISERROR((CY168/CQ168-1)*100),"NA",IF(((CY168/CQ168-1)*100)&gt;100,"NM",IF(((CY168/CQ168-1)*100)&lt;-50,"NM",(CY168/CQ168-1)*100)))</f>
        <v>0.31377308911542112</v>
      </c>
      <c r="DA168" s="202">
        <f>DA161/DA160*100</f>
        <v>23.586206896551722</v>
      </c>
      <c r="DB168" s="98">
        <f>IF(ISERROR((DA168/CS168-1)*100),"NA",IF(((DA168/CS168-1)*100)&gt;100,"NM",IF(((DA168/CS168-1)*100)&lt;-50,"NM",(DA168/CS168-1)*100)))</f>
        <v>-4.440125391849536</v>
      </c>
      <c r="DC168" s="202">
        <f>DC161/DC160*100</f>
        <v>24.676258992805757</v>
      </c>
      <c r="DD168" s="98">
        <f>IF(ISERROR((DC168/CU168-1)*100),"NA",IF(((DC168/CU168-1)*100)&gt;100,"NM",IF(((DC168/CU168-1)*100)&lt;-50,"NM",(DC168/CU168-1)*100)))</f>
        <v>1.9806455720379423</v>
      </c>
      <c r="DE168" s="202">
        <f>DE161/DE160*100</f>
        <v>21.754636233951498</v>
      </c>
      <c r="DF168" s="98">
        <f>IF(ISERROR((DE168/CW168-1)*100),"NA",IF(((DE168/CW168-1)*100)&gt;100,"NM",IF(((DE168/CW168-1)*100)&lt;-50,"NM",(DE168/CW168-1)*100)))</f>
        <v>-7.8967915657260583</v>
      </c>
      <c r="DG168" s="202">
        <f>DG161/DG160*100</f>
        <v>21.098265895953759</v>
      </c>
      <c r="DH168" s="98">
        <f>IF(ISERROR((DG168/CY168-1)*100),"NA",IF(((DG168/CY168-1)*100)&gt;100,"NM",IF(((DG168/CY168-1)*100)&lt;-50,"NM",(DG168/CY168-1)*100)))</f>
        <v>-11.561546200146633</v>
      </c>
      <c r="DI168" s="202">
        <f>DI161/DI160*100</f>
        <v>20.27681660899654</v>
      </c>
      <c r="DJ168" s="98">
        <f>IF(ISERROR((DI168/DA168-1)*100),"NA",IF(((DI168/DA168-1)*100)&gt;100,"NM",IF(((DI168/DA168-1)*100)&lt;-50,"NM",(DI168/DA168-1)*100)))</f>
        <v>-14.031040692850915</v>
      </c>
      <c r="DK168" s="202">
        <f>DK161/DK160*100</f>
        <v>20.115774240231548</v>
      </c>
      <c r="DL168" s="98">
        <f>IF(ISERROR((DK168/DC168-1)*100),"NA",IF(((DK168/DC168-1)*100)&gt;100,"NM",IF(((DK168/DC168-1)*100)&lt;-50,"NM",(DK168/DC168-1)*100)))</f>
        <v>-18.481264740752621</v>
      </c>
      <c r="DM168" s="202">
        <f>DM161/DM160*100</f>
        <v>20.311394196744516</v>
      </c>
      <c r="DN168" s="98">
        <f>IF(ISERROR((DM168/DE168-1)*100),"NA",IF(((DM168/DE168-1)*100)&gt;100,"NM",IF(((DM168/DE168-1)*100)&lt;-50,"NM",(DM168/DE168-1)*100)))</f>
        <v>-6.6341814300465263</v>
      </c>
      <c r="DO168" s="202">
        <f>DO161/DO160*100</f>
        <v>19.057377049180328</v>
      </c>
      <c r="DP168" s="98">
        <f>IF(ISERROR((DO168/DG168-1)*100),"NA",IF(((DO168/DG168-1)*100)&gt;100,"NM",IF(((DO168/DG168-1)*100)&lt;-50,"NM",(DO168/DG168-1)*100)))</f>
        <v>-9.6732539860768121</v>
      </c>
      <c r="DQ168" s="202">
        <f>DQ161/DQ160*100</f>
        <v>20.771929824561404</v>
      </c>
      <c r="DR168" s="98">
        <f>IF(ISERROR((DQ168/DI168-1)*100),"NA",IF(((DQ168/DI168-1)*100)&gt;100,"NM",IF(((DQ168/DI168-1)*100)&lt;-50,"NM",(DQ168/DI168-1)*100)))</f>
        <v>2.4417699538949789</v>
      </c>
      <c r="DS168" s="202">
        <f>DS161/DS160*100</f>
        <v>21.846661170651277</v>
      </c>
      <c r="DT168" s="98">
        <f>IF(ISERROR((DS168/DK168-1)*100),"NA",IF(((DS168/DK168-1)*100)&gt;100,"NM",IF(((DS168/DK168-1)*100)&lt;-50,"NM",(DS168/DK168-1)*100)))</f>
        <v>8.6046249562592223</v>
      </c>
      <c r="DU168" s="202">
        <f>DU161/DU160*100</f>
        <v>20.150943396226413</v>
      </c>
      <c r="DV168" s="98">
        <f>IF(ISERROR((DU168/DM168-1)*100),"NA",IF(((DU168/DM168-1)*100)&gt;100,"NM",IF(((DU168/DM168-1)*100)&lt;-50,"NM",(DU168/DM168-1)*100)))</f>
        <v>-0.78995463809086175</v>
      </c>
      <c r="DW168" s="202">
        <f>DW161/DW160*100</f>
        <v>22.426778242677827</v>
      </c>
      <c r="DX168" s="98">
        <f>IF(ISERROR((DW168/DO168-1)*100),"NA",IF(((DW168/DO168-1)*100)&gt;100,"NM",IF(((DW168/DO168-1)*100)&lt;-50,"NM",(DW168/DO168-1)*100)))</f>
        <v>17.680298735771814</v>
      </c>
      <c r="DY168" s="202">
        <f>DY161/DY160*100</f>
        <v>23.434856175972925</v>
      </c>
      <c r="DZ168" s="98">
        <f>IF(ISERROR((DY168/DQ168-1)*100),"NA",IF(((DY168/DQ168-1)*100)&gt;100,"NM",IF(((DY168/DQ168-1)*100)&lt;-50,"NM",(DY168/DQ168-1)*100)))</f>
        <v>12.819831252572357</v>
      </c>
      <c r="EA168" s="202">
        <f>EA161/EA160*100</f>
        <v>24.742268041237114</v>
      </c>
      <c r="EB168" s="98">
        <f>IF(ISERROR((EA168/DS168-1)*100),"NA",IF(((EA168/DS168-1)*100)&gt;100,"NM",IF(((EA168/DS168-1)*100)&lt;-50,"NM",(EA168/DS168-1)*100)))</f>
        <v>13.254230694417446</v>
      </c>
      <c r="EC168" s="202">
        <f>EC161/EC160*100</f>
        <v>23.083067092651756</v>
      </c>
      <c r="ED168" s="98">
        <f>IF(ISERROR((EC168/DU168-1)*100),"NA",IF(((EC168/DU168-1)*100)&gt;100,"NM",IF(((EC168/DU168-1)*100)&lt;-50,"NM",(EC168/DU168-1)*100)))</f>
        <v>14.550801115219404</v>
      </c>
      <c r="EE168" s="202">
        <f>EE161/EE160*100</f>
        <v>22.978382706164933</v>
      </c>
      <c r="EF168" s="860">
        <f>IF(ISERROR((EE168/DW168-1)*100),"NA",IF(((EE168/DW168-1)*100)&gt;100,"NM",IF(((EE168/DW168-1)*100)&lt;-50,"NM",(EE168/DW168-1)*100)))</f>
        <v>2.4595796039816875</v>
      </c>
      <c r="EG168" s="202">
        <f>EG161/EG160*100</f>
        <v>23.387723387723387</v>
      </c>
      <c r="EH168" s="860">
        <f>IF(ISERROR((EG168/DY168-1)*100),"NA",IF(((EG168/DY168-1)*100)&gt;100,"NM",IF(((EG168/DY168-1)*100)&lt;-50,"NM",(EG168/DY168-1)*100)))</f>
        <v>-0.20112258379405556</v>
      </c>
      <c r="EI168" s="202">
        <f>EI161/EI160*100</f>
        <v>24.669260700389106</v>
      </c>
      <c r="EJ168" s="860">
        <f t="shared" si="1014"/>
        <v>-0.29507133592736601</v>
      </c>
      <c r="EK168" s="202">
        <f>EK161/EK160*100</f>
        <v>25.917065390749599</v>
      </c>
      <c r="EL168" s="860">
        <f t="shared" si="1015"/>
        <v>12.277390550929068</v>
      </c>
      <c r="EM168" s="202">
        <f>EM161/EM160*100</f>
        <v>26.802507836990596</v>
      </c>
      <c r="EN168" s="860">
        <f t="shared" si="1016"/>
        <v>16.642272781885904</v>
      </c>
      <c r="EO168" s="202">
        <f>EO161/EO160*100</f>
        <v>27.357032457496139</v>
      </c>
      <c r="EP168" s="98">
        <f t="shared" si="1017"/>
        <v>16.97176336477586</v>
      </c>
      <c r="EQ168" s="1032">
        <v>27</v>
      </c>
      <c r="ER168" s="98">
        <f t="shared" si="1018"/>
        <v>9.4479495268138702</v>
      </c>
      <c r="ES168" s="1032">
        <f t="shared" si="1019"/>
        <v>27</v>
      </c>
      <c r="ET168" s="98">
        <f t="shared" si="1020"/>
        <v>4.1784615384615531</v>
      </c>
      <c r="EU168" s="1032">
        <f t="shared" si="1021"/>
        <v>27</v>
      </c>
      <c r="EV168" s="98">
        <f t="shared" si="1022"/>
        <v>0.73684210526314686</v>
      </c>
      <c r="EW168" s="1032">
        <f t="shared" si="1023"/>
        <v>27</v>
      </c>
      <c r="EX168" s="98">
        <f t="shared" si="1024"/>
        <v>-1.305084745762719</v>
      </c>
      <c r="EY168" s="238"/>
      <c r="EZ168" s="594"/>
      <c r="FA168" s="405"/>
      <c r="FB168" s="218" t="s">
        <v>494</v>
      </c>
      <c r="FC168" s="113"/>
      <c r="FD168" s="202">
        <f>FD161/FD160*100</f>
        <v>23.83107088989442</v>
      </c>
      <c r="FE168" s="98" t="str">
        <f>IF(ISERROR((FD168/FB168-1)*100),"NA",IF(((FD168/FB168-1)*100)&gt;100,"NM",IF(((FD168/FB168-1)*100)&lt;-50,"NM",(FD168/FB168-1)*100)))</f>
        <v>NA</v>
      </c>
      <c r="FF168" s="202">
        <f>FF161/FF160*100</f>
        <v>22.889733840304181</v>
      </c>
      <c r="FG168" s="98">
        <f>IF(ISERROR((FF168/FD168-1)*100),"NA",IF(((FF168/FD168-1)*100)&gt;100,"NM",IF(((FF168/FD168-1)*100)&lt;-50,"NM",(FF168/FD168-1)*100)))</f>
        <v>-3.9500409106223322</v>
      </c>
      <c r="FH168" s="202">
        <f>FH161/FH160*100</f>
        <v>19.862518089725036</v>
      </c>
      <c r="FI168" s="98">
        <f>IF(ISERROR((FH168/FF168-1)*100),"NA",IF(((FH168/FF168-1)*100)&gt;100,"NM",IF(((FH168/FF168-1)*100)&lt;-50,"NM",(FH168/FF168-1)*100)))</f>
        <v>-13.225211667812541</v>
      </c>
      <c r="FJ168" s="202">
        <f>FJ161/FJ160*100</f>
        <v>19.182746878547103</v>
      </c>
      <c r="FK168" s="98">
        <f>IF(ISERROR((FJ168/FH168-1)*100),"NA",IF(((FJ168/FH168-1)*100)&gt;100,"NM",IF(((FJ168/FH168-1)*100)&lt;-50,"NM",(FJ168/FH168-1)*100)))</f>
        <v>-3.4223818355114899</v>
      </c>
      <c r="FL168" s="202">
        <f>FL161/FL160*100</f>
        <v>18.215475749722327</v>
      </c>
      <c r="FM168" s="98">
        <f>IF(ISERROR((FL168/FJ168-1)*100),"NA",IF(((FL168/FJ168-1)*100)&gt;100,"NM",IF(((FL168/FJ168-1)*100)&lt;-50,"NM",(FL168/FJ168-1)*100)))</f>
        <v>-5.0424015650569753</v>
      </c>
      <c r="FN168" s="202">
        <f>FN161/FN160*100</f>
        <v>19.365284974093264</v>
      </c>
      <c r="FO168" s="98">
        <f>IF(ISERROR((FN168/FL168-1)*100),"NA",IF(((FN168/FL168-1)*100)&gt;100,"NM",IF(((FN168/FL168-1)*100)&lt;-50,"NM",(FN168/FL168-1)*100)))</f>
        <v>6.3122656809469602</v>
      </c>
      <c r="FP168" s="202">
        <f>FP161/FP160*100</f>
        <v>28.302325581395348</v>
      </c>
      <c r="FQ168" s="98">
        <f>IF(ISERROR((FP168/FN168-1)*100),"NA",IF(((FP168/FN168-1)*100)&gt;100,"NM",IF(((FP168/FN168-1)*100)&lt;-50,"NM",(FP168/FN168-1)*100)))</f>
        <v>46.149801664462942</v>
      </c>
      <c r="FR168" s="239">
        <f>FR161/FR160*100</f>
        <v>36.022951407566794</v>
      </c>
      <c r="FS168" s="120">
        <f>IF(ISERROR((FR168/FP168-1)*100),"NA",IF(((FR168/FP168-1)*100)&gt;100,"NM",IF(((FR168/FP168-1)*100)&lt;-50,"NM",(FR168/FP168-1)*100)))</f>
        <v>27.27912165368711</v>
      </c>
      <c r="FT168" s="239">
        <f>FT161/FT160*100</f>
        <v>39.222897345698755</v>
      </c>
      <c r="FU168" s="120">
        <f>IF(ISERROR((FT168/FR168-1)*100),"NA",IF(((FT168/FR168-1)*100)&gt;100,"NM",IF(((FT168/FR168-1)*100)&lt;-50,"NM",(FT168/FR168-1)*100)))</f>
        <v>8.8830754091398401</v>
      </c>
      <c r="FV168" s="239">
        <f>FV161/FV160*100</f>
        <v>39.121552604698671</v>
      </c>
      <c r="FW168" s="98">
        <f>IF(ISERROR((FV168/FT168-1)*100),"NA",IF(((FV168/FT168-1)*100)&gt;100,"NM",IF(((FV168/FT168-1)*100)&lt;-50,"NM",(FV168/FT168-1)*100)))</f>
        <v>-0.2583815777474574</v>
      </c>
      <c r="FX168" s="513">
        <f>FX161/FX160*100</f>
        <v>34.826188952868414</v>
      </c>
      <c r="FY168" s="98">
        <f>IF(ISERROR((FX168/FV168-1)*100),"NA",IF(((FX168/FV168-1)*100)&gt;100,"NM",IF(((FX168/FV168-1)*100)&lt;-50,"NM",(FX168/FV168-1)*100)))</f>
        <v>-10.979532676610503</v>
      </c>
      <c r="FZ168" s="239">
        <f>FZ161/FZ160*100</f>
        <v>29.168348809043199</v>
      </c>
      <c r="GA168" s="98">
        <f>IF(ISERROR((FZ168/FX168-1)*100),"NA",IF(((FZ168/FX168-1)*100)&gt;100,"NM",IF(((FZ168/FX168-1)*100)&lt;-50,"NM",(FZ168/FX168-1)*100)))</f>
        <v>-16.245935354804921</v>
      </c>
      <c r="GB168" s="513">
        <f>GB161/GB160*100</f>
        <v>24.028332727933162</v>
      </c>
      <c r="GC168" s="98">
        <f>IF(ISERROR((GB168/FZ168-1)*100),"NA",IF(((GB168/FZ168-1)*100)&gt;100,"NM",IF(((GB168/FZ168-1)*100)&lt;-50,"NM",(GB168/FZ168-1)*100)))</f>
        <v>-17.621895962504585</v>
      </c>
      <c r="GD168" s="239">
        <f>GD161/GD160*100</f>
        <v>23.812028756794671</v>
      </c>
      <c r="GE168" s="98">
        <f>IF(ISERROR((GD168/GB168-1)*100),"NA",IF(((GD168/GB168-1)*100)&gt;100,"NM",IF(((GD168/GB168-1)*100)&lt;-50,"NM",(GD168/GB168-1)*100)))</f>
        <v>-0.90020382848716718</v>
      </c>
      <c r="GF168" s="239">
        <f>GF161/GF160*100</f>
        <v>21.935598647927414</v>
      </c>
      <c r="GG168" s="98">
        <f>IF(ISERROR((GF168/GD168-1)*100),"NA",IF(((GF168/GD168-1)*100)&gt;100,"NM",IF(((GF168/GD168-1)*100)&lt;-50,"NM",(GF168/GD168-1)*100)))</f>
        <v>-7.8801774012297265</v>
      </c>
      <c r="GH168" s="239">
        <f>GH161/GH160*100</f>
        <v>20.056298381421534</v>
      </c>
      <c r="GI168" s="98">
        <f>IF(ISERROR((GH168/GF168-1)*100),"NA",IF(((GH168/GF168-1)*100)&gt;100,"NM",IF(((GH168/GF168-1)*100)&lt;-50,"NM",(GH168/GF168-1)*100)))</f>
        <v>-8.5673534452794353</v>
      </c>
      <c r="GJ168" s="239">
        <f>GJ161/GJ160*100</f>
        <v>21.912512716174977</v>
      </c>
      <c r="GK168" s="98">
        <f>IF(ISERROR((GJ168/GH168-1)*100),"NA",IF(((GJ168/GH168-1)*100)&gt;100,"NM",IF(((GJ168/GH168-1)*100)&lt;-50,"NM",(GJ168/GH168-1)*100)))</f>
        <v>9.2550195427531179</v>
      </c>
      <c r="GL168" s="239">
        <f>GL161/GL160*100</f>
        <v>23.525848142164783</v>
      </c>
      <c r="GM168" s="98">
        <f>IF(ISERROR((GL168/GJ168-1)*100),"NA",IF(((GL168/GJ168-1)*100)&gt;100,"NM",IF(((GL168/GJ168-1)*100)&lt;-50,"NM",(GL168/GJ168-1)*100)))</f>
        <v>7.3626217444195952</v>
      </c>
      <c r="GN168" s="239">
        <f>GN161/GN160*100</f>
        <v>26.189078097475043</v>
      </c>
      <c r="GO168" s="98">
        <f>IF(ISERROR((GN168/GL168-1)*100),"NA",IF(((GN168/GL168-1)*100)&gt;100,"NM",IF(((GN168/GL168-1)*100)&lt;-50,"NM",(GN168/GL168-1)*100)))</f>
        <v>11.320441835790906</v>
      </c>
      <c r="GP168" s="239">
        <f>GP161/GP160*100</f>
        <v>27</v>
      </c>
      <c r="GQ168" s="98">
        <f>IF(ISERROR((GP168/GN168-1)*100),"NA",IF(((GP168/GN168-1)*100)&gt;100,"NM",IF(((GP168/GN168-1)*100)&lt;-50,"NM",(GP168/GN168-1)*100)))</f>
        <v>3.096412556053818</v>
      </c>
      <c r="GR168" s="238">
        <f>GP168+0.1</f>
        <v>27.1</v>
      </c>
      <c r="GS168" s="98">
        <f>IF(ISERROR((GR168/GP168-1)*100),"NA",IF(((GR168/GP168-1)*100)&gt;100,"NM",IF(((GR168/GP168-1)*100)&lt;-50,"NM",(GR168/GP168-1)*100)))</f>
        <v>0.37037037037037646</v>
      </c>
      <c r="GT168" s="238">
        <f>GR168+0.1</f>
        <v>27.200000000000003</v>
      </c>
      <c r="GU168" s="98">
        <f>IF(ISERROR((GT168/GR168-1)*100),"NA",IF(((GT168/GR168-1)*100)&gt;100,"NM",IF(((GT168/GR168-1)*100)&lt;-50,"NM",(GT168/GR168-1)*100)))</f>
        <v>0.36900369003689537</v>
      </c>
      <c r="GV168" s="238">
        <f>GT168+0.1</f>
        <v>27.300000000000004</v>
      </c>
      <c r="GW168" s="98">
        <f>IF(ISERROR((GV168/GT168-1)*100),"NA",IF(((GV168/GT168-1)*100)&gt;100,"NM",IF(((GV168/GT168-1)*100)&lt;-50,"NM",(GV168/GT168-1)*100)))</f>
        <v>0.36764705882352811</v>
      </c>
      <c r="GX168" s="238">
        <f>GV168+0.1</f>
        <v>27.400000000000006</v>
      </c>
      <c r="GY168" s="98">
        <f>IF(ISERROR((GX168/GV168-1)*100),"NA",IF(((GX168/GV168-1)*100)&gt;100,"NM",IF(((GX168/GV168-1)*100)&lt;-50,"NM",(GX168/GV168-1)*100)))</f>
        <v>0.366300366300365</v>
      </c>
      <c r="GZ168" s="98">
        <f>IF(ISERROR(((GX168/GN168)^0.2-1)*100),"NA",IF((((GX168/GN168)^0.2-1)*100)&gt;100,"NM",IF((((GX168/GN168)^0.2-1)*100)&lt;-50,"NM",((GX168/GN168)^0.2-1)*100)))</f>
        <v>0.90810964255934046</v>
      </c>
      <c r="HA168" s="98"/>
      <c r="HB168" s="10"/>
      <c r="HC168"/>
      <c r="HD168"/>
      <c r="HE168"/>
      <c r="HF168"/>
      <c r="HG168"/>
      <c r="HH168"/>
      <c r="HI168" s="10"/>
    </row>
    <row r="169" spans="1:217" s="2" customFormat="1" ht="12.75" customHeight="1" x14ac:dyDescent="0.2">
      <c r="B169" s="102" t="s">
        <v>290</v>
      </c>
      <c r="C169" s="241">
        <f>(C160*4)/C$135*100</f>
        <v>7.8962426091932105</v>
      </c>
      <c r="D169" s="156"/>
      <c r="E169" s="241">
        <f>(E160*4)/E$135*100</f>
        <v>8.01511566980518</v>
      </c>
      <c r="F169" s="156"/>
      <c r="G169" s="241">
        <f>(G160*4)/G$135*100</f>
        <v>8.617958304289969</v>
      </c>
      <c r="H169" s="156"/>
      <c r="I169" s="241">
        <f>(I160*4)/I$135*100</f>
        <v>8.7946702786133901</v>
      </c>
      <c r="J169" s="156"/>
      <c r="K169" s="241">
        <f>(K160*4)/K$135*100</f>
        <v>8.6839375029034205</v>
      </c>
      <c r="L169" s="156">
        <f>IF(ISERROR((K169/C169-1)*100),"NA",IF(((K169/C169-1)*100)&gt;100,"NM",IF(((K169/C169-1)*100)&lt;-50,"NM",(K169/C169-1)*100)))</f>
        <v>9.975566008991855</v>
      </c>
      <c r="M169" s="241">
        <f>(M160*4)/M$135*100</f>
        <v>8.4228726688897115</v>
      </c>
      <c r="N169" s="156">
        <f>IF(ISERROR((M169/E169-1)*100),"NA",IF(((M169/E169-1)*100)&gt;100,"NM",IF(((M169/E169-1)*100)&lt;-50,"NM",(M169/E169-1)*100)))</f>
        <v>5.0873501504244967</v>
      </c>
      <c r="O169" s="241">
        <f>(O160*4)/O$135*100</f>
        <v>8.2762409020858456</v>
      </c>
      <c r="P169" s="156">
        <f>IF(ISERROR((O169/G169-1)*100),"NA",IF(((O169/G169-1)*100)&gt;100,"NM",IF(((O169/G169-1)*100)&lt;-50,"NM",(O169/G169-1)*100)))</f>
        <v>-3.9651781795465246</v>
      </c>
      <c r="Q169" s="241">
        <f>(Q160*4)/Q$135*100</f>
        <v>8.4143750561058077</v>
      </c>
      <c r="R169" s="156">
        <f>IF(ISERROR((Q169/I169-1)*100),"NA",IF(((Q169/I169-1)*100)&gt;100,"NM",IF(((Q169/I169-1)*100)&lt;-50,"NM",(Q169/I169-1)*100)))</f>
        <v>-4.324155544891461</v>
      </c>
      <c r="S169" s="241">
        <f>(S160*4)/S$135*100</f>
        <v>7.8425503255257061</v>
      </c>
      <c r="T169" s="156">
        <f>IF(ISERROR((S169/K169-1)*100),"NA",IF(((S169/K169-1)*100)&gt;100,"NM",IF(((S169/K169-1)*100)&lt;-50,"NM",(S169/K169-1)*100)))</f>
        <v>-9.6890054436297053</v>
      </c>
      <c r="U169" s="241">
        <f>(U160*4)/U$135*100</f>
        <v>7.9256893023803565</v>
      </c>
      <c r="V169" s="156">
        <f>IF(ISERROR((U169/M169-1)*100),"NA",IF(((U169/M169-1)*100)&gt;100,"NM",IF(((U169/M169-1)*100)&lt;-50,"NM",(U169/M169-1)*100)))</f>
        <v>-5.9027767135282243</v>
      </c>
      <c r="W169" s="241">
        <f>(W160*4)/W$135*100</f>
        <v>7.3078622222855589</v>
      </c>
      <c r="X169" s="156">
        <f>IF(ISERROR((W169/O169-1)*100),"NA",IF(((W169/O169-1)*100)&gt;100,"NM",IF(((W169/O169-1)*100)&lt;-50,"NM",(W169/O169-1)*100)))</f>
        <v>-11.700706773243253</v>
      </c>
      <c r="Y169" s="241">
        <f>(Y160*4)/Y$135*100</f>
        <v>7.5835782900381146</v>
      </c>
      <c r="Z169" s="156">
        <f>IF(ISERROR((Y169/Q169-1)*100),"NA",IF(((Y169/Q169-1)*100)&gt;100,"NM",IF(((Y169/Q169-1)*100)&lt;-50,"NM",(Y169/Q169-1)*100)))</f>
        <v>-9.8735409406885637</v>
      </c>
      <c r="AA169" s="241">
        <f>(AA160*4)/AA$135*100</f>
        <v>7.1577891128020736</v>
      </c>
      <c r="AB169" s="156">
        <f>IF(ISERROR((AA169/S169-1)*100),"NA",IF(((AA169/S169-1)*100)&gt;100,"NM",IF(((AA169/S169-1)*100)&lt;-50,"NM",(AA169/S169-1)*100)))</f>
        <v>-8.7313588603300509</v>
      </c>
      <c r="AC169" s="241">
        <f>(AC160*4)/AC$135*100</f>
        <v>7.1590743125721943</v>
      </c>
      <c r="AD169" s="156">
        <f>IF(ISERROR((AC169/U169-1)*100),"NA",IF(((AC169/U169-1)*100)&gt;100,"NM",IF(((AC169/U169-1)*100)&lt;-50,"NM",(AC169/U169-1)*100)))</f>
        <v>-9.6725339659469274</v>
      </c>
      <c r="AE169" s="241">
        <f>(AE160*4)/AE$135*100</f>
        <v>6.5874757257067911</v>
      </c>
      <c r="AF169" s="156">
        <f>IF(ISERROR((AE169/W169-1)*100),"NA",IF(((AE169/W169-1)*100)&gt;100,"NM",IF(((AE169/W169-1)*100)&lt;-50,"NM",(AE169/W169-1)*100)))</f>
        <v>-9.8576912736795475</v>
      </c>
      <c r="AG169" s="241">
        <f>(AG160*4)/AG$135*100</f>
        <v>7.2755283330641447</v>
      </c>
      <c r="AH169" s="156">
        <f>IF(ISERROR((AG169/Y169-1)*100),"NA",IF(((AG169/Y169-1)*100)&gt;100,"NM",IF(((AG169/Y169-1)*100)&lt;-50,"NM",(AG169/Y169-1)*100)))</f>
        <v>-4.062066022033795</v>
      </c>
      <c r="AI169" s="241">
        <f>(AI160*4)/AI$135*100</f>
        <v>7.0901461438286795</v>
      </c>
      <c r="AJ169" s="156">
        <f>IF(ISERROR((AI169/AA169-1)*100),"NA",IF(((AI169/AA169-1)*100)&gt;100,"NM",IF(((AI169/AA169-1)*100)&lt;-50,"NM",(AI169/AA169-1)*100)))</f>
        <v>-0.94502601162712585</v>
      </c>
      <c r="AK169" s="241">
        <f>(AK160*4)/AK$135*100</f>
        <v>7.0088670646836464</v>
      </c>
      <c r="AL169" s="156">
        <f>IF(ISERROR((AK169/AC169-1)*100),"NA",IF(((AK169/AC169-1)*100)&gt;100,"NM",IF(((AK169/AC169-1)*100)&lt;-50,"NM",(AK169/AC169-1)*100)))</f>
        <v>-2.0981378503749593</v>
      </c>
      <c r="AM169" s="241">
        <f>(AM160*4)/AM$135*100</f>
        <v>7.0233245692233046</v>
      </c>
      <c r="AN169" s="156">
        <f>IF(ISERROR((AM169/AE169-1)*100),"NA",IF(((AM169/AE169-1)*100)&gt;100,"NM",IF(((AM169/AE169-1)*100)&lt;-50,"NM",(AM169/AE169-1)*100)))</f>
        <v>6.6163256103649593</v>
      </c>
      <c r="AO169" s="241">
        <f>(AO160*4)/AO$135*100</f>
        <v>7.0655755128068876</v>
      </c>
      <c r="AP169" s="156">
        <f>IF(ISERROR((AO169/AG169-1)*100),"NA",IF(((AO169/AG169-1)*100)&gt;100,"NM",IF(((AO169/AG169-1)*100)&lt;-50,"NM",(AO169/AG169-1)*100)))</f>
        <v>-2.8857398479655738</v>
      </c>
      <c r="AQ169" s="241">
        <f>(AQ160*4)/AQ$135*100</f>
        <v>6.9779670278685648</v>
      </c>
      <c r="AR169" s="156">
        <f>IF(ISERROR((AQ169/AI169-1)*100),"NA",IF(((AQ169/AI169-1)*100)&gt;100,"NM",IF(((AQ169/AI169-1)*100)&lt;-50,"NM",(AQ169/AI169-1)*100)))</f>
        <v>-1.5821834089803088</v>
      </c>
      <c r="AS169" s="241">
        <f>(AS160*4)/AS$135*100</f>
        <v>7.3893050582027469</v>
      </c>
      <c r="AT169" s="156">
        <f>IF(ISERROR((AS169/AK169-1)*100),"NA",IF(((AS169/AK169-1)*100)&gt;100,"NM",IF(((AS169/AK169-1)*100)&lt;-50,"NM",(AS169/AK169-1)*100)))</f>
        <v>5.4279527633796176</v>
      </c>
      <c r="AU169" s="241">
        <f>(AU160*4)/AU$135*100</f>
        <v>6.4583775577812519</v>
      </c>
      <c r="AV169" s="156">
        <f>IF(ISERROR((AU169/AM169-1)*100),"NA",IF(((AU169/AM169-1)*100)&gt;100,"NM",IF(((AU169/AM169-1)*100)&lt;-50,"NM",(AU169/AM169-1)*100)))</f>
        <v>-8.0438687671888331</v>
      </c>
      <c r="AW169" s="241">
        <f>(AW160*4)/AW$135*100</f>
        <v>6.543977792628386</v>
      </c>
      <c r="AX169" s="156">
        <f>IF(ISERROR((AW169/AO169-1)*100),"NA",IF(((AW169/AO169-1)*100)&gt;100,"NM",IF(((AW169/AO169-1)*100)&lt;-50,"NM",(AW169/AO169-1)*100)))</f>
        <v>-7.3822396948849622</v>
      </c>
      <c r="AY169" s="166">
        <f>(AY160*4)/AY$135*100</f>
        <v>6.828620940674746</v>
      </c>
      <c r="AZ169" s="156">
        <f>IF(ISERROR((AY169/AQ169-1)*100),"NA",IF(((AY169/AQ169-1)*100)&gt;100,"NM",IF(((AY169/AQ169-1)*100)&lt;-50,"NM",(AY169/AQ169-1)*100)))</f>
        <v>-2.1402521192399049</v>
      </c>
      <c r="BA169" s="166">
        <f>(BA160*4)/BA$135*100</f>
        <v>6.9026728204087835</v>
      </c>
      <c r="BB169" s="156">
        <f>IF(ISERROR((BA169/AS169-1)*100),"NA",IF(((BA169/AS169-1)*100)&gt;100,"NM",IF(((BA169/AS169-1)*100)&lt;-50,"NM",(BA169/AS169-1)*100)))</f>
        <v>-6.5856292839576387</v>
      </c>
      <c r="BC169" s="166">
        <f>(BC160*4)/BC$135*100</f>
        <v>6.8813574048445059</v>
      </c>
      <c r="BD169" s="156">
        <f>IF(ISERROR((BC169/AU169-1)*100),"NA",IF(((BC169/AU169-1)*100)&gt;100,"NM",IF(((BC169/AU169-1)*100)&lt;-50,"NM",(BC169/AU169-1)*100)))</f>
        <v>6.5493205263856824</v>
      </c>
      <c r="BE169" s="166">
        <f>(BE160*4)/BE$135*100</f>
        <v>7.2348812614171711</v>
      </c>
      <c r="BF169" s="156">
        <f>IF(ISERROR((BE169/AW169-1)*100),"NA",IF(((BE169/AW169-1)*100)&gt;100,"NM",IF(((BE169/AW169-1)*100)&lt;-50,"NM",(BE169/AW169-1)*100)))</f>
        <v>10.557851671915341</v>
      </c>
      <c r="BG169" s="166">
        <f>(BG160*4)/BG$135*100</f>
        <v>6.9452493879144148</v>
      </c>
      <c r="BH169" s="156">
        <f>IF(ISERROR((BG169/AY169-1)*100),"NA",IF(((BG169/AY169-1)*100)&gt;100,"NM",IF(((BG169/AY169-1)*100)&lt;-50,"NM",(BG169/AY169-1)*100)))</f>
        <v>1.707935588355336</v>
      </c>
      <c r="BI169" s="166">
        <f>(BI160*4)/BI$135*100</f>
        <v>7.3818665346557459</v>
      </c>
      <c r="BJ169" s="156">
        <f>IF(ISERROR((BI169/BA169-1)*100),"NA",IF(((BI169/BA169-1)*100)&gt;100,"NM",IF(((BI169/BA169-1)*100)&lt;-50,"NM",(BI169/BA169-1)*100)))</f>
        <v>6.9421472915557336</v>
      </c>
      <c r="BK169" s="166">
        <f>(BK160*4)/BK$135*100</f>
        <v>6.8108554897368778</v>
      </c>
      <c r="BL169" s="156">
        <f>IF(ISERROR((BK169/BC169-1)*100),"NA",IF(((BK169/BC169-1)*100)&gt;100,"NM",IF(((BK169/BC169-1)*100)&lt;-50,"NM",(BK169/BC169-1)*100)))</f>
        <v>-1.0245350002892506</v>
      </c>
      <c r="BM169" s="166">
        <f>(BM160*4)/BM$135*100</f>
        <v>7.248469159157664</v>
      </c>
      <c r="BN169" s="98">
        <f>IF(ISERROR((BM169/BE169-1)*100),"NA",IF(((BM169/BE169-1)*100)&gt;100,"NM",IF(((BM169/BE169-1)*100)&lt;-50,"NM",(BM169/BE169-1)*100)))</f>
        <v>0.18781092943371824</v>
      </c>
      <c r="BO169" s="137">
        <f>(BO160*4)/BO$135*100</f>
        <v>6.5806840274925378</v>
      </c>
      <c r="BP169" s="98">
        <f>IF(ISERROR((BO169/BG169-1)*100),"NA",IF(((BO169/BG169-1)*100)&gt;100,"NM",IF(((BO169/BG169-1)*100)&lt;-50,"NM",(BO169/BG169-1)*100)))</f>
        <v>-5.2491327533359051</v>
      </c>
      <c r="BQ169" s="137">
        <f>(BQ160*4)/BQ$135*100</f>
        <v>6.0409970869925074</v>
      </c>
      <c r="BR169" s="98">
        <f>IF(ISERROR((BQ169/BI169-1)*100),"NA",IF(((BQ169/BI169-1)*100)&gt;100,"NM",IF(((BQ169/BI169-1)*100)&lt;-50,"NM",(BQ169/BI169-1)*100)))</f>
        <v>-18.164368610137306</v>
      </c>
      <c r="BS169" s="137">
        <f>(BS160*4)/BS$135*100</f>
        <v>5.7472115028810062</v>
      </c>
      <c r="BT169" s="98">
        <f>IF(ISERROR((BS169/BK169-1)*100),"NA",IF(((BS169/BK169-1)*100)&gt;100,"NM",IF(((BS169/BK169-1)*100)&lt;-50,"NM",(BS169/BK169-1)*100)))</f>
        <v>-15.616892598274212</v>
      </c>
      <c r="BU169" s="137">
        <f>(BU160*4)/BU$135*100</f>
        <v>5.043871171123838</v>
      </c>
      <c r="BV169" s="98">
        <f>IF(ISERROR((BU169/BM169-1)*100),"NA",IF(((BU169/BM169-1)*100)&gt;100,"NM",IF(((BU169/BM169-1)*100)&lt;-50,"NM",(BU169/BM169-1)*100)))</f>
        <v>-30.414670182441938</v>
      </c>
      <c r="BW169" s="137">
        <f>(BW160*4)/BW$135*100</f>
        <v>4.2727277097544913</v>
      </c>
      <c r="BX169" s="98">
        <f>IF(ISERROR((BW169/BO169-1)*100),"NA",IF(((BW169/BO169-1)*100)&gt;100,"NM",IF(((BW169/BO169-1)*100)&lt;-50,"NM",(BW169/BO169-1)*100)))</f>
        <v>-35.07167808233843</v>
      </c>
      <c r="BY169" s="137">
        <f>(BY160*4)/BY$135*100</f>
        <v>4.7017536863304192</v>
      </c>
      <c r="BZ169" s="98">
        <f>IF(ISERROR((BY169/BQ169-1)*100),"NA",IF(((BY169/BQ169-1)*100)&gt;100,"NM",IF(((BY169/BQ169-1)*100)&lt;-50,"NM",(BY169/BQ169-1)*100)))</f>
        <v>-22.169244271707246</v>
      </c>
      <c r="CA169" s="137">
        <f>(CA160*4)/CA$135*100</f>
        <v>4.8969267737447826</v>
      </c>
      <c r="CB169" s="98">
        <f>IF(ISERROR((CA169/BS169-1)*100),"NA",IF(((CA169/BS169-1)*100)&gt;100,"NM",IF(((CA169/BS169-1)*100)&lt;-50,"NM",(CA169/BS169-1)*100)))</f>
        <v>-14.794735302676553</v>
      </c>
      <c r="CC169" s="137">
        <f>(CC160*4)/CC$135*100</f>
        <v>5.1081837270623112</v>
      </c>
      <c r="CD169" s="98">
        <f>IF(ISERROR((CC169/BU169-1)*100),"NA",IF(((CC169/BU169-1)*100)&gt;100,"NM",IF(((CC169/BU169-1)*100)&lt;-50,"NM",(CC169/BU169-1)*100)))</f>
        <v>1.2750634137260075</v>
      </c>
      <c r="CE169" s="137">
        <f>(CE160*4)/CE$135*100</f>
        <v>5.0528727342150761</v>
      </c>
      <c r="CF169" s="98">
        <f>IF(ISERROR((CE169/BW169-1)*100),"NA",IF(((CE169/BW169-1)*100)&gt;100,"NM",IF(((CE169/BW169-1)*100)&lt;-50,"NM",(CE169/BW169-1)*100)))</f>
        <v>18.258711470884048</v>
      </c>
      <c r="CG169" s="137">
        <f>(CG160*4)/CG$135*100</f>
        <v>5.1393379041788352</v>
      </c>
      <c r="CH169" s="98">
        <f>IF(ISERROR((CG169/BY169-1)*100),"NA",IF(((CG169/BY169-1)*100)&gt;100,"NM",IF(((CG169/BY169-1)*100)&lt;-50,"NM",(CG169/BY169-1)*100)))</f>
        <v>9.3068298988230769</v>
      </c>
      <c r="CI169" s="137">
        <f>(CI160*4)/CI$135*100</f>
        <v>4.9890761387997085</v>
      </c>
      <c r="CJ169" s="98">
        <f>IF(ISERROR((CI169/CA169-1)*100),"NA",IF(((CI169/CA169-1)*100)&gt;100,"NM",IF(((CI169/CA169-1)*100)&lt;-50,"NM",(CI169/CA169-1)*100)))</f>
        <v>1.8817795183091457</v>
      </c>
      <c r="CK169" s="137">
        <f>(CK160*4)/CK$135*100</f>
        <v>5.4475111761106092</v>
      </c>
      <c r="CL169" s="98">
        <f>IF(ISERROR((CK169/CC169-1)*100),"NA",IF(((CK169/CC169-1)*100)&gt;100,"NM",IF(((CK169/CC169-1)*100)&lt;-50,"NM",(CK169/CC169-1)*100)))</f>
        <v>6.6428199763175488</v>
      </c>
      <c r="CM169" s="137">
        <f>(CM160*4)/CM$135*100</f>
        <v>5.4235961651340245</v>
      </c>
      <c r="CN169" s="98">
        <f>IF(ISERROR((CM169/CE169-1)*100),"NA",IF(((CM169/CE169-1)*100)&gt;100,"NM",IF(((CM169/CE169-1)*100)&lt;-50,"NM",(CM169/CE169-1)*100)))</f>
        <v>7.3368843907076542</v>
      </c>
      <c r="CO169" s="137">
        <f>(CO160*4)/CO$135*100</f>
        <v>5.4038235505768908</v>
      </c>
      <c r="CP169" s="98">
        <f>IF(ISERROR((CO169/CG169-1)*100),"NA",IF(((CO169/CG169-1)*100)&gt;100,"NM",IF(((CO169/CG169-1)*100)&lt;-50,"NM",(CO169/CG169-1)*100)))</f>
        <v>5.1462980510193823</v>
      </c>
      <c r="CQ169" s="494">
        <f>(CQ160*4)/CQ$135*100</f>
        <v>5.1868442767888716</v>
      </c>
      <c r="CR169" s="98">
        <f>IF(ISERROR((CQ169/CI169-1)*100),"NA",IF(((CQ169/CI169-1)*100)&gt;100,"NM",IF(((CQ169/CI169-1)*100)&lt;-50,"NM",(CQ169/CI169-1)*100)))</f>
        <v>3.9640232477338611</v>
      </c>
      <c r="CS169" s="137">
        <f>(CS160*4)/CS$135*100</f>
        <v>5.076122859637799</v>
      </c>
      <c r="CT169" s="98">
        <f>IF(ISERROR((CS169/CK169-1)*100),"NA",IF(((CS169/CK169-1)*100)&gt;100,"NM",IF(((CS169/CK169-1)*100)&lt;-50,"NM",(CS169/CK169-1)*100)))</f>
        <v>-6.8175778711843327</v>
      </c>
      <c r="CU169" s="137">
        <f>(CU160*4)/CU$135*100</f>
        <v>5.2475595196291875</v>
      </c>
      <c r="CV169" s="98">
        <f>IF(ISERROR((CU169/CM169-1)*100),"NA",IF(((CU169/CM169-1)*100)&gt;100,"NM",IF(((CU169/CM169-1)*100)&lt;-50,"NM",(CU169/CM169-1)*100)))</f>
        <v>-3.245755033099651</v>
      </c>
      <c r="CW169" s="137">
        <f>(CW160*4)/CW$135*100</f>
        <v>5.1072258680454867</v>
      </c>
      <c r="CX169" s="98">
        <f>IF(ISERROR((CW169/CO169-1)*100),"NA",IF(((CW169/CO169-1)*100)&gt;100,"NM",IF(((CW169/CO169-1)*100)&lt;-50,"NM",(CW169/CO169-1)*100)))</f>
        <v>-5.4886633465250796</v>
      </c>
      <c r="CY169" s="137">
        <f>(CY160*4)/CY$135*100</f>
        <v>4.8937141086018823</v>
      </c>
      <c r="CZ169" s="98">
        <f>IF(ISERROR((CY169/CQ169-1)*100),"NA",IF(((CY169/CQ169-1)*100)&gt;100,"NM",IF(((CY169/CQ169-1)*100)&lt;-50,"NM",(CY169/CQ169-1)*100)))</f>
        <v>-5.6514164016596151</v>
      </c>
      <c r="DA169" s="137">
        <f>(DA160*4)/DA$135*100</f>
        <v>4.981298658914163</v>
      </c>
      <c r="DB169" s="98">
        <f>IF(ISERROR((DA169/CS169-1)*100),"NA",IF(((DA169/CS169-1)*100)&gt;100,"NM",IF(((DA169/CS169-1)*100)&lt;-50,"NM",(DA169/CS169-1)*100)))</f>
        <v>-1.8680438465668248</v>
      </c>
      <c r="DC169" s="137">
        <f>(DC160*4)/DC$135*100</f>
        <v>4.7281122841629495</v>
      </c>
      <c r="DD169" s="98">
        <f>IF(ISERROR((DC169/CU169-1)*100),"NA",IF(((DC169/CU169-1)*100)&gt;100,"NM",IF(((DC169/CU169-1)*100)&lt;-50,"NM",(DC169/CU169-1)*100)))</f>
        <v>-9.8988345634418717</v>
      </c>
      <c r="DE169" s="137">
        <f>(DE160*4)/DE$135*100</f>
        <v>4.9122530405952869</v>
      </c>
      <c r="DF169" s="98">
        <f>IF(ISERROR((DE169/CW169-1)*100),"NA",IF(((DE169/CW169-1)*100)&gt;100,"NM",IF(((DE169/CW169-1)*100)&lt;-50,"NM",(DE169/CW169-1)*100)))</f>
        <v>-3.8175877176314321</v>
      </c>
      <c r="DG169" s="137">
        <f>(DG160*4)/DG$135*100</f>
        <v>4.9697470240767005</v>
      </c>
      <c r="DH169" s="98">
        <f>IF(ISERROR((DG169/CY169-1)*100),"NA",IF(((DG169/CY169-1)*100)&gt;100,"NM",IF(((DG169/CY169-1)*100)&lt;-50,"NM",(DG169/CY169-1)*100)))</f>
        <v>1.5536852743639473</v>
      </c>
      <c r="DI169" s="137">
        <f>(DI160*4)/DI$135*100</f>
        <v>5.1773557864564674</v>
      </c>
      <c r="DJ169" s="98">
        <f>IF(ISERROR((DI169/DA169-1)*100),"NA",IF(((DI169/DA169-1)*100)&gt;100,"NM",IF(((DI169/DA169-1)*100)&lt;-50,"NM",(DI169/DA169-1)*100)))</f>
        <v>3.9358637368882787</v>
      </c>
      <c r="DK169" s="137">
        <f>(DK160*4)/DK$135*100</f>
        <v>4.9579364652280757</v>
      </c>
      <c r="DL169" s="98">
        <f>IF(ISERROR((DK169/DC169-1)*100),"NA",IF(((DK169/DC169-1)*100)&gt;100,"NM",IF(((DK169/DC169-1)*100)&lt;-50,"NM",(DK169/DC169-1)*100)))</f>
        <v>4.860802097169592</v>
      </c>
      <c r="DM169" s="137">
        <f>(DM160*4)/DM$135*100</f>
        <v>5.1725558026521705</v>
      </c>
      <c r="DN169" s="98">
        <f>IF(ISERROR((DM169/DE169-1)*100),"NA",IF(((DM169/DE169-1)*100)&gt;100,"NM",IF(((DM169/DE169-1)*100)&lt;-50,"NM",(DM169/DE169-1)*100)))</f>
        <v>5.2990503523682397</v>
      </c>
      <c r="DO169" s="137">
        <f>(DO160*4)/DO$135*100</f>
        <v>5.2350685225413685</v>
      </c>
      <c r="DP169" s="98">
        <f>IF(ISERROR((DO169/DG169-1)*100),"NA",IF(((DO169/DG169-1)*100)&gt;100,"NM",IF(((DO169/DG169-1)*100)&lt;-50,"NM",(DO169/DG169-1)*100)))</f>
        <v>5.3387324783188639</v>
      </c>
      <c r="DQ169" s="137">
        <f>(DQ160*4)/DQ$135*100</f>
        <v>4.9678397740940232</v>
      </c>
      <c r="DR169" s="98">
        <f>IF(ISERROR((DQ169/DI169-1)*100),"NA",IF(((DQ169/DI169-1)*100)&gt;100,"NM",IF(((DQ169/DI169-1)*100)&lt;-50,"NM",(DQ169/DI169-1)*100)))</f>
        <v>-4.0467764048690791</v>
      </c>
      <c r="DS169" s="137">
        <f>(DS160*4)/DS$135*100</f>
        <v>4.9483442627966507</v>
      </c>
      <c r="DT169" s="98">
        <f>IF(ISERROR((DS169/DK169-1)*100),"NA",IF(((DS169/DK169-1)*100)&gt;100,"NM",IF(((DS169/DK169-1)*100)&lt;-50,"NM",(DS169/DK169-1)*100)))</f>
        <v>-0.19347166908448843</v>
      </c>
      <c r="DU169" s="137">
        <f>(DU160*4)/DU$135*100</f>
        <v>5.4669327928290343</v>
      </c>
      <c r="DV169" s="98">
        <f>IF(ISERROR((DU169/DM169-1)*100),"NA",IF(((DU169/DM169-1)*100)&gt;100,"NM",IF(((DU169/DM169-1)*100)&lt;-50,"NM",(DU169/DM169-1)*100)))</f>
        <v>5.6911322256963492</v>
      </c>
      <c r="DW169" s="137">
        <f>(DW160*4)/DW$135*100</f>
        <v>5.0210084033613445</v>
      </c>
      <c r="DX169" s="98">
        <f>IF(ISERROR((DW169/DO169-1)*100),"NA",IF(((DW169/DO169-1)*100)&gt;100,"NM",IF(((DW169/DO169-1)*100)&lt;-50,"NM",(DW169/DO169-1)*100)))</f>
        <v>-4.0889649917344002</v>
      </c>
      <c r="DY169" s="137">
        <f>(DY160*4)/DY$135*100</f>
        <v>4.9553255600681254</v>
      </c>
      <c r="DZ169" s="98">
        <f>IF(ISERROR((DY169/DQ169-1)*100),"NA",IF(((DY169/DQ169-1)*100)&gt;100,"NM",IF(((DY169/DQ169-1)*100)&lt;-50,"NM",(DY169/DQ169-1)*100)))</f>
        <v>-0.25190454191288403</v>
      </c>
      <c r="EA169" s="137">
        <f>(EA160*4)/EA$135*100</f>
        <v>4.7536397606844591</v>
      </c>
      <c r="EB169" s="98">
        <f>IF(ISERROR((EA169/DS169-1)*100),"NA",IF(((EA169/DS169-1)*100)&gt;100,"NM",IF(((EA169/DS169-1)*100)&lt;-50,"NM",(EA169/DS169-1)*100)))</f>
        <v>-3.9347404257227381</v>
      </c>
      <c r="EC169" s="137">
        <f>(EC160*4)/EC$135*100</f>
        <v>5.0464031278025772</v>
      </c>
      <c r="ED169" s="98">
        <f>IF(ISERROR((EC169/DU169-1)*100),"NA",IF(((EC169/DU169-1)*100)&gt;100,"NM",IF(((EC169/DU169-1)*100)&lt;-50,"NM",(EC169/DU169-1)*100)))</f>
        <v>-7.6922413529221583</v>
      </c>
      <c r="EE169" s="137">
        <f>(EE160*4)/EE$135*100</f>
        <v>4.9516579034743868</v>
      </c>
      <c r="EF169" s="860">
        <f>IF(ISERROR((EE169/DW169-1)*100),"NA",IF(((EE169/DW169-1)*100)&gt;100,"NM",IF(((EE169/DW169-1)*100)&lt;-50,"NM",(EE169/DW169-1)*100)))</f>
        <v>-1.3812066086272723</v>
      </c>
      <c r="EG169" s="137">
        <f>(EG160*4)/EG$135*100</f>
        <v>5.1349828185549633</v>
      </c>
      <c r="EH169" s="860">
        <f>IF(ISERROR((EG169/DY169-1)*100),"NA",IF(((EG169/DY169-1)*100)&gt;100,"NM",IF(((EG169/DY169-1)*100)&lt;-50,"NM",(EG169/DY169-1)*100)))</f>
        <v>3.6255389541826277</v>
      </c>
      <c r="EI169" s="137">
        <f>(EI160*4)/EI$135*100</f>
        <v>5.0338363905238523</v>
      </c>
      <c r="EJ169" s="860">
        <f t="shared" si="1014"/>
        <v>5.8943597736789588</v>
      </c>
      <c r="EK169" s="137">
        <f>(EK160*4)/EK$135*100</f>
        <v>4.8500319081046586</v>
      </c>
      <c r="EL169" s="860">
        <f t="shared" si="1015"/>
        <v>-3.8913105973645612</v>
      </c>
      <c r="EM169" s="137">
        <f>(EM160*4)/EM$135*100</f>
        <v>4.8406676783004556</v>
      </c>
      <c r="EN169" s="860">
        <f t="shared" si="1016"/>
        <v>-2.2414760336341821</v>
      </c>
      <c r="EO169" s="137">
        <f>(EO160*4)/EO$135*100</f>
        <v>4.8036677153808318</v>
      </c>
      <c r="EP169" s="98">
        <f t="shared" si="1017"/>
        <v>-6.4521170738282452</v>
      </c>
      <c r="EQ169" s="1026">
        <v>4.7</v>
      </c>
      <c r="ER169" s="98">
        <f t="shared" si="1018"/>
        <v>-6.6318482490272395</v>
      </c>
      <c r="ES169" s="1026">
        <f t="shared" si="1019"/>
        <v>4.7</v>
      </c>
      <c r="ET169" s="98">
        <f t="shared" si="1020"/>
        <v>-3.0934210526315731</v>
      </c>
      <c r="EU169" s="1026">
        <f t="shared" si="1021"/>
        <v>4.7</v>
      </c>
      <c r="EV169" s="98">
        <f t="shared" si="1022"/>
        <v>-2.9059561128526701</v>
      </c>
      <c r="EW169" s="1026">
        <f t="shared" si="1023"/>
        <v>4.7</v>
      </c>
      <c r="EX169" s="98">
        <f t="shared" si="1024"/>
        <v>-2.158095054095821</v>
      </c>
      <c r="EY169" s="80"/>
      <c r="EZ169" s="601"/>
      <c r="FA169" s="411"/>
      <c r="FB169" s="125" t="s">
        <v>494</v>
      </c>
      <c r="FC169" s="233"/>
      <c r="FD169" s="137">
        <f>(FD160)/FD$135*100</f>
        <v>8.0483141634548261</v>
      </c>
      <c r="FE169" s="233" t="str">
        <f>IF(ISERROR((FD169/FB169-1)*100),"NA",IF(((FD169/FB169-1)*100)&gt;100,"NM",IF(((FD169/FB169-1)*100)&lt;-50,"NM",(FD169/FB169-1)*100)))</f>
        <v>NA</v>
      </c>
      <c r="FF169" s="137">
        <f>(FF160)/FF$135*100</f>
        <v>8.2739527786953584</v>
      </c>
      <c r="FG169" s="233">
        <f>IF(ISERROR((FF169/FD169-1)*100),"NA",IF(((FF169/FD169-1)*100)&gt;100,"NM",IF(((FF169/FD169-1)*100)&lt;-50,"NM",(FF169/FD169-1)*100)))</f>
        <v>2.8035512861201983</v>
      </c>
      <c r="FH169" s="137">
        <f>(FH160)/FH$135*100</f>
        <v>8.4391792867611137</v>
      </c>
      <c r="FI169" s="233">
        <f>IF(ISERROR((FH169/FF169-1)*100),"NA",IF(((FH169/FF169-1)*100)&gt;100,"NM",IF(((FH169/FF169-1)*100)&lt;-50,"NM",(FH169/FF169-1)*100)))</f>
        <v>1.996947680088268</v>
      </c>
      <c r="FJ169" s="137">
        <f>(FJ160)/FJ$135*100</f>
        <v>7.6555439694125829</v>
      </c>
      <c r="FK169" s="233">
        <f>IF(ISERROR((FJ169/FH169-1)*100),"NA",IF(((FJ169/FH169-1)*100)&gt;100,"NM",IF(((FJ169/FH169-1)*100)&lt;-50,"NM",(FJ169/FH169-1)*100)))</f>
        <v>-9.2856815896523504</v>
      </c>
      <c r="FL169" s="137">
        <f>(FL160)/FL$135*100</f>
        <v>7.1224207264816402</v>
      </c>
      <c r="FM169" s="233">
        <f>IF(ISERROR((FL169/FJ169-1)*100),"NA",IF(((FL169/FJ169-1)*100)&gt;100,"NM",IF(((FL169/FJ169-1)*100)&lt;-50,"NM",(FL169/FJ169-1)*100)))</f>
        <v>-6.9638845398970357</v>
      </c>
      <c r="FN169" s="137">
        <f>(FN160)/FN$135*100</f>
        <v>7.16398519876115</v>
      </c>
      <c r="FO169" s="233">
        <f>IF(ISERROR((FN169/FL169-1)*100),"NA",IF(((FN169/FL169-1)*100)&gt;100,"NM",IF(((FN169/FL169-1)*100)&lt;-50,"NM",(FN169/FL169-1)*100)))</f>
        <v>0.58357226953709151</v>
      </c>
      <c r="FP169" s="137">
        <f>(FP160)/FP$135*100</f>
        <v>7.0221852060521437</v>
      </c>
      <c r="FQ169" s="233">
        <f>IF(ISERROR((FP169/FN169-1)*100),"NA",IF(((FP169/FN169-1)*100)&gt;100,"NM",IF(((FP169/FN169-1)*100)&lt;-50,"NM",(FP169/FN169-1)*100)))</f>
        <v>-1.97934513786443</v>
      </c>
      <c r="FR169" s="130">
        <f>(FR160)/FR$135*100</f>
        <v>6.9455082101959604</v>
      </c>
      <c r="FS169" s="120">
        <f>IF(ISERROR((FR169/FP169-1)*100),"NA",IF(((FR169/FP169-1)*100)&gt;100,"NM",IF(((FR169/FP169-1)*100)&lt;-50,"NM",(FR169/FP169-1)*100)))</f>
        <v>-1.0919250006408032</v>
      </c>
      <c r="FT169" s="130">
        <f>(FT160)/FT$135*100</f>
        <v>7.2063974926253689</v>
      </c>
      <c r="FU169" s="120">
        <f>IF(ISERROR((FT169/FR169-1)*100),"NA",IF(((FT169/FR169-1)*100)&gt;100,"NM",IF(((FT169/FR169-1)*100)&lt;-50,"NM",(FT169/FR169-1)*100)))</f>
        <v>3.7562302791093849</v>
      </c>
      <c r="FV169" s="130">
        <f>(FV160)/FV$135*100</f>
        <v>6.1252101826144756</v>
      </c>
      <c r="FW169" s="98">
        <f>IF(ISERROR((FV169/FT169-1)*100),"NA",IF(((FV169/FT169-1)*100)&gt;100,"NM",IF(((FV169/FT169-1)*100)&lt;-50,"NM",(FV169/FT169-1)*100)))</f>
        <v>-15.003159499837759</v>
      </c>
      <c r="FX169" s="487">
        <f>(FX160)/FX$135*100</f>
        <v>4.7333216405113374</v>
      </c>
      <c r="FY169" s="98">
        <f>IF(ISERROR((FX169/FV169-1)*100),"NA",IF(((FX169/FV169-1)*100)&gt;100,"NM",IF(((FX169/FV169-1)*100)&lt;-50,"NM",(FX169/FV169-1)*100)))</f>
        <v>-22.723931107765296</v>
      </c>
      <c r="FZ169" s="130">
        <f>(FZ160)/FZ$135*100</f>
        <v>5.1573209310557075</v>
      </c>
      <c r="GA169" s="98">
        <f>IF(ISERROR((FZ169/FX169-1)*100),"NA",IF(((FZ169/FX169-1)*100)&gt;100,"NM",IF(((FZ169/FX169-1)*100)&lt;-50,"NM",(FZ169/FX169-1)*100)))</f>
        <v>8.9577536188427231</v>
      </c>
      <c r="GB169" s="487">
        <f>(GB160)/GB$135*100</f>
        <v>5.2709675566490199</v>
      </c>
      <c r="GC169" s="98">
        <f>IF(ISERROR((GB169/FZ169-1)*100),"NA",IF(((GB169/FZ169-1)*100)&gt;100,"NM",IF(((GB169/FZ169-1)*100)&lt;-50,"NM",(GB169/FZ169-1)*100)))</f>
        <v>2.2035980911905062</v>
      </c>
      <c r="GD169" s="130">
        <f>(GD160)/GD$135*100</f>
        <v>5.0530121042366494</v>
      </c>
      <c r="GE169" s="98">
        <f>IF(ISERROR((GD169/GB169-1)*100),"NA",IF(((GD169/GB169-1)*100)&gt;100,"NM",IF(((GD169/GB169-1)*100)&lt;-50,"NM",(GD169/GB169-1)*100)))</f>
        <v>-4.1350179083806449</v>
      </c>
      <c r="GF169" s="130">
        <f>(GF160)/GF$135*100</f>
        <v>4.94379848370244</v>
      </c>
      <c r="GG169" s="98">
        <f>IF(ISERROR((GF169/GD169-1)*100),"NA",IF(((GF169/GD169-1)*100)&gt;100,"NM",IF(((GF169/GD169-1)*100)&lt;-50,"NM",(GF169/GD169-1)*100)))</f>
        <v>-2.1613567963282732</v>
      </c>
      <c r="GH169" s="130">
        <f>(GH160)/GH$135*100</f>
        <v>5.0821922095107812</v>
      </c>
      <c r="GI169" s="98">
        <f>IF(ISERROR((GH169/GF169-1)*100),"NA",IF(((GH169/GF169-1)*100)&gt;100,"NM",IF(((GH169/GF169-1)*100)&lt;-50,"NM",(GH169/GF169-1)*100)))</f>
        <v>2.7993399460873203</v>
      </c>
      <c r="GJ169" s="130">
        <f>(GJ160)/GJ$135*100</f>
        <v>5.098389054282543</v>
      </c>
      <c r="GK169" s="98">
        <f>IF(ISERROR((GJ169/GH169-1)*100),"NA",IF(((GJ169/GH169-1)*100)&gt;100,"NM",IF(((GJ169/GH169-1)*100)&lt;-50,"NM",(GJ169/GH169-1)*100)))</f>
        <v>0.31869799692838541</v>
      </c>
      <c r="GL169" s="130">
        <f>(GL160)/GL$135*100</f>
        <v>4.9727113427425227</v>
      </c>
      <c r="GM169" s="98">
        <f>IF(ISERROR((GL169/GJ169-1)*100),"NA",IF(((GL169/GJ169-1)*100)&gt;100,"NM",IF(((GL169/GJ169-1)*100)&lt;-50,"NM",(GL169/GJ169-1)*100)))</f>
        <v>-2.4650474924908572</v>
      </c>
      <c r="GN169" s="130">
        <f>(GN160)/GN$135*100</f>
        <v>4.8805651482367773</v>
      </c>
      <c r="GO169" s="98">
        <f>IF(ISERROR((GN169/GL169-1)*100),"NA",IF(((GN169/GL169-1)*100)&gt;100,"NM",IF(((GN169/GL169-1)*100)&lt;-50,"NM",(GN169/GL169-1)*100)))</f>
        <v>-1.8530372699036568</v>
      </c>
      <c r="GP169" s="130">
        <f>(GP160)/GP$135*100</f>
        <v>4.7000000000000011</v>
      </c>
      <c r="GQ169" s="98">
        <f>IF(ISERROR((GP169/GN169-1)*100),"NA",IF(((GP169/GN169-1)*100)&gt;100,"NM",IF(((GP169/GN169-1)*100)&lt;-50,"NM",(GP169/GN169-1)*100)))</f>
        <v>-3.6996770405167023</v>
      </c>
      <c r="GR169" s="80">
        <f>GP169-0.1</f>
        <v>4.6000000000000014</v>
      </c>
      <c r="GS169" s="98">
        <f>IF(ISERROR((GR169/GP169-1)*100),"NA",IF(((GR169/GP169-1)*100)&gt;100,"NM",IF(((GR169/GP169-1)*100)&lt;-50,"NM",(GR169/GP169-1)*100)))</f>
        <v>-2.1276595744680771</v>
      </c>
      <c r="GT169" s="80">
        <f>GR169-0.1</f>
        <v>4.5000000000000018</v>
      </c>
      <c r="GU169" s="98">
        <f>IF(ISERROR((GT169/GR169-1)*100),"NA",IF(((GT169/GR169-1)*100)&gt;100,"NM",IF(((GT169/GR169-1)*100)&lt;-50,"NM",(GT169/GR169-1)*100)))</f>
        <v>-2.1739130434782483</v>
      </c>
      <c r="GV169" s="80">
        <f>GT169-0.1</f>
        <v>4.4000000000000021</v>
      </c>
      <c r="GW169" s="98">
        <f>IF(ISERROR((GV169/GT169-1)*100),"NA",IF(((GV169/GT169-1)*100)&gt;100,"NM",IF(((GV169/GT169-1)*100)&lt;-50,"NM",(GV169/GT169-1)*100)))</f>
        <v>-2.2222222222222143</v>
      </c>
      <c r="GX169" s="80">
        <f>GV169-0.1</f>
        <v>4.3000000000000025</v>
      </c>
      <c r="GY169" s="98">
        <f>IF(ISERROR((GX169/GV169-1)*100),"NA",IF(((GX169/GV169-1)*100)&gt;100,"NM",IF(((GX169/GV169-1)*100)&lt;-50,"NM",(GX169/GV169-1)*100)))</f>
        <v>-2.2727272727272596</v>
      </c>
      <c r="GZ169" s="98">
        <f>IF(ISERROR(((GX169/GN169)^0.2-1)*100),"NA",IF((((GX169/GN169)^0.2-1)*100)&gt;100,"NM",IF((((GX169/GN169)^0.2-1)*100)&lt;-50,"NM",((GX169/GN169)^0.2-1)*100)))</f>
        <v>-2.5011107059446314</v>
      </c>
      <c r="HA169" s="98"/>
      <c r="HB169" s="10"/>
      <c r="HC169"/>
      <c r="HD169"/>
      <c r="HE169"/>
      <c r="HF169"/>
      <c r="HG169"/>
      <c r="HH169"/>
      <c r="HI169" s="10"/>
    </row>
    <row r="170" spans="1:217" s="2" customFormat="1" ht="12.75" customHeight="1" x14ac:dyDescent="0.2">
      <c r="B170" s="102" t="s">
        <v>158</v>
      </c>
      <c r="C170" s="241">
        <f>(C129*4)/C$135*100</f>
        <v>6.8662979210375745</v>
      </c>
      <c r="D170" s="156"/>
      <c r="E170" s="241">
        <f>(E129*4)/E$135*100</f>
        <v>6.8719137517664066</v>
      </c>
      <c r="F170" s="156"/>
      <c r="G170" s="241">
        <f>(G129*4)/G$135*100</f>
        <v>7.0464482605665042</v>
      </c>
      <c r="H170" s="156"/>
      <c r="I170" s="241">
        <f>(I129*4)/I$135*100</f>
        <v>7.1314948104515459</v>
      </c>
      <c r="J170" s="156"/>
      <c r="K170" s="241">
        <f>(K129*4)/K$135*100</f>
        <v>6.7018690286315987</v>
      </c>
      <c r="L170" s="156">
        <f>IF(ISERROR((K170/C170-1)*100),"NA",IF(((K170/C170-1)*100)&gt;100,"NM",IF(((K170/C170-1)*100)&lt;-50,"NM",(K170/C170-1)*100)))</f>
        <v>-2.3947241191236923</v>
      </c>
      <c r="M170" s="241">
        <f>(M129*4)/M$135*100</f>
        <v>6.6320859577621336</v>
      </c>
      <c r="N170" s="156">
        <f>IF(ISERROR((M170/E170-1)*100),"NA",IF(((M170/E170-1)*100)&gt;100,"NM",IF(((M170/E170-1)*100)&lt;-50,"NM",(M170/E170-1)*100)))</f>
        <v>-3.4899709552179137</v>
      </c>
      <c r="O170" s="241">
        <f>(O129*4)/O$135*100</f>
        <v>6.5916962936966899</v>
      </c>
      <c r="P170" s="156">
        <f>IF(ISERROR((O170/G170-1)*100),"NA",IF(((O170/G170-1)*100)&gt;100,"NM",IF(((O170/G170-1)*100)&lt;-50,"NM",(O170/G170-1)*100)))</f>
        <v>-6.4536338032127105</v>
      </c>
      <c r="Q170" s="241">
        <f>(Q129*4)/Q$135*100</f>
        <v>6.3676351775935851</v>
      </c>
      <c r="R170" s="156">
        <f>IF(ISERROR((Q170/I170-1)*100),"NA",IF(((Q170/I170-1)*100)&gt;100,"NM",IF(((Q170/I170-1)*100)&lt;-50,"NM",(Q170/I170-1)*100)))</f>
        <v>-10.711073248465219</v>
      </c>
      <c r="S170" s="241">
        <f>(S129*4)/S$135*100</f>
        <v>6.2620669011449523</v>
      </c>
      <c r="T170" s="156">
        <f>IF(ISERROR((S170/K170-1)*100),"NA",IF(((S170/K170-1)*100)&gt;100,"NM",IF(((S170/K170-1)*100)&lt;-50,"NM",(S170/K170-1)*100)))</f>
        <v>-6.5623802197227636</v>
      </c>
      <c r="U170" s="241">
        <f>(U129*4)/U$135*100</f>
        <v>6.1474142880275577</v>
      </c>
      <c r="V170" s="156">
        <f>IF(ISERROR((U170/M170-1)*100),"NA",IF(((U170/M170-1)*100)&gt;100,"NM",IF(((U170/M170-1)*100)&lt;-50,"NM",(U170/M170-1)*100)))</f>
        <v>-7.3079823274503912</v>
      </c>
      <c r="W170" s="241">
        <f>(W129*4)/W$135*100</f>
        <v>5.99677929629049</v>
      </c>
      <c r="X170" s="156">
        <f>IF(ISERROR((W170/O170-1)*100),"NA",IF(((W170/O170-1)*100)&gt;100,"NM",IF(((W170/O170-1)*100)&lt;-50,"NM",(W170/O170-1)*100)))</f>
        <v>-9.0252489025486433</v>
      </c>
      <c r="Y170" s="241">
        <f>(Y129*4)/Y$135*100</f>
        <v>5.9070899143471962</v>
      </c>
      <c r="Z170" s="156">
        <f>IF(ISERROR((Y170/Q170-1)*100),"NA",IF(((Y170/Q170-1)*100)&gt;100,"NM",IF(((Y170/Q170-1)*100)&lt;-50,"NM",(Y170/Q170-1)*100)))</f>
        <v>-7.2325949964431757</v>
      </c>
      <c r="AA170" s="241">
        <f>(AA129*4)/AA$135*100</f>
        <v>5.7752877888340723</v>
      </c>
      <c r="AB170" s="156">
        <f>IF(ISERROR((AA170/S170-1)*100),"NA",IF(((AA170/S170-1)*100)&gt;100,"NM",IF(((AA170/S170-1)*100)&lt;-50,"NM",(AA170/S170-1)*100)))</f>
        <v>-7.7734575499644905</v>
      </c>
      <c r="AC170" s="241">
        <f>(AC129*4)/AC$135*100</f>
        <v>5.5870520599599027</v>
      </c>
      <c r="AD170" s="156">
        <f>IF(ISERROR((AC170/U170-1)*100),"NA",IF(((AC170/U170-1)*100)&gt;100,"NM",IF(((AC170/U170-1)*100)&lt;-50,"NM",(AC170/U170-1)*100)))</f>
        <v>-9.1154134374674012</v>
      </c>
      <c r="AE170" s="241">
        <f>(AE129*4)/AE$135*100</f>
        <v>5.3062974452094531</v>
      </c>
      <c r="AF170" s="156">
        <f>IF(ISERROR((AE170/W170-1)*100),"NA",IF(((AE170/W170-1)*100)&gt;100,"NM",IF(((AE170/W170-1)*100)&lt;-50,"NM",(AE170/W170-1)*100)))</f>
        <v>-11.514211495296445</v>
      </c>
      <c r="AG170" s="241">
        <f>(AG129*4)/AG$135*100</f>
        <v>5.3373752935183694</v>
      </c>
      <c r="AH170" s="156">
        <f>IF(ISERROR((AG170/Y170-1)*100),"NA",IF(((AG170/Y170-1)*100)&gt;100,"NM",IF(((AG170/Y170-1)*100)&lt;-50,"NM",(AG170/Y170-1)*100)))</f>
        <v>-9.6445902989405816</v>
      </c>
      <c r="AI170" s="241">
        <f>(AI129*4)/AI$135*100</f>
        <v>5.2283798774899921</v>
      </c>
      <c r="AJ170" s="156">
        <f>IF(ISERROR((AI170/AA170-1)*100),"NA",IF(((AI170/AA170-1)*100)&gt;100,"NM",IF(((AI170/AA170-1)*100)&lt;-50,"NM",(AI170/AA170-1)*100)))</f>
        <v>-9.4697949494650384</v>
      </c>
      <c r="AK170" s="241">
        <f>(AK129*4)/AK$135*100</f>
        <v>5.1907066567751201</v>
      </c>
      <c r="AL170" s="156">
        <f>IF(ISERROR((AK170/AC170-1)*100),"NA",IF(((AK170/AC170-1)*100)&gt;100,"NM",IF(((AK170/AC170-1)*100)&lt;-50,"NM",(AK170/AC170-1)*100)))</f>
        <v>-7.0939987480200255</v>
      </c>
      <c r="AM170" s="241">
        <f>(AM129*4)/AM$135*100</f>
        <v>5.2629797221814734</v>
      </c>
      <c r="AN170" s="156">
        <f>IF(ISERROR((AM170/AE170-1)*100),"NA",IF(((AM170/AE170-1)*100)&gt;100,"NM",IF(((AM170/AE170-1)*100)&lt;-50,"NM",(AM170/AE170-1)*100)))</f>
        <v>-0.81634554932624726</v>
      </c>
      <c r="AO170" s="241">
        <f>(AO129*4)/AO$135*100</f>
        <v>5.1865235412902537</v>
      </c>
      <c r="AP170" s="156">
        <f>IF(ISERROR((AO170/AG170-1)*100),"NA",IF(((AO170/AG170-1)*100)&gt;100,"NM",IF(((AO170/AG170-1)*100)&lt;-50,"NM",(AO170/AG170-1)*100)))</f>
        <v>-2.8263283717618215</v>
      </c>
      <c r="AQ170" s="241">
        <f>(AQ129*4)/AQ$135*100</f>
        <v>5.1963584250085058</v>
      </c>
      <c r="AR170" s="156">
        <f>IF(ISERROR((AQ170/AI170-1)*100),"NA",IF(((AQ170/AI170-1)*100)&gt;100,"NM",IF(((AQ170/AI170-1)*100)&lt;-50,"NM",(AQ170/AI170-1)*100)))</f>
        <v>-0.61245458883639747</v>
      </c>
      <c r="AS170" s="241">
        <f>(AS129*4)/AS$135*100</f>
        <v>5.1868772006822734</v>
      </c>
      <c r="AT170" s="156">
        <f>IF(ISERROR((AS170/AK170-1)*100),"NA",IF(((AS170/AK170-1)*100)&gt;100,"NM",IF(((AS170/AK170-1)*100)&lt;-50,"NM",(AS170/AK170-1)*100)))</f>
        <v>-7.3775236129902666E-2</v>
      </c>
      <c r="AU170" s="241">
        <f>(AU129*4)/AU$135*100</f>
        <v>4.8013276983345881</v>
      </c>
      <c r="AV170" s="156">
        <f>IF(ISERROR((AU170/AM170-1)*100),"NA",IF(((AU170/AM170-1)*100)&gt;100,"NM",IF(((AU170/AM170-1)*100)&lt;-50,"NM",(AU170/AM170-1)*100)))</f>
        <v>-8.7716853990752792</v>
      </c>
      <c r="AW170" s="241">
        <f>(AW129*4)/AW$135*100</f>
        <v>4.81673777823472</v>
      </c>
      <c r="AX170" s="156">
        <f>IF(ISERROR((AW170/AO170-1)*100),"NA",IF(((AW170/AO170-1)*100)&gt;100,"NM",IF(((AW170/AO170-1)*100)&lt;-50,"NM",(AW170/AO170-1)*100)))</f>
        <v>-7.1297423044867188</v>
      </c>
      <c r="AY170" s="166">
        <f>(AY129*4)/AY$135*100</f>
        <v>5.0815247150983387</v>
      </c>
      <c r="AZ170" s="156">
        <f>IF(ISERROR((AY170/AQ170-1)*100),"NA",IF(((AY170/AQ170-1)*100)&gt;100,"NM",IF(((AY170/AQ170-1)*100)&lt;-50,"NM",(AY170/AQ170-1)*100)))</f>
        <v>-2.2098881662494074</v>
      </c>
      <c r="BA170" s="166">
        <f>(BA129*4)/BA$135*100</f>
        <v>5.1833443221585433</v>
      </c>
      <c r="BB170" s="156">
        <f>IF(ISERROR((BA170/AS170-1)*100),"NA",IF(((BA170/AS170-1)*100)&gt;100,"NM",IF(((BA170/AS170-1)*100)&lt;-50,"NM",(BA170/AS170-1)*100)))</f>
        <v>-6.8111859738362313E-2</v>
      </c>
      <c r="BC170" s="166">
        <f>(BC129*4)/BC$135*100</f>
        <v>5.2330091664546243</v>
      </c>
      <c r="BD170" s="156">
        <f>IF(ISERROR((BC170/AU170-1)*100),"NA",IF(((BC170/AU170-1)*100)&gt;100,"NM",IF(((BC170/AU170-1)*100)&lt;-50,"NM",(BC170/AU170-1)*100)))</f>
        <v>8.9908770082444356</v>
      </c>
      <c r="BE170" s="166">
        <f>(BE129*4)/BE$135*100</f>
        <v>5.2206518603980383</v>
      </c>
      <c r="BF170" s="156">
        <f>IF(ISERROR((BE170/AW170-1)*100),"NA",IF(((BE170/AW170-1)*100)&gt;100,"NM",IF(((BE170/AW170-1)*100)&lt;-50,"NM",(BE170/AW170-1)*100)))</f>
        <v>8.3856356887118686</v>
      </c>
      <c r="BG170" s="166">
        <f>(BG129*4)/BG$135*100</f>
        <v>5.147432788863</v>
      </c>
      <c r="BH170" s="156">
        <f>IF(ISERROR((BG170/AY170-1)*100),"NA",IF(((BG170/AY170-1)*100)&gt;100,"NM",IF(((BG170/AY170-1)*100)&lt;-50,"NM",(BG170/AY170-1)*100)))</f>
        <v>1.2970137401641324</v>
      </c>
      <c r="BI170" s="166">
        <f>(BI129*4)/BI$135*100</f>
        <v>5.489198321465782</v>
      </c>
      <c r="BJ170" s="156">
        <f>IF(ISERROR((BI170/BA170-1)*100),"NA",IF(((BI170/BA170-1)*100)&gt;100,"NM",IF(((BI170/BA170-1)*100)&lt;-50,"NM",(BI170/BA170-1)*100)))</f>
        <v>5.9007077341886705</v>
      </c>
      <c r="BK170" s="166">
        <f>(BK129*4)/BK$135*100</f>
        <v>6.3479818156770911</v>
      </c>
      <c r="BL170" s="156">
        <f>IF(ISERROR((BK170/BC170-1)*100),"NA",IF(((BK170/BC170-1)*100)&gt;100,"NM",IF(((BK170/BC170-1)*100)&lt;-50,"NM",(BK170/BC170-1)*100)))</f>
        <v>21.306529642061811</v>
      </c>
      <c r="BM170" s="166">
        <f>(BM129*4)/BM$135*100</f>
        <v>5.1420764120520186</v>
      </c>
      <c r="BN170" s="98">
        <f>IF(ISERROR((BM170/BE170-1)*100),"NA",IF(((BM170/BE170-1)*100)&gt;100,"NM",IF(((BM170/BE170-1)*100)&lt;-50,"NM",(BM170/BE170-1)*100)))</f>
        <v>-1.5050888365505499</v>
      </c>
      <c r="BO170" s="137">
        <f>(BO129*4)/BO$135*100</f>
        <v>4.7361647361647368</v>
      </c>
      <c r="BP170" s="98">
        <f>IF(ISERROR((BO170/BG170-1)*100),"NA",IF(((BO170/BG170-1)*100)&gt;100,"NM",IF(((BO170/BG170-1)*100)&lt;-50,"NM",(BO170/BG170-1)*100)))</f>
        <v>-7.9897702324172926</v>
      </c>
      <c r="BQ170" s="137">
        <f>(BQ129*4)/BQ$135*100</f>
        <v>4.9488880050735773</v>
      </c>
      <c r="BR170" s="98">
        <f>IF(ISERROR((BQ170/BI170-1)*100),"NA",IF(((BQ170/BI170-1)*100)&gt;100,"NM",IF(((BQ170/BI170-1)*100)&lt;-50,"NM",(BQ170/BI170-1)*100)))</f>
        <v>-9.8431553161286711</v>
      </c>
      <c r="BS170" s="137">
        <f>(BS129*4)/BS$135*100</f>
        <v>4.4446793889094467</v>
      </c>
      <c r="BT170" s="98">
        <f>IF(ISERROR((BS170/BK170-1)*100),"NA",IF(((BS170/BK170-1)*100)&gt;100,"NM",IF(((BS170/BK170-1)*100)&lt;-50,"NM",(BS170/BK170-1)*100)))</f>
        <v>-29.982795824449504</v>
      </c>
      <c r="BU170" s="137">
        <f>(BU129*4)/BU$135*100</f>
        <v>4.5089151378228243</v>
      </c>
      <c r="BV170" s="98">
        <f>IF(ISERROR((BU170/BM170-1)*100),"NA",IF(((BU170/BM170-1)*100)&gt;100,"NM",IF(((BU170/BM170-1)*100)&lt;-50,"NM",(BU170/BM170-1)*100)))</f>
        <v>-12.3133384938658</v>
      </c>
      <c r="BW170" s="137">
        <f>(BW129*4)/BW$135*100</f>
        <v>4.3804112163909688</v>
      </c>
      <c r="BX170" s="98">
        <f>IF(ISERROR((BW170/BO170-1)*100),"NA",IF(((BW170/BO170-1)*100)&gt;100,"NM",IF(((BW170/BO170-1)*100)&lt;-50,"NM",(BW170/BO170-1)*100)))</f>
        <v>-7.5114262191363519</v>
      </c>
      <c r="BY170" s="137">
        <f>(BY129*4)/BY$135*100</f>
        <v>4.3189136915147106</v>
      </c>
      <c r="BZ170" s="98">
        <f>IF(ISERROR((BY170/BQ170-1)*100),"NA",IF(((BY170/BQ170-1)*100)&gt;100,"NM",IF(((BY170/BQ170-1)*100)&lt;-50,"NM",(BY170/BQ170-1)*100)))</f>
        <v>-12.729613458882483</v>
      </c>
      <c r="CA170" s="137">
        <f>(CA129*4)/CA$135*100</f>
        <v>4.2251169849500441</v>
      </c>
      <c r="CB170" s="98">
        <f>IF(ISERROR((CA170/BS170-1)*100),"NA",IF(((CA170/BS170-1)*100)&gt;100,"NM",IF(((CA170/BS170-1)*100)&lt;-50,"NM",(CA170/BS170-1)*100)))</f>
        <v>-4.9398929539724357</v>
      </c>
      <c r="CC170" s="137">
        <f>(CC129*4)/CC$135*100</f>
        <v>4.227462394810189</v>
      </c>
      <c r="CD170" s="98">
        <f>IF(ISERROR((CC170/BU170-1)*100),"NA",IF(((CC170/BU170-1)*100)&gt;100,"NM",IF(((CC170/BU170-1)*100)&lt;-50,"NM",(CC170/BU170-1)*100)))</f>
        <v>-6.2421388384909289</v>
      </c>
      <c r="CE170" s="137">
        <f>(CE129*4)/CE$135*100</f>
        <v>4.1237550777976946</v>
      </c>
      <c r="CF170" s="98">
        <f>IF(ISERROR((CE170/BW170-1)*100),"NA",IF(((CE170/BW170-1)*100)&gt;100,"NM",IF(((CE170/BW170-1)*100)&lt;-50,"NM",(CE170/BW170-1)*100)))</f>
        <v>-5.859179102475542</v>
      </c>
      <c r="CG170" s="137">
        <f>(CG129*4)/CG$135*100</f>
        <v>4.0981430289400116</v>
      </c>
      <c r="CH170" s="98">
        <f>IF(ISERROR((CG170/BY170-1)*100),"NA",IF(((CG170/BY170-1)*100)&gt;100,"NM",IF(((CG170/BY170-1)*100)&lt;-50,"NM",(CG170/BY170-1)*100)))</f>
        <v>-5.1117173980217085</v>
      </c>
      <c r="CI170" s="137">
        <f>(CI129*4)/CI$135*100</f>
        <v>4.1110643841096284</v>
      </c>
      <c r="CJ170" s="98">
        <f>IF(ISERROR((CI170/CA170-1)*100),"NA",IF(((CI170/CA170-1)*100)&gt;100,"NM",IF(((CI170/CA170-1)*100)&lt;-50,"NM",(CI170/CA170-1)*100)))</f>
        <v>-2.6993950995125915</v>
      </c>
      <c r="CK170" s="137">
        <f>(CK129*4)/CK$135*100</f>
        <v>4.0742238956135708</v>
      </c>
      <c r="CL170" s="98">
        <f>IF(ISERROR((CK170/CC170-1)*100),"NA",IF(((CK170/CC170-1)*100)&gt;100,"NM",IF(((CK170/CC170-1)*100)&lt;-50,"NM",(CK170/CC170-1)*100)))</f>
        <v>-3.6248341176196019</v>
      </c>
      <c r="CM170" s="137">
        <f>(CM129*4)/CM$135*100</f>
        <v>4.0540011739385635</v>
      </c>
      <c r="CN170" s="98">
        <f>IF(ISERROR((CM170/CE170-1)*100),"NA",IF(((CM170/CE170-1)*100)&gt;100,"NM",IF(((CM170/CE170-1)*100)&lt;-50,"NM",(CM170/CE170-1)*100)))</f>
        <v>-1.6915142277650341</v>
      </c>
      <c r="CO170" s="137">
        <f>(CO129*4)/CO$135*100</f>
        <v>3.9454052627791505</v>
      </c>
      <c r="CP170" s="98">
        <f>IF(ISERROR((CO170/CG170-1)*100),"NA",IF(((CO170/CG170-1)*100)&gt;100,"NM",IF(((CO170/CG170-1)*100)&lt;-50,"NM",(CO170/CG170-1)*100)))</f>
        <v>-3.7269994014915264</v>
      </c>
      <c r="CQ170" s="494">
        <f>(CQ129*4)/CQ$135*100</f>
        <v>3.8288341388659672</v>
      </c>
      <c r="CR170" s="98">
        <f>IF(ISERROR((CQ170/CI170-1)*100),"NA",IF(((CQ170/CI170-1)*100)&gt;100,"NM",IF(((CQ170/CI170-1)*100)&lt;-50,"NM",(CQ170/CI170-1)*100)))</f>
        <v>-6.8651380487874896</v>
      </c>
      <c r="CS170" s="137">
        <f>(CS129*4)/CS$135*100</f>
        <v>3.8346178670412701</v>
      </c>
      <c r="CT170" s="98">
        <f>IF(ISERROR((CS170/CK170-1)*100),"NA",IF(((CS170/CK170-1)*100)&gt;100,"NM",IF(((CS170/CK170-1)*100)&lt;-50,"NM",(CS170/CK170-1)*100)))</f>
        <v>-5.8810226121904456</v>
      </c>
      <c r="CU170" s="137">
        <f>(CU129*4)/CU$135*100</f>
        <v>3.8242385935341896</v>
      </c>
      <c r="CV170" s="98">
        <f>IF(ISERROR((CU170/CM170-1)*100),"NA",IF(((CU170/CM170-1)*100)&gt;100,"NM",IF(((CU170/CM170-1)*100)&lt;-50,"NM",(CU170/CM170-1)*100)))</f>
        <v>-5.6675509094920589</v>
      </c>
      <c r="CW170" s="137">
        <f>(CW129*4)/CW$135*100</f>
        <v>3.779561281803054</v>
      </c>
      <c r="CX170" s="98">
        <f>IF(ISERROR((CW170/CO170-1)*100),"NA",IF(((CW170/CO170-1)*100)&gt;100,"NM",IF(((CW170/CO170-1)*100)&lt;-50,"NM",(CW170/CO170-1)*100)))</f>
        <v>-4.2034713782298727</v>
      </c>
      <c r="CY170" s="137">
        <f>(CY129*4)/CY$135*100</f>
        <v>3.5850502371953268</v>
      </c>
      <c r="CZ170" s="98">
        <f>IF(ISERROR((CY170/CQ170-1)*100),"NA",IF(((CY170/CQ170-1)*100)&gt;100,"NM",IF(((CY170/CQ170-1)*100)&lt;-50,"NM",(CY170/CQ170-1)*100)))</f>
        <v>-6.3670530722661383</v>
      </c>
      <c r="DA170" s="137">
        <f>(DA129*4)/DA$135*100</f>
        <v>3.6002765479600294</v>
      </c>
      <c r="DB170" s="98">
        <f>IF(ISERROR((DA170/CS170-1)*100),"NA",IF(((DA170/CS170-1)*100)&gt;100,"NM",IF(((DA170/CS170-1)*100)&lt;-50,"NM",(DA170/CS170-1)*100)))</f>
        <v>-6.1112039636443516</v>
      </c>
      <c r="DC170" s="137">
        <f>(DC129*4)/DC$135*100</f>
        <v>3.5239743355344002</v>
      </c>
      <c r="DD170" s="98">
        <f>IF(ISERROR((DC170/CU170-1)*100),"NA",IF(((DC170/CU170-1)*100)&gt;100,"NM",IF(((DC170/CU170-1)*100)&lt;-50,"NM",(DC170/CU170-1)*100)))</f>
        <v>-7.8516089060828858</v>
      </c>
      <c r="DE170" s="137">
        <f>(DE129*4)/DE$135*100</f>
        <v>3.5282730469896246</v>
      </c>
      <c r="DF170" s="98">
        <f>IF(ISERROR((DE170/CW170-1)*100),"NA",IF(((DE170/CW170-1)*100)&gt;100,"NM",IF(((DE170/CW170-1)*100)&lt;-50,"NM",(DE170/CW170-1)*100)))</f>
        <v>-6.6486085573813298</v>
      </c>
      <c r="DG170" s="137">
        <f>(DG129*4)/DG$135*100</f>
        <v>3.5693125302978612</v>
      </c>
      <c r="DH170" s="98">
        <f>IF(ISERROR((DG170/CY170-1)*100),"NA",IF(((DG170/CY170-1)*100)&gt;100,"NM",IF(((DG170/CY170-1)*100)&lt;-50,"NM",(DG170/CY170-1)*100)))</f>
        <v>-0.43898148857678398</v>
      </c>
      <c r="DI170" s="137">
        <f>(DI129*4)/DI$135*100</f>
        <v>3.575779290576854</v>
      </c>
      <c r="DJ170" s="98">
        <f>IF(ISERROR((DI170/DA170-1)*100),"NA",IF(((DI170/DA170-1)*100)&gt;100,"NM",IF(((DI170/DA170-1)*100)&lt;-50,"NM",(DI170/DA170-1)*100)))</f>
        <v>-0.68042710210847179</v>
      </c>
      <c r="DK170" s="137">
        <f>(DK129*4)/DK$135*100</f>
        <v>3.3758453066422716</v>
      </c>
      <c r="DL170" s="98">
        <f>IF(ISERROR((DK170/DC170-1)*100),"NA",IF(((DK170/DC170-1)*100)&gt;100,"NM",IF(((DK170/DC170-1)*100)&lt;-50,"NM",(DK170/DC170-1)*100)))</f>
        <v>-4.2034650309014099</v>
      </c>
      <c r="DM170" s="137">
        <f>(DM129*4)/DM$135*100</f>
        <v>3.4849774409942436</v>
      </c>
      <c r="DN170" s="98">
        <f>IF(ISERROR((DM170/DE170-1)*100),"NA",IF(((DM170/DE170-1)*100)&gt;100,"NM",IF(((DM170/DE170-1)*100)&lt;-50,"NM",(DM170/DE170-1)*100)))</f>
        <v>-1.2271047455446049</v>
      </c>
      <c r="DO170" s="137">
        <f>(DO129*4)/DO$135*100</f>
        <v>3.3827696873798732</v>
      </c>
      <c r="DP170" s="98">
        <f>IF(ISERROR((DO170/DG170-1)*100),"NA",IF(((DO170/DG170-1)*100)&gt;100,"NM",IF(((DO170/DG170-1)*100)&lt;-50,"NM",(DO170/DG170-1)*100)))</f>
        <v>-5.2262961378285677</v>
      </c>
      <c r="DQ170" s="137">
        <f>(DQ129*4)/DQ$135*100</f>
        <v>3.332810402830797</v>
      </c>
      <c r="DR170" s="98">
        <f>IF(ISERROR((DQ170/DI170-1)*100),"NA",IF(((DQ170/DI170-1)*100)&gt;100,"NM",IF(((DQ170/DI170-1)*100)&lt;-50,"NM",(DQ170/DI170-1)*100)))</f>
        <v>-6.7948513597118732</v>
      </c>
      <c r="DS170" s="137">
        <f>(DS129*4)/DS$135*100</f>
        <v>3.3084148368739354</v>
      </c>
      <c r="DT170" s="98">
        <f>IF(ISERROR((DS170/DK170-1)*100),"NA",IF(((DS170/DK170-1)*100)&gt;100,"NM",IF(((DS170/DK170-1)*100)&lt;-50,"NM",(DS170/DK170-1)*100)))</f>
        <v>-1.9974395638230447</v>
      </c>
      <c r="DU170" s="137">
        <f>(DU129*4)/DU$135*100</f>
        <v>3.3544274419396265</v>
      </c>
      <c r="DV170" s="98">
        <f>IF(ISERROR((DU170/DM170-1)*100),"NA",IF(((DU170/DM170-1)*100)&gt;100,"NM",IF(((DU170/DM170-1)*100)&lt;-50,"NM",(DU170/DM170-1)*100)))</f>
        <v>-3.7460787412549768</v>
      </c>
      <c r="DW170" s="137">
        <f>(DW129*4)/DW$135*100</f>
        <v>3.4411764705882351</v>
      </c>
      <c r="DX170" s="98">
        <f>IF(ISERROR((DW170/DO170-1)*100),"NA",IF(((DW170/DO170-1)*100)&gt;100,"NM",IF(((DW170/DO170-1)*100)&lt;-50,"NM",(DW170/DO170-1)*100)))</f>
        <v>1.726596505409761</v>
      </c>
      <c r="DY170" s="137">
        <f>(DY129*4)/DY$135*100</f>
        <v>3.4880125769684267</v>
      </c>
      <c r="DZ170" s="98">
        <f>IF(ISERROR((DY170/DQ170-1)*100),"NA",IF(((DY170/DQ170-1)*100)&gt;100,"NM",IF(((DY170/DQ170-1)*100)&lt;-50,"NM",(DY170/DQ170-1)*100)))</f>
        <v>4.6567957782958525</v>
      </c>
      <c r="EA170" s="137">
        <f>(EA129*4)/EA$135*100</f>
        <v>3.3896228534090209</v>
      </c>
      <c r="EB170" s="98">
        <f>IF(ISERROR((EA170/DS170-1)*100),"NA",IF(((EA170/DS170-1)*100)&gt;100,"NM",IF(((EA170/DS170-1)*100)&lt;-50,"NM",(EA170/DS170-1)*100)))</f>
        <v>2.4545899029946749</v>
      </c>
      <c r="EC170" s="137">
        <f>(EC129*4)/EC$135*100</f>
        <v>3.3454589425528272</v>
      </c>
      <c r="ED170" s="98">
        <f>IF(ISERROR((EC170/DU170-1)*100),"NA",IF(((EC170/DU170-1)*100)&gt;100,"NM",IF(((EC170/DU170-1)*100)&lt;-50,"NM",(EC170/DU170-1)*100)))</f>
        <v>-0.26736304606468364</v>
      </c>
      <c r="EE170" s="137">
        <f>(EE129*4)/EE$135*100</f>
        <v>3.2865687766054981</v>
      </c>
      <c r="EF170" s="860">
        <f>IF(ISERROR((EE170/DW170-1)*100),"NA",IF(((EE170/DW170-1)*100)&gt;100,"NM",IF(((EE170/DW170-1)*100)&lt;-50,"NM",(EE170/DW170-1)*100)))</f>
        <v>-4.4928731584726993</v>
      </c>
      <c r="EG170" s="137">
        <f>(EG129*4)/EG$135*100</f>
        <v>3.3714533657179051</v>
      </c>
      <c r="EH170" s="860">
        <f>IF(ISERROR((EG170/DY170-1)*100),"NA",IF(((EG170/DY170-1)*100)&gt;100,"NM",IF(((EG170/DY170-1)*100)&lt;-50,"NM",(EG170/DY170-1)*100)))</f>
        <v>-3.3417084565626198</v>
      </c>
      <c r="EI170" s="137">
        <f>(EI129*4)/EI$135*100</f>
        <v>3.3689488683661577</v>
      </c>
      <c r="EJ170" s="860">
        <f t="shared" si="1014"/>
        <v>-0.60991992138803575</v>
      </c>
      <c r="EK170" s="137">
        <f>(EK129*4)/EK$135*100</f>
        <v>3.3648546730869642</v>
      </c>
      <c r="EL170" s="860">
        <f t="shared" si="1015"/>
        <v>0.57976292243289151</v>
      </c>
      <c r="EM170" s="137">
        <f>(EM129*4)/EM$135*100</f>
        <v>3.2814871016691955</v>
      </c>
      <c r="EN170" s="860">
        <f t="shared" si="1016"/>
        <v>-0.1546194612592644</v>
      </c>
      <c r="EO170" s="137">
        <f>(EO129*4)/EO$135*100</f>
        <v>3.2890646026486996</v>
      </c>
      <c r="EP170" s="98">
        <f t="shared" si="1017"/>
        <v>-2.4437165261415927</v>
      </c>
      <c r="EQ170" s="1033">
        <f t="shared" ref="EQ170" si="1025">EQ169-EQ171</f>
        <v>3.2</v>
      </c>
      <c r="ER170" s="98">
        <f t="shared" si="1018"/>
        <v>-5.0148837209302304</v>
      </c>
      <c r="ES170" s="1033">
        <f t="shared" ref="ES170" si="1026">ES169-ES171</f>
        <v>3.2050000000000001</v>
      </c>
      <c r="ET170" s="98">
        <f t="shared" si="1020"/>
        <v>-4.7507155172413773</v>
      </c>
      <c r="EU170" s="1033">
        <f t="shared" ref="EU170" si="1027">EU169-EU171</f>
        <v>3.21</v>
      </c>
      <c r="EV170" s="98">
        <f t="shared" si="1022"/>
        <v>-2.1784971098265826</v>
      </c>
      <c r="EW170" s="1033">
        <f t="shared" ref="EW170" si="1028">EW169-EW171</f>
        <v>3.2149999999999999</v>
      </c>
      <c r="EX170" s="98">
        <f t="shared" si="1024"/>
        <v>-2.2518439616252994</v>
      </c>
      <c r="EY170" s="137"/>
      <c r="EZ170" s="601"/>
      <c r="FA170" s="411"/>
      <c r="FB170" s="125" t="s">
        <v>494</v>
      </c>
      <c r="FC170" s="233"/>
      <c r="FD170" s="137">
        <f>(FD129)/FD$135*100</f>
        <v>6.731206943643592</v>
      </c>
      <c r="FE170" s="233" t="str">
        <f>IF(ISERROR((FD170/FB170-1)*100),"NA",IF(((FD170/FB170-1)*100)&gt;100,"NM",IF(((FD170/FB170-1)*100)&lt;-50,"NM",(FD170/FB170-1)*100)))</f>
        <v>NA</v>
      </c>
      <c r="FF170" s="137">
        <f>(FF129)/FF$135*100</f>
        <v>6.9306151982759978</v>
      </c>
      <c r="FG170" s="233">
        <f>IF(ISERROR((FF170/FD170-1)*100),"NA",IF(((FF170/FD170-1)*100)&gt;100,"NM",IF(((FF170/FD170-1)*100)&lt;-50,"NM",(FF170/FD170-1)*100)))</f>
        <v>2.9624442733960255</v>
      </c>
      <c r="FH170" s="137">
        <f>(FH129)/FH$135*100</f>
        <v>6.5644846116267708</v>
      </c>
      <c r="FI170" s="233">
        <f>IF(ISERROR((FH170/FF170-1)*100),"NA",IF(((FH170/FF170-1)*100)&gt;100,"NM",IF(((FH170/FF170-1)*100)&lt;-50,"NM",(FH170/FF170-1)*100)))</f>
        <v>-5.2828006774968905</v>
      </c>
      <c r="FJ170" s="137">
        <f>(FJ129)/FJ$135*100</f>
        <v>6.0711389178542463</v>
      </c>
      <c r="FK170" s="233">
        <f>IF(ISERROR((FJ170/FH170-1)*100),"NA",IF(((FJ170/FH170-1)*100)&gt;100,"NM",IF(((FJ170/FH170-1)*100)&lt;-50,"NM",(FJ170/FH170-1)*100)))</f>
        <v>-7.5153758895059148</v>
      </c>
      <c r="FL170" s="137">
        <f>(FL129)/FL$135*100</f>
        <v>5.5560682971850479</v>
      </c>
      <c r="FM170" s="233">
        <f>IF(ISERROR((FL170/FJ170-1)*100),"NA",IF(((FL170/FJ170-1)*100)&gt;100,"NM",IF(((FL170/FJ170-1)*100)&lt;-50,"NM",(FL170/FJ170-1)*100)))</f>
        <v>-8.4839208530455235</v>
      </c>
      <c r="FN170" s="137">
        <f>(FN129)/FN$135*100</f>
        <v>5.3033905972694262</v>
      </c>
      <c r="FO170" s="233">
        <f>IF(ISERROR((FN170/FL170-1)*100),"NA",IF(((FN170/FL170-1)*100)&gt;100,"NM",IF(((FN170/FL170-1)*100)&lt;-50,"NM",(FN170/FL170-1)*100)))</f>
        <v>-4.5477788680826636</v>
      </c>
      <c r="FP170" s="137">
        <f>(FP129)/FP$135*100</f>
        <v>5.1441589300149433</v>
      </c>
      <c r="FQ170" s="233">
        <f>IF(ISERROR((FP170/FN170-1)*100),"NA",IF(((FP170/FN170-1)*100)&gt;100,"NM",IF(((FP170/FN170-1)*100)&lt;-50,"NM",(FP170/FN170-1)*100)))</f>
        <v>-3.0024503067239139</v>
      </c>
      <c r="FR170" s="106">
        <f>(FR129)/FR$135*100</f>
        <v>5.1658540534145319</v>
      </c>
      <c r="FS170" s="120">
        <f>IF(ISERROR((FR170/FP170-1)*100),"NA",IF(((FR170/FP170-1)*100)&gt;100,"NM",IF(((FR170/FP170-1)*100)&lt;-50,"NM",(FR170/FP170-1)*100)))</f>
        <v>0.42174286787686199</v>
      </c>
      <c r="FT170" s="106">
        <f>(FT129)/FT$135*100</f>
        <v>5.6254609144542771</v>
      </c>
      <c r="FU170" s="120">
        <f>IF(ISERROR((FT170/FR170-1)*100),"NA",IF(((FT170/FR170-1)*100)&gt;100,"NM",IF(((FT170/FR170-1)*100)&lt;-50,"NM",(FT170/FR170-1)*100)))</f>
        <v>8.8970159878201329</v>
      </c>
      <c r="FV170" s="106">
        <f>(FV129)/FV$135*100</f>
        <v>4.6538667083773255</v>
      </c>
      <c r="FW170" s="98">
        <f>IF(ISERROR((FV170/FT170-1)*100),"NA",IF(((FV170/FT170-1)*100)&gt;100,"NM",IF(((FV170/FT170-1)*100)&lt;-50,"NM",(FV170/FT170-1)*100)))</f>
        <v>-17.271370663699749</v>
      </c>
      <c r="FX170" s="483">
        <f>(FX129)/FX$135*100</f>
        <v>4.2901720989919356</v>
      </c>
      <c r="FY170" s="98">
        <f>IF(ISERROR((FX170/FV170-1)*100),"NA",IF(((FX170/FV170-1)*100)&gt;100,"NM",IF(((FX170/FV170-1)*100)&lt;-50,"NM",(FX170/FV170-1)*100)))</f>
        <v>-7.8148909750833884</v>
      </c>
      <c r="FZ170" s="106">
        <f>(FZ129)/FZ$135*100</f>
        <v>4.1017045757689718</v>
      </c>
      <c r="GA170" s="98">
        <f>IF(ISERROR((FZ170/FX170-1)*100),"NA",IF(((FZ170/FX170-1)*100)&gt;100,"NM",IF(((FZ170/FX170-1)*100)&lt;-50,"NM",(FZ170/FX170-1)*100)))</f>
        <v>-4.3930061282914101</v>
      </c>
      <c r="GB170" s="483">
        <f>(GB129)/GB$135*100</f>
        <v>3.914454474961468</v>
      </c>
      <c r="GC170" s="98">
        <f>IF(ISERROR((GB170/FZ170-1)*100),"NA",IF(((GB170/FZ170-1)*100)&gt;100,"NM",IF(((GB170/FZ170-1)*100)&lt;-50,"NM",(GB170/FZ170-1)*100)))</f>
        <v>-4.5651776559846198</v>
      </c>
      <c r="GD170" s="106">
        <f>(GD129)/GD$135*100</f>
        <v>3.6938466530883027</v>
      </c>
      <c r="GE170" s="98">
        <f>IF(ISERROR((GD170/GB170-1)*100),"NA",IF(((GD170/GB170-1)*100)&gt;100,"NM",IF(((GD170/GB170-1)*100)&lt;-50,"NM",(GD170/GB170-1)*100)))</f>
        <v>-5.6357232734284608</v>
      </c>
      <c r="GF170" s="106">
        <f>(GF129)/GF$135*100</f>
        <v>3.5488750901511019</v>
      </c>
      <c r="GG170" s="98">
        <f>IF(ISERROR((GF170/GD170-1)*100),"NA",IF(((GF170/GD170-1)*100)&gt;100,"NM",IF(((GF170/GD170-1)*100)&lt;-50,"NM",(GF170/GD170-1)*100)))</f>
        <v>-3.9246773499921783</v>
      </c>
      <c r="GH170" s="106">
        <f>(GH129)/GH$135*100</f>
        <v>3.3931948337602771</v>
      </c>
      <c r="GI170" s="98">
        <f>IF(ISERROR((GH170/GF170-1)*100),"NA",IF(((GH170/GF170-1)*100)&gt;100,"NM",IF(((GH170/GF170-1)*100)&lt;-50,"NM",(GH170/GF170-1)*100)))</f>
        <v>-4.3867493906131312</v>
      </c>
      <c r="GJ170" s="106">
        <f>(GJ129)/GJ$135*100</f>
        <v>3.3971971826602907</v>
      </c>
      <c r="GK170" s="98">
        <f>IF(ISERROR((GJ170/GH170-1)*100),"NA",IF(((GJ170/GH170-1)*100)&gt;100,"NM",IF(((GJ170/GH170-1)*100)&lt;-50,"NM",(GJ170/GH170-1)*100)))</f>
        <v>0.11795222779995562</v>
      </c>
      <c r="GL170" s="106">
        <f>(GL129)/GL$135*100</f>
        <v>3.3479441875411089</v>
      </c>
      <c r="GM170" s="98">
        <f>IF(ISERROR((GL170/GJ170-1)*100),"NA",IF(((GL170/GJ170-1)*100)&gt;100,"NM",IF(((GL170/GJ170-1)*100)&lt;-50,"NM",(GL170/GJ170-1)*100)))</f>
        <v>-1.4498126682364831</v>
      </c>
      <c r="GN170" s="106">
        <f>(GN129)/GN$135*100</f>
        <v>3.3253566805661037</v>
      </c>
      <c r="GO170" s="98">
        <f>IF(ISERROR((GN170/GL170-1)*100),"NA",IF(((GN170/GL170-1)*100)&gt;100,"NM",IF(((GN170/GL170-1)*100)&lt;-50,"NM",(GN170/GL170-1)*100)))</f>
        <v>-0.67466796666030282</v>
      </c>
      <c r="GP170" s="106">
        <f>(GP129)/GP$135*100</f>
        <v>3.2002150502464159</v>
      </c>
      <c r="GQ170" s="98">
        <f>IF(ISERROR((GP170/GN170-1)*100),"NA",IF(((GP170/GN170-1)*100)&gt;100,"NM",IF(((GP170/GN170-1)*100)&lt;-50,"NM",(GP170/GN170-1)*100)))</f>
        <v>-3.7632543615857661</v>
      </c>
      <c r="GR170" s="137">
        <f>GR169-GR171</f>
        <v>3.1502150502464161</v>
      </c>
      <c r="GS170" s="98">
        <f>IF(ISERROR((GR170/GP170-1)*100),"NA",IF(((GR170/GP170-1)*100)&gt;100,"NM",IF(((GR170/GP170-1)*100)&lt;-50,"NM",(GR170/GP170-1)*100)))</f>
        <v>-1.562395002053063</v>
      </c>
      <c r="GT170" s="137">
        <f>GT169-GT171</f>
        <v>3.1002150502464167</v>
      </c>
      <c r="GU170" s="98">
        <f>IF(ISERROR((GT170/GR170-1)*100),"NA",IF(((GT170/GR170-1)*100)&gt;100,"NM",IF(((GT170/GR170-1)*100)&lt;-50,"NM",(GT170/GR170-1)*100)))</f>
        <v>-1.5871932297475411</v>
      </c>
      <c r="GV170" s="137">
        <f>GV169-GV171</f>
        <v>3.0502150502464174</v>
      </c>
      <c r="GW170" s="98">
        <f>IF(ISERROR((GV170/GT170-1)*100),"NA",IF(((GV170/GT170-1)*100)&gt;100,"NM",IF(((GV170/GT170-1)*100)&lt;-50,"NM",(GV170/GT170-1)*100)))</f>
        <v>-1.6127913447818831</v>
      </c>
      <c r="GX170" s="137">
        <f>GX169-GX171</f>
        <v>3.0002150502464175</v>
      </c>
      <c r="GY170" s="98">
        <f>IF(ISERROR((GX170/GV170-1)*100),"NA",IF(((GX170/GV170-1)*100)&gt;100,"NM",IF(((GX170/GV170-1)*100)&lt;-50,"NM",(GX170/GV170-1)*100)))</f>
        <v>-1.6392286831041769</v>
      </c>
      <c r="GZ170" s="98">
        <f>IF(ISERROR(((GX170/GN170)^0.2-1)*100),"NA",IF((((GX170/GN170)^0.2-1)*100)&gt;100,"NM",IF((((GX170/GN170)^0.2-1)*100)&lt;-50,"NM",((GX170/GN170)^0.2-1)*100)))</f>
        <v>-2.0368299958324454</v>
      </c>
      <c r="HA170" s="98"/>
      <c r="HB170" s="10"/>
      <c r="HC170"/>
      <c r="HD170"/>
      <c r="HE170"/>
      <c r="HF170"/>
      <c r="HG170"/>
      <c r="HH170"/>
      <c r="HI170" s="10"/>
    </row>
    <row r="171" spans="1:217" s="2" customFormat="1" ht="12.75" customHeight="1" x14ac:dyDescent="0.2">
      <c r="B171" s="102" t="s">
        <v>536</v>
      </c>
      <c r="C171" s="241">
        <f>+C169-C170</f>
        <v>1.029944688155636</v>
      </c>
      <c r="D171" s="156"/>
      <c r="E171" s="241">
        <f>+E169-E170</f>
        <v>1.1432019180387734</v>
      </c>
      <c r="F171" s="156"/>
      <c r="G171" s="241">
        <f>+G169-G170</f>
        <v>1.5715100437234648</v>
      </c>
      <c r="H171" s="156"/>
      <c r="I171" s="241">
        <f>+I169-I170</f>
        <v>1.6631754681618443</v>
      </c>
      <c r="J171" s="156"/>
      <c r="K171" s="241">
        <f>+K169-K170</f>
        <v>1.9820684742718218</v>
      </c>
      <c r="L171" s="156">
        <f>IF(ISERROR((K171/C171-1)*100),"NA",IF(((K171/C171-1)*100)&gt;100,"NM",IF(((K171/C171-1)*100)&lt;-50,"NM",(K171/C171-1)*100)))</f>
        <v>92.444166863095603</v>
      </c>
      <c r="M171" s="241">
        <f>+M169-M170</f>
        <v>1.7907867111275779</v>
      </c>
      <c r="N171" s="156">
        <f>IF(ISERROR((M171/E171-1)*100),"NA",IF(((M171/E171-1)*100)&gt;100,"NM",IF(((M171/E171-1)*100)&lt;-50,"NM",(M171/E171-1)*100)))</f>
        <v>56.646580352119443</v>
      </c>
      <c r="O171" s="241">
        <f>+O169-O170</f>
        <v>1.6845446083891558</v>
      </c>
      <c r="P171" s="156">
        <f>IF(ISERROR((O171/G171-1)*100),"NA",IF(((O171/G171-1)*100)&gt;100,"NM",IF(((O171/G171-1)*100)&lt;-50,"NM",(O171/G171-1)*100)))</f>
        <v>7.1927357459244723</v>
      </c>
      <c r="Q171" s="241">
        <f>+Q169-Q170</f>
        <v>2.0467398785122226</v>
      </c>
      <c r="R171" s="156">
        <f>IF(ISERROR((Q171/I171-1)*100),"NA",IF(((Q171/I171-1)*100)&gt;100,"NM",IF(((Q171/I171-1)*100)&lt;-50,"NM",(Q171/I171-1)*100)))</f>
        <v>23.062173396189944</v>
      </c>
      <c r="S171" s="241">
        <f>+S169-S170</f>
        <v>1.5804834243807537</v>
      </c>
      <c r="T171" s="156">
        <f>IF(ISERROR((S171/K171-1)*100),"NA",IF(((S171/K171-1)*100)&gt;100,"NM",IF(((S171/K171-1)*100)&lt;-50,"NM",(S171/K171-1)*100)))</f>
        <v>-20.260906981965064</v>
      </c>
      <c r="U171" s="241">
        <f>+U169-U170</f>
        <v>1.7782750143527988</v>
      </c>
      <c r="V171" s="156">
        <f>IF(ISERROR((U171/M171-1)*100),"NA",IF(((U171/M171-1)*100)&gt;100,"NM",IF(((U171/M171-1)*100)&lt;-50,"NM",(U171/M171-1)*100)))</f>
        <v>-0.6986704054164572</v>
      </c>
      <c r="W171" s="241">
        <f>+W169-W170</f>
        <v>1.3110829259950689</v>
      </c>
      <c r="X171" s="156">
        <f>IF(ISERROR((W171/O171-1)*100),"NA",IF(((W171/O171-1)*100)&gt;100,"NM",IF(((W171/O171-1)*100)&lt;-50,"NM",(W171/O171-1)*100)))</f>
        <v>-22.169889745526493</v>
      </c>
      <c r="Y171" s="241">
        <f>+Y169-Y170</f>
        <v>1.6764883756909184</v>
      </c>
      <c r="Z171" s="156">
        <f>IF(ISERROR((Y171/Q171-1)*100),"NA",IF(((Y171/Q171-1)*100)&gt;100,"NM",IF(((Y171/Q171-1)*100)&lt;-50,"NM",(Y171/Q171-1)*100)))</f>
        <v>-18.08981721167423</v>
      </c>
      <c r="AA171" s="241">
        <f>+AA169-AA170</f>
        <v>1.3825013239680013</v>
      </c>
      <c r="AB171" s="156">
        <f>IF(ISERROR((AA171/S171-1)*100),"NA",IF(((AA171/S171-1)*100)&gt;100,"NM",IF(((AA171/S171-1)*100)&lt;-50,"NM",(AA171/S171-1)*100)))</f>
        <v>-12.526679961248155</v>
      </c>
      <c r="AC171" s="241">
        <f>+AC169-AC170</f>
        <v>1.5720222526122916</v>
      </c>
      <c r="AD171" s="156">
        <f>IF(ISERROR((AC171/U171-1)*100),"NA",IF(((AC171/U171-1)*100)&gt;100,"NM",IF(((AC171/U171-1)*100)&lt;-50,"NM",(AC171/U171-1)*100)))</f>
        <v>-11.59847380612119</v>
      </c>
      <c r="AE171" s="241">
        <f>+AE169-AE170</f>
        <v>1.281178280497338</v>
      </c>
      <c r="AF171" s="156">
        <f>IF(ISERROR((AE171/W171-1)*100),"NA",IF(((AE171/W171-1)*100)&gt;100,"NM",IF(((AE171/W171-1)*100)&lt;-50,"NM",(AE171/W171-1)*100)))</f>
        <v>-2.2809118252405169</v>
      </c>
      <c r="AG171" s="241">
        <f>+AG169-AG170</f>
        <v>1.9381530395457753</v>
      </c>
      <c r="AH171" s="156">
        <f>IF(ISERROR((AG171/Y171-1)*100),"NA",IF(((AG171/Y171-1)*100)&gt;100,"NM",IF(((AG171/Y171-1)*100)&lt;-50,"NM",(AG171/Y171-1)*100)))</f>
        <v>15.607902067738411</v>
      </c>
      <c r="AI171" s="241">
        <f>+AI169-AI170</f>
        <v>1.8617662663386874</v>
      </c>
      <c r="AJ171" s="156">
        <f>IF(ISERROR((AI171/AA171-1)*100),"NA",IF(((AI171/AA171-1)*100)&gt;100,"NM",IF(((AI171/AA171-1)*100)&lt;-50,"NM",(AI171/AA171-1)*100)))</f>
        <v>34.666508744824817</v>
      </c>
      <c r="AK171" s="241">
        <f>+AK169-AK170</f>
        <v>1.8181604079085263</v>
      </c>
      <c r="AL171" s="156">
        <f>IF(ISERROR((AK171/AC171-1)*100),"NA",IF(((AK171/AC171-1)*100)&gt;100,"NM",IF(((AK171/AC171-1)*100)&lt;-50,"NM",(AK171/AC171-1)*100)))</f>
        <v>15.657421826390649</v>
      </c>
      <c r="AM171" s="241">
        <f>+AM169-AM170</f>
        <v>1.7603448470418313</v>
      </c>
      <c r="AN171" s="156">
        <f>IF(ISERROR((AM171/AE171-1)*100),"NA",IF(((AM171/AE171-1)*100)&gt;100,"NM",IF(((AM171/AE171-1)*100)&lt;-50,"NM",(AM171/AE171-1)*100)))</f>
        <v>37.400459704834098</v>
      </c>
      <c r="AO171" s="241">
        <f>+AO169-AO170</f>
        <v>1.8790519715166338</v>
      </c>
      <c r="AP171" s="156">
        <f>IF(ISERROR((AO171/AG171-1)*100),"NA",IF(((AO171/AG171-1)*100)&gt;100,"NM",IF(((AO171/AG171-1)*100)&lt;-50,"NM",(AO171/AG171-1)*100)))</f>
        <v>-3.0493499132035695</v>
      </c>
      <c r="AQ171" s="241">
        <f>+AQ169-AQ170</f>
        <v>1.7816086028600591</v>
      </c>
      <c r="AR171" s="156">
        <f>IF(ISERROR((AQ171/AI171-1)*100),"NA",IF(((AQ171/AI171-1)*100)&gt;100,"NM",IF(((AQ171/AI171-1)*100)&lt;-50,"NM",(AQ171/AI171-1)*100)))</f>
        <v>-4.3054633080373055</v>
      </c>
      <c r="AS171" s="241">
        <f>+AS169-AS170</f>
        <v>2.2024278575204734</v>
      </c>
      <c r="AT171" s="156">
        <f>IF(ISERROR((AS171/AK171-1)*100),"NA",IF(((AS171/AK171-1)*100)&gt;100,"NM",IF(((AS171/AK171-1)*100)&lt;-50,"NM",(AS171/AK171-1)*100)))</f>
        <v>21.13495860653898</v>
      </c>
      <c r="AU171" s="241">
        <f>+AU169-AU170</f>
        <v>1.6570498594466638</v>
      </c>
      <c r="AV171" s="156">
        <f>IF(ISERROR((AU171/AM171-1)*100),"NA",IF(((AU171/AM171-1)*100)&gt;100,"NM",IF(((AU171/AM171-1)*100)&lt;-50,"NM",(AU171/AM171-1)*100)))</f>
        <v>-5.8678836574975302</v>
      </c>
      <c r="AW171" s="241">
        <f>+AW169-AW170</f>
        <v>1.7272400143936659</v>
      </c>
      <c r="AX171" s="156">
        <f>IF(ISERROR((AW171/AO171-1)*100),"NA",IF(((AW171/AO171-1)*100)&gt;100,"NM",IF(((AW171/AO171-1)*100)&lt;-50,"NM",(AW171/AO171-1)*100)))</f>
        <v>-8.0791781932692537</v>
      </c>
      <c r="AY171" s="166">
        <f>+AY169-AY170</f>
        <v>1.7470962255764073</v>
      </c>
      <c r="AZ171" s="156">
        <f>IF(ISERROR((AY171/AQ171-1)*100),"NA",IF(((AY171/AQ171-1)*100)&gt;100,"NM",IF(((AY171/AQ171-1)*100)&lt;-50,"NM",(AY171/AQ171-1)*100)))</f>
        <v>-1.9371469821288567</v>
      </c>
      <c r="BA171" s="166">
        <f>+BA169-BA170</f>
        <v>1.7193284982502401</v>
      </c>
      <c r="BB171" s="156">
        <f>IF(ISERROR((BA171/AS171-1)*100),"NA",IF(((BA171/AS171-1)*100)&gt;100,"NM",IF(((BA171/AS171-1)*100)&lt;-50,"NM",(BA171/AS171-1)*100)))</f>
        <v>-21.934855101865345</v>
      </c>
      <c r="BC171" s="166">
        <f>+BC169-BC170</f>
        <v>1.6483482383898815</v>
      </c>
      <c r="BD171" s="156">
        <f>IF(ISERROR((BC171/AU171-1)*100),"NA",IF(((BC171/AU171-1)*100)&gt;100,"NM",IF(((BC171/AU171-1)*100)&lt;-50,"NM",(BC171/AU171-1)*100)))</f>
        <v>-0.52512729216778187</v>
      </c>
      <c r="BE171" s="166">
        <f>+BE169-BE170</f>
        <v>2.0142294010191328</v>
      </c>
      <c r="BF171" s="156">
        <f>IF(ISERROR((BE171/AW171-1)*100),"NA",IF(((BE171/AW171-1)*100)&gt;100,"NM",IF(((BE171/AW171-1)*100)&lt;-50,"NM",(BE171/AW171-1)*100)))</f>
        <v>16.615489696503595</v>
      </c>
      <c r="BG171" s="166">
        <f>+BG169-BG170</f>
        <v>1.7978165990514148</v>
      </c>
      <c r="BH171" s="156">
        <f>IF(ISERROR((BG171/AY171-1)*100),"NA",IF(((BG171/AY171-1)*100)&gt;100,"NM",IF(((BG171/AY171-1)*100)&lt;-50,"NM",(BG171/AY171-1)*100)))</f>
        <v>2.90312420875809</v>
      </c>
      <c r="BI171" s="166">
        <f>+BI169-BI170</f>
        <v>1.8926682131899639</v>
      </c>
      <c r="BJ171" s="156">
        <f>IF(ISERROR((BI171/BA171-1)*100),"NA",IF(((BI171/BA171-1)*100)&gt;100,"NM",IF(((BI171/BA171-1)*100)&lt;-50,"NM",(BI171/BA171-1)*100)))</f>
        <v>10.081826429104822</v>
      </c>
      <c r="BK171" s="166">
        <f>+BK169-BK170</f>
        <v>0.46287367405978674</v>
      </c>
      <c r="BL171" s="156" t="str">
        <f>IF(ISERROR((BK171/BC171-1)*100),"NA",IF(((BK171/BC171-1)*100)&gt;100,"NM",IF(((BK171/BC171-1)*100)&lt;-50,"NM",(BK171/BC171-1)*100)))</f>
        <v>NM</v>
      </c>
      <c r="BM171" s="166">
        <f>+BM169-BM170</f>
        <v>2.1063927471056454</v>
      </c>
      <c r="BN171" s="98">
        <f>IF(ISERROR((BM171/BE171-1)*100),"NA",IF(((BM171/BE171-1)*100)&gt;100,"NM",IF(((BM171/BE171-1)*100)&lt;-50,"NM",(BM171/BE171-1)*100)))</f>
        <v>4.5756131868535332</v>
      </c>
      <c r="BO171" s="137">
        <f>+BO169-BO170</f>
        <v>1.844519291327801</v>
      </c>
      <c r="BP171" s="98">
        <f>IF(ISERROR((BO171/BG171-1)*100),"NA",IF(((BO171/BG171-1)*100)&gt;100,"NM",IF(((BO171/BG171-1)*100)&lt;-50,"NM",(BO171/BG171-1)*100)))</f>
        <v>2.5977450815076519</v>
      </c>
      <c r="BQ171" s="137">
        <f>+BQ169-BQ170</f>
        <v>1.0921090819189301</v>
      </c>
      <c r="BR171" s="98">
        <f>IF(ISERROR((BQ171/BI171-1)*100),"NA",IF(((BQ171/BI171-1)*100)&gt;100,"NM",IF(((BQ171/BI171-1)*100)&lt;-50,"NM",(BQ171/BI171-1)*100)))</f>
        <v>-42.297911788867935</v>
      </c>
      <c r="BS171" s="137">
        <f>+BS169-BS170</f>
        <v>1.3025321139715595</v>
      </c>
      <c r="BT171" s="98" t="str">
        <f>IF(ISERROR((BS171/BK171-1)*100),"NA",IF(((BS171/BK171-1)*100)&gt;100,"NM",IF(((BS171/BK171-1)*100)&lt;-50,"NM",(BS171/BK171-1)*100)))</f>
        <v>NM</v>
      </c>
      <c r="BU171" s="137">
        <f>+BU169-BU170</f>
        <v>0.53495603330101371</v>
      </c>
      <c r="BV171" s="98" t="str">
        <f>IF(ISERROR((BU171/BM171-1)*100),"NA",IF(((BU171/BM171-1)*100)&gt;100,"NM",IF(((BU171/BM171-1)*100)&lt;-50,"NM",(BU171/BM171-1)*100)))</f>
        <v>NM</v>
      </c>
      <c r="BW171" s="137">
        <f>+BW169-BW170</f>
        <v>-0.10768350663647741</v>
      </c>
      <c r="BX171" s="98" t="str">
        <f>IF(ISERROR((BW171/BO171-1)*100),"NA",IF(((BW171/BO171-1)*100)&gt;100,"NM",IF(((BW171/BO171-1)*100)&lt;-50,"NM",(BW171/BO171-1)*100)))</f>
        <v>NM</v>
      </c>
      <c r="BY171" s="137">
        <f>+BY169-BY170</f>
        <v>0.38283999481570863</v>
      </c>
      <c r="BZ171" s="98" t="str">
        <f>IF(ISERROR((BY171/BQ171-1)*100),"NA",IF(((BY171/BQ171-1)*100)&gt;100,"NM",IF(((BY171/BQ171-1)*100)&lt;-50,"NM",(BY171/BQ171-1)*100)))</f>
        <v>NM</v>
      </c>
      <c r="CA171" s="137">
        <f>+CA169-CA170</f>
        <v>0.67180978879473852</v>
      </c>
      <c r="CB171" s="98">
        <f>IF(ISERROR((CA171/BS171-1)*100),"NA",IF(((CA171/BS171-1)*100)&gt;100,"NM",IF(((CA171/BS171-1)*100)&lt;-50,"NM",(CA171/BS171-1)*100)))</f>
        <v>-48.422785005559767</v>
      </c>
      <c r="CC171" s="137">
        <f>+CC169-CC170</f>
        <v>0.88072133225212212</v>
      </c>
      <c r="CD171" s="98">
        <f>IF(ISERROR((CC171/BU171-1)*100),"NA",IF(((CC171/BU171-1)*100)&gt;100,"NM",IF(((CC171/BU171-1)*100)&lt;-50,"NM",(CC171/BU171-1)*100)))</f>
        <v>64.634339539554304</v>
      </c>
      <c r="CE171" s="137">
        <f>+CE169-CE170</f>
        <v>0.92911765641738153</v>
      </c>
      <c r="CF171" s="98" t="str">
        <f>IF(ISERROR((CE171/BW171-1)*100),"NA",IF(((CE171/BW171-1)*100)&gt;100,"NM",IF(((CE171/BW171-1)*100)&lt;-50,"NM",(CE171/BW171-1)*100)))</f>
        <v>NM</v>
      </c>
      <c r="CG171" s="137">
        <f>+CG169-CG170</f>
        <v>1.0411948752388236</v>
      </c>
      <c r="CH171" s="98" t="str">
        <f>IF(ISERROR((CG171/BY171-1)*100),"NA",IF(((CG171/BY171-1)*100)&gt;100,"NM",IF(((CG171/BY171-1)*100)&lt;-50,"NM",(CG171/BY171-1)*100)))</f>
        <v>NM</v>
      </c>
      <c r="CI171" s="137">
        <f>+CI169-CI170</f>
        <v>0.87801175469008008</v>
      </c>
      <c r="CJ171" s="98">
        <f>IF(ISERROR((CI171/CA171-1)*100),"NA",IF(((CI171/CA171-1)*100)&gt;100,"NM",IF(((CI171/CA171-1)*100)&lt;-50,"NM",(CI171/CA171-1)*100)))</f>
        <v>30.693504223163902</v>
      </c>
      <c r="CK171" s="137">
        <f>+CK169-CK170</f>
        <v>1.3732872804970384</v>
      </c>
      <c r="CL171" s="98">
        <f>IF(ISERROR((CK171/CC171-1)*100),"NA",IF(((CK171/CC171-1)*100)&gt;100,"NM",IF(((CK171/CC171-1)*100)&lt;-50,"NM",(CK171/CC171-1)*100)))</f>
        <v>55.927559627215942</v>
      </c>
      <c r="CM171" s="137">
        <f>+CM169-CM170</f>
        <v>1.369594991195461</v>
      </c>
      <c r="CN171" s="98">
        <f>IF(ISERROR((CM171/CE171-1)*100),"NA",IF(((CM171/CE171-1)*100)&gt;100,"NM",IF(((CM171/CE171-1)*100)&lt;-50,"NM",(CM171/CE171-1)*100)))</f>
        <v>47.408133053517901</v>
      </c>
      <c r="CO171" s="137">
        <f>+CO169-CO170</f>
        <v>1.4584182877977403</v>
      </c>
      <c r="CP171" s="98">
        <f>IF(ISERROR((CO171/CG171-1)*100),"NA",IF(((CO171/CG171-1)*100)&gt;100,"NM",IF(((CO171/CG171-1)*100)&lt;-50,"NM",(CO171/CG171-1)*100)))</f>
        <v>40.071596824102329</v>
      </c>
      <c r="CQ171" s="494">
        <f>+CQ169-CQ170</f>
        <v>1.3580101379229044</v>
      </c>
      <c r="CR171" s="98">
        <f>IF(ISERROR((CQ171/CI171-1)*100),"NA",IF(((CQ171/CI171-1)*100)&gt;100,"NM",IF(((CQ171/CI171-1)*100)&lt;-50,"NM",(CQ171/CI171-1)*100)))</f>
        <v>54.668787823034748</v>
      </c>
      <c r="CS171" s="137">
        <f>+CS169-CS170</f>
        <v>1.2415049925965289</v>
      </c>
      <c r="CT171" s="98">
        <f>IF(ISERROR((CS171/CK171-1)*100),"NA",IF(((CS171/CK171-1)*100)&gt;100,"NM",IF(((CS171/CK171-1)*100)&lt;-50,"NM",(CS171/CK171-1)*100)))</f>
        <v>-9.5961194552689033</v>
      </c>
      <c r="CU171" s="137">
        <f>+CU169-CU170</f>
        <v>1.4233209260949979</v>
      </c>
      <c r="CV171" s="98">
        <f>IF(ISERROR((CU171/CM171-1)*100),"NA",IF(((CU171/CM171-1)*100)&gt;100,"NM",IF(((CU171/CM171-1)*100)&lt;-50,"NM",(CU171/CM171-1)*100)))</f>
        <v>3.9227607610218929</v>
      </c>
      <c r="CW171" s="137">
        <f>+CW169-CW170</f>
        <v>1.3276645862424328</v>
      </c>
      <c r="CX171" s="98">
        <f>IF(ISERROR((CW171/CO171-1)*100),"NA",IF(((CW171/CO171-1)*100)&gt;100,"NM",IF(((CW171/CO171-1)*100)&lt;-50,"NM",(CW171/CO171-1)*100)))</f>
        <v>-8.9654458291763444</v>
      </c>
      <c r="CY171" s="137">
        <f>+CY169-CY170</f>
        <v>1.3086638714065555</v>
      </c>
      <c r="CZ171" s="98">
        <f>IF(ISERROR((CY171/CQ171-1)*100),"NA",IF(((CY171/CQ171-1)*100)&gt;100,"NM",IF(((CY171/CQ171-1)*100)&lt;-50,"NM",(CY171/CQ171-1)*100)))</f>
        <v>-3.6337185664773286</v>
      </c>
      <c r="DA171" s="137">
        <f>+DA169-DA170</f>
        <v>1.3810221109541336</v>
      </c>
      <c r="DB171" s="98">
        <f>IF(ISERROR((DA171/CS171-1)*100),"NA",IF(((DA171/CS171-1)*100)&gt;100,"NM",IF(((DA171/CS171-1)*100)&lt;-50,"NM",(DA171/CS171-1)*100)))</f>
        <v>11.237741224528918</v>
      </c>
      <c r="DC171" s="137">
        <f>+DC169-DC170</f>
        <v>1.2041379486285493</v>
      </c>
      <c r="DD171" s="98">
        <f>IF(ISERROR((DC171/CU171-1)*100),"NA",IF(((DC171/CU171-1)*100)&gt;100,"NM",IF(((DC171/CU171-1)*100)&lt;-50,"NM",(DC171/CU171-1)*100)))</f>
        <v>-15.399406658609017</v>
      </c>
      <c r="DE171" s="137">
        <f>+DE169-DE170</f>
        <v>1.3839799936056623</v>
      </c>
      <c r="DF171" s="98">
        <f>IF(ISERROR((DE171/CW171-1)*100),"NA",IF(((DE171/CW171-1)*100)&gt;100,"NM",IF(((DE171/CW171-1)*100)&lt;-50,"NM",(DE171/CW171-1)*100)))</f>
        <v>4.2416893503662623</v>
      </c>
      <c r="DG171" s="137">
        <f>+DG169-DG170</f>
        <v>1.4004344937788393</v>
      </c>
      <c r="DH171" s="98">
        <f>IF(ISERROR((DG171/CY171-1)*100),"NA",IF(((DG171/CY171-1)*100)&gt;100,"NM",IF(((DG171/CY171-1)*100)&lt;-50,"NM",(DG171/CY171-1)*100)))</f>
        <v>7.0125434328410563</v>
      </c>
      <c r="DI171" s="137">
        <f>+DI169-DI170</f>
        <v>1.6015764958796135</v>
      </c>
      <c r="DJ171" s="98">
        <f>IF(ISERROR((DI171/DA171-1)*100),"NA",IF(((DI171/DA171-1)*100)&gt;100,"NM",IF(((DI171/DA171-1)*100)&lt;-50,"NM",(DI171/DA171-1)*100)))</f>
        <v>15.970373187805166</v>
      </c>
      <c r="DK171" s="137">
        <f>+DK169-DK170</f>
        <v>1.5820911585858042</v>
      </c>
      <c r="DL171" s="98">
        <f>IF(ISERROR((DK171/DC171-1)*100),"NA",IF(((DK171/DC171-1)*100)&gt;100,"NM",IF(((DK171/DC171-1)*100)&lt;-50,"NM",(DK171/DC171-1)*100)))</f>
        <v>31.387866347682515</v>
      </c>
      <c r="DM171" s="137">
        <f>+DM169-DM170</f>
        <v>1.687578361657927</v>
      </c>
      <c r="DN171" s="98">
        <f>IF(ISERROR((DM171/DE171-1)*100),"NA",IF(((DM171/DE171-1)*100)&gt;100,"NM",IF(((DM171/DE171-1)*100)&lt;-50,"NM",(DM171/DE171-1)*100)))</f>
        <v>21.936615374135894</v>
      </c>
      <c r="DO171" s="137">
        <f>+DO169-DO170</f>
        <v>1.8522988351614953</v>
      </c>
      <c r="DP171" s="98">
        <f>IF(ISERROR((DO171/DG171-1)*100),"NA",IF(((DO171/DG171-1)*100)&gt;100,"NM",IF(((DO171/DG171-1)*100)&lt;-50,"NM",(DO171/DG171-1)*100)))</f>
        <v>32.266010541012548</v>
      </c>
      <c r="DQ171" s="137">
        <f>+DQ169-DQ170</f>
        <v>1.6350293712632262</v>
      </c>
      <c r="DR171" s="98">
        <f>IF(ISERROR((DQ171/DI171-1)*100),"NA",IF(((DQ171/DI171-1)*100)&gt;100,"NM",IF(((DQ171/DI171-1)*100)&lt;-50,"NM",(DQ171/DI171-1)*100)))</f>
        <v>2.088746648672557</v>
      </c>
      <c r="DS171" s="137">
        <f>+DS169-DS170</f>
        <v>1.6399294259227153</v>
      </c>
      <c r="DT171" s="98">
        <f>IF(ISERROR((DS171/DK171-1)*100),"NA",IF(((DS171/DK171-1)*100)&gt;100,"NM",IF(((DS171/DK171-1)*100)&lt;-50,"NM",(DS171/DK171-1)*100)))</f>
        <v>3.6558112990538127</v>
      </c>
      <c r="DU171" s="137">
        <f>+DU169-DU170</f>
        <v>2.1125053508894078</v>
      </c>
      <c r="DV171" s="98">
        <f>IF(ISERROR((DU171/DM171-1)*100),"NA",IF(((DU171/DM171-1)*100)&gt;100,"NM",IF(((DU171/DM171-1)*100)&lt;-50,"NM",(DU171/DM171-1)*100)))</f>
        <v>25.179689363522062</v>
      </c>
      <c r="DW171" s="137">
        <f>+DW169-DW170</f>
        <v>1.5798319327731094</v>
      </c>
      <c r="DX171" s="98">
        <f>IF(ISERROR((DW171/DO171-1)*100),"NA",IF(((DW171/DO171-1)*100)&gt;100,"NM",IF(((DW171/DO171-1)*100)&lt;-50,"NM",(DW171/DO171-1)*100)))</f>
        <v>-14.709662243275689</v>
      </c>
      <c r="DY171" s="137">
        <f>+DY169-DY170</f>
        <v>1.4673129830996987</v>
      </c>
      <c r="DZ171" s="98">
        <f>IF(ISERROR((DY171/DQ171-1)*100),"NA",IF(((DY171/DQ171-1)*100)&gt;100,"NM",IF(((DY171/DQ171-1)*100)&lt;-50,"NM",(DY171/DQ171-1)*100)))</f>
        <v>-10.257698798031356</v>
      </c>
      <c r="EA171" s="137">
        <f>+EA169-EA170</f>
        <v>1.3640169072754382</v>
      </c>
      <c r="EB171" s="98">
        <f>IF(ISERROR((EA171/DS171-1)*100),"NA",IF(((EA171/DS171-1)*100)&gt;100,"NM",IF(((EA171/DS171-1)*100)&lt;-50,"NM",(EA171/DS171-1)*100)))</f>
        <v>-16.824658078931254</v>
      </c>
      <c r="EC171" s="137">
        <f>+EC169-EC170</f>
        <v>1.70094418524975</v>
      </c>
      <c r="ED171" s="98">
        <f>IF(ISERROR((EC171/DU171-1)*100),"NA",IF(((EC171/DU171-1)*100)&gt;100,"NM",IF(((EC171/DU171-1)*100)&lt;-50,"NM",(EC171/DU171-1)*100)))</f>
        <v>-19.482136008147023</v>
      </c>
      <c r="EE171" s="137">
        <f>+EE169-EE170</f>
        <v>1.6650891268688888</v>
      </c>
      <c r="EF171" s="860">
        <f>IF(ISERROR((EE171/DW171-1)*100),"NA",IF(((EE171/DW171-1)*100)&gt;100,"NM",IF(((EE171/DW171-1)*100)&lt;-50,"NM",(EE171/DW171-1)*100)))</f>
        <v>5.39659898797753</v>
      </c>
      <c r="EG171" s="137">
        <f>+EG169-EG170</f>
        <v>1.7635294528370582</v>
      </c>
      <c r="EH171" s="860">
        <f>IF(ISERROR((EG171/DY171-1)*100),"NA",IF(((EG171/DY171-1)*100)&gt;100,"NM",IF(((EG171/DY171-1)*100)&lt;-50,"NM",(EG171/DY171-1)*100)))</f>
        <v>20.187681370582734</v>
      </c>
      <c r="EI171" s="137">
        <f>+EI169-EI170</f>
        <v>1.6648875221576946</v>
      </c>
      <c r="EJ171" s="860">
        <f t="shared" si="1014"/>
        <v>22.057689554833427</v>
      </c>
      <c r="EK171" s="137">
        <f>+EK169-EK170</f>
        <v>1.4851772350176944</v>
      </c>
      <c r="EL171" s="860">
        <f t="shared" si="1015"/>
        <v>-12.685128183696071</v>
      </c>
      <c r="EM171" s="137">
        <f>+EM169-EM170</f>
        <v>1.5591805766312601</v>
      </c>
      <c r="EN171" s="860">
        <f t="shared" si="1016"/>
        <v>-6.3605334110123035</v>
      </c>
      <c r="EO171" s="137">
        <f>+EO169-EO170</f>
        <v>1.5146031127321322</v>
      </c>
      <c r="EP171" s="98">
        <f t="shared" si="1017"/>
        <v>-14.115235767935063</v>
      </c>
      <c r="EQ171" s="1026">
        <v>1.5</v>
      </c>
      <c r="ER171" s="98">
        <f t="shared" si="1018"/>
        <v>-9.9038235294117918</v>
      </c>
      <c r="ES171" s="1026">
        <f t="shared" ref="ES171" si="1029">EQ171-0.005</f>
        <v>1.4950000000000001</v>
      </c>
      <c r="ET171" s="98">
        <f t="shared" si="1020"/>
        <v>0.66138671875002331</v>
      </c>
      <c r="EU171" s="1026">
        <f t="shared" ref="EU171" si="1030">ES171-0.005</f>
        <v>1.4900000000000002</v>
      </c>
      <c r="EV171" s="98">
        <f t="shared" si="1022"/>
        <v>-4.4369829683698514</v>
      </c>
      <c r="EW171" s="1026">
        <f t="shared" ref="EW171" si="1031">EU171-0.005</f>
        <v>1.4850000000000003</v>
      </c>
      <c r="EX171" s="98">
        <f t="shared" si="1024"/>
        <v>-1.9545128676470291</v>
      </c>
      <c r="EY171" s="80"/>
      <c r="EZ171" s="601"/>
      <c r="FA171" s="411"/>
      <c r="FB171" s="125" t="s">
        <v>494</v>
      </c>
      <c r="FC171" s="233"/>
      <c r="FD171" s="137">
        <f>+FD169-FD170</f>
        <v>1.3171072198112341</v>
      </c>
      <c r="FE171" s="233" t="str">
        <f>IF(ISERROR((FD171/FB171-1)*100),"NA",IF(((FD171/FB171-1)*100)&gt;100,"NM",IF(((FD171/FB171-1)*100)&lt;-50,"NM",(FD171/FB171-1)*100)))</f>
        <v>NA</v>
      </c>
      <c r="FF171" s="137">
        <f>+FF169-FF170</f>
        <v>1.3433375804193606</v>
      </c>
      <c r="FG171" s="233">
        <f>IF(ISERROR((FF171/FD171-1)*100),"NA",IF(((FF171/FD171-1)*100)&gt;100,"NM",IF(((FF171/FD171-1)*100)&lt;-50,"NM",(FF171/FD171-1)*100)))</f>
        <v>1.9915129317934932</v>
      </c>
      <c r="FH171" s="137">
        <f>+FH169-FH170</f>
        <v>1.874694675134343</v>
      </c>
      <c r="FI171" s="233">
        <f>IF(ISERROR((FH171/FF171-1)*100),"NA",IF(((FH171/FF171-1)*100)&gt;100,"NM",IF(((FH171/FF171-1)*100)&lt;-50,"NM",(FH171/FF171-1)*100)))</f>
        <v>39.554993656107214</v>
      </c>
      <c r="FJ171" s="137">
        <f>+FJ169-FJ170</f>
        <v>1.5844050515583366</v>
      </c>
      <c r="FK171" s="233">
        <f>IF(ISERROR((FJ171/FH171-1)*100),"NA",IF(((FJ171/FH171-1)*100)&gt;100,"NM",IF(((FJ171/FH171-1)*100)&lt;-50,"NM",(FJ171/FH171-1)*100)))</f>
        <v>-15.484634774204176</v>
      </c>
      <c r="FL171" s="137">
        <f>+FL169-FL170</f>
        <v>1.5663524292965922</v>
      </c>
      <c r="FM171" s="233">
        <f>IF(ISERROR((FL171/FJ171-1)*100),"NA",IF(((FL171/FJ171-1)*100)&gt;100,"NM",IF(((FL171/FJ171-1)*100)&lt;-50,"NM",(FL171/FJ171-1)*100)))</f>
        <v>-1.1393943893317382</v>
      </c>
      <c r="FN171" s="137">
        <f>+FN169-FN170</f>
        <v>1.8605946014917238</v>
      </c>
      <c r="FO171" s="233">
        <f>IF(ISERROR((FN171/FL171-1)*100),"NA",IF(((FN171/FL171-1)*100)&gt;100,"NM",IF(((FN171/FL171-1)*100)&lt;-50,"NM",(FN171/FL171-1)*100)))</f>
        <v>18.785183123013248</v>
      </c>
      <c r="FP171" s="137">
        <f>+FP169-FP170</f>
        <v>1.8780262760372004</v>
      </c>
      <c r="FQ171" s="233">
        <f>IF(ISERROR((FP171/FN171-1)*100),"NA",IF(((FP171/FN171-1)*100)&gt;100,"NM",IF(((FP171/FN171-1)*100)&lt;-50,"NM",(FP171/FN171-1)*100)))</f>
        <v>0.93688730105423446</v>
      </c>
      <c r="FR171" s="130">
        <f>+FR169-FR170</f>
        <v>1.7796541567814286</v>
      </c>
      <c r="FS171" s="120">
        <f>IF(ISERROR((FR171/FP171-1)*100),"NA",IF(((FR171/FP171-1)*100)&gt;100,"NM",IF(((FR171/FP171-1)*100)&lt;-50,"NM",(FR171/FP171-1)*100)))</f>
        <v>-5.2380587274500563</v>
      </c>
      <c r="FT171" s="130">
        <f>+FT169-FT170</f>
        <v>1.5809365781710918</v>
      </c>
      <c r="FU171" s="120">
        <f>IF(ISERROR((FT171/FR171-1)*100),"NA",IF(((FT171/FR171-1)*100)&gt;100,"NM",IF(((FT171/FR171-1)*100)&lt;-50,"NM",(FT171/FR171-1)*100)))</f>
        <v>-11.166078412095803</v>
      </c>
      <c r="FV171" s="130">
        <f>+FV169-FV170</f>
        <v>1.4713434742371501</v>
      </c>
      <c r="FW171" s="98">
        <f>IF(ISERROR((FV171/FT171-1)*100),"NA",IF(((FV171/FT171-1)*100)&gt;100,"NM",IF(((FV171/FT171-1)*100)&lt;-50,"NM",(FV171/FT171-1)*100)))</f>
        <v>-6.9321632155999957</v>
      </c>
      <c r="FX171" s="487">
        <f>+FX169-FX170</f>
        <v>0.44314954151940178</v>
      </c>
      <c r="FY171" s="98" t="str">
        <f>IF(ISERROR((FX171/FV171-1)*100),"NA",IF(((FX171/FV171-1)*100)&gt;100,"NM",IF(((FX171/FV171-1)*100)&lt;-50,"NM",(FX171/FV171-1)*100)))</f>
        <v>NM</v>
      </c>
      <c r="FZ171" s="130">
        <f>+FZ169-FZ170</f>
        <v>1.0556163552867357</v>
      </c>
      <c r="GA171" s="98" t="str">
        <f>IF(ISERROR((FZ171/FX171-1)*100),"NA",IF(((FZ171/FX171-1)*100)&gt;100,"NM",IF(((FZ171/FX171-1)*100)&lt;-50,"NM",(FZ171/FX171-1)*100)))</f>
        <v>NM</v>
      </c>
      <c r="GB171" s="487">
        <f>+GB169-GB170</f>
        <v>1.3565130816875519</v>
      </c>
      <c r="GC171" s="98">
        <f>IF(ISERROR((GB171/FZ171-1)*100),"NA",IF(((GB171/FZ171-1)*100)&gt;100,"NM",IF(((GB171/FZ171-1)*100)&lt;-50,"NM",(GB171/FZ171-1)*100)))</f>
        <v>28.504363814928201</v>
      </c>
      <c r="GD171" s="130">
        <f>+GD169-GD170</f>
        <v>1.3591654511483466</v>
      </c>
      <c r="GE171" s="98">
        <f>IF(ISERROR((GD171/GB171-1)*100),"NA",IF(((GD171/GB171-1)*100)&gt;100,"NM",IF(((GD171/GB171-1)*100)&lt;-50,"NM",(GD171/GB171-1)*100)))</f>
        <v>0.19552848377215604</v>
      </c>
      <c r="GF171" s="130">
        <f>+GF169-GF170</f>
        <v>1.3949233935513381</v>
      </c>
      <c r="GG171" s="98">
        <f>IF(ISERROR((GF171/GD171-1)*100),"NA",IF(((GF171/GD171-1)*100)&gt;100,"NM",IF(((GF171/GD171-1)*100)&lt;-50,"NM",(GF171/GD171-1)*100)))</f>
        <v>2.6308748778730351</v>
      </c>
      <c r="GH171" s="130">
        <f>+GH169-GH170</f>
        <v>1.6889973757505041</v>
      </c>
      <c r="GI171" s="98">
        <f>IF(ISERROR((GH171/GF171-1)*100),"NA",IF(((GH171/GF171-1)*100)&gt;100,"NM",IF(((GH171/GF171-1)*100)&lt;-50,"NM",(GH171/GF171-1)*100)))</f>
        <v>21.081729904212331</v>
      </c>
      <c r="GJ171" s="130">
        <f>+GJ169-GJ170</f>
        <v>1.7011918716222523</v>
      </c>
      <c r="GK171" s="98">
        <f>IF(ISERROR((GJ171/GH171-1)*100),"NA",IF(((GJ171/GH171-1)*100)&gt;100,"NM",IF(((GJ171/GH171-1)*100)&lt;-50,"NM",(GJ171/GH171-1)*100)))</f>
        <v>0.72199614083647834</v>
      </c>
      <c r="GL171" s="130">
        <f>+GL169-GL170</f>
        <v>1.6247671552014138</v>
      </c>
      <c r="GM171" s="98">
        <f>IF(ISERROR((GL171/GJ171-1)*100),"NA",IF(((GL171/GJ171-1)*100)&gt;100,"NM",IF(((GL171/GJ171-1)*100)&lt;-50,"NM",(GL171/GJ171-1)*100)))</f>
        <v>-4.4924219128768872</v>
      </c>
      <c r="GN171" s="130">
        <f>+GN169-GN170</f>
        <v>1.5552084676706737</v>
      </c>
      <c r="GO171" s="98">
        <f>IF(ISERROR((GN171/GL171-1)*100),"NA",IF(((GN171/GL171-1)*100)&gt;100,"NM",IF(((GN171/GL171-1)*100)&lt;-50,"NM",(GN171/GL171-1)*100)))</f>
        <v>-4.281148059157891</v>
      </c>
      <c r="GP171" s="130">
        <f>+GP169-GP170</f>
        <v>1.4997849497535851</v>
      </c>
      <c r="GQ171" s="98">
        <f>IF(ISERROR((GP171/GN171-1)*100),"NA",IF(((GP171/GN171-1)*100)&gt;100,"NM",IF(((GP171/GN171-1)*100)&lt;-50,"NM",(GP171/GN171-1)*100)))</f>
        <v>-3.563735606461782</v>
      </c>
      <c r="GR171" s="80">
        <f>GP171-0.05</f>
        <v>1.4497849497535851</v>
      </c>
      <c r="GS171" s="98">
        <f>IF(ISERROR((GR171/GP171-1)*100),"NA",IF(((GR171/GP171-1)*100)&gt;100,"NM",IF(((GR171/GP171-1)*100)&lt;-50,"NM",(GR171/GP171-1)*100)))</f>
        <v>-3.3338112912931317</v>
      </c>
      <c r="GT171" s="80">
        <f>GR171-0.05</f>
        <v>1.399784949753585</v>
      </c>
      <c r="GU171" s="98">
        <f>IF(ISERROR((GT171/GR171-1)*100),"NA",IF(((GT171/GR171-1)*100)&gt;100,"NM",IF(((GT171/GR171-1)*100)&lt;-50,"NM",(GT171/GR171-1)*100)))</f>
        <v>-3.4487873534966962</v>
      </c>
      <c r="GV171" s="80">
        <f>GT171-0.05</f>
        <v>1.349784949753585</v>
      </c>
      <c r="GW171" s="98">
        <f>IF(ISERROR((GV171/GT171-1)*100),"NA",IF(((GV171/GT171-1)*100)&gt;100,"NM",IF(((GV171/GT171-1)*100)&lt;-50,"NM",(GV171/GT171-1)*100)))</f>
        <v>-3.5719772532775029</v>
      </c>
      <c r="GX171" s="80">
        <f>GV171-0.05</f>
        <v>1.2997849497535849</v>
      </c>
      <c r="GY171" s="98">
        <f>IF(ISERROR((GX171/GV171-1)*100),"NA",IF(((GX171/GV171-1)*100)&gt;100,"NM",IF(((GX171/GV171-1)*100)&lt;-50,"NM",(GX171/GV171-1)*100)))</f>
        <v>-3.7042937846601398</v>
      </c>
      <c r="GZ171" s="98">
        <f>IF(ISERROR(((GX171/GN171)^0.2-1)*100),"NA",IF((((GX171/GN171)^0.2-1)*100)&gt;100,"NM",IF((((GX171/GN171)^0.2-1)*100)&lt;-50,"NM",((GX171/GN171)^0.2-1)*100)))</f>
        <v>-3.5246021192455124</v>
      </c>
      <c r="HA171" s="98"/>
      <c r="HB171" s="10"/>
      <c r="HC171"/>
      <c r="HD171"/>
      <c r="HE171"/>
      <c r="HF171"/>
      <c r="HG171"/>
      <c r="HH171"/>
      <c r="HI171" s="10"/>
    </row>
    <row r="172" spans="1:217" s="2" customFormat="1" ht="12.75" customHeight="1" x14ac:dyDescent="0.2">
      <c r="B172" s="91"/>
      <c r="C172" s="153"/>
      <c r="D172" s="154"/>
      <c r="E172" s="153"/>
      <c r="F172" s="154"/>
      <c r="G172" s="153"/>
      <c r="H172" s="154"/>
      <c r="I172" s="153"/>
      <c r="J172" s="156"/>
      <c r="K172" s="153"/>
      <c r="L172" s="156"/>
      <c r="M172" s="153"/>
      <c r="N172" s="156"/>
      <c r="O172" s="153"/>
      <c r="P172" s="156"/>
      <c r="Q172" s="153"/>
      <c r="R172" s="156"/>
      <c r="S172" s="153"/>
      <c r="T172" s="156"/>
      <c r="U172" s="153"/>
      <c r="V172" s="156"/>
      <c r="W172" s="153"/>
      <c r="X172" s="156"/>
      <c r="Y172" s="153"/>
      <c r="Z172" s="156"/>
      <c r="AA172" s="153"/>
      <c r="AB172" s="156"/>
      <c r="AC172" s="153"/>
      <c r="AD172" s="156"/>
      <c r="AE172" s="153"/>
      <c r="AF172" s="156"/>
      <c r="AG172" s="153"/>
      <c r="AH172" s="156"/>
      <c r="AI172" s="153"/>
      <c r="AJ172" s="156"/>
      <c r="AK172" s="153"/>
      <c r="AL172" s="156"/>
      <c r="AM172" s="153"/>
      <c r="AN172" s="156"/>
      <c r="AO172" s="153"/>
      <c r="AP172" s="156"/>
      <c r="AQ172" s="153"/>
      <c r="AR172" s="156"/>
      <c r="AS172" s="153"/>
      <c r="AT172" s="156"/>
      <c r="AU172" s="153"/>
      <c r="AV172" s="156"/>
      <c r="AW172" s="153"/>
      <c r="AX172" s="156"/>
      <c r="AY172" s="153"/>
      <c r="AZ172" s="156"/>
      <c r="BA172" s="153"/>
      <c r="BB172" s="156"/>
      <c r="BC172" s="153"/>
      <c r="BD172" s="156"/>
      <c r="BE172" s="153"/>
      <c r="BF172" s="156"/>
      <c r="BG172" s="153"/>
      <c r="BH172" s="156"/>
      <c r="BI172" s="153"/>
      <c r="BJ172" s="156"/>
      <c r="BK172" s="153"/>
      <c r="BL172" s="156"/>
      <c r="BM172" s="153"/>
      <c r="BN172" s="98"/>
      <c r="BO172" s="112"/>
      <c r="BP172" s="98"/>
      <c r="BQ172" s="112"/>
      <c r="BR172" s="98"/>
      <c r="BS172" s="112"/>
      <c r="BT172" s="98"/>
      <c r="BU172" s="112"/>
      <c r="BV172" s="98"/>
      <c r="BW172" s="112"/>
      <c r="BX172" s="98"/>
      <c r="BY172" s="112"/>
      <c r="BZ172" s="98"/>
      <c r="CA172" s="112"/>
      <c r="CB172" s="98"/>
      <c r="CC172" s="112"/>
      <c r="CD172" s="98"/>
      <c r="CE172" s="112"/>
      <c r="CF172" s="98"/>
      <c r="CG172" s="112"/>
      <c r="CH172" s="98"/>
      <c r="CI172" s="112"/>
      <c r="CJ172" s="98"/>
      <c r="CK172" s="112"/>
      <c r="CL172" s="98"/>
      <c r="CM172" s="112"/>
      <c r="CN172" s="98"/>
      <c r="CO172" s="112"/>
      <c r="CP172" s="98"/>
      <c r="CQ172" s="543"/>
      <c r="CR172" s="98"/>
      <c r="CS172" s="112"/>
      <c r="CT172" s="98"/>
      <c r="CU172" s="112"/>
      <c r="CV172" s="98"/>
      <c r="CW172" s="112"/>
      <c r="CX172" s="98"/>
      <c r="CY172" s="112"/>
      <c r="CZ172" s="98"/>
      <c r="DA172" s="112"/>
      <c r="DB172" s="98"/>
      <c r="DC172" s="112"/>
      <c r="DD172" s="98"/>
      <c r="DE172" s="112"/>
      <c r="DF172" s="98"/>
      <c r="DG172" s="112"/>
      <c r="DH172" s="98"/>
      <c r="DI172" s="112"/>
      <c r="DJ172" s="98"/>
      <c r="DK172" s="112"/>
      <c r="DL172" s="98"/>
      <c r="DM172" s="112"/>
      <c r="DN172" s="98"/>
      <c r="DO172" s="112"/>
      <c r="DP172" s="98"/>
      <c r="DQ172" s="112"/>
      <c r="DR172" s="98"/>
      <c r="DS172" s="112"/>
      <c r="DT172" s="98"/>
      <c r="DU172" s="112"/>
      <c r="DV172" s="98"/>
      <c r="DW172" s="112"/>
      <c r="DX172" s="98"/>
      <c r="DY172" s="112"/>
      <c r="DZ172" s="98"/>
      <c r="EA172" s="112"/>
      <c r="EB172" s="98"/>
      <c r="EC172" s="112"/>
      <c r="ED172" s="98"/>
      <c r="EE172" s="112"/>
      <c r="EF172" s="860"/>
      <c r="EG172" s="112"/>
      <c r="EH172" s="860"/>
      <c r="EI172" s="112"/>
      <c r="EJ172" s="860"/>
      <c r="EK172" s="112"/>
      <c r="EL172" s="860"/>
      <c r="EM172" s="112"/>
      <c r="EN172" s="860"/>
      <c r="EO172" s="112"/>
      <c r="EP172" s="98"/>
      <c r="EQ172" s="1043"/>
      <c r="ER172" s="98"/>
      <c r="ES172" s="1043"/>
      <c r="ET172" s="98"/>
      <c r="EU172" s="1043"/>
      <c r="EV172" s="98"/>
      <c r="EW172" s="1043"/>
      <c r="EX172" s="98"/>
      <c r="EY172" s="264"/>
      <c r="EZ172" s="594"/>
      <c r="FA172" s="405"/>
      <c r="FB172" s="114"/>
      <c r="FC172" s="113"/>
      <c r="FD172" s="112"/>
      <c r="FE172" s="113"/>
      <c r="FF172" s="114"/>
      <c r="FG172" s="113"/>
      <c r="FH172" s="114"/>
      <c r="FI172" s="113"/>
      <c r="FJ172" s="114"/>
      <c r="FK172" s="113"/>
      <c r="FL172" s="114"/>
      <c r="FM172" s="113"/>
      <c r="FN172" s="114"/>
      <c r="FO172" s="113"/>
      <c r="FP172" s="114"/>
      <c r="FQ172" s="113"/>
      <c r="FR172" s="265"/>
      <c r="FS172" s="116"/>
      <c r="FT172" s="265"/>
      <c r="FU172" s="116"/>
      <c r="FV172" s="265"/>
      <c r="FW172" s="98"/>
      <c r="FX172" s="517"/>
      <c r="FY172" s="98"/>
      <c r="FZ172" s="265"/>
      <c r="GA172" s="98"/>
      <c r="GB172" s="517"/>
      <c r="GC172" s="98"/>
      <c r="GD172" s="265"/>
      <c r="GE172" s="98"/>
      <c r="GF172" s="265"/>
      <c r="GG172" s="98"/>
      <c r="GH172" s="265"/>
      <c r="GI172" s="98"/>
      <c r="GJ172" s="265"/>
      <c r="GK172" s="98"/>
      <c r="GL172" s="265"/>
      <c r="GM172" s="98"/>
      <c r="GN172" s="265"/>
      <c r="GO172" s="98"/>
      <c r="GP172" s="265"/>
      <c r="GQ172" s="98"/>
      <c r="GR172" s="264"/>
      <c r="GS172" s="98"/>
      <c r="GT172" s="264"/>
      <c r="GU172" s="98"/>
      <c r="GV172" s="264"/>
      <c r="GW172" s="98"/>
      <c r="GX172" s="264"/>
      <c r="GY172" s="98"/>
      <c r="GZ172" s="98"/>
      <c r="HA172" s="98"/>
      <c r="HB172" s="10"/>
      <c r="HC172"/>
      <c r="HD172"/>
      <c r="HE172"/>
      <c r="HF172"/>
      <c r="HG172"/>
      <c r="HH172"/>
      <c r="HI172" s="10"/>
    </row>
    <row r="173" spans="1:217" s="2" customFormat="1" ht="12.75" customHeight="1" x14ac:dyDescent="0.2">
      <c r="B173" s="131" t="s">
        <v>620</v>
      </c>
      <c r="C173" s="153"/>
      <c r="D173" s="154"/>
      <c r="E173" s="153"/>
      <c r="F173" s="154"/>
      <c r="G173" s="153"/>
      <c r="H173" s="154"/>
      <c r="I173" s="153"/>
      <c r="J173" s="156"/>
      <c r="K173" s="153"/>
      <c r="L173" s="156"/>
      <c r="M173" s="153"/>
      <c r="N173" s="156"/>
      <c r="O173" s="153"/>
      <c r="P173" s="156"/>
      <c r="Q173" s="153"/>
      <c r="R173" s="156"/>
      <c r="S173" s="153"/>
      <c r="T173" s="156"/>
      <c r="U173" s="153"/>
      <c r="V173" s="156"/>
      <c r="W173" s="153"/>
      <c r="X173" s="156"/>
      <c r="Y173" s="153"/>
      <c r="Z173" s="156"/>
      <c r="AA173" s="153"/>
      <c r="AB173" s="156"/>
      <c r="AC173" s="153"/>
      <c r="AD173" s="156"/>
      <c r="AE173" s="153"/>
      <c r="AF173" s="156"/>
      <c r="AG173" s="153"/>
      <c r="AH173" s="156"/>
      <c r="AI173" s="153"/>
      <c r="AJ173" s="156"/>
      <c r="AK173" s="153"/>
      <c r="AL173" s="156"/>
      <c r="AM173" s="153"/>
      <c r="AN173" s="156"/>
      <c r="AO173" s="153"/>
      <c r="AP173" s="156"/>
      <c r="AQ173" s="153"/>
      <c r="AR173" s="156"/>
      <c r="AS173" s="153"/>
      <c r="AT173" s="156"/>
      <c r="AU173" s="153"/>
      <c r="AV173" s="156"/>
      <c r="AW173" s="153"/>
      <c r="AX173" s="156"/>
      <c r="AY173" s="153"/>
      <c r="AZ173" s="156"/>
      <c r="BA173" s="153"/>
      <c r="BB173" s="156"/>
      <c r="BC173" s="153"/>
      <c r="BD173" s="156"/>
      <c r="BE173" s="153"/>
      <c r="BF173" s="156"/>
      <c r="BG173" s="153"/>
      <c r="BH173" s="156"/>
      <c r="BI173" s="153"/>
      <c r="BJ173" s="156"/>
      <c r="BK173" s="153"/>
      <c r="BL173" s="156"/>
      <c r="BM173" s="153"/>
      <c r="BN173" s="98"/>
      <c r="BO173" s="112"/>
      <c r="BP173" s="98"/>
      <c r="BQ173" s="112"/>
      <c r="BR173" s="98"/>
      <c r="BS173" s="112"/>
      <c r="BT173" s="98"/>
      <c r="BU173" s="112"/>
      <c r="BV173" s="98"/>
      <c r="BW173" s="112"/>
      <c r="BX173" s="98"/>
      <c r="BY173" s="112"/>
      <c r="BZ173" s="98"/>
      <c r="CA173" s="112"/>
      <c r="CB173" s="98"/>
      <c r="CC173" s="112"/>
      <c r="CD173" s="98"/>
      <c r="CE173" s="112"/>
      <c r="CF173" s="98"/>
      <c r="CG173" s="112"/>
      <c r="CH173" s="98"/>
      <c r="CI173" s="112"/>
      <c r="CJ173" s="98"/>
      <c r="CK173" s="112"/>
      <c r="CL173" s="98"/>
      <c r="CM173" s="112"/>
      <c r="CN173" s="98"/>
      <c r="CO173" s="112"/>
      <c r="CP173" s="98"/>
      <c r="CQ173" s="543"/>
      <c r="CR173" s="98"/>
      <c r="CS173" s="112"/>
      <c r="CT173" s="98"/>
      <c r="CU173" s="112"/>
      <c r="CV173" s="98"/>
      <c r="CW173" s="112"/>
      <c r="CX173" s="98"/>
      <c r="CY173" s="112"/>
      <c r="CZ173" s="98"/>
      <c r="DA173" s="112"/>
      <c r="DB173" s="98"/>
      <c r="DC173" s="112"/>
      <c r="DD173" s="98"/>
      <c r="DE173" s="112"/>
      <c r="DF173" s="98"/>
      <c r="DG173" s="112"/>
      <c r="DH173" s="98"/>
      <c r="DI173" s="112"/>
      <c r="DJ173" s="98"/>
      <c r="DK173" s="112"/>
      <c r="DL173" s="98"/>
      <c r="DM173" s="112"/>
      <c r="DN173" s="98"/>
      <c r="DO173" s="112"/>
      <c r="DP173" s="98"/>
      <c r="DQ173" s="112"/>
      <c r="DR173" s="98"/>
      <c r="DS173" s="112"/>
      <c r="DT173" s="98"/>
      <c r="DU173" s="112"/>
      <c r="DV173" s="98"/>
      <c r="DW173" s="112"/>
      <c r="DX173" s="98"/>
      <c r="DY173" s="112"/>
      <c r="DZ173" s="98"/>
      <c r="EA173" s="112"/>
      <c r="EB173" s="98"/>
      <c r="EC173" s="112"/>
      <c r="ED173" s="98"/>
      <c r="EE173" s="112"/>
      <c r="EF173" s="860"/>
      <c r="EG173" s="1150"/>
      <c r="EH173" s="860"/>
      <c r="EI173" s="1150"/>
      <c r="EJ173" s="860"/>
      <c r="EK173" s="1150"/>
      <c r="EL173" s="860"/>
      <c r="EM173" s="1150"/>
      <c r="EN173" s="860"/>
      <c r="EO173" s="1150"/>
      <c r="EP173" s="98"/>
      <c r="EQ173" s="1022"/>
      <c r="ER173" s="98"/>
      <c r="ES173" s="1022"/>
      <c r="ET173" s="98"/>
      <c r="EU173" s="1022"/>
      <c r="EV173" s="98"/>
      <c r="EW173" s="1022"/>
      <c r="EX173" s="98"/>
      <c r="EY173" s="114"/>
      <c r="EZ173" s="594"/>
      <c r="FA173" s="405"/>
      <c r="FB173" s="114"/>
      <c r="FC173" s="113"/>
      <c r="FD173" s="112"/>
      <c r="FE173" s="113"/>
      <c r="FF173" s="114"/>
      <c r="FG173" s="113"/>
      <c r="FH173" s="114"/>
      <c r="FI173" s="113"/>
      <c r="FJ173" s="114"/>
      <c r="FK173" s="113"/>
      <c r="FL173" s="114"/>
      <c r="FM173" s="113"/>
      <c r="FN173" s="114"/>
      <c r="FO173" s="113"/>
      <c r="FP173" s="114"/>
      <c r="FQ173" s="113"/>
      <c r="FR173" s="115"/>
      <c r="FS173" s="116"/>
      <c r="FT173" s="115"/>
      <c r="FU173" s="116"/>
      <c r="FV173" s="115"/>
      <c r="FW173" s="98"/>
      <c r="FX173" s="484"/>
      <c r="FY173" s="98"/>
      <c r="FZ173" s="115"/>
      <c r="GA173" s="98"/>
      <c r="GB173" s="484"/>
      <c r="GC173" s="98"/>
      <c r="GD173" s="115"/>
      <c r="GE173" s="98"/>
      <c r="GF173" s="115"/>
      <c r="GG173" s="98"/>
      <c r="GH173" s="115"/>
      <c r="GI173" s="98"/>
      <c r="GJ173" s="115"/>
      <c r="GK173" s="98"/>
      <c r="GL173" s="115"/>
      <c r="GM173" s="98"/>
      <c r="GN173" s="115"/>
      <c r="GO173" s="98"/>
      <c r="GP173" s="115"/>
      <c r="GQ173" s="98"/>
      <c r="GR173" s="114"/>
      <c r="GS173" s="98"/>
      <c r="GT173" s="114"/>
      <c r="GU173" s="98"/>
      <c r="GV173" s="114"/>
      <c r="GW173" s="98"/>
      <c r="GX173" s="114"/>
      <c r="GY173" s="98"/>
      <c r="GZ173" s="98"/>
      <c r="HA173" s="98"/>
      <c r="HB173" s="10"/>
      <c r="HC173"/>
      <c r="HD173"/>
      <c r="HE173"/>
      <c r="HF173"/>
      <c r="HG173"/>
      <c r="HH173"/>
      <c r="HI173" s="10"/>
    </row>
    <row r="174" spans="1:217" s="2" customFormat="1" ht="12.75" customHeight="1" x14ac:dyDescent="0.2">
      <c r="B174" s="434" t="s">
        <v>540</v>
      </c>
      <c r="C174" s="157">
        <v>526</v>
      </c>
      <c r="D174" s="156"/>
      <c r="E174" s="157">
        <v>585</v>
      </c>
      <c r="F174" s="156"/>
      <c r="G174" s="157">
        <v>518</v>
      </c>
      <c r="H174" s="156"/>
      <c r="I174" s="157">
        <v>567</v>
      </c>
      <c r="J174" s="156"/>
      <c r="K174" s="157">
        <v>505</v>
      </c>
      <c r="L174" s="156">
        <f>IF(ISERROR((K174/C174-1)*100),"NA",IF(((K174/C174-1)*100)&gt;100,"NM",IF(((K174/C174-1)*100)&lt;-50,"NM",(K174/C174-1)*100)))</f>
        <v>-3.9923954372623527</v>
      </c>
      <c r="M174" s="157">
        <v>428</v>
      </c>
      <c r="N174" s="156">
        <f>IF(ISERROR((M174/E174-1)*100),"NA",IF(((M174/E174-1)*100)&gt;100,"NM",IF(((M174/E174-1)*100)&lt;-50,"NM",(M174/E174-1)*100)))</f>
        <v>-26.837606837606842</v>
      </c>
      <c r="O174" s="157">
        <v>526</v>
      </c>
      <c r="P174" s="156">
        <f>IF(ISERROR((O174/G174-1)*100),"NA",IF(((O174/G174-1)*100)&gt;100,"NM",IF(((O174/G174-1)*100)&lt;-50,"NM",(O174/G174-1)*100)))</f>
        <v>1.5444015444015413</v>
      </c>
      <c r="Q174" s="157">
        <f>721-215</f>
        <v>506</v>
      </c>
      <c r="R174" s="156">
        <f>IF(ISERROR((Q174/I174-1)*100),"NA",IF(((Q174/I174-1)*100)&gt;100,"NM",IF(((Q174/I174-1)*100)&lt;-50,"NM",(Q174/I174-1)*100)))</f>
        <v>-10.758377425044097</v>
      </c>
      <c r="S174" s="157">
        <v>443</v>
      </c>
      <c r="T174" s="156">
        <f>IF(ISERROR((S174/K174-1)*100),"NA",IF(((S174/K174-1)*100)&gt;100,"NM",IF(((S174/K174-1)*100)&lt;-50,"NM",(S174/K174-1)*100)))</f>
        <v>-12.277227722772277</v>
      </c>
      <c r="U174" s="157">
        <v>723</v>
      </c>
      <c r="V174" s="156">
        <f>IF(ISERROR((U174/M174-1)*100),"NA",IF(((U174/M174-1)*100)&gt;100,"NM",IF(((U174/M174-1)*100)&lt;-50,"NM",(U174/M174-1)*100)))</f>
        <v>68.925233644859802</v>
      </c>
      <c r="W174" s="157">
        <v>547</v>
      </c>
      <c r="X174" s="156">
        <f>IF(ISERROR((W174/O174-1)*100),"NA",IF(((W174/O174-1)*100)&gt;100,"NM",IF(((W174/O174-1)*100)&lt;-50,"NM",(W174/O174-1)*100)))</f>
        <v>3.9923954372623527</v>
      </c>
      <c r="Y174" s="157">
        <f>627+20</f>
        <v>647</v>
      </c>
      <c r="Z174" s="156">
        <f>IF(ISERROR((Y174/Q174-1)*100),"NA",IF(((Y174/Q174-1)*100)&gt;100,"NM",IF(((Y174/Q174-1)*100)&lt;-50,"NM",(Y174/Q174-1)*100)))</f>
        <v>27.865612648221337</v>
      </c>
      <c r="AA174" s="157">
        <v>531</v>
      </c>
      <c r="AB174" s="156">
        <f>IF(ISERROR((AA174/S174-1)*100),"NA",IF(((AA174/S174-1)*100)&gt;100,"NM",IF(((AA174/S174-1)*100)&lt;-50,"NM",(AA174/S174-1)*100)))</f>
        <v>19.864559819413085</v>
      </c>
      <c r="AC174" s="157">
        <v>681</v>
      </c>
      <c r="AD174" s="156">
        <f>IF(ISERROR((AC174/U174-1)*100),"NA",IF(((AC174/U174-1)*100)&gt;100,"NM",IF(((AC174/U174-1)*100)&lt;-50,"NM",(AC174/U174-1)*100)))</f>
        <v>-5.8091286307053958</v>
      </c>
      <c r="AE174" s="157">
        <v>641</v>
      </c>
      <c r="AF174" s="156">
        <f>IF(ISERROR((AE174/W174-1)*100),"NA",IF(((AE174/W174-1)*100)&gt;100,"NM",IF(((AE174/W174-1)*100)&lt;-50,"NM",(AE174/W174-1)*100)))</f>
        <v>17.18464351005484</v>
      </c>
      <c r="AG174" s="157">
        <v>682</v>
      </c>
      <c r="AH174" s="156">
        <f>IF(ISERROR((AG174/Y174-1)*100),"NA",IF(((AG174/Y174-1)*100)&gt;100,"NM",IF(((AG174/Y174-1)*100)&lt;-50,"NM",(AG174/Y174-1)*100)))</f>
        <v>5.4095826893354015</v>
      </c>
      <c r="AI174" s="157">
        <v>589</v>
      </c>
      <c r="AJ174" s="156">
        <f>IF(ISERROR((AI174/AA174-1)*100),"NA",IF(((AI174/AA174-1)*100)&gt;100,"NM",IF(((AI174/AA174-1)*100)&lt;-50,"NM",(AI174/AA174-1)*100)))</f>
        <v>10.922787193973637</v>
      </c>
      <c r="AK174" s="157">
        <v>598</v>
      </c>
      <c r="AL174" s="156">
        <f>IF(ISERROR((AK174/AC174-1)*100),"NA",IF(((AK174/AC174-1)*100)&gt;100,"NM",IF(((AK174/AC174-1)*100)&lt;-50,"NM",(AK174/AC174-1)*100)))</f>
        <v>-12.187958883994121</v>
      </c>
      <c r="AM174" s="157">
        <v>871</v>
      </c>
      <c r="AN174" s="156">
        <f>IF(ISERROR((AM174/AE174-1)*100),"NA",IF(((AM174/AE174-1)*100)&gt;100,"NM",IF(((AM174/AE174-1)*100)&lt;-50,"NM",(AM174/AE174-1)*100)))</f>
        <v>35.881435257410303</v>
      </c>
      <c r="AO174" s="157">
        <v>675</v>
      </c>
      <c r="AP174" s="156">
        <f>IF(ISERROR((AO174/AG174-1)*100),"NA",IF(((AO174/AG174-1)*100)&gt;100,"NM",IF(((AO174/AG174-1)*100)&lt;-50,"NM",(AO174/AG174-1)*100)))</f>
        <v>-1.0263929618768319</v>
      </c>
      <c r="AQ174" s="157">
        <v>864</v>
      </c>
      <c r="AR174" s="156">
        <f>IF(ISERROR((AQ174/AI174-1)*100),"NA",IF(((AQ174/AI174-1)*100)&gt;100,"NM",IF(((AQ174/AI174-1)*100)&lt;-50,"NM",(AQ174/AI174-1)*100)))</f>
        <v>46.689303904923605</v>
      </c>
      <c r="AS174" s="157">
        <v>751</v>
      </c>
      <c r="AT174" s="156">
        <f>IF(ISERROR((AS174/AK174-1)*100),"NA",IF(((AS174/AK174-1)*100)&gt;100,"NM",IF(((AS174/AK174-1)*100)&lt;-50,"NM",(AS174/AK174-1)*100)))</f>
        <v>25.585284280936449</v>
      </c>
      <c r="AU174" s="157">
        <v>1041</v>
      </c>
      <c r="AV174" s="156">
        <f>IF(ISERROR((AU174/AM174-1)*100),"NA",IF(((AU174/AM174-1)*100)&gt;100,"NM",IF(((AU174/AM174-1)*100)&lt;-50,"NM",(AU174/AM174-1)*100)))</f>
        <v>19.517795637198621</v>
      </c>
      <c r="AW174" s="157">
        <v>743</v>
      </c>
      <c r="AX174" s="156">
        <f>IF(ISERROR((AW174/AO174-1)*100),"NA",IF(((AW174/AO174-1)*100)&gt;100,"NM",IF(((AW174/AO174-1)*100)&lt;-50,"NM",(AW174/AO174-1)*100)))</f>
        <v>10.07407407407408</v>
      </c>
      <c r="AY174" s="157">
        <v>774</v>
      </c>
      <c r="AZ174" s="156">
        <f>IF(ISERROR((AY174/AQ174-1)*100),"NA",IF(((AY174/AQ174-1)*100)&gt;100,"NM",IF(((AY174/AQ174-1)*100)&lt;-50,"NM",(AY174/AQ174-1)*100)))</f>
        <v>-10.416666666666663</v>
      </c>
      <c r="BA174" s="157">
        <v>755</v>
      </c>
      <c r="BB174" s="156">
        <f>IF(ISERROR((BA174/AS174-1)*100),"NA",IF(((BA174/AS174-1)*100)&gt;100,"NM",IF(((BA174/AS174-1)*100)&lt;-50,"NM",(BA174/AS174-1)*100)))</f>
        <v>0.53262316910784868</v>
      </c>
      <c r="BC174" s="157">
        <v>940</v>
      </c>
      <c r="BD174" s="156">
        <f>IF(ISERROR((BC174/AU174-1)*100),"NA",IF(((BC174/AU174-1)*100)&gt;100,"NM",IF(((BC174/AU174-1)*100)&lt;-50,"NM",(BC174/AU174-1)*100)))</f>
        <v>-9.7022094140249759</v>
      </c>
      <c r="BE174" s="157">
        <v>942</v>
      </c>
      <c r="BF174" s="156">
        <f>IF(ISERROR((BE174/AW174-1)*100),"NA",IF(((BE174/AW174-1)*100)&gt;100,"NM",IF(((BE174/AW174-1)*100)&lt;-50,"NM",(BE174/AW174-1)*100)))</f>
        <v>26.783310901749658</v>
      </c>
      <c r="BG174" s="157">
        <v>787</v>
      </c>
      <c r="BH174" s="156">
        <f>IF(ISERROR((BG174/AY174-1)*100),"NA",IF(((BG174/AY174-1)*100)&gt;100,"NM",IF(((BG174/AY174-1)*100)&lt;-50,"NM",(BG174/AY174-1)*100)))</f>
        <v>1.6795865633074891</v>
      </c>
      <c r="BI174" s="157">
        <v>777</v>
      </c>
      <c r="BJ174" s="156">
        <f>IF(ISERROR((BI174/BA174-1)*100),"NA",IF(((BI174/BA174-1)*100)&gt;100,"NM",IF(((BI174/BA174-1)*100)&lt;-50,"NM",(BI174/BA174-1)*100)))</f>
        <v>2.9139072847682135</v>
      </c>
      <c r="BK174" s="157">
        <v>836</v>
      </c>
      <c r="BL174" s="156">
        <f>IF(ISERROR((BK174/BC174-1)*100),"NA",IF(((BK174/BC174-1)*100)&gt;100,"NM",IF(((BK174/BC174-1)*100)&lt;-50,"NM",(BK174/BC174-1)*100)))</f>
        <v>-11.063829787234047</v>
      </c>
      <c r="BM174" s="157">
        <v>818</v>
      </c>
      <c r="BN174" s="98">
        <f>IF(ISERROR((BM174/BE174-1)*100),"NA",IF(((BM174/BE174-1)*100)&gt;100,"NM",IF(((BM174/BE174-1)*100)&lt;-50,"NM",(BM174/BE174-1)*100)))</f>
        <v>-13.163481953290868</v>
      </c>
      <c r="BO174" s="101">
        <v>1002</v>
      </c>
      <c r="BP174" s="98">
        <f>IF(ISERROR((BO174/BG174-1)*100),"NA",IF(((BO174/BG174-1)*100)&gt;100,"NM",IF(((BO174/BG174-1)*100)&lt;-50,"NM",(BO174/BG174-1)*100)))</f>
        <v>27.318932655654393</v>
      </c>
      <c r="BQ174" s="101">
        <v>1073</v>
      </c>
      <c r="BR174" s="98">
        <f>IF(ISERROR((BQ174/BI174-1)*100),"NA",IF(((BQ174/BI174-1)*100)&gt;100,"NM",IF(((BQ174/BI174-1)*100)&lt;-50,"NM",(BQ174/BI174-1)*100)))</f>
        <v>38.095238095238095</v>
      </c>
      <c r="BS174" s="101">
        <v>1574</v>
      </c>
      <c r="BT174" s="98">
        <f>IF(ISERROR((BS174/BK174-1)*100),"NA",IF(((BS174/BK174-1)*100)&gt;100,"NM",IF(((BS174/BK174-1)*100)&lt;-50,"NM",(BS174/BK174-1)*100)))</f>
        <v>88.277511961722482</v>
      </c>
      <c r="BU174" s="101">
        <v>1223</v>
      </c>
      <c r="BV174" s="98">
        <f t="shared" ref="BV174:BV180" si="1032">IF(ISERROR((BU174/BM174-1)*100),"NA",IF(((BU174/BM174-1)*100)&gt;100,"NM",IF(((BU174/BM174-1)*100)&lt;-50,"NM",(BU174/BM174-1)*100)))</f>
        <v>49.511002444987781</v>
      </c>
      <c r="BW174" s="101">
        <v>879</v>
      </c>
      <c r="BX174" s="98">
        <f t="shared" ref="BX174:BX180" si="1033">IF(ISERROR((BW174/BO174-1)*100),"NA",IF(((BW174/BO174-1)*100)&gt;100,"NM",IF(((BW174/BO174-1)*100)&lt;-50,"NM",(BW174/BO174-1)*100)))</f>
        <v>-12.27544910179641</v>
      </c>
      <c r="BY174" s="101">
        <v>1240</v>
      </c>
      <c r="BZ174" s="98">
        <f t="shared" ref="BZ174:BZ180" si="1034">IF(ISERROR((BY174/BQ174-1)*100),"NA",IF(((BY174/BQ174-1)*100)&gt;100,"NM",IF(((BY174/BQ174-1)*100)&lt;-50,"NM",(BY174/BQ174-1)*100)))</f>
        <v>15.563839701770732</v>
      </c>
      <c r="CA174" s="101">
        <v>1192</v>
      </c>
      <c r="CB174" s="98">
        <f t="shared" ref="CB174:CB180" si="1035">IF(ISERROR((CA174/BS174-1)*100),"NA",IF(((CA174/BS174-1)*100)&gt;100,"NM",IF(((CA174/BS174-1)*100)&lt;-50,"NM",(CA174/BS174-1)*100)))</f>
        <v>-24.269377382465063</v>
      </c>
      <c r="CC174" s="101">
        <v>1342</v>
      </c>
      <c r="CD174" s="98">
        <f t="shared" ref="CD174:CD180" si="1036">IF(ISERROR((CC174/BU174-1)*100),"NA",IF(((CC174/BU174-1)*100)&gt;100,"NM",IF(((CC174/BU174-1)*100)&lt;-50,"NM",(CC174/BU174-1)*100)))</f>
        <v>9.7301717089125042</v>
      </c>
      <c r="CE174" s="101">
        <v>1173</v>
      </c>
      <c r="CF174" s="98">
        <f t="shared" ref="CF174:CF180" si="1037">IF(ISERROR((CE174/BW174-1)*100),"NA",IF(((CE174/BW174-1)*100)&gt;100,"NM",IF(((CE174/BW174-1)*100)&lt;-50,"NM",(CE174/BW174-1)*100)))</f>
        <v>33.447098976109224</v>
      </c>
      <c r="CG174" s="101">
        <v>979</v>
      </c>
      <c r="CH174" s="98">
        <f t="shared" ref="CH174:CH180" si="1038">IF(ISERROR((CG174/BY174-1)*100),"NA",IF(((CG174/BY174-1)*100)&gt;100,"NM",IF(((CG174/BY174-1)*100)&lt;-50,"NM",(CG174/BY174-1)*100)))</f>
        <v>-21.048387096774192</v>
      </c>
      <c r="CI174" s="101">
        <v>963</v>
      </c>
      <c r="CJ174" s="98">
        <f t="shared" ref="CJ174:CJ180" si="1039">IF(ISERROR((CI174/CA174-1)*100),"NA",IF(((CI174/CA174-1)*100)&gt;100,"NM",IF(((CI174/CA174-1)*100)&lt;-50,"NM",(CI174/CA174-1)*100)))</f>
        <v>-19.211409395973156</v>
      </c>
      <c r="CK174" s="101">
        <v>926</v>
      </c>
      <c r="CL174" s="98">
        <f t="shared" ref="CL174:CL180" si="1040">IF(ISERROR((CK174/CC174-1)*100),"NA",IF(((CK174/CC174-1)*100)&gt;100,"NM",IF(((CK174/CC174-1)*100)&lt;-50,"NM",(CK174/CC174-1)*100)))</f>
        <v>-30.998509687034282</v>
      </c>
      <c r="CM174" s="101">
        <v>1020</v>
      </c>
      <c r="CN174" s="98">
        <f t="shared" ref="CN174:CN180" si="1041">IF(ISERROR((CM174/CE174-1)*100),"NA",IF(((CM174/CE174-1)*100)&gt;100,"NM",IF(((CM174/CE174-1)*100)&lt;-50,"NM",(CM174/CE174-1)*100)))</f>
        <v>-13.043478260869568</v>
      </c>
      <c r="CO174" s="101">
        <v>1446</v>
      </c>
      <c r="CP174" s="98">
        <f>IF(ISERROR((CO174/CG174-1)*100),"NA",IF(((CO174/CG174-1)*100)&gt;100,"NM",IF(((CO174/CG174-1)*100)&lt;-50,"NM",(CO174/CG174-1)*100)))</f>
        <v>47.701736465781423</v>
      </c>
      <c r="CQ174" s="542">
        <v>1459</v>
      </c>
      <c r="CR174" s="98">
        <f>IF(ISERROR((CQ174/CI174-1)*100),"NA",IF(((CQ174/CI174-1)*100)&gt;100,"NM",IF(((CQ174/CI174-1)*100)&lt;-50,"NM",(CQ174/CI174-1)*100)))</f>
        <v>51.50571131879542</v>
      </c>
      <c r="CS174" s="101">
        <v>1362</v>
      </c>
      <c r="CT174" s="98">
        <f>IF(ISERROR((CS174/CK174-1)*100),"NA",IF(((CS174/CK174-1)*100)&gt;100,"NM",IF(((CS174/CK174-1)*100)&lt;-50,"NM",(CS174/CK174-1)*100)))</f>
        <v>47.084233261339101</v>
      </c>
      <c r="CU174" s="101">
        <v>1092</v>
      </c>
      <c r="CV174" s="98">
        <f t="shared" ref="CV174:CV180" si="1042">IF(ISERROR((CU174/CM174-1)*100),"NA",IF(((CU174/CM174-1)*100)&gt;100,"NM",IF(((CU174/CM174-1)*100)&lt;-50,"NM",(CU174/CM174-1)*100)))</f>
        <v>7.0588235294117618</v>
      </c>
      <c r="CW174" s="101">
        <v>1131</v>
      </c>
      <c r="CX174" s="98">
        <f t="shared" ref="CX174:CX180" si="1043">IF(ISERROR((CW174/CO174-1)*100),"NA",IF(((CW174/CO174-1)*100)&gt;100,"NM",IF(((CW174/CO174-1)*100)&lt;-50,"NM",(CW174/CO174-1)*100)))</f>
        <v>-21.784232365145229</v>
      </c>
      <c r="CY174" s="101">
        <v>1070</v>
      </c>
      <c r="CZ174" s="98">
        <f t="shared" ref="CZ174:CZ180" si="1044">IF(ISERROR((CY174/CQ174-1)*100),"NA",IF(((CY174/CQ174-1)*100)&gt;100,"NM",IF(((CY174/CQ174-1)*100)&lt;-50,"NM",(CY174/CQ174-1)*100)))</f>
        <v>-26.662097326936262</v>
      </c>
      <c r="DA174" s="101">
        <v>2411</v>
      </c>
      <c r="DB174" s="98">
        <f t="shared" ref="DB174:DB180" si="1045">IF(ISERROR((DA174/CS174-1)*100),"NA",IF(((DA174/CS174-1)*100)&gt;100,"NM",IF(((DA174/CS174-1)*100)&lt;-50,"NM",(DA174/CS174-1)*100)))</f>
        <v>77.019089574155657</v>
      </c>
      <c r="DC174" s="101">
        <v>1017</v>
      </c>
      <c r="DD174" s="98">
        <f t="shared" ref="DD174:DD180" si="1046">IF(ISERROR((DC174/CU174-1)*100),"NA",IF(((DC174/CU174-1)*100)&gt;100,"NM",IF(((DC174/CU174-1)*100)&lt;-50,"NM",(DC174/CU174-1)*100)))</f>
        <v>-6.8681318681318659</v>
      </c>
      <c r="DE174" s="101">
        <v>1080</v>
      </c>
      <c r="DF174" s="98">
        <f t="shared" ref="DF174:DF180" si="1047">IF(ISERROR((DE174/CW174-1)*100),"NA",IF(((DE174/CW174-1)*100)&gt;100,"NM",IF(((DE174/CW174-1)*100)&lt;-50,"NM",(DE174/CW174-1)*100)))</f>
        <v>-4.5092838196286511</v>
      </c>
      <c r="DG174" s="101">
        <v>1071</v>
      </c>
      <c r="DH174" s="98">
        <f t="shared" ref="DH174:DH180" si="1048">IF(ISERROR((DG174/CY174-1)*100),"NA",IF(((DG174/CY174-1)*100)&gt;100,"NM",IF(((DG174/CY174-1)*100)&lt;-50,"NM",(DG174/CY174-1)*100)))</f>
        <v>9.3457943925234765E-2</v>
      </c>
      <c r="DI174" s="101">
        <v>2012</v>
      </c>
      <c r="DJ174" s="98">
        <f t="shared" ref="DJ174:DJ180" si="1049">IF(ISERROR((DI174/DA174-1)*100),"NA",IF(((DI174/DA174-1)*100)&gt;100,"NM",IF(((DI174/DA174-1)*100)&lt;-50,"NM",(DI174/DA174-1)*100)))</f>
        <v>-16.549149730402323</v>
      </c>
      <c r="DK174" s="101">
        <v>888</v>
      </c>
      <c r="DL174" s="98">
        <f t="shared" ref="DL174:DL180" si="1050">IF(ISERROR((DK174/DC174-1)*100),"NA",IF(((DK174/DC174-1)*100)&gt;100,"NM",IF(((DK174/DC174-1)*100)&lt;-50,"NM",(DK174/DC174-1)*100)))</f>
        <v>-12.684365781710916</v>
      </c>
      <c r="DM174" s="101">
        <v>1273</v>
      </c>
      <c r="DN174" s="98">
        <f t="shared" ref="DN174:DZ180" si="1051">IF(ISERROR((DM174/DE174-1)*100),"NA",IF(((DM174/DE174-1)*100)&gt;100,"NM",IF(((DM174/DE174-1)*100)&lt;-50,"NM",(DM174/DE174-1)*100)))</f>
        <v>17.870370370370381</v>
      </c>
      <c r="DO174" s="101">
        <v>1033</v>
      </c>
      <c r="DP174" s="98">
        <f t="shared" si="1051"/>
        <v>-3.548085901027076</v>
      </c>
      <c r="DQ174" s="101">
        <v>1912</v>
      </c>
      <c r="DR174" s="98">
        <f t="shared" si="1051"/>
        <v>-4.9701789264413492</v>
      </c>
      <c r="DS174" s="101">
        <v>894</v>
      </c>
      <c r="DT174" s="98">
        <f t="shared" si="1051"/>
        <v>0.67567567567567988</v>
      </c>
      <c r="DU174" s="101">
        <v>855</v>
      </c>
      <c r="DV174" s="98">
        <f t="shared" si="1051"/>
        <v>-32.835820895522382</v>
      </c>
      <c r="DW174" s="101">
        <v>2065</v>
      </c>
      <c r="DX174" s="98">
        <f t="shared" si="1051"/>
        <v>99.903194578896432</v>
      </c>
      <c r="DY174" s="101">
        <v>1282</v>
      </c>
      <c r="DZ174" s="98">
        <f t="shared" si="1051"/>
        <v>-32.94979079497908</v>
      </c>
      <c r="EA174" s="101">
        <v>869</v>
      </c>
      <c r="EB174" s="98">
        <f t="shared" ref="EB174:EB180" si="1052">IF(ISERROR((EA174/DS174-1)*100),"NA",IF(((EA174/DS174-1)*100)&gt;100,"NM",IF(((EA174/DS174-1)*100)&lt;-50,"NM",(EA174/DS174-1)*100)))</f>
        <v>-2.7964205816554788</v>
      </c>
      <c r="EC174" s="101">
        <v>1094</v>
      </c>
      <c r="ED174" s="98">
        <f t="shared" ref="ED174:ED180" si="1053">IF(ISERROR((EC174/DU174-1)*100),"NA",IF(((EC174/DU174-1)*100)&gt;100,"NM",IF(((EC174/DU174-1)*100)&lt;-50,"NM",(EC174/DU174-1)*100)))</f>
        <v>27.953216374268997</v>
      </c>
      <c r="EE174" s="101">
        <v>1830</v>
      </c>
      <c r="EF174" s="860">
        <f t="shared" ref="EF174:EF180" si="1054">IF(ISERROR((EE174/DW174-1)*100),"NA",IF(((EE174/DW174-1)*100)&gt;100,"NM",IF(((EE174/DW174-1)*100)&lt;-50,"NM",(EE174/DW174-1)*100)))</f>
        <v>-11.38014527845036</v>
      </c>
      <c r="EG174" s="101">
        <v>1311</v>
      </c>
      <c r="EH174" s="860">
        <f t="shared" ref="EH174:EH180" si="1055">IF(ISERROR((EG174/DY174-1)*100),"NA",IF(((EG174/DY174-1)*100)&gt;100,"NM",IF(((EG174/DY174-1)*100)&lt;-50,"NM",(EG174/DY174-1)*100)))</f>
        <v>2.262090483619339</v>
      </c>
      <c r="EI174" s="101">
        <v>912</v>
      </c>
      <c r="EJ174" s="860">
        <f t="shared" ref="EJ174:EJ180" si="1056">IF(ISERROR((EI174/EA174-1)*100),"NA",IF(((EI174/EA174-1)*100)&gt;100,"NM",IF(((EI174/EA174-1)*100)&lt;-50,"NM",(EI174/EA174-1)*100)))</f>
        <v>4.9482163406214141</v>
      </c>
      <c r="EK174" s="101">
        <v>1652</v>
      </c>
      <c r="EL174" s="860">
        <f t="shared" ref="EL174:EL180" si="1057">IF(ISERROR((EK174/EC174-1)*100),"NA",IF(((EK174/EC174-1)*100)&gt;100,"NM",IF(((EK174/EC174-1)*100)&lt;-50,"NM",(EK174/EC174-1)*100)))</f>
        <v>51.005484460694703</v>
      </c>
      <c r="EM174" s="101">
        <v>2897</v>
      </c>
      <c r="EN174" s="860">
        <f t="shared" ref="EN174:EN180" si="1058">IF(ISERROR((EM174/EE174-1)*100),"NA",IF(((EM174/EE174-1)*100)&gt;100,"NM",IF(((EM174/EE174-1)*100)&lt;-50,"NM",(EM174/EE174-1)*100)))</f>
        <v>58.306010928961747</v>
      </c>
      <c r="EO174" s="101">
        <f>1587</f>
        <v>1587</v>
      </c>
      <c r="EP174" s="98">
        <f t="shared" ref="EP174:EP180" si="1059">IF(ISERROR((EO174/EG174-1)*100),"NA",IF(((EO174/EG174-1)*100)&gt;100,"NM",IF(((EO174/EG174-1)*100)&lt;-50,"NM",(EO174/EG174-1)*100)))</f>
        <v>21.052631578947366</v>
      </c>
      <c r="EQ174" s="1023">
        <f>EQ183/100*EQ165</f>
        <v>1718.6768412787069</v>
      </c>
      <c r="ER174" s="98">
        <f t="shared" ref="ER174:ER177" si="1060">IF(ISERROR((EQ174/EI174-1)*100),"NA",IF(((EQ174/EI174-1)*100)&gt;100,"NM",IF(((EQ174/EI174-1)*100)&lt;-50,"NM",(EQ174/EI174-1)*100)))</f>
        <v>88.451408034945928</v>
      </c>
      <c r="ES174" s="1023">
        <f t="shared" ref="ES174" si="1061">ES183/100*ES165</f>
        <v>1728.6794973625385</v>
      </c>
      <c r="ET174" s="98">
        <f t="shared" ref="ET174:ET177" si="1062">IF(ISERROR((ES174/EK174-1)*100),"NA",IF(((ES174/EK174-1)*100)&gt;100,"NM",IF(((ES174/EK174-1)*100)&lt;-50,"NM",(ES174/EK174-1)*100)))</f>
        <v>4.6416160631076675</v>
      </c>
      <c r="EU174" s="1023">
        <f t="shared" ref="EU174" si="1063">EU183/100*EU165</f>
        <v>1741.0134739748094</v>
      </c>
      <c r="EV174" s="98">
        <f t="shared" ref="EV174:EV177" si="1064">IF(ISERROR((EU174/EM174-1)*100),"NA",IF(((EU174/EM174-1)*100)&gt;100,"NM",IF(((EU174/EM174-1)*100)&lt;-50,"NM",(EU174/EM174-1)*100)))</f>
        <v>-39.902883190375924</v>
      </c>
      <c r="EW174" s="1023">
        <f t="shared" ref="EW174" si="1065">EW183/100*EW165</f>
        <v>1752.2964657986563</v>
      </c>
      <c r="EX174" s="98">
        <f t="shared" ref="EX174:EX177" si="1066">IF(ISERROR((EW174/EO174-1)*100),"NA",IF(((EW174/EO174-1)*100)&gt;100,"NM",IF(((EW174/EO174-1)*100)&lt;-50,"NM",(EW174/EO174-1)*100)))</f>
        <v>10.415656320016154</v>
      </c>
      <c r="EY174" s="119"/>
      <c r="EZ174" s="594"/>
      <c r="FA174" s="405"/>
      <c r="FB174" s="121">
        <v>1923</v>
      </c>
      <c r="FC174" s="98"/>
      <c r="FD174" s="101">
        <v>1852</v>
      </c>
      <c r="FE174" s="98">
        <f>IF(ISERROR((FD174/FB174-1)*100),"NA",IF(((FD174/FB174-1)*100)&gt;100,"NM",IF(((FD174/FB174-1)*100)&lt;-50,"NM",(FD174/FB174-1)*100)))</f>
        <v>-3.692147685907432</v>
      </c>
      <c r="FF174" s="118">
        <f>C174+E174+G174+I174</f>
        <v>2196</v>
      </c>
      <c r="FG174" s="98">
        <f>IF(ISERROR((FF174/FD174-1)*100),"NA",IF(((FF174/FD174-1)*100)&gt;100,"NM",IF(((FF174/FD174-1)*100)&lt;-50,"NM",(FF174/FD174-1)*100)))</f>
        <v>18.574514038876888</v>
      </c>
      <c r="FH174" s="118">
        <f>K174+M174+O174+Q174</f>
        <v>1965</v>
      </c>
      <c r="FI174" s="98">
        <f>IF(ISERROR((FH174/FF174-1)*100),"NA",IF(((FH174/FF174-1)*100)&gt;100,"NM",IF(((FH174/FF174-1)*100)&lt;-50,"NM",(FH174/FF174-1)*100)))</f>
        <v>-10.519125683060103</v>
      </c>
      <c r="FJ174" s="118">
        <f>S174+U174+W174+Y174</f>
        <v>2360</v>
      </c>
      <c r="FK174" s="98">
        <f>IF(ISERROR((FJ174/FH174-1)*100),"NA",IF(((FJ174/FH174-1)*100)&gt;100,"NM",IF(((FJ174/FH174-1)*100)&lt;-50,"NM",(FJ174/FH174-1)*100)))</f>
        <v>20.10178117048347</v>
      </c>
      <c r="FL174" s="118">
        <f>AA174+AC174+AE174+AG174</f>
        <v>2535</v>
      </c>
      <c r="FM174" s="98">
        <f>IF(ISERROR((FL174/FJ174-1)*100),"NA",IF(((FL174/FJ174-1)*100)&gt;100,"NM",IF(((FL174/FJ174-1)*100)&lt;-50,"NM",(FL174/FJ174-1)*100)))</f>
        <v>7.4152542372881269</v>
      </c>
      <c r="FN174" s="118">
        <f>AI174+AK174+AM174+AO174</f>
        <v>2733</v>
      </c>
      <c r="FO174" s="98">
        <f>IF(ISERROR((FN174/FL174-1)*100),"NA",IF(((FN174/FL174-1)*100)&gt;100,"NM",IF(((FN174/FL174-1)*100)&lt;-50,"NM",(FN174/FL174-1)*100)))</f>
        <v>7.8106508875739555</v>
      </c>
      <c r="FP174" s="118">
        <f>AQ174+AS174+AU174+AW174</f>
        <v>3399</v>
      </c>
      <c r="FQ174" s="98">
        <f>IF(ISERROR((FP174/FN174-1)*100),"NA",IF(((FP174/FN174-1)*100)&gt;100,"NM",IF(((FP174/FN174-1)*100)&lt;-50,"NM",(FP174/FN174-1)*100)))</f>
        <v>24.368825466520306</v>
      </c>
      <c r="FR174" s="119">
        <f>AY174+BA174+BC174+BE174</f>
        <v>3411</v>
      </c>
      <c r="FS174" s="120">
        <f>IF(ISERROR((FR174/FP174-1)*100),"NA",IF(((FR174/FP174-1)*100)&gt;100,"NM",IF(((FR174/FP174-1)*100)&lt;-50,"NM",(FR174/FP174-1)*100)))</f>
        <v>0.3530450132391838</v>
      </c>
      <c r="FT174" s="119">
        <f>BG174+BI174+BK174+BM174</f>
        <v>3218</v>
      </c>
      <c r="FU174" s="120">
        <f t="shared" ref="FU174:FU180" si="1067">IF(ISERROR((FT174/FR174-1)*100),"NA",IF(((FT174/FR174-1)*100)&gt;100,"NM",IF(((FT174/FR174-1)*100)&lt;-50,"NM",(FT174/FR174-1)*100)))</f>
        <v>-5.6581647610671304</v>
      </c>
      <c r="FV174" s="121">
        <v>4977</v>
      </c>
      <c r="FW174" s="98">
        <f t="shared" ref="FW174:FW180" si="1068">IF(ISERROR((FV174/FT174-1)*100),"NA",IF(((FV174/FT174-1)*100)&gt;100,"NM",IF(((FV174/FT174-1)*100)&lt;-50,"NM",(FV174/FT174-1)*100)))</f>
        <v>54.661280298321934</v>
      </c>
      <c r="FX174" s="485">
        <f>BW174+BY174+CA174+CC174</f>
        <v>4653</v>
      </c>
      <c r="FY174" s="98">
        <f t="shared" ref="FY174:FY180" si="1069">IF(ISERROR((FX174/FV174-1)*100),"NA",IF(((FX174/FV174-1)*100)&gt;100,"NM",IF(((FX174/FV174-1)*100)&lt;-50,"NM",(FX174/FV174-1)*100)))</f>
        <v>-6.5099457504520846</v>
      </c>
      <c r="FZ174" s="119">
        <f>CE174+CG174+CI174+CK174</f>
        <v>4041</v>
      </c>
      <c r="GA174" s="98">
        <f t="shared" ref="GA174:GA180" si="1070">IF(ISERROR((FZ174/FX174-1)*100),"NA",IF(((FZ174/FX174-1)*100)&gt;100,"NM",IF(((FZ174/FX174-1)*100)&lt;-50,"NM",(FZ174/FX174-1)*100)))</f>
        <v>-13.152804642166348</v>
      </c>
      <c r="GB174" s="485">
        <f>CM174+CO174+CQ174+CS174</f>
        <v>5287</v>
      </c>
      <c r="GC174" s="98">
        <f t="shared" ref="GC174:GC180" si="1071">IF(ISERROR((GB174/FZ174-1)*100),"NA",IF(((GB174/FZ174-1)*100)&gt;100,"NM",IF(((GB174/FZ174-1)*100)&lt;-50,"NM",(GB174/FZ174-1)*100)))</f>
        <v>30.833951992081165</v>
      </c>
      <c r="GD174" s="119">
        <f>CU174+CW174+CY174+DA174</f>
        <v>5704</v>
      </c>
      <c r="GE174" s="98">
        <f t="shared" ref="GE174:GW180" si="1072">IF(ISERROR((GD174/GB174-1)*100),"NA",IF(((GD174/GB174-1)*100)&gt;100,"NM",IF(((GD174/GB174-1)*100)&lt;-50,"NM",(GD174/GB174-1)*100)))</f>
        <v>7.8872706638925649</v>
      </c>
      <c r="GF174" s="119">
        <f>DC174+DE174+DG174+DI174</f>
        <v>5180</v>
      </c>
      <c r="GG174" s="98">
        <f t="shared" si="1072"/>
        <v>-9.1865357643758809</v>
      </c>
      <c r="GH174" s="119">
        <f>DK174+DM174+DO174+DQ174</f>
        <v>5106</v>
      </c>
      <c r="GI174" s="98">
        <f t="shared" si="1072"/>
        <v>-1.4285714285714235</v>
      </c>
      <c r="GJ174" s="119">
        <f>DS174+DU174+DW174+DY174</f>
        <v>5096</v>
      </c>
      <c r="GK174" s="98">
        <f t="shared" si="1072"/>
        <v>-0.19584802193497453</v>
      </c>
      <c r="GL174" s="119">
        <f>EA174+EC174+EE174+EG174</f>
        <v>5104</v>
      </c>
      <c r="GM174" s="98">
        <f t="shared" si="1072"/>
        <v>0.15698587127157548</v>
      </c>
      <c r="GN174" s="119">
        <f>EI174+EK174+EM174+EO174</f>
        <v>7048</v>
      </c>
      <c r="GO174" s="98">
        <f t="shared" si="1072"/>
        <v>38.087774294670851</v>
      </c>
      <c r="GP174" s="119">
        <f>EQ174+ES174+EU174+EW174</f>
        <v>6940.6662784147102</v>
      </c>
      <c r="GQ174" s="98">
        <f t="shared" si="1072"/>
        <v>-1.5228961632419047</v>
      </c>
      <c r="GR174" s="119">
        <f>GR183/100*GR165</f>
        <v>6882.959589103677</v>
      </c>
      <c r="GS174" s="98">
        <f t="shared" si="1072"/>
        <v>-0.83142866975897123</v>
      </c>
      <c r="GT174" s="119">
        <f>GT183/100*GT165</f>
        <v>6953.3792738487537</v>
      </c>
      <c r="GU174" s="98">
        <f t="shared" si="1072"/>
        <v>1.0231018188245233</v>
      </c>
      <c r="GV174" s="119">
        <f>GV183/100*GV165</f>
        <v>7100.0368522100371</v>
      </c>
      <c r="GW174" s="98">
        <f t="shared" si="1072"/>
        <v>2.1091554564390602</v>
      </c>
      <c r="GX174" s="119">
        <f>GX183/100*GX165</f>
        <v>7294.1435395183089</v>
      </c>
      <c r="GY174" s="98">
        <f t="shared" ref="GY174:GY177" si="1073">IF(ISERROR((GX174/GV174-1)*100),"NA",IF(((GX174/GV174-1)*100)&gt;100,"NM",IF(((GX174/GV174-1)*100)&lt;-50,"NM",(GX174/GV174-1)*100)))</f>
        <v>2.7338828142540184</v>
      </c>
      <c r="GZ174" s="98">
        <f>IF(ISERROR(((GX174/GN174)^0.2-1)*100),"NA",IF((((GX174/GN174)^0.2-1)*100)&gt;100,"NM",IF((((GX174/GN174)^0.2-1)*100)&lt;-50,"NM",((GX174/GN174)^0.2-1)*100)))</f>
        <v>0.68891986356840462</v>
      </c>
      <c r="HA174" s="98"/>
      <c r="HB174" s="10"/>
      <c r="HC174"/>
      <c r="HD174"/>
      <c r="HE174"/>
      <c r="HF174"/>
      <c r="HG174"/>
      <c r="HH174"/>
      <c r="HI174" s="10"/>
    </row>
    <row r="175" spans="1:217" s="2" customFormat="1" ht="12.75" customHeight="1" x14ac:dyDescent="0.2">
      <c r="B175" s="434" t="s">
        <v>306</v>
      </c>
      <c r="C175" s="155">
        <f>C161</f>
        <v>138</v>
      </c>
      <c r="D175" s="156"/>
      <c r="E175" s="155">
        <f>E161</f>
        <v>150</v>
      </c>
      <c r="F175" s="156"/>
      <c r="G175" s="155">
        <f>G161</f>
        <v>157</v>
      </c>
      <c r="H175" s="156"/>
      <c r="I175" s="155">
        <f>I161</f>
        <v>157</v>
      </c>
      <c r="J175" s="156"/>
      <c r="K175" s="155">
        <f>K161</f>
        <v>143</v>
      </c>
      <c r="L175" s="156">
        <f>IF(ISERROR((K175/C175-1)*100),"NA",IF(((K175/C175-1)*100)&gt;100,"NM",IF(((K175/C175-1)*100)&lt;-50,"NM",(K175/C175-1)*100)))</f>
        <v>3.6231884057970953</v>
      </c>
      <c r="M175" s="155">
        <f>M161</f>
        <v>138</v>
      </c>
      <c r="N175" s="156">
        <f>IF(ISERROR((M175/E175-1)*100),"NA",IF(((M175/E175-1)*100)&gt;100,"NM",IF(((M175/E175-1)*100)&lt;-50,"NM",(M175/E175-1)*100)))</f>
        <v>-7.9999999999999964</v>
      </c>
      <c r="O175" s="155">
        <f>O161</f>
        <v>135</v>
      </c>
      <c r="P175" s="156">
        <f>IF(ISERROR((O175/G175-1)*100),"NA",IF(((O175/G175-1)*100)&gt;100,"NM",IF(((O175/G175-1)*100)&lt;-50,"NM",(O175/G175-1)*100)))</f>
        <v>-14.012738853503182</v>
      </c>
      <c r="Q175" s="155">
        <f>Q161</f>
        <v>133</v>
      </c>
      <c r="R175" s="156">
        <f>IF(ISERROR((Q175/I175-1)*100),"NA",IF(((Q175/I175-1)*100)&gt;100,"NM",IF(((Q175/I175-1)*100)&lt;-50,"NM",(Q175/I175-1)*100)))</f>
        <v>-15.286624203821653</v>
      </c>
      <c r="S175" s="155">
        <f>S161</f>
        <v>126</v>
      </c>
      <c r="T175" s="156">
        <f>IF(ISERROR((S175/K175-1)*100),"NA",IF(((S175/K175-1)*100)&gt;100,"NM",IF(((S175/K175-1)*100)&lt;-50,"NM",(S175/K175-1)*100)))</f>
        <v>-11.888111888111885</v>
      </c>
      <c r="U175" s="155">
        <f>U161</f>
        <v>126</v>
      </c>
      <c r="V175" s="156">
        <f>IF(ISERROR((U175/M175-1)*100),"NA",IF(((U175/M175-1)*100)&gt;100,"NM",IF(((U175/M175-1)*100)&lt;-50,"NM",(U175/M175-1)*100)))</f>
        <v>-8.6956521739130483</v>
      </c>
      <c r="W175" s="155">
        <f>W161</f>
        <v>129</v>
      </c>
      <c r="X175" s="156">
        <f>IF(ISERROR((W175/O175-1)*100),"NA",IF(((W175/O175-1)*100)&gt;100,"NM",IF(((W175/O175-1)*100)&lt;-50,"NM",(W175/O175-1)*100)))</f>
        <v>-4.4444444444444393</v>
      </c>
      <c r="Y175" s="155">
        <f>Y161</f>
        <v>126</v>
      </c>
      <c r="Z175" s="156">
        <f>IF(ISERROR((Y175/Q175-1)*100),"NA",IF(((Y175/Q175-1)*100)&gt;100,"NM",IF(((Y175/Q175-1)*100)&lt;-50,"NM",(Y175/Q175-1)*100)))</f>
        <v>-5.2631578947368478</v>
      </c>
      <c r="AA175" s="155">
        <f>AA161</f>
        <v>118</v>
      </c>
      <c r="AB175" s="156">
        <f>IF(ISERROR((AA175/S175-1)*100),"NA",IF(((AA175/S175-1)*100)&gt;100,"NM",IF(((AA175/S175-1)*100)&lt;-50,"NM",(AA175/S175-1)*100)))</f>
        <v>-6.3492063492063489</v>
      </c>
      <c r="AC175" s="155">
        <f>AC161</f>
        <v>124</v>
      </c>
      <c r="AD175" s="156">
        <f>IF(ISERROR((AC175/U175-1)*100),"NA",IF(((AC175/U175-1)*100)&gt;100,"NM",IF(((AC175/U175-1)*100)&lt;-50,"NM",(AC175/U175-1)*100)))</f>
        <v>-1.5873015873015928</v>
      </c>
      <c r="AE175" s="155">
        <f>AE161</f>
        <v>121</v>
      </c>
      <c r="AF175" s="156">
        <f>IF(ISERROR((AE175/W175-1)*100),"NA",IF(((AE175/W175-1)*100)&gt;100,"NM",IF(((AE175/W175-1)*100)&lt;-50,"NM",(AE175/W175-1)*100)))</f>
        <v>-6.2015503875968996</v>
      </c>
      <c r="AG175" s="155">
        <f>AG161</f>
        <v>129</v>
      </c>
      <c r="AH175" s="156">
        <f>IF(ISERROR((AG175/Y175-1)*100),"NA",IF(((AG175/Y175-1)*100)&gt;100,"NM",IF(((AG175/Y175-1)*100)&lt;-50,"NM",(AG175/Y175-1)*100)))</f>
        <v>2.3809523809523725</v>
      </c>
      <c r="AI175" s="155">
        <f>AI161</f>
        <v>132</v>
      </c>
      <c r="AJ175" s="156">
        <f>IF(ISERROR((AI175/AA175-1)*100),"NA",IF(((AI175/AA175-1)*100)&gt;100,"NM",IF(((AI175/AA175-1)*100)&lt;-50,"NM",(AI175/AA175-1)*100)))</f>
        <v>11.864406779661007</v>
      </c>
      <c r="AK175" s="155">
        <f>AK161</f>
        <v>139</v>
      </c>
      <c r="AL175" s="156">
        <f>IF(ISERROR((AK175/AC175-1)*100),"NA",IF(((AK175/AC175-1)*100)&gt;100,"NM",IF(((AK175/AC175-1)*100)&lt;-50,"NM",(AK175/AC175-1)*100)))</f>
        <v>12.096774193548377</v>
      </c>
      <c r="AM175" s="155">
        <f>AM161</f>
        <v>155</v>
      </c>
      <c r="AN175" s="156">
        <f>IF(ISERROR((AM175/AE175-1)*100),"NA",IF(((AM175/AE175-1)*100)&gt;100,"NM",IF(((AM175/AE175-1)*100)&lt;-50,"NM",(AM175/AE175-1)*100)))</f>
        <v>28.099173553719005</v>
      </c>
      <c r="AO175" s="155">
        <f>AO161</f>
        <v>172</v>
      </c>
      <c r="AP175" s="156">
        <f>IF(ISERROR((AO175/AG175-1)*100),"NA",IF(((AO175/AG175-1)*100)&gt;100,"NM",IF(((AO175/AG175-1)*100)&lt;-50,"NM",(AO175/AG175-1)*100)))</f>
        <v>33.333333333333329</v>
      </c>
      <c r="AQ175" s="155">
        <f>AQ161</f>
        <v>202</v>
      </c>
      <c r="AR175" s="156">
        <f>IF(ISERROR((AQ175/AI175-1)*100),"NA",IF(((AQ175/AI175-1)*100)&gt;100,"NM",IF(((AQ175/AI175-1)*100)&lt;-50,"NM",(AQ175/AI175-1)*100)))</f>
        <v>53.030303030303031</v>
      </c>
      <c r="AS175" s="155">
        <f>AS161</f>
        <v>221</v>
      </c>
      <c r="AT175" s="156">
        <f>IF(ISERROR((AS175/AK175-1)*100),"NA",IF(((AS175/AK175-1)*100)&gt;100,"NM",IF(((AS175/AK175-1)*100)&lt;-50,"NM",(AS175/AK175-1)*100)))</f>
        <v>58.992805755395693</v>
      </c>
      <c r="AU175" s="155">
        <f>AU161</f>
        <v>389</v>
      </c>
      <c r="AV175" s="156" t="str">
        <f>IF(ISERROR((AU175/AM175-1)*100),"NA",IF(((AU175/AM175-1)*100)&gt;100,"NM",IF(((AU175/AM175-1)*100)&lt;-50,"NM",(AU175/AM175-1)*100)))</f>
        <v>NM</v>
      </c>
      <c r="AW175" s="155">
        <f>AW161</f>
        <v>405</v>
      </c>
      <c r="AX175" s="156" t="str">
        <f>IF(ISERROR((AW175/AO175-1)*100),"NA",IF(((AW175/AO175-1)*100)&gt;100,"NM",IF(((AW175/AO175-1)*100)&lt;-50,"NM",(AW175/AO175-1)*100)))</f>
        <v>NM</v>
      </c>
      <c r="AY175" s="155">
        <f>AY161</f>
        <v>460</v>
      </c>
      <c r="AZ175" s="156" t="str">
        <f>IF(ISERROR((AY175/AQ175-1)*100),"NA",IF(((AY175/AQ175-1)*100)&gt;100,"NM",IF(((AY175/AQ175-1)*100)&lt;-50,"NM",(AY175/AQ175-1)*100)))</f>
        <v>NM</v>
      </c>
      <c r="BA175" s="155">
        <f>BA161</f>
        <v>474</v>
      </c>
      <c r="BB175" s="156" t="str">
        <f>IF(ISERROR((BA175/AS175-1)*100),"NA",IF(((BA175/AS175-1)*100)&gt;100,"NM",IF(((BA175/AS175-1)*100)&lt;-50,"NM",(BA175/AS175-1)*100)))</f>
        <v>NM</v>
      </c>
      <c r="BC175" s="155">
        <f>BC161</f>
        <v>534</v>
      </c>
      <c r="BD175" s="156">
        <f>IF(ISERROR((BC175/AU175-1)*100),"NA",IF(((BC175/AU175-1)*100)&gt;100,"NM",IF(((BC175/AU175-1)*100)&lt;-50,"NM",(BC175/AU175-1)*100)))</f>
        <v>37.275064267352185</v>
      </c>
      <c r="BE175" s="155">
        <f>BE161</f>
        <v>541</v>
      </c>
      <c r="BF175" s="156">
        <f>IF(ISERROR((BE175/AW175-1)*100),"NA",IF(((BE175/AW175-1)*100)&gt;100,"NM",IF(((BE175/AW175-1)*100)&lt;-50,"NM",(BE175/AW175-1)*100)))</f>
        <v>33.58024691358024</v>
      </c>
      <c r="BG175" s="155">
        <f>BG161</f>
        <v>570</v>
      </c>
      <c r="BH175" s="156">
        <f>IF(ISERROR((BG175/AY175-1)*100),"NA",IF(((BG175/AY175-1)*100)&gt;100,"NM",IF(((BG175/AY175-1)*100)&lt;-50,"NM",(BG175/AY175-1)*100)))</f>
        <v>23.913043478260864</v>
      </c>
      <c r="BI175" s="155">
        <f>BI161</f>
        <v>612</v>
      </c>
      <c r="BJ175" s="156">
        <f>IF(ISERROR((BI175/BA175-1)*100),"NA",IF(((BI175/BA175-1)*100)&gt;100,"NM",IF(((BI175/BA175-1)*100)&lt;-50,"NM",(BI175/BA175-1)*100)))</f>
        <v>29.11392405063291</v>
      </c>
      <c r="BK175" s="155">
        <f>BK161</f>
        <v>646</v>
      </c>
      <c r="BL175" s="156">
        <f>IF(ISERROR((BK175/BC175-1)*100),"NA",IF(((BK175/BC175-1)*100)&gt;100,"NM",IF(((BK175/BC175-1)*100)&lt;-50,"NM",(BK175/BC175-1)*100)))</f>
        <v>20.973782771535589</v>
      </c>
      <c r="BM175" s="155">
        <f>BM161</f>
        <v>625</v>
      </c>
      <c r="BN175" s="98">
        <f>IF(ISERROR((BM175/BE175-1)*100),"NA",IF(((BM175/BE175-1)*100)&gt;100,"NM",IF(((BM175/BE175-1)*100)&lt;-50,"NM",(BM175/BE175-1)*100)))</f>
        <v>15.5268022181146</v>
      </c>
      <c r="BO175" s="117">
        <f>BO161</f>
        <v>536</v>
      </c>
      <c r="BP175" s="98">
        <f>IF(ISERROR((BO175/BG175-1)*100),"NA",IF(((BO175/BG175-1)*100)&gt;100,"NM",IF(((BO175/BG175-1)*100)&lt;-50,"NM",(BO175/BG175-1)*100)))</f>
        <v>-5.9649122807017507</v>
      </c>
      <c r="BQ175" s="117">
        <f>BQ161</f>
        <v>472</v>
      </c>
      <c r="BR175" s="98">
        <f>IF(ISERROR((BQ175/BI175-1)*100),"NA",IF(((BQ175/BI175-1)*100)&gt;100,"NM",IF(((BQ175/BI175-1)*100)&lt;-50,"NM",(BQ175/BI175-1)*100)))</f>
        <v>-22.875816993464049</v>
      </c>
      <c r="BS175" s="117">
        <f>BS161</f>
        <v>496</v>
      </c>
      <c r="BT175" s="98">
        <f>IF(ISERROR((BS175/BK175-1)*100),"NA",IF(((BS175/BK175-1)*100)&gt;100,"NM",IF(((BS175/BK175-1)*100)&lt;-50,"NM",(BS175/BK175-1)*100)))</f>
        <v>-23.21981424148607</v>
      </c>
      <c r="BU175" s="117">
        <f>BU161</f>
        <v>588</v>
      </c>
      <c r="BV175" s="98">
        <f t="shared" si="1032"/>
        <v>-5.9200000000000035</v>
      </c>
      <c r="BW175" s="117">
        <f>BW161</f>
        <v>459</v>
      </c>
      <c r="BX175" s="98">
        <f t="shared" si="1033"/>
        <v>-14.365671641791044</v>
      </c>
      <c r="BY175" s="117">
        <f>BY161</f>
        <v>409</v>
      </c>
      <c r="BZ175" s="98">
        <f t="shared" si="1034"/>
        <v>-13.347457627118642</v>
      </c>
      <c r="CA175" s="117">
        <f>CA161</f>
        <v>390</v>
      </c>
      <c r="CB175" s="98">
        <f t="shared" si="1035"/>
        <v>-21.370967741935488</v>
      </c>
      <c r="CC175" s="117">
        <f>CC161</f>
        <v>375</v>
      </c>
      <c r="CD175" s="98">
        <f t="shared" si="1036"/>
        <v>-36.224489795918366</v>
      </c>
      <c r="CE175" s="117">
        <f>CE161</f>
        <v>355</v>
      </c>
      <c r="CF175" s="98">
        <f t="shared" si="1037"/>
        <v>-22.657952069716782</v>
      </c>
      <c r="CG175" s="117">
        <f>CG161</f>
        <v>364</v>
      </c>
      <c r="CH175" s="98">
        <f t="shared" si="1038"/>
        <v>-11.002444987775062</v>
      </c>
      <c r="CI175" s="117">
        <f>CI161</f>
        <v>380</v>
      </c>
      <c r="CJ175" s="98">
        <f t="shared" si="1039"/>
        <v>-2.5641025641025661</v>
      </c>
      <c r="CK175" s="117">
        <f>CK161</f>
        <v>346</v>
      </c>
      <c r="CL175" s="98">
        <f t="shared" si="1040"/>
        <v>-7.7333333333333361</v>
      </c>
      <c r="CM175" s="117">
        <f>CM161</f>
        <v>335</v>
      </c>
      <c r="CN175" s="98">
        <f t="shared" si="1041"/>
        <v>-5.6338028169014116</v>
      </c>
      <c r="CO175" s="117">
        <f>CO161</f>
        <v>331</v>
      </c>
      <c r="CP175" s="98">
        <f>IF(ISERROR((CO175/CG175-1)*100),"NA",IF(((CO175/CG175-1)*100)&gt;100,"NM",IF(((CO175/CG175-1)*100)&lt;-50,"NM",(CO175/CG175-1)*100)))</f>
        <v>-9.0659340659340675</v>
      </c>
      <c r="CQ175" s="486">
        <f>CQ161</f>
        <v>327</v>
      </c>
      <c r="CR175" s="98">
        <f>IF(ISERROR((CQ175/CI175-1)*100),"NA",IF(((CQ175/CI175-1)*100)&gt;100,"NM",IF(((CQ175/CI175-1)*100)&lt;-50,"NM",(CQ175/CI175-1)*100)))</f>
        <v>-13.94736842105263</v>
      </c>
      <c r="CS175" s="117">
        <f>CS161</f>
        <v>330</v>
      </c>
      <c r="CT175" s="98">
        <f>IF(ISERROR((CS175/CK175-1)*100),"NA",IF(((CS175/CK175-1)*100)&gt;100,"NM",IF(((CS175/CK175-1)*100)&lt;-50,"NM",(CS175/CK175-1)*100)))</f>
        <v>-4.6242774566473965</v>
      </c>
      <c r="CU175" s="117">
        <f>CU161</f>
        <v>339</v>
      </c>
      <c r="CV175" s="98">
        <f t="shared" si="1042"/>
        <v>1.1940298507462588</v>
      </c>
      <c r="CW175" s="117">
        <f>CW161</f>
        <v>338</v>
      </c>
      <c r="CX175" s="98">
        <f t="shared" si="1043"/>
        <v>2.114803625377637</v>
      </c>
      <c r="CY175" s="117">
        <f>CY161</f>
        <v>339</v>
      </c>
      <c r="CZ175" s="98">
        <f t="shared" si="1044"/>
        <v>3.669724770642202</v>
      </c>
      <c r="DA175" s="117">
        <f>DA161</f>
        <v>342</v>
      </c>
      <c r="DB175" s="98">
        <f t="shared" si="1045"/>
        <v>3.6363636363636376</v>
      </c>
      <c r="DC175" s="117">
        <f>DC161</f>
        <v>343</v>
      </c>
      <c r="DD175" s="98">
        <f t="shared" si="1046"/>
        <v>1.1799410029498469</v>
      </c>
      <c r="DE175" s="117">
        <f>DE161</f>
        <v>305</v>
      </c>
      <c r="DF175" s="98">
        <f t="shared" si="1047"/>
        <v>-9.7633136094674615</v>
      </c>
      <c r="DG175" s="117">
        <f>DG161</f>
        <v>292</v>
      </c>
      <c r="DH175" s="98">
        <f t="shared" si="1048"/>
        <v>-13.864306784660762</v>
      </c>
      <c r="DI175" s="117">
        <f>DI161</f>
        <v>293</v>
      </c>
      <c r="DJ175" s="98">
        <f t="shared" si="1049"/>
        <v>-14.327485380116956</v>
      </c>
      <c r="DK175" s="117">
        <f>DK161</f>
        <v>278</v>
      </c>
      <c r="DL175" s="98">
        <f t="shared" si="1050"/>
        <v>-18.950437317784253</v>
      </c>
      <c r="DM175" s="117">
        <f>DM161</f>
        <v>287</v>
      </c>
      <c r="DN175" s="98">
        <f t="shared" si="1051"/>
        <v>-5.9016393442622999</v>
      </c>
      <c r="DO175" s="117">
        <f>DO161</f>
        <v>279</v>
      </c>
      <c r="DP175" s="98">
        <f t="shared" si="1051"/>
        <v>-4.452054794520544</v>
      </c>
      <c r="DQ175" s="117">
        <f>DQ161</f>
        <v>296</v>
      </c>
      <c r="DR175" s="98">
        <f t="shared" si="1051"/>
        <v>1.0238907849829282</v>
      </c>
      <c r="DS175" s="117">
        <f>DS161</f>
        <v>265</v>
      </c>
      <c r="DT175" s="98">
        <f t="shared" si="1051"/>
        <v>-4.6762589928057601</v>
      </c>
      <c r="DU175" s="117">
        <f>DU161</f>
        <v>267</v>
      </c>
      <c r="DV175" s="98">
        <f t="shared" si="1051"/>
        <v>-6.9686411149825762</v>
      </c>
      <c r="DW175" s="117">
        <f>DW161</f>
        <v>268</v>
      </c>
      <c r="DX175" s="98">
        <f t="shared" si="1051"/>
        <v>-3.9426523297491078</v>
      </c>
      <c r="DY175" s="117">
        <f>DY161</f>
        <v>277</v>
      </c>
      <c r="DZ175" s="98">
        <f t="shared" si="1051"/>
        <v>-6.418918918918914</v>
      </c>
      <c r="EA175" s="117">
        <f>EA161</f>
        <v>288</v>
      </c>
      <c r="EB175" s="98">
        <f t="shared" si="1052"/>
        <v>8.6792452830188651</v>
      </c>
      <c r="EC175" s="117">
        <f>EC161</f>
        <v>289</v>
      </c>
      <c r="ED175" s="98">
        <f t="shared" si="1053"/>
        <v>8.2397003745318322</v>
      </c>
      <c r="EE175" s="117">
        <f>EE161</f>
        <v>287</v>
      </c>
      <c r="EF175" s="860">
        <f t="shared" si="1054"/>
        <v>7.0895522388059629</v>
      </c>
      <c r="EG175" s="117">
        <f>EG161</f>
        <v>301</v>
      </c>
      <c r="EH175" s="860">
        <f t="shared" si="1055"/>
        <v>8.6642599277978238</v>
      </c>
      <c r="EI175" s="117">
        <f>EI161</f>
        <v>317</v>
      </c>
      <c r="EJ175" s="860">
        <f t="shared" si="1056"/>
        <v>10.069444444444443</v>
      </c>
      <c r="EK175" s="117">
        <f>EK161</f>
        <v>325</v>
      </c>
      <c r="EL175" s="860">
        <f t="shared" si="1057"/>
        <v>12.456747404844283</v>
      </c>
      <c r="EM175" s="117">
        <f>EM161</f>
        <v>342</v>
      </c>
      <c r="EN175" s="860">
        <f t="shared" si="1058"/>
        <v>19.163763066202087</v>
      </c>
      <c r="EO175" s="117">
        <f>EO161</f>
        <v>354</v>
      </c>
      <c r="EP175" s="98">
        <f t="shared" si="1059"/>
        <v>17.607973421926904</v>
      </c>
      <c r="EQ175" s="792">
        <f t="shared" ref="EQ175" si="1074">EQ161</f>
        <v>344.0962836507282</v>
      </c>
      <c r="ER175" s="98">
        <f t="shared" si="1060"/>
        <v>8.5477235491256067</v>
      </c>
      <c r="ES175" s="792">
        <f t="shared" ref="ES175" si="1075">ES161</f>
        <v>345.94084625988069</v>
      </c>
      <c r="ET175" s="98">
        <f t="shared" si="1062"/>
        <v>6.443337310732522</v>
      </c>
      <c r="EU175" s="792">
        <f t="shared" ref="EU175" si="1076">EU161</f>
        <v>347.49930223138438</v>
      </c>
      <c r="EV175" s="98">
        <f t="shared" si="1064"/>
        <v>1.607983108591915</v>
      </c>
      <c r="EW175" s="792">
        <f t="shared" ref="EW175" si="1077">EW161</f>
        <v>348.81673871952677</v>
      </c>
      <c r="EX175" s="98">
        <f t="shared" si="1066"/>
        <v>-1.4641981018285954</v>
      </c>
      <c r="EY175" s="118"/>
      <c r="EZ175" s="594"/>
      <c r="FA175" s="405"/>
      <c r="FB175" s="118">
        <f>FB161</f>
        <v>738</v>
      </c>
      <c r="FC175" s="98"/>
      <c r="FD175" s="117">
        <f>FD161</f>
        <v>632</v>
      </c>
      <c r="FE175" s="98">
        <f>IF(ISERROR((FD175/FB175-1)*100),"NA",IF(((FD175/FB175-1)*100)&gt;100,"NM",IF(((FD175/FB175-1)*100)&lt;-50,"NM",(FD175/FB175-1)*100)))</f>
        <v>-14.363143631436316</v>
      </c>
      <c r="FF175" s="118">
        <f>FF161</f>
        <v>602</v>
      </c>
      <c r="FG175" s="98">
        <f>IF(ISERROR((FF175/FD175-1)*100),"NA",IF(((FF175/FD175-1)*100)&gt;100,"NM",IF(((FF175/FD175-1)*100)&lt;-50,"NM",(FF175/FD175-1)*100)))</f>
        <v>-4.7468354430379778</v>
      </c>
      <c r="FH175" s="118">
        <f>FH161</f>
        <v>549</v>
      </c>
      <c r="FI175" s="98">
        <f>IF(ISERROR((FH175/FF175-1)*100),"NA",IF(((FH175/FF175-1)*100)&gt;100,"NM",IF(((FH175/FF175-1)*100)&lt;-50,"NM",(FH175/FF175-1)*100)))</f>
        <v>-8.8039867109634518</v>
      </c>
      <c r="FJ175" s="118">
        <f>FJ161</f>
        <v>507</v>
      </c>
      <c r="FK175" s="98">
        <f>IF(ISERROR((FJ175/FH175-1)*100),"NA",IF(((FJ175/FH175-1)*100)&gt;100,"NM",IF(((FJ175/FH175-1)*100)&lt;-50,"NM",(FJ175/FH175-1)*100)))</f>
        <v>-7.6502732240437137</v>
      </c>
      <c r="FL175" s="118">
        <f>FL161</f>
        <v>492</v>
      </c>
      <c r="FM175" s="98">
        <f>IF(ISERROR((FL175/FJ175-1)*100),"NA",IF(((FL175/FJ175-1)*100)&gt;100,"NM",IF(((FL175/FJ175-1)*100)&lt;-50,"NM",(FL175/FJ175-1)*100)))</f>
        <v>-2.9585798816568087</v>
      </c>
      <c r="FN175" s="118">
        <f>FN161</f>
        <v>598</v>
      </c>
      <c r="FO175" s="98">
        <f>IF(ISERROR((FN175/FL175-1)*100),"NA",IF(((FN175/FL175-1)*100)&gt;100,"NM",IF(((FN175/FL175-1)*100)&lt;-50,"NM",(FN175/FL175-1)*100)))</f>
        <v>21.544715447154459</v>
      </c>
      <c r="FP175" s="118">
        <f>FP161</f>
        <v>1217</v>
      </c>
      <c r="FQ175" s="98" t="str">
        <f>IF(ISERROR((FP175/FN175-1)*100),"NA",IF(((FP175/FN175-1)*100)&gt;100,"NM",IF(((FP175/FN175-1)*100)&lt;-50,"NM",(FP175/FN175-1)*100)))</f>
        <v>NM</v>
      </c>
      <c r="FR175" s="119">
        <f>FR161</f>
        <v>2009</v>
      </c>
      <c r="FS175" s="120">
        <f>IF(ISERROR((FR175/FP175-1)*100),"NA",IF(((FR175/FP175-1)*100)&gt;100,"NM",IF(((FR175/FP175-1)*100)&lt;-50,"NM",(FR175/FP175-1)*100)))</f>
        <v>65.078060805258843</v>
      </c>
      <c r="FT175" s="119">
        <f>FT161</f>
        <v>2453</v>
      </c>
      <c r="FU175" s="120">
        <f t="shared" si="1067"/>
        <v>22.10054753608761</v>
      </c>
      <c r="FV175" s="119">
        <f>FV161</f>
        <v>2298</v>
      </c>
      <c r="FW175" s="98">
        <f t="shared" si="1068"/>
        <v>-6.318793314309012</v>
      </c>
      <c r="FX175" s="485">
        <f>FX161</f>
        <v>1633</v>
      </c>
      <c r="FY175" s="98">
        <f t="shared" si="1069"/>
        <v>-28.93820713664056</v>
      </c>
      <c r="FZ175" s="119">
        <f>FZ161</f>
        <v>1445</v>
      </c>
      <c r="GA175" s="98">
        <f t="shared" si="1070"/>
        <v>-11.512553582363749</v>
      </c>
      <c r="GB175" s="485">
        <f>GB161</f>
        <v>1323</v>
      </c>
      <c r="GC175" s="98">
        <f t="shared" si="1071"/>
        <v>-8.4429065743944598</v>
      </c>
      <c r="GD175" s="119">
        <f>GD161</f>
        <v>1358</v>
      </c>
      <c r="GE175" s="98">
        <f t="shared" si="1072"/>
        <v>2.6455026455026509</v>
      </c>
      <c r="GF175" s="119">
        <f>GF161</f>
        <v>1233</v>
      </c>
      <c r="GG175" s="98">
        <f t="shared" si="1072"/>
        <v>-9.2047128129602367</v>
      </c>
      <c r="GH175" s="119">
        <f>GH161</f>
        <v>1140</v>
      </c>
      <c r="GI175" s="98">
        <f t="shared" si="1072"/>
        <v>-7.5425790754257926</v>
      </c>
      <c r="GJ175" s="119">
        <f>GJ161</f>
        <v>1077</v>
      </c>
      <c r="GK175" s="98">
        <f t="shared" si="1072"/>
        <v>-5.5263157894736796</v>
      </c>
      <c r="GL175" s="119">
        <f>GL161</f>
        <v>1165</v>
      </c>
      <c r="GM175" s="98">
        <f t="shared" si="1072"/>
        <v>8.1708449396471714</v>
      </c>
      <c r="GN175" s="119">
        <f>GN161</f>
        <v>1338</v>
      </c>
      <c r="GO175" s="98">
        <f t="shared" si="1072"/>
        <v>14.849785407725324</v>
      </c>
      <c r="GP175" s="119">
        <f>GP161</f>
        <v>1386.3531708615201</v>
      </c>
      <c r="GQ175" s="98">
        <f t="shared" si="1072"/>
        <v>3.6138393767952248</v>
      </c>
      <c r="GR175" s="118">
        <f>GR161</f>
        <v>1403.3981350801316</v>
      </c>
      <c r="GS175" s="98">
        <f t="shared" si="1072"/>
        <v>1.229482110104696</v>
      </c>
      <c r="GT175" s="118">
        <f>GT161</f>
        <v>1445.8090102435631</v>
      </c>
      <c r="GU175" s="98">
        <f t="shared" si="1072"/>
        <v>3.0220130769241571</v>
      </c>
      <c r="GV175" s="118">
        <f>GV161</f>
        <v>1498.0005160848862</v>
      </c>
      <c r="GW175" s="98">
        <f t="shared" si="1072"/>
        <v>3.6098478755870245</v>
      </c>
      <c r="GX175" s="118">
        <f>GX161</f>
        <v>1554.5975418525916</v>
      </c>
      <c r="GY175" s="98">
        <f t="shared" si="1073"/>
        <v>3.7781713130263128</v>
      </c>
      <c r="GZ175" s="98">
        <f>IF(ISERROR(((GX175/GN175)^0.2-1)*100),"NA",IF((((GX175/GN175)^0.2-1)*100)&gt;100,"NM",IF((((GX175/GN175)^0.2-1)*100)&lt;-50,"NM",((GX175/GN175)^0.2-1)*100)))</f>
        <v>3.0462929079732026</v>
      </c>
      <c r="HA175" s="98"/>
      <c r="HB175" s="10"/>
      <c r="HC175"/>
      <c r="HD175"/>
      <c r="HE175"/>
      <c r="HF175"/>
      <c r="HG175"/>
      <c r="HH175"/>
      <c r="HI175" s="10"/>
    </row>
    <row r="176" spans="1:217" s="2" customFormat="1" ht="12.75" customHeight="1" x14ac:dyDescent="0.2">
      <c r="B176" s="179" t="s">
        <v>159</v>
      </c>
      <c r="C176" s="155">
        <f>SUM(C174:C175)</f>
        <v>664</v>
      </c>
      <c r="D176" s="156"/>
      <c r="E176" s="155">
        <f>SUM(E174:E175)</f>
        <v>735</v>
      </c>
      <c r="F176" s="156"/>
      <c r="G176" s="155">
        <f>SUM(G174:G175)</f>
        <v>675</v>
      </c>
      <c r="H176" s="156"/>
      <c r="I176" s="155">
        <f>SUM(I174:I175)</f>
        <v>724</v>
      </c>
      <c r="J176" s="156"/>
      <c r="K176" s="155">
        <f>SUM(K174:K175)</f>
        <v>648</v>
      </c>
      <c r="L176" s="156">
        <f>IF(ISERROR((K176/C176-1)*100),"NA",IF(((K176/C176-1)*100)&gt;100,"NM",IF(((K176/C176-1)*100)&lt;-50,"NM",(K176/C176-1)*100)))</f>
        <v>-2.4096385542168641</v>
      </c>
      <c r="M176" s="155">
        <f>SUM(M174:M175)</f>
        <v>566</v>
      </c>
      <c r="N176" s="156">
        <f>IF(ISERROR((M176/E176-1)*100),"NA",IF(((M176/E176-1)*100)&gt;100,"NM",IF(((M176/E176-1)*100)&lt;-50,"NM",(M176/E176-1)*100)))</f>
        <v>-22.99319727891157</v>
      </c>
      <c r="O176" s="155">
        <f>SUM(O174:O175)</f>
        <v>661</v>
      </c>
      <c r="P176" s="156">
        <f>IF(ISERROR((O176/G176-1)*100),"NA",IF(((O176/G176-1)*100)&gt;100,"NM",IF(((O176/G176-1)*100)&lt;-50,"NM",(O176/G176-1)*100)))</f>
        <v>-2.0740740740740726</v>
      </c>
      <c r="Q176" s="155">
        <f>SUM(Q174:Q175)</f>
        <v>639</v>
      </c>
      <c r="R176" s="156">
        <f>IF(ISERROR((Q176/I176-1)*100),"NA",IF(((Q176/I176-1)*100)&gt;100,"NM",IF(((Q176/I176-1)*100)&lt;-50,"NM",(Q176/I176-1)*100)))</f>
        <v>-11.740331491712707</v>
      </c>
      <c r="S176" s="155">
        <f>SUM(S174:S175)</f>
        <v>569</v>
      </c>
      <c r="T176" s="156">
        <f>IF(ISERROR((S176/K176-1)*100),"NA",IF(((S176/K176-1)*100)&gt;100,"NM",IF(((S176/K176-1)*100)&lt;-50,"NM",(S176/K176-1)*100)))</f>
        <v>-12.191358024691358</v>
      </c>
      <c r="U176" s="155">
        <f>SUM(U174:U175)</f>
        <v>849</v>
      </c>
      <c r="V176" s="156">
        <f>IF(ISERROR((U176/M176-1)*100),"NA",IF(((U176/M176-1)*100)&gt;100,"NM",IF(((U176/M176-1)*100)&lt;-50,"NM",(U176/M176-1)*100)))</f>
        <v>50</v>
      </c>
      <c r="W176" s="155">
        <f>SUM(W174:W175)</f>
        <v>676</v>
      </c>
      <c r="X176" s="156">
        <f>IF(ISERROR((W176/O176-1)*100),"NA",IF(((W176/O176-1)*100)&gt;100,"NM",IF(((W176/O176-1)*100)&lt;-50,"NM",(W176/O176-1)*100)))</f>
        <v>2.2692889561270801</v>
      </c>
      <c r="Y176" s="155">
        <f>SUM(Y174:Y175)</f>
        <v>773</v>
      </c>
      <c r="Z176" s="156">
        <f>IF(ISERROR((Y176/Q176-1)*100),"NA",IF(((Y176/Q176-1)*100)&gt;100,"NM",IF(((Y176/Q176-1)*100)&lt;-50,"NM",(Y176/Q176-1)*100)))</f>
        <v>20.970266040688568</v>
      </c>
      <c r="AA176" s="155">
        <f>SUM(AA174:AA175)</f>
        <v>649</v>
      </c>
      <c r="AB176" s="156">
        <f>IF(ISERROR((AA176/S176-1)*100),"NA",IF(((AA176/S176-1)*100)&gt;100,"NM",IF(((AA176/S176-1)*100)&lt;-50,"NM",(AA176/S176-1)*100)))</f>
        <v>14.059753954305808</v>
      </c>
      <c r="AC176" s="155">
        <f>SUM(AC174:AC175)</f>
        <v>805</v>
      </c>
      <c r="AD176" s="156">
        <f>IF(ISERROR((AC176/U176-1)*100),"NA",IF(((AC176/U176-1)*100)&gt;100,"NM",IF(((AC176/U176-1)*100)&lt;-50,"NM",(AC176/U176-1)*100)))</f>
        <v>-5.1825677267373411</v>
      </c>
      <c r="AE176" s="155">
        <f>SUM(AE174:AE175)</f>
        <v>762</v>
      </c>
      <c r="AF176" s="156">
        <f>IF(ISERROR((AE176/W176-1)*100),"NA",IF(((AE176/W176-1)*100)&gt;100,"NM",IF(((AE176/W176-1)*100)&lt;-50,"NM",(AE176/W176-1)*100)))</f>
        <v>12.72189349112427</v>
      </c>
      <c r="AG176" s="155">
        <f>SUM(AG174:AG175)</f>
        <v>811</v>
      </c>
      <c r="AH176" s="156">
        <f>IF(ISERROR((AG176/Y176-1)*100),"NA",IF(((AG176/Y176-1)*100)&gt;100,"NM",IF(((AG176/Y176-1)*100)&lt;-50,"NM",(AG176/Y176-1)*100)))</f>
        <v>4.9159120310478643</v>
      </c>
      <c r="AI176" s="155">
        <f>SUM(AI174:AI175)</f>
        <v>721</v>
      </c>
      <c r="AJ176" s="156">
        <f>IF(ISERROR((AI176/AA176-1)*100),"NA",IF(((AI176/AA176-1)*100)&gt;100,"NM",IF(((AI176/AA176-1)*100)&lt;-50,"NM",(AI176/AA176-1)*100)))</f>
        <v>11.093990755007699</v>
      </c>
      <c r="AK176" s="155">
        <f>SUM(AK174:AK175)</f>
        <v>737</v>
      </c>
      <c r="AL176" s="156">
        <f>IF(ISERROR((AK176/AC176-1)*100),"NA",IF(((AK176/AC176-1)*100)&gt;100,"NM",IF(((AK176/AC176-1)*100)&lt;-50,"NM",(AK176/AC176-1)*100)))</f>
        <v>-8.4472049689440993</v>
      </c>
      <c r="AM176" s="155">
        <f>SUM(AM174:AM175)</f>
        <v>1026</v>
      </c>
      <c r="AN176" s="156">
        <f>IF(ISERROR((AM176/AE176-1)*100),"NA",IF(((AM176/AE176-1)*100)&gt;100,"NM",IF(((AM176/AE176-1)*100)&lt;-50,"NM",(AM176/AE176-1)*100)))</f>
        <v>34.645669291338585</v>
      </c>
      <c r="AO176" s="155">
        <f>SUM(AO174:AO175)</f>
        <v>847</v>
      </c>
      <c r="AP176" s="156">
        <f>IF(ISERROR((AO176/AG176-1)*100),"NA",IF(((AO176/AG176-1)*100)&gt;100,"NM",IF(((AO176/AG176-1)*100)&lt;-50,"NM",(AO176/AG176-1)*100)))</f>
        <v>4.4389642416769348</v>
      </c>
      <c r="AQ176" s="155">
        <f>SUM(AQ174:AQ175)</f>
        <v>1066</v>
      </c>
      <c r="AR176" s="156">
        <f>IF(ISERROR((AQ176/AI176-1)*100),"NA",IF(((AQ176/AI176-1)*100)&gt;100,"NM",IF(((AQ176/AI176-1)*100)&lt;-50,"NM",(AQ176/AI176-1)*100)))</f>
        <v>47.850208044382804</v>
      </c>
      <c r="AS176" s="155">
        <f>SUM(AS174:AS175)</f>
        <v>972</v>
      </c>
      <c r="AT176" s="156">
        <f>IF(ISERROR((AS176/AK176-1)*100),"NA",IF(((AS176/AK176-1)*100)&gt;100,"NM",IF(((AS176/AK176-1)*100)&lt;-50,"NM",(AS176/AK176-1)*100)))</f>
        <v>31.886024423337854</v>
      </c>
      <c r="AU176" s="155">
        <f>SUM(AU174:AU175)</f>
        <v>1430</v>
      </c>
      <c r="AV176" s="156">
        <f>IF(ISERROR((AU176/AM176-1)*100),"NA",IF(((AU176/AM176-1)*100)&gt;100,"NM",IF(((AU176/AM176-1)*100)&lt;-50,"NM",(AU176/AM176-1)*100)))</f>
        <v>39.376218323586755</v>
      </c>
      <c r="AW176" s="155">
        <f>SUM(AW174:AW175)</f>
        <v>1148</v>
      </c>
      <c r="AX176" s="156">
        <f>IF(ISERROR((AW176/AO176-1)*100),"NA",IF(((AW176/AO176-1)*100)&gt;100,"NM",IF(((AW176/AO176-1)*100)&lt;-50,"NM",(AW176/AO176-1)*100)))</f>
        <v>35.537190082644621</v>
      </c>
      <c r="AY176" s="155">
        <f>SUM(AY174:AY175)</f>
        <v>1234</v>
      </c>
      <c r="AZ176" s="156">
        <f>IF(ISERROR((AY176/AQ176-1)*100),"NA",IF(((AY176/AQ176-1)*100)&gt;100,"NM",IF(((AY176/AQ176-1)*100)&lt;-50,"NM",(AY176/AQ176-1)*100)))</f>
        <v>15.75984990619137</v>
      </c>
      <c r="BA176" s="155">
        <f>SUM(BA174:BA175)</f>
        <v>1229</v>
      </c>
      <c r="BB176" s="156">
        <f>IF(ISERROR((BA176/AS176-1)*100),"NA",IF(((BA176/AS176-1)*100)&gt;100,"NM",IF(((BA176/AS176-1)*100)&lt;-50,"NM",(BA176/AS176-1)*100)))</f>
        <v>26.440329218106996</v>
      </c>
      <c r="BC176" s="155">
        <f>SUM(BC174:BC175)</f>
        <v>1474</v>
      </c>
      <c r="BD176" s="156">
        <f>IF(ISERROR((BC176/AU176-1)*100),"NA",IF(((BC176/AU176-1)*100)&gt;100,"NM",IF(((BC176/AU176-1)*100)&lt;-50,"NM",(BC176/AU176-1)*100)))</f>
        <v>3.076923076923066</v>
      </c>
      <c r="BE176" s="155">
        <f>SUM(BE174:BE175)</f>
        <v>1483</v>
      </c>
      <c r="BF176" s="156">
        <f>IF(ISERROR((BE176/AW176-1)*100),"NA",IF(((BE176/AW176-1)*100)&gt;100,"NM",IF(((BE176/AW176-1)*100)&lt;-50,"NM",(BE176/AW176-1)*100)))</f>
        <v>29.181184668989559</v>
      </c>
      <c r="BG176" s="155">
        <f>SUM(BG174:BG175)</f>
        <v>1357</v>
      </c>
      <c r="BH176" s="156">
        <f>IF(ISERROR((BG176/AY176-1)*100),"NA",IF(((BG176/AY176-1)*100)&gt;100,"NM",IF(((BG176/AY176-1)*100)&lt;-50,"NM",(BG176/AY176-1)*100)))</f>
        <v>9.9675850891409965</v>
      </c>
      <c r="BI176" s="155">
        <f>SUM(BI174:BI175)</f>
        <v>1389</v>
      </c>
      <c r="BJ176" s="156">
        <f>IF(ISERROR((BI176/BA176-1)*100),"NA",IF(((BI176/BA176-1)*100)&gt;100,"NM",IF(((BI176/BA176-1)*100)&lt;-50,"NM",(BI176/BA176-1)*100)))</f>
        <v>13.018714401952813</v>
      </c>
      <c r="BK176" s="155">
        <f>SUM(BK174:BK175)</f>
        <v>1482</v>
      </c>
      <c r="BL176" s="156">
        <f>IF(ISERROR((BK176/BC176-1)*100),"NA",IF(((BK176/BC176-1)*100)&gt;100,"NM",IF(((BK176/BC176-1)*100)&lt;-50,"NM",(BK176/BC176-1)*100)))</f>
        <v>0.54274084124830146</v>
      </c>
      <c r="BM176" s="155">
        <f>SUM(BM174:BM175)</f>
        <v>1443</v>
      </c>
      <c r="BN176" s="98">
        <f>IF(ISERROR((BM176/BE176-1)*100),"NA",IF(((BM176/BE176-1)*100)&gt;100,"NM",IF(((BM176/BE176-1)*100)&lt;-50,"NM",(BM176/BE176-1)*100)))</f>
        <v>-2.6972353337828769</v>
      </c>
      <c r="BO176" s="117">
        <f>SUM(BO174:BO175)</f>
        <v>1538</v>
      </c>
      <c r="BP176" s="98">
        <f>IF(ISERROR((BO176/BG176-1)*100),"NA",IF(((BO176/BG176-1)*100)&gt;100,"NM",IF(((BO176/BG176-1)*100)&lt;-50,"NM",(BO176/BG176-1)*100)))</f>
        <v>13.338246131171694</v>
      </c>
      <c r="BQ176" s="117">
        <f>SUM(BQ174:BQ175)</f>
        <v>1545</v>
      </c>
      <c r="BR176" s="98">
        <f>IF(ISERROR((BQ176/BI176-1)*100),"NA",IF(((BQ176/BI176-1)*100)&gt;100,"NM",IF(((BQ176/BI176-1)*100)&lt;-50,"NM",(BQ176/BI176-1)*100)))</f>
        <v>11.23110151187905</v>
      </c>
      <c r="BS176" s="117">
        <f>SUM(BS174:BS175)</f>
        <v>2070</v>
      </c>
      <c r="BT176" s="98">
        <f>IF(ISERROR((BS176/BK176-1)*100),"NA",IF(((BS176/BK176-1)*100)&gt;100,"NM",IF(((BS176/BK176-1)*100)&lt;-50,"NM",(BS176/BK176-1)*100)))</f>
        <v>39.676113360323882</v>
      </c>
      <c r="BU176" s="117">
        <f>SUM(BU174:BU175)</f>
        <v>1811</v>
      </c>
      <c r="BV176" s="98">
        <f t="shared" si="1032"/>
        <v>25.502425502425496</v>
      </c>
      <c r="BW176" s="117">
        <f>SUM(BW174:BW175)</f>
        <v>1338</v>
      </c>
      <c r="BX176" s="98">
        <f t="shared" si="1033"/>
        <v>-13.003901170351106</v>
      </c>
      <c r="BY176" s="117">
        <f>SUM(BY174:BY175)</f>
        <v>1649</v>
      </c>
      <c r="BZ176" s="98">
        <f t="shared" si="1034"/>
        <v>6.7313915857605267</v>
      </c>
      <c r="CA176" s="117">
        <f>SUM(CA174:CA175)</f>
        <v>1582</v>
      </c>
      <c r="CB176" s="98">
        <f t="shared" si="1035"/>
        <v>-23.574879227053135</v>
      </c>
      <c r="CC176" s="117">
        <f>SUM(CC174:CC175)</f>
        <v>1717</v>
      </c>
      <c r="CD176" s="98">
        <f t="shared" si="1036"/>
        <v>-5.1905024848150187</v>
      </c>
      <c r="CE176" s="117">
        <f>SUM(CE174:CE175)</f>
        <v>1528</v>
      </c>
      <c r="CF176" s="98">
        <f t="shared" si="1037"/>
        <v>14.200298953662172</v>
      </c>
      <c r="CG176" s="117">
        <f>SUM(CG174:CG175)</f>
        <v>1343</v>
      </c>
      <c r="CH176" s="98">
        <f t="shared" si="1038"/>
        <v>-18.556701030927837</v>
      </c>
      <c r="CI176" s="117">
        <f>SUM(CI174:CI175)</f>
        <v>1343</v>
      </c>
      <c r="CJ176" s="98">
        <f t="shared" si="1039"/>
        <v>-15.107458912768646</v>
      </c>
      <c r="CK176" s="117">
        <f>SUM(CK174:CK175)</f>
        <v>1272</v>
      </c>
      <c r="CL176" s="98">
        <f t="shared" si="1040"/>
        <v>-25.917297612114155</v>
      </c>
      <c r="CM176" s="117">
        <f>SUM(CM174:CM175)</f>
        <v>1355</v>
      </c>
      <c r="CN176" s="98">
        <f t="shared" si="1041"/>
        <v>-11.321989528795806</v>
      </c>
      <c r="CO176" s="117">
        <f>SUM(CO174:CO175)</f>
        <v>1777</v>
      </c>
      <c r="CP176" s="98">
        <f>IF(ISERROR((CO176/CG176-1)*100),"NA",IF(((CO176/CG176-1)*100)&gt;100,"NM",IF(((CO176/CG176-1)*100)&lt;-50,"NM",(CO176/CG176-1)*100)))</f>
        <v>32.315711094564413</v>
      </c>
      <c r="CQ176" s="486">
        <f>SUM(CQ174:CQ175)</f>
        <v>1786</v>
      </c>
      <c r="CR176" s="98">
        <f>IF(ISERROR((CQ176/CI176-1)*100),"NA",IF(((CQ176/CI176-1)*100)&gt;100,"NM",IF(((CQ176/CI176-1)*100)&lt;-50,"NM",(CQ176/CI176-1)*100)))</f>
        <v>32.98585256887565</v>
      </c>
      <c r="CS176" s="117">
        <f>SUM(CS174:CS175)</f>
        <v>1692</v>
      </c>
      <c r="CT176" s="98">
        <f>IF(ISERROR((CS176/CK176-1)*100),"NA",IF(((CS176/CK176-1)*100)&gt;100,"NM",IF(((CS176/CK176-1)*100)&lt;-50,"NM",(CS176/CK176-1)*100)))</f>
        <v>33.018867924528308</v>
      </c>
      <c r="CU176" s="117">
        <f>SUM(CU174:CU175)</f>
        <v>1431</v>
      </c>
      <c r="CV176" s="98">
        <f t="shared" si="1042"/>
        <v>5.6088560885608763</v>
      </c>
      <c r="CW176" s="117">
        <f>SUM(CW174:CW175)</f>
        <v>1469</v>
      </c>
      <c r="CX176" s="98">
        <f t="shared" si="1043"/>
        <v>-17.332583005064716</v>
      </c>
      <c r="CY176" s="117">
        <f>SUM(CY174:CY175)</f>
        <v>1409</v>
      </c>
      <c r="CZ176" s="98">
        <f t="shared" si="1044"/>
        <v>-21.108622620380736</v>
      </c>
      <c r="DA176" s="117">
        <f>SUM(DA174:DA175)</f>
        <v>2753</v>
      </c>
      <c r="DB176" s="98">
        <f t="shared" si="1045"/>
        <v>62.706855791962177</v>
      </c>
      <c r="DC176" s="117">
        <f>SUM(DC174:DC175)</f>
        <v>1360</v>
      </c>
      <c r="DD176" s="98">
        <f t="shared" si="1046"/>
        <v>-4.961565338923835</v>
      </c>
      <c r="DE176" s="117">
        <f>SUM(DE174:DE175)</f>
        <v>1385</v>
      </c>
      <c r="DF176" s="98">
        <f t="shared" si="1047"/>
        <v>-5.7181756296800561</v>
      </c>
      <c r="DG176" s="117">
        <f>SUM(DG174:DG175)</f>
        <v>1363</v>
      </c>
      <c r="DH176" s="98">
        <f t="shared" si="1048"/>
        <v>-3.2647267565649396</v>
      </c>
      <c r="DI176" s="117">
        <f>SUM(DI174:DI175)</f>
        <v>2305</v>
      </c>
      <c r="DJ176" s="98">
        <f t="shared" si="1049"/>
        <v>-16.273156556483837</v>
      </c>
      <c r="DK176" s="117">
        <f>SUM(DK174:DK175)</f>
        <v>1166</v>
      </c>
      <c r="DL176" s="98">
        <f t="shared" si="1050"/>
        <v>-14.264705882352946</v>
      </c>
      <c r="DM176" s="117">
        <f>SUM(DM174:DM175)</f>
        <v>1560</v>
      </c>
      <c r="DN176" s="98">
        <f t="shared" si="1051"/>
        <v>12.635379061371843</v>
      </c>
      <c r="DO176" s="117">
        <f>SUM(DO174:DO175)</f>
        <v>1312</v>
      </c>
      <c r="DP176" s="98">
        <f t="shared" si="1051"/>
        <v>-3.7417461482024961</v>
      </c>
      <c r="DQ176" s="117">
        <f>SUM(DQ174:DQ175)</f>
        <v>2208</v>
      </c>
      <c r="DR176" s="98">
        <f t="shared" si="1051"/>
        <v>-4.2082429501084651</v>
      </c>
      <c r="DS176" s="117">
        <f>SUM(DS174:DS175)</f>
        <v>1159</v>
      </c>
      <c r="DT176" s="98">
        <f t="shared" si="1051"/>
        <v>-0.60034305317324677</v>
      </c>
      <c r="DU176" s="117">
        <f>SUM(DU174:DU175)</f>
        <v>1122</v>
      </c>
      <c r="DV176" s="98">
        <f t="shared" si="1051"/>
        <v>-28.076923076923077</v>
      </c>
      <c r="DW176" s="117">
        <f>SUM(DW174:DW175)</f>
        <v>2333</v>
      </c>
      <c r="DX176" s="98">
        <f t="shared" si="1051"/>
        <v>77.820121951219519</v>
      </c>
      <c r="DY176" s="117">
        <f>SUM(DY174:DY175)</f>
        <v>1559</v>
      </c>
      <c r="DZ176" s="98">
        <f t="shared" si="1051"/>
        <v>-29.393115942028981</v>
      </c>
      <c r="EA176" s="117">
        <f>SUM(EA174:EA175)</f>
        <v>1157</v>
      </c>
      <c r="EB176" s="98">
        <f t="shared" si="1052"/>
        <v>-0.17256255392580355</v>
      </c>
      <c r="EC176" s="117">
        <f>SUM(EC174:EC175)</f>
        <v>1383</v>
      </c>
      <c r="ED176" s="98">
        <f t="shared" si="1053"/>
        <v>23.262032085561501</v>
      </c>
      <c r="EE176" s="117">
        <f>SUM(EE174:EE175)</f>
        <v>2117</v>
      </c>
      <c r="EF176" s="860">
        <f t="shared" si="1054"/>
        <v>-9.2584654950707233</v>
      </c>
      <c r="EG176" s="117">
        <f>SUM(EG174:EG175)</f>
        <v>1612</v>
      </c>
      <c r="EH176" s="860">
        <f t="shared" si="1055"/>
        <v>3.3996151379089179</v>
      </c>
      <c r="EI176" s="117">
        <f>SUM(EI174:EI175)</f>
        <v>1229</v>
      </c>
      <c r="EJ176" s="860">
        <f t="shared" si="1056"/>
        <v>6.2229904926534241</v>
      </c>
      <c r="EK176" s="117">
        <f>SUM(EK174:EK175)</f>
        <v>1977</v>
      </c>
      <c r="EL176" s="860">
        <f t="shared" si="1057"/>
        <v>42.950108459869838</v>
      </c>
      <c r="EM176" s="117">
        <f>SUM(EM174:EM175)</f>
        <v>3239</v>
      </c>
      <c r="EN176" s="860">
        <f t="shared" si="1058"/>
        <v>52.999527633443556</v>
      </c>
      <c r="EO176" s="117">
        <f>SUM(EO174:EO175)</f>
        <v>1941</v>
      </c>
      <c r="EP176" s="98">
        <f t="shared" si="1059"/>
        <v>20.409429280397017</v>
      </c>
      <c r="EQ176" s="792">
        <f t="shared" ref="EQ176" si="1078">SUM(EQ174:EQ175)</f>
        <v>2062.7731249294352</v>
      </c>
      <c r="ER176" s="98">
        <f t="shared" si="1060"/>
        <v>67.841588684250212</v>
      </c>
      <c r="ES176" s="792">
        <f t="shared" ref="ES176" si="1079">SUM(ES174:ES175)</f>
        <v>2074.6203436224191</v>
      </c>
      <c r="ET176" s="98">
        <f t="shared" si="1062"/>
        <v>4.9378019030055231</v>
      </c>
      <c r="EU176" s="792">
        <f t="shared" ref="EU176" si="1080">SUM(EU174:EU175)</f>
        <v>2088.5127762061938</v>
      </c>
      <c r="EV176" s="98">
        <f t="shared" si="1064"/>
        <v>-35.5198278417353</v>
      </c>
      <c r="EW176" s="792">
        <f t="shared" ref="EW176" si="1081">SUM(EW174:EW175)</f>
        <v>2101.113204518183</v>
      </c>
      <c r="EX176" s="98">
        <f t="shared" si="1066"/>
        <v>8.2490058999579183</v>
      </c>
      <c r="EY176" s="118"/>
      <c r="EZ176" s="594"/>
      <c r="FA176" s="405"/>
      <c r="FB176" s="118">
        <f>SUM(FB174:FB175)</f>
        <v>2661</v>
      </c>
      <c r="FC176" s="98"/>
      <c r="FD176" s="117">
        <f>SUM(FD174:FD175)</f>
        <v>2484</v>
      </c>
      <c r="FE176" s="98">
        <f>IF(ISERROR((FD176/FB176-1)*100),"NA",IF(((FD176/FB176-1)*100)&gt;100,"NM",IF(((FD176/FB176-1)*100)&lt;-50,"NM",(FD176/FB176-1)*100)))</f>
        <v>-6.6516347237880469</v>
      </c>
      <c r="FF176" s="118">
        <f>SUM(FF174:FF175)</f>
        <v>2798</v>
      </c>
      <c r="FG176" s="98">
        <f>IF(ISERROR((FF176/FD176-1)*100),"NA",IF(((FF176/FD176-1)*100)&gt;100,"NM",IF(((FF176/FD176-1)*100)&lt;-50,"NM",(FF176/FD176-1)*100)))</f>
        <v>12.640901771336544</v>
      </c>
      <c r="FH176" s="118">
        <f>SUM(FH174:FH175)</f>
        <v>2514</v>
      </c>
      <c r="FI176" s="98">
        <f>IF(ISERROR((FH176/FF176-1)*100),"NA",IF(((FH176/FF176-1)*100)&gt;100,"NM",IF(((FH176/FF176-1)*100)&lt;-50,"NM",(FH176/FF176-1)*100)))</f>
        <v>-10.150107219442461</v>
      </c>
      <c r="FJ176" s="118">
        <f>SUM(FJ174:FJ175)</f>
        <v>2867</v>
      </c>
      <c r="FK176" s="98">
        <f>IF(ISERROR((FJ176/FH176-1)*100),"NA",IF(((FJ176/FH176-1)*100)&gt;100,"NM",IF(((FJ176/FH176-1)*100)&lt;-50,"NM",(FJ176/FH176-1)*100)))</f>
        <v>14.041368337311066</v>
      </c>
      <c r="FL176" s="118">
        <f>SUM(FL174:FL175)</f>
        <v>3027</v>
      </c>
      <c r="FM176" s="98">
        <f>IF(ISERROR((FL176/FJ176-1)*100),"NA",IF(((FL176/FJ176-1)*100)&gt;100,"NM",IF(((FL176/FJ176-1)*100)&lt;-50,"NM",(FL176/FJ176-1)*100)))</f>
        <v>5.5807464248343264</v>
      </c>
      <c r="FN176" s="118">
        <f>SUM(FN174:FN175)</f>
        <v>3331</v>
      </c>
      <c r="FO176" s="98">
        <f>IF(ISERROR((FN176/FL176-1)*100),"NA",IF(((FN176/FL176-1)*100)&gt;100,"NM",IF(((FN176/FL176-1)*100)&lt;-50,"NM",(FN176/FL176-1)*100)))</f>
        <v>10.042946812025111</v>
      </c>
      <c r="FP176" s="118">
        <f>SUM(FP174:FP175)</f>
        <v>4616</v>
      </c>
      <c r="FQ176" s="98">
        <f>IF(ISERROR((FP176/FN176-1)*100),"NA",IF(((FP176/FN176-1)*100)&gt;100,"NM",IF(((FP176/FN176-1)*100)&lt;-50,"NM",(FP176/FN176-1)*100)))</f>
        <v>38.57700390273191</v>
      </c>
      <c r="FR176" s="119">
        <f>SUM(FR174:FR175)</f>
        <v>5420</v>
      </c>
      <c r="FS176" s="120">
        <f>IF(ISERROR((FR176/FP176-1)*100),"NA",IF(((FR176/FP176-1)*100)&gt;100,"NM",IF(((FR176/FP176-1)*100)&lt;-50,"NM",(FR176/FP176-1)*100)))</f>
        <v>17.417677642980944</v>
      </c>
      <c r="FT176" s="119">
        <f>SUM(FT174:FT175)</f>
        <v>5671</v>
      </c>
      <c r="FU176" s="120">
        <f t="shared" si="1067"/>
        <v>4.6309963099631091</v>
      </c>
      <c r="FV176" s="119">
        <f>SUM(FV174:FV175)</f>
        <v>7275</v>
      </c>
      <c r="FW176" s="98">
        <f t="shared" si="1068"/>
        <v>28.284253218127308</v>
      </c>
      <c r="FX176" s="485">
        <f>SUM(FX174:FX175)</f>
        <v>6286</v>
      </c>
      <c r="FY176" s="98">
        <f t="shared" si="1069"/>
        <v>-13.59450171821306</v>
      </c>
      <c r="FZ176" s="119">
        <f>SUM(FZ174:FZ175)</f>
        <v>5486</v>
      </c>
      <c r="GA176" s="98">
        <f t="shared" si="1070"/>
        <v>-12.726694241170854</v>
      </c>
      <c r="GB176" s="485">
        <f>SUM(GB174:GB175)</f>
        <v>6610</v>
      </c>
      <c r="GC176" s="98">
        <f t="shared" si="1071"/>
        <v>20.488516223113386</v>
      </c>
      <c r="GD176" s="119">
        <f>SUM(GD174:GD175)</f>
        <v>7062</v>
      </c>
      <c r="GE176" s="98">
        <f t="shared" si="1072"/>
        <v>6.8381240544629351</v>
      </c>
      <c r="GF176" s="119">
        <f>SUM(GF174:GF175)</f>
        <v>6413</v>
      </c>
      <c r="GG176" s="98">
        <f t="shared" si="1072"/>
        <v>-9.1900311526479701</v>
      </c>
      <c r="GH176" s="119">
        <f>SUM(GH174:GH175)</f>
        <v>6246</v>
      </c>
      <c r="GI176" s="98">
        <f t="shared" si="1072"/>
        <v>-2.6040854514267853</v>
      </c>
      <c r="GJ176" s="119">
        <f>SUM(GJ174:GJ175)</f>
        <v>6173</v>
      </c>
      <c r="GK176" s="98">
        <f t="shared" si="1072"/>
        <v>-1.1687479987191773</v>
      </c>
      <c r="GL176" s="119">
        <f>SUM(GL174:GL175)</f>
        <v>6269</v>
      </c>
      <c r="GM176" s="98">
        <f t="shared" si="1072"/>
        <v>1.5551595658512829</v>
      </c>
      <c r="GN176" s="119">
        <f>SUM(GN174:GN175)</f>
        <v>8386</v>
      </c>
      <c r="GO176" s="98">
        <f t="shared" si="1072"/>
        <v>33.769341202743661</v>
      </c>
      <c r="GP176" s="119">
        <f>SUM(GP174:GP175)</f>
        <v>8327.0194492762312</v>
      </c>
      <c r="GQ176" s="98">
        <f t="shared" si="1072"/>
        <v>-0.70332161607165045</v>
      </c>
      <c r="GR176" s="118">
        <f>SUM(GR174:GR175)</f>
        <v>8286.3577241838084</v>
      </c>
      <c r="GS176" s="98">
        <f t="shared" si="1072"/>
        <v>-0.48831067754929736</v>
      </c>
      <c r="GT176" s="118">
        <f>SUM(GT174:GT175)</f>
        <v>8399.1882840923172</v>
      </c>
      <c r="GU176" s="98">
        <f t="shared" si="1072"/>
        <v>1.361642396625129</v>
      </c>
      <c r="GV176" s="118">
        <f>SUM(GV174:GV175)</f>
        <v>8598.037368294923</v>
      </c>
      <c r="GW176" s="98">
        <f t="shared" si="1072"/>
        <v>2.3674797787212043</v>
      </c>
      <c r="GX176" s="118">
        <f>SUM(GX174:GX175)</f>
        <v>8848.7410813709012</v>
      </c>
      <c r="GY176" s="98">
        <f t="shared" si="1073"/>
        <v>2.9158248834837863</v>
      </c>
      <c r="GZ176" s="98">
        <f>IF(ISERROR(((GX176/GN176)^0.2-1)*100),"NA",IF((((GX176/GN176)^0.2-1)*100)&gt;100,"NM",IF((((GX176/GN176)^0.2-1)*100)&lt;-50,"NM",((GX176/GN176)^0.2-1)*100)))</f>
        <v>1.080021566443512</v>
      </c>
      <c r="HA176" s="98"/>
      <c r="HB176" s="10"/>
      <c r="HC176"/>
      <c r="HD176"/>
      <c r="HE176"/>
      <c r="HF176"/>
      <c r="HG176"/>
      <c r="HH176"/>
      <c r="HI176" s="10"/>
    </row>
    <row r="177" spans="1:217" s="2" customFormat="1" ht="12.75" customHeight="1" x14ac:dyDescent="0.2">
      <c r="B177" s="179" t="s">
        <v>266</v>
      </c>
      <c r="C177" s="173">
        <v>120</v>
      </c>
      <c r="D177" s="156"/>
      <c r="E177" s="173">
        <v>136</v>
      </c>
      <c r="F177" s="156"/>
      <c r="G177" s="173">
        <v>173</v>
      </c>
      <c r="H177" s="156"/>
      <c r="I177" s="173">
        <v>153</v>
      </c>
      <c r="J177" s="156"/>
      <c r="K177" s="173">
        <v>133</v>
      </c>
      <c r="L177" s="156">
        <f>IF(ISERROR((K177/C177-1)*100),"NA",IF(((K177/C177-1)*100)&gt;100,"NM",IF(((K177/C177-1)*100)&lt;-50,"NM",(K177/C177-1)*100)))</f>
        <v>10.833333333333339</v>
      </c>
      <c r="M177" s="173">
        <v>115</v>
      </c>
      <c r="N177" s="156">
        <f>IF(ISERROR((M177/E177-1)*100),"NA",IF(((M177/E177-1)*100)&gt;100,"NM",IF(((M177/E177-1)*100)&lt;-50,"NM",(M177/E177-1)*100)))</f>
        <v>-15.441176470588236</v>
      </c>
      <c r="O177" s="173">
        <v>114</v>
      </c>
      <c r="P177" s="156">
        <f>IF(ISERROR((O177/G177-1)*100),"NA",IF(((O177/G177-1)*100)&gt;100,"NM",IF(((O177/G177-1)*100)&lt;-50,"NM",(O177/G177-1)*100)))</f>
        <v>-34.104046242774565</v>
      </c>
      <c r="Q177" s="173">
        <f>290-188</f>
        <v>102</v>
      </c>
      <c r="R177" s="156">
        <f>IF(ISERROR((Q177/I177-1)*100),"NA",IF(((Q177/I177-1)*100)&gt;100,"NM",IF(((Q177/I177-1)*100)&lt;-50,"NM",(Q177/I177-1)*100)))</f>
        <v>-33.333333333333336</v>
      </c>
      <c r="S177" s="173">
        <v>81</v>
      </c>
      <c r="T177" s="156">
        <f>IF(ISERROR((S177/K177-1)*100),"NA",IF(((S177/K177-1)*100)&gt;100,"NM",IF(((S177/K177-1)*100)&lt;-50,"NM",(S177/K177-1)*100)))</f>
        <v>-39.097744360902254</v>
      </c>
      <c r="U177" s="173">
        <v>68</v>
      </c>
      <c r="V177" s="156">
        <f>IF(ISERROR((U177/M177-1)*100),"NA",IF(((U177/M177-1)*100)&gt;100,"NM",IF(((U177/M177-1)*100)&lt;-50,"NM",(U177/M177-1)*100)))</f>
        <v>-40.869565217391305</v>
      </c>
      <c r="W177" s="173">
        <v>63</v>
      </c>
      <c r="X177" s="156">
        <f>IF(ISERROR((W177/O177-1)*100),"NA",IF(((W177/O177-1)*100)&gt;100,"NM",IF(((W177/O177-1)*100)&lt;-50,"NM",(W177/O177-1)*100)))</f>
        <v>-44.73684210526315</v>
      </c>
      <c r="Y177" s="173">
        <v>41</v>
      </c>
      <c r="Z177" s="156" t="str">
        <f>IF(ISERROR((Y177/Q177-1)*100),"NA",IF(((Y177/Q177-1)*100)&gt;100,"NM",IF(((Y177/Q177-1)*100)&lt;-50,"NM",(Y177/Q177-1)*100)))</f>
        <v>NM</v>
      </c>
      <c r="AA177" s="173">
        <v>86</v>
      </c>
      <c r="AB177" s="156">
        <f>IF(ISERROR((AA177/S177-1)*100),"NA",IF(((AA177/S177-1)*100)&gt;100,"NM",IF(((AA177/S177-1)*100)&lt;-50,"NM",(AA177/S177-1)*100)))</f>
        <v>6.1728395061728447</v>
      </c>
      <c r="AC177" s="173">
        <v>87</v>
      </c>
      <c r="AD177" s="156">
        <f>IF(ISERROR((AC177/U177-1)*100),"NA",IF(((AC177/U177-1)*100)&gt;100,"NM",IF(((AC177/U177-1)*100)&lt;-50,"NM",(AC177/U177-1)*100)))</f>
        <v>27.941176470588225</v>
      </c>
      <c r="AE177" s="173">
        <v>68</v>
      </c>
      <c r="AF177" s="156">
        <f>IF(ISERROR((AE177/W177-1)*100),"NA",IF(((AE177/W177-1)*100)&gt;100,"NM",IF(((AE177/W177-1)*100)&lt;-50,"NM",(AE177/W177-1)*100)))</f>
        <v>7.9365079365079305</v>
      </c>
      <c r="AG177" s="173">
        <v>90</v>
      </c>
      <c r="AH177" s="156" t="str">
        <f>IF(ISERROR((AG177/Y177-1)*100),"NA",IF(((AG177/Y177-1)*100)&gt;100,"NM",IF(((AG177/Y177-1)*100)&lt;-50,"NM",(AG177/Y177-1)*100)))</f>
        <v>NM</v>
      </c>
      <c r="AI177" s="173">
        <v>69</v>
      </c>
      <c r="AJ177" s="156">
        <f>IF(ISERROR((AI177/AA177-1)*100),"NA",IF(((AI177/AA177-1)*100)&gt;100,"NM",IF(((AI177/AA177-1)*100)&lt;-50,"NM",(AI177/AA177-1)*100)))</f>
        <v>-19.767441860465119</v>
      </c>
      <c r="AK177" s="173">
        <v>84</v>
      </c>
      <c r="AL177" s="156">
        <f>IF(ISERROR((AK177/AC177-1)*100),"NA",IF(((AK177/AC177-1)*100)&gt;100,"NM",IF(((AK177/AC177-1)*100)&lt;-50,"NM",(AK177/AC177-1)*100)))</f>
        <v>-3.4482758620689613</v>
      </c>
      <c r="AM177" s="173">
        <v>98</v>
      </c>
      <c r="AN177" s="156">
        <f>IF(ISERROR((AM177/AE177-1)*100),"NA",IF(((AM177/AE177-1)*100)&gt;100,"NM",IF(((AM177/AE177-1)*100)&lt;-50,"NM",(AM177/AE177-1)*100)))</f>
        <v>44.117647058823529</v>
      </c>
      <c r="AO177" s="173">
        <v>110</v>
      </c>
      <c r="AP177" s="156">
        <f>IF(ISERROR((AO177/AG177-1)*100),"NA",IF(((AO177/AG177-1)*100)&gt;100,"NM",IF(((AO177/AG177-1)*100)&lt;-50,"NM",(AO177/AG177-1)*100)))</f>
        <v>22.222222222222232</v>
      </c>
      <c r="AQ177" s="173">
        <v>93</v>
      </c>
      <c r="AR177" s="156">
        <f>IF(ISERROR((AQ177/AI177-1)*100),"NA",IF(((AQ177/AI177-1)*100)&gt;100,"NM",IF(((AQ177/AI177-1)*100)&lt;-50,"NM",(AQ177/AI177-1)*100)))</f>
        <v>34.782608695652172</v>
      </c>
      <c r="AS177" s="173">
        <v>87</v>
      </c>
      <c r="AT177" s="156">
        <f>IF(ISERROR((AS177/AK177-1)*100),"NA",IF(((AS177/AK177-1)*100)&gt;100,"NM",IF(((AS177/AK177-1)*100)&lt;-50,"NM",(AS177/AK177-1)*100)))</f>
        <v>3.5714285714285809</v>
      </c>
      <c r="AU177" s="173">
        <f>126</f>
        <v>126</v>
      </c>
      <c r="AV177" s="156">
        <f>IF(ISERROR((AU177/AM177-1)*100),"NA",IF(((AU177/AM177-1)*100)&gt;100,"NM",IF(((AU177/AM177-1)*100)&lt;-50,"NM",(AU177/AM177-1)*100)))</f>
        <v>28.57142857142858</v>
      </c>
      <c r="AW177" s="173">
        <f>113</f>
        <v>113</v>
      </c>
      <c r="AX177" s="156">
        <f>IF(ISERROR((AW177/AO177-1)*100),"NA",IF(((AW177/AO177-1)*100)&gt;100,"NM",IF(((AW177/AO177-1)*100)&lt;-50,"NM",(AW177/AO177-1)*100)))</f>
        <v>2.7272727272727337</v>
      </c>
      <c r="AY177" s="173">
        <f>98</f>
        <v>98</v>
      </c>
      <c r="AZ177" s="156">
        <f>IF(ISERROR((AY177/AQ177-1)*100),"NA",IF(((AY177/AQ177-1)*100)&gt;100,"NM",IF(((AY177/AQ177-1)*100)&lt;-50,"NM",(AY177/AQ177-1)*100)))</f>
        <v>5.3763440860215006</v>
      </c>
      <c r="BA177" s="173">
        <f>119</f>
        <v>119</v>
      </c>
      <c r="BB177" s="156">
        <f>IF(ISERROR((BA177/AS177-1)*100),"NA",IF(((BA177/AS177-1)*100)&gt;100,"NM",IF(((BA177/AS177-1)*100)&lt;-50,"NM",(BA177/AS177-1)*100)))</f>
        <v>36.781609195402297</v>
      </c>
      <c r="BC177" s="173">
        <v>111</v>
      </c>
      <c r="BD177" s="156">
        <f>IF(ISERROR((BC177/AU177-1)*100),"NA",IF(((BC177/AU177-1)*100)&gt;100,"NM",IF(((BC177/AU177-1)*100)&lt;-50,"NM",(BC177/AU177-1)*100)))</f>
        <v>-11.904761904761907</v>
      </c>
      <c r="BE177" s="173">
        <f>114</f>
        <v>114</v>
      </c>
      <c r="BF177" s="156">
        <f>IF(ISERROR((BE177/AW177-1)*100),"NA",IF(((BE177/AW177-1)*100)&gt;100,"NM",IF(((BE177/AW177-1)*100)&lt;-50,"NM",(BE177/AW177-1)*100)))</f>
        <v>0.88495575221239076</v>
      </c>
      <c r="BG177" s="173">
        <v>89</v>
      </c>
      <c r="BH177" s="156">
        <f>IF(ISERROR((BG177/AY177-1)*100),"NA",IF(((BG177/AY177-1)*100)&gt;100,"NM",IF(((BG177/AY177-1)*100)&lt;-50,"NM",(BG177/AY177-1)*100)))</f>
        <v>-9.1836734693877542</v>
      </c>
      <c r="BI177" s="173">
        <v>94</v>
      </c>
      <c r="BJ177" s="156">
        <f>IF(ISERROR((BI177/BA177-1)*100),"NA",IF(((BI177/BA177-1)*100)&gt;100,"NM",IF(((BI177/BA177-1)*100)&lt;-50,"NM",(BI177/BA177-1)*100)))</f>
        <v>-21.008403361344541</v>
      </c>
      <c r="BK177" s="173">
        <v>92</v>
      </c>
      <c r="BL177" s="156">
        <f>IF(ISERROR((BK177/BC177-1)*100),"NA",IF(((BK177/BC177-1)*100)&gt;100,"NM",IF(((BK177/BC177-1)*100)&lt;-50,"NM",(BK177/BC177-1)*100)))</f>
        <v>-17.117117117117118</v>
      </c>
      <c r="BM177" s="173">
        <v>69</v>
      </c>
      <c r="BN177" s="98">
        <f>IF(ISERROR((BM177/BE177-1)*100),"NA",IF(((BM177/BE177-1)*100)&gt;100,"NM",IF(((BM177/BE177-1)*100)&lt;-50,"NM",(BM177/BE177-1)*100)))</f>
        <v>-39.473684210526315</v>
      </c>
      <c r="BO177" s="122">
        <v>87</v>
      </c>
      <c r="BP177" s="98">
        <f>IF(ISERROR((BO177/BG177-1)*100),"NA",IF(((BO177/BG177-1)*100)&gt;100,"NM",IF(((BO177/BG177-1)*100)&lt;-50,"NM",(BO177/BG177-1)*100)))</f>
        <v>-2.2471910112359605</v>
      </c>
      <c r="BQ177" s="122">
        <v>83</v>
      </c>
      <c r="BR177" s="98">
        <f>IF(ISERROR((BQ177/BI177-1)*100),"NA",IF(((BQ177/BI177-1)*100)&gt;100,"NM",IF(((BQ177/BI177-1)*100)&lt;-50,"NM",(BQ177/BI177-1)*100)))</f>
        <v>-11.702127659574469</v>
      </c>
      <c r="BS177" s="122">
        <v>93</v>
      </c>
      <c r="BT177" s="98">
        <f>IF(ISERROR((BS177/BK177-1)*100),"NA",IF(((BS177/BK177-1)*100)&gt;100,"NM",IF(((BS177/BK177-1)*100)&lt;-50,"NM",(BS177/BK177-1)*100)))</f>
        <v>1.0869565217391353</v>
      </c>
      <c r="BU177" s="122">
        <f>2+138</f>
        <v>140</v>
      </c>
      <c r="BV177" s="98" t="str">
        <f t="shared" si="1032"/>
        <v>NM</v>
      </c>
      <c r="BW177" s="122">
        <f>2+105</f>
        <v>107</v>
      </c>
      <c r="BX177" s="98">
        <f t="shared" si="1033"/>
        <v>22.988505747126432</v>
      </c>
      <c r="BY177" s="122">
        <f>0+122</f>
        <v>122</v>
      </c>
      <c r="BZ177" s="98">
        <f t="shared" si="1034"/>
        <v>46.987951807228924</v>
      </c>
      <c r="CA177" s="122">
        <f>1+128</f>
        <v>129</v>
      </c>
      <c r="CB177" s="98">
        <f t="shared" si="1035"/>
        <v>38.709677419354847</v>
      </c>
      <c r="CC177" s="122">
        <v>120</v>
      </c>
      <c r="CD177" s="98">
        <f t="shared" si="1036"/>
        <v>-14.28571428571429</v>
      </c>
      <c r="CE177" s="122">
        <f>116+1</f>
        <v>117</v>
      </c>
      <c r="CF177" s="98">
        <f t="shared" si="1037"/>
        <v>9.3457943925233664</v>
      </c>
      <c r="CG177" s="122">
        <f>117+1</f>
        <v>118</v>
      </c>
      <c r="CH177" s="98">
        <f t="shared" si="1038"/>
        <v>-3.2786885245901676</v>
      </c>
      <c r="CI177" s="122">
        <f>113+1</f>
        <v>114</v>
      </c>
      <c r="CJ177" s="98">
        <f t="shared" si="1039"/>
        <v>-11.627906976744185</v>
      </c>
      <c r="CK177" s="122">
        <f>114+3</f>
        <v>117</v>
      </c>
      <c r="CL177" s="98">
        <f t="shared" si="1040"/>
        <v>-2.5000000000000022</v>
      </c>
      <c r="CM177" s="122">
        <f>126+2</f>
        <v>128</v>
      </c>
      <c r="CN177" s="98">
        <f t="shared" si="1041"/>
        <v>9.4017094017094127</v>
      </c>
      <c r="CO177" s="122">
        <f>122+3</f>
        <v>125</v>
      </c>
      <c r="CP177" s="98">
        <f>IF(ISERROR((CO177/CG177-1)*100),"NA",IF(((CO177/CG177-1)*100)&gt;100,"NM",IF(((CO177/CG177-1)*100)&lt;-50,"NM",(CO177/CG177-1)*100)))</f>
        <v>5.9322033898305149</v>
      </c>
      <c r="CQ177" s="547">
        <f>136+2</f>
        <v>138</v>
      </c>
      <c r="CR177" s="98">
        <f>IF(ISERROR((CQ177/CI177-1)*100),"NA",IF(((CQ177/CI177-1)*100)&gt;100,"NM",IF(((CQ177/CI177-1)*100)&lt;-50,"NM",(CQ177/CI177-1)*100)))</f>
        <v>21.052631578947366</v>
      </c>
      <c r="CS177" s="122">
        <f>129+2</f>
        <v>131</v>
      </c>
      <c r="CT177" s="98">
        <f>IF(ISERROR((CS177/CK177-1)*100),"NA",IF(((CS177/CK177-1)*100)&gt;100,"NM",IF(((CS177/CK177-1)*100)&lt;-50,"NM",(CS177/CK177-1)*100)))</f>
        <v>11.965811965811968</v>
      </c>
      <c r="CU177" s="122">
        <f>128+2</f>
        <v>130</v>
      </c>
      <c r="CV177" s="98">
        <f t="shared" si="1042"/>
        <v>1.5625</v>
      </c>
      <c r="CW177" s="122">
        <f>120+2</f>
        <v>122</v>
      </c>
      <c r="CX177" s="98">
        <f t="shared" si="1043"/>
        <v>-2.4000000000000021</v>
      </c>
      <c r="CY177" s="122">
        <f>120+2</f>
        <v>122</v>
      </c>
      <c r="CZ177" s="98">
        <f t="shared" si="1044"/>
        <v>-11.594202898550721</v>
      </c>
      <c r="DA177" s="122">
        <f>2+110</f>
        <v>112</v>
      </c>
      <c r="DB177" s="98">
        <f t="shared" si="1045"/>
        <v>-14.503816793893131</v>
      </c>
      <c r="DC177" s="122">
        <f>2+139</f>
        <v>141</v>
      </c>
      <c r="DD177" s="98">
        <f t="shared" si="1046"/>
        <v>8.4615384615384528</v>
      </c>
      <c r="DE177" s="122">
        <f>2+116</f>
        <v>118</v>
      </c>
      <c r="DF177" s="98">
        <f t="shared" si="1047"/>
        <v>-3.2786885245901676</v>
      </c>
      <c r="DG177" s="122">
        <f>3+129</f>
        <v>132</v>
      </c>
      <c r="DH177" s="98">
        <f t="shared" si="1048"/>
        <v>8.196721311475418</v>
      </c>
      <c r="DI177" s="122">
        <f>2+120</f>
        <v>122</v>
      </c>
      <c r="DJ177" s="98">
        <f t="shared" si="1049"/>
        <v>8.9285714285714199</v>
      </c>
      <c r="DK177" s="122">
        <f>2+115</f>
        <v>117</v>
      </c>
      <c r="DL177" s="98">
        <f t="shared" si="1050"/>
        <v>-17.021276595744684</v>
      </c>
      <c r="DM177" s="122">
        <f>129+2</f>
        <v>131</v>
      </c>
      <c r="DN177" s="98">
        <f t="shared" si="1051"/>
        <v>11.016949152542367</v>
      </c>
      <c r="DO177" s="122">
        <f>133+2</f>
        <v>135</v>
      </c>
      <c r="DP177" s="98">
        <f t="shared" si="1051"/>
        <v>2.2727272727272707</v>
      </c>
      <c r="DQ177" s="122">
        <f>115+3</f>
        <v>118</v>
      </c>
      <c r="DR177" s="98">
        <f t="shared" si="1051"/>
        <v>-3.2786885245901676</v>
      </c>
      <c r="DS177" s="122">
        <f>116</f>
        <v>116</v>
      </c>
      <c r="DT177" s="98">
        <f t="shared" si="1051"/>
        <v>-0.85470085470085166</v>
      </c>
      <c r="DU177" s="122">
        <f>124</f>
        <v>124</v>
      </c>
      <c r="DV177" s="98">
        <f t="shared" si="1051"/>
        <v>-5.3435114503816772</v>
      </c>
      <c r="DW177" s="122">
        <f>109</f>
        <v>109</v>
      </c>
      <c r="DX177" s="98">
        <f t="shared" si="1051"/>
        <v>-19.259259259259252</v>
      </c>
      <c r="DY177" s="122">
        <v>122</v>
      </c>
      <c r="DZ177" s="98">
        <f t="shared" si="1051"/>
        <v>3.3898305084745672</v>
      </c>
      <c r="EA177" s="122">
        <f>110</f>
        <v>110</v>
      </c>
      <c r="EB177" s="98">
        <f t="shared" si="1052"/>
        <v>-5.1724137931034475</v>
      </c>
      <c r="EC177" s="122">
        <f>104</f>
        <v>104</v>
      </c>
      <c r="ED177" s="98">
        <f t="shared" si="1053"/>
        <v>-16.129032258064512</v>
      </c>
      <c r="EE177" s="122">
        <f>100</f>
        <v>100</v>
      </c>
      <c r="EF177" s="860">
        <f t="shared" si="1054"/>
        <v>-8.2568807339449499</v>
      </c>
      <c r="EG177" s="122">
        <v>120</v>
      </c>
      <c r="EH177" s="860">
        <f t="shared" si="1055"/>
        <v>-1.6393442622950838</v>
      </c>
      <c r="EI177" s="122">
        <v>110</v>
      </c>
      <c r="EJ177" s="860">
        <f t="shared" si="1056"/>
        <v>0</v>
      </c>
      <c r="EK177" s="122">
        <v>114</v>
      </c>
      <c r="EL177" s="860">
        <f t="shared" si="1057"/>
        <v>9.6153846153846256</v>
      </c>
      <c r="EM177" s="122">
        <v>118</v>
      </c>
      <c r="EN177" s="860">
        <f t="shared" si="1058"/>
        <v>17.999999999999993</v>
      </c>
      <c r="EO177" s="122">
        <v>116</v>
      </c>
      <c r="EP177" s="98">
        <f t="shared" si="1059"/>
        <v>-3.3333333333333326</v>
      </c>
      <c r="EQ177" s="1024">
        <f>EQ165*(EQ185/100)</f>
        <v>116.78188793304032</v>
      </c>
      <c r="ER177" s="98">
        <f t="shared" si="1060"/>
        <v>6.1653526664003033</v>
      </c>
      <c r="ES177" s="1024">
        <f t="shared" ref="ES177" si="1082">ES165*(ES185/100)</f>
        <v>116.41678953013283</v>
      </c>
      <c r="ET177" s="98">
        <f t="shared" si="1062"/>
        <v>2.1199908159059921</v>
      </c>
      <c r="EU177" s="1024">
        <f t="shared" ref="EU177" si="1083">EU165*(EU185/100)</f>
        <v>116.21374574391044</v>
      </c>
      <c r="EV177" s="98">
        <f t="shared" si="1064"/>
        <v>-1.5137747932962409</v>
      </c>
      <c r="EW177" s="1024">
        <f t="shared" ref="EW177" si="1084">EW165*(EW185/100)</f>
        <v>115.94470997169635</v>
      </c>
      <c r="EX177" s="98">
        <f t="shared" si="1066"/>
        <v>-4.7663817503140748E-2</v>
      </c>
      <c r="EY177" s="176"/>
      <c r="EZ177" s="594"/>
      <c r="FA177" s="405"/>
      <c r="FB177" s="177">
        <v>526</v>
      </c>
      <c r="FC177" s="98"/>
      <c r="FD177" s="122">
        <v>534</v>
      </c>
      <c r="FE177" s="98">
        <f>IF(ISERROR((FD177/FB177-1)*100),"NA",IF(((FD177/FB177-1)*100)&gt;100,"NM",IF(((FD177/FB177-1)*100)&lt;-50,"NM",(FD177/FB177-1)*100)))</f>
        <v>1.5209125475285079</v>
      </c>
      <c r="FF177" s="118">
        <f>C177+E177+G177+I177</f>
        <v>582</v>
      </c>
      <c r="FG177" s="98">
        <f>IF(ISERROR((FF177/FD177-1)*100),"NA",IF(((FF177/FD177-1)*100)&gt;100,"NM",IF(((FF177/FD177-1)*100)&lt;-50,"NM",(FF177/FD177-1)*100)))</f>
        <v>8.9887640449438209</v>
      </c>
      <c r="FH177" s="118">
        <f>K177+M177+O177+Q177</f>
        <v>464</v>
      </c>
      <c r="FI177" s="98">
        <f>IF(ISERROR((FH177/FF177-1)*100),"NA",IF(((FH177/FF177-1)*100)&gt;100,"NM",IF(((FH177/FF177-1)*100)&lt;-50,"NM",(FH177/FF177-1)*100)))</f>
        <v>-20.274914089347075</v>
      </c>
      <c r="FJ177" s="118">
        <f>S177+U177+W177+Y177</f>
        <v>253</v>
      </c>
      <c r="FK177" s="98">
        <f>IF(ISERROR((FJ177/FH177-1)*100),"NA",IF(((FJ177/FH177-1)*100)&gt;100,"NM",IF(((FJ177/FH177-1)*100)&lt;-50,"NM",(FJ177/FH177-1)*100)))</f>
        <v>-45.474137931034484</v>
      </c>
      <c r="FL177" s="118">
        <f>AA177+AC177+AE177+AG177</f>
        <v>331</v>
      </c>
      <c r="FM177" s="98">
        <f>IF(ISERROR((FL177/FJ177-1)*100),"NA",IF(((FL177/FJ177-1)*100)&gt;100,"NM",IF(((FL177/FJ177-1)*100)&lt;-50,"NM",(FL177/FJ177-1)*100)))</f>
        <v>30.830039525691699</v>
      </c>
      <c r="FN177" s="118">
        <f>AI177+AK177+AM177+AO177</f>
        <v>361</v>
      </c>
      <c r="FO177" s="98">
        <f>IF(ISERROR((FN177/FL177-1)*100),"NA",IF(((FN177/FL177-1)*100)&gt;100,"NM",IF(((FN177/FL177-1)*100)&lt;-50,"NM",(FN177/FL177-1)*100)))</f>
        <v>9.0634441087613205</v>
      </c>
      <c r="FP177" s="118">
        <f>AQ177+AS177+AU177+AW177</f>
        <v>419</v>
      </c>
      <c r="FQ177" s="98">
        <f>IF(ISERROR((FP177/FN177-1)*100),"NA",IF(((FP177/FN177-1)*100)&gt;100,"NM",IF(((FP177/FN177-1)*100)&lt;-50,"NM",(FP177/FN177-1)*100)))</f>
        <v>16.066481994459835</v>
      </c>
      <c r="FR177" s="176">
        <f>AY177+BA177+BC177+BE177</f>
        <v>442</v>
      </c>
      <c r="FS177" s="120">
        <f>IF(ISERROR((FR177/FP177-1)*100),"NA",IF(((FR177/FP177-1)*100)&gt;100,"NM",IF(((FR177/FP177-1)*100)&lt;-50,"NM",(FR177/FP177-1)*100)))</f>
        <v>5.4892601431980825</v>
      </c>
      <c r="FT177" s="176">
        <f>BG177+BI177+BK177+BM177</f>
        <v>344</v>
      </c>
      <c r="FU177" s="120">
        <f t="shared" si="1067"/>
        <v>-22.171945701357465</v>
      </c>
      <c r="FV177" s="177">
        <f>476+2</f>
        <v>478</v>
      </c>
      <c r="FW177" s="98">
        <f t="shared" si="1068"/>
        <v>38.953488372093027</v>
      </c>
      <c r="FX177" s="485">
        <f>BW177+BY177+CA177+CC177</f>
        <v>478</v>
      </c>
      <c r="FY177" s="98">
        <f t="shared" si="1069"/>
        <v>0</v>
      </c>
      <c r="FZ177" s="119">
        <f>CE177+CG177+CI177+CK177</f>
        <v>466</v>
      </c>
      <c r="GA177" s="98">
        <f t="shared" si="1070"/>
        <v>-2.5104602510460206</v>
      </c>
      <c r="GB177" s="485">
        <f>CM177+CO177+CQ177+CS177</f>
        <v>522</v>
      </c>
      <c r="GC177" s="98">
        <f t="shared" si="1071"/>
        <v>12.017167381974247</v>
      </c>
      <c r="GD177" s="119">
        <f>CU177+CW177+CY177+DA177</f>
        <v>486</v>
      </c>
      <c r="GE177" s="98">
        <f t="shared" si="1072"/>
        <v>-6.8965517241379342</v>
      </c>
      <c r="GF177" s="119">
        <f>DC177+DE177+DG177+DI177</f>
        <v>513</v>
      </c>
      <c r="GG177" s="98">
        <f t="shared" si="1072"/>
        <v>5.555555555555558</v>
      </c>
      <c r="GH177" s="119">
        <f>DK177+DM177+DO177+DQ177</f>
        <v>501</v>
      </c>
      <c r="GI177" s="98">
        <f t="shared" si="1072"/>
        <v>-2.3391812865497075</v>
      </c>
      <c r="GJ177" s="119">
        <f>DS177+DU177+DW177+DY177</f>
        <v>471</v>
      </c>
      <c r="GK177" s="98">
        <f t="shared" si="1072"/>
        <v>-5.9880239520958112</v>
      </c>
      <c r="GL177" s="119">
        <f>EA177+EC177+EE177+EG177</f>
        <v>434</v>
      </c>
      <c r="GM177" s="98">
        <f t="shared" si="1072"/>
        <v>-7.8556263269639048</v>
      </c>
      <c r="GN177" s="119">
        <f>EI177+EK177+EM177+EO177</f>
        <v>458</v>
      </c>
      <c r="GO177" s="98">
        <f t="shared" si="1072"/>
        <v>5.5299539170506895</v>
      </c>
      <c r="GP177" s="119">
        <f>EQ177+ES177+EU177+EW177</f>
        <v>465.35713317877997</v>
      </c>
      <c r="GQ177" s="98">
        <f t="shared" si="1072"/>
        <v>1.6063609560655001</v>
      </c>
      <c r="GR177" s="176">
        <f>GR165*(GR185/100)</f>
        <v>452.78069941418266</v>
      </c>
      <c r="GS177" s="98">
        <f t="shared" si="1072"/>
        <v>-2.7025337891974921</v>
      </c>
      <c r="GT177" s="176">
        <f>GT165*(GT185/100)</f>
        <v>448.61670108161451</v>
      </c>
      <c r="GU177" s="98">
        <f t="shared" si="1072"/>
        <v>-0.91965013922978844</v>
      </c>
      <c r="GV177" s="176">
        <f>GV165*(GV185/100)</f>
        <v>457.78916052098839</v>
      </c>
      <c r="GW177" s="98">
        <f t="shared" si="1072"/>
        <v>2.0446094443784757</v>
      </c>
      <c r="GX177" s="176">
        <f>GX165*(GX185/100)</f>
        <v>470.0074750240845</v>
      </c>
      <c r="GY177" s="98">
        <f t="shared" si="1073"/>
        <v>2.6689829198207837</v>
      </c>
      <c r="GZ177" s="98">
        <f>IF(ISERROR(((GX177/GN177)^0.2-1)*100),"NA",IF((((GX177/GN177)^0.2-1)*100)&gt;100,"NM",IF((((GX177/GN177)^0.2-1)*100)&lt;-50,"NM",((GX177/GN177)^0.2-1)*100)))</f>
        <v>0.51893009762276066</v>
      </c>
      <c r="HA177" s="98"/>
      <c r="HB177" s="10"/>
      <c r="HC177"/>
      <c r="HD177"/>
      <c r="HE177"/>
      <c r="HF177"/>
      <c r="HG177"/>
      <c r="HH177"/>
      <c r="HI177" s="10"/>
    </row>
    <row r="178" spans="1:217" s="2" customFormat="1" ht="12.75" customHeight="1" x14ac:dyDescent="0.2">
      <c r="B178" s="179" t="s">
        <v>750</v>
      </c>
      <c r="C178" s="173"/>
      <c r="D178" s="156"/>
      <c r="E178" s="173"/>
      <c r="F178" s="156"/>
      <c r="G178" s="173"/>
      <c r="H178" s="156"/>
      <c r="I178" s="173"/>
      <c r="J178" s="156"/>
      <c r="K178" s="173"/>
      <c r="L178" s="156"/>
      <c r="M178" s="173"/>
      <c r="N178" s="156"/>
      <c r="O178" s="173"/>
      <c r="P178" s="156"/>
      <c r="Q178" s="173"/>
      <c r="R178" s="156"/>
      <c r="S178" s="173"/>
      <c r="T178" s="156"/>
      <c r="U178" s="173"/>
      <c r="V178" s="156"/>
      <c r="W178" s="173"/>
      <c r="X178" s="156"/>
      <c r="Y178" s="173"/>
      <c r="Z178" s="156"/>
      <c r="AA178" s="173"/>
      <c r="AB178" s="156"/>
      <c r="AC178" s="173"/>
      <c r="AD178" s="156"/>
      <c r="AE178" s="173"/>
      <c r="AF178" s="156"/>
      <c r="AG178" s="173"/>
      <c r="AH178" s="156"/>
      <c r="AI178" s="173"/>
      <c r="AJ178" s="156"/>
      <c r="AK178" s="173"/>
      <c r="AL178" s="156"/>
      <c r="AM178" s="173"/>
      <c r="AN178" s="156"/>
      <c r="AO178" s="173"/>
      <c r="AP178" s="156"/>
      <c r="AQ178" s="173"/>
      <c r="AR178" s="156"/>
      <c r="AS178" s="173"/>
      <c r="AT178" s="156"/>
      <c r="AU178" s="173"/>
      <c r="AV178" s="156"/>
      <c r="AW178" s="173"/>
      <c r="AX178" s="156"/>
      <c r="AY178" s="173"/>
      <c r="AZ178" s="156"/>
      <c r="BA178" s="173"/>
      <c r="BB178" s="156"/>
      <c r="BC178" s="173"/>
      <c r="BD178" s="156"/>
      <c r="BE178" s="173"/>
      <c r="BF178" s="156"/>
      <c r="BG178" s="173"/>
      <c r="BH178" s="156"/>
      <c r="BI178" s="173"/>
      <c r="BJ178" s="156"/>
      <c r="BK178" s="173"/>
      <c r="BL178" s="156"/>
      <c r="BM178" s="173"/>
      <c r="BN178" s="98"/>
      <c r="BO178" s="122"/>
      <c r="BP178" s="98"/>
      <c r="BQ178" s="122"/>
      <c r="BR178" s="98"/>
      <c r="BS178" s="122"/>
      <c r="BT178" s="98"/>
      <c r="BU178" s="122"/>
      <c r="BV178" s="98"/>
      <c r="BW178" s="122"/>
      <c r="BX178" s="98"/>
      <c r="BY178" s="122"/>
      <c r="BZ178" s="98"/>
      <c r="CA178" s="122"/>
      <c r="CB178" s="98"/>
      <c r="CC178" s="122"/>
      <c r="CD178" s="98"/>
      <c r="CE178" s="122"/>
      <c r="CF178" s="98"/>
      <c r="CG178" s="122"/>
      <c r="CH178" s="98"/>
      <c r="CI178" s="122"/>
      <c r="CJ178" s="98"/>
      <c r="CK178" s="122"/>
      <c r="CL178" s="98"/>
      <c r="CM178" s="122"/>
      <c r="CN178" s="98"/>
      <c r="CO178" s="122"/>
      <c r="CP178" s="98"/>
      <c r="CQ178" s="547"/>
      <c r="CR178" s="98"/>
      <c r="CS178" s="122"/>
      <c r="CT178" s="98"/>
      <c r="CU178" s="122"/>
      <c r="CV178" s="98"/>
      <c r="CW178" s="122"/>
      <c r="CX178" s="98"/>
      <c r="CY178" s="122"/>
      <c r="CZ178" s="98"/>
      <c r="DA178" s="122"/>
      <c r="DB178" s="98"/>
      <c r="DC178" s="122"/>
      <c r="DD178" s="98"/>
      <c r="DE178" s="122"/>
      <c r="DF178" s="98"/>
      <c r="DG178" s="122"/>
      <c r="DH178" s="98"/>
      <c r="DI178" s="122"/>
      <c r="DJ178" s="98"/>
      <c r="DK178" s="122"/>
      <c r="DL178" s="98"/>
      <c r="DM178" s="122"/>
      <c r="DN178" s="98"/>
      <c r="DO178" s="122"/>
      <c r="DP178" s="98"/>
      <c r="DQ178" s="122"/>
      <c r="DR178" s="98"/>
      <c r="DS178" s="122">
        <v>1</v>
      </c>
      <c r="DT178" s="98"/>
      <c r="DU178" s="122">
        <v>2</v>
      </c>
      <c r="DV178" s="98"/>
      <c r="DW178" s="122">
        <v>1</v>
      </c>
      <c r="DX178" s="98"/>
      <c r="DY178" s="122">
        <v>0</v>
      </c>
      <c r="DZ178" s="98"/>
      <c r="EA178" s="122">
        <v>2</v>
      </c>
      <c r="EB178" s="98"/>
      <c r="EC178" s="122">
        <v>2</v>
      </c>
      <c r="ED178" s="98"/>
      <c r="EE178" s="122">
        <v>2</v>
      </c>
      <c r="EF178" s="860"/>
      <c r="EG178" s="122">
        <v>2</v>
      </c>
      <c r="EH178" s="860"/>
      <c r="EI178" s="122">
        <v>2</v>
      </c>
      <c r="EJ178" s="860"/>
      <c r="EK178" s="122">
        <v>3</v>
      </c>
      <c r="EL178" s="860"/>
      <c r="EM178" s="122">
        <v>2</v>
      </c>
      <c r="EN178" s="860"/>
      <c r="EO178" s="122">
        <v>2</v>
      </c>
      <c r="EP178" s="98"/>
      <c r="EQ178" s="1024">
        <f>EO178</f>
        <v>2</v>
      </c>
      <c r="ER178" s="98"/>
      <c r="ES178" s="1024">
        <f t="shared" ref="ES178" si="1085">EQ178</f>
        <v>2</v>
      </c>
      <c r="ET178" s="98"/>
      <c r="EU178" s="1024">
        <f t="shared" ref="EU178" si="1086">ES178</f>
        <v>2</v>
      </c>
      <c r="EV178" s="98"/>
      <c r="EW178" s="1024">
        <f t="shared" ref="EW178" si="1087">EU178</f>
        <v>2</v>
      </c>
      <c r="EX178" s="98"/>
      <c r="EY178" s="176"/>
      <c r="EZ178" s="594"/>
      <c r="FA178" s="405"/>
      <c r="FB178" s="177"/>
      <c r="FC178" s="98"/>
      <c r="FD178" s="122"/>
      <c r="FE178" s="98"/>
      <c r="FF178" s="118"/>
      <c r="FG178" s="98"/>
      <c r="FH178" s="118"/>
      <c r="FI178" s="98"/>
      <c r="FJ178" s="118"/>
      <c r="FK178" s="98"/>
      <c r="FL178" s="118"/>
      <c r="FM178" s="98"/>
      <c r="FN178" s="118"/>
      <c r="FO178" s="98"/>
      <c r="FP178" s="118"/>
      <c r="FQ178" s="98"/>
      <c r="FR178" s="176"/>
      <c r="FS178" s="120"/>
      <c r="FT178" s="176"/>
      <c r="FU178" s="120"/>
      <c r="FV178" s="177"/>
      <c r="FW178" s="98"/>
      <c r="FX178" s="485"/>
      <c r="FY178" s="98"/>
      <c r="FZ178" s="119"/>
      <c r="GA178" s="98"/>
      <c r="GB178" s="485"/>
      <c r="GC178" s="98"/>
      <c r="GD178" s="119"/>
      <c r="GE178" s="98"/>
      <c r="GF178" s="119"/>
      <c r="GG178" s="98"/>
      <c r="GH178" s="119"/>
      <c r="GI178" s="98"/>
      <c r="GJ178" s="119">
        <f>DS178+DU178+DW178+DY178</f>
        <v>4</v>
      </c>
      <c r="GK178" s="98"/>
      <c r="GL178" s="119">
        <f>EA178+EC178+EE178+EG178</f>
        <v>8</v>
      </c>
      <c r="GM178" s="98"/>
      <c r="GN178" s="119">
        <f>EI178+EK178+EM178+EO178</f>
        <v>9</v>
      </c>
      <c r="GO178" s="98"/>
      <c r="GP178" s="119">
        <f>EQ178+ES178+EU178+EW178</f>
        <v>8</v>
      </c>
      <c r="GQ178" s="98"/>
      <c r="GR178" s="177">
        <f>GP178</f>
        <v>8</v>
      </c>
      <c r="GS178" s="98"/>
      <c r="GT178" s="177">
        <f>GR178</f>
        <v>8</v>
      </c>
      <c r="GU178" s="98"/>
      <c r="GV178" s="177">
        <f>GT178</f>
        <v>8</v>
      </c>
      <c r="GW178" s="98"/>
      <c r="GX178" s="177">
        <f>GV178</f>
        <v>8</v>
      </c>
      <c r="GY178" s="98"/>
      <c r="GZ178" s="98"/>
      <c r="HA178" s="98"/>
      <c r="HB178" s="10"/>
      <c r="HC178"/>
      <c r="HD178"/>
      <c r="HE178"/>
      <c r="HF178"/>
      <c r="HG178"/>
      <c r="HH178"/>
      <c r="HI178" s="10"/>
    </row>
    <row r="179" spans="1:217" s="2" customFormat="1" ht="12.75" customHeight="1" x14ac:dyDescent="0.2">
      <c r="B179" s="179" t="s">
        <v>211</v>
      </c>
      <c r="C179" s="173"/>
      <c r="D179" s="156"/>
      <c r="E179" s="173"/>
      <c r="F179" s="156"/>
      <c r="G179" s="173"/>
      <c r="H179" s="156"/>
      <c r="I179" s="173"/>
      <c r="J179" s="156"/>
      <c r="K179" s="173"/>
      <c r="L179" s="156"/>
      <c r="M179" s="173"/>
      <c r="N179" s="156"/>
      <c r="O179" s="173"/>
      <c r="P179" s="156"/>
      <c r="Q179" s="173"/>
      <c r="R179" s="156"/>
      <c r="S179" s="173"/>
      <c r="T179" s="156"/>
      <c r="U179" s="173"/>
      <c r="V179" s="156"/>
      <c r="W179" s="173"/>
      <c r="X179" s="156"/>
      <c r="Y179" s="173"/>
      <c r="Z179" s="156"/>
      <c r="AA179" s="173"/>
      <c r="AB179" s="156"/>
      <c r="AC179" s="173"/>
      <c r="AD179" s="156"/>
      <c r="AE179" s="173"/>
      <c r="AF179" s="156"/>
      <c r="AG179" s="173"/>
      <c r="AH179" s="156"/>
      <c r="AI179" s="173"/>
      <c r="AJ179" s="156"/>
      <c r="AK179" s="173"/>
      <c r="AL179" s="156"/>
      <c r="AM179" s="173"/>
      <c r="AN179" s="156"/>
      <c r="AO179" s="173"/>
      <c r="AP179" s="156"/>
      <c r="AQ179" s="173"/>
      <c r="AR179" s="156"/>
      <c r="AS179" s="173"/>
      <c r="AT179" s="156"/>
      <c r="AU179" s="173"/>
      <c r="AV179" s="156"/>
      <c r="AW179" s="173"/>
      <c r="AX179" s="156"/>
      <c r="AY179" s="173"/>
      <c r="AZ179" s="156"/>
      <c r="BA179" s="173"/>
      <c r="BB179" s="156"/>
      <c r="BC179" s="173"/>
      <c r="BD179" s="156"/>
      <c r="BE179" s="173"/>
      <c r="BF179" s="156"/>
      <c r="BG179" s="173"/>
      <c r="BH179" s="156"/>
      <c r="BI179" s="181"/>
      <c r="BJ179" s="156"/>
      <c r="BK179" s="173"/>
      <c r="BL179" s="156"/>
      <c r="BM179" s="173"/>
      <c r="BN179" s="98"/>
      <c r="BO179" s="122"/>
      <c r="BP179" s="98"/>
      <c r="BQ179" s="122"/>
      <c r="BR179" s="98"/>
      <c r="BS179" s="122"/>
      <c r="BT179" s="98"/>
      <c r="BU179" s="122">
        <f>-2+5</f>
        <v>3</v>
      </c>
      <c r="BV179" s="98" t="str">
        <f t="shared" si="1032"/>
        <v>NA</v>
      </c>
      <c r="BW179" s="122">
        <f>-2+5</f>
        <v>3</v>
      </c>
      <c r="BX179" s="98" t="str">
        <f t="shared" si="1033"/>
        <v>NA</v>
      </c>
      <c r="BY179" s="122">
        <f>-6+4</f>
        <v>-2</v>
      </c>
      <c r="BZ179" s="98" t="str">
        <f t="shared" si="1034"/>
        <v>NA</v>
      </c>
      <c r="CA179" s="122">
        <f>-5+3</f>
        <v>-2</v>
      </c>
      <c r="CB179" s="98" t="str">
        <f t="shared" si="1035"/>
        <v>NA</v>
      </c>
      <c r="CC179" s="122">
        <f>3-1</f>
        <v>2</v>
      </c>
      <c r="CD179" s="98">
        <f t="shared" si="1036"/>
        <v>-33.333333333333336</v>
      </c>
      <c r="CE179" s="122">
        <f>-8+4</f>
        <v>-4</v>
      </c>
      <c r="CF179" s="98" t="str">
        <f t="shared" si="1037"/>
        <v>NM</v>
      </c>
      <c r="CG179" s="122">
        <f>-3+4</f>
        <v>1</v>
      </c>
      <c r="CH179" s="98" t="str">
        <f t="shared" si="1038"/>
        <v>NM</v>
      </c>
      <c r="CI179" s="122">
        <f>-6+4</f>
        <v>-2</v>
      </c>
      <c r="CJ179" s="98">
        <f t="shared" si="1039"/>
        <v>0</v>
      </c>
      <c r="CK179" s="122">
        <f>4-2</f>
        <v>2</v>
      </c>
      <c r="CL179" s="98">
        <f t="shared" si="1040"/>
        <v>0</v>
      </c>
      <c r="CM179" s="122">
        <f>-12+5</f>
        <v>-7</v>
      </c>
      <c r="CN179" s="98">
        <f t="shared" si="1041"/>
        <v>75</v>
      </c>
      <c r="CO179" s="122">
        <f>-5+5</f>
        <v>0</v>
      </c>
      <c r="CP179" s="98" t="str">
        <f t="shared" ref="CP179:CT179" si="1088">IF(ISERROR((CO179/CG179-1)*100),"NA",IF(((CO179/CG179-1)*100)&gt;100,"NM",IF(((CO179/CG179-1)*100)&lt;-50,"NM",(CO179/CG179-1)*100)))</f>
        <v>NM</v>
      </c>
      <c r="CQ179" s="547">
        <f>-6+4</f>
        <v>-2</v>
      </c>
      <c r="CR179" s="98">
        <f t="shared" si="1088"/>
        <v>0</v>
      </c>
      <c r="CS179" s="122">
        <f>-2+3</f>
        <v>1</v>
      </c>
      <c r="CT179" s="98">
        <f t="shared" si="1088"/>
        <v>-50</v>
      </c>
      <c r="CU179" s="122">
        <f>-7+10</f>
        <v>3</v>
      </c>
      <c r="CV179" s="98" t="str">
        <f t="shared" si="1042"/>
        <v>NM</v>
      </c>
      <c r="CW179" s="122">
        <f>-8+4</f>
        <v>-4</v>
      </c>
      <c r="CX179" s="98" t="str">
        <f t="shared" si="1043"/>
        <v>NA</v>
      </c>
      <c r="CY179" s="122">
        <f>-13+4</f>
        <v>-9</v>
      </c>
      <c r="CZ179" s="98" t="str">
        <f t="shared" si="1044"/>
        <v>NM</v>
      </c>
      <c r="DA179" s="122">
        <f>-1+4</f>
        <v>3</v>
      </c>
      <c r="DB179" s="98" t="str">
        <f t="shared" si="1045"/>
        <v>NM</v>
      </c>
      <c r="DC179" s="122">
        <f>-17+11</f>
        <v>-6</v>
      </c>
      <c r="DD179" s="98" t="str">
        <f t="shared" si="1046"/>
        <v>NM</v>
      </c>
      <c r="DE179" s="122">
        <f>-6+6</f>
        <v>0</v>
      </c>
      <c r="DF179" s="98" t="str">
        <f t="shared" si="1047"/>
        <v>NM</v>
      </c>
      <c r="DG179" s="122">
        <f>-2+4</f>
        <v>2</v>
      </c>
      <c r="DH179" s="98" t="str">
        <f t="shared" si="1048"/>
        <v>NM</v>
      </c>
      <c r="DI179" s="122">
        <f>-2+2</f>
        <v>0</v>
      </c>
      <c r="DJ179" s="98" t="str">
        <f t="shared" si="1049"/>
        <v>NM</v>
      </c>
      <c r="DK179" s="122">
        <f>-1+4</f>
        <v>3</v>
      </c>
      <c r="DL179" s="98" t="str">
        <f t="shared" si="1050"/>
        <v>NM</v>
      </c>
      <c r="DM179" s="122">
        <f>-18+6</f>
        <v>-12</v>
      </c>
      <c r="DN179" s="98" t="str">
        <f t="shared" si="1051"/>
        <v>NA</v>
      </c>
      <c r="DO179" s="122">
        <f>-11+5</f>
        <v>-6</v>
      </c>
      <c r="DP179" s="98" t="str">
        <f t="shared" si="1051"/>
        <v>NM</v>
      </c>
      <c r="DQ179" s="122">
        <f>-1+4</f>
        <v>3</v>
      </c>
      <c r="DR179" s="98" t="str">
        <f t="shared" si="1051"/>
        <v>NA</v>
      </c>
      <c r="DS179" s="122">
        <f>-6+5</f>
        <v>-1</v>
      </c>
      <c r="DT179" s="98" t="str">
        <f t="shared" si="1051"/>
        <v>NM</v>
      </c>
      <c r="DU179" s="122">
        <f>-4+6</f>
        <v>2</v>
      </c>
      <c r="DV179" s="98" t="str">
        <f t="shared" si="1051"/>
        <v>NM</v>
      </c>
      <c r="DW179" s="122">
        <f>-1+5</f>
        <v>4</v>
      </c>
      <c r="DX179" s="98" t="str">
        <f t="shared" si="1051"/>
        <v>NM</v>
      </c>
      <c r="DY179" s="122">
        <f>-8+4</f>
        <v>-4</v>
      </c>
      <c r="DZ179" s="98" t="str">
        <f t="shared" si="1051"/>
        <v>NM</v>
      </c>
      <c r="EA179" s="122">
        <v>5</v>
      </c>
      <c r="EB179" s="98" t="str">
        <f t="shared" si="1052"/>
        <v>NM</v>
      </c>
      <c r="EC179" s="122">
        <f>4-1</f>
        <v>3</v>
      </c>
      <c r="ED179" s="98">
        <f t="shared" si="1053"/>
        <v>50</v>
      </c>
      <c r="EE179" s="122">
        <f>4-5</f>
        <v>-1</v>
      </c>
      <c r="EF179" s="860" t="str">
        <f t="shared" si="1054"/>
        <v>NM</v>
      </c>
      <c r="EG179" s="122">
        <f>4-5</f>
        <v>-1</v>
      </c>
      <c r="EH179" s="860" t="str">
        <f t="shared" si="1055"/>
        <v>NM</v>
      </c>
      <c r="EI179" s="122">
        <f>-2+5</f>
        <v>3</v>
      </c>
      <c r="EJ179" s="860">
        <f t="shared" si="1056"/>
        <v>-40</v>
      </c>
      <c r="EK179" s="122">
        <f>-8+4</f>
        <v>-4</v>
      </c>
      <c r="EL179" s="860" t="str">
        <f t="shared" si="1057"/>
        <v>NM</v>
      </c>
      <c r="EM179" s="122">
        <f>-12+7</f>
        <v>-5</v>
      </c>
      <c r="EN179" s="860" t="str">
        <f t="shared" si="1058"/>
        <v>NM</v>
      </c>
      <c r="EO179" s="122">
        <f>-9+4</f>
        <v>-5</v>
      </c>
      <c r="EP179" s="98" t="str">
        <f t="shared" si="1059"/>
        <v>NM</v>
      </c>
      <c r="EQ179" s="1025">
        <v>0.5</v>
      </c>
      <c r="ER179" s="98" t="str">
        <f t="shared" ref="ER179:ER180" si="1089">IF(ISERROR((EQ179/EI179-1)*100),"NA",IF(((EQ179/EI179-1)*100)&gt;100,"NM",IF(((EQ179/EI179-1)*100)&lt;-50,"NM",(EQ179/EI179-1)*100)))</f>
        <v>NM</v>
      </c>
      <c r="ES179" s="1025">
        <v>0.5</v>
      </c>
      <c r="ET179" s="98" t="str">
        <f t="shared" ref="ET179:ET180" si="1090">IF(ISERROR((ES179/EK179-1)*100),"NA",IF(((ES179/EK179-1)*100)&gt;100,"NM",IF(((ES179/EK179-1)*100)&lt;-50,"NM",(ES179/EK179-1)*100)))</f>
        <v>NM</v>
      </c>
      <c r="EU179" s="1025">
        <v>0.5</v>
      </c>
      <c r="EV179" s="98" t="str">
        <f t="shared" ref="EV179:EV180" si="1091">IF(ISERROR((EU179/EM179-1)*100),"NA",IF(((EU179/EM179-1)*100)&gt;100,"NM",IF(((EU179/EM179-1)*100)&lt;-50,"NM",(EU179/EM179-1)*100)))</f>
        <v>NM</v>
      </c>
      <c r="EW179" s="1025">
        <v>0.5</v>
      </c>
      <c r="EX179" s="98" t="str">
        <f t="shared" ref="EX179:EX180" si="1092">IF(ISERROR((EW179/EO179-1)*100),"NA",IF(((EW179/EO179-1)*100)&gt;100,"NM",IF(((EW179/EO179-1)*100)&lt;-50,"NM",(EW179/EO179-1)*100)))</f>
        <v>NM</v>
      </c>
      <c r="EY179" s="176"/>
      <c r="EZ179" s="594"/>
      <c r="FA179" s="405"/>
      <c r="FB179" s="177"/>
      <c r="FC179" s="98"/>
      <c r="FD179" s="122"/>
      <c r="FE179" s="98"/>
      <c r="FF179" s="118"/>
      <c r="FG179" s="98"/>
      <c r="FH179" s="118"/>
      <c r="FI179" s="98"/>
      <c r="FJ179" s="118"/>
      <c r="FK179" s="98"/>
      <c r="FL179" s="118"/>
      <c r="FM179" s="98"/>
      <c r="FN179" s="118"/>
      <c r="FO179" s="98"/>
      <c r="FP179" s="118"/>
      <c r="FQ179" s="98"/>
      <c r="FR179" s="176"/>
      <c r="FS179" s="120"/>
      <c r="FT179" s="176"/>
      <c r="FU179" s="120"/>
      <c r="FV179" s="176">
        <f>-18+29</f>
        <v>11</v>
      </c>
      <c r="FW179" s="98" t="str">
        <f t="shared" si="1068"/>
        <v>NA</v>
      </c>
      <c r="FX179" s="485">
        <f>BW179+BY179+CA179+CC179</f>
        <v>1</v>
      </c>
      <c r="FY179" s="98" t="str">
        <f t="shared" si="1069"/>
        <v>NM</v>
      </c>
      <c r="FZ179" s="119">
        <f>CE179+CG179+CI179+CK179</f>
        <v>-3</v>
      </c>
      <c r="GA179" s="98" t="str">
        <f t="shared" si="1070"/>
        <v>NM</v>
      </c>
      <c r="GB179" s="485">
        <f>CM179+CO179+CQ179+CS179</f>
        <v>-8</v>
      </c>
      <c r="GC179" s="98" t="str">
        <f t="shared" si="1071"/>
        <v>NM</v>
      </c>
      <c r="GD179" s="119">
        <f>CU179+CW179+CY179+DA179</f>
        <v>-7</v>
      </c>
      <c r="GE179" s="98">
        <f t="shared" si="1072"/>
        <v>-12.5</v>
      </c>
      <c r="GF179" s="119">
        <f>DC179+DE179+DG179+DI179</f>
        <v>-4</v>
      </c>
      <c r="GG179" s="98">
        <f t="shared" si="1072"/>
        <v>-42.857142857142861</v>
      </c>
      <c r="GH179" s="119">
        <f>DK179+DM179+DO179+DQ179</f>
        <v>-12</v>
      </c>
      <c r="GI179" s="98" t="str">
        <f t="shared" si="1072"/>
        <v>NM</v>
      </c>
      <c r="GJ179" s="119">
        <f>DS179+DU179+DW179+DY179</f>
        <v>1</v>
      </c>
      <c r="GK179" s="98" t="str">
        <f t="shared" si="1072"/>
        <v>NM</v>
      </c>
      <c r="GL179" s="119">
        <f>EA179+EC179+EE179+EG179</f>
        <v>6</v>
      </c>
      <c r="GM179" s="98" t="str">
        <f t="shared" si="1072"/>
        <v>NM</v>
      </c>
      <c r="GN179" s="119">
        <f>EI179+EK179+EM179+EO179</f>
        <v>-11</v>
      </c>
      <c r="GO179" s="98" t="str">
        <f t="shared" si="1072"/>
        <v>NM</v>
      </c>
      <c r="GP179" s="119">
        <f>EQ179+ES179+EU179+EW179</f>
        <v>2</v>
      </c>
      <c r="GQ179" s="98" t="str">
        <f t="shared" si="1072"/>
        <v>NM</v>
      </c>
      <c r="GR179" s="177">
        <f>GP179*1.06</f>
        <v>2.12</v>
      </c>
      <c r="GS179" s="98">
        <f t="shared" si="1072"/>
        <v>6.0000000000000053</v>
      </c>
      <c r="GT179" s="177">
        <f>GR179*1.06</f>
        <v>2.2472000000000003</v>
      </c>
      <c r="GU179" s="98">
        <f t="shared" si="1072"/>
        <v>6.0000000000000053</v>
      </c>
      <c r="GV179" s="177">
        <f>GT179*1.06</f>
        <v>2.3820320000000006</v>
      </c>
      <c r="GW179" s="98">
        <f t="shared" si="1072"/>
        <v>6.0000000000000053</v>
      </c>
      <c r="GX179" s="177">
        <f>GV179*1.06</f>
        <v>2.5249539200000006</v>
      </c>
      <c r="GY179" s="98">
        <f t="shared" ref="GY179:GY180" si="1093">IF(ISERROR((GX179/GV179-1)*100),"NA",IF(((GX179/GV179-1)*100)&gt;100,"NM",IF(((GX179/GV179-1)*100)&lt;-50,"NM",(GX179/GV179-1)*100)))</f>
        <v>6.0000000000000053</v>
      </c>
      <c r="GZ179" s="98" t="str">
        <f>IF(ISERROR(((GX179/GN179)^0.2-1)*100),"NA",IF((((GX179/GN179)^0.2-1)*100)&gt;100,"NM",IF((((GX179/GN179)^0.2-1)*100)&lt;-50,"NM",((GX179/GN179)^0.2-1)*100)))</f>
        <v>NM</v>
      </c>
      <c r="HA179" s="98"/>
      <c r="HB179" s="10"/>
      <c r="HC179"/>
      <c r="HD179"/>
      <c r="HE179"/>
      <c r="HF179"/>
      <c r="HG179"/>
      <c r="HH179"/>
      <c r="HI179" s="10"/>
    </row>
    <row r="180" spans="1:217" s="2" customFormat="1" ht="12.75" customHeight="1" x14ac:dyDescent="0.2">
      <c r="B180" s="131" t="s">
        <v>160</v>
      </c>
      <c r="C180" s="181">
        <f>C176+C177+C179</f>
        <v>784</v>
      </c>
      <c r="D180" s="156"/>
      <c r="E180" s="181">
        <f>E176+E177+E179</f>
        <v>871</v>
      </c>
      <c r="F180" s="156"/>
      <c r="G180" s="181">
        <f>G176+G177+G179</f>
        <v>848</v>
      </c>
      <c r="H180" s="156"/>
      <c r="I180" s="181">
        <f>I176+I177+I179</f>
        <v>877</v>
      </c>
      <c r="J180" s="156"/>
      <c r="K180" s="181">
        <f>K176+K177+K179</f>
        <v>781</v>
      </c>
      <c r="L180" s="156">
        <f>IF(ISERROR((K180/C180-1)*100),"NA",IF(((K180/C180-1)*100)&gt;100,"NM",IF(((K180/C180-1)*100)&lt;-50,"NM",(K180/C180-1)*100)))</f>
        <v>-0.38265306122449161</v>
      </c>
      <c r="M180" s="181">
        <f>M176+M177+M179</f>
        <v>681</v>
      </c>
      <c r="N180" s="156">
        <f>IF(ISERROR((M180/E180-1)*100),"NA",IF(((M180/E180-1)*100)&gt;100,"NM",IF(((M180/E180-1)*100)&lt;-50,"NM",(M180/E180-1)*100)))</f>
        <v>-21.814006888633752</v>
      </c>
      <c r="O180" s="181">
        <f>O176+O177+O179</f>
        <v>775</v>
      </c>
      <c r="P180" s="156">
        <f>IF(ISERROR((O180/G180-1)*100),"NA",IF(((O180/G180-1)*100)&gt;100,"NM",IF(((O180/G180-1)*100)&lt;-50,"NM",(O180/G180-1)*100)))</f>
        <v>-8.6084905660377409</v>
      </c>
      <c r="Q180" s="181">
        <f>Q176+Q177+Q179</f>
        <v>741</v>
      </c>
      <c r="R180" s="156">
        <f>IF(ISERROR((Q180/I180-1)*100),"NA",IF(((Q180/I180-1)*100)&gt;100,"NM",IF(((Q180/I180-1)*100)&lt;-50,"NM",(Q180/I180-1)*100)))</f>
        <v>-15.507411630558721</v>
      </c>
      <c r="S180" s="181">
        <f>S176+S177+S179</f>
        <v>650</v>
      </c>
      <c r="T180" s="156">
        <f>IF(ISERROR((S180/K180-1)*100),"NA",IF(((S180/K180-1)*100)&gt;100,"NM",IF(((S180/K180-1)*100)&lt;-50,"NM",(S180/K180-1)*100)))</f>
        <v>-16.773367477592828</v>
      </c>
      <c r="U180" s="181">
        <f>U176+U177+U179</f>
        <v>917</v>
      </c>
      <c r="V180" s="156">
        <f>IF(ISERROR((U180/M180-1)*100),"NA",IF(((U180/M180-1)*100)&gt;100,"NM",IF(((U180/M180-1)*100)&lt;-50,"NM",(U180/M180-1)*100)))</f>
        <v>34.654919236417037</v>
      </c>
      <c r="W180" s="181">
        <f>W176+W177+W179</f>
        <v>739</v>
      </c>
      <c r="X180" s="156">
        <f>IF(ISERROR((W180/O180-1)*100),"NA",IF(((W180/O180-1)*100)&gt;100,"NM",IF(((W180/O180-1)*100)&lt;-50,"NM",(W180/O180-1)*100)))</f>
        <v>-4.6451612903225854</v>
      </c>
      <c r="Y180" s="181">
        <f>Y176+Y177+Y179</f>
        <v>814</v>
      </c>
      <c r="Z180" s="156">
        <f>IF(ISERROR((Y180/Q180-1)*100),"NA",IF(((Y180/Q180-1)*100)&gt;100,"NM",IF(((Y180/Q180-1)*100)&lt;-50,"NM",(Y180/Q180-1)*100)))</f>
        <v>9.8515519568151078</v>
      </c>
      <c r="AA180" s="181">
        <f>AA176+AA177+AA179</f>
        <v>735</v>
      </c>
      <c r="AB180" s="156">
        <f>IF(ISERROR((AA180/S180-1)*100),"NA",IF(((AA180/S180-1)*100)&gt;100,"NM",IF(((AA180/S180-1)*100)&lt;-50,"NM",(AA180/S180-1)*100)))</f>
        <v>13.076923076923075</v>
      </c>
      <c r="AC180" s="181">
        <f>AC176+AC177+AC179</f>
        <v>892</v>
      </c>
      <c r="AD180" s="156">
        <f>IF(ISERROR((AC180/U180-1)*100),"NA",IF(((AC180/U180-1)*100)&gt;100,"NM",IF(((AC180/U180-1)*100)&lt;-50,"NM",(AC180/U180-1)*100)))</f>
        <v>-2.7262813522355489</v>
      </c>
      <c r="AE180" s="181">
        <f>AE176+AE177+AE179</f>
        <v>830</v>
      </c>
      <c r="AF180" s="156">
        <f>IF(ISERROR((AE180/W180-1)*100),"NA",IF(((AE180/W180-1)*100)&gt;100,"NM",IF(((AE180/W180-1)*100)&lt;-50,"NM",(AE180/W180-1)*100)))</f>
        <v>12.313937753721248</v>
      </c>
      <c r="AG180" s="181">
        <f>AG176+AG177+AG179</f>
        <v>901</v>
      </c>
      <c r="AH180" s="156">
        <f>IF(ISERROR((AG180/Y180-1)*100),"NA",IF(((AG180/Y180-1)*100)&gt;100,"NM",IF(((AG180/Y180-1)*100)&lt;-50,"NM",(AG180/Y180-1)*100)))</f>
        <v>10.687960687960697</v>
      </c>
      <c r="AI180" s="181">
        <f>AI176+AI177+AI179</f>
        <v>790</v>
      </c>
      <c r="AJ180" s="156">
        <f>IF(ISERROR((AI180/AA180-1)*100),"NA",IF(((AI180/AA180-1)*100)&gt;100,"NM",IF(((AI180/AA180-1)*100)&lt;-50,"NM",(AI180/AA180-1)*100)))</f>
        <v>7.4829931972789199</v>
      </c>
      <c r="AK180" s="181">
        <f>AK176+AK177+AK179</f>
        <v>821</v>
      </c>
      <c r="AL180" s="156">
        <f>IF(ISERROR((AK180/AC180-1)*100),"NA",IF(((AK180/AC180-1)*100)&gt;100,"NM",IF(((AK180/AC180-1)*100)&lt;-50,"NM",(AK180/AC180-1)*100)))</f>
        <v>-7.9596412556053764</v>
      </c>
      <c r="AM180" s="181">
        <f>AM176+AM177+AM179</f>
        <v>1124</v>
      </c>
      <c r="AN180" s="156">
        <f>IF(ISERROR((AM180/AE180-1)*100),"NA",IF(((AM180/AE180-1)*100)&gt;100,"NM",IF(((AM180/AE180-1)*100)&lt;-50,"NM",(AM180/AE180-1)*100)))</f>
        <v>35.421686746987959</v>
      </c>
      <c r="AO180" s="181">
        <f>AO176+AO177+AO179</f>
        <v>957</v>
      </c>
      <c r="AP180" s="156">
        <f>IF(ISERROR((AO180/AG180-1)*100),"NA",IF(((AO180/AG180-1)*100)&gt;100,"NM",IF(((AO180/AG180-1)*100)&lt;-50,"NM",(AO180/AG180-1)*100)))</f>
        <v>6.2153163152053326</v>
      </c>
      <c r="AQ180" s="181">
        <f>AQ176+AQ177+AQ179</f>
        <v>1159</v>
      </c>
      <c r="AR180" s="156">
        <f>IF(ISERROR((AQ180/AI180-1)*100),"NA",IF(((AQ180/AI180-1)*100)&gt;100,"NM",IF(((AQ180/AI180-1)*100)&lt;-50,"NM",(AQ180/AI180-1)*100)))</f>
        <v>46.708860759493675</v>
      </c>
      <c r="AS180" s="181">
        <f>AS176+AS177+AS179</f>
        <v>1059</v>
      </c>
      <c r="AT180" s="156">
        <f>IF(ISERROR((AS180/AK180-1)*100),"NA",IF(((AS180/AK180-1)*100)&gt;100,"NM",IF(((AS180/AK180-1)*100)&lt;-50,"NM",(AS180/AK180-1)*100)))</f>
        <v>28.989037758830705</v>
      </c>
      <c r="AU180" s="181">
        <f>AU176+AU177+AU179</f>
        <v>1556</v>
      </c>
      <c r="AV180" s="156">
        <f>IF(ISERROR((AU180/AM180-1)*100),"NA",IF(((AU180/AM180-1)*100)&gt;100,"NM",IF(((AU180/AM180-1)*100)&lt;-50,"NM",(AU180/AM180-1)*100)))</f>
        <v>38.434163701067625</v>
      </c>
      <c r="AW180" s="181">
        <f>AW176+AW177+AW179</f>
        <v>1261</v>
      </c>
      <c r="AX180" s="156">
        <f>IF(ISERROR((AW180/AO180-1)*100),"NA",IF(((AW180/AO180-1)*100)&gt;100,"NM",IF(((AW180/AO180-1)*100)&lt;-50,"NM",(AW180/AO180-1)*100)))</f>
        <v>31.765935214211073</v>
      </c>
      <c r="AY180" s="181">
        <f>AY176+AY177+AY179</f>
        <v>1332</v>
      </c>
      <c r="AZ180" s="156">
        <f>IF(ISERROR((AY180/AQ180-1)*100),"NA",IF(((AY180/AQ180-1)*100)&gt;100,"NM",IF(((AY180/AQ180-1)*100)&lt;-50,"NM",(AY180/AQ180-1)*100)))</f>
        <v>14.926660914581547</v>
      </c>
      <c r="BA180" s="181">
        <f>BA176+BA177+BA179</f>
        <v>1348</v>
      </c>
      <c r="BB180" s="156">
        <f>IF(ISERROR((BA180/AS180-1)*100),"NA",IF(((BA180/AS180-1)*100)&gt;100,"NM",IF(((BA180/AS180-1)*100)&lt;-50,"NM",(BA180/AS180-1)*100)))</f>
        <v>27.289896128423031</v>
      </c>
      <c r="BC180" s="181">
        <f>BC176+BC177+BC179</f>
        <v>1585</v>
      </c>
      <c r="BD180" s="156">
        <f>IF(ISERROR((BC180/AU180-1)*100),"NA",IF(((BC180/AU180-1)*100)&gt;100,"NM",IF(((BC180/AU180-1)*100)&lt;-50,"NM",(BC180/AU180-1)*100)))</f>
        <v>1.8637532133676027</v>
      </c>
      <c r="BE180" s="181">
        <f>BE176+BE177+BE179</f>
        <v>1597</v>
      </c>
      <c r="BF180" s="156">
        <f>IF(ISERROR((BE180/AW180-1)*100),"NA",IF(((BE180/AW180-1)*100)&gt;100,"NM",IF(((BE180/AW180-1)*100)&lt;-50,"NM",(BE180/AW180-1)*100)))</f>
        <v>26.645519429024578</v>
      </c>
      <c r="BG180" s="181">
        <f>BG176+BG177+BG179</f>
        <v>1446</v>
      </c>
      <c r="BH180" s="156">
        <f>IF(ISERROR((BG180/AY180-1)*100),"NA",IF(((BG180/AY180-1)*100)&gt;100,"NM",IF(((BG180/AY180-1)*100)&lt;-50,"NM",(BG180/AY180-1)*100)))</f>
        <v>8.5585585585585591</v>
      </c>
      <c r="BI180" s="181">
        <f>BI176+BI177+BI179</f>
        <v>1483</v>
      </c>
      <c r="BJ180" s="156">
        <f>IF(ISERROR((BI180/BA180-1)*100),"NA",IF(((BI180/BA180-1)*100)&gt;100,"NM",IF(((BI180/BA180-1)*100)&lt;-50,"NM",(BI180/BA180-1)*100)))</f>
        <v>10.014836795252236</v>
      </c>
      <c r="BK180" s="181">
        <f>BK176+BK177+BK179</f>
        <v>1574</v>
      </c>
      <c r="BL180" s="156">
        <f>IF(ISERROR((BK180/BC180-1)*100),"NA",IF(((BK180/BC180-1)*100)&gt;100,"NM",IF(((BK180/BC180-1)*100)&lt;-50,"NM",(BK180/BC180-1)*100)))</f>
        <v>-0.69400630914826511</v>
      </c>
      <c r="BM180" s="181">
        <f>BM176+BM177+BM179</f>
        <v>1512</v>
      </c>
      <c r="BN180" s="98">
        <f>IF(ISERROR((BM180/BE180-1)*100),"NA",IF(((BM180/BE180-1)*100)&gt;100,"NM",IF(((BM180/BE180-1)*100)&lt;-50,"NM",(BM180/BE180-1)*100)))</f>
        <v>-5.3224796493425153</v>
      </c>
      <c r="BO180" s="182">
        <f>BO176+BO177+BO179</f>
        <v>1625</v>
      </c>
      <c r="BP180" s="98">
        <f>IF(ISERROR((BO180/BG180-1)*100),"NA",IF(((BO180/BG180-1)*100)&gt;100,"NM",IF(((BO180/BG180-1)*100)&lt;-50,"NM",(BO180/BG180-1)*100)))</f>
        <v>12.378976486860305</v>
      </c>
      <c r="BQ180" s="182">
        <f>BQ176+BQ177+BQ179</f>
        <v>1628</v>
      </c>
      <c r="BR180" s="98">
        <f>IF(ISERROR((BQ180/BI180-1)*100),"NA",IF(((BQ180/BI180-1)*100)&gt;100,"NM",IF(((BQ180/BI180-1)*100)&lt;-50,"NM",(BQ180/BI180-1)*100)))</f>
        <v>9.7774780849629206</v>
      </c>
      <c r="BS180" s="182">
        <f>BS176+BS177+BS179</f>
        <v>2163</v>
      </c>
      <c r="BT180" s="98">
        <f>IF(ISERROR((BS180/BK180-1)*100),"NA",IF(((BS180/BK180-1)*100)&gt;100,"NM",IF(((BS180/BK180-1)*100)&lt;-50,"NM",(BS180/BK180-1)*100)))</f>
        <v>37.420584498094023</v>
      </c>
      <c r="BU180" s="182">
        <f>BU176+BU177+BU179</f>
        <v>1954</v>
      </c>
      <c r="BV180" s="98">
        <f t="shared" si="1032"/>
        <v>29.232804232804234</v>
      </c>
      <c r="BW180" s="182">
        <f>BW176+BW177+BW179</f>
        <v>1448</v>
      </c>
      <c r="BX180" s="98">
        <f t="shared" si="1033"/>
        <v>-10.892307692307689</v>
      </c>
      <c r="BY180" s="182">
        <f>BY176+BY177+BY179</f>
        <v>1769</v>
      </c>
      <c r="BZ180" s="98">
        <f t="shared" si="1034"/>
        <v>8.6609336609336562</v>
      </c>
      <c r="CA180" s="182">
        <f>CA176+CA177+CA179</f>
        <v>1709</v>
      </c>
      <c r="CB180" s="98">
        <f t="shared" si="1035"/>
        <v>-20.989366620434581</v>
      </c>
      <c r="CC180" s="182">
        <f>CC176+CC177+CC179</f>
        <v>1839</v>
      </c>
      <c r="CD180" s="98">
        <f t="shared" si="1036"/>
        <v>-5.8853633572159669</v>
      </c>
      <c r="CE180" s="182">
        <f>CE176+CE177+CE179</f>
        <v>1641</v>
      </c>
      <c r="CF180" s="98">
        <f t="shared" si="1037"/>
        <v>13.328729281767959</v>
      </c>
      <c r="CG180" s="182">
        <f>CG176+CG177+CG179</f>
        <v>1462</v>
      </c>
      <c r="CH180" s="98">
        <f t="shared" si="1038"/>
        <v>-17.354437535330693</v>
      </c>
      <c r="CI180" s="182">
        <f>CI176+CI177+CI179</f>
        <v>1455</v>
      </c>
      <c r="CJ180" s="98">
        <f t="shared" si="1039"/>
        <v>-14.862492685781159</v>
      </c>
      <c r="CK180" s="182">
        <f>CK176+CK177+CK179</f>
        <v>1391</v>
      </c>
      <c r="CL180" s="98">
        <f t="shared" si="1040"/>
        <v>-24.361065796628601</v>
      </c>
      <c r="CM180" s="182">
        <f>CM176+CM177+CM179</f>
        <v>1476</v>
      </c>
      <c r="CN180" s="98">
        <f t="shared" si="1041"/>
        <v>-10.05484460694699</v>
      </c>
      <c r="CO180" s="182">
        <f>CO176+CO177+CO179</f>
        <v>1902</v>
      </c>
      <c r="CP180" s="98">
        <f>IF(ISERROR((CO180/CG180-1)*100),"NA",IF(((CO180/CG180-1)*100)&gt;100,"NM",IF(((CO180/CG180-1)*100)&lt;-50,"NM",(CO180/CG180-1)*100)))</f>
        <v>30.095759233926135</v>
      </c>
      <c r="CQ180" s="182">
        <f>CQ176+CQ177+CQ179</f>
        <v>1922</v>
      </c>
      <c r="CR180" s="98">
        <f>IF(ISERROR((CQ180/CI180-1)*100),"NA",IF(((CQ180/CI180-1)*100)&gt;100,"NM",IF(((CQ180/CI180-1)*100)&lt;-50,"NM",(CQ180/CI180-1)*100)))</f>
        <v>32.096219931271477</v>
      </c>
      <c r="CS180" s="182">
        <f>CS176+CS177+CS179</f>
        <v>1824</v>
      </c>
      <c r="CT180" s="98">
        <f>IF(ISERROR((CS180/CK180-1)*100),"NA",IF(((CS180/CK180-1)*100)&gt;100,"NM",IF(((CS180/CK180-1)*100)&lt;-50,"NM",(CS180/CK180-1)*100)))</f>
        <v>31.128684399712437</v>
      </c>
      <c r="CU180" s="182">
        <f>CU176+CU177+CU179</f>
        <v>1564</v>
      </c>
      <c r="CV180" s="98">
        <f t="shared" si="1042"/>
        <v>5.9620596205962162</v>
      </c>
      <c r="CW180" s="182">
        <f>CW176+CW177+CW179</f>
        <v>1587</v>
      </c>
      <c r="CX180" s="98">
        <f t="shared" si="1043"/>
        <v>-16.561514195583594</v>
      </c>
      <c r="CY180" s="182">
        <f>CY176+CY177+CY179</f>
        <v>1522</v>
      </c>
      <c r="CZ180" s="98">
        <f t="shared" si="1044"/>
        <v>-20.811654526534863</v>
      </c>
      <c r="DA180" s="182">
        <f>DA176+DA177+DA179</f>
        <v>2868</v>
      </c>
      <c r="DB180" s="98">
        <f t="shared" si="1045"/>
        <v>57.236842105263165</v>
      </c>
      <c r="DC180" s="182">
        <f>DC176+DC177+DC179</f>
        <v>1495</v>
      </c>
      <c r="DD180" s="98">
        <f t="shared" si="1046"/>
        <v>-4.4117647058823479</v>
      </c>
      <c r="DE180" s="182">
        <f>DE176+DE177+DE179</f>
        <v>1503</v>
      </c>
      <c r="DF180" s="98">
        <f t="shared" si="1047"/>
        <v>-5.2930056710775002</v>
      </c>
      <c r="DG180" s="182">
        <f>DG176+DG177+DG179</f>
        <v>1497</v>
      </c>
      <c r="DH180" s="98">
        <f t="shared" si="1048"/>
        <v>-1.6425755584756896</v>
      </c>
      <c r="DI180" s="182">
        <f>DI176+DI177+DI179</f>
        <v>2427</v>
      </c>
      <c r="DJ180" s="98">
        <f t="shared" si="1049"/>
        <v>-15.376569037656907</v>
      </c>
      <c r="DK180" s="182">
        <f>DK176+DK177+DK179</f>
        <v>1286</v>
      </c>
      <c r="DL180" s="98">
        <f t="shared" si="1050"/>
        <v>-13.979933110367892</v>
      </c>
      <c r="DM180" s="182">
        <f>DM176+DM177+DM179</f>
        <v>1679</v>
      </c>
      <c r="DN180" s="98">
        <f t="shared" si="1051"/>
        <v>11.709913506320691</v>
      </c>
      <c r="DO180" s="182">
        <f>DO176+DO177+DO179</f>
        <v>1441</v>
      </c>
      <c r="DP180" s="98">
        <f t="shared" si="1051"/>
        <v>-3.7408149632598531</v>
      </c>
      <c r="DQ180" s="182">
        <f>DQ176+DQ177+DQ179</f>
        <v>2329</v>
      </c>
      <c r="DR180" s="98">
        <f t="shared" si="1051"/>
        <v>-4.0379068809229484</v>
      </c>
      <c r="DS180" s="182">
        <f>DS176+DS177+DS179+DS178</f>
        <v>1275</v>
      </c>
      <c r="DT180" s="98">
        <f t="shared" si="1051"/>
        <v>-0.85536547433903154</v>
      </c>
      <c r="DU180" s="182">
        <f>DU176+DU177+DU179+DU178</f>
        <v>1250</v>
      </c>
      <c r="DV180" s="98">
        <f t="shared" si="1051"/>
        <v>-25.550923168552707</v>
      </c>
      <c r="DW180" s="182">
        <f>DW176+DW177+DW179+DW178</f>
        <v>2447</v>
      </c>
      <c r="DX180" s="98">
        <f t="shared" si="1051"/>
        <v>69.812630117973626</v>
      </c>
      <c r="DY180" s="182">
        <f>DY176+DY177+DY179+DY178</f>
        <v>1677</v>
      </c>
      <c r="DZ180" s="98">
        <f t="shared" si="1051"/>
        <v>-27.994847574066117</v>
      </c>
      <c r="EA180" s="182">
        <f>EA176+EA177+EA179+EA178</f>
        <v>1274</v>
      </c>
      <c r="EB180" s="98">
        <f t="shared" si="1052"/>
        <v>-7.8431372549014888E-2</v>
      </c>
      <c r="EC180" s="182">
        <f>EC176+EC177+EC179+EC178</f>
        <v>1492</v>
      </c>
      <c r="ED180" s="98">
        <f t="shared" si="1053"/>
        <v>19.36</v>
      </c>
      <c r="EE180" s="182">
        <f>EE176+EE177+EE179+EE178</f>
        <v>2218</v>
      </c>
      <c r="EF180" s="860">
        <f t="shared" si="1054"/>
        <v>-9.3583980384143839</v>
      </c>
      <c r="EG180" s="182">
        <f>EG176+EG177+EG179+EG178</f>
        <v>1733</v>
      </c>
      <c r="EH180" s="860">
        <f t="shared" si="1055"/>
        <v>3.3392963625521688</v>
      </c>
      <c r="EI180" s="182">
        <f>EI176+EI177+EI179+EI178</f>
        <v>1344</v>
      </c>
      <c r="EJ180" s="860">
        <f t="shared" si="1056"/>
        <v>5.4945054945054972</v>
      </c>
      <c r="EK180" s="182">
        <f>EK176+EK177+EK179+EK178</f>
        <v>2090</v>
      </c>
      <c r="EL180" s="860">
        <f t="shared" si="1057"/>
        <v>40.080428954423589</v>
      </c>
      <c r="EM180" s="182">
        <f>EM176+EM177+EM179+EM178</f>
        <v>3354</v>
      </c>
      <c r="EN180" s="860">
        <f t="shared" si="1058"/>
        <v>51.217312894499557</v>
      </c>
      <c r="EO180" s="182">
        <f>EO176+EO177+EO179+EO178</f>
        <v>2054</v>
      </c>
      <c r="EP180" s="98">
        <f t="shared" si="1059"/>
        <v>18.522792844777847</v>
      </c>
      <c r="EQ180" s="182">
        <f>EQ176+EQ177+EQ179+EQ178</f>
        <v>2182.0550128624755</v>
      </c>
      <c r="ER180" s="98">
        <f t="shared" si="1089"/>
        <v>62.355283695124662</v>
      </c>
      <c r="ES180" s="182">
        <f t="shared" ref="ES180" si="1094">ES176+ES177+ES179+ES178</f>
        <v>2193.5371331525521</v>
      </c>
      <c r="ET180" s="98">
        <f t="shared" si="1090"/>
        <v>4.9539298159115841</v>
      </c>
      <c r="EU180" s="182">
        <f t="shared" ref="EU180" si="1095">EU176+EU177+EU179+EU178</f>
        <v>2207.2265219501041</v>
      </c>
      <c r="EV180" s="98">
        <f t="shared" si="1091"/>
        <v>-34.19121878502969</v>
      </c>
      <c r="EW180" s="182">
        <f t="shared" ref="EW180" si="1096">EW176+EW177+EW179+EW178</f>
        <v>2219.5579144898793</v>
      </c>
      <c r="EX180" s="98">
        <f t="shared" si="1092"/>
        <v>8.0602684756513767</v>
      </c>
      <c r="EY180" s="182"/>
      <c r="EZ180" s="594"/>
      <c r="FA180" s="405"/>
      <c r="FB180" s="197">
        <f>FB176+FB177+FB179</f>
        <v>3187</v>
      </c>
      <c r="FC180" s="98"/>
      <c r="FD180" s="197">
        <f>FD176+FD177+FD179</f>
        <v>3018</v>
      </c>
      <c r="FE180" s="98">
        <f>IF(ISERROR((FD180/FB180-1)*100),"NA",IF(((FD180/FB180-1)*100)&gt;100,"NM",IF(((FD180/FB180-1)*100)&lt;-50,"NM",(FD180/FB180-1)*100)))</f>
        <v>-5.3027925949168502</v>
      </c>
      <c r="FF180" s="197">
        <f>FF176+FF177+FF179</f>
        <v>3380</v>
      </c>
      <c r="FG180" s="98">
        <f>IF(ISERROR((FF180/FD180-1)*100),"NA",IF(((FF180/FD180-1)*100)&gt;100,"NM",IF(((FF180/FD180-1)*100)&lt;-50,"NM",(FF180/FD180-1)*100)))</f>
        <v>11.994698475811806</v>
      </c>
      <c r="FH180" s="197">
        <f>FH176+FH177+FH179</f>
        <v>2978</v>
      </c>
      <c r="FI180" s="98">
        <f>IF(ISERROR((FH180/FF180-1)*100),"NA",IF(((FH180/FF180-1)*100)&gt;100,"NM",IF(((FH180/FF180-1)*100)&lt;-50,"NM",(FH180/FF180-1)*100)))</f>
        <v>-11.893491124260358</v>
      </c>
      <c r="FJ180" s="197">
        <f>FJ176+FJ177+FJ179</f>
        <v>3120</v>
      </c>
      <c r="FK180" s="98">
        <f>IF(ISERROR((FJ180/FH180-1)*100),"NA",IF(((FJ180/FH180-1)*100)&gt;100,"NM",IF(((FJ180/FH180-1)*100)&lt;-50,"NM",(FJ180/FH180-1)*100)))</f>
        <v>4.7683008730691645</v>
      </c>
      <c r="FL180" s="197">
        <f>FL176+FL177+FL179</f>
        <v>3358</v>
      </c>
      <c r="FM180" s="98">
        <f>IF(ISERROR((FL180/FJ180-1)*100),"NA",IF(((FL180/FJ180-1)*100)&gt;100,"NM",IF(((FL180/FJ180-1)*100)&lt;-50,"NM",(FL180/FJ180-1)*100)))</f>
        <v>7.6282051282051233</v>
      </c>
      <c r="FN180" s="197">
        <f>FN176+FN177+FN179</f>
        <v>3692</v>
      </c>
      <c r="FO180" s="98">
        <f>IF(ISERROR((FN180/FL180-1)*100),"NA",IF(((FN180/FL180-1)*100)&gt;100,"NM",IF(((FN180/FL180-1)*100)&lt;-50,"NM",(FN180/FL180-1)*100)))</f>
        <v>9.9463966646813553</v>
      </c>
      <c r="FP180" s="197">
        <f>FP176+FP177+FP179</f>
        <v>5035</v>
      </c>
      <c r="FQ180" s="98">
        <f>IF(ISERROR((FP180/FN180-1)*100),"NA",IF(((FP180/FN180-1)*100)&gt;100,"NM",IF(((FP180/FN180-1)*100)&lt;-50,"NM",(FP180/FN180-1)*100)))</f>
        <v>36.375947995666301</v>
      </c>
      <c r="FR180" s="197">
        <f>FR176+FR177+FR179</f>
        <v>5862</v>
      </c>
      <c r="FS180" s="120">
        <f>IF(ISERROR((FR180/FP180-1)*100),"NA",IF(((FR180/FP180-1)*100)&gt;100,"NM",IF(((FR180/FP180-1)*100)&lt;-50,"NM",(FR180/FP180-1)*100)))</f>
        <v>16.425024826216482</v>
      </c>
      <c r="FT180" s="197">
        <f>FT176+FT177+FT179</f>
        <v>6015</v>
      </c>
      <c r="FU180" s="120">
        <f t="shared" si="1067"/>
        <v>2.6100307062435935</v>
      </c>
      <c r="FV180" s="197">
        <f>FV176+FV177+FV179</f>
        <v>7764</v>
      </c>
      <c r="FW180" s="98">
        <f t="shared" si="1068"/>
        <v>29.077306733167084</v>
      </c>
      <c r="FX180" s="502">
        <f>FX176+FX177+FX179</f>
        <v>6765</v>
      </c>
      <c r="FY180" s="98">
        <f t="shared" si="1069"/>
        <v>-12.867078825347756</v>
      </c>
      <c r="FZ180" s="197">
        <f>FZ176+FZ177+FZ179</f>
        <v>5949</v>
      </c>
      <c r="GA180" s="98">
        <f t="shared" si="1070"/>
        <v>-12.062084257206207</v>
      </c>
      <c r="GB180" s="502">
        <f>GB176+GB177+GB179</f>
        <v>7124</v>
      </c>
      <c r="GC180" s="98">
        <f t="shared" si="1071"/>
        <v>19.751218692217186</v>
      </c>
      <c r="GD180" s="197">
        <f>GD176+GD177+GD179</f>
        <v>7541</v>
      </c>
      <c r="GE180" s="98">
        <f t="shared" si="1072"/>
        <v>5.8534531162268477</v>
      </c>
      <c r="GF180" s="197">
        <f>GF176+GF177+GF179</f>
        <v>6922</v>
      </c>
      <c r="GG180" s="98">
        <f t="shared" si="1072"/>
        <v>-8.2084604163903947</v>
      </c>
      <c r="GH180" s="197">
        <f>GH176+GH177+GH179</f>
        <v>6735</v>
      </c>
      <c r="GI180" s="98">
        <f t="shared" si="1072"/>
        <v>-2.7015313493210069</v>
      </c>
      <c r="GJ180" s="182">
        <f>GJ176+GJ177+GJ179+GJ178</f>
        <v>6649</v>
      </c>
      <c r="GK180" s="98">
        <f t="shared" si="1072"/>
        <v>-1.2769116555308102</v>
      </c>
      <c r="GL180" s="182">
        <f>GL176+GL177+GL179+GL178</f>
        <v>6717</v>
      </c>
      <c r="GM180" s="98">
        <f t="shared" si="1072"/>
        <v>1.0227101819822559</v>
      </c>
      <c r="GN180" s="182">
        <f>GN176+GN177+GN179+GN178</f>
        <v>8842</v>
      </c>
      <c r="GO180" s="98">
        <f t="shared" si="1072"/>
        <v>31.636147089474463</v>
      </c>
      <c r="GP180" s="182">
        <f>GP176+GP177+GP179+GP178</f>
        <v>8802.3765824550119</v>
      </c>
      <c r="GQ180" s="98">
        <f t="shared" si="1072"/>
        <v>-0.448127318988778</v>
      </c>
      <c r="GR180" s="182">
        <f>GR176+GR177+GR179+GR178</f>
        <v>8749.2584235979921</v>
      </c>
      <c r="GS180" s="98">
        <f t="shared" si="1072"/>
        <v>-0.6034524694489396</v>
      </c>
      <c r="GT180" s="182">
        <f>GT176+GT177+GT179+GT178</f>
        <v>8858.0521851739322</v>
      </c>
      <c r="GU180" s="98">
        <f t="shared" si="1072"/>
        <v>1.2434626605897003</v>
      </c>
      <c r="GV180" s="182">
        <f>GV176+GV177+GV179+GV178</f>
        <v>9066.2085608159105</v>
      </c>
      <c r="GW180" s="98">
        <f t="shared" si="1072"/>
        <v>2.3499113720551135</v>
      </c>
      <c r="GX180" s="182">
        <f>GX176+GX177+GX179+GX178</f>
        <v>9329.2735103149844</v>
      </c>
      <c r="GY180" s="98">
        <f t="shared" si="1093"/>
        <v>2.9015982561446885</v>
      </c>
      <c r="GZ180" s="98">
        <f>IF(ISERROR(((GX180/GN180)^0.2-1)*100),"NA",IF((((GX180/GN180)^0.2-1)*100)&gt;100,"NM",IF((((GX180/GN180)^0.2-1)*100)&lt;-50,"NM",((GX180/GN180)^0.2-1)*100)))</f>
        <v>1.0786570150441266</v>
      </c>
      <c r="HA180" s="98"/>
      <c r="HB180" s="10"/>
      <c r="HC180"/>
      <c r="HD180"/>
      <c r="HE180"/>
      <c r="HF180"/>
      <c r="HG180"/>
      <c r="HH180"/>
      <c r="HI180" s="10"/>
    </row>
    <row r="181" spans="1:217" s="2" customFormat="1" ht="12.75" customHeight="1" x14ac:dyDescent="0.2">
      <c r="B181" s="179"/>
      <c r="C181" s="155"/>
      <c r="D181" s="156"/>
      <c r="E181" s="155"/>
      <c r="F181" s="156"/>
      <c r="G181" s="155"/>
      <c r="H181" s="156"/>
      <c r="I181" s="155"/>
      <c r="J181" s="156"/>
      <c r="K181" s="155"/>
      <c r="L181" s="156"/>
      <c r="M181" s="155"/>
      <c r="N181" s="156"/>
      <c r="O181" s="155"/>
      <c r="P181" s="156"/>
      <c r="Q181" s="155"/>
      <c r="R181" s="156"/>
      <c r="S181" s="155"/>
      <c r="T181" s="156"/>
      <c r="U181" s="155"/>
      <c r="V181" s="156"/>
      <c r="W181" s="155"/>
      <c r="X181" s="156"/>
      <c r="Y181" s="155"/>
      <c r="Z181" s="156"/>
      <c r="AA181" s="155"/>
      <c r="AB181" s="156"/>
      <c r="AC181" s="155"/>
      <c r="AD181" s="156"/>
      <c r="AE181" s="155"/>
      <c r="AF181" s="156"/>
      <c r="AG181" s="155"/>
      <c r="AH181" s="156"/>
      <c r="AI181" s="155"/>
      <c r="AJ181" s="156"/>
      <c r="AK181" s="155"/>
      <c r="AL181" s="156"/>
      <c r="AM181" s="155"/>
      <c r="AN181" s="156"/>
      <c r="AO181" s="155"/>
      <c r="AP181" s="156"/>
      <c r="AQ181" s="155"/>
      <c r="AR181" s="156"/>
      <c r="AS181" s="155"/>
      <c r="AT181" s="156"/>
      <c r="AU181" s="155"/>
      <c r="AV181" s="156"/>
      <c r="AW181" s="155"/>
      <c r="AX181" s="156"/>
      <c r="AY181" s="155"/>
      <c r="AZ181" s="156"/>
      <c r="BA181" s="155"/>
      <c r="BB181" s="156"/>
      <c r="BC181" s="155"/>
      <c r="BD181" s="156"/>
      <c r="BE181" s="155"/>
      <c r="BF181" s="156"/>
      <c r="BG181" s="155"/>
      <c r="BH181" s="156"/>
      <c r="BI181" s="155"/>
      <c r="BJ181" s="156"/>
      <c r="BK181" s="155"/>
      <c r="BL181" s="156"/>
      <c r="BM181" s="155"/>
      <c r="BN181" s="98"/>
      <c r="BO181" s="117"/>
      <c r="BP181" s="98"/>
      <c r="BQ181" s="117"/>
      <c r="BR181" s="98"/>
      <c r="BS181" s="117"/>
      <c r="BT181" s="98"/>
      <c r="BU181" s="117"/>
      <c r="BV181" s="98"/>
      <c r="BW181" s="117"/>
      <c r="BX181" s="98"/>
      <c r="BY181" s="117"/>
      <c r="BZ181" s="98"/>
      <c r="CA181" s="117"/>
      <c r="CB181" s="98"/>
      <c r="CC181" s="117"/>
      <c r="CD181" s="98"/>
      <c r="CE181" s="117"/>
      <c r="CF181" s="98"/>
      <c r="CG181" s="117"/>
      <c r="CH181" s="98"/>
      <c r="CI181" s="117"/>
      <c r="CJ181" s="98"/>
      <c r="CK181" s="117"/>
      <c r="CL181" s="98"/>
      <c r="CM181" s="117"/>
      <c r="CN181" s="98"/>
      <c r="CO181" s="117"/>
      <c r="CP181" s="98"/>
      <c r="CQ181" s="486"/>
      <c r="CR181" s="98"/>
      <c r="CS181" s="117"/>
      <c r="CT181" s="98"/>
      <c r="CU181" s="117"/>
      <c r="CV181" s="98"/>
      <c r="CW181" s="117"/>
      <c r="CX181" s="98"/>
      <c r="CY181" s="117"/>
      <c r="CZ181" s="98"/>
      <c r="DA181" s="117"/>
      <c r="DB181" s="98"/>
      <c r="DC181" s="117"/>
      <c r="DD181" s="98"/>
      <c r="DE181" s="117"/>
      <c r="DF181" s="98"/>
      <c r="DG181" s="117"/>
      <c r="DH181" s="98"/>
      <c r="DI181" s="117"/>
      <c r="DJ181" s="98"/>
      <c r="DK181" s="117"/>
      <c r="DL181" s="98"/>
      <c r="DM181" s="117"/>
      <c r="DN181" s="98"/>
      <c r="DO181" s="117"/>
      <c r="DP181" s="98"/>
      <c r="DQ181" s="117"/>
      <c r="DR181" s="98"/>
      <c r="DS181" s="117"/>
      <c r="DT181" s="98"/>
      <c r="DU181" s="117"/>
      <c r="DV181" s="98"/>
      <c r="DW181" s="117"/>
      <c r="DX181" s="98"/>
      <c r="DY181" s="117"/>
      <c r="DZ181" s="98"/>
      <c r="EA181" s="117"/>
      <c r="EB181" s="98"/>
      <c r="EC181" s="117"/>
      <c r="ED181" s="98"/>
      <c r="EE181" s="117"/>
      <c r="EF181" s="860"/>
      <c r="EG181" s="117"/>
      <c r="EH181" s="860"/>
      <c r="EI181" s="117"/>
      <c r="EJ181" s="860"/>
      <c r="EK181" s="117"/>
      <c r="EL181" s="860"/>
      <c r="EM181" s="117"/>
      <c r="EN181" s="860"/>
      <c r="EO181" s="117"/>
      <c r="EP181" s="98"/>
      <c r="EQ181" s="792"/>
      <c r="ER181" s="98"/>
      <c r="ES181" s="792"/>
      <c r="ET181" s="98"/>
      <c r="EU181" s="792"/>
      <c r="EV181" s="98"/>
      <c r="EW181" s="792"/>
      <c r="EX181" s="98"/>
      <c r="EY181" s="118"/>
      <c r="EZ181" s="594"/>
      <c r="FA181" s="405"/>
      <c r="FB181" s="118"/>
      <c r="FC181" s="98"/>
      <c r="FD181" s="117"/>
      <c r="FE181" s="98"/>
      <c r="FF181" s="118"/>
      <c r="FG181" s="98"/>
      <c r="FH181" s="118"/>
      <c r="FI181" s="98"/>
      <c r="FJ181" s="118"/>
      <c r="FK181" s="98"/>
      <c r="FL181" s="118"/>
      <c r="FM181" s="98"/>
      <c r="FN181" s="118"/>
      <c r="FO181" s="98"/>
      <c r="FP181" s="118"/>
      <c r="FQ181" s="98"/>
      <c r="FR181" s="119"/>
      <c r="FS181" s="120"/>
      <c r="FT181" s="119"/>
      <c r="FU181" s="120"/>
      <c r="FV181" s="119"/>
      <c r="FW181" s="98"/>
      <c r="FX181" s="485"/>
      <c r="FY181" s="98"/>
      <c r="FZ181" s="119"/>
      <c r="GA181" s="98"/>
      <c r="GB181" s="485"/>
      <c r="GC181" s="98"/>
      <c r="GD181" s="119"/>
      <c r="GE181" s="98"/>
      <c r="GF181" s="119"/>
      <c r="GG181" s="98"/>
      <c r="GH181" s="119"/>
      <c r="GI181" s="98"/>
      <c r="GJ181" s="119"/>
      <c r="GK181" s="98"/>
      <c r="GL181" s="119"/>
      <c r="GM181" s="98"/>
      <c r="GN181" s="119"/>
      <c r="GO181" s="98"/>
      <c r="GP181" s="119"/>
      <c r="GQ181" s="98"/>
      <c r="GR181" s="118"/>
      <c r="GS181" s="98"/>
      <c r="GT181" s="118"/>
      <c r="GU181" s="98"/>
      <c r="GV181" s="118"/>
      <c r="GW181" s="98"/>
      <c r="GX181" s="118"/>
      <c r="GY181" s="98"/>
      <c r="GZ181" s="98"/>
      <c r="HA181" s="98"/>
      <c r="HB181" s="10"/>
      <c r="HC181"/>
      <c r="HD181"/>
      <c r="HE181"/>
      <c r="HF181"/>
      <c r="HG181"/>
      <c r="HH181"/>
      <c r="HI181" s="10"/>
    </row>
    <row r="182" spans="1:217" s="2" customFormat="1" ht="12.75" customHeight="1" x14ac:dyDescent="0.2">
      <c r="B182" s="91" t="s">
        <v>604</v>
      </c>
      <c r="C182" s="166">
        <f>C174/C165*100</f>
        <v>73.56643356643356</v>
      </c>
      <c r="D182" s="156"/>
      <c r="E182" s="166">
        <f>E174/E165*100</f>
        <v>73.86363636363636</v>
      </c>
      <c r="F182" s="156"/>
      <c r="G182" s="166">
        <f>G174/G165*100</f>
        <v>66.925064599483207</v>
      </c>
      <c r="H182" s="156"/>
      <c r="I182" s="166">
        <f>I174/I165*100</f>
        <v>69.146341463414629</v>
      </c>
      <c r="J182" s="156"/>
      <c r="K182" s="166">
        <f>K174/K165*100</f>
        <v>64.910025706940871</v>
      </c>
      <c r="L182" s="156">
        <f>IF(ISERROR((K182/C182-1)*100),"NA",IF(((K182/C182-1)*100)&gt;100,"NM",IF(((K182/C182-1)*100)&lt;-50,"NM",(K182/C182-1)*100)))</f>
        <v>-11.766790151211548</v>
      </c>
      <c r="M182" s="166">
        <f>M174/M165*100</f>
        <v>63.407407407407412</v>
      </c>
      <c r="N182" s="156">
        <f>IF(ISERROR((M182/E182-1)*100),"NA",IF(((M182/E182-1)*100)&gt;100,"NM",IF(((M182/E182-1)*100)&lt;-50,"NM",(M182/E182-1)*100)))</f>
        <v>-14.156125356125349</v>
      </c>
      <c r="O182" s="166">
        <f>O174/O165*100</f>
        <v>68.223086900129701</v>
      </c>
      <c r="P182" s="156">
        <f>IF(ISERROR((O182/G182-1)*100),"NA",IF(((O182/G182-1)*100)&gt;100,"NM",IF(((O182/G182-1)*100)&lt;-50,"NM",(O182/G182-1)*100)))</f>
        <v>1.9395159472980428</v>
      </c>
      <c r="Q182" s="166">
        <f>Q174/Q165*100</f>
        <v>64.955070603337617</v>
      </c>
      <c r="R182" s="156">
        <f>IF(ISERROR((Q182/I182-1)*100),"NA",IF(((Q182/I182-1)*100)&gt;100,"NM",IF(((Q182/I182-1)*100)&lt;-50,"NM",(Q182/I182-1)*100)))</f>
        <v>-6.0614499210990269</v>
      </c>
      <c r="S182" s="166">
        <f>S174/S165*100</f>
        <v>63.558106169296991</v>
      </c>
      <c r="T182" s="156">
        <f>IF(ISERROR((S182/K182-1)*100),"NA",IF(((S182/K182-1)*100)&gt;100,"NM",IF(((S182/K182-1)*100)&lt;-50,"NM",(S182/K182-1)*100)))</f>
        <v>-2.0827592084889823</v>
      </c>
      <c r="U182" s="166">
        <f>U174/U165*100</f>
        <v>72.517552657973923</v>
      </c>
      <c r="V182" s="156">
        <f>IF(ISERROR((U182/M182-1)*100),"NA",IF(((U182/M182-1)*100)&gt;100,"NM",IF(((U182/M182-1)*100)&lt;-50,"NM",(U182/M182-1)*100)))</f>
        <v>14.367635617131768</v>
      </c>
      <c r="W182" s="166">
        <f>W174/W165*100</f>
        <v>71.316818774445892</v>
      </c>
      <c r="X182" s="156">
        <f>IF(ISERROR((W182/O182-1)*100),"NA",IF(((W182/O182-1)*100)&gt;100,"NM",IF(((W182/O182-1)*100)&lt;-50,"NM",(W182/O182-1)*100)))</f>
        <v>4.5347286598817149</v>
      </c>
      <c r="Y182" s="166">
        <f>Y174/Y165*100</f>
        <v>76.028202115158635</v>
      </c>
      <c r="Z182" s="156">
        <f>IF(ISERROR((Y182/Q182-1)*100),"NA",IF(((Y182/Q182-1)*100)&gt;100,"NM",IF(((Y182/Q182-1)*100)&lt;-50,"NM",(Y182/Q182-1)*100)))</f>
        <v>17.047370450016942</v>
      </c>
      <c r="AA182" s="166">
        <f>AA174/AA165*100</f>
        <v>71.467025572005383</v>
      </c>
      <c r="AB182" s="156">
        <f>IF(ISERROR((AA182/S182-1)*100),"NA",IF(((AA182/S182-1)*100)&gt;100,"NM",IF(((AA182/S182-1)*100)&lt;-50,"NM",(AA182/S182-1)*100)))</f>
        <v>12.443604568143908</v>
      </c>
      <c r="AC182" s="166">
        <f>AC174/AC165*100</f>
        <v>71.458551941238184</v>
      </c>
      <c r="AD182" s="156">
        <f>IF(ISERROR((AC182/U182-1)*100),"NA",IF(((AC182/U182-1)*100)&gt;100,"NM",IF(((AC182/U182-1)*100)&lt;-50,"NM",(AC182/U182-1)*100)))</f>
        <v>-1.4603370879467947</v>
      </c>
      <c r="AE182" s="166">
        <f>AE174/AE165*100</f>
        <v>73.76294591484465</v>
      </c>
      <c r="AF182" s="156">
        <f>IF(ISERROR((AE182/W182-1)*100),"NA",IF(((AE182/W182-1)*100)&gt;100,"NM",IF(((AE182/W182-1)*100)&lt;-50,"NM",(AE182/W182-1)*100)))</f>
        <v>3.429944271820573</v>
      </c>
      <c r="AG182" s="166">
        <f>AG174/AG165*100</f>
        <v>70.600414078674945</v>
      </c>
      <c r="AH182" s="156">
        <f>IF(ISERROR((AG182/Y182-1)*100),"NA",IF(((AG182/Y182-1)*100)&gt;100,"NM",IF(((AG182/Y182-1)*100)&lt;-50,"NM",(AG182/Y182-1)*100)))</f>
        <v>-7.1391771546331029</v>
      </c>
      <c r="AI182" s="166">
        <f>AI174/AI165*100</f>
        <v>63.675675675675677</v>
      </c>
      <c r="AJ182" s="156">
        <f>IF(ISERROR((AI182/AA182-1)*100),"NA",IF(((AI182/AA182-1)*100)&gt;100,"NM",IF(((AI182/AA182-1)*100)&lt;-50,"NM",(AI182/AA182-1)*100)))</f>
        <v>-10.902020664732525</v>
      </c>
      <c r="AK182" s="166">
        <f>AK174/AK165*100</f>
        <v>67.570621468926547</v>
      </c>
      <c r="AL182" s="156">
        <f>IF(ISERROR((AK182/AC182-1)*100),"NA",IF(((AK182/AC182-1)*100)&gt;100,"NM",IF(((AK182/AC182-1)*100)&lt;-50,"NM",(AK182/AC182-1)*100)))</f>
        <v>-5.4408190016343454</v>
      </c>
      <c r="AM182" s="166">
        <f>AM174/AM165*100</f>
        <v>73.070469798657726</v>
      </c>
      <c r="AN182" s="156">
        <f>IF(ISERROR((AM182/AE182-1)*100),"NA",IF(((AM182/AE182-1)*100)&gt;100,"NM",IF(((AM182/AE182-1)*100)&lt;-50,"NM",(AM182/AE182-1)*100)))</f>
        <v>-0.93878587358258159</v>
      </c>
      <c r="AO182" s="166">
        <f>AO174/AO165*100</f>
        <v>66.111655239960825</v>
      </c>
      <c r="AP182" s="156">
        <f>IF(ISERROR((AO182/AG182-1)*100),"NA",IF(((AO182/AG182-1)*100)&gt;100,"NM",IF(((AO182/AG182-1)*100)&lt;-50,"NM",(AO182/AG182-1)*100)))</f>
        <v>-6.3579780618736699</v>
      </c>
      <c r="AQ182" s="166">
        <f>AQ174/AQ165*100</f>
        <v>71.701244813278009</v>
      </c>
      <c r="AR182" s="156">
        <f>IF(ISERROR((AQ182/AI182-1)*100),"NA",IF(((AQ182/AI182-1)*100)&gt;100,"NM",IF(((AQ182/AI182-1)*100)&lt;-50,"NM",(AQ182/AI182-1)*100)))</f>
        <v>12.603822499630146</v>
      </c>
      <c r="AS182" s="166">
        <f>AS174/AS165*100</f>
        <v>65.134431916738947</v>
      </c>
      <c r="AT182" s="156">
        <f>IF(ISERROR((AS182/AK182-1)*100),"NA",IF(((AS182/AK182-1)*100)&gt;100,"NM",IF(((AS182/AK182-1)*100)&lt;-50,"NM",(AS182/AK182-1)*100)))</f>
        <v>-3.6053975814147599</v>
      </c>
      <c r="AU182" s="166">
        <f>AU174/AU165*100</f>
        <v>69.818913480885314</v>
      </c>
      <c r="AV182" s="156">
        <f>IF(ISERROR((AU182/AM182-1)*100),"NA",IF(((AU182/AM182-1)*100)&gt;100,"NM",IF(((AU182/AM182-1)*100)&lt;-50,"NM",(AU182/AM182-1)*100)))</f>
        <v>-4.4498910801202278</v>
      </c>
      <c r="AW182" s="166">
        <f>AW174/AW165*100</f>
        <v>63.395904436860071</v>
      </c>
      <c r="AX182" s="156">
        <f>IF(ISERROR((AW182/AO182-1)*100),"NA",IF(((AW182/AO182-1)*100)&gt;100,"NM",IF(((AW182/AO182-1)*100)&lt;-50,"NM",(AW182/AO182-1)*100)))</f>
        <v>-4.1078245480975824</v>
      </c>
      <c r="AY182" s="166">
        <f>AY174/AY165*100</f>
        <v>61.089187056037886</v>
      </c>
      <c r="AZ182" s="156">
        <f>IF(ISERROR((AY182/AQ182-1)*100),"NA",IF(((AY182/AQ182-1)*100)&gt;100,"NM",IF(((AY182/AQ182-1)*100)&lt;-50,"NM",(AY182/AQ182-1)*100)))</f>
        <v>-14.800381478558277</v>
      </c>
      <c r="BA182" s="166">
        <f>BA174/BA165*100</f>
        <v>62.448304383788255</v>
      </c>
      <c r="BB182" s="156">
        <f>IF(ISERROR((BA182/AS182-1)*100),"NA",IF(((BA182/AS182-1)*100)&gt;100,"NM",IF(((BA182/AS182-1)*100)&lt;-50,"NM",(BA182/AS182-1)*100)))</f>
        <v>-4.1239747609749022</v>
      </c>
      <c r="BC182" s="166">
        <f>BC174/BC165*100</f>
        <v>69.372693726937271</v>
      </c>
      <c r="BD182" s="156">
        <f>IF(ISERROR((BC182/AU182-1)*100),"NA",IF(((BC182/AU182-1)*100)&gt;100,"NM",IF(((BC182/AU182-1)*100)&lt;-50,"NM",(BC182/AU182-1)*100)))</f>
        <v>-0.63911013749906598</v>
      </c>
      <c r="BE182" s="166">
        <f>BE174/BE165*100</f>
        <v>64.16893732970027</v>
      </c>
      <c r="BF182" s="156">
        <f>IF(ISERROR((BE182/AW182-1)*100),"NA",IF(((BE182/AW182-1)*100)&gt;100,"NM",IF(((BE182/AW182-1)*100)&lt;-50,"NM",(BE182/AW182-1)*100)))</f>
        <v>1.2193735537129324</v>
      </c>
      <c r="BG182" s="166">
        <f>BG174/BG165*100</f>
        <v>61.436377829820458</v>
      </c>
      <c r="BH182" s="156">
        <f>IF(ISERROR((BG182/AY182-1)*100),"NA",IF(((BG182/AY182-1)*100)&gt;100,"NM",IF(((BG182/AY182-1)*100)&lt;-50,"NM",(BG182/AY182-1)*100)))</f>
        <v>0.5683342511402012</v>
      </c>
      <c r="BI182" s="166">
        <f>BI174/BI165*100</f>
        <v>58.597285067873308</v>
      </c>
      <c r="BJ182" s="156">
        <f>IF(ISERROR((BI182/BA182-1)*100),"NA",IF(((BI182/BA182-1)*100)&gt;100,"NM",IF(((BI182/BA182-1)*100)&lt;-50,"NM",(BI182/BA182-1)*100)))</f>
        <v>-6.1667315932995681</v>
      </c>
      <c r="BK182" s="166">
        <f>BK174/BK165*100</f>
        <v>64.605873261205559</v>
      </c>
      <c r="BL182" s="156">
        <f>IF(ISERROR((BK182/BC182-1)*100),"NA",IF(((BK182/BC182-1)*100)&gt;100,"NM",IF(((BK182/BC182-1)*100)&lt;-50,"NM",(BK182/BC182-1)*100)))</f>
        <v>-6.871320990496244</v>
      </c>
      <c r="BM182" s="166">
        <f>BM174/BM165*100</f>
        <v>58.554044380816038</v>
      </c>
      <c r="BN182" s="98">
        <f>IF(ISERROR((BM182/BE182-1)*100),"NA",IF(((BM182/BE182-1)*100)&gt;100,"NM",IF(((BM182/BE182-1)*100)&lt;-50,"NM",(BM182/BE182-1)*100)))</f>
        <v>-8.7501728757558901</v>
      </c>
      <c r="BO182" s="137">
        <f>BO174/BO165*100</f>
        <v>63.659466327827197</v>
      </c>
      <c r="BP182" s="98">
        <f>IF(ISERROR((BO182/BG182-1)*100),"NA",IF(((BO182/BG182-1)*100)&gt;100,"NM",IF(((BO182/BG182-1)*100)&lt;-50,"NM",(BO182/BG182-1)*100)))</f>
        <v>3.6185214306818647</v>
      </c>
      <c r="BQ182" s="137">
        <f>BQ174/BQ165*100</f>
        <v>72.207267833109015</v>
      </c>
      <c r="BR182" s="98">
        <f>IF(ISERROR((BQ182/BI182-1)*100),"NA",IF(((BQ182/BI182-1)*100)&gt;100,"NM",IF(((BQ182/BI182-1)*100)&lt;-50,"NM",(BQ182/BI182-1)*100)))</f>
        <v>23.226302634108809</v>
      </c>
      <c r="BS182" s="137">
        <f>BS174/BS165*100</f>
        <v>80.224260958205917</v>
      </c>
      <c r="BT182" s="98">
        <f>IF(ISERROR((BS182/BK182-1)*100),"NA",IF(((BS182/BK182-1)*100)&gt;100,"NM",IF(((BS182/BK182-1)*100)&lt;-50,"NM",(BS182/BK182-1)*100)))</f>
        <v>24.174872822868988</v>
      </c>
      <c r="BU182" s="137">
        <f>BU174/BU165*100</f>
        <v>79.726205997392441</v>
      </c>
      <c r="BV182" s="98">
        <f>IF(ISERROR((BU182/BM182-1)*100),"NA",IF(((BU182/BM182-1)*100)&gt;100,"NM",IF(((BU182/BM182-1)*100)&lt;-50,"NM",(BU182/BM182-1)*100)))</f>
        <v>36.15832491241715</v>
      </c>
      <c r="BW182" s="137">
        <f>BW174/BW165*100</f>
        <v>81.013824884792626</v>
      </c>
      <c r="BX182" s="98">
        <f>IF(ISERROR((BW182/BO182-1)*100),"NA",IF(((BW182/BO182-1)*100)&gt;100,"NM",IF(((BW182/BO182-1)*100)&lt;-50,"NM",(BW182/BO182-1)*100)))</f>
        <v>27.261237892877823</v>
      </c>
      <c r="BY182" s="137">
        <f>BY174/BY165*100</f>
        <v>77.742946708463947</v>
      </c>
      <c r="BZ182" s="98">
        <f>IF(ISERROR((BY182/BQ182-1)*100),"NA",IF(((BY182/BQ182-1)*100)&gt;100,"NM",IF(((BY182/BQ182-1)*100)&lt;-50,"NM",(BY182/BQ182-1)*100)))</f>
        <v>7.6663735403331046</v>
      </c>
      <c r="CA182" s="137">
        <f>CA174/CA165*100</f>
        <v>78.061558611656849</v>
      </c>
      <c r="CB182" s="98">
        <f>IF(ISERROR((CA182/BS182-1)*100),"NA",IF(((CA182/BS182-1)*100)&gt;100,"NM",IF(((CA182/BS182-1)*100)&lt;-50,"NM",(CA182/BS182-1)*100)))</f>
        <v>-2.6958208411240636</v>
      </c>
      <c r="CC182" s="137">
        <f>CC174/CC165*100</f>
        <v>76.949541284403665</v>
      </c>
      <c r="CD182" s="98">
        <f>IF(ISERROR((CC182/BU182-1)*100),"NA",IF(((CC182/BU182-1)*100)&gt;100,"NM",IF(((CC182/BU182-1)*100)&lt;-50,"NM",(CC182/BU182-1)*100)))</f>
        <v>-3.4827503431927864</v>
      </c>
      <c r="CE182" s="137">
        <f>CE174/CE165*100</f>
        <v>72.184615384615384</v>
      </c>
      <c r="CF182" s="98">
        <f>IF(ISERROR((CE182/BW182-1)*100),"NA",IF(((CE182/BW182-1)*100)&gt;100,"NM",IF(((CE182/BW182-1)*100)&lt;-50,"NM",(CE182/BW182-1)*100)))</f>
        <v>-10.898398529797849</v>
      </c>
      <c r="CG182" s="137">
        <f>CG174/CG165*100</f>
        <v>67.100753941055515</v>
      </c>
      <c r="CH182" s="98">
        <f>IF(ISERROR((CG182/BY182-1)*100),"NA",IF(((CG182/BY182-1)*100)&gt;100,"NM",IF(((CG182/BY182-1)*100)&lt;-50,"NM",(CG182/BY182-1)*100)))</f>
        <v>-13.688949567755204</v>
      </c>
      <c r="CI182" s="137">
        <f>CI174/CI165*100</f>
        <v>71.070110701107012</v>
      </c>
      <c r="CJ182" s="98">
        <f>IF(ISERROR((CI182/CA182-1)*100),"NA",IF(((CI182/CA182-1)*100)&gt;100,"NM",IF(((CI182/CA182-1)*100)&lt;-50,"NM",(CI182/CA182-1)*100)))</f>
        <v>-8.956326308229535</v>
      </c>
      <c r="CK182" s="137">
        <f>CK174/CK165*100</f>
        <v>62.567567567567572</v>
      </c>
      <c r="CL182" s="98">
        <f>IF(ISERROR((CK182/CC182-1)*100),"NA",IF(((CK182/CC182-1)*100)&gt;100,"NM",IF(((CK182/CC182-1)*100)&lt;-50,"NM",(CK182/CC182-1)*100)))</f>
        <v>-18.690135739316062</v>
      </c>
      <c r="CM182" s="137">
        <f>CM174/CM165*100</f>
        <v>64.231738035264485</v>
      </c>
      <c r="CN182" s="98">
        <f>IF(ISERROR((CM182/CE182-1)*100),"NA",IF(((CM182/CE182-1)*100)&gt;100,"NM",IF(((CM182/CE182-1)*100)&lt;-50,"NM",(CM182/CE182-1)*100)))</f>
        <v>-11.017413207753801</v>
      </c>
      <c r="CO182" s="137">
        <f>CO174/CO165*100</f>
        <v>69.855072463768124</v>
      </c>
      <c r="CP182" s="98">
        <f>IF(ISERROR((CO182/CG182-1)*100),"NA",IF(((CO182/CG182-1)*100)&gt;100,"NM",IF(((CO182/CG182-1)*100)&lt;-50,"NM",(CO182/CG182-1)*100)))</f>
        <v>4.1047504848188865</v>
      </c>
      <c r="CQ182" s="494">
        <f>CQ174/CQ165*100</f>
        <v>72.478887232985585</v>
      </c>
      <c r="CR182" s="98">
        <f>IF(ISERROR((CQ182/CI182-1)*100),"NA",IF(((CQ182/CI182-1)*100)&gt;100,"NM",IF(((CQ182/CI182-1)*100)&lt;-50,"NM",(CQ182/CI182-1)*100)))</f>
        <v>1.9822348916879173</v>
      </c>
      <c r="CS182" s="137">
        <f>CS174/CS165*100</f>
        <v>73.981531776208584</v>
      </c>
      <c r="CT182" s="98">
        <f>IF(ISERROR((CS182/CK182-1)*100),"NA",IF(((CS182/CK182-1)*100)&gt;100,"NM",IF(((CS182/CK182-1)*100)&lt;-50,"NM",(CS182/CK182-1)*100)))</f>
        <v>18.242620981413271</v>
      </c>
      <c r="CU182" s="137">
        <f>CU174/CU165*100</f>
        <v>64.845605700712596</v>
      </c>
      <c r="CV182" s="98">
        <f>IF(ISERROR((CU182/CM182-1)*100),"NA",IF(((CU182/CM182-1)*100)&gt;100,"NM",IF(((CU182/CM182-1)*100)&lt;-50,"NM",(CU182/CM182-1)*100)))</f>
        <v>0.95570769875648054</v>
      </c>
      <c r="CW182" s="137">
        <f>CW174/CW165*100</f>
        <v>65.07479861910241</v>
      </c>
      <c r="CX182" s="98">
        <f>IF(ISERROR((CW182/CO182-1)*100),"NA",IF(((CW182/CO182-1)*100)&gt;100,"NM",IF(((CW182/CO182-1)*100)&lt;-50,"NM",(CW182/CO182-1)*100)))</f>
        <v>-6.843130607509007</v>
      </c>
      <c r="CY182" s="137">
        <f>CY174/CY165*100</f>
        <v>64.887810794420858</v>
      </c>
      <c r="CZ182" s="98">
        <f>IF(ISERROR((CY182/CQ182-1)*100),"NA",IF(((CY182/CQ182-1)*100)&gt;100,"NM",IF(((CY182/CQ182-1)*100)&lt;-50,"NM",(CY182/CQ182-1)*100)))</f>
        <v>-10.473500254167789</v>
      </c>
      <c r="DA182" s="137">
        <f>DA174/DA165*100</f>
        <v>80.500834724540908</v>
      </c>
      <c r="DB182" s="98">
        <f>IF(ISERROR((DA182/CS182-1)*100),"NA",IF(((DA182/CS182-1)*100)&gt;100,"NM",IF(((DA182/CS182-1)*100)&lt;-50,"NM",(DA182/CS182-1)*100)))</f>
        <v>8.8120680821437638</v>
      </c>
      <c r="DC182" s="137">
        <f>DC174/DC165*100</f>
        <v>63.403990024937649</v>
      </c>
      <c r="DD182" s="98">
        <f>IF(ISERROR((DC182/CU182-1)*100),"NA",IF(((DC182/CU182-1)*100)&gt;100,"NM",IF(((DC182/CU182-1)*100)&lt;-50,"NM",(DC182/CU182-1)*100)))</f>
        <v>-2.2231509139239991</v>
      </c>
      <c r="DE182" s="137">
        <f>DE174/DE165*100</f>
        <v>62.355658198614314</v>
      </c>
      <c r="DF182" s="98">
        <f>IF(ISERROR((DE182/CW182-1)*100),"NA",IF(((DE182/CW182-1)*100)&gt;100,"NM",IF(((DE182/CW182-1)*100)&lt;-50,"NM",(DE182/CW182-1)*100)))</f>
        <v>-4.1784845718906389</v>
      </c>
      <c r="DG182" s="137">
        <f>DG174/DG165*100</f>
        <v>64.362980769230774</v>
      </c>
      <c r="DH182" s="98">
        <f>IF(ISERROR((DG182/CY182-1)*100),"NA",IF(((DG182/CY182-1)*100)&gt;100,"NM",IF(((DG182/CY182-1)*100)&lt;-50,"NM",(DG182/CY182-1)*100)))</f>
        <v>-0.80882683321350513</v>
      </c>
      <c r="DI182" s="137">
        <f>DI174/DI165*100</f>
        <v>75.074626865671647</v>
      </c>
      <c r="DJ182" s="98">
        <f>IF(ISERROR((DI182/DA182-1)*100),"NA",IF(((DI182/DA182-1)*100)&gt;100,"NM",IF(((DI182/DA182-1)*100)&lt;-50,"NM",(DI182/DA182-1)*100)))</f>
        <v>-6.7405609860279654</v>
      </c>
      <c r="DK182" s="137">
        <f>DK174/DK165*100</f>
        <v>58.039215686274517</v>
      </c>
      <c r="DL182" s="98">
        <f>IF(ISERROR((DK182/DC182-1)*100),"NA",IF(((DK182/DC182-1)*100)&gt;100,"NM",IF(((DK182/DC182-1)*100)&lt;-50,"NM",(DK182/DC182-1)*100)))</f>
        <v>-8.4612566757282792</v>
      </c>
      <c r="DM182" s="137">
        <f>DM174/DM165*100</f>
        <v>65.550978372811528</v>
      </c>
      <c r="DN182" s="98">
        <f>IF(ISERROR((DM182/DE182-1)*100),"NA",IF(((DM182/DE182-1)*100)&gt;100,"NM",IF(((DM182/DE182-1)*100)&lt;-50,"NM",(DM182/DE182-1)*100)))</f>
        <v>5.1243467978792312</v>
      </c>
      <c r="DO182" s="137">
        <f>DO174/DO165*100</f>
        <v>58.460667798528576</v>
      </c>
      <c r="DP182" s="98">
        <f>IF(ISERROR((DO182/DG182-1)*100),"NA",IF(((DO182/DG182-1)*100)&gt;100,"NM",IF(((DO182/DG182-1)*100)&lt;-50,"NM",(DO182/DG182-1)*100)))</f>
        <v>-9.1703536725008981</v>
      </c>
      <c r="DQ182" s="137">
        <f>DQ174/DQ165*100</f>
        <v>73.965183752417801</v>
      </c>
      <c r="DR182" s="98">
        <f>IF(ISERROR((DQ182/DI182-1)*100),"NA",IF(((DQ182/DI182-1)*100)&gt;100,"NM",IF(((DQ182/DI182-1)*100)&lt;-50,"NM",(DQ182/DI182-1)*100)))</f>
        <v>-1.4777870494633749</v>
      </c>
      <c r="DS182" s="137">
        <f>DS174/DS165*100</f>
        <v>60.405405405405411</v>
      </c>
      <c r="DT182" s="98">
        <f>IF(ISERROR((DS182/DK182-1)*100),"NA",IF(((DS182/DK182-1)*100)&gt;100,"NM",IF(((DS182/DK182-1)*100)&lt;-50,"NM",(DS182/DK182-1)*100)))</f>
        <v>4.0768809349890356</v>
      </c>
      <c r="DU182" s="137">
        <f>DU174/DU165*100</f>
        <v>56.962025316455701</v>
      </c>
      <c r="DV182" s="98">
        <f>IF(ISERROR((DU182/DM182-1)*100),"NA",IF(((DU182/DM182-1)*100)&gt;100,"NM",IF(((DU182/DM182-1)*100)&lt;-50,"NM",(DU182/DM182-1)*100)))</f>
        <v>-13.102707647637878</v>
      </c>
      <c r="DW182" s="137">
        <f>DW174/DW165*100</f>
        <v>79.668209876543202</v>
      </c>
      <c r="DX182" s="98">
        <f>IF(ISERROR((DW182/DO182-1)*100),"NA",IF(((DW182/DO182-1)*100)&gt;100,"NM",IF(((DW182/DO182-1)*100)&lt;-50,"NM",(DW182/DO182-1)*100)))</f>
        <v>36.276599082141182</v>
      </c>
      <c r="DY182" s="137">
        <f>DY174/DY165*100</f>
        <v>72.882319499715749</v>
      </c>
      <c r="DZ182" s="98">
        <f>IF(ISERROR((DY182/DQ182-1)*100),"NA",IF(((DY182/DQ182-1)*100)&gt;100,"NM",IF(((DY182/DQ182-1)*100)&lt;-50,"NM",(DY182/DQ182-1)*100)))</f>
        <v>-1.4640188772148566</v>
      </c>
      <c r="EA182" s="137">
        <f>EA174/EA165*100</f>
        <v>64.08554572271386</v>
      </c>
      <c r="EB182" s="98">
        <f>IF(ISERROR((EA182/DS182-1)*100),"NA",IF(((EA182/DS182-1)*100)&gt;100,"NM",IF(((EA182/DS182-1)*100)&lt;-50,"NM",(EA182/DS182-1)*100)))</f>
        <v>6.0924023150072726</v>
      </c>
      <c r="EC182" s="137">
        <f>EC174/EC165*100</f>
        <v>68.289637952559303</v>
      </c>
      <c r="ED182" s="98">
        <f>IF(ISERROR((EC182/DU182-1)*100),"NA",IF(((EC182/DU182-1)*100)&gt;100,"NM",IF(((EC182/DU182-1)*100)&lt;-50,"NM",(EC182/DU182-1)*100)))</f>
        <v>19.886253294492985</v>
      </c>
      <c r="EE182" s="137">
        <f>EE174/EE165*100</f>
        <v>76.15480649188514</v>
      </c>
      <c r="EF182" s="860">
        <f>IF(ISERROR((EE182/DW182-1)*100),"NA",IF(((EE182/DW182-1)*100)&gt;100,"NM",IF(((EE182/DW182-1)*100)&lt;-50,"NM",(EE182/DW182-1)*100)))</f>
        <v>-4.4100443452947724</v>
      </c>
      <c r="EG182" s="137">
        <f>EG174/EG165*100</f>
        <v>69.696969696969703</v>
      </c>
      <c r="EH182" s="860">
        <f>IF(ISERROR((EG182/DY182-1)*100),"NA",IF(((EG182/DY182-1)*100)&gt;100,"NM",IF(((EG182/DY182-1)*100)&lt;-50,"NM",(EG182/DY182-1)*100)))</f>
        <v>-4.3705384579019508</v>
      </c>
      <c r="EI182" s="137">
        <f>EI174/EI165*100</f>
        <v>63.026952315134764</v>
      </c>
      <c r="EJ182" s="860">
        <f t="shared" ref="EJ182" si="1097">IF(ISERROR((EI182/EA182-1)*100),"NA",IF(((EI182/EA182-1)*100)&gt;100,"NM",IF(((EI182/EA182-1)*100)&lt;-50,"NM",(EI182/EA182-1)*100)))</f>
        <v>-1.6518442585468973</v>
      </c>
      <c r="EK182" s="137">
        <f>EK174/EK165*100</f>
        <v>76.234425473004151</v>
      </c>
      <c r="EL182" s="860">
        <f t="shared" ref="EL182" si="1098">IF(ISERROR((EK182/EC182-1)*100),"NA",IF(((EK182/EC182-1)*100)&gt;100,"NM",IF(((EK182/EC182-1)*100)&lt;-50,"NM",(EK182/EC182-1)*100)))</f>
        <v>11.633957593923805</v>
      </c>
      <c r="EM182" s="137">
        <f>EM174/EM165*100</f>
        <v>85.381668140288824</v>
      </c>
      <c r="EN182" s="860">
        <f t="shared" ref="EN182" si="1099">IF(ISERROR((EM182/EE182-1)*100),"NA",IF(((EM182/EE182-1)*100)&gt;100,"NM",IF(((EM182/EE182-1)*100)&lt;-50,"NM",(EM182/EE182-1)*100)))</f>
        <v>12.115928164543188</v>
      </c>
      <c r="EO182" s="137">
        <f>EO174/EO165*100</f>
        <v>80.722278738555445</v>
      </c>
      <c r="EP182" s="98">
        <f t="shared" ref="EP182" si="1100">IF(ISERROR((EO182/EG182-1)*100),"NA",IF(((EO182/EG182-1)*100)&gt;100,"NM",IF(((EO182/EG182-1)*100)&lt;-50,"NM",(EO182/EG182-1)*100)))</f>
        <v>15.818921668362162</v>
      </c>
      <c r="EQ182" s="1035">
        <v>78</v>
      </c>
      <c r="ER182" s="98">
        <f t="shared" ref="ER182" si="1101">IF(ISERROR((EQ182/EI182-1)*100),"NA",IF(((EQ182/EI182-1)*100)&gt;100,"NM",IF(((EQ182/EI182-1)*100)&lt;-50,"NM",(EQ182/EI182-1)*100)))</f>
        <v>23.756578947368425</v>
      </c>
      <c r="ES182" s="1035">
        <f>EQ182+0.7</f>
        <v>78.7</v>
      </c>
      <c r="ET182" s="98">
        <f t="shared" ref="ET182" si="1102">IF(ISERROR((ES182/EK182-1)*100),"NA",IF(((ES182/EK182-1)*100)&gt;100,"NM",IF(((ES182/EK182-1)*100)&lt;-50,"NM",(ES182/EK182-1)*100)))</f>
        <v>3.2342009685230044</v>
      </c>
      <c r="EU182" s="1035">
        <f>ES182+0.7</f>
        <v>79.400000000000006</v>
      </c>
      <c r="EV182" s="98">
        <f t="shared" ref="EV182" si="1103">IF(ISERROR((EU182/EM182-1)*100),"NA",IF(((EU182/EM182-1)*100)&gt;100,"NM",IF(((EU182/EM182-1)*100)&lt;-50,"NM",(EU182/EM182-1)*100)))</f>
        <v>-7.0057991025198385</v>
      </c>
      <c r="EW182" s="1035">
        <f>EU182+0.7</f>
        <v>80.100000000000009</v>
      </c>
      <c r="EX182" s="98">
        <f t="shared" ref="EX182" si="1104">IF(ISERROR((EW182/EO182-1)*100),"NA",IF(((EW182/EO182-1)*100)&gt;100,"NM",IF(((EW182/EO182-1)*100)&lt;-50,"NM",(EW182/EO182-1)*100)))</f>
        <v>-0.77088846880907225</v>
      </c>
      <c r="EY182" s="110"/>
      <c r="EZ182" s="594"/>
      <c r="FA182" s="405"/>
      <c r="FB182" s="137">
        <f>FB174/FB165*100</f>
        <v>67.23776223776224</v>
      </c>
      <c r="FC182" s="98"/>
      <c r="FD182" s="137">
        <f>FD174/FD165*100</f>
        <v>66.690673388548788</v>
      </c>
      <c r="FE182" s="98">
        <f>IF(ISERROR((FD182/FB182-1)*100),"NA",IF(((FD182/FB182-1)*100)&gt;100,"NM",IF(((FD182/FB182-1)*100)&lt;-50,"NM",(FD182/FB182-1)*100)))</f>
        <v>-0.81366308307356805</v>
      </c>
      <c r="FF182" s="137">
        <f>FF174/FF165*100</f>
        <v>70.815865849725895</v>
      </c>
      <c r="FG182" s="98">
        <f>IF(ISERROR((FF182/FD182-1)*100),"NA",IF(((FF182/FD182-1)*100)&gt;100,"NM",IF(((FF182/FD182-1)*100)&lt;-50,"NM",(FF182/FD182-1)*100)))</f>
        <v>6.1855612660306925</v>
      </c>
      <c r="FH182" s="137">
        <f>FH174/FH165*100</f>
        <v>65.434565434565442</v>
      </c>
      <c r="FI182" s="98">
        <f>IF(ISERROR((FH182/FF182-1)*100),"NA",IF(((FH182/FF182-1)*100)&gt;100,"NM",IF(((FH182/FF182-1)*100)&lt;-50,"NM",(FH182/FF182-1)*100)))</f>
        <v>-7.5990039104793077</v>
      </c>
      <c r="FJ182" s="137">
        <f>FJ174/FJ165*100</f>
        <v>71.25603864734299</v>
      </c>
      <c r="FK182" s="98">
        <f>IF(ISERROR((FJ182/FH182-1)*100),"NA",IF(((FJ182/FH182-1)*100)&gt;100,"NM",IF(((FJ182/FH182-1)*100)&lt;-50,"NM",(FJ182/FH182-1)*100)))</f>
        <v>8.8966331083821792</v>
      </c>
      <c r="FL182" s="137">
        <f>FL174/FL165*100</f>
        <v>71.792693288020388</v>
      </c>
      <c r="FM182" s="98">
        <f>IF(ISERROR((FL182/FJ182-1)*100),"NA",IF(((FL182/FJ182-1)*100)&gt;100,"NM",IF(((FL182/FJ182-1)*100)&lt;-50,"NM",(FL182/FJ182-1)*100)))</f>
        <v>0.75313566522183795</v>
      </c>
      <c r="FN182" s="137">
        <f>FN174/FN165*100</f>
        <v>67.934377330350486</v>
      </c>
      <c r="FO182" s="98">
        <f>IF(ISERROR((FN182/FL182-1)*100),"NA",IF(((FN182/FL182-1)*100)&gt;100,"NM",IF(((FN182/FL182-1)*100)&lt;-50,"NM",(FN182/FL182-1)*100)))</f>
        <v>-5.3742460144112103</v>
      </c>
      <c r="FP182" s="137">
        <f>FP174/FP165*100</f>
        <v>67.695678151762593</v>
      </c>
      <c r="FQ182" s="98">
        <f>IF(ISERROR((FP182/FN182-1)*100),"NA",IF(((FP182/FN182-1)*100)&gt;100,"NM",IF(((FP182/FN182-1)*100)&lt;-50,"NM",(FP182/FN182-1)*100)))</f>
        <v>-0.35136728703223374</v>
      </c>
      <c r="FR182" s="106">
        <f>FR174/FR165*100</f>
        <v>64.370635969050767</v>
      </c>
      <c r="FS182" s="120">
        <f>IF(ISERROR((FR182/FP182-1)*100),"NA",IF(((FR182/FP182-1)*100)&gt;100,"NM",IF(((FR182/FP182-1)*100)&lt;-50,"NM",(FR182/FP182-1)*100)))</f>
        <v>-4.911749573226265</v>
      </c>
      <c r="FT182" s="106">
        <f>FT174/FT165*100</f>
        <v>60.739901849754631</v>
      </c>
      <c r="FU182" s="120">
        <f>IF(ISERROR((FT182/FR182-1)*100),"NA",IF(((FT182/FR182-1)*100)&gt;100,"NM",IF(((FT182/FR182-1)*100)&lt;-50,"NM",(FT182/FR182-1)*100)))</f>
        <v>-5.6403576951481131</v>
      </c>
      <c r="FV182" s="106">
        <f>FV174/FV165*100</f>
        <v>72.710007304601902</v>
      </c>
      <c r="FW182" s="98">
        <f>IF(ISERROR((FV182/FT182-1)*100),"NA",IF(((FV182/FT182-1)*100)&gt;100,"NM",IF(((FV182/FT182-1)*100)&lt;-50,"NM",(FV182/FT182-1)*100)))</f>
        <v>19.7071531074521</v>
      </c>
      <c r="FX182" s="483">
        <f>FX174/FX165*100</f>
        <v>78.188539741219969</v>
      </c>
      <c r="FY182" s="98">
        <f>IF(ISERROR((FX182/FV182-1)*100),"NA",IF(((FX182/FV182-1)*100)&gt;100,"NM",IF(((FX182/FV182-1)*100)&lt;-50,"NM",(FX182/FV182-1)*100)))</f>
        <v>7.5347708516477097</v>
      </c>
      <c r="FZ182" s="106">
        <f>FZ174/FZ165*100</f>
        <v>68.271667511403962</v>
      </c>
      <c r="GA182" s="98">
        <f>IF(ISERROR((FZ182/FX182-1)*100),"NA",IF(((FZ182/FX182-1)*100)&gt;100,"NM",IF(((FZ182/FX182-1)*100)&lt;-50,"NM",(FZ182/FX182-1)*100)))</f>
        <v>-12.683281031514094</v>
      </c>
      <c r="GB182" s="483">
        <f>GB174/GB165*100</f>
        <v>70.380724174653892</v>
      </c>
      <c r="GC182" s="98">
        <f>IF(ISERROR((GB182/FZ182-1)*100),"NA",IF(((GB182/FZ182-1)*100)&gt;100,"NM",IF(((GB182/FZ182-1)*100)&lt;-50,"NM",(GB182/FZ182-1)*100)))</f>
        <v>3.0892121726741717</v>
      </c>
      <c r="GD182" s="106">
        <f>GD174/GD165*100</f>
        <v>70.716588147780811</v>
      </c>
      <c r="GE182" s="98">
        <f>IF(ISERROR((GD182/GB182-1)*100),"NA",IF(((GD182/GB182-1)*100)&gt;100,"NM",IF(((GD182/GB182-1)*100)&lt;-50,"NM",(GD182/GB182-1)*100)))</f>
        <v>0.47721016949677786</v>
      </c>
      <c r="GF182" s="106">
        <f>GF174/GF165*100</f>
        <v>67.447916666666657</v>
      </c>
      <c r="GG182" s="98">
        <f>IF(ISERROR((GF182/GD182-1)*100),"NA",IF(((GF182/GD182-1)*100)&gt;100,"NM",IF(((GF182/GD182-1)*100)&lt;-50,"NM",(GF182/GD182-1)*100)))</f>
        <v>-4.6222132129499993</v>
      </c>
      <c r="GH182" s="106">
        <f>GH174/GH165*100</f>
        <v>65.260736196319016</v>
      </c>
      <c r="GI182" s="98">
        <f>IF(ISERROR((GH182/GF182-1)*100),"NA",IF(((GH182/GF182-1)*100)&gt;100,"NM",IF(((GH182/GF182-1)*100)&lt;-50,"NM",(GH182/GF182-1)*100)))</f>
        <v>-3.2427695004382029</v>
      </c>
      <c r="GJ182" s="106">
        <f>GJ174/GJ165*100</f>
        <v>69.503546099290787</v>
      </c>
      <c r="GK182" s="98">
        <f>IF(ISERROR((GJ182/GH182-1)*100),"NA",IF(((GJ182/GH182-1)*100)&gt;100,"NM",IF(((GJ182/GH182-1)*100)&lt;-50,"NM",(GJ182/GH182-1)*100)))</f>
        <v>6.5013209324032761</v>
      </c>
      <c r="GL182" s="106">
        <f>GL174/GL165*100</f>
        <v>70.477768572217613</v>
      </c>
      <c r="GM182" s="98">
        <f>IF(ISERROR((GL182/GJ182-1)*100),"NA",IF(((GL182/GJ182-1)*100)&gt;100,"NM",IF(((GL182/GJ182-1)*100)&lt;-50,"NM",(GL182/GJ182-1)*100)))</f>
        <v>1.4016874355375686</v>
      </c>
      <c r="GN182" s="106">
        <f>GN174/GN165*100</f>
        <v>78.546751365206731</v>
      </c>
      <c r="GO182" s="98">
        <f>IF(ISERROR((GN182/GL182-1)*100),"NA",IF(((GN182/GL182-1)*100)&gt;100,"NM",IF(((GN182/GL182-1)*100)&lt;-50,"NM",(GN182/GL182-1)*100)))</f>
        <v>11.448975977042952</v>
      </c>
      <c r="GP182" s="106">
        <f>GP174/GP165*100</f>
        <v>79.047958337550142</v>
      </c>
      <c r="GQ182" s="98">
        <f>IF(ISERROR((GP182/GN182-1)*100),"NA",IF(((GP182/GN182-1)*100)&gt;100,"NM",IF(((GP182/GN182-1)*100)&lt;-50,"NM",(GP182/GN182-1)*100)))</f>
        <v>0.63810019336512092</v>
      </c>
      <c r="GR182" s="110">
        <f>GP182</f>
        <v>79.047958337550142</v>
      </c>
      <c r="GS182" s="98">
        <f>IF(ISERROR((GR182/GP182-1)*100),"NA",IF(((GR182/GP182-1)*100)&gt;100,"NM",IF(((GR182/GP182-1)*100)&lt;-50,"NM",(GR182/GP182-1)*100)))</f>
        <v>0</v>
      </c>
      <c r="GT182" s="110">
        <f>GR182</f>
        <v>79.047958337550142</v>
      </c>
      <c r="GU182" s="98">
        <f>IF(ISERROR((GT182/GR182-1)*100),"NA",IF(((GT182/GR182-1)*100)&gt;100,"NM",IF(((GT182/GR182-1)*100)&lt;-50,"NM",(GT182/GR182-1)*100)))</f>
        <v>0</v>
      </c>
      <c r="GV182" s="110">
        <f>GT182+0.05</f>
        <v>79.097958337550139</v>
      </c>
      <c r="GW182" s="98">
        <f>IF(ISERROR((GV182/GT182-1)*100),"NA",IF(((GV182/GT182-1)*100)&gt;100,"NM",IF(((GV182/GT182-1)*100)&lt;-50,"NM",(GV182/GT182-1)*100)))</f>
        <v>6.325274055338781E-2</v>
      </c>
      <c r="GX182" s="110">
        <f>GV182+0.05</f>
        <v>79.147958337550136</v>
      </c>
      <c r="GY182" s="98">
        <f>IF(ISERROR((GX182/GV182-1)*100),"NA",IF(((GX182/GV182-1)*100)&gt;100,"NM",IF(((GX182/GV182-1)*100)&lt;-50,"NM",(GX182/GV182-1)*100)))</f>
        <v>6.3212756752362154E-2</v>
      </c>
      <c r="GZ182" s="98">
        <f>IF(ISERROR(((GX182/GN182)^0.2-1)*100),"NA",IF((((GX182/GN182)^0.2-1)*100)&gt;100,"NM",IF((((GX182/GN182)^0.2-1)*100)&lt;-50,"NM",((GX182/GN182)^0.2-1)*100)))</f>
        <v>0.15261603666665291</v>
      </c>
      <c r="HA182" s="98"/>
      <c r="HB182" s="10"/>
      <c r="HC182"/>
      <c r="HD182"/>
      <c r="HE182"/>
      <c r="HF182"/>
      <c r="HG182"/>
      <c r="HH182"/>
      <c r="HI182" s="10"/>
    </row>
    <row r="183" spans="1:217" s="143" customFormat="1" ht="12.75" hidden="1" customHeight="1" outlineLevel="1" x14ac:dyDescent="0.2">
      <c r="B183" s="140" t="s">
        <v>476</v>
      </c>
      <c r="C183" s="198"/>
      <c r="D183" s="199"/>
      <c r="E183" s="198"/>
      <c r="F183" s="199"/>
      <c r="G183" s="198"/>
      <c r="H183" s="199"/>
      <c r="I183" s="198"/>
      <c r="J183" s="199"/>
      <c r="K183" s="198"/>
      <c r="L183" s="199"/>
      <c r="M183" s="198"/>
      <c r="N183" s="199"/>
      <c r="O183" s="198"/>
      <c r="P183" s="199"/>
      <c r="Q183" s="198"/>
      <c r="R183" s="199"/>
      <c r="S183" s="198"/>
      <c r="T183" s="199"/>
      <c r="U183" s="198"/>
      <c r="V183" s="199"/>
      <c r="W183" s="198"/>
      <c r="X183" s="199"/>
      <c r="Y183" s="198"/>
      <c r="Z183" s="199"/>
      <c r="AA183" s="198"/>
      <c r="AB183" s="199"/>
      <c r="AC183" s="198"/>
      <c r="AD183" s="199"/>
      <c r="AE183" s="198"/>
      <c r="AF183" s="199"/>
      <c r="AG183" s="198"/>
      <c r="AH183" s="199"/>
      <c r="AI183" s="198"/>
      <c r="AJ183" s="199"/>
      <c r="AK183" s="198"/>
      <c r="AL183" s="199"/>
      <c r="AM183" s="198"/>
      <c r="AN183" s="199"/>
      <c r="AO183" s="198"/>
      <c r="AP183" s="199"/>
      <c r="AQ183" s="198"/>
      <c r="AR183" s="199"/>
      <c r="AS183" s="198"/>
      <c r="AT183" s="199"/>
      <c r="AU183" s="198"/>
      <c r="AV183" s="199"/>
      <c r="AW183" s="198"/>
      <c r="AX183" s="199"/>
      <c r="AY183" s="198"/>
      <c r="AZ183" s="199"/>
      <c r="BA183" s="198"/>
      <c r="BB183" s="199"/>
      <c r="BC183" s="198"/>
      <c r="BD183" s="199"/>
      <c r="BE183" s="198"/>
      <c r="BF183" s="199"/>
      <c r="BG183" s="198"/>
      <c r="BH183" s="199"/>
      <c r="BI183" s="198"/>
      <c r="BJ183" s="199"/>
      <c r="BK183" s="198"/>
      <c r="BL183" s="199"/>
      <c r="BM183" s="198"/>
      <c r="BN183" s="104"/>
      <c r="BO183" s="105"/>
      <c r="BP183" s="104"/>
      <c r="BQ183" s="105"/>
      <c r="BR183" s="104"/>
      <c r="BS183" s="105"/>
      <c r="BT183" s="104"/>
      <c r="BU183" s="105"/>
      <c r="BV183" s="104"/>
      <c r="BW183" s="105"/>
      <c r="BX183" s="104"/>
      <c r="BY183" s="105"/>
      <c r="BZ183" s="104"/>
      <c r="CA183" s="105"/>
      <c r="CB183" s="104"/>
      <c r="CC183" s="105"/>
      <c r="CD183" s="104"/>
      <c r="CE183" s="105"/>
      <c r="CF183" s="104"/>
      <c r="CG183" s="105"/>
      <c r="CH183" s="104"/>
      <c r="CI183" s="105"/>
      <c r="CJ183" s="104"/>
      <c r="CK183" s="105"/>
      <c r="CL183" s="104"/>
      <c r="CM183" s="105"/>
      <c r="CN183" s="104"/>
      <c r="CO183" s="105"/>
      <c r="CP183" s="104"/>
      <c r="CQ183" s="522"/>
      <c r="CR183" s="104"/>
      <c r="CS183" s="105"/>
      <c r="CT183" s="104"/>
      <c r="CU183" s="105"/>
      <c r="CV183" s="104"/>
      <c r="CW183" s="105"/>
      <c r="CX183" s="104"/>
      <c r="CY183" s="105"/>
      <c r="CZ183" s="104"/>
      <c r="DA183" s="105"/>
      <c r="DB183" s="104"/>
      <c r="DC183" s="105"/>
      <c r="DD183" s="104"/>
      <c r="DE183" s="105"/>
      <c r="DF183" s="104"/>
      <c r="DG183" s="105"/>
      <c r="DH183" s="104"/>
      <c r="DI183" s="105"/>
      <c r="DJ183" s="104"/>
      <c r="DK183" s="105"/>
      <c r="DL183" s="104"/>
      <c r="DM183" s="105"/>
      <c r="DN183" s="104"/>
      <c r="DO183" s="105"/>
      <c r="DP183" s="104"/>
      <c r="DQ183" s="105"/>
      <c r="DR183" s="104"/>
      <c r="DS183" s="105"/>
      <c r="DT183" s="104"/>
      <c r="DU183" s="105"/>
      <c r="DV183" s="104"/>
      <c r="DW183" s="105"/>
      <c r="DX183" s="104"/>
      <c r="DY183" s="105"/>
      <c r="DZ183" s="104"/>
      <c r="EA183" s="105"/>
      <c r="EB183" s="104"/>
      <c r="EC183" s="105"/>
      <c r="ED183" s="104"/>
      <c r="EE183" s="105"/>
      <c r="EF183" s="1019"/>
      <c r="EG183" s="105"/>
      <c r="EH183" s="1019"/>
      <c r="EI183" s="105"/>
      <c r="EJ183" s="1019"/>
      <c r="EK183" s="105"/>
      <c r="EL183" s="1019"/>
      <c r="EM183" s="105"/>
      <c r="EN183" s="1019"/>
      <c r="EO183" s="105"/>
      <c r="EP183" s="104"/>
      <c r="EQ183" s="1018">
        <f>IF($B$6=1,EQ182,IF($B$6=2,EQ182+EQ884,IF($B$6=3,EQ182+EQ885)))</f>
        <v>78</v>
      </c>
      <c r="ER183" s="104"/>
      <c r="ES183" s="1018">
        <f>IF($B$6=1,ES182,IF($B$6=2,ES182+ES884,IF($B$6=3,ES182+ES885)))</f>
        <v>78.7</v>
      </c>
      <c r="ET183" s="104"/>
      <c r="EU183" s="1018">
        <f>IF($B$6=1,EU182,IF($B$6=2,EU182+EU884,IF($B$6=3,EU182+EU885)))</f>
        <v>79.400000000000006</v>
      </c>
      <c r="EV183" s="104"/>
      <c r="EW183" s="1018">
        <f>IF($B$6=1,EW182,IF($B$6=2,EW182+EW884,IF($B$6=3,EW182+EW885)))</f>
        <v>80.100000000000009</v>
      </c>
      <c r="EX183" s="104"/>
      <c r="EY183" s="141"/>
      <c r="EZ183" s="595"/>
      <c r="FA183" s="406"/>
      <c r="FB183" s="105"/>
      <c r="FC183" s="104"/>
      <c r="FD183" s="105"/>
      <c r="FE183" s="104"/>
      <c r="FF183" s="105"/>
      <c r="FG183" s="104"/>
      <c r="FH183" s="105"/>
      <c r="FI183" s="104"/>
      <c r="FJ183" s="105"/>
      <c r="FK183" s="104"/>
      <c r="FL183" s="105"/>
      <c r="FM183" s="104"/>
      <c r="FN183" s="105"/>
      <c r="FO183" s="104"/>
      <c r="FP183" s="105"/>
      <c r="FQ183" s="104"/>
      <c r="FR183" s="141"/>
      <c r="FS183" s="109"/>
      <c r="FT183" s="141"/>
      <c r="FU183" s="109"/>
      <c r="FV183" s="141"/>
      <c r="FW183" s="104"/>
      <c r="FX183" s="491"/>
      <c r="FY183" s="104"/>
      <c r="FZ183" s="141"/>
      <c r="GA183" s="104"/>
      <c r="GB183" s="491"/>
      <c r="GC183" s="104"/>
      <c r="GD183" s="141"/>
      <c r="GE183" s="104"/>
      <c r="GF183" s="141"/>
      <c r="GG183" s="104"/>
      <c r="GH183" s="141"/>
      <c r="GI183" s="104"/>
      <c r="GJ183" s="141"/>
      <c r="GK183" s="104"/>
      <c r="GL183" s="141"/>
      <c r="GM183" s="104"/>
      <c r="GN183" s="141"/>
      <c r="GO183" s="104"/>
      <c r="GP183" s="141"/>
      <c r="GQ183" s="104"/>
      <c r="GR183" s="141">
        <f>IF($B$6=1,GR182,IF($B$6=2,GR182+GR884,IF($B$6=3,GR182+GR885)))</f>
        <v>79.047958337550142</v>
      </c>
      <c r="GS183" s="104"/>
      <c r="GT183" s="141">
        <f>IF($B$6=1,GT182,IF($B$6=2,GT182+GT884,IF($B$6=3,GT182+GT885)))</f>
        <v>79.047958337550142</v>
      </c>
      <c r="GU183" s="104"/>
      <c r="GV183" s="141">
        <f>IF($B$6=1,GV182,IF($B$6=2,GV182+GV884,IF($B$6=3,GV182+GV885)))</f>
        <v>79.097958337550139</v>
      </c>
      <c r="GW183" s="104"/>
      <c r="GX183" s="141">
        <f>IF($B$6=1,GX182,IF($B$6=2,GX182+GX884,IF($B$6=3,GX182+GX885)))</f>
        <v>79.147958337550136</v>
      </c>
      <c r="GY183" s="104"/>
      <c r="GZ183" s="104"/>
      <c r="HA183" s="104"/>
      <c r="HB183" s="111"/>
      <c r="HC183"/>
      <c r="HD183"/>
      <c r="HE183"/>
      <c r="HF183"/>
      <c r="HG183"/>
      <c r="HH183"/>
      <c r="HI183" s="111"/>
    </row>
    <row r="184" spans="1:217" s="2" customFormat="1" ht="12.75" customHeight="1" collapsed="1" x14ac:dyDescent="0.2">
      <c r="B184" s="91" t="s">
        <v>557</v>
      </c>
      <c r="C184" s="166">
        <f>C177/C165*100</f>
        <v>16.783216783216783</v>
      </c>
      <c r="D184" s="156"/>
      <c r="E184" s="166">
        <f>E177/E165*100</f>
        <v>17.171717171717169</v>
      </c>
      <c r="F184" s="156"/>
      <c r="G184" s="166">
        <f>G177/G165*100</f>
        <v>22.351421188630489</v>
      </c>
      <c r="H184" s="156"/>
      <c r="I184" s="166">
        <f>I177/I165*100</f>
        <v>18.658536585365855</v>
      </c>
      <c r="J184" s="156"/>
      <c r="K184" s="166">
        <f>K177/K165*100</f>
        <v>17.095115681233931</v>
      </c>
      <c r="L184" s="156">
        <f>IF(ISERROR((K184/C184-1)*100),"NA",IF(((K184/C184-1)*100)&gt;100,"NM",IF(((K184/C184-1)*100)&lt;-50,"NM",(K184/C184-1)*100)))</f>
        <v>1.858397600685513</v>
      </c>
      <c r="M184" s="166">
        <f>M177/M165*100</f>
        <v>17.037037037037038</v>
      </c>
      <c r="N184" s="156">
        <f>IF(ISERROR((M184/E184-1)*100),"NA",IF(((M184/E184-1)*100)&gt;100,"NM",IF(((M184/E184-1)*100)&lt;-50,"NM",(M184/E184-1)*100)))</f>
        <v>-0.78431372549018219</v>
      </c>
      <c r="O184" s="166">
        <f>O177/O165*100</f>
        <v>14.785992217898833</v>
      </c>
      <c r="P184" s="156">
        <f>IF(ISERROR((O184/G184-1)*100),"NA",IF(((O184/G184-1)*100)&gt;100,"NM",IF(((O184/G184-1)*100)&lt;-50,"NM",(O184/G184-1)*100)))</f>
        <v>-33.847641753446837</v>
      </c>
      <c r="Q184" s="166">
        <f>Q177/Q165*100</f>
        <v>13.093709884467266</v>
      </c>
      <c r="R184" s="156">
        <f>IF(ISERROR((Q184/I184-1)*100),"NA",IF(((Q184/I184-1)*100)&gt;100,"NM",IF(((Q184/I184-1)*100)&lt;-50,"NM",(Q184/I184-1)*100)))</f>
        <v>-29.824561403508774</v>
      </c>
      <c r="S184" s="166">
        <f>S177/S165*100</f>
        <v>11.621233859397417</v>
      </c>
      <c r="T184" s="156">
        <f>IF(ISERROR((S184/K184-1)*100),"NA",IF(((S184/K184-1)*100)&gt;100,"NM",IF(((S184/K184-1)*100)&lt;-50,"NM",(S184/K184-1)*100)))</f>
        <v>-32.020150807434646</v>
      </c>
      <c r="U184" s="166">
        <f>U177/U165*100</f>
        <v>6.8204613841524573</v>
      </c>
      <c r="V184" s="156" t="str">
        <f>IF(ISERROR((U184/M184-1)*100),"NA",IF(((U184/M184-1)*100)&gt;100,"NM",IF(((U184/M184-1)*100)&lt;-50,"NM",(U184/M184-1)*100)))</f>
        <v>NM</v>
      </c>
      <c r="W184" s="166">
        <f>W177/W165*100</f>
        <v>8.213820078226858</v>
      </c>
      <c r="X184" s="156">
        <f>IF(ISERROR((W184/O184-1)*100),"NA",IF(((W184/O184-1)*100)&gt;100,"NM",IF(((W184/O184-1)*100)&lt;-50,"NM",(W184/O184-1)*100)))</f>
        <v>-44.448637891992036</v>
      </c>
      <c r="Y184" s="166">
        <f>Y177/Y165*100</f>
        <v>4.8178613396004701</v>
      </c>
      <c r="Z184" s="156" t="str">
        <f>IF(ISERROR((Y184/Q184-1)*100),"NA",IF(((Y184/Q184-1)*100)&gt;100,"NM",IF(((Y184/Q184-1)*100)&lt;-50,"NM",(Y184/Q184-1)*100)))</f>
        <v>NM</v>
      </c>
      <c r="AA184" s="166">
        <f>AA177/AA165*100</f>
        <v>11.574697173620457</v>
      </c>
      <c r="AB184" s="156">
        <f>IF(ISERROR((AA184/S184-1)*100),"NA",IF(((AA184/S184-1)*100)&gt;100,"NM",IF(((AA184/S184-1)*100)&lt;-50,"NM",(AA184/S184-1)*100)))</f>
        <v>-0.40044530847581639</v>
      </c>
      <c r="AC184" s="166">
        <f>AC177/AC165*100</f>
        <v>9.1290661070304306</v>
      </c>
      <c r="AD184" s="156">
        <f>IF(ISERROR((AC184/U184-1)*100),"NA",IF(((AC184/U184-1)*100)&gt;100,"NM",IF(((AC184/U184-1)*100)&lt;-50,"NM",(AC184/U184-1)*100)))</f>
        <v>33.848219245725588</v>
      </c>
      <c r="AE184" s="166">
        <f>AE177/AE165*100</f>
        <v>7.8250863060989646</v>
      </c>
      <c r="AF184" s="156">
        <f>IF(ISERROR((AE184/W184-1)*100),"NA",IF(((AE184/W184-1)*100)&gt;100,"NM",IF(((AE184/W184-1)*100)&lt;-50,"NM",(AE184/W184-1)*100)))</f>
        <v>-4.7326794162237178</v>
      </c>
      <c r="AG184" s="166">
        <f>AG177/AG165*100</f>
        <v>9.316770186335404</v>
      </c>
      <c r="AH184" s="156">
        <f>IF(ISERROR((AG184/Y184-1)*100),"NA",IF(((AG184/Y184-1)*100)&gt;100,"NM",IF(((AG184/Y184-1)*100)&lt;-50,"NM",(AG184/Y184-1)*100)))</f>
        <v>93.379790940766554</v>
      </c>
      <c r="AI184" s="241">
        <f>AI177/AI165*100</f>
        <v>7.4594594594594597</v>
      </c>
      <c r="AJ184" s="156">
        <f>IF(ISERROR((AI184/AA184-1)*100),"NA",IF(((AI184/AA184-1)*100)&gt;100,"NM",IF(((AI184/AA184-1)*100)&lt;-50,"NM",(AI184/AA184-1)*100)))</f>
        <v>-35.553739786297925</v>
      </c>
      <c r="AK184" s="241">
        <f>AK177/AK165*100</f>
        <v>9.4915254237288131</v>
      </c>
      <c r="AL184" s="156">
        <f>IF(ISERROR((AK184/AC184-1)*100),"NA",IF(((AK184/AC184-1)*100)&gt;100,"NM",IF(((AK184/AC184-1)*100)&lt;-50,"NM",(AK184/AC184-1)*100)))</f>
        <v>3.9703876875121669</v>
      </c>
      <c r="AM184" s="241">
        <f>AM177/AM165*100</f>
        <v>8.2214765100671148</v>
      </c>
      <c r="AN184" s="156">
        <f>IF(ISERROR((AM184/AE184-1)*100),"NA",IF(((AM184/AE184-1)*100)&gt;100,"NM",IF(((AM184/AE184-1)*100)&lt;-50,"NM",(AM184/AE184-1)*100)))</f>
        <v>5.0656336360047405</v>
      </c>
      <c r="AO184" s="241">
        <f>AO177/AO165*100</f>
        <v>10.773751224289912</v>
      </c>
      <c r="AP184" s="156">
        <f>IF(ISERROR((AO184/AG184-1)*100),"NA",IF(((AO184/AG184-1)*100)&gt;100,"NM",IF(((AO184/AG184-1)*100)&lt;-50,"NM",(AO184/AG184-1)*100)))</f>
        <v>15.638263140711729</v>
      </c>
      <c r="AQ184" s="241">
        <f>AQ177/AQ165*100</f>
        <v>7.7178423236514524</v>
      </c>
      <c r="AR184" s="156">
        <f>IF(ISERROR((AQ184/AI184-1)*100),"NA",IF(((AQ184/AI184-1)*100)&gt;100,"NM",IF(((AQ184/AI184-1)*100)&lt;-50,"NM",(AQ184/AI184-1)*100)))</f>
        <v>3.4638282518491881</v>
      </c>
      <c r="AS184" s="241">
        <f>AS177/AS165*100</f>
        <v>7.5455333911535121</v>
      </c>
      <c r="AT184" s="156">
        <f>IF(ISERROR((AS184/AK184-1)*100),"NA",IF(((AS184/AK184-1)*100)&gt;100,"NM",IF(((AS184/AK184-1)*100)&lt;-50,"NM",(AS184/AK184-1)*100)))</f>
        <v>-20.502416057489782</v>
      </c>
      <c r="AU184" s="241">
        <f>AU177/AU165*100</f>
        <v>8.4507042253521121</v>
      </c>
      <c r="AV184" s="156">
        <f>IF(ISERROR((AU184/AM184-1)*100),"NA",IF(((AU184/AM184-1)*100)&gt;100,"NM",IF(((AU184/AM184-1)*100)&lt;-50,"NM",(AU184/AM184-1)*100)))</f>
        <v>2.7881575165277228</v>
      </c>
      <c r="AW184" s="241">
        <f>AW177/AW165*100</f>
        <v>9.6416382252559725</v>
      </c>
      <c r="AX184" s="156">
        <f>IF(ISERROR((AW184/AO184-1)*100),"NA",IF(((AW184/AO184-1)*100)&gt;100,"NM",IF(((AW184/AO184-1)*100)&lt;-50,"NM",(AW184/AO184-1)*100)))</f>
        <v>-10.508067018305933</v>
      </c>
      <c r="AY184" s="166">
        <f>AY177/AY165*100</f>
        <v>7.7348066298342539</v>
      </c>
      <c r="AZ184" s="156">
        <f>IF(ISERROR((AY184/AQ184-1)*100),"NA",IF(((AY184/AQ184-1)*100)&gt;100,"NM",IF(((AY184/AQ184-1)*100)&lt;-50,"NM",(AY184/AQ184-1)*100)))</f>
        <v>0.21980633279865547</v>
      </c>
      <c r="BA184" s="166">
        <f>BA177/BA165*100</f>
        <v>9.8428453267162936</v>
      </c>
      <c r="BB184" s="156">
        <f>IF(ISERROR((BA184/AS184-1)*100),"NA",IF(((BA184/AS184-1)*100)&gt;100,"NM",IF(((BA184/AS184-1)*100)&lt;-50,"NM",(BA184/AS184-1)*100)))</f>
        <v>30.445984617286072</v>
      </c>
      <c r="BC184" s="166">
        <f>BC177/BC165*100</f>
        <v>8.1918819188191883</v>
      </c>
      <c r="BD184" s="156">
        <f>IF(ISERROR((BC184/AU184-1)*100),"NA",IF(((BC184/AU184-1)*100)&gt;100,"NM",IF(((BC184/AU184-1)*100)&lt;-50,"NM",(BC184/AU184-1)*100)))</f>
        <v>-3.0627306273062649</v>
      </c>
      <c r="BE184" s="166">
        <f>BE177/BE165*100</f>
        <v>7.7656675749318795</v>
      </c>
      <c r="BF184" s="156">
        <f>IF(ISERROR((BE184/AW184-1)*100),"NA",IF(((BE184/AW184-1)*100)&gt;100,"NM",IF(((BE184/AW184-1)*100)&lt;-50,"NM",(BE184/AW184-1)*100)))</f>
        <v>-19.456969930795019</v>
      </c>
      <c r="BG184" s="166">
        <f>BG177/BG165*100</f>
        <v>6.9476971116315376</v>
      </c>
      <c r="BH184" s="156">
        <f>IF(ISERROR((BG184/AY184-1)*100),"NA",IF(((BG184/AY184-1)*100)&gt;100,"NM",IF(((BG184/AY184-1)*100)&lt;-50,"NM",(BG184/AY184-1)*100)))</f>
        <v>-10.17620162819226</v>
      </c>
      <c r="BI184" s="166">
        <f>BI177/BI165*100</f>
        <v>7.0889894419306181</v>
      </c>
      <c r="BJ184" s="156">
        <f>IF(ISERROR((BI184/BA184-1)*100),"NA",IF(((BI184/BA184-1)*100)&gt;100,"NM",IF(((BI184/BA184-1)*100)&lt;-50,"NM",(BI184/BA184-1)*100)))</f>
        <v>-27.978250123578839</v>
      </c>
      <c r="BK184" s="166">
        <f>BK177/BK165*100</f>
        <v>7.1097372488408039</v>
      </c>
      <c r="BL184" s="156">
        <f>IF(ISERROR((BK184/BC184-1)*100),"NA",IF(((BK184/BC184-1)*100)&gt;100,"NM",IF(((BK184/BC184-1)*100)&lt;-50,"NM",(BK184/BC184-1)*100)))</f>
        <v>-13.209964214600999</v>
      </c>
      <c r="BM184" s="166">
        <f>BM177/BM165*100</f>
        <v>4.93915533285612</v>
      </c>
      <c r="BN184" s="98">
        <f>IF(ISERROR((BM184/BE184-1)*100),"NA",IF(((BM184/BE184-1)*100)&gt;100,"NM",IF(((BM184/BE184-1)*100)&lt;-50,"NM",(BM184/BE184-1)*100)))</f>
        <v>-36.397543608484348</v>
      </c>
      <c r="BO184" s="137">
        <f>BO177/BO165*100</f>
        <v>5.5273189326556542</v>
      </c>
      <c r="BP184" s="98">
        <f>IF(ISERROR((BO184/BG184-1)*100),"NA",IF(((BO184/BG184-1)*100)&gt;100,"NM",IF(((BO184/BG184-1)*100)&lt;-50,"NM",(BO184/BG184-1)*100)))</f>
        <v>-20.443870194023674</v>
      </c>
      <c r="BQ184" s="137">
        <f>BQ177/BQ165*100</f>
        <v>5.5854643337819647</v>
      </c>
      <c r="BR184" s="98">
        <f>IF(ISERROR((BQ184/BI184-1)*100),"NA",IF(((BQ184/BI184-1)*100)&gt;100,"NM",IF(((BQ184/BI184-1)*100)&lt;-50,"NM",(BQ184/BI184-1)*100)))</f>
        <v>-21.20930099367143</v>
      </c>
      <c r="BS184" s="137">
        <f>BS177/BS165*100</f>
        <v>4.7400611620795106</v>
      </c>
      <c r="BT184" s="98">
        <f>IF(ISERROR((BS184/BK184-1)*100),"NA",IF(((BS184/BK184-1)*100)&gt;100,"NM",IF(((BS184/BK184-1)*100)&lt;-50,"NM",(BS184/BK184-1)*100)))</f>
        <v>-33.330009307272981</v>
      </c>
      <c r="BU184" s="137">
        <f>BU177/BU165*100</f>
        <v>9.1264667535853974</v>
      </c>
      <c r="BV184" s="98">
        <f>IF(ISERROR((BU184/BM184-1)*100),"NA",IF(((BU184/BM184-1)*100)&gt;100,"NM",IF(((BU184/BM184-1)*100)&lt;-50,"NM",(BU184/BM184-1)*100)))</f>
        <v>84.777884851576829</v>
      </c>
      <c r="BW184" s="137">
        <f>BW177/BW165*100</f>
        <v>9.8617511520737331</v>
      </c>
      <c r="BX184" s="98">
        <f>IF(ISERROR((BW184/BO184-1)*100),"NA",IF(((BW184/BO184-1)*100)&gt;100,"NM",IF(((BW184/BO184-1)*100)&lt;-50,"NM",(BW184/BO184-1)*100)))</f>
        <v>78.418348429471905</v>
      </c>
      <c r="BY184" s="137">
        <f>BY177/BY165*100</f>
        <v>7.6489028213166135</v>
      </c>
      <c r="BZ184" s="98">
        <f>IF(ISERROR((BY184/BQ184-1)*100),"NA",IF(((BY184/BQ184-1)*100)&gt;100,"NM",IF(((BY184/BQ184-1)*100)&lt;-50,"NM",(BY184/BQ184-1)*100)))</f>
        <v>36.943007138270943</v>
      </c>
      <c r="CA184" s="137">
        <f>CA177/CA165*100</f>
        <v>8.4479371316306473</v>
      </c>
      <c r="CB184" s="98">
        <f>IF(ISERROR((CA184/BS184-1)*100),"NA",IF(((CA184/BS184-1)*100)&gt;100,"NM",IF(((CA184/BS184-1)*100)&lt;-50,"NM",(CA184/BS184-1)*100)))</f>
        <v>78.224222067304638</v>
      </c>
      <c r="CC184" s="137">
        <f>CC177/CC165*100</f>
        <v>6.8807339449541285</v>
      </c>
      <c r="CD184" s="98">
        <f>IF(ISERROR((CC184/BU184-1)*100),"NA",IF(((CC184/BU184-1)*100)&gt;100,"NM",IF(((CC184/BU184-1)*100)&lt;-50,"NM",(CC184/BU184-1)*100)))</f>
        <v>-24.606815203145473</v>
      </c>
      <c r="CE184" s="137">
        <f>CE177/CE165*100</f>
        <v>7.1999999999999993</v>
      </c>
      <c r="CF184" s="98">
        <f>IF(ISERROR((CE184/BW184-1)*100),"NA",IF(((CE184/BW184-1)*100)&gt;100,"NM",IF(((CE184/BW184-1)*100)&lt;-50,"NM",(CE184/BW184-1)*100)))</f>
        <v>-26.990654205607491</v>
      </c>
      <c r="CG184" s="137">
        <f>CG177/CG165*100</f>
        <v>8.087731322823851</v>
      </c>
      <c r="CH184" s="98">
        <f>IF(ISERROR((CG184/BY184-1)*100),"NA",IF(((CG184/BY184-1)*100)&gt;100,"NM",IF(((CG184/BY184-1)*100)&lt;-50,"NM",(CG184/BY184-1)*100)))</f>
        <v>5.7371431139675799</v>
      </c>
      <c r="CI184" s="137">
        <f>CI177/CI165*100</f>
        <v>8.4132841328413281</v>
      </c>
      <c r="CJ184" s="98">
        <f>IF(ISERROR((CI184/CA184-1)*100),"NA",IF(((CI184/CA184-1)*100)&gt;100,"NM",IF(((CI184/CA184-1)*100)&lt;-50,"NM",(CI184/CA184-1)*100)))</f>
        <v>-0.41019479962240979</v>
      </c>
      <c r="CK184" s="137">
        <f>CK177/CK165*100</f>
        <v>7.9054054054054053</v>
      </c>
      <c r="CL184" s="98">
        <f>IF(ISERROR((CK184/CC184-1)*100),"NA",IF(((CK184/CC184-1)*100)&gt;100,"NM",IF(((CK184/CC184-1)*100)&lt;-50,"NM",(CK184/CC184-1)*100)))</f>
        <v>14.891891891891884</v>
      </c>
      <c r="CM184" s="137">
        <f>CM177/CM165*100</f>
        <v>8.0604534005037785</v>
      </c>
      <c r="CN184" s="98">
        <f>IF(ISERROR((CM184/CE184-1)*100),"NA",IF(((CM184/CE184-1)*100)&gt;100,"NM",IF(((CM184/CE184-1)*100)&lt;-50,"NM",(CM184/CE184-1)*100)))</f>
        <v>11.95074167366359</v>
      </c>
      <c r="CO184" s="137">
        <f>CO177/CO165*100</f>
        <v>6.0386473429951693</v>
      </c>
      <c r="CP184" s="98">
        <f>IF(ISERROR((CO184/CG184-1)*100),"NA",IF(((CO184/CG184-1)*100)&gt;100,"NM",IF(((CO184/CG184-1)*100)&lt;-50,"NM",(CO184/CG184-1)*100)))</f>
        <v>-25.335707852288536</v>
      </c>
      <c r="CQ184" s="494">
        <f>CQ177/CQ165*100</f>
        <v>6.855439642324888</v>
      </c>
      <c r="CR184" s="98">
        <f>IF(ISERROR((CQ184/CI184-1)*100),"NA",IF(((CQ184/CI184-1)*100)&gt;100,"NM",IF(((CQ184/CI184-1)*100)&lt;-50,"NM",(CQ184/CI184-1)*100)))</f>
        <v>-18.516484953068215</v>
      </c>
      <c r="CS184" s="137">
        <f>CS177/CS165*100</f>
        <v>7.1156979902227055</v>
      </c>
      <c r="CT184" s="98">
        <f>IF(ISERROR((CS184/CK184-1)*100),"NA",IF(((CS184/CK184-1)*100)&gt;100,"NM",IF(((CS184/CK184-1)*100)&lt;-50,"NM",(CS184/CK184-1)*100)))</f>
        <v>-9.9894613202597959</v>
      </c>
      <c r="CU184" s="137">
        <f>CU177/CU165*100</f>
        <v>7.7197149643705458</v>
      </c>
      <c r="CV184" s="98">
        <f>IF(ISERROR((CU184/CM184-1)*100),"NA",IF(((CU184/CM184-1)*100)&gt;100,"NM",IF(((CU184/CM184-1)*100)&lt;-50,"NM",(CU184/CM184-1)*100)))</f>
        <v>-4.2272862232779147</v>
      </c>
      <c r="CW184" s="137">
        <f>CW177/CW165*100</f>
        <v>7.0195627157652467</v>
      </c>
      <c r="CX184" s="98">
        <f>IF(ISERROR((CW184/CO184-1)*100),"NA",IF(((CW184/CO184-1)*100)&gt;100,"NM",IF(((CW184/CO184-1)*100)&lt;-50,"NM",(CW184/CO184-1)*100)))</f>
        <v>16.243958573072483</v>
      </c>
      <c r="CY184" s="137">
        <f>CY177/CY165*100</f>
        <v>7.3984232868405098</v>
      </c>
      <c r="CZ184" s="98">
        <f>IF(ISERROR((CY184/CQ184-1)*100),"NA",IF(((CY184/CQ184-1)*100)&gt;100,"NM",IF(((CY184/CQ184-1)*100)&lt;-50,"NM",(CY184/CQ184-1)*100)))</f>
        <v>7.9204788145648353</v>
      </c>
      <c r="DA184" s="137">
        <f>DA177/DA165*100</f>
        <v>3.7395659432387309</v>
      </c>
      <c r="DB184" s="98">
        <f>IF(ISERROR((DA184/CS184-1)*100),"NA",IF(((DA184/CS184-1)*100)&gt;100,"NM",IF(((DA184/CS184-1)*100)&lt;-50,"NM",(DA184/CS184-1)*100)))</f>
        <v>-47.446252660286234</v>
      </c>
      <c r="DC184" s="137">
        <f>DC177/DC165*100</f>
        <v>8.7905236907730675</v>
      </c>
      <c r="DD184" s="98">
        <f>IF(ISERROR((DC184/CU184-1)*100),"NA",IF(((DC184/CU184-1)*100)&gt;100,"NM",IF(((DC184/CU184-1)*100)&lt;-50,"NM",(DC184/CU184-1)*100)))</f>
        <v>13.871091502014199</v>
      </c>
      <c r="DE184" s="137">
        <f>DE177/DE165*100</f>
        <v>6.8129330254041571</v>
      </c>
      <c r="DF184" s="98">
        <f>IF(ISERROR((DE184/CW184-1)*100),"NA",IF(((DE184/CW184-1)*100)&gt;100,"NM",IF(((DE184/CW184-1)*100)&lt;-50,"NM",(DE184/CW184-1)*100)))</f>
        <v>-2.9436262446522421</v>
      </c>
      <c r="DG184" s="137">
        <f>DG177/DG165*100</f>
        <v>7.9326923076923075</v>
      </c>
      <c r="DH184" s="98">
        <f>IF(ISERROR((DG184/CY184-1)*100),"NA",IF(((DG184/CY184-1)*100)&gt;100,"NM",IF(((DG184/CY184-1)*100)&lt;-50,"NM",(DG184/CY184-1)*100)))</f>
        <v>7.2213902900378324</v>
      </c>
      <c r="DI184" s="137">
        <f>DI177/DI165*100</f>
        <v>4.5522388059701493</v>
      </c>
      <c r="DJ184" s="98">
        <f>IF(ISERROR((DI184/DA184-1)*100),"NA",IF(((DI184/DA184-1)*100)&gt;100,"NM",IF(((DI184/DA184-1)*100)&lt;-50,"NM",(DI184/DA184-1)*100)))</f>
        <v>21.731743070362477</v>
      </c>
      <c r="DK184" s="137">
        <f>DK177/DK165*100</f>
        <v>7.6470588235294121</v>
      </c>
      <c r="DL184" s="98">
        <f>IF(ISERROR((DK184/DC184-1)*100),"NA",IF(((DK184/DC184-1)*100)&gt;100,"NM",IF(((DK184/DC184-1)*100)&lt;-50,"NM",(DK184/DC184-1)*100)))</f>
        <v>-13.007926574885275</v>
      </c>
      <c r="DM184" s="137">
        <f>DM177/DM165*100</f>
        <v>6.7456230690010308</v>
      </c>
      <c r="DN184" s="98">
        <f>IF(ISERROR((DM184/DE184-1)*100),"NA",IF(((DM184/DE184-1)*100)&gt;100,"NM",IF(((DM184/DE184-1)*100)&lt;-50,"NM",(DM184/DE184-1)*100)))</f>
        <v>-0.98797325839165007</v>
      </c>
      <c r="DO184" s="137">
        <f>DO177/DO165*100</f>
        <v>7.6400679117147705</v>
      </c>
      <c r="DP184" s="98">
        <f>IF(ISERROR((DO184/DG184-1)*100),"NA",IF(((DO184/DG184-1)*100)&gt;100,"NM",IF(((DO184/DG184-1)*100)&lt;-50,"NM",(DO184/DG184-1)*100)))</f>
        <v>-3.688840870504706</v>
      </c>
      <c r="DQ184" s="137">
        <f>DQ177/DQ165*100</f>
        <v>4.5647969052224378</v>
      </c>
      <c r="DR184" s="98">
        <f>IF(ISERROR((DQ184/DI184-1)*100),"NA",IF(((DQ184/DI184-1)*100)&gt;100,"NM",IF(((DQ184/DI184-1)*100)&lt;-50,"NM",(DQ184/DI184-1)*100)))</f>
        <v>0.27586644259125492</v>
      </c>
      <c r="DS184" s="137">
        <f>DS177/DS165*100</f>
        <v>7.8378378378378386</v>
      </c>
      <c r="DT184" s="98">
        <f>IF(ISERROR((DS184/DK184-1)*100),"NA",IF(((DS184/DK184-1)*100)&gt;100,"NM",IF(((DS184/DK184-1)*100)&lt;-50,"NM",(DS184/DK184-1)*100)))</f>
        <v>2.4948024948024949</v>
      </c>
      <c r="DU184" s="137">
        <f>DU177/DU165*100</f>
        <v>8.2611592271818779</v>
      </c>
      <c r="DV184" s="98">
        <f>IF(ISERROR((DU184/DM184-1)*100),"NA",IF(((DU184/DM184-1)*100)&gt;100,"NM",IF(((DU184/DM184-1)*100)&lt;-50,"NM",(DU184/DM184-1)*100)))</f>
        <v>22.466955871658058</v>
      </c>
      <c r="DW184" s="137">
        <f>DW177/DW165*100</f>
        <v>4.2052469135802468</v>
      </c>
      <c r="DX184" s="98">
        <f>IF(ISERROR((DW184/DO184-1)*100),"NA",IF(((DW184/DO184-1)*100)&gt;100,"NM",IF(((DW184/DO184-1)*100)&lt;-50,"NM",(DW184/DO184-1)*100)))</f>
        <v>-44.957990397805212</v>
      </c>
      <c r="DY184" s="137">
        <f>DY177/DY165*100</f>
        <v>6.9357589539511082</v>
      </c>
      <c r="DZ184" s="98">
        <f>IF(ISERROR((DY184/DQ184-1)*100),"NA",IF(((DY184/DQ184-1)*100)&gt;100,"NM",IF(((DY184/DQ184-1)*100)&lt;-50,"NM",(DY184/DQ184-1)*100)))</f>
        <v>51.940143186132318</v>
      </c>
      <c r="EA184" s="137">
        <f>EA177/EA165*100</f>
        <v>8.112094395280236</v>
      </c>
      <c r="EB184" s="98">
        <f>IF(ISERROR((EA184/DS184-1)*100),"NA",IF(((EA184/DS184-1)*100)&gt;100,"NM",IF(((EA184/DS184-1)*100)&lt;-50,"NM",(EA184/DS184-1)*100)))</f>
        <v>3.4991353880581721</v>
      </c>
      <c r="EC184" s="137">
        <f>EC177/EC165*100</f>
        <v>6.4918851435705376</v>
      </c>
      <c r="ED184" s="98">
        <f>IF(ISERROR((EC184/DU184-1)*100),"NA",IF(((EC184/DU184-1)*100)&gt;100,"NM",IF(((EC184/DU184-1)*100)&lt;-50,"NM",(EC184/DU184-1)*100)))</f>
        <v>-21.416777415327594</v>
      </c>
      <c r="EE184" s="137">
        <f>EE177/EE165*100</f>
        <v>4.1614648356221391</v>
      </c>
      <c r="EF184" s="860">
        <f>IF(ISERROR((EE184/DW184-1)*100),"NA",IF(((EE184/DW184-1)*100)&gt;100,"NM",IF(((EE184/DW184-1)*100)&lt;-50,"NM",(EE184/DW184-1)*100)))</f>
        <v>-1.0411297804350017</v>
      </c>
      <c r="EG184" s="137">
        <f>EG177/EG165*100</f>
        <v>6.3795853269537472</v>
      </c>
      <c r="EH184" s="860">
        <f>IF(ISERROR((EG184/DY184-1)*100),"NA",IF(((EG184/DY184-1)*100)&gt;100,"NM",IF(((EG184/DY184-1)*100)&lt;-50,"NM",(EG184/DY184-1)*100)))</f>
        <v>-8.0189295892488346</v>
      </c>
      <c r="EI184" s="137">
        <f>EI177/EI165*100</f>
        <v>7.6019350380096746</v>
      </c>
      <c r="EJ184" s="860">
        <f t="shared" ref="EJ184" si="1105">IF(ISERROR((EI184/EA184-1)*100),"NA",IF(((EI184/EA184-1)*100)&gt;100,"NM",IF(((EI184/EA184-1)*100)&lt;-50,"NM",(EI184/EA184-1)*100)))</f>
        <v>-6.2888735314443718</v>
      </c>
      <c r="EK184" s="137">
        <f>EK177/EK165*100</f>
        <v>5.2607291185971388</v>
      </c>
      <c r="EL184" s="860">
        <f t="shared" ref="EL184" si="1106">IF(ISERROR((EK184/EC184-1)*100),"NA",IF(((EK184/EC184-1)*100)&gt;100,"NM",IF(((EK184/EC184-1)*100)&lt;-50,"NM",(EK184/EC184-1)*100)))</f>
        <v>-18.964538000071009</v>
      </c>
      <c r="EM184" s="137">
        <f>EM177/EM165*100</f>
        <v>3.4777483053345124</v>
      </c>
      <c r="EN184" s="860">
        <f t="shared" ref="EN184" si="1107">IF(ISERROR((EM184/EE184-1)*100),"NA",IF(((EM184/EE184-1)*100)&gt;100,"NM",IF(((EM184/EE184-1)*100)&lt;-50,"NM",(EM184/EE184-1)*100)))</f>
        <v>-16.429708222811669</v>
      </c>
      <c r="EO184" s="137">
        <f>EO177/EO165*100</f>
        <v>5.9003051881993898</v>
      </c>
      <c r="EP184" s="98">
        <f t="shared" ref="EP184" si="1108">IF(ISERROR((EO184/EG184-1)*100),"NA",IF(((EO184/EG184-1)*100)&gt;100,"NM",IF(((EO184/EG184-1)*100)&lt;-50,"NM",(EO184/EG184-1)*100)))</f>
        <v>-7.5127161749745541</v>
      </c>
      <c r="EQ184" s="1026">
        <v>5.3</v>
      </c>
      <c r="ER184" s="98">
        <f t="shared" ref="ER184" si="1109">IF(ISERROR((EQ184/EI184-1)*100),"NA",IF(((EQ184/EI184-1)*100)&gt;100,"NM",IF(((EQ184/EI184-1)*100)&lt;-50,"NM",(EQ184/EI184-1)*100)))</f>
        <v>-30.280909090909091</v>
      </c>
      <c r="ES184" s="1026">
        <f t="shared" ref="ES184" si="1110">EQ184</f>
        <v>5.3</v>
      </c>
      <c r="ET184" s="98">
        <f t="shared" ref="ET184" si="1111">IF(ISERROR((ES184/EK184-1)*100),"NA",IF(((ES184/EK184-1)*100)&gt;100,"NM",IF(((ES184/EK184-1)*100)&lt;-50,"NM",(ES184/EK184-1)*100)))</f>
        <v>0.74649122807017854</v>
      </c>
      <c r="EU184" s="1026">
        <f t="shared" ref="EU184" si="1112">ES184</f>
        <v>5.3</v>
      </c>
      <c r="EV184" s="98">
        <f t="shared" ref="EV184" si="1113">IF(ISERROR((EU184/EM184-1)*100),"NA",IF(((EU184/EM184-1)*100)&gt;100,"NM",IF(((EU184/EM184-1)*100)&lt;-50,"NM",(EU184/EM184-1)*100)))</f>
        <v>52.397457627118627</v>
      </c>
      <c r="EW184" s="1026">
        <f t="shared" ref="EW184" si="1114">EU184</f>
        <v>5.3</v>
      </c>
      <c r="EX184" s="98">
        <f t="shared" ref="EX184" si="1115">IF(ISERROR((EW184/EO184-1)*100),"NA",IF(((EW184/EO184-1)*100)&gt;100,"NM",IF(((EW184/EO184-1)*100)&lt;-50,"NM",(EW184/EO184-1)*100)))</f>
        <v>-10.174137931034489</v>
      </c>
      <c r="EY184" s="80"/>
      <c r="EZ184" s="601"/>
      <c r="FA184" s="411"/>
      <c r="FB184" s="125">
        <f>FB177/FB165*100</f>
        <v>18.39160839160839</v>
      </c>
      <c r="FC184" s="233"/>
      <c r="FD184" s="137">
        <f>FD177/FD165*100</f>
        <v>19.229384227583722</v>
      </c>
      <c r="FE184" s="233">
        <f>IF(ISERROR((FD184/FB184-1)*100),"NA",IF(((FD184/FB184-1)*100)&gt;100,"NM",IF(((FD184/FB184-1)*100)&lt;-50,"NM",(FD184/FB184-1)*100)))</f>
        <v>4.5552070169000869</v>
      </c>
      <c r="FF184" s="125">
        <f>FF177/FF165*100</f>
        <v>18.768139309900032</v>
      </c>
      <c r="FG184" s="233">
        <f>IF(ISERROR((FF184/FD184-1)*100),"NA",IF(((FF184/FD184-1)*100)&gt;100,"NM",IF(((FF184/FD184-1)*100)&lt;-50,"NM",(FF184/FD184-1)*100)))</f>
        <v>-2.3986463228606869</v>
      </c>
      <c r="FH184" s="125">
        <f>FH177/FH165*100</f>
        <v>15.451215451215452</v>
      </c>
      <c r="FI184" s="233">
        <f>IF(ISERROR((FH184/FF184-1)*100),"NA",IF(((FH184/FF184-1)*100)&gt;100,"NM",IF(((FH184/FF184-1)*100)&lt;-50,"NM",(FH184/FF184-1)*100)))</f>
        <v>-17.67316303398777</v>
      </c>
      <c r="FJ184" s="125">
        <f>FJ177/FJ165*100</f>
        <v>7.6388888888888893</v>
      </c>
      <c r="FK184" s="233" t="str">
        <f>IF(ISERROR((FJ184/FH184-1)*100),"NA",IF(((FJ184/FH184-1)*100)&gt;100,"NM",IF(((FJ184/FH184-1)*100)&lt;-50,"NM",(FJ184/FH184-1)*100)))</f>
        <v>NM</v>
      </c>
      <c r="FL184" s="125">
        <f>FL177/FL165*100</f>
        <v>9.3741149815916174</v>
      </c>
      <c r="FM184" s="233">
        <f>IF(ISERROR((FL184/FJ184-1)*100),"NA",IF(((FL184/FJ184-1)*100)&gt;100,"NM",IF(((FL184/FJ184-1)*100)&lt;-50,"NM",(FL184/FJ184-1)*100)))</f>
        <v>22.715687031744803</v>
      </c>
      <c r="FN184" s="125">
        <f>FN177/FN165*100</f>
        <v>8.9734029331344765</v>
      </c>
      <c r="FO184" s="233">
        <f>IF(ISERROR((FN184/FL184-1)*100),"NA",IF(((FN184/FL184-1)*100)&gt;100,"NM",IF(((FN184/FL184-1)*100)&lt;-50,"NM",(FN184/FL184-1)*100)))</f>
        <v>-4.2746653870156077</v>
      </c>
      <c r="FP184" s="125">
        <f>FP177/FP165*100</f>
        <v>8.3449512049392549</v>
      </c>
      <c r="FQ184" s="233">
        <f>IF(ISERROR((FP184/FN184-1)*100),"NA",IF(((FP184/FN184-1)*100)&gt;100,"NM",IF(((FP184/FN184-1)*100)&lt;-50,"NM",(FP184/FN184-1)*100)))</f>
        <v>-7.003493912823755</v>
      </c>
      <c r="FR184" s="130">
        <f>FR177/FR165*100</f>
        <v>8.3411964521607853</v>
      </c>
      <c r="FS184" s="120">
        <f>IF(ISERROR((FR184/FP184-1)*100),"NA",IF(((FR184/FP184-1)*100)&gt;100,"NM",IF(((FR184/FP184-1)*100)&lt;-50,"NM",(FR184/FP184-1)*100)))</f>
        <v>-4.499430477492572E-2</v>
      </c>
      <c r="FT184" s="130">
        <f>FT177/FT165*100</f>
        <v>6.4930162325405814</v>
      </c>
      <c r="FU184" s="120">
        <f>IF(ISERROR((FT184/FR184-1)*100),"NA",IF(((FT184/FR184-1)*100)&gt;100,"NM",IF(((FT184/FR184-1)*100)&lt;-50,"NM",(FT184/FR184-1)*100)))</f>
        <v>-22.157255619383399</v>
      </c>
      <c r="FV184" s="130">
        <f>FV177/FV165*100</f>
        <v>6.983199415631848</v>
      </c>
      <c r="FW184" s="98">
        <f>IF(ISERROR((FV184/FT184-1)*100),"NA",IF(((FV184/FT184-1)*100)&gt;100,"NM",IF(((FV184/FT184-1)*100)&lt;-50,"NM",(FV184/FT184-1)*100)))</f>
        <v>7.5493910000509645</v>
      </c>
      <c r="FX184" s="487">
        <f>FX177/FX165*100</f>
        <v>8.032263485128551</v>
      </c>
      <c r="FY184" s="98">
        <f>IF(ISERROR((FX184/FV184-1)*100),"NA",IF(((FX184/FV184-1)*100)&gt;100,"NM",IF(((FX184/FV184-1)*100)&lt;-50,"NM",(FX184/FV184-1)*100)))</f>
        <v>15.022685262981028</v>
      </c>
      <c r="FZ184" s="130">
        <f>FZ177/FZ165*100</f>
        <v>7.8729515120797426</v>
      </c>
      <c r="GA184" s="98">
        <f>IF(ISERROR((FZ184/FX184-1)*100),"NA",IF(((FZ184/FX184-1)*100)&gt;100,"NM",IF(((FZ184/FX184-1)*100)&lt;-50,"NM",(FZ184/FX184-1)*100)))</f>
        <v>-1.9834007355930106</v>
      </c>
      <c r="GB184" s="487">
        <f>GB177/GB165*100</f>
        <v>6.9488817891373804</v>
      </c>
      <c r="GC184" s="98">
        <f>IF(ISERROR((GB184/FZ184-1)*100),"NA",IF(((GB184/FZ184-1)*100)&gt;100,"NM",IF(((GB184/FZ184-1)*100)&lt;-50,"NM",(GB184/FZ184-1)*100)))</f>
        <v>-11.73727186715846</v>
      </c>
      <c r="GD184" s="130">
        <f>GD177/GD165*100</f>
        <v>6.0252913463922644</v>
      </c>
      <c r="GE184" s="98">
        <f>IF(ISERROR((GD184/GB184-1)*100),"NA",IF(((GD184/GB184-1)*100)&gt;100,"NM",IF(((GD184/GB184-1)*100)&lt;-50,"NM",(GD184/GB184-1)*100)))</f>
        <v>-13.291209589849251</v>
      </c>
      <c r="GF184" s="130">
        <f>GF177/GF165*100</f>
        <v>6.6796875000000009</v>
      </c>
      <c r="GG184" s="98">
        <f>IF(ISERROR((GF184/GD184-1)*100),"NA",IF(((GF184/GD184-1)*100)&gt;100,"NM",IF(((GF184/GD184-1)*100)&lt;-50,"NM",(GF184/GD184-1)*100)))</f>
        <v>10.860821759259265</v>
      </c>
      <c r="GH184" s="130">
        <f>GH177/GH165*100</f>
        <v>6.4033742331288348</v>
      </c>
      <c r="GI184" s="98">
        <f>IF(ISERROR((GH184/GF184-1)*100),"NA",IF(((GH184/GF184-1)*100)&gt;100,"NM",IF(((GH184/GF184-1)*100)&lt;-50,"NM",(GH184/GF184-1)*100)))</f>
        <v>-4.1366196677788629</v>
      </c>
      <c r="GJ184" s="130">
        <f>GJ177/GJ165*100</f>
        <v>6.4238952536824883</v>
      </c>
      <c r="GK184" s="98">
        <f>IF(ISERROR((GJ184/GH184-1)*100),"NA",IF(((GJ184/GH184-1)*100)&gt;100,"NM",IF(((GJ184/GH184-1)*100)&lt;-50,"NM",(GJ184/GH184-1)*100)))</f>
        <v>0.32047198565225976</v>
      </c>
      <c r="GL184" s="130">
        <f>GL177/GL165*100</f>
        <v>5.9928196630764985</v>
      </c>
      <c r="GM184" s="98">
        <f>IF(ISERROR((GL184/GJ184-1)*100),"NA",IF(((GL184/GJ184-1)*100)&gt;100,"NM",IF(((GL184/GJ184-1)*100)&lt;-50,"NM",(GL184/GJ184-1)*100)))</f>
        <v>-6.7105015505798615</v>
      </c>
      <c r="GN184" s="130">
        <f>GN177/GN165*100</f>
        <v>5.1042014933689952</v>
      </c>
      <c r="GO184" s="98">
        <f>IF(ISERROR((GN184/GL184-1)*100),"NA",IF(((GN184/GL184-1)*100)&gt;100,"NM",IF(((GN184/GL184-1)*100)&lt;-50,"NM",(GN184/GL184-1)*100)))</f>
        <v>-14.828047891755158</v>
      </c>
      <c r="GP184" s="130">
        <f>GP177/GP165*100</f>
        <v>5.3000000000000016</v>
      </c>
      <c r="GQ184" s="98">
        <f>IF(ISERROR((GP184/GN184-1)*100),"NA",IF(((GP184/GN184-1)*100)&gt;100,"NM",IF(((GP184/GN184-1)*100)&lt;-50,"NM",(GP184/GN184-1)*100)))</f>
        <v>3.8360262008733992</v>
      </c>
      <c r="GR184" s="80">
        <v>5.2</v>
      </c>
      <c r="GS184" s="98">
        <f>IF(ISERROR((GR184/GP184-1)*100),"NA",IF(((GR184/GP184-1)*100)&gt;100,"NM",IF(((GR184/GP184-1)*100)&lt;-50,"NM",(GR184/GP184-1)*100)))</f>
        <v>-1.8867924528302105</v>
      </c>
      <c r="GT184" s="80">
        <f>GR184-0.1</f>
        <v>5.1000000000000005</v>
      </c>
      <c r="GU184" s="98">
        <f>IF(ISERROR((GT184/GR184-1)*100),"NA",IF(((GT184/GR184-1)*100)&gt;100,"NM",IF(((GT184/GR184-1)*100)&lt;-50,"NM",(GT184/GR184-1)*100)))</f>
        <v>-1.9230769230769162</v>
      </c>
      <c r="GV184" s="80">
        <f>GT184</f>
        <v>5.1000000000000005</v>
      </c>
      <c r="GW184" s="98">
        <f>IF(ISERROR((GV184/GT184-1)*100),"NA",IF(((GV184/GT184-1)*100)&gt;100,"NM",IF(((GV184/GT184-1)*100)&lt;-50,"NM",(GV184/GT184-1)*100)))</f>
        <v>0</v>
      </c>
      <c r="GX184" s="80">
        <f>GV184</f>
        <v>5.1000000000000005</v>
      </c>
      <c r="GY184" s="98">
        <f>IF(ISERROR((GX184/GV184-1)*100),"NA",IF(((GX184/GV184-1)*100)&gt;100,"NM",IF(((GX184/GV184-1)*100)&lt;-50,"NM",(GX184/GV184-1)*100)))</f>
        <v>0</v>
      </c>
      <c r="GZ184" s="98">
        <f>IF(ISERROR(((GX184/GN184)^0.2-1)*100),"NA",IF((((GX184/GN184)^0.2-1)*100)&gt;100,"NM",IF((((GX184/GN184)^0.2-1)*100)&lt;-50,"NM",((GX184/GN184)^0.2-1)*100)))</f>
        <v>-1.6468305304473407E-2</v>
      </c>
      <c r="HA184" s="98"/>
      <c r="HB184" s="10"/>
      <c r="HC184"/>
      <c r="HD184"/>
      <c r="HE184"/>
      <c r="HF184"/>
      <c r="HG184"/>
      <c r="HH184"/>
      <c r="HI184" s="10"/>
    </row>
    <row r="185" spans="1:217" s="143" customFormat="1" ht="12.75" hidden="1" customHeight="1" outlineLevel="1" x14ac:dyDescent="0.2">
      <c r="B185" s="140" t="s">
        <v>62</v>
      </c>
      <c r="C185" s="198"/>
      <c r="D185" s="199"/>
      <c r="E185" s="198"/>
      <c r="F185" s="199"/>
      <c r="G185" s="198"/>
      <c r="H185" s="199"/>
      <c r="I185" s="198"/>
      <c r="J185" s="199"/>
      <c r="K185" s="198"/>
      <c r="L185" s="199"/>
      <c r="M185" s="198"/>
      <c r="N185" s="199"/>
      <c r="O185" s="198"/>
      <c r="P185" s="199"/>
      <c r="Q185" s="198"/>
      <c r="R185" s="199"/>
      <c r="S185" s="198"/>
      <c r="T185" s="199"/>
      <c r="U185" s="198"/>
      <c r="V185" s="199"/>
      <c r="W185" s="198"/>
      <c r="X185" s="199"/>
      <c r="Y185" s="198"/>
      <c r="Z185" s="199"/>
      <c r="AA185" s="198"/>
      <c r="AB185" s="199"/>
      <c r="AC185" s="198"/>
      <c r="AD185" s="199"/>
      <c r="AE185" s="198"/>
      <c r="AF185" s="199"/>
      <c r="AG185" s="198"/>
      <c r="AH185" s="199"/>
      <c r="AI185" s="198"/>
      <c r="AJ185" s="199"/>
      <c r="AK185" s="198"/>
      <c r="AL185" s="199"/>
      <c r="AM185" s="198"/>
      <c r="AN185" s="199"/>
      <c r="AO185" s="198"/>
      <c r="AP185" s="199"/>
      <c r="AQ185" s="267"/>
      <c r="AR185" s="199"/>
      <c r="AS185" s="267"/>
      <c r="AT185" s="199"/>
      <c r="AU185" s="267"/>
      <c r="AV185" s="199"/>
      <c r="AW185" s="267"/>
      <c r="AX185" s="199"/>
      <c r="AY185" s="267"/>
      <c r="AZ185" s="199"/>
      <c r="BA185" s="267"/>
      <c r="BB185" s="199"/>
      <c r="BC185" s="267"/>
      <c r="BD185" s="199"/>
      <c r="BE185" s="267"/>
      <c r="BF185" s="199"/>
      <c r="BG185" s="267"/>
      <c r="BH185" s="199"/>
      <c r="BI185" s="267"/>
      <c r="BJ185" s="199"/>
      <c r="BK185" s="267"/>
      <c r="BL185" s="199"/>
      <c r="BM185" s="267"/>
      <c r="BN185" s="104"/>
      <c r="BO185" s="105"/>
      <c r="BP185" s="104"/>
      <c r="BQ185" s="105"/>
      <c r="BR185" s="104"/>
      <c r="BS185" s="105"/>
      <c r="BT185" s="104"/>
      <c r="BU185" s="105"/>
      <c r="BV185" s="104"/>
      <c r="BW185" s="105"/>
      <c r="BX185" s="104"/>
      <c r="BY185" s="105"/>
      <c r="BZ185" s="104"/>
      <c r="CA185" s="105"/>
      <c r="CB185" s="104"/>
      <c r="CC185" s="105"/>
      <c r="CD185" s="104"/>
      <c r="CE185" s="105"/>
      <c r="CF185" s="104"/>
      <c r="CG185" s="105"/>
      <c r="CH185" s="104"/>
      <c r="CI185" s="105"/>
      <c r="CJ185" s="104"/>
      <c r="CK185" s="105"/>
      <c r="CL185" s="104"/>
      <c r="CM185" s="105"/>
      <c r="CN185" s="104"/>
      <c r="CO185" s="105"/>
      <c r="CP185" s="104"/>
      <c r="CQ185" s="522"/>
      <c r="CR185" s="104"/>
      <c r="CS185" s="105"/>
      <c r="CT185" s="104"/>
      <c r="CU185" s="105"/>
      <c r="CV185" s="104"/>
      <c r="CW185" s="105"/>
      <c r="CX185" s="104"/>
      <c r="CY185" s="105"/>
      <c r="CZ185" s="104"/>
      <c r="DA185" s="105"/>
      <c r="DB185" s="104"/>
      <c r="DC185" s="105"/>
      <c r="DD185" s="104"/>
      <c r="DE185" s="105"/>
      <c r="DF185" s="104"/>
      <c r="DG185" s="105"/>
      <c r="DH185" s="104"/>
      <c r="DI185" s="105"/>
      <c r="DJ185" s="104"/>
      <c r="DK185" s="105"/>
      <c r="DL185" s="104"/>
      <c r="DM185" s="105"/>
      <c r="DN185" s="104"/>
      <c r="DO185" s="105"/>
      <c r="DP185" s="104"/>
      <c r="DQ185" s="105"/>
      <c r="DR185" s="104"/>
      <c r="DS185" s="105"/>
      <c r="DT185" s="104"/>
      <c r="DU185" s="105"/>
      <c r="DV185" s="104"/>
      <c r="DW185" s="105"/>
      <c r="DX185" s="104"/>
      <c r="DY185" s="105"/>
      <c r="DZ185" s="104"/>
      <c r="EA185" s="105"/>
      <c r="EB185" s="104"/>
      <c r="EC185" s="105"/>
      <c r="ED185" s="104"/>
      <c r="EE185" s="105"/>
      <c r="EF185" s="1019"/>
      <c r="EG185" s="105"/>
      <c r="EH185" s="1019"/>
      <c r="EI185" s="105"/>
      <c r="EJ185" s="1019"/>
      <c r="EK185" s="105"/>
      <c r="EL185" s="1019"/>
      <c r="EM185" s="105"/>
      <c r="EN185" s="1019"/>
      <c r="EO185" s="105"/>
      <c r="EP185" s="104"/>
      <c r="EQ185" s="1018">
        <f>IF($B$6=1,EQ184,IF($B$6=2,EQ184+EQ889,IF($B$6=3,EQ184+EQ890)))</f>
        <v>5.3</v>
      </c>
      <c r="ER185" s="104"/>
      <c r="ES185" s="1018">
        <f>IF($B$6=1,ES184,IF($B$6=2,ES184+ES889,IF($B$6=3,ES184+ES890)))</f>
        <v>5.3</v>
      </c>
      <c r="ET185" s="104"/>
      <c r="EU185" s="1018">
        <f>IF($B$6=1,EU184,IF($B$6=2,EU184+EU889,IF($B$6=3,EU184+EU890)))</f>
        <v>5.3</v>
      </c>
      <c r="EV185" s="104"/>
      <c r="EW185" s="1018">
        <f>IF($B$6=1,EW184,IF($B$6=2,EW184+EW889,IF($B$6=3,EW184+EW890)))</f>
        <v>5.3</v>
      </c>
      <c r="EX185" s="104"/>
      <c r="EY185" s="219"/>
      <c r="EZ185" s="595"/>
      <c r="FA185" s="406"/>
      <c r="FB185" s="142"/>
      <c r="FC185" s="104"/>
      <c r="FD185" s="142"/>
      <c r="FE185" s="104"/>
      <c r="FF185" s="142"/>
      <c r="FG185" s="104"/>
      <c r="FH185" s="142"/>
      <c r="FI185" s="104"/>
      <c r="FJ185" s="142"/>
      <c r="FK185" s="104"/>
      <c r="FL185" s="142"/>
      <c r="FM185" s="104"/>
      <c r="FN185" s="142"/>
      <c r="FO185" s="104"/>
      <c r="FP185" s="142"/>
      <c r="FQ185" s="104"/>
      <c r="FR185" s="219"/>
      <c r="FS185" s="109"/>
      <c r="FT185" s="219"/>
      <c r="FU185" s="109"/>
      <c r="FV185" s="268"/>
      <c r="FW185" s="104"/>
      <c r="FX185" s="518"/>
      <c r="FY185" s="104"/>
      <c r="FZ185" s="268"/>
      <c r="GA185" s="104"/>
      <c r="GB185" s="518"/>
      <c r="GC185" s="104"/>
      <c r="GD185" s="268"/>
      <c r="GE185" s="104"/>
      <c r="GF185" s="268"/>
      <c r="GG185" s="104"/>
      <c r="GH185" s="268"/>
      <c r="GI185" s="104"/>
      <c r="GJ185" s="268"/>
      <c r="GK185" s="104"/>
      <c r="GL185" s="268"/>
      <c r="GM185" s="104"/>
      <c r="GN185" s="268"/>
      <c r="GO185" s="104"/>
      <c r="GP185" s="268"/>
      <c r="GQ185" s="104"/>
      <c r="GR185" s="141">
        <f>IF($B$6=1,GR184,IF($B$6=2,GR184+GR889,IF($B$6=3,GR184+GR890)))</f>
        <v>5.2</v>
      </c>
      <c r="GS185" s="104"/>
      <c r="GT185" s="141">
        <f>IF($B$6=1,GT184,IF($B$6=2,GT184+GT889,IF($B$6=3,GT184+GT890)))</f>
        <v>5.1000000000000005</v>
      </c>
      <c r="GU185" s="104"/>
      <c r="GV185" s="141">
        <f>IF($B$6=1,GV184,IF($B$6=2,GV184+GV889,IF($B$6=3,GV184+GV890)))</f>
        <v>5.1000000000000005</v>
      </c>
      <c r="GW185" s="104"/>
      <c r="GX185" s="141">
        <f>IF($B$6=1,GX184,IF($B$6=2,GX184+GX889,IF($B$6=3,GX184+GX890)))</f>
        <v>5.1000000000000005</v>
      </c>
      <c r="GY185" s="104"/>
      <c r="GZ185" s="104"/>
      <c r="HA185" s="104"/>
      <c r="HB185" s="111"/>
      <c r="HC185"/>
      <c r="HD185"/>
      <c r="HE185"/>
      <c r="HF185"/>
      <c r="HG185"/>
      <c r="HH185"/>
      <c r="HI185" s="111"/>
    </row>
    <row r="186" spans="1:217" s="2" customFormat="1" ht="12.75" customHeight="1" collapsed="1" x14ac:dyDescent="0.2">
      <c r="B186" s="91"/>
      <c r="C186" s="151"/>
      <c r="D186" s="154"/>
      <c r="E186" s="151"/>
      <c r="F186" s="154"/>
      <c r="G186" s="151"/>
      <c r="H186" s="154"/>
      <c r="I186" s="151"/>
      <c r="J186" s="156"/>
      <c r="K186" s="151"/>
      <c r="L186" s="156"/>
      <c r="M186" s="151"/>
      <c r="N186" s="156"/>
      <c r="O186" s="151"/>
      <c r="P186" s="156"/>
      <c r="Q186" s="151"/>
      <c r="R186" s="156"/>
      <c r="S186" s="151"/>
      <c r="T186" s="156"/>
      <c r="U186" s="151"/>
      <c r="V186" s="156"/>
      <c r="W186" s="151"/>
      <c r="X186" s="156"/>
      <c r="Y186" s="151"/>
      <c r="Z186" s="156"/>
      <c r="AA186" s="151"/>
      <c r="AB186" s="156"/>
      <c r="AC186" s="151"/>
      <c r="AD186" s="156"/>
      <c r="AE186" s="151"/>
      <c r="AF186" s="156"/>
      <c r="AG186" s="151"/>
      <c r="AH186" s="156"/>
      <c r="AI186" s="151"/>
      <c r="AJ186" s="156"/>
      <c r="AK186" s="151"/>
      <c r="AL186" s="156"/>
      <c r="AM186" s="151"/>
      <c r="AN186" s="156"/>
      <c r="AO186" s="151"/>
      <c r="AP186" s="156"/>
      <c r="AQ186" s="151"/>
      <c r="AR186" s="156"/>
      <c r="AS186" s="151"/>
      <c r="AT186" s="156"/>
      <c r="AU186" s="151"/>
      <c r="AV186" s="156"/>
      <c r="AW186" s="151"/>
      <c r="AX186" s="156"/>
      <c r="AY186" s="151"/>
      <c r="AZ186" s="156"/>
      <c r="BA186" s="151"/>
      <c r="BB186" s="156"/>
      <c r="BC186" s="151"/>
      <c r="BD186" s="156"/>
      <c r="BE186" s="151"/>
      <c r="BF186" s="156"/>
      <c r="BG186" s="151"/>
      <c r="BH186" s="156"/>
      <c r="BI186" s="151"/>
      <c r="BJ186" s="156"/>
      <c r="BK186" s="151"/>
      <c r="BL186" s="156"/>
      <c r="BM186" s="151"/>
      <c r="BN186" s="98"/>
      <c r="BO186" s="94"/>
      <c r="BP186" s="98"/>
      <c r="BQ186" s="94"/>
      <c r="BR186" s="98"/>
      <c r="BS186" s="94"/>
      <c r="BT186" s="98"/>
      <c r="BU186" s="94"/>
      <c r="BV186" s="98"/>
      <c r="BW186" s="94"/>
      <c r="BX186" s="98"/>
      <c r="BY186" s="94"/>
      <c r="BZ186" s="98"/>
      <c r="CA186" s="94"/>
      <c r="CB186" s="98"/>
      <c r="CC186" s="94"/>
      <c r="CD186" s="98"/>
      <c r="CE186" s="94"/>
      <c r="CF186" s="98"/>
      <c r="CG186" s="94"/>
      <c r="CH186" s="98"/>
      <c r="CI186" s="94"/>
      <c r="CJ186" s="98"/>
      <c r="CK186" s="94"/>
      <c r="CL186" s="98"/>
      <c r="CM186" s="94"/>
      <c r="CN186" s="98"/>
      <c r="CO186" s="94"/>
      <c r="CP186" s="98"/>
      <c r="CQ186" s="533"/>
      <c r="CR186" s="98"/>
      <c r="CS186" s="94"/>
      <c r="CT186" s="98"/>
      <c r="CU186" s="94"/>
      <c r="CV186" s="98"/>
      <c r="CW186" s="94"/>
      <c r="CX186" s="98"/>
      <c r="CY186" s="94"/>
      <c r="CZ186" s="98"/>
      <c r="DA186" s="94"/>
      <c r="DB186" s="98"/>
      <c r="DC186" s="94"/>
      <c r="DD186" s="98"/>
      <c r="DE186" s="94"/>
      <c r="DF186" s="98"/>
      <c r="DG186" s="94"/>
      <c r="DH186" s="98"/>
      <c r="DI186" s="94"/>
      <c r="DJ186" s="98"/>
      <c r="DK186" s="94"/>
      <c r="DL186" s="98"/>
      <c r="DM186" s="94"/>
      <c r="DN186" s="98"/>
      <c r="DO186" s="94"/>
      <c r="DP186" s="98"/>
      <c r="DQ186" s="94"/>
      <c r="DR186" s="98"/>
      <c r="DS186" s="94"/>
      <c r="DT186" s="98"/>
      <c r="DU186" s="94"/>
      <c r="DV186" s="98"/>
      <c r="DW186" s="94"/>
      <c r="DX186" s="98"/>
      <c r="DY186" s="94"/>
      <c r="DZ186" s="98"/>
      <c r="EA186" s="94"/>
      <c r="EB186" s="98"/>
      <c r="EC186" s="94"/>
      <c r="ED186" s="98"/>
      <c r="EE186" s="94"/>
      <c r="EF186" s="860"/>
      <c r="EG186" s="94"/>
      <c r="EH186" s="860"/>
      <c r="EI186" s="94"/>
      <c r="EJ186" s="860"/>
      <c r="EK186" s="94"/>
      <c r="EL186" s="860"/>
      <c r="EM186" s="94"/>
      <c r="EN186" s="860"/>
      <c r="EO186" s="94"/>
      <c r="EP186" s="98"/>
      <c r="EQ186" s="789"/>
      <c r="ER186" s="98"/>
      <c r="ES186" s="789"/>
      <c r="ET186" s="98"/>
      <c r="EU186" s="789"/>
      <c r="EV186" s="98"/>
      <c r="EW186" s="789"/>
      <c r="EX186" s="98"/>
      <c r="EY186" s="95"/>
      <c r="EZ186" s="594"/>
      <c r="FA186" s="405"/>
      <c r="FB186" s="95"/>
      <c r="FC186" s="113"/>
      <c r="FD186" s="94"/>
      <c r="FE186" s="113"/>
      <c r="FF186" s="95"/>
      <c r="FG186" s="113"/>
      <c r="FH186" s="95"/>
      <c r="FI186" s="113"/>
      <c r="FJ186" s="95"/>
      <c r="FK186" s="113"/>
      <c r="FL186" s="95"/>
      <c r="FM186" s="113"/>
      <c r="FN186" s="95"/>
      <c r="FO186" s="113"/>
      <c r="FP186" s="95"/>
      <c r="FQ186" s="113"/>
      <c r="FR186" s="96"/>
      <c r="FS186" s="116"/>
      <c r="FT186" s="96"/>
      <c r="FU186" s="116"/>
      <c r="FV186" s="96"/>
      <c r="FW186" s="98"/>
      <c r="FX186" s="480"/>
      <c r="FY186" s="98"/>
      <c r="FZ186" s="96"/>
      <c r="GA186" s="98"/>
      <c r="GB186" s="480"/>
      <c r="GC186" s="98"/>
      <c r="GD186" s="96"/>
      <c r="GE186" s="98"/>
      <c r="GF186" s="96"/>
      <c r="GG186" s="98"/>
      <c r="GH186" s="96"/>
      <c r="GI186" s="98"/>
      <c r="GJ186" s="96"/>
      <c r="GK186" s="98"/>
      <c r="GL186" s="96"/>
      <c r="GM186" s="98"/>
      <c r="GN186" s="96"/>
      <c r="GO186" s="98"/>
      <c r="GP186" s="96"/>
      <c r="GQ186" s="98"/>
      <c r="GR186" s="95"/>
      <c r="GS186" s="98"/>
      <c r="GT186" s="95"/>
      <c r="GU186" s="98"/>
      <c r="GV186" s="95"/>
      <c r="GW186" s="98"/>
      <c r="GX186" s="95"/>
      <c r="GY186" s="98"/>
      <c r="GZ186" s="98"/>
      <c r="HA186" s="98"/>
      <c r="HB186" s="10"/>
      <c r="HC186"/>
      <c r="HD186"/>
      <c r="HE186"/>
      <c r="HF186"/>
      <c r="HG186"/>
      <c r="HH186"/>
      <c r="HI186" s="10"/>
    </row>
    <row r="187" spans="1:217" s="5" customFormat="1" ht="12.75" customHeight="1" x14ac:dyDescent="0.2">
      <c r="A187" s="2" t="s">
        <v>207</v>
      </c>
      <c r="B187" s="19" t="s">
        <v>477</v>
      </c>
      <c r="C187" s="269">
        <f>+C164-C180</f>
        <v>69</v>
      </c>
      <c r="D187" s="270"/>
      <c r="E187" s="269">
        <f>+E164-E180</f>
        <v>71</v>
      </c>
      <c r="F187" s="270"/>
      <c r="G187" s="269">
        <f>+G164-G180</f>
        <v>83</v>
      </c>
      <c r="H187" s="270"/>
      <c r="I187" s="269">
        <f>+I164-I180</f>
        <v>100</v>
      </c>
      <c r="J187" s="156"/>
      <c r="K187" s="269">
        <f>+K164-K180</f>
        <v>140</v>
      </c>
      <c r="L187" s="156" t="str">
        <f t="shared" ref="L187:L193" si="1116">IF(ISERROR((K187/C187-1)*100),"NA",IF(((K187/C187-1)*100)&gt;100,"NM",IF(((K187/C187-1)*100)&lt;-50,"NM",(K187/C187-1)*100)))</f>
        <v>NM</v>
      </c>
      <c r="M187" s="269">
        <f>+M164-M180</f>
        <v>132</v>
      </c>
      <c r="N187" s="156">
        <f t="shared" ref="N187:N193" si="1117">IF(ISERROR((M187/E187-1)*100),"NA",IF(((M187/E187-1)*100)&gt;100,"NM",IF(((M187/E187-1)*100)&lt;-50,"NM",(M187/E187-1)*100)))</f>
        <v>85.91549295774648</v>
      </c>
      <c r="O187" s="269">
        <f>+O164-O180</f>
        <v>131</v>
      </c>
      <c r="P187" s="156">
        <f t="shared" ref="P187:P193" si="1118">IF(ISERROR((O187/G187-1)*100),"NA",IF(((O187/G187-1)*100)&gt;100,"NM",IF(((O187/G187-1)*100)&lt;-50,"NM",(O187/G187-1)*100)))</f>
        <v>57.831325301204828</v>
      </c>
      <c r="Q187" s="269">
        <f>+Q164-Q180</f>
        <v>171</v>
      </c>
      <c r="R187" s="156">
        <f t="shared" ref="R187:R193" si="1119">IF(ISERROR((Q187/I187-1)*100),"NA",IF(((Q187/I187-1)*100)&gt;100,"NM",IF(((Q187/I187-1)*100)&lt;-50,"NM",(Q187/I187-1)*100)))</f>
        <v>71</v>
      </c>
      <c r="S187" s="269">
        <f>+S164-S180</f>
        <v>173</v>
      </c>
      <c r="T187" s="156">
        <f t="shared" ref="T187:T193" si="1120">IF(ISERROR((S187/K187-1)*100),"NA",IF(((S187/K187-1)*100)&gt;100,"NM",IF(((S187/K187-1)*100)&lt;-50,"NM",(S187/K187-1)*100)))</f>
        <v>23.571428571428577</v>
      </c>
      <c r="U187" s="269">
        <f>+U164-U180</f>
        <v>206</v>
      </c>
      <c r="V187" s="156">
        <f t="shared" ref="V187:V193" si="1121">IF(ISERROR((U187/M187-1)*100),"NA",IF(((U187/M187-1)*100)&gt;100,"NM",IF(((U187/M187-1)*100)&lt;-50,"NM",(U187/M187-1)*100)))</f>
        <v>56.060606060606055</v>
      </c>
      <c r="W187" s="269">
        <f>+W164-W180</f>
        <v>157</v>
      </c>
      <c r="X187" s="156">
        <f t="shared" ref="X187:X193" si="1122">IF(ISERROR((W187/O187-1)*100),"NA",IF(((W187/O187-1)*100)&gt;100,"NM",IF(((W187/O187-1)*100)&lt;-50,"NM",(W187/O187-1)*100)))</f>
        <v>19.84732824427482</v>
      </c>
      <c r="Y187" s="269">
        <f>+Y164-Y180</f>
        <v>163</v>
      </c>
      <c r="Z187" s="156">
        <f t="shared" ref="Z187:Z193" si="1123">IF(ISERROR((Y187/Q187-1)*100),"NA",IF(((Y187/Q187-1)*100)&gt;100,"NM",IF(((Y187/Q187-1)*100)&lt;-50,"NM",(Y187/Q187-1)*100)))</f>
        <v>-4.6783625730994149</v>
      </c>
      <c r="AA187" s="269">
        <f>+AA164-AA180</f>
        <v>126</v>
      </c>
      <c r="AB187" s="156">
        <f t="shared" ref="AB187:AB193" si="1124">IF(ISERROR((AA187/S187-1)*100),"NA",IF(((AA187/S187-1)*100)&gt;100,"NM",IF(((AA187/S187-1)*100)&lt;-50,"NM",(AA187/S187-1)*100)))</f>
        <v>-27.167630057803471</v>
      </c>
      <c r="AC187" s="269">
        <f>+AC164-AC180</f>
        <v>185</v>
      </c>
      <c r="AD187" s="156">
        <f t="shared" ref="AD187:AD193" si="1125">IF(ISERROR((AC187/U187-1)*100),"NA",IF(((AC187/U187-1)*100)&gt;100,"NM",IF(((AC187/U187-1)*100)&lt;-50,"NM",(AC187/U187-1)*100)))</f>
        <v>-10.194174757281548</v>
      </c>
      <c r="AE187" s="269">
        <f>+AE164-AE180</f>
        <v>160</v>
      </c>
      <c r="AF187" s="156">
        <f t="shared" ref="AF187:AF193" si="1126">IF(ISERROR((AE187/W187-1)*100),"NA",IF(((AE187/W187-1)*100)&gt;100,"NM",IF(((AE187/W187-1)*100)&lt;-50,"NM",(AE187/W187-1)*100)))</f>
        <v>1.9108280254777066</v>
      </c>
      <c r="AG187" s="269">
        <f>+AG164-AG180</f>
        <v>194</v>
      </c>
      <c r="AH187" s="156">
        <f t="shared" ref="AH187:AH193" si="1127">IF(ISERROR((AG187/Y187-1)*100),"NA",IF(((AG187/Y187-1)*100)&gt;100,"NM",IF(((AG187/Y187-1)*100)&lt;-50,"NM",(AG187/Y187-1)*100)))</f>
        <v>19.018404907975462</v>
      </c>
      <c r="AI187" s="269">
        <f>+AI164-AI180</f>
        <v>267</v>
      </c>
      <c r="AJ187" s="156" t="str">
        <f t="shared" ref="AJ187:AJ193" si="1128">IF(ISERROR((AI187/AA187-1)*100),"NA",IF(((AI187/AA187-1)*100)&gt;100,"NM",IF(((AI187/AA187-1)*100)&lt;-50,"NM",(AI187/AA187-1)*100)))</f>
        <v>NM</v>
      </c>
      <c r="AK187" s="269">
        <f>+AK164-AK180</f>
        <v>203</v>
      </c>
      <c r="AL187" s="156">
        <f t="shared" ref="AL187:AL193" si="1129">IF(ISERROR((AK187/AC187-1)*100),"NA",IF(((AK187/AC187-1)*100)&gt;100,"NM",IF(((AK187/AC187-1)*100)&lt;-50,"NM",(AK187/AC187-1)*100)))</f>
        <v>9.7297297297297192</v>
      </c>
      <c r="AM187" s="269">
        <f>+AM164-AM180</f>
        <v>223</v>
      </c>
      <c r="AN187" s="156">
        <f t="shared" ref="AN187:AN193" si="1130">IF(ISERROR((AM187/AE187-1)*100),"NA",IF(((AM187/AE187-1)*100)&gt;100,"NM",IF(((AM187/AE187-1)*100)&lt;-50,"NM",(AM187/AE187-1)*100)))</f>
        <v>39.375000000000007</v>
      </c>
      <c r="AO187" s="269">
        <f>+AO164-AO180</f>
        <v>236</v>
      </c>
      <c r="AP187" s="156">
        <f t="shared" ref="AP187:AP193" si="1131">IF(ISERROR((AO187/AG187-1)*100),"NA",IF(((AO187/AG187-1)*100)&gt;100,"NM",IF(((AO187/AG187-1)*100)&lt;-50,"NM",(AO187/AG187-1)*100)))</f>
        <v>21.649484536082465</v>
      </c>
      <c r="AQ187" s="269">
        <f>+AQ164-AQ180</f>
        <v>248</v>
      </c>
      <c r="AR187" s="156">
        <f t="shared" ref="AR187:AR193" si="1132">IF(ISERROR((AQ187/AI187-1)*100),"NA",IF(((AQ187/AI187-1)*100)&gt;100,"NM",IF(((AQ187/AI187-1)*100)&lt;-50,"NM",(AQ187/AI187-1)*100)))</f>
        <v>-7.1161048689138529</v>
      </c>
      <c r="AS187" s="269">
        <f>+AS164-AS180</f>
        <v>315</v>
      </c>
      <c r="AT187" s="156">
        <f t="shared" ref="AT187:AT193" si="1133">IF(ISERROR((AS187/AK187-1)*100),"NA",IF(((AS187/AK187-1)*100)&gt;100,"NM",IF(((AS187/AK187-1)*100)&lt;-50,"NM",(AS187/AK187-1)*100)))</f>
        <v>55.172413793103445</v>
      </c>
      <c r="AU187" s="269">
        <f>+AU164-AU180</f>
        <v>324</v>
      </c>
      <c r="AV187" s="156">
        <f t="shared" ref="AV187:AV193" si="1134">IF(ISERROR((AU187/AM187-1)*100),"NA",IF(((AU187/AM187-1)*100)&gt;100,"NM",IF(((AU187/AM187-1)*100)&lt;-50,"NM",(AU187/AM187-1)*100)))</f>
        <v>45.291479820627799</v>
      </c>
      <c r="AW187" s="269">
        <f>+AW164-AW180</f>
        <v>316</v>
      </c>
      <c r="AX187" s="156">
        <f t="shared" ref="AX187:AX193" si="1135">IF(ISERROR((AW187/AO187-1)*100),"NA",IF(((AW187/AO187-1)*100)&gt;100,"NM",IF(((AW187/AO187-1)*100)&lt;-50,"NM",(AW187/AO187-1)*100)))</f>
        <v>33.898305084745758</v>
      </c>
      <c r="AY187" s="269">
        <f>+AY164-AY180</f>
        <v>395</v>
      </c>
      <c r="AZ187" s="156">
        <f t="shared" ref="AZ187:AZ193" si="1136">IF(ISERROR((AY187/AQ187-1)*100),"NA",IF(((AY187/AQ187-1)*100)&gt;100,"NM",IF(((AY187/AQ187-1)*100)&lt;-50,"NM",(AY187/AQ187-1)*100)))</f>
        <v>59.274193548387103</v>
      </c>
      <c r="BA187" s="269">
        <f>+BA164-BA180</f>
        <v>335</v>
      </c>
      <c r="BB187" s="156">
        <f t="shared" ref="BB187:BB193" si="1137">IF(ISERROR((BA187/AS187-1)*100),"NA",IF(((BA187/AS187-1)*100)&gt;100,"NM",IF(((BA187/AS187-1)*100)&lt;-50,"NM",(BA187/AS187-1)*100)))</f>
        <v>6.3492063492063489</v>
      </c>
      <c r="BC187" s="269">
        <f>+BC164-BC180</f>
        <v>304</v>
      </c>
      <c r="BD187" s="156">
        <f t="shared" ref="BD187:BD193" si="1138">IF(ISERROR((BC187/AU187-1)*100),"NA",IF(((BC187/AU187-1)*100)&gt;100,"NM",IF(((BC187/AU187-1)*100)&lt;-50,"NM",(BC187/AU187-1)*100)))</f>
        <v>-6.1728395061728447</v>
      </c>
      <c r="BE187" s="269">
        <f>+BE164-BE180</f>
        <v>412</v>
      </c>
      <c r="BF187" s="156">
        <f t="shared" ref="BF187:BF193" si="1139">IF(ISERROR((BE187/AW187-1)*100),"NA",IF(((BE187/AW187-1)*100)&gt;100,"NM",IF(((BE187/AW187-1)*100)&lt;-50,"NM",(BE187/AW187-1)*100)))</f>
        <v>30.379746835443044</v>
      </c>
      <c r="BG187" s="269">
        <f>+BG164-BG180</f>
        <v>405</v>
      </c>
      <c r="BH187" s="156">
        <f t="shared" ref="BH187:BH193" si="1140">IF(ISERROR((BG187/AY187-1)*100),"NA",IF(((BG187/AY187-1)*100)&gt;100,"NM",IF(((BG187/AY187-1)*100)&lt;-50,"NM",(BG187/AY187-1)*100)))</f>
        <v>2.5316455696202445</v>
      </c>
      <c r="BI187" s="269">
        <f>+BI164-BI180</f>
        <v>455</v>
      </c>
      <c r="BJ187" s="156">
        <f t="shared" ref="BJ187:BJ193" si="1141">IF(ISERROR((BI187/BA187-1)*100),"NA",IF(((BI187/BA187-1)*100)&gt;100,"NM",IF(((BI187/BA187-1)*100)&lt;-50,"NM",(BI187/BA187-1)*100)))</f>
        <v>35.820895522388049</v>
      </c>
      <c r="BK187" s="269">
        <f>+BK164-BK180</f>
        <v>366</v>
      </c>
      <c r="BL187" s="156">
        <f t="shared" ref="BL187:BL193" si="1142">IF(ISERROR((BK187/BC187-1)*100),"NA",IF(((BK187/BC187-1)*100)&gt;100,"NM",IF(((BK187/BC187-1)*100)&lt;-50,"NM",(BK187/BC187-1)*100)))</f>
        <v>20.394736842105267</v>
      </c>
      <c r="BM187" s="269">
        <f>+BM164-BM180</f>
        <v>510</v>
      </c>
      <c r="BN187" s="98">
        <f t="shared" ref="BN187:BN193" si="1143">IF(ISERROR((BM187/BE187-1)*100),"NA",IF(((BM187/BE187-1)*100)&gt;100,"NM",IF(((BM187/BE187-1)*100)&lt;-50,"NM",(BM187/BE187-1)*100)))</f>
        <v>23.78640776699028</v>
      </c>
      <c r="BO187" s="271">
        <f>+BO164-BO180</f>
        <v>485</v>
      </c>
      <c r="BP187" s="98">
        <f t="shared" ref="BP187:BP193" si="1144">IF(ISERROR((BO187/BG187-1)*100),"NA",IF(((BO187/BG187-1)*100)&gt;100,"NM",IF(((BO187/BG187-1)*100)&lt;-50,"NM",(BO187/BG187-1)*100)))</f>
        <v>19.753086419753085</v>
      </c>
      <c r="BQ187" s="271">
        <f>+BQ164-BQ180</f>
        <v>330</v>
      </c>
      <c r="BR187" s="98">
        <f t="shared" ref="BR187:BR193" si="1145">IF(ISERROR((BQ187/BI187-1)*100),"NA",IF(((BQ187/BI187-1)*100)&gt;100,"NM",IF(((BQ187/BI187-1)*100)&lt;-50,"NM",(BQ187/BI187-1)*100)))</f>
        <v>-27.472527472527474</v>
      </c>
      <c r="BS187" s="271">
        <f>+BS164-BS180</f>
        <v>295</v>
      </c>
      <c r="BT187" s="98">
        <f t="shared" ref="BT187:BT193" si="1146">IF(ISERROR((BS187/BK187-1)*100),"NA",IF(((BS187/BK187-1)*100)&gt;100,"NM",IF(((BS187/BK187-1)*100)&lt;-50,"NM",(BS187/BK187-1)*100)))</f>
        <v>-19.398907103825135</v>
      </c>
      <c r="BU187" s="271">
        <f>+BU164-BU180</f>
        <v>168</v>
      </c>
      <c r="BV187" s="98" t="str">
        <f t="shared" ref="BV187:BV193" si="1147">IF(ISERROR((BU187/BM187-1)*100),"NA",IF(((BU187/BM187-1)*100)&gt;100,"NM",IF(((BU187/BM187-1)*100)&lt;-50,"NM",(BU187/BM187-1)*100)))</f>
        <v>NM</v>
      </c>
      <c r="BW187" s="271">
        <f>+BW164-BW180</f>
        <v>96</v>
      </c>
      <c r="BX187" s="98" t="str">
        <f t="shared" ref="BX187:BX193" si="1148">IF(ISERROR((BW187/BO187-1)*100),"NA",IF(((BW187/BO187-1)*100)&gt;100,"NM",IF(((BW187/BO187-1)*100)&lt;-50,"NM",(BW187/BO187-1)*100)))</f>
        <v>NM</v>
      </c>
      <c r="BY187" s="271">
        <f>+BY164-BY180</f>
        <v>235</v>
      </c>
      <c r="BZ187" s="98">
        <f t="shared" ref="BZ187:BZ193" si="1149">IF(ISERROR((BY187/BQ187-1)*100),"NA",IF(((BY187/BQ187-1)*100)&gt;100,"NM",IF(((BY187/BQ187-1)*100)&lt;-50,"NM",(BY187/BQ187-1)*100)))</f>
        <v>-28.787878787878785</v>
      </c>
      <c r="CA187" s="271">
        <f>+CA164-CA180</f>
        <v>208</v>
      </c>
      <c r="CB187" s="98">
        <f t="shared" ref="CB187:CB193" si="1150">IF(ISERROR((CA187/BS187-1)*100),"NA",IF(((CA187/BS187-1)*100)&gt;100,"NM",IF(((CA187/BS187-1)*100)&lt;-50,"NM",(CA187/BS187-1)*100)))</f>
        <v>-29.491525423728817</v>
      </c>
      <c r="CC187" s="271">
        <f>+CC164-CC180</f>
        <v>280</v>
      </c>
      <c r="CD187" s="98">
        <f t="shared" ref="CD187:CD193" si="1151">IF(ISERROR((CC187/BU187-1)*100),"NA",IF(((CC187/BU187-1)*100)&gt;100,"NM",IF(((CC187/BU187-1)*100)&lt;-50,"NM",(CC187/BU187-1)*100)))</f>
        <v>66.666666666666671</v>
      </c>
      <c r="CE187" s="271">
        <f>+CE164-CE180</f>
        <v>339</v>
      </c>
      <c r="CF187" s="98" t="str">
        <f t="shared" ref="CF187:CF193" si="1152">IF(ISERROR((CE187/BW187-1)*100),"NA",IF(((CE187/BW187-1)*100)&gt;100,"NM",IF(((CE187/BW187-1)*100)&lt;-50,"NM",(CE187/BW187-1)*100)))</f>
        <v>NM</v>
      </c>
      <c r="CG187" s="271">
        <f>+CG164-CG180</f>
        <v>361</v>
      </c>
      <c r="CH187" s="98">
        <f t="shared" ref="CH187:CH193" si="1153">IF(ISERROR((CG187/BY187-1)*100),"NA",IF(((CG187/BY187-1)*100)&gt;100,"NM",IF(((CG187/BY187-1)*100)&lt;-50,"NM",(CG187/BY187-1)*100)))</f>
        <v>53.617021276595757</v>
      </c>
      <c r="CI187" s="271">
        <f>+CI164-CI180</f>
        <v>280</v>
      </c>
      <c r="CJ187" s="98">
        <f t="shared" ref="CJ187:CJ193" si="1154">IF(ISERROR((CI187/CA187-1)*100),"NA",IF(((CI187/CA187-1)*100)&gt;100,"NM",IF(((CI187/CA187-1)*100)&lt;-50,"NM",(CI187/CA187-1)*100)))</f>
        <v>34.615384615384627</v>
      </c>
      <c r="CK187" s="271">
        <f>+CK164-CK180</f>
        <v>435</v>
      </c>
      <c r="CL187" s="98">
        <f t="shared" ref="CL187:CL193" si="1155">IF(ISERROR((CK187/CC187-1)*100),"NA",IF(((CK187/CC187-1)*100)&gt;100,"NM",IF(((CK187/CC187-1)*100)&lt;-50,"NM",(CK187/CC187-1)*100)))</f>
        <v>55.357142857142861</v>
      </c>
      <c r="CM187" s="271">
        <f>+CM164-CM180</f>
        <v>447</v>
      </c>
      <c r="CN187" s="98">
        <f t="shared" ref="CN187:CN193" si="1156">IF(ISERROR((CM187/CE187-1)*100),"NA",IF(((CM187/CE187-1)*100)&gt;100,"NM",IF(((CM187/CE187-1)*100)&lt;-50,"NM",(CM187/CE187-1)*100)))</f>
        <v>31.858407079646021</v>
      </c>
      <c r="CO187" s="271">
        <f>+CO164-CO180</f>
        <v>499</v>
      </c>
      <c r="CP187" s="98">
        <f t="shared" ref="CP187:CT193" si="1157">IF(ISERROR((CO187/CG187-1)*100),"NA",IF(((CO187/CG187-1)*100)&gt;100,"NM",IF(((CO187/CG187-1)*100)&lt;-50,"NM",(CO187/CG187-1)*100)))</f>
        <v>38.227146814404421</v>
      </c>
      <c r="CQ187" s="560">
        <f>+CQ164-CQ180</f>
        <v>418</v>
      </c>
      <c r="CR187" s="98">
        <f t="shared" si="1157"/>
        <v>49.285714285714292</v>
      </c>
      <c r="CS187" s="271">
        <f>+CS164-CS180</f>
        <v>347</v>
      </c>
      <c r="CT187" s="98">
        <f t="shared" si="1157"/>
        <v>-20.229885057471265</v>
      </c>
      <c r="CU187" s="271">
        <f>+CU164-CU180</f>
        <v>459</v>
      </c>
      <c r="CV187" s="98">
        <f t="shared" ref="CV187:CV193" si="1158">IF(ISERROR((CU187/CM187-1)*100),"NA",IF(((CU187/CM187-1)*100)&gt;100,"NM",IF(((CU187/CM187-1)*100)&lt;-50,"NM",(CU187/CM187-1)*100)))</f>
        <v>2.6845637583892579</v>
      </c>
      <c r="CW187" s="271">
        <f>+CW164-CW180</f>
        <v>489</v>
      </c>
      <c r="CX187" s="98">
        <f t="shared" ref="CX187:CX193" si="1159">IF(ISERROR((CW187/CO187-1)*100),"NA",IF(((CW187/CO187-1)*100)&gt;100,"NM",IF(((CW187/CO187-1)*100)&lt;-50,"NM",(CW187/CO187-1)*100)))</f>
        <v>-2.0040080160320661</v>
      </c>
      <c r="CY187" s="271">
        <f>+CY164-CY180</f>
        <v>466</v>
      </c>
      <c r="CZ187" s="98">
        <f t="shared" ref="CZ187:CZ193" si="1160">IF(ISERROR((CY187/CQ187-1)*100),"NA",IF(((CY187/CQ187-1)*100)&gt;100,"NM",IF(((CY187/CQ187-1)*100)&lt;-50,"NM",(CY187/CQ187-1)*100)))</f>
        <v>11.483253588516739</v>
      </c>
      <c r="DA187" s="271">
        <f>+DA164-DA180</f>
        <v>469</v>
      </c>
      <c r="DB187" s="98">
        <f t="shared" ref="DB187:DB193" si="1161">IF(ISERROR((DA187/CS187-1)*100),"NA",IF(((DA187/CS187-1)*100)&gt;100,"NM",IF(((DA187/CS187-1)*100)&lt;-50,"NM",(DA187/CS187-1)*100)))</f>
        <v>35.158501440922187</v>
      </c>
      <c r="DC187" s="271">
        <f>+DC164-DC180</f>
        <v>452</v>
      </c>
      <c r="DD187" s="98">
        <f t="shared" ref="DD187:DD193" si="1162">IF(ISERROR((DC187/CU187-1)*100),"NA",IF(((DC187/CU187-1)*100)&gt;100,"NM",IF(((DC187/CU187-1)*100)&lt;-50,"NM",(DC187/CU187-1)*100)))</f>
        <v>-1.5250544662309351</v>
      </c>
      <c r="DE187" s="271">
        <f>+DE164-DE180</f>
        <v>534</v>
      </c>
      <c r="DF187" s="98">
        <f t="shared" ref="DF187:DF193" si="1163">IF(ISERROR((DE187/CW187-1)*100),"NA",IF(((DE187/CW187-1)*100)&gt;100,"NM",IF(((DE187/CW187-1)*100)&lt;-50,"NM",(DE187/CW187-1)*100)))</f>
        <v>9.2024539877300526</v>
      </c>
      <c r="DG187" s="271">
        <f>+DG164-DG180</f>
        <v>459</v>
      </c>
      <c r="DH187" s="98">
        <f t="shared" ref="DH187:DH193" si="1164">IF(ISERROR((DG187/CY187-1)*100),"NA",IF(((DG187/CY187-1)*100)&gt;100,"NM",IF(((DG187/CY187-1)*100)&lt;-50,"NM",(DG187/CY187-1)*100)))</f>
        <v>-1.5021459227467782</v>
      </c>
      <c r="DI187" s="271">
        <f>+DI164-DI180</f>
        <v>546</v>
      </c>
      <c r="DJ187" s="98">
        <f t="shared" ref="DJ187:DJ193" si="1165">IF(ISERROR((DI187/DA187-1)*100),"NA",IF(((DI187/DA187-1)*100)&gt;100,"NM",IF(((DI187/DA187-1)*100)&lt;-50,"NM",(DI187/DA187-1)*100)))</f>
        <v>16.417910447761198</v>
      </c>
      <c r="DK187" s="271">
        <f>+DK164-DK180</f>
        <v>522</v>
      </c>
      <c r="DL187" s="98">
        <f t="shared" ref="DL187:DL193" si="1166">IF(ISERROR((DK187/DC187-1)*100),"NA",IF(((DK187/DC187-1)*100)&gt;100,"NM",IF(((DK187/DC187-1)*100)&lt;-50,"NM",(DK187/DC187-1)*100)))</f>
        <v>15.486725663716804</v>
      </c>
      <c r="DM187" s="271">
        <f>+DM164-DM180</f>
        <v>550</v>
      </c>
      <c r="DN187" s="98">
        <f t="shared" ref="DN187:DZ193" si="1167">IF(ISERROR((DM187/DE187-1)*100),"NA",IF(((DM187/DE187-1)*100)&gt;100,"NM",IF(((DM187/DE187-1)*100)&lt;-50,"NM",(DM187/DE187-1)*100)))</f>
        <v>2.9962546816479474</v>
      </c>
      <c r="DO187" s="271">
        <f>+DO164-DO180</f>
        <v>605</v>
      </c>
      <c r="DP187" s="98">
        <f t="shared" si="1167"/>
        <v>31.808278867102402</v>
      </c>
      <c r="DQ187" s="271">
        <f>+DQ164-DQ180</f>
        <v>552</v>
      </c>
      <c r="DR187" s="98">
        <f t="shared" si="1167"/>
        <v>1.098901098901095</v>
      </c>
      <c r="DS187" s="271">
        <f>+DS164-DS180</f>
        <v>470</v>
      </c>
      <c r="DT187" s="98">
        <f t="shared" si="1167"/>
        <v>-9.9616858237547845</v>
      </c>
      <c r="DU187" s="271">
        <f>+DU164-DU180</f>
        <v>518</v>
      </c>
      <c r="DV187" s="98">
        <f t="shared" si="1167"/>
        <v>-5.8181818181818219</v>
      </c>
      <c r="DW187" s="271">
        <f>+DW164-DW180</f>
        <v>413</v>
      </c>
      <c r="DX187" s="98">
        <f t="shared" si="1167"/>
        <v>-31.735537190082642</v>
      </c>
      <c r="DY187" s="271">
        <f>+DY164-DY180</f>
        <v>359</v>
      </c>
      <c r="DZ187" s="98">
        <f t="shared" si="1167"/>
        <v>-34.963768115942031</v>
      </c>
      <c r="EA187" s="271">
        <f>+EA164-EA180</f>
        <v>370</v>
      </c>
      <c r="EB187" s="98">
        <f t="shared" ref="EB187:EB193" si="1168">IF(ISERROR((EA187/DS187-1)*100),"NA",IF(((EA187/DS187-1)*100)&gt;100,"NM",IF(((EA187/DS187-1)*100)&lt;-50,"NM",(EA187/DS187-1)*100)))</f>
        <v>-21.276595744680847</v>
      </c>
      <c r="EC187" s="271">
        <f>+EC164-EC180</f>
        <v>399</v>
      </c>
      <c r="ED187" s="98">
        <f t="shared" ref="ED187:ED193" si="1169">IF(ISERROR((EC187/DU187-1)*100),"NA",IF(((EC187/DU187-1)*100)&gt;100,"NM",IF(((EC187/DU187-1)*100)&lt;-50,"NM",(EC187/DU187-1)*100)))</f>
        <v>-22.972972972972972</v>
      </c>
      <c r="EE187" s="271">
        <f>+EE164-EE180</f>
        <v>472</v>
      </c>
      <c r="EF187" s="860">
        <f t="shared" ref="EF187:EF193" si="1170">IF(ISERROR((EE187/DW187-1)*100),"NA",IF(((EE187/DW187-1)*100)&gt;100,"NM",IF(((EE187/DW187-1)*100)&lt;-50,"NM",(EE187/DW187-1)*100)))</f>
        <v>14.285714285714279</v>
      </c>
      <c r="EG187" s="271">
        <f>+EG164-EG180</f>
        <v>449</v>
      </c>
      <c r="EH187" s="860">
        <f t="shared" ref="EH187:EH193" si="1171">IF(ISERROR((EG187/DY187-1)*100),"NA",IF(((EG187/DY187-1)*100)&gt;100,"NM",IF(((EG187/DY187-1)*100)&lt;-50,"NM",(EG187/DY187-1)*100)))</f>
        <v>25.069637883008355</v>
      </c>
      <c r="EI187" s="271">
        <f>+EI164-EI180</f>
        <v>420</v>
      </c>
      <c r="EJ187" s="860">
        <f t="shared" ref="EJ187:EJ193" si="1172">IF(ISERROR((EI187/EA187-1)*100),"NA",IF(((EI187/EA187-1)*100)&gt;100,"NM",IF(((EI187/EA187-1)*100)&lt;-50,"NM",(EI187/EA187-1)*100)))</f>
        <v>13.513513513513509</v>
      </c>
      <c r="EK187" s="271">
        <f>+EK164-EK180</f>
        <v>402</v>
      </c>
      <c r="EL187" s="860">
        <f t="shared" ref="EL187:EL193" si="1173">IF(ISERROR((EK187/EC187-1)*100),"NA",IF(((EK187/EC187-1)*100)&gt;100,"NM",IF(((EK187/EC187-1)*100)&lt;-50,"NM",(EK187/EC187-1)*100)))</f>
        <v>0.75187969924812581</v>
      </c>
      <c r="EM187" s="271">
        <f>+EM164-EM180</f>
        <v>381</v>
      </c>
      <c r="EN187" s="860">
        <f t="shared" ref="EN187:EN193" si="1174">IF(ISERROR((EM187/EE187-1)*100),"NA",IF(((EM187/EE187-1)*100)&gt;100,"NM",IF(((EM187/EE187-1)*100)&lt;-50,"NM",(EM187/EE187-1)*100)))</f>
        <v>-19.279661016949156</v>
      </c>
      <c r="EO187" s="271">
        <f>+EO164-EO180</f>
        <v>266</v>
      </c>
      <c r="EP187" s="98">
        <f t="shared" ref="EP187:EP193" si="1175">IF(ISERROR((EO187/EG187-1)*100),"NA",IF(((EO187/EG187-1)*100)&gt;100,"NM",IF(((EO187/EG187-1)*100)&lt;-50,"NM",(EO187/EG187-1)*100)))</f>
        <v>-40.757238307349667</v>
      </c>
      <c r="EQ187" s="1044">
        <f>+EQ164-EQ180</f>
        <v>365.47311858146668</v>
      </c>
      <c r="ER187" s="98">
        <f t="shared" ref="ER187:ER193" si="1176">IF(ISERROR((EQ187/EI187-1)*100),"NA",IF(((EQ187/EI187-1)*100)&gt;100,"NM",IF(((EQ187/EI187-1)*100)&lt;-50,"NM",(EQ187/EI187-1)*100)))</f>
        <v>-12.9825908139365</v>
      </c>
      <c r="ES187" s="1044">
        <f t="shared" ref="ES187" si="1177">+ES164-ES180</f>
        <v>348.94691178908033</v>
      </c>
      <c r="ET187" s="98">
        <f t="shared" ref="ET187:ET193" si="1178">IF(ISERROR((ES187/EK187-1)*100),"NA",IF(((ES187/EK187-1)*100)&gt;100,"NM",IF(((ES187/EK187-1)*100)&lt;-50,"NM",(ES187/EK187-1)*100)))</f>
        <v>-13.197285624606881</v>
      </c>
      <c r="EU187" s="1044">
        <f t="shared" ref="EU187" si="1179">+EU164-EU180</f>
        <v>332.98496412864688</v>
      </c>
      <c r="EV187" s="98">
        <f t="shared" ref="EV187:EV193" si="1180">IF(ISERROR((EU187/EM187-1)*100),"NA",IF(((EU187/EM187-1)*100)&gt;100,"NM",IF(((EU187/EM187-1)*100)&lt;-50,"NM",(EU187/EM187-1)*100)))</f>
        <v>-12.602371619777719</v>
      </c>
      <c r="EW187" s="1044">
        <f t="shared" ref="EW187" si="1181">+EW164-EW180</f>
        <v>316.89486143146542</v>
      </c>
      <c r="EX187" s="98">
        <f t="shared" ref="EX187:EX193" si="1182">IF(ISERROR((EW187/EO187-1)*100),"NA",IF(((EW187/EO187-1)*100)&gt;100,"NM",IF(((EW187/EO187-1)*100)&lt;-50,"NM",(EW187/EO187-1)*100)))</f>
        <v>19.133406553182496</v>
      </c>
      <c r="EY187" s="272"/>
      <c r="EZ187" s="594"/>
      <c r="FA187" s="405"/>
      <c r="FB187" s="272">
        <f>+FB164-FB180</f>
        <v>411</v>
      </c>
      <c r="FC187" s="230"/>
      <c r="FD187" s="271">
        <f>+FD164-FD180</f>
        <v>391</v>
      </c>
      <c r="FE187" s="98">
        <f>IF(ISERROR((FD187/FB187-1)*100),"NA",IF(((FD187/FB187-1)*100)&gt;100,"NM",IF(((FD187/FB187-1)*100)&lt;-50,"NM",(FD187/FB187-1)*100)))</f>
        <v>-4.8661800486618052</v>
      </c>
      <c r="FF187" s="272">
        <f>+FF164-FF180</f>
        <v>323</v>
      </c>
      <c r="FG187" s="98">
        <f>IF(ISERROR((FF187/FD187-1)*100),"NA",IF(((FF187/FD187-1)*100)&gt;100,"NM",IF(((FF187/FD187-1)*100)&lt;-50,"NM",(FF187/FD187-1)*100)))</f>
        <v>-17.391304347826086</v>
      </c>
      <c r="FH187" s="272">
        <f>+FH164-FH180</f>
        <v>574</v>
      </c>
      <c r="FI187" s="98">
        <f>IF(ISERROR((FH187/FF187-1)*100),"NA",IF(((FH187/FF187-1)*100)&gt;100,"NM",IF(((FH187/FF187-1)*100)&lt;-50,"NM",(FH187/FF187-1)*100)))</f>
        <v>77.708978328173387</v>
      </c>
      <c r="FJ187" s="272">
        <f>+FJ164-FJ180</f>
        <v>699</v>
      </c>
      <c r="FK187" s="98">
        <f>IF(ISERROR((FJ187/FH187-1)*100),"NA",IF(((FJ187/FH187-1)*100)&gt;100,"NM",IF(((FJ187/FH187-1)*100)&lt;-50,"NM",(FJ187/FH187-1)*100)))</f>
        <v>21.777003484320566</v>
      </c>
      <c r="FL187" s="272">
        <f>+FL164-FL180</f>
        <v>665</v>
      </c>
      <c r="FM187" s="98">
        <f>IF(ISERROR((FL187/FJ187-1)*100),"NA",IF(((FL187/FJ187-1)*100)&gt;100,"NM",IF(((FL187/FJ187-1)*100)&lt;-50,"NM",(FL187/FJ187-1)*100)))</f>
        <v>-4.8640915593705314</v>
      </c>
      <c r="FN187" s="272">
        <f>+FN164-FN180</f>
        <v>929</v>
      </c>
      <c r="FO187" s="98">
        <f>IF(ISERROR((FN187/FL187-1)*100),"NA",IF(((FN187/FL187-1)*100)&gt;100,"NM",IF(((FN187/FL187-1)*100)&lt;-50,"NM",(FN187/FL187-1)*100)))</f>
        <v>39.699248120300744</v>
      </c>
      <c r="FP187" s="272">
        <f>+FP164-FP180</f>
        <v>1203</v>
      </c>
      <c r="FQ187" s="98">
        <f>IF(ISERROR((FP187/FN187-1)*100),"NA",IF(((FP187/FN187-1)*100)&gt;100,"NM",IF(((FP187/FN187-1)*100)&lt;-50,"NM",(FP187/FN187-1)*100)))</f>
        <v>29.494079655543604</v>
      </c>
      <c r="FR187" s="273">
        <f>+FR164-FR180</f>
        <v>1446</v>
      </c>
      <c r="FS187" s="120">
        <f t="shared" ref="FS187:FS192" si="1183">IF(ISERROR((FR187/FP187-1)*100),"NA",IF(((FR187/FP187-1)*100)&gt;100,"NM",IF(((FR187/FP187-1)*100)&lt;-50,"NM",(FR187/FP187-1)*100)))</f>
        <v>20.199501246882789</v>
      </c>
      <c r="FT187" s="273">
        <f>+FT164-FT180</f>
        <v>1736</v>
      </c>
      <c r="FU187" s="120">
        <f t="shared" ref="FU187:FU192" si="1184">IF(ISERROR((FT187/FR187-1)*100),"NA",IF(((FT187/FR187-1)*100)&gt;100,"NM",IF(((FT187/FR187-1)*100)&lt;-50,"NM",(FT187/FR187-1)*100)))</f>
        <v>20.055325034578143</v>
      </c>
      <c r="FV187" s="273">
        <f>+FV164-FV180</f>
        <v>1379</v>
      </c>
      <c r="FW187" s="98">
        <f t="shared" ref="FW187:FW192" si="1185">IF(ISERROR((FV187/FT187-1)*100),"NA",IF(((FV187/FT187-1)*100)&gt;100,"NM",IF(((FV187/FT187-1)*100)&lt;-50,"NM",(FV187/FT187-1)*100)))</f>
        <v>-20.564516129032263</v>
      </c>
      <c r="FX187" s="519">
        <f>+FX164-FX180</f>
        <v>819</v>
      </c>
      <c r="FY187" s="98">
        <f t="shared" ref="FY187:FY192" si="1186">IF(ISERROR((FX187/FV187-1)*100),"NA",IF(((FX187/FV187-1)*100)&gt;100,"NM",IF(((FX187/FV187-1)*100)&lt;-50,"NM",(FX187/FV187-1)*100)))</f>
        <v>-40.609137055837564</v>
      </c>
      <c r="FZ187" s="273">
        <f>+FZ164-FZ180</f>
        <v>1415</v>
      </c>
      <c r="GA187" s="98">
        <f t="shared" ref="GA187:GA192" si="1187">IF(ISERROR((FZ187/FX187-1)*100),"NA",IF(((FZ187/FX187-1)*100)&gt;100,"NM",IF(((FZ187/FX187-1)*100)&lt;-50,"NM",(FZ187/FX187-1)*100)))</f>
        <v>72.771672771672783</v>
      </c>
      <c r="GB187" s="519">
        <f>+GB164-GB180</f>
        <v>1711</v>
      </c>
      <c r="GC187" s="98">
        <f t="shared" ref="GC187:GC192" si="1188">IF(ISERROR((GB187/FZ187-1)*100),"NA",IF(((GB187/FZ187-1)*100)&gt;100,"NM",IF(((GB187/FZ187-1)*100)&lt;-50,"NM",(GB187/FZ187-1)*100)))</f>
        <v>20.918727915194356</v>
      </c>
      <c r="GD187" s="273">
        <f>+GD164-GD180</f>
        <v>1883</v>
      </c>
      <c r="GE187" s="98">
        <f t="shared" ref="GE187:GW192" si="1189">IF(ISERROR((GD187/GB187-1)*100),"NA",IF(((GD187/GB187-1)*100)&gt;100,"NM",IF(((GD187/GB187-1)*100)&lt;-50,"NM",(GD187/GB187-1)*100)))</f>
        <v>10.052600818234957</v>
      </c>
      <c r="GF187" s="273">
        <f>+GF164-GF180</f>
        <v>1991</v>
      </c>
      <c r="GG187" s="98">
        <f t="shared" si="1189"/>
        <v>5.7355284121083372</v>
      </c>
      <c r="GH187" s="273">
        <f>+GH164-GH180</f>
        <v>2229</v>
      </c>
      <c r="GI187" s="98">
        <f t="shared" si="1189"/>
        <v>11.953792064289303</v>
      </c>
      <c r="GJ187" s="273">
        <f>+GJ164-GJ180</f>
        <v>1760</v>
      </c>
      <c r="GK187" s="98">
        <f t="shared" si="1189"/>
        <v>-21.040825482279047</v>
      </c>
      <c r="GL187" s="273">
        <f>+GL164-GL180</f>
        <v>1690</v>
      </c>
      <c r="GM187" s="98">
        <f t="shared" si="1189"/>
        <v>-3.9772727272727293</v>
      </c>
      <c r="GN187" s="273">
        <f>+GN164-GN180</f>
        <v>1469</v>
      </c>
      <c r="GO187" s="98">
        <f t="shared" si="1189"/>
        <v>-13.076923076923075</v>
      </c>
      <c r="GP187" s="273">
        <f>+GP164-GP180</f>
        <v>1364.2998559306579</v>
      </c>
      <c r="GQ187" s="98">
        <f t="shared" si="1189"/>
        <v>-7.1273072885869375</v>
      </c>
      <c r="GR187" s="272">
        <f>+GR164-GR180</f>
        <v>1361.4608540625741</v>
      </c>
      <c r="GS187" s="98">
        <f t="shared" si="1189"/>
        <v>-0.2080922207638336</v>
      </c>
      <c r="GT187" s="272">
        <f>+GT164-GT180</f>
        <v>1384.1627286306993</v>
      </c>
      <c r="GU187" s="98">
        <f t="shared" si="1189"/>
        <v>1.6674643637665687</v>
      </c>
      <c r="GV187" s="272">
        <f>+GV164-GV180</f>
        <v>1408.0500047001206</v>
      </c>
      <c r="GW187" s="98">
        <f t="shared" si="1189"/>
        <v>1.7257563417454547</v>
      </c>
      <c r="GX187" s="272">
        <f>+GX164-GX180</f>
        <v>1441.1568751471077</v>
      </c>
      <c r="GY187" s="98">
        <f t="shared" ref="GY187:GY192" si="1190">IF(ISERROR((GX187/GV187-1)*100),"NA",IF(((GX187/GV187-1)*100)&gt;100,"NM",IF(((GX187/GV187-1)*100)&lt;-50,"NM",(GX187/GV187-1)*100)))</f>
        <v>2.351256726428419</v>
      </c>
      <c r="GZ187" s="98">
        <f t="shared" ref="GZ187:GZ193" si="1191">IF(ISERROR(((GX187/GN187)^0.2-1)*100),"NA",IF((((GX187/GN187)^0.2-1)*100)&gt;100,"NM",IF((((GX187/GN187)^0.2-1)*100)&lt;-50,"NM",((GX187/GN187)^0.2-1)*100)))</f>
        <v>-0.38198299429899052</v>
      </c>
      <c r="HA187" s="98"/>
      <c r="HB187" s="15"/>
      <c r="HC187"/>
      <c r="HD187"/>
      <c r="HE187"/>
      <c r="HF187"/>
      <c r="HG187"/>
      <c r="HH187"/>
      <c r="HI187" s="10"/>
    </row>
    <row r="188" spans="1:217" s="5" customFormat="1" ht="12.75" customHeight="1" x14ac:dyDescent="0.2">
      <c r="B188" s="2" t="s">
        <v>478</v>
      </c>
      <c r="C188" s="153">
        <v>24</v>
      </c>
      <c r="D188" s="270"/>
      <c r="E188" s="153">
        <v>24</v>
      </c>
      <c r="F188" s="270"/>
      <c r="G188" s="153">
        <v>25</v>
      </c>
      <c r="H188" s="270"/>
      <c r="I188" s="153">
        <v>29</v>
      </c>
      <c r="J188" s="156"/>
      <c r="K188" s="153">
        <v>46</v>
      </c>
      <c r="L188" s="156">
        <f t="shared" si="1116"/>
        <v>91.666666666666671</v>
      </c>
      <c r="M188" s="153">
        <v>44</v>
      </c>
      <c r="N188" s="156">
        <f t="shared" si="1117"/>
        <v>83.333333333333329</v>
      </c>
      <c r="O188" s="153">
        <v>44</v>
      </c>
      <c r="P188" s="156">
        <f t="shared" si="1118"/>
        <v>76</v>
      </c>
      <c r="Q188" s="153">
        <f>-77+(264/(1-(77/232))*(77/232))+8</f>
        <v>62.148387096774201</v>
      </c>
      <c r="R188" s="156" t="str">
        <f t="shared" si="1119"/>
        <v>NM</v>
      </c>
      <c r="S188" s="153">
        <v>59</v>
      </c>
      <c r="T188" s="156">
        <f t="shared" si="1120"/>
        <v>28.260869565217384</v>
      </c>
      <c r="U188" s="153">
        <v>71</v>
      </c>
      <c r="V188" s="156">
        <f t="shared" si="1121"/>
        <v>61.363636363636353</v>
      </c>
      <c r="W188" s="153">
        <v>54</v>
      </c>
      <c r="X188" s="156">
        <f t="shared" si="1122"/>
        <v>22.72727272727273</v>
      </c>
      <c r="Y188" s="153">
        <v>63</v>
      </c>
      <c r="Z188" s="156">
        <f t="shared" si="1123"/>
        <v>1.3702896293989353</v>
      </c>
      <c r="AA188" s="153">
        <v>44</v>
      </c>
      <c r="AB188" s="156">
        <f t="shared" si="1124"/>
        <v>-25.423728813559322</v>
      </c>
      <c r="AC188" s="153">
        <v>65</v>
      </c>
      <c r="AD188" s="156">
        <f t="shared" si="1125"/>
        <v>-8.4507042253521121</v>
      </c>
      <c r="AE188" s="153">
        <v>56</v>
      </c>
      <c r="AF188" s="156">
        <f t="shared" si="1126"/>
        <v>3.7037037037036979</v>
      </c>
      <c r="AG188" s="153">
        <v>69</v>
      </c>
      <c r="AH188" s="156">
        <f t="shared" si="1127"/>
        <v>9.5238095238095344</v>
      </c>
      <c r="AI188" s="153">
        <v>89</v>
      </c>
      <c r="AJ188" s="156" t="str">
        <f t="shared" si="1128"/>
        <v>NM</v>
      </c>
      <c r="AK188" s="153">
        <v>68</v>
      </c>
      <c r="AL188" s="156">
        <f t="shared" si="1129"/>
        <v>4.6153846153846212</v>
      </c>
      <c r="AM188" s="153">
        <v>74</v>
      </c>
      <c r="AN188" s="156">
        <f t="shared" si="1130"/>
        <v>32.142857142857139</v>
      </c>
      <c r="AO188" s="153">
        <v>79</v>
      </c>
      <c r="AP188" s="156">
        <f t="shared" si="1131"/>
        <v>14.492753623188403</v>
      </c>
      <c r="AQ188" s="153">
        <v>83</v>
      </c>
      <c r="AR188" s="156">
        <f t="shared" si="1132"/>
        <v>-6.741573033707871</v>
      </c>
      <c r="AS188" s="153">
        <v>106</v>
      </c>
      <c r="AT188" s="156">
        <f t="shared" si="1133"/>
        <v>55.882352941176471</v>
      </c>
      <c r="AU188" s="153">
        <v>108</v>
      </c>
      <c r="AV188" s="156">
        <f t="shared" si="1134"/>
        <v>45.945945945945944</v>
      </c>
      <c r="AW188" s="153">
        <v>106</v>
      </c>
      <c r="AX188" s="156">
        <f t="shared" si="1135"/>
        <v>34.177215189873422</v>
      </c>
      <c r="AY188" s="173">
        <v>134</v>
      </c>
      <c r="AZ188" s="156">
        <f t="shared" si="1136"/>
        <v>61.445783132530131</v>
      </c>
      <c r="BA188" s="173">
        <v>114</v>
      </c>
      <c r="BB188" s="156">
        <f t="shared" si="1137"/>
        <v>7.547169811320753</v>
      </c>
      <c r="BC188" s="173">
        <v>103</v>
      </c>
      <c r="BD188" s="156">
        <f t="shared" si="1138"/>
        <v>-4.629629629629628</v>
      </c>
      <c r="BE188" s="173">
        <v>140</v>
      </c>
      <c r="BF188" s="156">
        <f t="shared" si="1139"/>
        <v>32.075471698113198</v>
      </c>
      <c r="BG188" s="173">
        <v>139</v>
      </c>
      <c r="BH188" s="156">
        <f t="shared" si="1140"/>
        <v>3.7313432835820892</v>
      </c>
      <c r="BI188" s="173">
        <v>156</v>
      </c>
      <c r="BJ188" s="156">
        <f t="shared" si="1141"/>
        <v>36.842105263157897</v>
      </c>
      <c r="BK188" s="173">
        <v>126</v>
      </c>
      <c r="BL188" s="156">
        <f t="shared" si="1142"/>
        <v>22.330097087378633</v>
      </c>
      <c r="BM188" s="173">
        <v>174</v>
      </c>
      <c r="BN188" s="98">
        <f t="shared" si="1143"/>
        <v>24.285714285714288</v>
      </c>
      <c r="BO188" s="122">
        <v>164</v>
      </c>
      <c r="BP188" s="98">
        <f t="shared" si="1144"/>
        <v>17.985611510791365</v>
      </c>
      <c r="BQ188" s="122">
        <v>111</v>
      </c>
      <c r="BR188" s="98">
        <f t="shared" si="1145"/>
        <v>-28.846153846153843</v>
      </c>
      <c r="BS188" s="122">
        <v>100</v>
      </c>
      <c r="BT188" s="98">
        <f t="shared" si="1146"/>
        <v>-20.63492063492064</v>
      </c>
      <c r="BU188" s="122">
        <v>57</v>
      </c>
      <c r="BV188" s="98" t="str">
        <f t="shared" si="1147"/>
        <v>NM</v>
      </c>
      <c r="BW188" s="122">
        <v>31</v>
      </c>
      <c r="BX188" s="98" t="str">
        <f t="shared" si="1148"/>
        <v>NM</v>
      </c>
      <c r="BY188" s="122">
        <v>80</v>
      </c>
      <c r="BZ188" s="98">
        <f t="shared" si="1149"/>
        <v>-27.927927927927932</v>
      </c>
      <c r="CA188" s="122">
        <v>68</v>
      </c>
      <c r="CB188" s="98">
        <f t="shared" si="1150"/>
        <v>-31.999999999999996</v>
      </c>
      <c r="CC188" s="122">
        <v>93</v>
      </c>
      <c r="CD188" s="98">
        <f t="shared" si="1151"/>
        <v>63.157894736842103</v>
      </c>
      <c r="CE188" s="122">
        <v>119</v>
      </c>
      <c r="CF188" s="98" t="str">
        <f t="shared" si="1152"/>
        <v>NM</v>
      </c>
      <c r="CG188" s="122">
        <v>126</v>
      </c>
      <c r="CH188" s="98">
        <f t="shared" si="1153"/>
        <v>57.499999999999993</v>
      </c>
      <c r="CI188" s="122">
        <v>98</v>
      </c>
      <c r="CJ188" s="98">
        <f t="shared" si="1154"/>
        <v>44.117647058823529</v>
      </c>
      <c r="CK188" s="122">
        <v>152</v>
      </c>
      <c r="CL188" s="98">
        <f t="shared" si="1155"/>
        <v>63.440860215053775</v>
      </c>
      <c r="CM188" s="122">
        <v>158</v>
      </c>
      <c r="CN188" s="98">
        <f t="shared" si="1156"/>
        <v>32.773109243697476</v>
      </c>
      <c r="CO188" s="122">
        <v>174</v>
      </c>
      <c r="CP188" s="98">
        <f t="shared" si="1157"/>
        <v>38.095238095238095</v>
      </c>
      <c r="CQ188" s="547">
        <v>146</v>
      </c>
      <c r="CR188" s="98">
        <f t="shared" si="1157"/>
        <v>48.979591836734706</v>
      </c>
      <c r="CS188" s="122">
        <v>121</v>
      </c>
      <c r="CT188" s="98">
        <f t="shared" si="1157"/>
        <v>-20.394736842105267</v>
      </c>
      <c r="CU188" s="122">
        <v>161</v>
      </c>
      <c r="CV188" s="98">
        <f t="shared" si="1158"/>
        <v>1.8987341772152</v>
      </c>
      <c r="CW188" s="122">
        <v>171</v>
      </c>
      <c r="CX188" s="98">
        <f t="shared" si="1159"/>
        <v>-1.7241379310344862</v>
      </c>
      <c r="CY188" s="122">
        <v>163</v>
      </c>
      <c r="CZ188" s="98">
        <f t="shared" si="1160"/>
        <v>11.643835616438359</v>
      </c>
      <c r="DA188" s="122">
        <v>164</v>
      </c>
      <c r="DB188" s="98">
        <f t="shared" si="1161"/>
        <v>35.537190082644621</v>
      </c>
      <c r="DC188" s="122">
        <v>158</v>
      </c>
      <c r="DD188" s="98">
        <f t="shared" si="1162"/>
        <v>-1.8633540372670843</v>
      </c>
      <c r="DE188" s="122">
        <v>188</v>
      </c>
      <c r="DF188" s="98">
        <f t="shared" si="1163"/>
        <v>9.9415204678362521</v>
      </c>
      <c r="DG188" s="122">
        <v>161</v>
      </c>
      <c r="DH188" s="98">
        <f t="shared" si="1164"/>
        <v>-1.2269938650306789</v>
      </c>
      <c r="DI188" s="122">
        <v>189</v>
      </c>
      <c r="DJ188" s="98">
        <f t="shared" si="1165"/>
        <v>15.243902439024382</v>
      </c>
      <c r="DK188" s="122">
        <v>182</v>
      </c>
      <c r="DL188" s="98">
        <f t="shared" si="1166"/>
        <v>15.189873417721511</v>
      </c>
      <c r="DM188" s="122">
        <v>187</v>
      </c>
      <c r="DN188" s="98">
        <f t="shared" si="1167"/>
        <v>-0.53191489361702482</v>
      </c>
      <c r="DO188" s="122">
        <v>210</v>
      </c>
      <c r="DP188" s="98">
        <f t="shared" si="1167"/>
        <v>30.434782608695656</v>
      </c>
      <c r="DQ188" s="122">
        <v>192</v>
      </c>
      <c r="DR188" s="98">
        <f t="shared" si="1167"/>
        <v>1.5873015873015817</v>
      </c>
      <c r="DS188" s="122">
        <v>163</v>
      </c>
      <c r="DT188" s="98">
        <f t="shared" si="1167"/>
        <v>-10.439560439560436</v>
      </c>
      <c r="DU188" s="122">
        <v>180</v>
      </c>
      <c r="DV188" s="98">
        <f t="shared" si="1167"/>
        <v>-3.7433155080213942</v>
      </c>
      <c r="DW188" s="122">
        <v>146</v>
      </c>
      <c r="DX188" s="98">
        <f t="shared" si="1167"/>
        <v>-30.476190476190478</v>
      </c>
      <c r="DY188" s="122">
        <v>124</v>
      </c>
      <c r="DZ188" s="98">
        <f t="shared" si="1167"/>
        <v>-35.416666666666664</v>
      </c>
      <c r="EA188" s="122">
        <v>128</v>
      </c>
      <c r="EB188" s="98">
        <f t="shared" si="1168"/>
        <v>-21.472392638036808</v>
      </c>
      <c r="EC188" s="122">
        <v>139</v>
      </c>
      <c r="ED188" s="98">
        <f t="shared" si="1169"/>
        <v>-22.777777777777775</v>
      </c>
      <c r="EE188" s="122">
        <v>164</v>
      </c>
      <c r="EF188" s="860">
        <f t="shared" si="1170"/>
        <v>12.328767123287676</v>
      </c>
      <c r="EG188" s="122">
        <v>155</v>
      </c>
      <c r="EH188" s="860">
        <f t="shared" si="1171"/>
        <v>25</v>
      </c>
      <c r="EI188" s="122">
        <v>146</v>
      </c>
      <c r="EJ188" s="860">
        <f t="shared" si="1172"/>
        <v>14.0625</v>
      </c>
      <c r="EK188" s="122">
        <v>140</v>
      </c>
      <c r="EL188" s="860">
        <f t="shared" si="1173"/>
        <v>0.7194244604316502</v>
      </c>
      <c r="EM188" s="122">
        <v>134</v>
      </c>
      <c r="EN188" s="860">
        <f t="shared" si="1174"/>
        <v>-18.292682926829272</v>
      </c>
      <c r="EO188" s="122">
        <v>93</v>
      </c>
      <c r="EP188" s="98">
        <f t="shared" si="1175"/>
        <v>-40</v>
      </c>
      <c r="EQ188" s="878">
        <f t="shared" ref="EQ188" si="1192">+EQ187*EQ189/100</f>
        <v>73.094623716293341</v>
      </c>
      <c r="ER188" s="98">
        <f t="shared" si="1176"/>
        <v>-49.935189235415521</v>
      </c>
      <c r="ES188" s="878">
        <f t="shared" ref="ES188" si="1193">+ES187*ES189/100</f>
        <v>69.789382357816066</v>
      </c>
      <c r="ET188" s="98" t="str">
        <f t="shared" si="1178"/>
        <v>NM</v>
      </c>
      <c r="EU188" s="878">
        <f t="shared" ref="EU188" si="1194">+EU187*EU189/100</f>
        <v>66.596992825729373</v>
      </c>
      <c r="EV188" s="98" t="str">
        <f t="shared" si="1180"/>
        <v>NM</v>
      </c>
      <c r="EW188" s="878">
        <f t="shared" ref="EW188" si="1195">+EW187*EW189/100</f>
        <v>63.378972286293084</v>
      </c>
      <c r="EX188" s="98">
        <f t="shared" si="1182"/>
        <v>-31.850567434093456</v>
      </c>
      <c r="EY188" s="160"/>
      <c r="EZ188" s="594"/>
      <c r="FA188" s="405"/>
      <c r="FB188" s="200" t="s">
        <v>494</v>
      </c>
      <c r="FC188" s="230"/>
      <c r="FD188" s="118">
        <f>28+58+39+14</f>
        <v>139</v>
      </c>
      <c r="FE188" s="98" t="str">
        <f>IF(ISERROR((FD188/FB188-1)*100),"NA",IF(((FD188/FB188-1)*100)&gt;100,"NM",IF(((FD188/FB188-1)*100)&lt;-50,"NM",(FD188/FB188-1)*100)))</f>
        <v>NA</v>
      </c>
      <c r="FF188" s="118">
        <f>C188+E188+G188+I188</f>
        <v>102</v>
      </c>
      <c r="FG188" s="98">
        <f>IF(ISERROR((FF188/FD188-1)*100),"NA",IF(((FF188/FD188-1)*100)&gt;100,"NM",IF(((FF188/FD188-1)*100)&lt;-50,"NM",(FF188/FD188-1)*100)))</f>
        <v>-26.618705035971225</v>
      </c>
      <c r="FH188" s="118">
        <f>K188+M188+O188+Q188</f>
        <v>196.1483870967742</v>
      </c>
      <c r="FI188" s="98">
        <f>IF(ISERROR((FH188/FF188-1)*100),"NA",IF(((FH188/FF188-1)*100)&gt;100,"NM",IF(((FH188/FF188-1)*100)&lt;-50,"NM",(FH188/FF188-1)*100)))</f>
        <v>92.302340290955101</v>
      </c>
      <c r="FJ188" s="118">
        <f>S188+U188+W188+Y188</f>
        <v>247</v>
      </c>
      <c r="FK188" s="98">
        <f>IF(ISERROR((FJ188/FH188-1)*100),"NA",IF(((FJ188/FH188-1)*100)&gt;100,"NM",IF(((FJ188/FH188-1)*100)&lt;-50,"NM",(FJ188/FH188-1)*100)))</f>
        <v>25.925073183567406</v>
      </c>
      <c r="FL188" s="118">
        <f>AA188+AC188+AE188+AG188</f>
        <v>234</v>
      </c>
      <c r="FM188" s="98">
        <f>IF(ISERROR((FL188/FJ188-1)*100),"NA",IF(((FL188/FJ188-1)*100)&gt;100,"NM",IF(((FL188/FJ188-1)*100)&lt;-50,"NM",(FL188/FJ188-1)*100)))</f>
        <v>-5.2631578947368478</v>
      </c>
      <c r="FN188" s="118">
        <f>AI188+AK188+AM188+AO188</f>
        <v>310</v>
      </c>
      <c r="FO188" s="98">
        <f>IF(ISERROR((FN188/FL188-1)*100),"NA",IF(((FN188/FL188-1)*100)&gt;100,"NM",IF(((FN188/FL188-1)*100)&lt;-50,"NM",(FN188/FL188-1)*100)))</f>
        <v>32.478632478632477</v>
      </c>
      <c r="FP188" s="118">
        <f>AQ188+AS188+AU188+AW188</f>
        <v>403</v>
      </c>
      <c r="FQ188" s="98">
        <f>IF(ISERROR((FP188/FN188-1)*100),"NA",IF(((FP188/FN188-1)*100)&gt;100,"NM",IF(((FP188/FN188-1)*100)&lt;-50,"NM",(FP188/FN188-1)*100)))</f>
        <v>30.000000000000004</v>
      </c>
      <c r="FR188" s="160">
        <f>AY188+BA188+BC188+BE188</f>
        <v>491</v>
      </c>
      <c r="FS188" s="120">
        <f t="shared" si="1183"/>
        <v>21.836228287841198</v>
      </c>
      <c r="FT188" s="160">
        <f>BG188+BI188+BK188+BM188</f>
        <v>595</v>
      </c>
      <c r="FU188" s="120">
        <f t="shared" si="1184"/>
        <v>21.181262729124239</v>
      </c>
      <c r="FV188" s="112">
        <v>466</v>
      </c>
      <c r="FW188" s="98">
        <f t="shared" si="1185"/>
        <v>-21.680672268907564</v>
      </c>
      <c r="FX188" s="495">
        <f>BW188+BY188+CA188+CC188</f>
        <v>272</v>
      </c>
      <c r="FY188" s="98">
        <f t="shared" si="1186"/>
        <v>-41.630901287553648</v>
      </c>
      <c r="FZ188" s="160">
        <f>CE188+CG188+CI188+CK188</f>
        <v>495</v>
      </c>
      <c r="GA188" s="98">
        <f t="shared" si="1187"/>
        <v>81.985294117647058</v>
      </c>
      <c r="GB188" s="495">
        <f>CM188+CO188+CQ188+CS188</f>
        <v>599</v>
      </c>
      <c r="GC188" s="98">
        <f t="shared" si="1188"/>
        <v>21.01010101010101</v>
      </c>
      <c r="GD188" s="160">
        <f>CU188+CW188+CY188+DA188</f>
        <v>659</v>
      </c>
      <c r="GE188" s="98">
        <f t="shared" si="1189"/>
        <v>10.016694490818034</v>
      </c>
      <c r="GF188" s="160">
        <f>DC188+DE188+DG188+DI188</f>
        <v>696</v>
      </c>
      <c r="GG188" s="98">
        <f t="shared" si="1189"/>
        <v>5.6145675265553807</v>
      </c>
      <c r="GH188" s="160">
        <f>DK188+DM188+DO188+DQ188</f>
        <v>771</v>
      </c>
      <c r="GI188" s="98">
        <f t="shared" si="1189"/>
        <v>10.775862068965525</v>
      </c>
      <c r="GJ188" s="160">
        <f>DS188+DU188+DW188+DY188</f>
        <v>613</v>
      </c>
      <c r="GK188" s="98">
        <f t="shared" si="1189"/>
        <v>-20.4928664072633</v>
      </c>
      <c r="GL188" s="160">
        <f>EA188+EC188+EE188+EG188</f>
        <v>586</v>
      </c>
      <c r="GM188" s="98">
        <f t="shared" si="1189"/>
        <v>-4.4045676998368695</v>
      </c>
      <c r="GN188" s="160">
        <f>EI188+EK188+EM188+EO188</f>
        <v>513</v>
      </c>
      <c r="GO188" s="98">
        <f t="shared" si="1189"/>
        <v>-12.457337883959042</v>
      </c>
      <c r="GP188" s="160">
        <f>EQ188+ES188+EU188+EW188</f>
        <v>272.85997118613187</v>
      </c>
      <c r="GQ188" s="98">
        <f t="shared" si="1189"/>
        <v>-46.810921796075654</v>
      </c>
      <c r="GR188" s="160">
        <f>+GR187*GR189/100</f>
        <v>272.29217081251511</v>
      </c>
      <c r="GS188" s="98">
        <f t="shared" si="1189"/>
        <v>-0.2080922207638225</v>
      </c>
      <c r="GT188" s="160">
        <f>+GT187*GT189/100</f>
        <v>276.83254572614015</v>
      </c>
      <c r="GU188" s="98">
        <f t="shared" si="1189"/>
        <v>1.6674643637665465</v>
      </c>
      <c r="GV188" s="160">
        <f>+GV187*GV189/100</f>
        <v>281.61000094002441</v>
      </c>
      <c r="GW188" s="98">
        <f t="shared" si="1189"/>
        <v>1.7257563417454547</v>
      </c>
      <c r="GX188" s="160">
        <f>+GX187*GX189/100</f>
        <v>288.23137502942183</v>
      </c>
      <c r="GY188" s="98">
        <f t="shared" si="1190"/>
        <v>2.3512567264283968</v>
      </c>
      <c r="GZ188" s="98">
        <f t="shared" si="1191"/>
        <v>-10.89034182958326</v>
      </c>
      <c r="HA188" s="98"/>
      <c r="HB188" s="15"/>
      <c r="HC188"/>
      <c r="HD188"/>
      <c r="HE188"/>
      <c r="HF188"/>
      <c r="HG188"/>
      <c r="HH188"/>
      <c r="HI188" s="10"/>
    </row>
    <row r="189" spans="1:217" s="5" customFormat="1" ht="12.75" customHeight="1" x14ac:dyDescent="0.2">
      <c r="B189" s="2" t="s">
        <v>170</v>
      </c>
      <c r="C189" s="201">
        <f>+C188/C187*100</f>
        <v>34.782608695652172</v>
      </c>
      <c r="D189" s="270"/>
      <c r="E189" s="201">
        <f>+E188/E187*100</f>
        <v>33.802816901408448</v>
      </c>
      <c r="F189" s="270"/>
      <c r="G189" s="201">
        <f>+G188/G187*100</f>
        <v>30.120481927710845</v>
      </c>
      <c r="H189" s="270"/>
      <c r="I189" s="201">
        <f>+I188/I187*100</f>
        <v>28.999999999999996</v>
      </c>
      <c r="J189" s="156"/>
      <c r="K189" s="201">
        <f>+K188/K187*100</f>
        <v>32.857142857142854</v>
      </c>
      <c r="L189" s="156">
        <f t="shared" si="1116"/>
        <v>-5.5357142857142883</v>
      </c>
      <c r="M189" s="201">
        <f>+M188/M187*100</f>
        <v>33.333333333333329</v>
      </c>
      <c r="N189" s="156">
        <f t="shared" si="1117"/>
        <v>-1.3888888888888951</v>
      </c>
      <c r="O189" s="201">
        <f>+O188/O187*100</f>
        <v>33.587786259541986</v>
      </c>
      <c r="P189" s="156">
        <f t="shared" si="1118"/>
        <v>11.511450381679378</v>
      </c>
      <c r="Q189" s="201">
        <f>+Q188/Q187*100</f>
        <v>36.344086021505376</v>
      </c>
      <c r="R189" s="156">
        <f t="shared" si="1119"/>
        <v>25.324434556915108</v>
      </c>
      <c r="S189" s="201">
        <f>+S188/S187*100</f>
        <v>34.104046242774565</v>
      </c>
      <c r="T189" s="156">
        <f t="shared" si="1120"/>
        <v>3.7949233475747635</v>
      </c>
      <c r="U189" s="201">
        <f>+U188/U187*100</f>
        <v>34.466019417475728</v>
      </c>
      <c r="V189" s="156">
        <f t="shared" si="1121"/>
        <v>3.3980582524272052</v>
      </c>
      <c r="W189" s="201">
        <f>+W188/W187*100</f>
        <v>34.394904458598724</v>
      </c>
      <c r="X189" s="156">
        <f t="shared" si="1122"/>
        <v>2.4030110017370987</v>
      </c>
      <c r="Y189" s="201">
        <f>+Y188/Y187*100</f>
        <v>38.650306748466257</v>
      </c>
      <c r="Z189" s="156">
        <f t="shared" si="1123"/>
        <v>6.3455185682651516</v>
      </c>
      <c r="AA189" s="201">
        <f>+AA188/AA187*100</f>
        <v>34.920634920634917</v>
      </c>
      <c r="AB189" s="156">
        <f t="shared" si="1124"/>
        <v>2.3944040893193463</v>
      </c>
      <c r="AC189" s="201">
        <f>+AC188/AC187*100</f>
        <v>35.135135135135137</v>
      </c>
      <c r="AD189" s="156">
        <f t="shared" si="1125"/>
        <v>1.9413779977160317</v>
      </c>
      <c r="AE189" s="201">
        <f>+AE188/AE187*100</f>
        <v>35</v>
      </c>
      <c r="AF189" s="156">
        <f t="shared" si="1126"/>
        <v>1.7592592592592604</v>
      </c>
      <c r="AG189" s="201">
        <f>+AG188/AG187*100</f>
        <v>35.567010309278352</v>
      </c>
      <c r="AH189" s="156">
        <f t="shared" si="1127"/>
        <v>-7.9774177712321981</v>
      </c>
      <c r="AI189" s="201">
        <f>+AI188/AI187*100</f>
        <v>33.333333333333329</v>
      </c>
      <c r="AJ189" s="156">
        <f t="shared" si="1128"/>
        <v>-4.5454545454545521</v>
      </c>
      <c r="AK189" s="201">
        <f>+AK188/AK187*100</f>
        <v>33.497536945812804</v>
      </c>
      <c r="AL189" s="156">
        <f t="shared" si="1129"/>
        <v>-4.660856384994327</v>
      </c>
      <c r="AM189" s="201">
        <f>+AM188/AM187*100</f>
        <v>33.183856502242151</v>
      </c>
      <c r="AN189" s="156">
        <f t="shared" si="1130"/>
        <v>-5.1889814221652841</v>
      </c>
      <c r="AO189" s="201">
        <f>+AO188/AO187*100</f>
        <v>33.474576271186443</v>
      </c>
      <c r="AP189" s="156">
        <f t="shared" si="1131"/>
        <v>-5.8830754114468142</v>
      </c>
      <c r="AQ189" s="201">
        <f>+AQ188/AQ187*100</f>
        <v>33.467741935483872</v>
      </c>
      <c r="AR189" s="156">
        <f t="shared" si="1132"/>
        <v>0.40322580645162365</v>
      </c>
      <c r="AS189" s="201">
        <f>+AS188/AS187*100</f>
        <v>33.650793650793652</v>
      </c>
      <c r="AT189" s="156">
        <f t="shared" si="1133"/>
        <v>0.45751633986930162</v>
      </c>
      <c r="AU189" s="201">
        <f>+AU188/AU187*100</f>
        <v>33.333333333333329</v>
      </c>
      <c r="AV189" s="156">
        <f t="shared" si="1134"/>
        <v>0.45045045045044585</v>
      </c>
      <c r="AW189" s="201">
        <f>+AW188/AW187*100</f>
        <v>33.544303797468359</v>
      </c>
      <c r="AX189" s="156">
        <f t="shared" si="1135"/>
        <v>0.20829995193079043</v>
      </c>
      <c r="AY189" s="196">
        <f>+AY188/AY187*100</f>
        <v>33.924050632911388</v>
      </c>
      <c r="AZ189" s="156">
        <f t="shared" si="1136"/>
        <v>1.3634283971328154</v>
      </c>
      <c r="BA189" s="196">
        <f>+BA188/BA187*100</f>
        <v>34.029850746268657</v>
      </c>
      <c r="BB189" s="156">
        <f t="shared" si="1137"/>
        <v>1.1264432554210169</v>
      </c>
      <c r="BC189" s="196">
        <f>+BC188/BC187*100</f>
        <v>33.881578947368425</v>
      </c>
      <c r="BD189" s="156">
        <f t="shared" si="1138"/>
        <v>1.6447368421052877</v>
      </c>
      <c r="BE189" s="196">
        <f>+BE188/BE187*100</f>
        <v>33.980582524271846</v>
      </c>
      <c r="BF189" s="156">
        <f t="shared" si="1139"/>
        <v>1.3006045063198357</v>
      </c>
      <c r="BG189" s="259">
        <f>+BG188/BG187*100</f>
        <v>34.320987654320987</v>
      </c>
      <c r="BH189" s="156">
        <f t="shared" si="1140"/>
        <v>1.1700755481850011</v>
      </c>
      <c r="BI189" s="259">
        <f>+BI188/BI187*100</f>
        <v>34.285714285714285</v>
      </c>
      <c r="BJ189" s="156">
        <f t="shared" si="1141"/>
        <v>0.75187969924812581</v>
      </c>
      <c r="BK189" s="259">
        <f>+BK188/BK187*100</f>
        <v>34.42622950819672</v>
      </c>
      <c r="BL189" s="156">
        <f t="shared" si="1142"/>
        <v>1.6075123348718634</v>
      </c>
      <c r="BM189" s="259">
        <f>+BM188/BM187*100</f>
        <v>34.117647058823529</v>
      </c>
      <c r="BN189" s="98">
        <f t="shared" si="1143"/>
        <v>0.40336134453780037</v>
      </c>
      <c r="BO189" s="260">
        <f>+BO188/BO187*100</f>
        <v>33.814432989690722</v>
      </c>
      <c r="BP189" s="98">
        <f t="shared" si="1144"/>
        <v>-1.4759326559371067</v>
      </c>
      <c r="BQ189" s="260">
        <f>+BQ188/BQ187*100</f>
        <v>33.636363636363633</v>
      </c>
      <c r="BR189" s="98">
        <f t="shared" si="1145"/>
        <v>-1.8939393939394034</v>
      </c>
      <c r="BS189" s="260">
        <f>+BS188/BS187*100</f>
        <v>33.898305084745758</v>
      </c>
      <c r="BT189" s="98">
        <f t="shared" si="1146"/>
        <v>-1.5334947538337418</v>
      </c>
      <c r="BU189" s="260">
        <f>+BU188/BU187*100</f>
        <v>33.928571428571431</v>
      </c>
      <c r="BV189" s="98">
        <f t="shared" si="1147"/>
        <v>-0.55418719211821621</v>
      </c>
      <c r="BW189" s="260">
        <f>+BW188/BW187*100</f>
        <v>32.291666666666671</v>
      </c>
      <c r="BX189" s="98">
        <f t="shared" si="1148"/>
        <v>-4.5033028455284452</v>
      </c>
      <c r="BY189" s="260">
        <f>+BY188/BY187*100</f>
        <v>34.042553191489361</v>
      </c>
      <c r="BZ189" s="98">
        <f t="shared" si="1149"/>
        <v>1.2075905692927158</v>
      </c>
      <c r="CA189" s="260">
        <f>+CA188/CA187*100</f>
        <v>32.692307692307693</v>
      </c>
      <c r="CB189" s="98">
        <f t="shared" si="1150"/>
        <v>-3.5576923076922951</v>
      </c>
      <c r="CC189" s="260">
        <f>+CC188/CC187*100</f>
        <v>33.214285714285715</v>
      </c>
      <c r="CD189" s="98">
        <f t="shared" si="1151"/>
        <v>-2.1052631578947434</v>
      </c>
      <c r="CE189" s="260">
        <f>+CE188/CE187*100</f>
        <v>35.103244837758112</v>
      </c>
      <c r="CF189" s="98">
        <f t="shared" si="1152"/>
        <v>8.7068227233799469</v>
      </c>
      <c r="CG189" s="260">
        <f>+CG188/CG187*100</f>
        <v>34.903047091412745</v>
      </c>
      <c r="CH189" s="98">
        <f t="shared" si="1153"/>
        <v>2.5277008310249371</v>
      </c>
      <c r="CI189" s="260">
        <f>+CI188/CI187*100</f>
        <v>35</v>
      </c>
      <c r="CJ189" s="98">
        <f t="shared" si="1154"/>
        <v>7.0588235294117618</v>
      </c>
      <c r="CK189" s="260">
        <f>+CK188/CK187*100</f>
        <v>34.94252873563218</v>
      </c>
      <c r="CL189" s="98">
        <f t="shared" si="1155"/>
        <v>5.2033123223334421</v>
      </c>
      <c r="CM189" s="260">
        <f>+CM188/CM187*100</f>
        <v>35.34675615212528</v>
      </c>
      <c r="CN189" s="98">
        <f t="shared" si="1156"/>
        <v>0.69370029891151486</v>
      </c>
      <c r="CO189" s="260">
        <f>+CO188/CO187*100</f>
        <v>34.869739478957918</v>
      </c>
      <c r="CP189" s="98">
        <f t="shared" si="1157"/>
        <v>-9.5428953144383044E-2</v>
      </c>
      <c r="CQ189" s="559">
        <f>+CQ188/CQ187*100</f>
        <v>34.928229665071768</v>
      </c>
      <c r="CR189" s="98">
        <f t="shared" si="1157"/>
        <v>-0.20505809979495249</v>
      </c>
      <c r="CS189" s="260">
        <f>+CS188/CS187*100</f>
        <v>34.870317002881848</v>
      </c>
      <c r="CT189" s="98">
        <f t="shared" si="1157"/>
        <v>-0.20665857727891757</v>
      </c>
      <c r="CU189" s="260">
        <f>+CU188/CU187*100</f>
        <v>35.076252723311548</v>
      </c>
      <c r="CV189" s="98">
        <f t="shared" si="1158"/>
        <v>-0.76528501696037088</v>
      </c>
      <c r="CW189" s="260">
        <f>+CW188/CW187*100</f>
        <v>34.969325153374228</v>
      </c>
      <c r="CX189" s="98">
        <f t="shared" si="1159"/>
        <v>0.2855933996191995</v>
      </c>
      <c r="CY189" s="260">
        <f>+CY188/CY187*100</f>
        <v>34.978540772532192</v>
      </c>
      <c r="CZ189" s="98">
        <f t="shared" si="1160"/>
        <v>0.14404138985244508</v>
      </c>
      <c r="DA189" s="260">
        <f>+DA188/DA187*100</f>
        <v>34.968017057569298</v>
      </c>
      <c r="DB189" s="98">
        <f t="shared" si="1161"/>
        <v>0.28018114856649401</v>
      </c>
      <c r="DC189" s="260">
        <f>+DC188/DC187*100</f>
        <v>34.955752212389378</v>
      </c>
      <c r="DD189" s="98">
        <f t="shared" si="1162"/>
        <v>-0.34353872368494409</v>
      </c>
      <c r="DE189" s="260">
        <f>+DE188/DE187*100</f>
        <v>35.205992509363298</v>
      </c>
      <c r="DF189" s="98">
        <f t="shared" si="1163"/>
        <v>0.67678559695119045</v>
      </c>
      <c r="DG189" s="260">
        <f>+DG188/DG187*100</f>
        <v>35.076252723311548</v>
      </c>
      <c r="DH189" s="98">
        <f t="shared" si="1164"/>
        <v>0.27934827646123317</v>
      </c>
      <c r="DI189" s="260">
        <f>+DI188/DI187*100</f>
        <v>34.615384615384613</v>
      </c>
      <c r="DJ189" s="98">
        <f t="shared" si="1165"/>
        <v>-1.0084427767354742</v>
      </c>
      <c r="DK189" s="260">
        <f>+DK188/DK187*100</f>
        <v>34.865900383141764</v>
      </c>
      <c r="DL189" s="98">
        <f t="shared" si="1166"/>
        <v>-0.25704447354381044</v>
      </c>
      <c r="DM189" s="260">
        <f>+DM188/DM187*100</f>
        <v>34</v>
      </c>
      <c r="DN189" s="98">
        <f t="shared" si="1167"/>
        <v>-3.4255319148936203</v>
      </c>
      <c r="DO189" s="260">
        <f>+DO188/DO187*100</f>
        <v>34.710743801652896</v>
      </c>
      <c r="DP189" s="98">
        <f t="shared" si="1167"/>
        <v>-1.0420409629895766</v>
      </c>
      <c r="DQ189" s="260">
        <f>+DQ188/DQ187*100</f>
        <v>34.782608695652172</v>
      </c>
      <c r="DR189" s="98">
        <f t="shared" si="1167"/>
        <v>0.48309178743961567</v>
      </c>
      <c r="DS189" s="260">
        <f>+DS188/DS187*100</f>
        <v>34.680851063829785</v>
      </c>
      <c r="DT189" s="98">
        <f t="shared" si="1167"/>
        <v>-0.53074584989479812</v>
      </c>
      <c r="DU189" s="260">
        <f>+DU188/DU187*100</f>
        <v>34.749034749034749</v>
      </c>
      <c r="DV189" s="98">
        <f t="shared" si="1167"/>
        <v>2.2030433795139581</v>
      </c>
      <c r="DW189" s="260">
        <f>+DW188/DW187*100</f>
        <v>35.351089588377725</v>
      </c>
      <c r="DX189" s="98">
        <f t="shared" si="1167"/>
        <v>1.8448057188977129</v>
      </c>
      <c r="DY189" s="260">
        <f>+DY188/DY187*100</f>
        <v>34.540389972144844</v>
      </c>
      <c r="DZ189" s="98">
        <f t="shared" si="1167"/>
        <v>-0.69637883008356605</v>
      </c>
      <c r="EA189" s="260">
        <f>+EA188/EA187*100</f>
        <v>34.594594594594597</v>
      </c>
      <c r="EB189" s="98">
        <f t="shared" si="1168"/>
        <v>-0.24871497264133957</v>
      </c>
      <c r="EC189" s="260">
        <f>+EC188/EC187*100</f>
        <v>34.837092731829571</v>
      </c>
      <c r="ED189" s="98">
        <f t="shared" si="1169"/>
        <v>0.25341130604288331</v>
      </c>
      <c r="EE189" s="260">
        <f>+EE188/EE187*100</f>
        <v>34.745762711864408</v>
      </c>
      <c r="EF189" s="860">
        <f t="shared" si="1170"/>
        <v>-1.7123287671232834</v>
      </c>
      <c r="EG189" s="260">
        <f>+EG188/EG187*100</f>
        <v>34.521158129175944</v>
      </c>
      <c r="EH189" s="860">
        <f t="shared" si="1171"/>
        <v>-5.5679287305121505E-2</v>
      </c>
      <c r="EI189" s="260">
        <f>+EI188/EI187*100</f>
        <v>34.761904761904759</v>
      </c>
      <c r="EJ189" s="860">
        <f t="shared" si="1172"/>
        <v>0.48363095238093123</v>
      </c>
      <c r="EK189" s="260">
        <f>+EK188/EK187*100</f>
        <v>34.82587064676617</v>
      </c>
      <c r="EL189" s="860">
        <f t="shared" si="1173"/>
        <v>-3.221303554170607E-2</v>
      </c>
      <c r="EM189" s="260">
        <f>+EM188/EM187*100</f>
        <v>35.170603674540686</v>
      </c>
      <c r="EN189" s="860">
        <f t="shared" si="1174"/>
        <v>1.2227130145317178</v>
      </c>
      <c r="EO189" s="260">
        <f>+EO188/EO187*100</f>
        <v>34.962406015037594</v>
      </c>
      <c r="EP189" s="98">
        <f t="shared" si="1175"/>
        <v>1.2781954887218117</v>
      </c>
      <c r="EQ189" s="1026">
        <v>20</v>
      </c>
      <c r="ER189" s="98">
        <f t="shared" si="1176"/>
        <v>-42.465753424657528</v>
      </c>
      <c r="ES189" s="1026">
        <f t="shared" ref="ES189" si="1196">EQ189</f>
        <v>20</v>
      </c>
      <c r="ET189" s="98">
        <f t="shared" si="1178"/>
        <v>-42.571428571428569</v>
      </c>
      <c r="EU189" s="1026">
        <f t="shared" ref="EU189" si="1197">ES189</f>
        <v>20</v>
      </c>
      <c r="EV189" s="98">
        <f t="shared" si="1180"/>
        <v>-43.134328358208961</v>
      </c>
      <c r="EW189" s="1026">
        <f t="shared" ref="EW189" si="1198">EU189</f>
        <v>20</v>
      </c>
      <c r="EX189" s="98">
        <f t="shared" si="1182"/>
        <v>-42.795698924731184</v>
      </c>
      <c r="EY189" s="80"/>
      <c r="EZ189" s="594"/>
      <c r="FA189" s="405"/>
      <c r="FB189" s="200" t="s">
        <v>494</v>
      </c>
      <c r="FC189" s="230"/>
      <c r="FD189" s="125">
        <f>+FD188/FD187*100</f>
        <v>35.549872122762153</v>
      </c>
      <c r="FE189" s="98" t="str">
        <f>IF(ISERROR((FD189/FB189-1)*100),"NA",IF(((FD189/FB189-1)*100)&gt;100,"NM",IF(((FD189/FB189-1)*100)&lt;-50,"NM",(FD189/FB189-1)*100)))</f>
        <v>NA</v>
      </c>
      <c r="FF189" s="125">
        <f>+FF188/FF187*100</f>
        <v>31.578947368421051</v>
      </c>
      <c r="FG189" s="98">
        <f>IF(ISERROR((FF189/FD189-1)*100),"NA",IF(((FF189/FD189-1)*100)&gt;100,"NM",IF(((FF189/FD189-1)*100)&lt;-50,"NM",(FF189/FD189-1)*100)))</f>
        <v>-11.170011359333598</v>
      </c>
      <c r="FH189" s="125">
        <f>+FH188/FH187*100</f>
        <v>34.172192874002469</v>
      </c>
      <c r="FI189" s="98">
        <f>IF(ISERROR((FH189/FF189-1)*100),"NA",IF(((FH189/FF189-1)*100)&gt;100,"NM",IF(((FH189/FF189-1)*100)&lt;-50,"NM",(FH189/FF189-1)*100)))</f>
        <v>8.2119441010078287</v>
      </c>
      <c r="FJ189" s="125">
        <f>+FJ188/FJ187*100</f>
        <v>35.336194563662374</v>
      </c>
      <c r="FK189" s="98">
        <f>IF(ISERROR((FJ189/FH189-1)*100),"NA",IF(((FJ189/FH189-1)*100)&gt;100,"NM",IF(((FJ189/FH189-1)*100)&lt;-50,"NM",(FJ189/FH189-1)*100)))</f>
        <v>3.4062832723429137</v>
      </c>
      <c r="FL189" s="125">
        <f>+FL188/FL187*100</f>
        <v>35.18796992481203</v>
      </c>
      <c r="FM189" s="98">
        <f>IF(ISERROR((FL189/FJ189-1)*100),"NA",IF(((FL189/FJ189-1)*100)&gt;100,"NM",IF(((FL189/FJ189-1)*100)&lt;-50,"NM",(FL189/FJ189-1)*100)))</f>
        <v>-0.41946972694895113</v>
      </c>
      <c r="FN189" s="125">
        <f>+FN188/FN187*100</f>
        <v>33.369214208826698</v>
      </c>
      <c r="FO189" s="98">
        <f>IF(ISERROR((FN189/FL189-1)*100),"NA",IF(((FN189/FL189-1)*100)&gt;100,"NM",IF(((FN189/FL189-1)*100)&lt;-50,"NM",(FN189/FL189-1)*100)))</f>
        <v>-5.1686861159412238</v>
      </c>
      <c r="FP189" s="125">
        <f>+FP188/FP187*100</f>
        <v>33.499584372402332</v>
      </c>
      <c r="FQ189" s="98">
        <f>IF(ISERROR((FP189/FN189-1)*100),"NA",IF(((FP189/FN189-1)*100)&gt;100,"NM",IF(((FP189/FN189-1)*100)&lt;-50,"NM",(FP189/FN189-1)*100)))</f>
        <v>0.39068994181215011</v>
      </c>
      <c r="FR189" s="130">
        <f>+FR188/FR187*100</f>
        <v>33.955739972337483</v>
      </c>
      <c r="FS189" s="120">
        <f t="shared" si="1183"/>
        <v>1.3616754012952592</v>
      </c>
      <c r="FT189" s="130">
        <f>+FT188/FT187*100</f>
        <v>34.274193548387096</v>
      </c>
      <c r="FU189" s="120">
        <f t="shared" si="1184"/>
        <v>0.93784902437421547</v>
      </c>
      <c r="FV189" s="130">
        <f>+FV188/FV187*100</f>
        <v>33.792603335750542</v>
      </c>
      <c r="FW189" s="98">
        <f t="shared" si="1185"/>
        <v>-1.4051102674572435</v>
      </c>
      <c r="FX189" s="487">
        <f>+FX188/FX187*100</f>
        <v>33.211233211233207</v>
      </c>
      <c r="FY189" s="98">
        <f t="shared" si="1186"/>
        <v>-1.720406441436495</v>
      </c>
      <c r="FZ189" s="130">
        <f>+FZ188/FZ187*100</f>
        <v>34.982332155477032</v>
      </c>
      <c r="GA189" s="98">
        <f t="shared" si="1187"/>
        <v>5.3328310122635836</v>
      </c>
      <c r="GB189" s="487">
        <f>+GB188/GB187*100</f>
        <v>35.008766803039158</v>
      </c>
      <c r="GC189" s="98">
        <f t="shared" si="1188"/>
        <v>7.5565709697800187E-2</v>
      </c>
      <c r="GD189" s="130">
        <f>+GD188/GD187*100</f>
        <v>34.997344662772171</v>
      </c>
      <c r="GE189" s="98">
        <f t="shared" si="1189"/>
        <v>-3.2626514184996847E-2</v>
      </c>
      <c r="GF189" s="130">
        <f>+GF188/GF187*100</f>
        <v>34.957307885484681</v>
      </c>
      <c r="GG189" s="98">
        <f t="shared" si="1189"/>
        <v>-0.11439947136926421</v>
      </c>
      <c r="GH189" s="130">
        <f>+GH188/GH187*100</f>
        <v>34.589502018842531</v>
      </c>
      <c r="GI189" s="98">
        <f t="shared" si="1189"/>
        <v>-1.0521572995467299</v>
      </c>
      <c r="GJ189" s="130">
        <f>+GJ188/GJ187*100</f>
        <v>34.829545454545453</v>
      </c>
      <c r="GK189" s="98">
        <f t="shared" si="1189"/>
        <v>0.69397771489210225</v>
      </c>
      <c r="GL189" s="130">
        <f>+GL188/GL187*100</f>
        <v>34.674556213017752</v>
      </c>
      <c r="GM189" s="98">
        <f t="shared" si="1189"/>
        <v>-0.44499358089519214</v>
      </c>
      <c r="GN189" s="130">
        <f>+GN188/GN187*100</f>
        <v>34.921715452688908</v>
      </c>
      <c r="GO189" s="98">
        <f t="shared" si="1189"/>
        <v>0.71279712464888956</v>
      </c>
      <c r="GP189" s="130">
        <f>+GP188/GP187*100</f>
        <v>20.000000000000021</v>
      </c>
      <c r="GQ189" s="98">
        <f t="shared" si="1189"/>
        <v>-42.729044834307942</v>
      </c>
      <c r="GR189" s="80">
        <f>GP189</f>
        <v>20.000000000000021</v>
      </c>
      <c r="GS189" s="98">
        <f t="shared" si="1189"/>
        <v>0</v>
      </c>
      <c r="GT189" s="80">
        <f>GR189</f>
        <v>20.000000000000021</v>
      </c>
      <c r="GU189" s="98">
        <f t="shared" si="1189"/>
        <v>0</v>
      </c>
      <c r="GV189" s="80">
        <f>GT189</f>
        <v>20.000000000000021</v>
      </c>
      <c r="GW189" s="98">
        <f t="shared" si="1189"/>
        <v>0</v>
      </c>
      <c r="GX189" s="80">
        <f>GV189</f>
        <v>20.000000000000021</v>
      </c>
      <c r="GY189" s="98">
        <f t="shared" si="1190"/>
        <v>0</v>
      </c>
      <c r="GZ189" s="98">
        <f t="shared" si="1191"/>
        <v>-10.5486528954726</v>
      </c>
      <c r="HA189" s="98"/>
      <c r="HB189" s="15"/>
      <c r="HC189"/>
      <c r="HD189"/>
      <c r="HE189"/>
      <c r="HF189"/>
      <c r="HG189"/>
      <c r="HH189"/>
      <c r="HI189" s="10"/>
    </row>
    <row r="190" spans="1:217" s="5" customFormat="1" ht="12.75" customHeight="1" x14ac:dyDescent="0.2">
      <c r="A190" s="2" t="s">
        <v>607</v>
      </c>
      <c r="B190" s="93" t="s">
        <v>28</v>
      </c>
      <c r="C190" s="203">
        <f>+C187-C188</f>
        <v>45</v>
      </c>
      <c r="D190" s="270"/>
      <c r="E190" s="203">
        <f>+E187-E188</f>
        <v>47</v>
      </c>
      <c r="F190" s="270"/>
      <c r="G190" s="203">
        <f>+G187-G188</f>
        <v>58</v>
      </c>
      <c r="H190" s="270"/>
      <c r="I190" s="203">
        <f>+I187-I188</f>
        <v>71</v>
      </c>
      <c r="J190" s="156"/>
      <c r="K190" s="203">
        <f>+K187-K188</f>
        <v>94</v>
      </c>
      <c r="L190" s="156" t="str">
        <f t="shared" si="1116"/>
        <v>NM</v>
      </c>
      <c r="M190" s="203">
        <f>+M187-M188</f>
        <v>88</v>
      </c>
      <c r="N190" s="156">
        <f t="shared" si="1117"/>
        <v>87.2340425531915</v>
      </c>
      <c r="O190" s="203">
        <f>+O187-O188</f>
        <v>87</v>
      </c>
      <c r="P190" s="156">
        <f t="shared" si="1118"/>
        <v>50</v>
      </c>
      <c r="Q190" s="203">
        <f>+Q187-Q188</f>
        <v>108.8516129032258</v>
      </c>
      <c r="R190" s="156">
        <f t="shared" si="1119"/>
        <v>53.312130849613794</v>
      </c>
      <c r="S190" s="203">
        <f>+S187-S188</f>
        <v>114</v>
      </c>
      <c r="T190" s="156">
        <f t="shared" si="1120"/>
        <v>21.276595744680861</v>
      </c>
      <c r="U190" s="203">
        <f>+U187-U188</f>
        <v>135</v>
      </c>
      <c r="V190" s="156">
        <f t="shared" si="1121"/>
        <v>53.409090909090921</v>
      </c>
      <c r="W190" s="203">
        <f>+W187-W188</f>
        <v>103</v>
      </c>
      <c r="X190" s="156">
        <f t="shared" si="1122"/>
        <v>18.390804597701148</v>
      </c>
      <c r="Y190" s="203">
        <f>+Y187-Y188</f>
        <v>100</v>
      </c>
      <c r="Z190" s="156">
        <f t="shared" si="1123"/>
        <v>-8.1318160265528618</v>
      </c>
      <c r="AA190" s="203">
        <f>+AA187-AA188</f>
        <v>82</v>
      </c>
      <c r="AB190" s="156">
        <f t="shared" si="1124"/>
        <v>-28.07017543859649</v>
      </c>
      <c r="AC190" s="203">
        <f>+AC187-AC188</f>
        <v>120</v>
      </c>
      <c r="AD190" s="156">
        <f t="shared" si="1125"/>
        <v>-11.111111111111116</v>
      </c>
      <c r="AE190" s="203">
        <f>+AE187-AE188</f>
        <v>104</v>
      </c>
      <c r="AF190" s="156">
        <f t="shared" si="1126"/>
        <v>0.97087378640776656</v>
      </c>
      <c r="AG190" s="203">
        <f>+AG187-AG188</f>
        <v>125</v>
      </c>
      <c r="AH190" s="156">
        <f t="shared" si="1127"/>
        <v>25</v>
      </c>
      <c r="AI190" s="203">
        <f>+AI187-AI188</f>
        <v>178</v>
      </c>
      <c r="AJ190" s="156" t="str">
        <f t="shared" si="1128"/>
        <v>NM</v>
      </c>
      <c r="AK190" s="203">
        <f>+AK187-AK188</f>
        <v>135</v>
      </c>
      <c r="AL190" s="156">
        <f t="shared" si="1129"/>
        <v>12.5</v>
      </c>
      <c r="AM190" s="203">
        <f>+AM187-AM188</f>
        <v>149</v>
      </c>
      <c r="AN190" s="156">
        <f t="shared" si="1130"/>
        <v>43.269230769230774</v>
      </c>
      <c r="AO190" s="203">
        <f>+AO187-AO188</f>
        <v>157</v>
      </c>
      <c r="AP190" s="156">
        <f t="shared" si="1131"/>
        <v>25.6</v>
      </c>
      <c r="AQ190" s="203">
        <f>+AQ187-AQ188</f>
        <v>165</v>
      </c>
      <c r="AR190" s="156">
        <f t="shared" si="1132"/>
        <v>-7.3033707865168491</v>
      </c>
      <c r="AS190" s="203">
        <f>+AS187-AS188</f>
        <v>209</v>
      </c>
      <c r="AT190" s="156">
        <f t="shared" si="1133"/>
        <v>54.814814814814802</v>
      </c>
      <c r="AU190" s="203">
        <f>+AU187-AU188</f>
        <v>216</v>
      </c>
      <c r="AV190" s="156">
        <f t="shared" si="1134"/>
        <v>44.966442953020128</v>
      </c>
      <c r="AW190" s="203">
        <f>+AW187-AW188</f>
        <v>210</v>
      </c>
      <c r="AX190" s="156">
        <f t="shared" si="1135"/>
        <v>33.757961783439484</v>
      </c>
      <c r="AY190" s="269">
        <f>+AY187-AY188</f>
        <v>261</v>
      </c>
      <c r="AZ190" s="156">
        <f t="shared" si="1136"/>
        <v>58.18181818181818</v>
      </c>
      <c r="BA190" s="269">
        <f>+BA187-BA188</f>
        <v>221</v>
      </c>
      <c r="BB190" s="156">
        <f t="shared" si="1137"/>
        <v>5.741626794258381</v>
      </c>
      <c r="BC190" s="269">
        <f>+BC187-BC188</f>
        <v>201</v>
      </c>
      <c r="BD190" s="156">
        <f t="shared" si="1138"/>
        <v>-6.944444444444442</v>
      </c>
      <c r="BE190" s="269">
        <f>+BE187-BE188</f>
        <v>272</v>
      </c>
      <c r="BF190" s="156">
        <f t="shared" si="1139"/>
        <v>29.523809523809529</v>
      </c>
      <c r="BG190" s="269">
        <f>+BG187-BG188</f>
        <v>266</v>
      </c>
      <c r="BH190" s="156">
        <f t="shared" si="1140"/>
        <v>1.9157088122605304</v>
      </c>
      <c r="BI190" s="269">
        <f>+BI187-BI188</f>
        <v>299</v>
      </c>
      <c r="BJ190" s="156">
        <f t="shared" si="1141"/>
        <v>35.294117647058833</v>
      </c>
      <c r="BK190" s="269">
        <f>+BK187-BK188</f>
        <v>240</v>
      </c>
      <c r="BL190" s="156">
        <f t="shared" si="1142"/>
        <v>19.402985074626855</v>
      </c>
      <c r="BM190" s="269">
        <f>+BM187-BM188</f>
        <v>336</v>
      </c>
      <c r="BN190" s="98">
        <f t="shared" si="1143"/>
        <v>23.529411764705888</v>
      </c>
      <c r="BO190" s="271">
        <f>+BO187-BO188</f>
        <v>321</v>
      </c>
      <c r="BP190" s="98">
        <f t="shared" si="1144"/>
        <v>20.676691729323316</v>
      </c>
      <c r="BQ190" s="271">
        <f>+BQ187-BQ188</f>
        <v>219</v>
      </c>
      <c r="BR190" s="98">
        <f t="shared" si="1145"/>
        <v>-26.755852842809368</v>
      </c>
      <c r="BS190" s="271">
        <f>+BS187-BS188</f>
        <v>195</v>
      </c>
      <c r="BT190" s="98">
        <f t="shared" si="1146"/>
        <v>-18.75</v>
      </c>
      <c r="BU190" s="271">
        <f>+BU187-BU188</f>
        <v>111</v>
      </c>
      <c r="BV190" s="98" t="str">
        <f t="shared" si="1147"/>
        <v>NM</v>
      </c>
      <c r="BW190" s="271">
        <f>+BW187-BW188</f>
        <v>65</v>
      </c>
      <c r="BX190" s="98" t="str">
        <f t="shared" si="1148"/>
        <v>NM</v>
      </c>
      <c r="BY190" s="271">
        <f>+BY187-BY188</f>
        <v>155</v>
      </c>
      <c r="BZ190" s="98">
        <f t="shared" si="1149"/>
        <v>-29.223744292237441</v>
      </c>
      <c r="CA190" s="271">
        <f>+CA187-CA188</f>
        <v>140</v>
      </c>
      <c r="CB190" s="98">
        <f t="shared" si="1150"/>
        <v>-28.205128205128204</v>
      </c>
      <c r="CC190" s="271">
        <f>+CC187-CC188</f>
        <v>187</v>
      </c>
      <c r="CD190" s="98">
        <f t="shared" si="1151"/>
        <v>68.468468468468458</v>
      </c>
      <c r="CE190" s="271">
        <f>+CE187-CE188</f>
        <v>220</v>
      </c>
      <c r="CF190" s="98" t="str">
        <f t="shared" si="1152"/>
        <v>NM</v>
      </c>
      <c r="CG190" s="271">
        <f>+CG187-CG188</f>
        <v>235</v>
      </c>
      <c r="CH190" s="98">
        <f t="shared" si="1153"/>
        <v>51.612903225806448</v>
      </c>
      <c r="CI190" s="271">
        <f>+CI187-CI188</f>
        <v>182</v>
      </c>
      <c r="CJ190" s="98">
        <f t="shared" si="1154"/>
        <v>30.000000000000004</v>
      </c>
      <c r="CK190" s="271">
        <f>+CK187-CK188</f>
        <v>283</v>
      </c>
      <c r="CL190" s="98">
        <f t="shared" si="1155"/>
        <v>51.336898395721931</v>
      </c>
      <c r="CM190" s="271">
        <f>+CM187-CM188</f>
        <v>289</v>
      </c>
      <c r="CN190" s="98">
        <f t="shared" si="1156"/>
        <v>31.36363636363637</v>
      </c>
      <c r="CO190" s="271">
        <f>+CO187-CO188</f>
        <v>325</v>
      </c>
      <c r="CP190" s="98">
        <f t="shared" si="1157"/>
        <v>38.297872340425542</v>
      </c>
      <c r="CQ190" s="560">
        <f>+CQ187-CQ188</f>
        <v>272</v>
      </c>
      <c r="CR190" s="98">
        <f t="shared" si="1157"/>
        <v>49.450549450549453</v>
      </c>
      <c r="CS190" s="271">
        <f>+CS187-CS188</f>
        <v>226</v>
      </c>
      <c r="CT190" s="98">
        <f t="shared" si="1157"/>
        <v>-20.141342756183743</v>
      </c>
      <c r="CU190" s="271">
        <f>+CU187-CU188</f>
        <v>298</v>
      </c>
      <c r="CV190" s="98">
        <f t="shared" si="1158"/>
        <v>3.114186851211076</v>
      </c>
      <c r="CW190" s="271">
        <f>+CW187-CW188</f>
        <v>318</v>
      </c>
      <c r="CX190" s="98">
        <f t="shared" si="1159"/>
        <v>-2.1538461538461506</v>
      </c>
      <c r="CY190" s="271">
        <f>+CY187-CY188</f>
        <v>303</v>
      </c>
      <c r="CZ190" s="98">
        <f t="shared" si="1160"/>
        <v>11.397058823529417</v>
      </c>
      <c r="DA190" s="271">
        <f>+DA187-DA188</f>
        <v>305</v>
      </c>
      <c r="DB190" s="98">
        <f t="shared" si="1161"/>
        <v>34.955752212389378</v>
      </c>
      <c r="DC190" s="271">
        <f>+DC187-DC188</f>
        <v>294</v>
      </c>
      <c r="DD190" s="98">
        <f t="shared" si="1162"/>
        <v>-1.3422818791946289</v>
      </c>
      <c r="DE190" s="271">
        <f>+DE187-DE188</f>
        <v>346</v>
      </c>
      <c r="DF190" s="98">
        <f t="shared" si="1163"/>
        <v>8.8050314465408785</v>
      </c>
      <c r="DG190" s="271">
        <f>+DG187-DG188</f>
        <v>298</v>
      </c>
      <c r="DH190" s="98">
        <f t="shared" si="1164"/>
        <v>-1.6501650165016479</v>
      </c>
      <c r="DI190" s="271">
        <f>+DI187-DI188</f>
        <v>357</v>
      </c>
      <c r="DJ190" s="98">
        <f t="shared" si="1165"/>
        <v>17.049180327868861</v>
      </c>
      <c r="DK190" s="271">
        <f>+DK187-DK188</f>
        <v>340</v>
      </c>
      <c r="DL190" s="98">
        <f t="shared" si="1166"/>
        <v>15.646258503401356</v>
      </c>
      <c r="DM190" s="271">
        <f>+DM187-DM188</f>
        <v>363</v>
      </c>
      <c r="DN190" s="98">
        <f t="shared" si="1167"/>
        <v>4.9132947976878505</v>
      </c>
      <c r="DO190" s="271">
        <f>+DO187-DO188</f>
        <v>395</v>
      </c>
      <c r="DP190" s="98">
        <f t="shared" si="1167"/>
        <v>32.550335570469798</v>
      </c>
      <c r="DQ190" s="271">
        <f>+DQ187-DQ188</f>
        <v>360</v>
      </c>
      <c r="DR190" s="98">
        <f t="shared" si="1167"/>
        <v>0.84033613445377853</v>
      </c>
      <c r="DS190" s="271">
        <f>+DS187-DS188</f>
        <v>307</v>
      </c>
      <c r="DT190" s="98">
        <f t="shared" si="1167"/>
        <v>-9.7058823529411757</v>
      </c>
      <c r="DU190" s="271">
        <f>+DU187-DU188</f>
        <v>338</v>
      </c>
      <c r="DV190" s="98">
        <f t="shared" si="1167"/>
        <v>-6.8870523415977996</v>
      </c>
      <c r="DW190" s="271">
        <f>+DW187-DW188</f>
        <v>267</v>
      </c>
      <c r="DX190" s="98">
        <f t="shared" si="1167"/>
        <v>-32.405063291139236</v>
      </c>
      <c r="DY190" s="271">
        <f>+DY187-DY188</f>
        <v>235</v>
      </c>
      <c r="DZ190" s="98">
        <f t="shared" si="1167"/>
        <v>-34.722222222222221</v>
      </c>
      <c r="EA190" s="271">
        <f>+EA187-EA188</f>
        <v>242</v>
      </c>
      <c r="EB190" s="98">
        <f t="shared" si="1168"/>
        <v>-21.172638436482082</v>
      </c>
      <c r="EC190" s="271">
        <f>+EC187-EC188</f>
        <v>260</v>
      </c>
      <c r="ED190" s="98">
        <f t="shared" si="1169"/>
        <v>-23.076923076923073</v>
      </c>
      <c r="EE190" s="271">
        <f>+EE187-EE188</f>
        <v>308</v>
      </c>
      <c r="EF190" s="860">
        <f t="shared" si="1170"/>
        <v>15.355805243445687</v>
      </c>
      <c r="EG190" s="271">
        <f>+EG187-EG188</f>
        <v>294</v>
      </c>
      <c r="EH190" s="860">
        <f t="shared" si="1171"/>
        <v>25.106382978723406</v>
      </c>
      <c r="EI190" s="271">
        <f>+EI187-EI188</f>
        <v>274</v>
      </c>
      <c r="EJ190" s="860">
        <f t="shared" si="1172"/>
        <v>13.223140495867769</v>
      </c>
      <c r="EK190" s="271">
        <f>+EK187-EK188</f>
        <v>262</v>
      </c>
      <c r="EL190" s="860">
        <f t="shared" si="1173"/>
        <v>0.7692307692307665</v>
      </c>
      <c r="EM190" s="271">
        <f>+EM187-EM188</f>
        <v>247</v>
      </c>
      <c r="EN190" s="860">
        <f t="shared" si="1174"/>
        <v>-19.805194805194802</v>
      </c>
      <c r="EO190" s="271">
        <f>+EO187-EO188</f>
        <v>173</v>
      </c>
      <c r="EP190" s="98">
        <f t="shared" si="1175"/>
        <v>-41.156462585034014</v>
      </c>
      <c r="EQ190" s="1028">
        <f t="shared" ref="EQ190" si="1199">+EQ187-EQ188</f>
        <v>292.37849486517337</v>
      </c>
      <c r="ER190" s="98">
        <f t="shared" si="1176"/>
        <v>6.7074798778004929</v>
      </c>
      <c r="ES190" s="1028">
        <f t="shared" ref="ES190" si="1200">+ES187-ES188</f>
        <v>279.15752943126427</v>
      </c>
      <c r="ET190" s="98">
        <f t="shared" si="1178"/>
        <v>6.5486753554443666</v>
      </c>
      <c r="EU190" s="1028">
        <f t="shared" ref="EU190" si="1201">+EU187-EU188</f>
        <v>266.38797130291749</v>
      </c>
      <c r="EV190" s="98">
        <f t="shared" si="1180"/>
        <v>7.8493810942985798</v>
      </c>
      <c r="EW190" s="1028">
        <f t="shared" ref="EW190" si="1202">+EW187-EW188</f>
        <v>253.51588914517234</v>
      </c>
      <c r="EX190" s="98">
        <f t="shared" si="1182"/>
        <v>46.54097638449268</v>
      </c>
      <c r="EY190" s="204"/>
      <c r="EZ190" s="594"/>
      <c r="FA190" s="405"/>
      <c r="FB190" s="200" t="s">
        <v>494</v>
      </c>
      <c r="FC190" s="230"/>
      <c r="FD190" s="183">
        <f>+FD187-FD188</f>
        <v>252</v>
      </c>
      <c r="FE190" s="98" t="str">
        <f>IF(ISERROR((FD190/FB190-1)*100),"NA",IF(((FD190/FB190-1)*100)&gt;100,"NM",IF(((FD190/FB190-1)*100)&lt;-50,"NM",(FD190/FB190-1)*100)))</f>
        <v>NA</v>
      </c>
      <c r="FF190" s="183">
        <f>+FF187-FF188</f>
        <v>221</v>
      </c>
      <c r="FG190" s="98">
        <f>IF(ISERROR((FF190/FD190-1)*100),"NA",IF(((FF190/FD190-1)*100)&gt;100,"NM",IF(((FF190/FD190-1)*100)&lt;-50,"NM",(FF190/FD190-1)*100)))</f>
        <v>-12.301587301587302</v>
      </c>
      <c r="FH190" s="183">
        <f>+FH187-FH188</f>
        <v>377.85161290322583</v>
      </c>
      <c r="FI190" s="98">
        <f>IF(ISERROR((FH190/FF190-1)*100),"NA",IF(((FH190/FF190-1)*100)&gt;100,"NM",IF(((FH190/FF190-1)*100)&lt;-50,"NM",(FH190/FF190-1)*100)))</f>
        <v>70.973580499197197</v>
      </c>
      <c r="FJ190" s="183">
        <f>+FJ187-FJ188</f>
        <v>452</v>
      </c>
      <c r="FK190" s="98">
        <f>IF(ISERROR((FJ190/FH190-1)*100),"NA",IF(((FJ190/FH190-1)*100)&gt;100,"NM",IF(((FJ190/FH190-1)*100)&lt;-50,"NM",(FJ190/FH190-1)*100)))</f>
        <v>19.623678863523828</v>
      </c>
      <c r="FL190" s="183">
        <f>+FL187-FL188</f>
        <v>431</v>
      </c>
      <c r="FM190" s="98">
        <f>IF(ISERROR((FL190/FJ190-1)*100),"NA",IF(((FL190/FJ190-1)*100)&gt;100,"NM",IF(((FL190/FJ190-1)*100)&lt;-50,"NM",(FL190/FJ190-1)*100)))</f>
        <v>-4.6460176991150455</v>
      </c>
      <c r="FN190" s="183">
        <f>+FN187-FN188</f>
        <v>619</v>
      </c>
      <c r="FO190" s="98">
        <f>IF(ISERROR((FN190/FL190-1)*100),"NA",IF(((FN190/FL190-1)*100)&gt;100,"NM",IF(((FN190/FL190-1)*100)&lt;-50,"NM",(FN190/FL190-1)*100)))</f>
        <v>43.619489559164727</v>
      </c>
      <c r="FP190" s="183">
        <f>+FP187-FP188</f>
        <v>800</v>
      </c>
      <c r="FQ190" s="98">
        <f>IF(ISERROR((FP190/FN190-1)*100),"NA",IF(((FP190/FN190-1)*100)&gt;100,"NM",IF(((FP190/FN190-1)*100)&lt;-50,"NM",(FP190/FN190-1)*100)))</f>
        <v>29.240710823909531</v>
      </c>
      <c r="FR190" s="205">
        <f>+FR187-FR188</f>
        <v>955</v>
      </c>
      <c r="FS190" s="120">
        <f t="shared" si="1183"/>
        <v>19.375000000000007</v>
      </c>
      <c r="FT190" s="205">
        <f>+FT187-FT188</f>
        <v>1141</v>
      </c>
      <c r="FU190" s="120">
        <f t="shared" si="1184"/>
        <v>19.476439790575917</v>
      </c>
      <c r="FV190" s="205">
        <f>+FV187-FV188</f>
        <v>913</v>
      </c>
      <c r="FW190" s="98">
        <f t="shared" si="1185"/>
        <v>-19.982471516213852</v>
      </c>
      <c r="FX190" s="503">
        <f>+FX187-FX188</f>
        <v>547</v>
      </c>
      <c r="FY190" s="98">
        <f t="shared" si="1186"/>
        <v>-40.087623220153347</v>
      </c>
      <c r="FZ190" s="205">
        <f>+FZ187-FZ188</f>
        <v>920</v>
      </c>
      <c r="GA190" s="98">
        <f t="shared" si="1187"/>
        <v>68.190127970749543</v>
      </c>
      <c r="GB190" s="503">
        <f>+GB187-GB188</f>
        <v>1112</v>
      </c>
      <c r="GC190" s="98">
        <f t="shared" si="1188"/>
        <v>20.869565217391294</v>
      </c>
      <c r="GD190" s="205">
        <f>+GD187-GD188</f>
        <v>1224</v>
      </c>
      <c r="GE190" s="98">
        <f t="shared" si="1189"/>
        <v>10.07194244604317</v>
      </c>
      <c r="GF190" s="205">
        <f>+GF187-GF188</f>
        <v>1295</v>
      </c>
      <c r="GG190" s="98">
        <f t="shared" si="1189"/>
        <v>5.8006535947712434</v>
      </c>
      <c r="GH190" s="205">
        <f>+GH187-GH188</f>
        <v>1458</v>
      </c>
      <c r="GI190" s="98">
        <f t="shared" si="1189"/>
        <v>12.586872586872587</v>
      </c>
      <c r="GJ190" s="205">
        <f>+GJ187-GJ188</f>
        <v>1147</v>
      </c>
      <c r="GK190" s="98">
        <f t="shared" si="1189"/>
        <v>-21.330589849108371</v>
      </c>
      <c r="GL190" s="205">
        <f>+GL187-GL188</f>
        <v>1104</v>
      </c>
      <c r="GM190" s="98">
        <f t="shared" si="1189"/>
        <v>-3.7489102005231034</v>
      </c>
      <c r="GN190" s="205">
        <f>+GN187-GN188</f>
        <v>956</v>
      </c>
      <c r="GO190" s="98">
        <f t="shared" si="1189"/>
        <v>-13.405797101449279</v>
      </c>
      <c r="GP190" s="205">
        <f>+GP187-GP188</f>
        <v>1091.4398847445261</v>
      </c>
      <c r="GQ190" s="98">
        <f t="shared" si="1189"/>
        <v>14.167351960724496</v>
      </c>
      <c r="GR190" s="204">
        <f>+GR187-GR188</f>
        <v>1089.1686832500591</v>
      </c>
      <c r="GS190" s="98">
        <f t="shared" si="1189"/>
        <v>-0.2080922207638336</v>
      </c>
      <c r="GT190" s="204">
        <f>+GT187-GT188</f>
        <v>1107.3301829045593</v>
      </c>
      <c r="GU190" s="98">
        <f t="shared" si="1189"/>
        <v>1.6674643637665465</v>
      </c>
      <c r="GV190" s="204">
        <f>+GV187-GV188</f>
        <v>1126.4400037600963</v>
      </c>
      <c r="GW190" s="98">
        <f t="shared" si="1189"/>
        <v>1.7257563417454547</v>
      </c>
      <c r="GX190" s="204">
        <f>+GX187-GX188</f>
        <v>1152.9255001176859</v>
      </c>
      <c r="GY190" s="98">
        <f t="shared" si="1190"/>
        <v>2.351256726428419</v>
      </c>
      <c r="GZ190" s="98">
        <f t="shared" si="1191"/>
        <v>3.8170467601552183</v>
      </c>
      <c r="HA190" s="98"/>
      <c r="HB190" s="15"/>
      <c r="HC190"/>
      <c r="HD190"/>
      <c r="HE190"/>
      <c r="HF190"/>
      <c r="HG190"/>
      <c r="HH190"/>
      <c r="HI190" s="10"/>
    </row>
    <row r="191" spans="1:217" s="10" customFormat="1" ht="12.75" customHeight="1" x14ac:dyDescent="0.2">
      <c r="B191" s="102" t="s">
        <v>514</v>
      </c>
      <c r="C191" s="206"/>
      <c r="D191" s="156"/>
      <c r="E191" s="206"/>
      <c r="F191" s="156"/>
      <c r="G191" s="206"/>
      <c r="H191" s="156"/>
      <c r="I191" s="206"/>
      <c r="J191" s="156"/>
      <c r="K191" s="206"/>
      <c r="L191" s="156"/>
      <c r="M191" s="206"/>
      <c r="N191" s="156"/>
      <c r="O191" s="206"/>
      <c r="P191" s="156"/>
      <c r="Q191" s="206"/>
      <c r="R191" s="156"/>
      <c r="S191" s="206"/>
      <c r="T191" s="156"/>
      <c r="U191" s="206"/>
      <c r="V191" s="156"/>
      <c r="W191" s="206"/>
      <c r="X191" s="156"/>
      <c r="Y191" s="206"/>
      <c r="Z191" s="156"/>
      <c r="AA191" s="206"/>
      <c r="AB191" s="156"/>
      <c r="AC191" s="206"/>
      <c r="AD191" s="156"/>
      <c r="AE191" s="206"/>
      <c r="AF191" s="156"/>
      <c r="AG191" s="206"/>
      <c r="AH191" s="156"/>
      <c r="AI191" s="206"/>
      <c r="AJ191" s="156"/>
      <c r="AK191" s="153"/>
      <c r="AL191" s="156"/>
      <c r="AM191" s="207">
        <v>8</v>
      </c>
      <c r="AN191" s="156" t="str">
        <f t="shared" si="1130"/>
        <v>NA</v>
      </c>
      <c r="AO191" s="207">
        <f>55*(1-AO189/100)</f>
        <v>36.58898305084746</v>
      </c>
      <c r="AP191" s="156" t="str">
        <f t="shared" si="1131"/>
        <v>NA</v>
      </c>
      <c r="AQ191" s="207">
        <v>18</v>
      </c>
      <c r="AR191" s="156" t="str">
        <f t="shared" si="1132"/>
        <v>NA</v>
      </c>
      <c r="AS191" s="207">
        <v>65</v>
      </c>
      <c r="AT191" s="156" t="str">
        <f t="shared" si="1133"/>
        <v>NA</v>
      </c>
      <c r="AU191" s="207">
        <v>43</v>
      </c>
      <c r="AV191" s="156" t="str">
        <f t="shared" si="1134"/>
        <v>NM</v>
      </c>
      <c r="AW191" s="207">
        <v>22.5</v>
      </c>
      <c r="AX191" s="156">
        <f t="shared" si="1135"/>
        <v>-38.506079907353794</v>
      </c>
      <c r="AY191" s="173">
        <f>13-3+17+17</f>
        <v>44</v>
      </c>
      <c r="AZ191" s="156" t="str">
        <f t="shared" si="1136"/>
        <v>NM</v>
      </c>
      <c r="BA191" s="173">
        <f>23-11+11</f>
        <v>23</v>
      </c>
      <c r="BB191" s="156" t="str">
        <f t="shared" si="1137"/>
        <v>NM</v>
      </c>
      <c r="BC191" s="173">
        <v>4</v>
      </c>
      <c r="BD191" s="156" t="str">
        <f t="shared" si="1138"/>
        <v>NM</v>
      </c>
      <c r="BE191" s="173">
        <f>60-8</f>
        <v>52</v>
      </c>
      <c r="BF191" s="156" t="str">
        <f t="shared" si="1139"/>
        <v>NM</v>
      </c>
      <c r="BG191" s="173">
        <v>22</v>
      </c>
      <c r="BH191" s="156">
        <f t="shared" si="1140"/>
        <v>-50</v>
      </c>
      <c r="BI191" s="173">
        <v>60</v>
      </c>
      <c r="BJ191" s="156" t="str">
        <f t="shared" si="1141"/>
        <v>NM</v>
      </c>
      <c r="BK191" s="173">
        <f>16-12.4</f>
        <v>3.5999999999999996</v>
      </c>
      <c r="BL191" s="156">
        <f t="shared" si="1142"/>
        <v>-10.000000000000009</v>
      </c>
      <c r="BM191" s="173">
        <v>59</v>
      </c>
      <c r="BN191" s="98">
        <f t="shared" si="1143"/>
        <v>13.461538461538458</v>
      </c>
      <c r="BO191" s="122">
        <v>2</v>
      </c>
      <c r="BP191" s="98" t="str">
        <f t="shared" si="1144"/>
        <v>NM</v>
      </c>
      <c r="BQ191" s="122">
        <v>-58</v>
      </c>
      <c r="BR191" s="98" t="str">
        <f t="shared" si="1145"/>
        <v>NM</v>
      </c>
      <c r="BS191" s="122">
        <f>-44-33+28</f>
        <v>-49</v>
      </c>
      <c r="BT191" s="98" t="str">
        <f t="shared" si="1146"/>
        <v>NM</v>
      </c>
      <c r="BU191" s="122">
        <v>-74</v>
      </c>
      <c r="BV191" s="98" t="str">
        <f t="shared" si="1147"/>
        <v>NM</v>
      </c>
      <c r="BW191" s="122">
        <f>-141+3</f>
        <v>-138</v>
      </c>
      <c r="BX191" s="98" t="str">
        <f t="shared" si="1148"/>
        <v>NM</v>
      </c>
      <c r="BY191" s="122">
        <v>-53</v>
      </c>
      <c r="BZ191" s="98">
        <f t="shared" si="1149"/>
        <v>-8.6206896551724093</v>
      </c>
      <c r="CA191" s="122">
        <f>-42-20</f>
        <v>-62</v>
      </c>
      <c r="CB191" s="98">
        <f t="shared" si="1150"/>
        <v>26.530612244897966</v>
      </c>
      <c r="CC191" s="122">
        <v>9</v>
      </c>
      <c r="CD191" s="98" t="str">
        <f t="shared" si="1151"/>
        <v>NM</v>
      </c>
      <c r="CE191" s="122">
        <v>37</v>
      </c>
      <c r="CF191" s="98" t="str">
        <f t="shared" si="1152"/>
        <v>NM</v>
      </c>
      <c r="CG191" s="122">
        <v>48</v>
      </c>
      <c r="CH191" s="98" t="str">
        <f t="shared" si="1153"/>
        <v>NM</v>
      </c>
      <c r="CI191" s="122">
        <v>15</v>
      </c>
      <c r="CJ191" s="98" t="str">
        <f t="shared" si="1154"/>
        <v>NM</v>
      </c>
      <c r="CK191" s="122">
        <v>76</v>
      </c>
      <c r="CL191" s="98" t="str">
        <f t="shared" si="1155"/>
        <v>NM</v>
      </c>
      <c r="CM191" s="122">
        <v>29</v>
      </c>
      <c r="CN191" s="98">
        <f t="shared" si="1156"/>
        <v>-21.621621621621621</v>
      </c>
      <c r="CO191" s="122">
        <v>26</v>
      </c>
      <c r="CP191" s="98">
        <f t="shared" si="1157"/>
        <v>-45.833333333333336</v>
      </c>
      <c r="CQ191" s="547">
        <v>14</v>
      </c>
      <c r="CR191" s="98">
        <f t="shared" si="1157"/>
        <v>-6.6666666666666652</v>
      </c>
      <c r="CS191" s="122">
        <v>-10</v>
      </c>
      <c r="CT191" s="98" t="str">
        <f t="shared" si="1157"/>
        <v>NM</v>
      </c>
      <c r="CU191" s="122">
        <v>0</v>
      </c>
      <c r="CV191" s="98" t="str">
        <f t="shared" si="1158"/>
        <v>NM</v>
      </c>
      <c r="CW191" s="122">
        <v>18</v>
      </c>
      <c r="CX191" s="98">
        <f t="shared" si="1159"/>
        <v>-30.76923076923077</v>
      </c>
      <c r="CY191" s="122">
        <v>0</v>
      </c>
      <c r="CZ191" s="98" t="str">
        <f t="shared" si="1160"/>
        <v>NM</v>
      </c>
      <c r="DA191" s="122">
        <v>32</v>
      </c>
      <c r="DB191" s="98" t="str">
        <f t="shared" si="1161"/>
        <v>NM</v>
      </c>
      <c r="DC191" s="122">
        <v>0</v>
      </c>
      <c r="DD191" s="98" t="str">
        <f t="shared" si="1162"/>
        <v>NA</v>
      </c>
      <c r="DE191" s="122">
        <v>8</v>
      </c>
      <c r="DF191" s="98" t="str">
        <f t="shared" si="1163"/>
        <v>NM</v>
      </c>
      <c r="DG191" s="122">
        <v>0</v>
      </c>
      <c r="DH191" s="98" t="str">
        <f t="shared" si="1164"/>
        <v>NA</v>
      </c>
      <c r="DI191" s="122">
        <f>27-10</f>
        <v>17</v>
      </c>
      <c r="DJ191" s="98">
        <f t="shared" si="1165"/>
        <v>-46.875</v>
      </c>
      <c r="DK191" s="122">
        <v>15</v>
      </c>
      <c r="DL191" s="98" t="str">
        <f t="shared" si="1166"/>
        <v>NA</v>
      </c>
      <c r="DM191" s="122">
        <v>21</v>
      </c>
      <c r="DN191" s="98" t="str">
        <f t="shared" si="1167"/>
        <v>NM</v>
      </c>
      <c r="DO191" s="122">
        <v>33</v>
      </c>
      <c r="DP191" s="98" t="str">
        <f t="shared" si="1167"/>
        <v>NA</v>
      </c>
      <c r="DQ191" s="122">
        <v>0</v>
      </c>
      <c r="DR191" s="98" t="str">
        <f t="shared" si="1167"/>
        <v>NM</v>
      </c>
      <c r="DS191" s="1003">
        <v>0</v>
      </c>
      <c r="DT191" s="860" t="str">
        <f t="shared" si="1167"/>
        <v>NM</v>
      </c>
      <c r="DU191" s="1003">
        <v>0</v>
      </c>
      <c r="DV191" s="860" t="str">
        <f t="shared" si="1167"/>
        <v>NM</v>
      </c>
      <c r="DW191" s="1003">
        <f>15-5</f>
        <v>10</v>
      </c>
      <c r="DX191" s="860" t="str">
        <f t="shared" si="1167"/>
        <v>NM</v>
      </c>
      <c r="DY191" s="1003">
        <v>1</v>
      </c>
      <c r="DZ191" s="860" t="str">
        <f t="shared" si="1167"/>
        <v>NA</v>
      </c>
      <c r="EA191" s="1003">
        <v>-25</v>
      </c>
      <c r="EB191" s="860" t="str">
        <f t="shared" si="1168"/>
        <v>NA</v>
      </c>
      <c r="EC191" s="1003">
        <f>2-25</f>
        <v>-23</v>
      </c>
      <c r="ED191" s="98" t="str">
        <f t="shared" si="1169"/>
        <v>NA</v>
      </c>
      <c r="EE191" s="1003">
        <v>-10.5</v>
      </c>
      <c r="EF191" s="860" t="str">
        <f t="shared" si="1170"/>
        <v>NM</v>
      </c>
      <c r="EG191" s="1003">
        <v>0</v>
      </c>
      <c r="EH191" s="860" t="str">
        <f t="shared" si="1171"/>
        <v>NM</v>
      </c>
      <c r="EI191" s="1003">
        <v>17</v>
      </c>
      <c r="EJ191" s="860" t="str">
        <f t="shared" si="1172"/>
        <v>NM</v>
      </c>
      <c r="EK191" s="1003">
        <v>0</v>
      </c>
      <c r="EL191" s="860" t="str">
        <f t="shared" si="1173"/>
        <v>NM</v>
      </c>
      <c r="EM191" s="1003">
        <v>0</v>
      </c>
      <c r="EN191" s="860" t="str">
        <f t="shared" si="1174"/>
        <v>NM</v>
      </c>
      <c r="EO191" s="1003">
        <v>-62</v>
      </c>
      <c r="EP191" s="98" t="str">
        <f t="shared" si="1175"/>
        <v>NA</v>
      </c>
      <c r="EQ191" s="1004">
        <v>0</v>
      </c>
      <c r="ER191" s="98" t="str">
        <f t="shared" si="1176"/>
        <v>NM</v>
      </c>
      <c r="ES191" s="1004">
        <v>0</v>
      </c>
      <c r="ET191" s="98" t="str">
        <f t="shared" si="1178"/>
        <v>NA</v>
      </c>
      <c r="EU191" s="1004">
        <v>0</v>
      </c>
      <c r="EV191" s="98" t="str">
        <f t="shared" si="1180"/>
        <v>NA</v>
      </c>
      <c r="EW191" s="1004">
        <v>0</v>
      </c>
      <c r="EX191" s="98" t="str">
        <f t="shared" si="1182"/>
        <v>NM</v>
      </c>
      <c r="EY191" s="221"/>
      <c r="EZ191" s="594"/>
      <c r="FA191" s="405"/>
      <c r="FB191" s="150"/>
      <c r="FC191" s="98"/>
      <c r="FD191" s="118"/>
      <c r="FE191" s="98"/>
      <c r="FF191" s="118"/>
      <c r="FG191" s="98"/>
      <c r="FH191" s="118"/>
      <c r="FI191" s="98"/>
      <c r="FJ191" s="118"/>
      <c r="FK191" s="98"/>
      <c r="FL191" s="118"/>
      <c r="FM191" s="98"/>
      <c r="FN191" s="118"/>
      <c r="FO191" s="98"/>
      <c r="FP191" s="118">
        <f>AQ191+AS191+AU191+AW191</f>
        <v>148.5</v>
      </c>
      <c r="FQ191" s="98" t="str">
        <f>IF(ISERROR((FP191/FH191-1)*100),"NA",IF(((FP191/FH191-1)*100)&gt;100,"NM",IF(((FP191/FH191-1)*100)&lt;-50,"NM",(FP191/FH191-1)*100)))</f>
        <v>NA</v>
      </c>
      <c r="FR191" s="232">
        <f>AY191+BA191+BC191+BE191</f>
        <v>123</v>
      </c>
      <c r="FS191" s="120">
        <f t="shared" si="1183"/>
        <v>-17.171717171717169</v>
      </c>
      <c r="FT191" s="232">
        <f>BG191+BI191+BK191+BM191</f>
        <v>144.6</v>
      </c>
      <c r="FU191" s="120">
        <f t="shared" si="1184"/>
        <v>17.560975609756092</v>
      </c>
      <c r="FV191" s="232">
        <f>BO191+BQ191+BS191+BU191</f>
        <v>-179</v>
      </c>
      <c r="FW191" s="98" t="str">
        <f t="shared" si="1185"/>
        <v>NM</v>
      </c>
      <c r="FX191" s="515">
        <f>BW191+BY191+CA191+CC191</f>
        <v>-244</v>
      </c>
      <c r="FY191" s="98">
        <f t="shared" si="1186"/>
        <v>36.312849162011162</v>
      </c>
      <c r="FZ191" s="160">
        <f>CE191+CG191+CI191+CK191</f>
        <v>176</v>
      </c>
      <c r="GA191" s="98" t="str">
        <f t="shared" si="1187"/>
        <v>NM</v>
      </c>
      <c r="GB191" s="495">
        <f>CM191+CO191+CQ191+CS191</f>
        <v>59</v>
      </c>
      <c r="GC191" s="98" t="str">
        <f t="shared" si="1188"/>
        <v>NM</v>
      </c>
      <c r="GD191" s="160">
        <f>CU191+CW191+CY191+DA191</f>
        <v>50</v>
      </c>
      <c r="GE191" s="98">
        <f t="shared" si="1189"/>
        <v>-15.254237288135597</v>
      </c>
      <c r="GF191" s="160">
        <f>DC191+DE191+DG191+DI191</f>
        <v>25</v>
      </c>
      <c r="GG191" s="98">
        <f t="shared" si="1189"/>
        <v>-50</v>
      </c>
      <c r="GH191" s="160">
        <f>DK191+DM191+DO191+DQ191</f>
        <v>69</v>
      </c>
      <c r="GI191" s="98" t="str">
        <f t="shared" si="1189"/>
        <v>NM</v>
      </c>
      <c r="GJ191" s="160">
        <f>DS191+DU191+DW191+DY191</f>
        <v>11</v>
      </c>
      <c r="GK191" s="98" t="str">
        <f t="shared" si="1189"/>
        <v>NM</v>
      </c>
      <c r="GL191" s="160">
        <f>EA191+EC191+EE191+EG191</f>
        <v>-58.5</v>
      </c>
      <c r="GM191" s="98" t="str">
        <f t="shared" si="1189"/>
        <v>NM</v>
      </c>
      <c r="GN191" s="160">
        <f>EI191+EK191+EM191+EO191</f>
        <v>-45</v>
      </c>
      <c r="GO191" s="98">
        <f t="shared" si="1189"/>
        <v>-23.076923076923073</v>
      </c>
      <c r="GP191" s="160">
        <f>EQ191+ES191+EU191+EW191</f>
        <v>0</v>
      </c>
      <c r="GQ191" s="98" t="str">
        <f t="shared" si="1189"/>
        <v>NM</v>
      </c>
      <c r="GR191" s="221">
        <v>0</v>
      </c>
      <c r="GS191" s="98" t="str">
        <f t="shared" si="1189"/>
        <v>NA</v>
      </c>
      <c r="GT191" s="221">
        <v>0</v>
      </c>
      <c r="GU191" s="98" t="str">
        <f t="shared" si="1189"/>
        <v>NA</v>
      </c>
      <c r="GV191" s="221">
        <v>0</v>
      </c>
      <c r="GW191" s="98" t="str">
        <f t="shared" si="1189"/>
        <v>NA</v>
      </c>
      <c r="GX191" s="221">
        <v>0</v>
      </c>
      <c r="GY191" s="98" t="str">
        <f t="shared" si="1190"/>
        <v>NA</v>
      </c>
      <c r="GZ191" s="98" t="str">
        <f t="shared" si="1191"/>
        <v>NM</v>
      </c>
      <c r="HA191" s="98"/>
      <c r="HC191"/>
      <c r="HD191"/>
      <c r="HE191"/>
      <c r="HF191"/>
      <c r="HG191"/>
      <c r="HH191"/>
    </row>
    <row r="192" spans="1:217" s="10" customFormat="1" ht="12.75" customHeight="1" x14ac:dyDescent="0.2">
      <c r="B192" s="208" t="s">
        <v>570</v>
      </c>
      <c r="C192" s="269">
        <f>C190-C191</f>
        <v>45</v>
      </c>
      <c r="D192" s="156"/>
      <c r="E192" s="269">
        <f>E190-E191</f>
        <v>47</v>
      </c>
      <c r="F192" s="156"/>
      <c r="G192" s="269">
        <f>G190-G191</f>
        <v>58</v>
      </c>
      <c r="H192" s="156"/>
      <c r="I192" s="269">
        <f>I190-I191</f>
        <v>71</v>
      </c>
      <c r="J192" s="156"/>
      <c r="K192" s="269">
        <f>K190-K191</f>
        <v>94</v>
      </c>
      <c r="L192" s="156" t="str">
        <f t="shared" si="1116"/>
        <v>NM</v>
      </c>
      <c r="M192" s="269">
        <f>M190-M191</f>
        <v>88</v>
      </c>
      <c r="N192" s="156">
        <f t="shared" si="1117"/>
        <v>87.2340425531915</v>
      </c>
      <c r="O192" s="269">
        <f>O190-O191</f>
        <v>87</v>
      </c>
      <c r="P192" s="156">
        <f t="shared" si="1118"/>
        <v>50</v>
      </c>
      <c r="Q192" s="269">
        <f>Q190-Q191</f>
        <v>108.8516129032258</v>
      </c>
      <c r="R192" s="156">
        <f t="shared" si="1119"/>
        <v>53.312130849613794</v>
      </c>
      <c r="S192" s="269">
        <f>S190-S191</f>
        <v>114</v>
      </c>
      <c r="T192" s="156">
        <f t="shared" si="1120"/>
        <v>21.276595744680861</v>
      </c>
      <c r="U192" s="269">
        <f>U190-U191</f>
        <v>135</v>
      </c>
      <c r="V192" s="156">
        <f t="shared" si="1121"/>
        <v>53.409090909090921</v>
      </c>
      <c r="W192" s="269">
        <f>W190-W191</f>
        <v>103</v>
      </c>
      <c r="X192" s="156">
        <f t="shared" si="1122"/>
        <v>18.390804597701148</v>
      </c>
      <c r="Y192" s="269">
        <f>Y190-Y191</f>
        <v>100</v>
      </c>
      <c r="Z192" s="156">
        <f t="shared" si="1123"/>
        <v>-8.1318160265528618</v>
      </c>
      <c r="AA192" s="269">
        <f>AA190-AA191</f>
        <v>82</v>
      </c>
      <c r="AB192" s="156">
        <f t="shared" si="1124"/>
        <v>-28.07017543859649</v>
      </c>
      <c r="AC192" s="269">
        <f>AC190-AC191</f>
        <v>120</v>
      </c>
      <c r="AD192" s="156">
        <f t="shared" si="1125"/>
        <v>-11.111111111111116</v>
      </c>
      <c r="AE192" s="269">
        <f>AE190-AE191</f>
        <v>104</v>
      </c>
      <c r="AF192" s="156">
        <f t="shared" si="1126"/>
        <v>0.97087378640776656</v>
      </c>
      <c r="AG192" s="269">
        <f>AG190-AG191</f>
        <v>125</v>
      </c>
      <c r="AH192" s="156">
        <f t="shared" si="1127"/>
        <v>25</v>
      </c>
      <c r="AI192" s="269">
        <f>AI190-AI191</f>
        <v>178</v>
      </c>
      <c r="AJ192" s="156" t="str">
        <f t="shared" si="1128"/>
        <v>NM</v>
      </c>
      <c r="AK192" s="269">
        <f>AK190-AK191</f>
        <v>135</v>
      </c>
      <c r="AL192" s="156">
        <f t="shared" si="1129"/>
        <v>12.5</v>
      </c>
      <c r="AM192" s="269">
        <f>AM190-AM191</f>
        <v>141</v>
      </c>
      <c r="AN192" s="156">
        <f t="shared" si="1130"/>
        <v>35.57692307692308</v>
      </c>
      <c r="AO192" s="269">
        <f>AO190-AO191</f>
        <v>120.41101694915254</v>
      </c>
      <c r="AP192" s="156">
        <f t="shared" si="1131"/>
        <v>-3.6711864406779648</v>
      </c>
      <c r="AQ192" s="269">
        <f>AQ190-AQ191</f>
        <v>147</v>
      </c>
      <c r="AR192" s="156">
        <f t="shared" si="1132"/>
        <v>-17.415730337078649</v>
      </c>
      <c r="AS192" s="269">
        <f>AS190-AS191</f>
        <v>144</v>
      </c>
      <c r="AT192" s="156">
        <f t="shared" si="1133"/>
        <v>6.6666666666666652</v>
      </c>
      <c r="AU192" s="269">
        <f>AU190-AU191</f>
        <v>173</v>
      </c>
      <c r="AV192" s="156">
        <f t="shared" si="1134"/>
        <v>22.695035460992919</v>
      </c>
      <c r="AW192" s="269">
        <f>AW190-AW191</f>
        <v>187.5</v>
      </c>
      <c r="AX192" s="156">
        <f t="shared" si="1135"/>
        <v>55.716648485061768</v>
      </c>
      <c r="AY192" s="269">
        <f>AY190-AY191</f>
        <v>217</v>
      </c>
      <c r="AZ192" s="156">
        <f t="shared" si="1136"/>
        <v>47.619047619047628</v>
      </c>
      <c r="BA192" s="269">
        <f>BA190-BA191</f>
        <v>198</v>
      </c>
      <c r="BB192" s="156">
        <f t="shared" si="1137"/>
        <v>37.5</v>
      </c>
      <c r="BC192" s="269">
        <f>BC190-BC191</f>
        <v>197</v>
      </c>
      <c r="BD192" s="156">
        <f t="shared" si="1138"/>
        <v>13.87283236994219</v>
      </c>
      <c r="BE192" s="269">
        <f>BE190-BE191</f>
        <v>220</v>
      </c>
      <c r="BF192" s="156">
        <f t="shared" si="1139"/>
        <v>17.333333333333336</v>
      </c>
      <c r="BG192" s="269">
        <f>BG190-BG191</f>
        <v>244</v>
      </c>
      <c r="BH192" s="156">
        <f t="shared" si="1140"/>
        <v>12.442396313364057</v>
      </c>
      <c r="BI192" s="269">
        <f>BI190-BI191</f>
        <v>239</v>
      </c>
      <c r="BJ192" s="156">
        <f t="shared" si="1141"/>
        <v>20.707070707070695</v>
      </c>
      <c r="BK192" s="269">
        <f>BK190-BK191</f>
        <v>236.4</v>
      </c>
      <c r="BL192" s="156">
        <f t="shared" si="1142"/>
        <v>19.999999999999996</v>
      </c>
      <c r="BM192" s="269">
        <f>BM190-BM191</f>
        <v>277</v>
      </c>
      <c r="BN192" s="98">
        <f t="shared" si="1143"/>
        <v>25.909090909090903</v>
      </c>
      <c r="BO192" s="271">
        <f>BO190-BO191</f>
        <v>319</v>
      </c>
      <c r="BP192" s="98">
        <f t="shared" si="1144"/>
        <v>30.737704918032783</v>
      </c>
      <c r="BQ192" s="271">
        <f>BQ190-BQ191</f>
        <v>277</v>
      </c>
      <c r="BR192" s="98">
        <f t="shared" si="1145"/>
        <v>15.899581589958167</v>
      </c>
      <c r="BS192" s="271">
        <f>BS190-BS191</f>
        <v>244</v>
      </c>
      <c r="BT192" s="98">
        <f t="shared" si="1146"/>
        <v>3.2148900169204797</v>
      </c>
      <c r="BU192" s="271">
        <f>BU190-BU191</f>
        <v>185</v>
      </c>
      <c r="BV192" s="98">
        <f t="shared" si="1147"/>
        <v>-33.212996389891693</v>
      </c>
      <c r="BW192" s="271">
        <f>BW190-BW191</f>
        <v>203</v>
      </c>
      <c r="BX192" s="98">
        <f t="shared" si="1148"/>
        <v>-36.363636363636367</v>
      </c>
      <c r="BY192" s="271">
        <f>BY190-BY191</f>
        <v>208</v>
      </c>
      <c r="BZ192" s="98">
        <f t="shared" si="1149"/>
        <v>-24.909747292418771</v>
      </c>
      <c r="CA192" s="271">
        <f>CA190-CA191</f>
        <v>202</v>
      </c>
      <c r="CB192" s="98">
        <f t="shared" si="1150"/>
        <v>-17.213114754098356</v>
      </c>
      <c r="CC192" s="271">
        <f>CC190-CC191</f>
        <v>178</v>
      </c>
      <c r="CD192" s="98">
        <f t="shared" si="1151"/>
        <v>-3.7837837837837784</v>
      </c>
      <c r="CE192" s="271">
        <f>CE190-CE191</f>
        <v>183</v>
      </c>
      <c r="CF192" s="98">
        <f t="shared" si="1152"/>
        <v>-9.8522167487684715</v>
      </c>
      <c r="CG192" s="271">
        <f>CG190-CG191</f>
        <v>187</v>
      </c>
      <c r="CH192" s="98">
        <f t="shared" si="1153"/>
        <v>-10.096153846153843</v>
      </c>
      <c r="CI192" s="271">
        <f>CI190-CI191</f>
        <v>167</v>
      </c>
      <c r="CJ192" s="98">
        <f t="shared" si="1154"/>
        <v>-17.32673267326733</v>
      </c>
      <c r="CK192" s="271">
        <f>CK190-CK191</f>
        <v>207</v>
      </c>
      <c r="CL192" s="98">
        <f t="shared" si="1155"/>
        <v>16.292134831460679</v>
      </c>
      <c r="CM192" s="271">
        <f>CM190-CM191</f>
        <v>260</v>
      </c>
      <c r="CN192" s="98">
        <f t="shared" si="1156"/>
        <v>42.076502732240442</v>
      </c>
      <c r="CO192" s="271">
        <f>CO190-CO191</f>
        <v>299</v>
      </c>
      <c r="CP192" s="98">
        <f t="shared" si="1157"/>
        <v>59.893048128342244</v>
      </c>
      <c r="CQ192" s="271">
        <f>CQ190-CQ191</f>
        <v>258</v>
      </c>
      <c r="CR192" s="98">
        <f t="shared" si="1157"/>
        <v>54.491017964071851</v>
      </c>
      <c r="CS192" s="271">
        <f>CS190-CS191</f>
        <v>236</v>
      </c>
      <c r="CT192" s="98">
        <f t="shared" si="1157"/>
        <v>14.009661835748787</v>
      </c>
      <c r="CU192" s="271">
        <f>CU190-CU191</f>
        <v>298</v>
      </c>
      <c r="CV192" s="98">
        <f t="shared" si="1158"/>
        <v>14.615384615384608</v>
      </c>
      <c r="CW192" s="271">
        <f>CW190-CW191</f>
        <v>300</v>
      </c>
      <c r="CX192" s="98">
        <f t="shared" si="1159"/>
        <v>0.33444816053511683</v>
      </c>
      <c r="CY192" s="271">
        <f>CY190-CY191</f>
        <v>303</v>
      </c>
      <c r="CZ192" s="98">
        <f t="shared" si="1160"/>
        <v>17.441860465116289</v>
      </c>
      <c r="DA192" s="271">
        <f>DA190-DA191</f>
        <v>273</v>
      </c>
      <c r="DB192" s="98">
        <f t="shared" si="1161"/>
        <v>15.677966101694917</v>
      </c>
      <c r="DC192" s="271">
        <f>DC190-DC191</f>
        <v>294</v>
      </c>
      <c r="DD192" s="98">
        <f t="shared" si="1162"/>
        <v>-1.3422818791946289</v>
      </c>
      <c r="DE192" s="271">
        <f>DE190-DE191</f>
        <v>338</v>
      </c>
      <c r="DF192" s="98">
        <f t="shared" si="1163"/>
        <v>12.666666666666671</v>
      </c>
      <c r="DG192" s="271">
        <f>DG190-DG191</f>
        <v>298</v>
      </c>
      <c r="DH192" s="98">
        <f t="shared" si="1164"/>
        <v>-1.6501650165016479</v>
      </c>
      <c r="DI192" s="271">
        <f>DI190-DI191</f>
        <v>340</v>
      </c>
      <c r="DJ192" s="98">
        <f t="shared" si="1165"/>
        <v>24.542124542124544</v>
      </c>
      <c r="DK192" s="271">
        <f>DK190-DK191</f>
        <v>325</v>
      </c>
      <c r="DL192" s="98">
        <f t="shared" si="1166"/>
        <v>10.544217687074831</v>
      </c>
      <c r="DM192" s="271">
        <f>DM190-DM191</f>
        <v>342</v>
      </c>
      <c r="DN192" s="98">
        <f t="shared" si="1167"/>
        <v>1.1834319526627279</v>
      </c>
      <c r="DO192" s="271">
        <f>DO190-DO191</f>
        <v>362</v>
      </c>
      <c r="DP192" s="98">
        <f t="shared" si="1167"/>
        <v>21.476510067114084</v>
      </c>
      <c r="DQ192" s="271">
        <f>DQ190-DQ191</f>
        <v>360</v>
      </c>
      <c r="DR192" s="98">
        <f t="shared" si="1167"/>
        <v>5.8823529411764719</v>
      </c>
      <c r="DS192" s="271">
        <f>DS190-DS191</f>
        <v>307</v>
      </c>
      <c r="DT192" s="98">
        <f t="shared" si="1167"/>
        <v>-5.5384615384615365</v>
      </c>
      <c r="DU192" s="271">
        <f>DU190-DU191</f>
        <v>338</v>
      </c>
      <c r="DV192" s="98">
        <f t="shared" si="1167"/>
        <v>-1.1695906432748537</v>
      </c>
      <c r="DW192" s="271">
        <f>DW190-DW191</f>
        <v>257</v>
      </c>
      <c r="DX192" s="98">
        <f t="shared" si="1167"/>
        <v>-29.005524861878452</v>
      </c>
      <c r="DY192" s="271">
        <f>DY190-DY191</f>
        <v>234</v>
      </c>
      <c r="DZ192" s="98">
        <f t="shared" si="1167"/>
        <v>-35</v>
      </c>
      <c r="EA192" s="271">
        <f>EA190-EA191</f>
        <v>267</v>
      </c>
      <c r="EB192" s="98">
        <f t="shared" si="1168"/>
        <v>-13.029315960912047</v>
      </c>
      <c r="EC192" s="271">
        <f>EC190-EC191</f>
        <v>283</v>
      </c>
      <c r="ED192" s="98">
        <f t="shared" si="1169"/>
        <v>-16.272189349112431</v>
      </c>
      <c r="EE192" s="271">
        <f>EE190-EE191</f>
        <v>318.5</v>
      </c>
      <c r="EF192" s="860">
        <f t="shared" si="1170"/>
        <v>23.929961089494167</v>
      </c>
      <c r="EG192" s="271">
        <f>EG190-EG191</f>
        <v>294</v>
      </c>
      <c r="EH192" s="860">
        <f t="shared" si="1171"/>
        <v>25.641025641025639</v>
      </c>
      <c r="EI192" s="271">
        <f>EI190-EI191</f>
        <v>257</v>
      </c>
      <c r="EJ192" s="860">
        <f t="shared" si="1172"/>
        <v>-3.7453183520599231</v>
      </c>
      <c r="EK192" s="271">
        <f>EK190-EK191</f>
        <v>262</v>
      </c>
      <c r="EL192" s="860">
        <f t="shared" si="1173"/>
        <v>-7.4204946996466408</v>
      </c>
      <c r="EM192" s="271">
        <f>EM190-EM191</f>
        <v>247</v>
      </c>
      <c r="EN192" s="860">
        <f t="shared" si="1174"/>
        <v>-22.448979591836739</v>
      </c>
      <c r="EO192" s="271">
        <f>EO190-EO191</f>
        <v>235</v>
      </c>
      <c r="EP192" s="98">
        <f t="shared" si="1175"/>
        <v>-20.068027210884352</v>
      </c>
      <c r="EQ192" s="271">
        <f>EQ190-EQ191</f>
        <v>292.37849486517337</v>
      </c>
      <c r="ER192" s="98">
        <f t="shared" si="1176"/>
        <v>13.765951309405988</v>
      </c>
      <c r="ES192" s="271">
        <f t="shared" ref="ES192" si="1203">ES190-ES191</f>
        <v>279.15752943126427</v>
      </c>
      <c r="ET192" s="98">
        <f t="shared" si="1178"/>
        <v>6.5486753554443666</v>
      </c>
      <c r="EU192" s="271">
        <f t="shared" ref="EU192" si="1204">EU190-EU191</f>
        <v>266.38797130291749</v>
      </c>
      <c r="EV192" s="98">
        <f t="shared" si="1180"/>
        <v>7.8493810942985798</v>
      </c>
      <c r="EW192" s="271">
        <f t="shared" ref="EW192" si="1205">EW190-EW191</f>
        <v>253.51588914517234</v>
      </c>
      <c r="EX192" s="98">
        <f t="shared" si="1182"/>
        <v>7.879101763903118</v>
      </c>
      <c r="EY192" s="204"/>
      <c r="EZ192" s="594"/>
      <c r="FA192" s="405"/>
      <c r="FB192" s="150"/>
      <c r="FC192" s="98"/>
      <c r="FD192" s="204">
        <f>FD190-FD191</f>
        <v>252</v>
      </c>
      <c r="FE192" s="98" t="str">
        <f>IF(ISERROR((FD192/FB192-1)*100),"NA",IF(((FD192/FB192-1)*100)&gt;100,"NM",IF(((FD192/FB192-1)*100)&lt;-50,"NM",(FD192/FB192-1)*100)))</f>
        <v>NA</v>
      </c>
      <c r="FF192" s="204">
        <f>FF190-FF191</f>
        <v>221</v>
      </c>
      <c r="FG192" s="98">
        <f>IF(ISERROR((FF192/FD192-1)*100),"NA",IF(((FF192/FD192-1)*100)&gt;100,"NM",IF(((FF192/FD192-1)*100)&lt;-50,"NM",(FF192/FD192-1)*100)))</f>
        <v>-12.301587301587302</v>
      </c>
      <c r="FH192" s="204">
        <f>FH190-FH191</f>
        <v>377.85161290322583</v>
      </c>
      <c r="FI192" s="98">
        <f>IF(ISERROR((FH192/FF192-1)*100),"NA",IF(((FH192/FF192-1)*100)&gt;100,"NM",IF(((FH192/FF192-1)*100)&lt;-50,"NM",(FH192/FF192-1)*100)))</f>
        <v>70.973580499197197</v>
      </c>
      <c r="FJ192" s="204">
        <f>FJ190-FJ191</f>
        <v>452</v>
      </c>
      <c r="FK192" s="98">
        <f>IF(ISERROR((FJ192/FH192-1)*100),"NA",IF(((FJ192/FH192-1)*100)&gt;100,"NM",IF(((FJ192/FH192-1)*100)&lt;-50,"NM",(FJ192/FH192-1)*100)))</f>
        <v>19.623678863523828</v>
      </c>
      <c r="FL192" s="204">
        <f>FL190-FL191</f>
        <v>431</v>
      </c>
      <c r="FM192" s="98">
        <f>IF(ISERROR((FL192/FJ192-1)*100),"NA",IF(((FL192/FJ192-1)*100)&gt;100,"NM",IF(((FL192/FJ192-1)*100)&lt;-50,"NM",(FL192/FJ192-1)*100)))</f>
        <v>-4.6460176991150455</v>
      </c>
      <c r="FN192" s="204">
        <f>FN190-FN191</f>
        <v>619</v>
      </c>
      <c r="FO192" s="98">
        <f>IF(ISERROR((FN192/FL192-1)*100),"NA",IF(((FN192/FL192-1)*100)&gt;100,"NM",IF(((FN192/FL192-1)*100)&lt;-50,"NM",(FN192/FL192-1)*100)))</f>
        <v>43.619489559164727</v>
      </c>
      <c r="FP192" s="204">
        <f>FP190-FP191</f>
        <v>651.5</v>
      </c>
      <c r="FQ192" s="98">
        <f>IF(ISERROR((FP192/FN192-1)*100),"NA",IF(((FP192/FN192-1)*100)&gt;100,"NM",IF(((FP192/FN192-1)*100)&lt;-50,"NM",(FP192/FN192-1)*100)))</f>
        <v>5.2504038772213324</v>
      </c>
      <c r="FR192" s="204">
        <f>FR190-FR191</f>
        <v>832</v>
      </c>
      <c r="FS192" s="120">
        <f t="shared" si="1183"/>
        <v>27.705295471987725</v>
      </c>
      <c r="FT192" s="204">
        <f>FT190-FT191</f>
        <v>996.4</v>
      </c>
      <c r="FU192" s="120">
        <f t="shared" si="1184"/>
        <v>19.759615384615394</v>
      </c>
      <c r="FV192" s="204">
        <f>FV190-FV191</f>
        <v>1092</v>
      </c>
      <c r="FW192" s="98">
        <f t="shared" si="1185"/>
        <v>9.5945403452428746</v>
      </c>
      <c r="FX192" s="505">
        <f>FX190-FX191</f>
        <v>791</v>
      </c>
      <c r="FY192" s="98">
        <f t="shared" si="1186"/>
        <v>-27.564102564102566</v>
      </c>
      <c r="FZ192" s="204">
        <f>FZ190-FZ191</f>
        <v>744</v>
      </c>
      <c r="GA192" s="98">
        <f t="shared" si="1187"/>
        <v>-5.9418457648546141</v>
      </c>
      <c r="GB192" s="505">
        <f>GB190-GB191</f>
        <v>1053</v>
      </c>
      <c r="GC192" s="98">
        <f t="shared" si="1188"/>
        <v>41.532258064516128</v>
      </c>
      <c r="GD192" s="204">
        <f>GD190-GD191</f>
        <v>1174</v>
      </c>
      <c r="GE192" s="98">
        <f t="shared" si="1189"/>
        <v>11.490978157644815</v>
      </c>
      <c r="GF192" s="204">
        <f>GF190-GF191</f>
        <v>1270</v>
      </c>
      <c r="GG192" s="98">
        <f t="shared" si="1189"/>
        <v>8.1771720613287968</v>
      </c>
      <c r="GH192" s="204">
        <f>GH190-GH191</f>
        <v>1389</v>
      </c>
      <c r="GI192" s="98">
        <f t="shared" si="1189"/>
        <v>9.3700787401574726</v>
      </c>
      <c r="GJ192" s="271">
        <f>GJ190-GJ191</f>
        <v>1136</v>
      </c>
      <c r="GK192" s="98">
        <f t="shared" si="1189"/>
        <v>-18.214542836573077</v>
      </c>
      <c r="GL192" s="271">
        <f>GL190-GL191</f>
        <v>1162.5</v>
      </c>
      <c r="GM192" s="98">
        <f t="shared" si="1189"/>
        <v>2.3327464788732488</v>
      </c>
      <c r="GN192" s="271">
        <f>GN190-GN191</f>
        <v>1001</v>
      </c>
      <c r="GO192" s="98">
        <f t="shared" si="1189"/>
        <v>-13.892473118279568</v>
      </c>
      <c r="GP192" s="271">
        <f>GP190-GP191</f>
        <v>1091.4398847445261</v>
      </c>
      <c r="GQ192" s="98">
        <f t="shared" si="1189"/>
        <v>9.0349535209316869</v>
      </c>
      <c r="GR192" s="271">
        <f>GR190-GR191</f>
        <v>1089.1686832500591</v>
      </c>
      <c r="GS192" s="98">
        <f t="shared" si="1189"/>
        <v>-0.2080922207638336</v>
      </c>
      <c r="GT192" s="271">
        <f>GT190-GT191</f>
        <v>1107.3301829045593</v>
      </c>
      <c r="GU192" s="98">
        <f t="shared" si="1189"/>
        <v>1.6674643637665465</v>
      </c>
      <c r="GV192" s="271">
        <f>GV190-GV191</f>
        <v>1126.4400037600963</v>
      </c>
      <c r="GW192" s="98">
        <f t="shared" si="1189"/>
        <v>1.7257563417454547</v>
      </c>
      <c r="GX192" s="271">
        <f>GX190-GX191</f>
        <v>1152.9255001176859</v>
      </c>
      <c r="GY192" s="98">
        <f t="shared" si="1190"/>
        <v>2.351256726428419</v>
      </c>
      <c r="GZ192" s="98">
        <f t="shared" si="1191"/>
        <v>2.8663744959937842</v>
      </c>
      <c r="HA192" s="98"/>
      <c r="HC192"/>
      <c r="HD192"/>
      <c r="HE192"/>
      <c r="HF192"/>
      <c r="HG192"/>
      <c r="HH192"/>
    </row>
    <row r="193" spans="2:217" s="210" customFormat="1" ht="12.75" customHeight="1" x14ac:dyDescent="0.2">
      <c r="B193" s="209" t="s">
        <v>138</v>
      </c>
      <c r="C193" s="155">
        <f>C187-(C191)/0.65</f>
        <v>69</v>
      </c>
      <c r="D193" s="156"/>
      <c r="E193" s="155">
        <f>E187-(E191)/0.65</f>
        <v>71</v>
      </c>
      <c r="F193" s="156"/>
      <c r="G193" s="155">
        <f>G187-(G191)/0.65</f>
        <v>83</v>
      </c>
      <c r="H193" s="156"/>
      <c r="I193" s="155">
        <f>I187-(I191)/0.65</f>
        <v>100</v>
      </c>
      <c r="J193" s="156"/>
      <c r="K193" s="155">
        <f>K187-(K191)/0.65</f>
        <v>140</v>
      </c>
      <c r="L193" s="156" t="str">
        <f t="shared" si="1116"/>
        <v>NM</v>
      </c>
      <c r="M193" s="155">
        <f>M187-(M191)/0.65</f>
        <v>132</v>
      </c>
      <c r="N193" s="156">
        <f t="shared" si="1117"/>
        <v>85.91549295774648</v>
      </c>
      <c r="O193" s="155">
        <f>O187-(O191)/0.65</f>
        <v>131</v>
      </c>
      <c r="P193" s="156">
        <f t="shared" si="1118"/>
        <v>57.831325301204828</v>
      </c>
      <c r="Q193" s="155">
        <f>Q187-(Q191)/0.65</f>
        <v>171</v>
      </c>
      <c r="R193" s="156">
        <f t="shared" si="1119"/>
        <v>71</v>
      </c>
      <c r="S193" s="155">
        <f>S187-(S191)/0.65</f>
        <v>173</v>
      </c>
      <c r="T193" s="156">
        <f t="shared" si="1120"/>
        <v>23.571428571428577</v>
      </c>
      <c r="U193" s="155">
        <f>U187-(U191)/0.65</f>
        <v>206</v>
      </c>
      <c r="V193" s="156">
        <f t="shared" si="1121"/>
        <v>56.060606060606055</v>
      </c>
      <c r="W193" s="155">
        <f>W187-(W191)/0.65</f>
        <v>157</v>
      </c>
      <c r="X193" s="156">
        <f t="shared" si="1122"/>
        <v>19.84732824427482</v>
      </c>
      <c r="Y193" s="155">
        <f>Y187-(Y191)/0.65</f>
        <v>163</v>
      </c>
      <c r="Z193" s="156">
        <f t="shared" si="1123"/>
        <v>-4.6783625730994149</v>
      </c>
      <c r="AA193" s="155">
        <f>AA187-(AA191)/0.65</f>
        <v>126</v>
      </c>
      <c r="AB193" s="156">
        <f t="shared" si="1124"/>
        <v>-27.167630057803471</v>
      </c>
      <c r="AC193" s="155">
        <f>AC187-(AC191)/0.65</f>
        <v>185</v>
      </c>
      <c r="AD193" s="156">
        <f t="shared" si="1125"/>
        <v>-10.194174757281548</v>
      </c>
      <c r="AE193" s="155">
        <f>AE187-(AE191)/0.65</f>
        <v>160</v>
      </c>
      <c r="AF193" s="156">
        <f t="shared" si="1126"/>
        <v>1.9108280254777066</v>
      </c>
      <c r="AG193" s="155">
        <f>AG187-(AG191)/0.65</f>
        <v>194</v>
      </c>
      <c r="AH193" s="156">
        <f t="shared" si="1127"/>
        <v>19.018404907975462</v>
      </c>
      <c r="AI193" s="155">
        <f>AI187-(AI191)/0.65</f>
        <v>267</v>
      </c>
      <c r="AJ193" s="156" t="str">
        <f t="shared" si="1128"/>
        <v>NM</v>
      </c>
      <c r="AK193" s="155">
        <f>AK187-(AK191)/0.65</f>
        <v>203</v>
      </c>
      <c r="AL193" s="156">
        <f t="shared" si="1129"/>
        <v>9.7297297297297192</v>
      </c>
      <c r="AM193" s="155">
        <f>AM187-(AM191)/0.65</f>
        <v>210.69230769230768</v>
      </c>
      <c r="AN193" s="156">
        <f t="shared" si="1130"/>
        <v>31.682692307692296</v>
      </c>
      <c r="AO193" s="155">
        <f>AO187-(AO191)/0.65</f>
        <v>179.70925684485007</v>
      </c>
      <c r="AP193" s="156">
        <f t="shared" si="1131"/>
        <v>-7.3663624511082109</v>
      </c>
      <c r="AQ193" s="155">
        <f>AQ187-(AQ191)/0.65</f>
        <v>220.30769230769232</v>
      </c>
      <c r="AR193" s="156">
        <f t="shared" si="1132"/>
        <v>-17.487755690002871</v>
      </c>
      <c r="AS193" s="155">
        <f>AS187-(AS191)/0.65</f>
        <v>215</v>
      </c>
      <c r="AT193" s="156">
        <f t="shared" si="1133"/>
        <v>5.9113300492610765</v>
      </c>
      <c r="AU193" s="155">
        <f>AU187-(AU191)/0.65</f>
        <v>257.84615384615387</v>
      </c>
      <c r="AV193" s="156">
        <f t="shared" si="1134"/>
        <v>22.380430814165763</v>
      </c>
      <c r="AW193" s="155">
        <f>AW187-(AW191)/0.65</f>
        <v>281.38461538461536</v>
      </c>
      <c r="AX193" s="156">
        <f t="shared" si="1135"/>
        <v>56.577696844823947</v>
      </c>
      <c r="AY193" s="155">
        <f>AY187-(AY191)/0.65</f>
        <v>327.30769230769232</v>
      </c>
      <c r="AZ193" s="156">
        <f t="shared" si="1136"/>
        <v>48.568435754189942</v>
      </c>
      <c r="BA193" s="155">
        <f>BA187-(BA191)/0.65</f>
        <v>299.61538461538464</v>
      </c>
      <c r="BB193" s="156">
        <f t="shared" si="1137"/>
        <v>39.355992844364948</v>
      </c>
      <c r="BC193" s="155">
        <f>BC187-(BC191)/0.65</f>
        <v>297.84615384615387</v>
      </c>
      <c r="BD193" s="156">
        <f t="shared" si="1138"/>
        <v>15.513126491646778</v>
      </c>
      <c r="BE193" s="155">
        <f>BE187-(BE191)/0.65</f>
        <v>332</v>
      </c>
      <c r="BF193" s="156">
        <f t="shared" si="1139"/>
        <v>17.987971569163498</v>
      </c>
      <c r="BG193" s="155">
        <f>BG187-(BG191)/0.65</f>
        <v>371.15384615384613</v>
      </c>
      <c r="BH193" s="156">
        <f t="shared" si="1140"/>
        <v>13.396004700352515</v>
      </c>
      <c r="BI193" s="155">
        <f>BI187-(BI191)/0.65</f>
        <v>362.69230769230768</v>
      </c>
      <c r="BJ193" s="156">
        <f t="shared" si="1141"/>
        <v>21.052631578947345</v>
      </c>
      <c r="BK193" s="155">
        <f>BK187-(BK191)/0.65</f>
        <v>360.46153846153845</v>
      </c>
      <c r="BL193" s="156">
        <f t="shared" si="1142"/>
        <v>21.02272727272727</v>
      </c>
      <c r="BM193" s="155">
        <f>BM187-(BM191)/0.65</f>
        <v>419.23076923076923</v>
      </c>
      <c r="BN193" s="98">
        <f t="shared" si="1143"/>
        <v>26.274328081556988</v>
      </c>
      <c r="BO193" s="117">
        <f>BO187-(BO191)/0.65</f>
        <v>481.92307692307691</v>
      </c>
      <c r="BP193" s="98">
        <f t="shared" si="1144"/>
        <v>29.844559585492235</v>
      </c>
      <c r="BQ193" s="117">
        <f>BQ187-(BQ191)/0.65</f>
        <v>419.23076923076923</v>
      </c>
      <c r="BR193" s="98">
        <f t="shared" si="1145"/>
        <v>15.588547189819725</v>
      </c>
      <c r="BS193" s="117">
        <f>BS187-(BS191)/0.65</f>
        <v>370.38461538461536</v>
      </c>
      <c r="BT193" s="98">
        <f t="shared" si="1146"/>
        <v>2.7528809218950068</v>
      </c>
      <c r="BU193" s="117">
        <f>BU187-(BU191)/0.65</f>
        <v>281.84615384615381</v>
      </c>
      <c r="BV193" s="98">
        <f t="shared" si="1147"/>
        <v>-32.770642201834868</v>
      </c>
      <c r="BW193" s="117">
        <f>BW187-(BW191)/0.65</f>
        <v>308.30769230769226</v>
      </c>
      <c r="BX193" s="98">
        <f t="shared" si="1148"/>
        <v>-36.025538707102953</v>
      </c>
      <c r="BY193" s="117">
        <f>BY187-(BY191)/0.65</f>
        <v>316.53846153846155</v>
      </c>
      <c r="BZ193" s="98">
        <f t="shared" si="1149"/>
        <v>-24.495412844036689</v>
      </c>
      <c r="CA193" s="117">
        <f>CA187-(CA191)/0.65</f>
        <v>303.38461538461536</v>
      </c>
      <c r="CB193" s="98">
        <f t="shared" si="1150"/>
        <v>-18.089304257528561</v>
      </c>
      <c r="CC193" s="117">
        <f>CC187-(CC191)/0.65</f>
        <v>266.15384615384613</v>
      </c>
      <c r="CD193" s="98">
        <f t="shared" si="1151"/>
        <v>-5.5676855895196447</v>
      </c>
      <c r="CE193" s="117">
        <f>CE187-(CE191)/0.65</f>
        <v>282.07692307692309</v>
      </c>
      <c r="CF193" s="98">
        <f t="shared" si="1152"/>
        <v>-8.5079840319361111</v>
      </c>
      <c r="CG193" s="117">
        <f>CG187-(CG191)/0.65</f>
        <v>287.15384615384619</v>
      </c>
      <c r="CH193" s="98">
        <f t="shared" si="1153"/>
        <v>-9.2831105710813979</v>
      </c>
      <c r="CI193" s="117">
        <f>CI187-(CI191)/0.65</f>
        <v>256.92307692307691</v>
      </c>
      <c r="CJ193" s="98">
        <f t="shared" si="1154"/>
        <v>-15.314401622718055</v>
      </c>
      <c r="CK193" s="117">
        <f>CK187-(CK191)/0.65</f>
        <v>318.07692307692309</v>
      </c>
      <c r="CL193" s="98">
        <f t="shared" si="1155"/>
        <v>19.50867052023122</v>
      </c>
      <c r="CM193" s="117">
        <f>CM187-(CM191)/0.65</f>
        <v>402.38461538461536</v>
      </c>
      <c r="CN193" s="98">
        <f t="shared" si="1156"/>
        <v>42.650668121079896</v>
      </c>
      <c r="CO193" s="117">
        <f>CO187-(CO191)/0.65</f>
        <v>459</v>
      </c>
      <c r="CP193" s="98">
        <f t="shared" si="1157"/>
        <v>59.844628984730754</v>
      </c>
      <c r="CQ193" s="117">
        <f>CQ187-(CQ191)/0.65</f>
        <v>396.46153846153845</v>
      </c>
      <c r="CR193" s="98">
        <f t="shared" si="1157"/>
        <v>54.311377245508986</v>
      </c>
      <c r="CS193" s="117">
        <f>CS187-(CS191)/0.65</f>
        <v>362.38461538461536</v>
      </c>
      <c r="CT193" s="98">
        <f t="shared" si="1157"/>
        <v>13.929866989117269</v>
      </c>
      <c r="CU193" s="117">
        <f>CU187-(CU191)/0.65</f>
        <v>459</v>
      </c>
      <c r="CV193" s="98">
        <f t="shared" si="1158"/>
        <v>14.069967501433766</v>
      </c>
      <c r="CW193" s="117">
        <f>CW187-(CW191)/0.65</f>
        <v>461.30769230769232</v>
      </c>
      <c r="CX193" s="98">
        <f t="shared" si="1159"/>
        <v>0.5027652086475598</v>
      </c>
      <c r="CY193" s="117">
        <f>CY187-(CY191)/0.65</f>
        <v>466</v>
      </c>
      <c r="CZ193" s="98">
        <f t="shared" si="1160"/>
        <v>17.539774932091579</v>
      </c>
      <c r="DA193" s="117">
        <f>DA187-(DA191)/0.65</f>
        <v>419.76923076923077</v>
      </c>
      <c r="DB193" s="98">
        <f t="shared" si="1161"/>
        <v>15.835279133941849</v>
      </c>
      <c r="DC193" s="117">
        <f>DC187-(DC191)/0.65</f>
        <v>452</v>
      </c>
      <c r="DD193" s="98">
        <f t="shared" si="1162"/>
        <v>-1.5250544662309351</v>
      </c>
      <c r="DE193" s="117">
        <f>DE187-(DE191)/0.65</f>
        <v>521.69230769230774</v>
      </c>
      <c r="DF193" s="98">
        <f t="shared" si="1163"/>
        <v>13.089878272469569</v>
      </c>
      <c r="DG193" s="117">
        <f>DG187-(DG191)/0.65</f>
        <v>459</v>
      </c>
      <c r="DH193" s="98">
        <f t="shared" si="1164"/>
        <v>-1.5021459227467782</v>
      </c>
      <c r="DI193" s="117">
        <f>DI187-(DI191)/0.65</f>
        <v>519.84615384615381</v>
      </c>
      <c r="DJ193" s="98">
        <f t="shared" si="1165"/>
        <v>23.840938244456655</v>
      </c>
      <c r="DK193" s="117">
        <f>DK187-(DK191)/0.65</f>
        <v>498.92307692307691</v>
      </c>
      <c r="DL193" s="98">
        <f t="shared" si="1166"/>
        <v>10.381211708645344</v>
      </c>
      <c r="DM193" s="117">
        <f>DM187-(DM191)/0.65</f>
        <v>517.69230769230774</v>
      </c>
      <c r="DN193" s="98">
        <f t="shared" si="1167"/>
        <v>-0.76673547626069372</v>
      </c>
      <c r="DO193" s="117">
        <f>DO187-(DO191)/0.65</f>
        <v>554.23076923076928</v>
      </c>
      <c r="DP193" s="98">
        <f t="shared" si="1167"/>
        <v>20.747444276856065</v>
      </c>
      <c r="DQ193" s="117">
        <f>DQ187-(DQ191)/0.65</f>
        <v>552</v>
      </c>
      <c r="DR193" s="98">
        <f t="shared" si="1167"/>
        <v>6.1852619118082375</v>
      </c>
      <c r="DS193" s="117">
        <f>DS187-(DS191)/0.65</f>
        <v>470</v>
      </c>
      <c r="DT193" s="98">
        <f t="shared" si="1167"/>
        <v>-5.7971014492753543</v>
      </c>
      <c r="DU193" s="117">
        <f>DU187-(DU191)/0.65</f>
        <v>518</v>
      </c>
      <c r="DV193" s="98">
        <f t="shared" si="1167"/>
        <v>5.9435364041604544E-2</v>
      </c>
      <c r="DW193" s="117">
        <f>DW187-(DW191)/0.65</f>
        <v>397.61538461538464</v>
      </c>
      <c r="DX193" s="98">
        <f t="shared" si="1167"/>
        <v>-28.258154059680784</v>
      </c>
      <c r="DY193" s="117">
        <f>DY187-(DY191)/0.65</f>
        <v>357.46153846153845</v>
      </c>
      <c r="DZ193" s="98">
        <f t="shared" si="1167"/>
        <v>-35.24247491638797</v>
      </c>
      <c r="EA193" s="117">
        <f>EA187-(EA191)/0.65</f>
        <v>408.46153846153845</v>
      </c>
      <c r="EB193" s="98">
        <f t="shared" si="1168"/>
        <v>-13.093289689034371</v>
      </c>
      <c r="EC193" s="117">
        <f>EC187-(EC191)/0.65</f>
        <v>434.38461538461536</v>
      </c>
      <c r="ED193" s="98">
        <f t="shared" si="1169"/>
        <v>-16.141966141966147</v>
      </c>
      <c r="EE193" s="117">
        <f>EE187-(EE191)/0.65</f>
        <v>488.15384615384613</v>
      </c>
      <c r="EF193" s="860">
        <f t="shared" si="1170"/>
        <v>22.770361772102898</v>
      </c>
      <c r="EG193" s="117">
        <f>EG187-(EG191)/0.65</f>
        <v>449</v>
      </c>
      <c r="EH193" s="860">
        <f t="shared" si="1171"/>
        <v>25.607919087583397</v>
      </c>
      <c r="EI193" s="117">
        <f>EI187-(EI191)/0.65</f>
        <v>393.84615384615387</v>
      </c>
      <c r="EJ193" s="860">
        <f t="shared" si="1172"/>
        <v>-3.5781544256120457</v>
      </c>
      <c r="EK193" s="117">
        <f>EK187-(EK191)/0.65</f>
        <v>402</v>
      </c>
      <c r="EL193" s="860">
        <f t="shared" si="1173"/>
        <v>-7.4552859925624215</v>
      </c>
      <c r="EM193" s="117">
        <f>EM187-(EM191)/0.65</f>
        <v>381</v>
      </c>
      <c r="EN193" s="860">
        <f t="shared" si="1174"/>
        <v>-21.950835171761739</v>
      </c>
      <c r="EO193" s="117">
        <f>EO187-(EO191)/0.65</f>
        <v>361.38461538461536</v>
      </c>
      <c r="EP193" s="98">
        <f t="shared" si="1175"/>
        <v>-19.51344868939524</v>
      </c>
      <c r="EQ193" s="117">
        <f>EQ187-(EQ191)/0.65</f>
        <v>365.47311858146668</v>
      </c>
      <c r="ER193" s="98">
        <f t="shared" si="1176"/>
        <v>-7.2040909851744832</v>
      </c>
      <c r="ES193" s="117">
        <f t="shared" ref="ES193" si="1206">ES187-(ES191)/0.65</f>
        <v>348.94691178908033</v>
      </c>
      <c r="ET193" s="98">
        <f t="shared" si="1178"/>
        <v>-13.197285624606881</v>
      </c>
      <c r="EU193" s="117">
        <f t="shared" ref="EU193" si="1207">EU187-(EU191)/0.65</f>
        <v>332.98496412864688</v>
      </c>
      <c r="EV193" s="98">
        <f t="shared" si="1180"/>
        <v>-12.602371619777719</v>
      </c>
      <c r="EW193" s="117">
        <f t="shared" ref="EW193" si="1208">EW187-(EW191)/0.65</f>
        <v>316.89486143146542</v>
      </c>
      <c r="EX193" s="98">
        <f t="shared" si="1182"/>
        <v>-12.310915312706461</v>
      </c>
      <c r="EY193" s="118"/>
      <c r="EZ193" s="598"/>
      <c r="FA193" s="409"/>
      <c r="FB193" s="118">
        <f>FB187-(+FB191)/0.65</f>
        <v>411</v>
      </c>
      <c r="FC193" s="98"/>
      <c r="FD193" s="118">
        <f>FD187-(+FD191)/0.65</f>
        <v>391</v>
      </c>
      <c r="FE193" s="98">
        <f>IF(ISERROR((FD193/FB193-1)*100),"NA",IF(((FD193/FB193-1)*100)&gt;100,"NM",IF(((FD193/FB193-1)*100)&lt;-50,"NM",(FD193/FB193-1)*100)))</f>
        <v>-4.8661800486618052</v>
      </c>
      <c r="FF193" s="118">
        <f>FF187-(+FF191)/0.65</f>
        <v>323</v>
      </c>
      <c r="FG193" s="98">
        <f>IF(ISERROR((FF193/FD193-1)*100),"NA",IF(((FF193/FD193-1)*100)&gt;100,"NM",IF(((FF193/FD193-1)*100)&lt;-50,"NM",(FF193/FD193-1)*100)))</f>
        <v>-17.391304347826086</v>
      </c>
      <c r="FH193" s="118">
        <f>FH187-(+FH191)/0.65</f>
        <v>574</v>
      </c>
      <c r="FI193" s="98">
        <f>IF(ISERROR((FH193/FF193-1)*100),"NA",IF(((FH193/FF193-1)*100)&gt;100,"NM",IF(((FH193/FF193-1)*100)&lt;-50,"NM",(FH193/FF193-1)*100)))</f>
        <v>77.708978328173387</v>
      </c>
      <c r="FJ193" s="118">
        <f>FJ187-(+FJ191)/0.65</f>
        <v>699</v>
      </c>
      <c r="FK193" s="98">
        <f>IF(ISERROR((FJ193/FH193-1)*100),"NA",IF(((FJ193/FH193-1)*100)&gt;100,"NM",IF(((FJ193/FH193-1)*100)&lt;-50,"NM",(FJ193/FH193-1)*100)))</f>
        <v>21.777003484320566</v>
      </c>
      <c r="FL193" s="118">
        <f>FL187-(+FL191)/0.65</f>
        <v>665</v>
      </c>
      <c r="FM193" s="98">
        <f>IF(ISERROR((FL193/FJ193-1)*100),"NA",IF(((FL193/FJ193-1)*100)&gt;100,"NM",IF(((FL193/FJ193-1)*100)&lt;-50,"NM",(FL193/FJ193-1)*100)))</f>
        <v>-4.8640915593705314</v>
      </c>
      <c r="FN193" s="118">
        <f>FN187-(+FN191)/0.65</f>
        <v>929</v>
      </c>
      <c r="FO193" s="98">
        <f>IF(ISERROR((FN193/FL193-1)*100),"NA",IF(((FN193/FL193-1)*100)&gt;100,"NM",IF(((FN193/FL193-1)*100)&lt;-50,"NM",(FN193/FL193-1)*100)))</f>
        <v>39.699248120300744</v>
      </c>
      <c r="FP193" s="118">
        <f>FP187-(+FP191)/0.65</f>
        <v>974.53846153846155</v>
      </c>
      <c r="FQ193" s="98">
        <f>IF(ISERROR((FP193/FN193-1)*100),"NA",IF(((FP193/FN193-1)*100)&gt;100,"NM",IF(((FP193/FN193-1)*100)&lt;-50,"NM",(FP193/FN193-1)*100)))</f>
        <v>4.9018796058623915</v>
      </c>
      <c r="FR193" s="118">
        <f>FR187-(+FR191)/0.65</f>
        <v>1256.7692307692307</v>
      </c>
      <c r="FS193" s="98">
        <f>IF(ISERROR((FR193/FP193-1)*100),"NA",IF(((FR193/FP193-1)*100)&gt;100,"NM",IF(((FR193/FP193-1)*100)&lt;-50,"NM",(FR193/FP193-1)*100)))</f>
        <v>28.960454653090206</v>
      </c>
      <c r="FT193" s="118">
        <f>FT187-(+FT191)/0.65</f>
        <v>1513.5384615384614</v>
      </c>
      <c r="FU193" s="98">
        <f>IF(ISERROR((FT193/FR193-1)*100),"NA",IF(((FT193/FR193-1)*100)&gt;100,"NM",IF(((FT193/FR193-1)*100)&lt;-50,"NM",(FT193/FR193-1)*100)))</f>
        <v>20.430897294650507</v>
      </c>
      <c r="FV193" s="119">
        <f>FV187-(+FV191)/0.65</f>
        <v>1654.3846153846152</v>
      </c>
      <c r="FW193" s="98">
        <f>IF(ISERROR((FV193/FT193-1)*100),"NA",IF(((FV193/FT193-1)*100)&gt;100,"NM",IF(((FV193/FT193-1)*100)&lt;-50,"NM",(FV193/FT193-1)*100)))</f>
        <v>9.3057532018703029</v>
      </c>
      <c r="FX193" s="485">
        <f>FX187-(+FX191)/0.65</f>
        <v>1194.3846153846152</v>
      </c>
      <c r="FY193" s="98">
        <f>IF(ISERROR((FX193/FV193-1)*100),"NA",IF(((FX193/FV193-1)*100)&gt;100,"NM",IF(((FX193/FV193-1)*100)&lt;-50,"NM",(FX193/FV193-1)*100)))</f>
        <v>-27.804900729994884</v>
      </c>
      <c r="FZ193" s="119">
        <f>FZ187-(+FZ191)/0.65</f>
        <v>1144.2307692307693</v>
      </c>
      <c r="GA193" s="98">
        <f>IF(ISERROR((FZ193/FX193-1)*100),"NA",IF(((FZ193/FX193-1)*100)&gt;100,"NM",IF(((FZ193/FX193-1)*100)&lt;-50,"NM",(FZ193/FX193-1)*100)))</f>
        <v>-4.1991369871836053</v>
      </c>
      <c r="GB193" s="485">
        <f>GB187-(+GB191)/0.65</f>
        <v>1620.2307692307693</v>
      </c>
      <c r="GC193" s="98">
        <f>IF(ISERROR((GB193/FZ193-1)*100),"NA",IF(((GB193/FZ193-1)*100)&gt;100,"NM",IF(((GB193/FZ193-1)*100)&lt;-50,"NM",(GB193/FZ193-1)*100)))</f>
        <v>41.599999999999994</v>
      </c>
      <c r="GD193" s="119">
        <f>GD187-(+GD191)/0.65</f>
        <v>1806.0769230769231</v>
      </c>
      <c r="GE193" s="98">
        <f>IF(ISERROR((GD193/GB193-1)*100),"NA",IF(((GD193/GB193-1)*100)&gt;100,"NM",IF(((GD193/GB193-1)*100)&lt;-50,"NM",(GD193/GB193-1)*100)))</f>
        <v>11.470350852205291</v>
      </c>
      <c r="GF193" s="119">
        <f>GF187-(+GF191)/0.65</f>
        <v>1952.5384615384614</v>
      </c>
      <c r="GG193" s="98">
        <f>IF(ISERROR((GF193/GD193-1)*100),"NA",IF(((GF193/GD193-1)*100)&gt;100,"NM",IF(((GF193/GD193-1)*100)&lt;-50,"NM",(GF193/GD193-1)*100)))</f>
        <v>8.1093743345116884</v>
      </c>
      <c r="GH193" s="119">
        <f>GH187-(+GH191)/0.65</f>
        <v>2122.8461538461538</v>
      </c>
      <c r="GI193" s="98">
        <f>IF(ISERROR((GH193/GF193-1)*100),"NA",IF(((GH193/GF193-1)*100)&gt;100,"NM",IF(((GH193/GF193-1)*100)&lt;-50,"NM",(GH193/GF193-1)*100)))</f>
        <v>8.7223732419335889</v>
      </c>
      <c r="GJ193" s="117">
        <f>GJ187-(GJ191)/0.65</f>
        <v>1743.0769230769231</v>
      </c>
      <c r="GK193" s="98">
        <f>IF(ISERROR((GJ193/GH193-1)*100),"NA",IF(((GJ193/GH193-1)*100)&gt;100,"NM",IF(((GJ193/GH193-1)*100)&lt;-50,"NM",(GJ193/GH193-1)*100)))</f>
        <v>-17.889625683951149</v>
      </c>
      <c r="GL193" s="117">
        <f>GL187-(GL191)/0.65</f>
        <v>1780</v>
      </c>
      <c r="GM193" s="98">
        <f>IF(ISERROR((GL193/GJ193-1)*100),"NA",IF(((GL193/GJ193-1)*100)&gt;100,"NM",IF(((GL193/GJ193-1)*100)&lt;-50,"NM",(GL193/GJ193-1)*100)))</f>
        <v>2.118270079435125</v>
      </c>
      <c r="GN193" s="117">
        <f>GN187-(GN191)/0.65</f>
        <v>1538.2307692307693</v>
      </c>
      <c r="GO193" s="98">
        <f>IF(ISERROR((GN193/GL193-1)*100),"NA",IF(((GN193/GL193-1)*100)&gt;100,"NM",IF(((GN193/GL193-1)*100)&lt;-50,"NM",(GN193/GL193-1)*100)))</f>
        <v>-13.58254105445117</v>
      </c>
      <c r="GP193" s="117">
        <f>GP187-(GP191)/0.65</f>
        <v>1364.2998559306579</v>
      </c>
      <c r="GQ193" s="98">
        <f>IF(ISERROR((GP193/GN193-1)*100),"NA",IF(((GP193/GN193-1)*100)&gt;100,"NM",IF(((GP193/GN193-1)*100)&lt;-50,"NM",(GP193/GN193-1)*100)))</f>
        <v>-11.307205445324032</v>
      </c>
      <c r="GR193" s="117">
        <f>GR187-(GR191)/0.65</f>
        <v>1361.4608540625741</v>
      </c>
      <c r="GS193" s="98">
        <f>IF(ISERROR((GR193/GP193-1)*100),"NA",IF(((GR193/GP193-1)*100)&gt;100,"NM",IF(((GR193/GP193-1)*100)&lt;-50,"NM",(GR193/GP193-1)*100)))</f>
        <v>-0.2080922207638336</v>
      </c>
      <c r="GT193" s="117">
        <f>GT187-(GT191)/0.65</f>
        <v>1384.1627286306993</v>
      </c>
      <c r="GU193" s="98">
        <f>IF(ISERROR((GT193/GR193-1)*100),"NA",IF(((GT193/GR193-1)*100)&gt;100,"NM",IF(((GT193/GR193-1)*100)&lt;-50,"NM",(GT193/GR193-1)*100)))</f>
        <v>1.6674643637665687</v>
      </c>
      <c r="GV193" s="117">
        <f>GV187-(GV191)/0.65</f>
        <v>1408.0500047001206</v>
      </c>
      <c r="GW193" s="98">
        <f>IF(ISERROR((GV193/GT193-1)*100),"NA",IF(((GV193/GT193-1)*100)&gt;100,"NM",IF(((GV193/GT193-1)*100)&lt;-50,"NM",(GV193/GT193-1)*100)))</f>
        <v>1.7257563417454547</v>
      </c>
      <c r="GX193" s="117">
        <f>GX187-(GX191)/0.65</f>
        <v>1441.1568751471077</v>
      </c>
      <c r="GY193" s="98">
        <f>IF(ISERROR((GX193/GV193-1)*100),"NA",IF(((GX193/GV193-1)*100)&gt;100,"NM",IF(((GX193/GV193-1)*100)&lt;-50,"NM",(GX193/GV193-1)*100)))</f>
        <v>2.351256726428419</v>
      </c>
      <c r="GZ193" s="98">
        <f t="shared" si="1191"/>
        <v>-1.2952727595139213</v>
      </c>
      <c r="HA193" s="98"/>
      <c r="HB193" s="240"/>
      <c r="HC193"/>
      <c r="HD193"/>
      <c r="HE193"/>
      <c r="HF193"/>
      <c r="HG193"/>
      <c r="HH193"/>
      <c r="HI193" s="10"/>
    </row>
    <row r="194" spans="2:217" s="5" customFormat="1" ht="12.75" customHeight="1" x14ac:dyDescent="0.2">
      <c r="B194" s="19"/>
      <c r="C194" s="269"/>
      <c r="D194" s="270"/>
      <c r="E194" s="269"/>
      <c r="F194" s="270"/>
      <c r="G194" s="269"/>
      <c r="H194" s="270"/>
      <c r="I194" s="269"/>
      <c r="J194" s="156"/>
      <c r="K194" s="269"/>
      <c r="L194" s="156"/>
      <c r="M194" s="269"/>
      <c r="N194" s="156"/>
      <c r="O194" s="269"/>
      <c r="P194" s="156"/>
      <c r="Q194" s="269"/>
      <c r="R194" s="156"/>
      <c r="S194" s="269"/>
      <c r="T194" s="156"/>
      <c r="U194" s="269"/>
      <c r="V194" s="156"/>
      <c r="W194" s="269"/>
      <c r="X194" s="156"/>
      <c r="Y194" s="269"/>
      <c r="Z194" s="156"/>
      <c r="AA194" s="269"/>
      <c r="AB194" s="156"/>
      <c r="AC194" s="269"/>
      <c r="AD194" s="156"/>
      <c r="AE194" s="269"/>
      <c r="AF194" s="156"/>
      <c r="AG194" s="269"/>
      <c r="AH194" s="156"/>
      <c r="AI194" s="269"/>
      <c r="AJ194" s="156"/>
      <c r="AK194" s="269"/>
      <c r="AL194" s="156"/>
      <c r="AM194" s="269"/>
      <c r="AN194" s="156"/>
      <c r="AO194" s="269"/>
      <c r="AP194" s="156"/>
      <c r="AQ194" s="269"/>
      <c r="AR194" s="156"/>
      <c r="AS194" s="269"/>
      <c r="AT194" s="156"/>
      <c r="AU194" s="269"/>
      <c r="AV194" s="156"/>
      <c r="AW194" s="269"/>
      <c r="AX194" s="156"/>
      <c r="AY194" s="269"/>
      <c r="AZ194" s="156"/>
      <c r="BA194" s="269"/>
      <c r="BB194" s="156"/>
      <c r="BC194" s="269"/>
      <c r="BD194" s="156"/>
      <c r="BE194" s="269"/>
      <c r="BF194" s="156"/>
      <c r="BG194" s="269"/>
      <c r="BH194" s="156"/>
      <c r="BI194" s="269"/>
      <c r="BJ194" s="156"/>
      <c r="BK194" s="269"/>
      <c r="BL194" s="156"/>
      <c r="BM194" s="269"/>
      <c r="BN194" s="98"/>
      <c r="BO194" s="271"/>
      <c r="BP194" s="98"/>
      <c r="BQ194" s="271"/>
      <c r="BR194" s="98"/>
      <c r="BS194" s="271"/>
      <c r="BT194" s="98"/>
      <c r="BU194" s="271"/>
      <c r="BV194" s="98"/>
      <c r="BW194" s="271"/>
      <c r="BX194" s="98"/>
      <c r="BY194" s="271"/>
      <c r="BZ194" s="98"/>
      <c r="CA194" s="271"/>
      <c r="CB194" s="98"/>
      <c r="CC194" s="271"/>
      <c r="CD194" s="98"/>
      <c r="CE194" s="271"/>
      <c r="CF194" s="98"/>
      <c r="CG194" s="271"/>
      <c r="CH194" s="98"/>
      <c r="CI194" s="271"/>
      <c r="CJ194" s="98"/>
      <c r="CK194" s="271"/>
      <c r="CL194" s="98"/>
      <c r="CM194" s="271"/>
      <c r="CN194" s="98"/>
      <c r="CO194" s="271"/>
      <c r="CP194" s="98"/>
      <c r="CQ194" s="560"/>
      <c r="CR194" s="98"/>
      <c r="CS194" s="271"/>
      <c r="CT194" s="98"/>
      <c r="CU194" s="271"/>
      <c r="CV194" s="98"/>
      <c r="CW194" s="271"/>
      <c r="CX194" s="98"/>
      <c r="CY194" s="271"/>
      <c r="CZ194" s="98"/>
      <c r="DA194" s="271"/>
      <c r="DB194" s="98"/>
      <c r="DC194" s="271"/>
      <c r="DD194" s="98"/>
      <c r="DE194" s="271"/>
      <c r="DF194" s="98"/>
      <c r="DG194" s="271"/>
      <c r="DH194" s="98"/>
      <c r="DI194" s="271"/>
      <c r="DJ194" s="98"/>
      <c r="DK194" s="271"/>
      <c r="DL194" s="98"/>
      <c r="DM194" s="271"/>
      <c r="DN194" s="98"/>
      <c r="DO194" s="271"/>
      <c r="DP194" s="98"/>
      <c r="DQ194" s="271"/>
      <c r="DR194" s="98"/>
      <c r="DS194" s="271"/>
      <c r="DT194" s="98"/>
      <c r="DU194" s="271"/>
      <c r="DV194" s="98"/>
      <c r="DW194" s="271"/>
      <c r="DX194" s="98"/>
      <c r="DY194" s="271"/>
      <c r="DZ194" s="98"/>
      <c r="EA194" s="271"/>
      <c r="EB194" s="98"/>
      <c r="EC194" s="271"/>
      <c r="ED194" s="98"/>
      <c r="EE194" s="271"/>
      <c r="EF194" s="860"/>
      <c r="EG194" s="271"/>
      <c r="EH194" s="860"/>
      <c r="EI194" s="271"/>
      <c r="EJ194" s="860"/>
      <c r="EK194" s="271"/>
      <c r="EL194" s="860"/>
      <c r="EM194" s="271"/>
      <c r="EN194" s="860"/>
      <c r="EO194" s="271"/>
      <c r="EP194" s="98"/>
      <c r="EQ194" s="1044"/>
      <c r="ER194" s="98"/>
      <c r="ES194" s="1044"/>
      <c r="ET194" s="98"/>
      <c r="EU194" s="1044"/>
      <c r="EV194" s="98"/>
      <c r="EW194" s="1044"/>
      <c r="EX194" s="98"/>
      <c r="EY194" s="272"/>
      <c r="EZ194" s="594"/>
      <c r="FA194" s="405"/>
      <c r="FB194" s="272"/>
      <c r="FC194" s="230"/>
      <c r="FD194" s="271"/>
      <c r="FE194" s="98"/>
      <c r="FF194" s="272"/>
      <c r="FG194" s="98"/>
      <c r="FH194" s="272"/>
      <c r="FI194" s="98"/>
      <c r="FJ194" s="272"/>
      <c r="FK194" s="98"/>
      <c r="FL194" s="272"/>
      <c r="FM194" s="98"/>
      <c r="FN194" s="272"/>
      <c r="FO194" s="98"/>
      <c r="FP194" s="275"/>
      <c r="FQ194" s="213"/>
      <c r="FR194" s="273"/>
      <c r="FS194" s="120"/>
      <c r="FT194" s="273"/>
      <c r="FU194" s="120"/>
      <c r="FV194" s="273"/>
      <c r="FW194" s="98"/>
      <c r="FX194" s="519"/>
      <c r="FY194" s="98"/>
      <c r="FZ194" s="273"/>
      <c r="GA194" s="98"/>
      <c r="GB194" s="519"/>
      <c r="GC194" s="98"/>
      <c r="GD194" s="273"/>
      <c r="GE194" s="98"/>
      <c r="GF194" s="273"/>
      <c r="GG194" s="98"/>
      <c r="GH194" s="273"/>
      <c r="GI194" s="98"/>
      <c r="GJ194" s="273"/>
      <c r="GK194" s="98"/>
      <c r="GL194" s="273"/>
      <c r="GM194" s="98"/>
      <c r="GN194" s="273"/>
      <c r="GO194" s="98"/>
      <c r="GP194" s="273"/>
      <c r="GQ194" s="98"/>
      <c r="GR194" s="272"/>
      <c r="GS194" s="98"/>
      <c r="GT194" s="272"/>
      <c r="GU194" s="98"/>
      <c r="GV194" s="272"/>
      <c r="GW194" s="98"/>
      <c r="GX194" s="272"/>
      <c r="GY194" s="98"/>
      <c r="GZ194" s="98"/>
      <c r="HA194" s="98"/>
      <c r="HB194" s="15"/>
      <c r="HC194"/>
      <c r="HD194"/>
      <c r="HE194"/>
      <c r="HF194"/>
      <c r="HG194"/>
      <c r="HH194"/>
      <c r="HI194" s="10"/>
    </row>
    <row r="195" spans="2:217" s="2" customFormat="1" ht="12.75" customHeight="1" x14ac:dyDescent="0.2">
      <c r="B195" s="91" t="s">
        <v>480</v>
      </c>
      <c r="C195" s="276">
        <f>+C187/C164*100</f>
        <v>8.0890973036342331</v>
      </c>
      <c r="D195" s="156"/>
      <c r="E195" s="276">
        <f>+E187/E164*100</f>
        <v>7.5371549893842884</v>
      </c>
      <c r="F195" s="156"/>
      <c r="G195" s="276">
        <f>+G187/G164*100</f>
        <v>8.9151450053705688</v>
      </c>
      <c r="H195" s="156"/>
      <c r="I195" s="276">
        <f>+I187/I164*100</f>
        <v>10.235414534288639</v>
      </c>
      <c r="J195" s="156"/>
      <c r="K195" s="276">
        <f>+K187/K164*100</f>
        <v>15.200868621064062</v>
      </c>
      <c r="L195" s="156">
        <f>IF(ISERROR((K195/C195-1)*100),"NA",IF(((K195/C195-1)*100)&gt;100,"NM",IF(((K195/C195-1)*100)&lt;-50,"NM",(K195/C195-1)*100)))</f>
        <v>87.91798454735715</v>
      </c>
      <c r="M195" s="276">
        <f>+M187/M164*100</f>
        <v>16.236162361623617</v>
      </c>
      <c r="N195" s="156" t="str">
        <f>IF(ISERROR((M195/E195-1)*100),"NA",IF(((M195/E195-1)*100)&gt;100,"NM",IF(((M195/E195-1)*100)&lt;-50,"NM",(M195/E195-1)*100)))</f>
        <v>NM</v>
      </c>
      <c r="O195" s="276">
        <f>+O187/O164*100</f>
        <v>14.459161147902869</v>
      </c>
      <c r="P195" s="156">
        <f>IF(ISERROR((O195/G195-1)*100),"NA",IF(((O195/G195-1)*100)&gt;100,"NM",IF(((O195/G195-1)*100)&lt;-50,"NM",(O195/G195-1)*100)))</f>
        <v>62.186494321657484</v>
      </c>
      <c r="Q195" s="276">
        <f>+Q187/Q164*100</f>
        <v>18.75</v>
      </c>
      <c r="R195" s="156">
        <f>IF(ISERROR((Q195/I195-1)*100),"NA",IF(((Q195/I195-1)*100)&gt;100,"NM",IF(((Q195/I195-1)*100)&lt;-50,"NM",(Q195/I195-1)*100)))</f>
        <v>83.187499999999986</v>
      </c>
      <c r="S195" s="276">
        <f>+S187/S164*100</f>
        <v>21.020656136087485</v>
      </c>
      <c r="T195" s="156">
        <f>IF(ISERROR((S195/K195-1)*100),"NA",IF(((S195/K195-1)*100)&gt;100,"NM",IF(((S195/K195-1)*100)&lt;-50,"NM",(S195/K195-1)*100)))</f>
        <v>38.285887866689805</v>
      </c>
      <c r="U195" s="276">
        <f>+U187/U164*100</f>
        <v>18.343722172751558</v>
      </c>
      <c r="V195" s="156">
        <f>IF(ISERROR((U195/M195-1)*100),"NA",IF(((U195/M195-1)*100)&gt;100,"NM",IF(((U195/M195-1)*100)&lt;-50,"NM",(U195/M195-1)*100)))</f>
        <v>12.980652473083465</v>
      </c>
      <c r="W195" s="276">
        <f>+W187/W164*100</f>
        <v>17.522321428571427</v>
      </c>
      <c r="X195" s="156">
        <f>IF(ISERROR((W195/O195-1)*100),"NA",IF(((W195/O195-1)*100)&gt;100,"NM",IF(((W195/O195-1)*100)&lt;-50,"NM",(W195/O195-1)*100)))</f>
        <v>21.184910032715365</v>
      </c>
      <c r="Y195" s="276">
        <f>+Y187/Y164*100</f>
        <v>16.68372569089048</v>
      </c>
      <c r="Z195" s="156">
        <f>IF(ISERROR((Y195/Q195-1)*100),"NA",IF(((Y195/Q195-1)*100)&gt;100,"NM",IF(((Y195/Q195-1)*100)&lt;-50,"NM",(Y195/Q195-1)*100)))</f>
        <v>-11.02012964858411</v>
      </c>
      <c r="AA195" s="276">
        <f>+AA187/AA164*100</f>
        <v>14.634146341463413</v>
      </c>
      <c r="AB195" s="156">
        <f>IF(ISERROR((AA195/S195-1)*100),"NA",IF(((AA195/S195-1)*100)&gt;100,"NM",IF(((AA195/S195-1)*100)&lt;-50,"NM",(AA195/S195-1)*100)))</f>
        <v>-30.382066826448618</v>
      </c>
      <c r="AC195" s="276">
        <f>+AC187/AC164*100</f>
        <v>17.177344475394616</v>
      </c>
      <c r="AD195" s="156">
        <f>IF(ISERROR((AC195/U195-1)*100),"NA",IF(((AC195/U195-1)*100)&gt;100,"NM",IF(((AC195/U195-1)*100)&lt;-50,"NM",(AC195/U195-1)*100)))</f>
        <v>-6.3584570588924638</v>
      </c>
      <c r="AE195" s="276">
        <f>+AE187/AE164*100</f>
        <v>16.161616161616163</v>
      </c>
      <c r="AF195" s="156">
        <f>IF(ISERROR((AE195/W195-1)*100),"NA",IF(((AE195/W195-1)*100)&gt;100,"NM",IF(((AE195/W195-1)*100)&lt;-50,"NM",(AE195/W195-1)*100)))</f>
        <v>-7.7655536254262252</v>
      </c>
      <c r="AG195" s="276">
        <f>+AG187/AG164*100</f>
        <v>17.716894977168952</v>
      </c>
      <c r="AH195" s="156">
        <f>IF(ISERROR((AG195/Y195-1)*100),"NA",IF(((AG195/Y195-1)*100)&gt;100,"NM",IF(((AG195/Y195-1)*100)&lt;-50,"NM",(AG195/Y195-1)*100)))</f>
        <v>6.192677255791823</v>
      </c>
      <c r="AI195" s="276">
        <f>+AI187/AI164*100</f>
        <v>25.260170293282876</v>
      </c>
      <c r="AJ195" s="156">
        <f>IF(ISERROR((AI195/AA195-1)*100),"NA",IF(((AI195/AA195-1)*100)&gt;100,"NM",IF(((AI195/AA195-1)*100)&lt;-50,"NM",(AI195/AA195-1)*100)))</f>
        <v>72.611163670766317</v>
      </c>
      <c r="AK195" s="276">
        <f>+AK187/AK164*100</f>
        <v>19.82421875</v>
      </c>
      <c r="AL195" s="156">
        <f>IF(ISERROR((AK195/AC195-1)*100),"NA",IF(((AK195/AC195-1)*100)&gt;100,"NM",IF(((AK195/AC195-1)*100)&lt;-50,"NM",(AK195/AC195-1)*100)))</f>
        <v>15.409100506756745</v>
      </c>
      <c r="AM195" s="276">
        <f>+AM187/AM164*100</f>
        <v>16.555308092056421</v>
      </c>
      <c r="AN195" s="156">
        <f>IF(ISERROR((AM195/AE195-1)*100),"NA",IF(((AM195/AE195-1)*100)&gt;100,"NM",IF(((AM195/AE195-1)*100)&lt;-50,"NM",(AM195/AE195-1)*100)))</f>
        <v>2.4359688195991103</v>
      </c>
      <c r="AO195" s="276">
        <f>+AO187/AO164*100</f>
        <v>19.782062028499581</v>
      </c>
      <c r="AP195" s="156">
        <f>IF(ISERROR((AO195/AG195-1)*100),"NA",IF(((AO195/AG195-1)*100)&gt;100,"NM",IF(((AO195/AG195-1)*100)&lt;-50,"NM",(AO195/AG195-1)*100)))</f>
        <v>11.656484129933187</v>
      </c>
      <c r="AQ195" s="276">
        <f>+AQ187/AQ164*100</f>
        <v>17.626154939587778</v>
      </c>
      <c r="AR195" s="156">
        <f>IF(ISERROR((AQ195/AI195-1)*100),"NA",IF(((AQ195/AI195-1)*100)&gt;100,"NM",IF(((AQ195/AI195-1)*100)&lt;-50,"NM",(AQ195/AI195-1)*100)))</f>
        <v>-30.221551418935277</v>
      </c>
      <c r="AS195" s="276">
        <f>+AS187/AS164*100</f>
        <v>22.925764192139738</v>
      </c>
      <c r="AT195" s="156">
        <f>IF(ISERROR((AS195/AK195-1)*100),"NA",IF(((AS195/AK195-1)*100)&gt;100,"NM",IF(((AS195/AK195-1)*100)&lt;-50,"NM",(AS195/AK195-1)*100)))</f>
        <v>15.645234151483201</v>
      </c>
      <c r="AU195" s="276">
        <f>+AU187/AU164*100</f>
        <v>17.23404255319149</v>
      </c>
      <c r="AV195" s="156">
        <f>IF(ISERROR((AU195/AM195-1)*100),"NA",IF(((AU195/AM195-1)*100)&gt;100,"NM",IF(((AU195/AM195-1)*100)&lt;-50,"NM",(AU195/AM195-1)*100)))</f>
        <v>4.0997996374391832</v>
      </c>
      <c r="AW195" s="276">
        <f>+AW187/AW164*100</f>
        <v>20.038046924540268</v>
      </c>
      <c r="AX195" s="156">
        <f>IF(ISERROR((AW195/AO195-1)*100),"NA",IF(((AW195/AO195-1)*100)&gt;100,"NM",IF(((AW195/AO195-1)*100)&lt;-50,"NM",(AW195/AO195-1)*100)))</f>
        <v>1.2940253431209303</v>
      </c>
      <c r="AY195" s="166">
        <f>+AY187/AY164*100</f>
        <v>22.872032426172552</v>
      </c>
      <c r="AZ195" s="156">
        <f>IF(ISERROR((AY195/AQ195-1)*100),"NA",IF(((AY195/AQ195-1)*100)&gt;100,"NM",IF(((AY195/AQ195-1)*100)&lt;-50,"NM",(AY195/AQ195-1)*100)))</f>
        <v>29.761893643648296</v>
      </c>
      <c r="BA195" s="166">
        <f>+BA187/BA164*100</f>
        <v>19.904931669637552</v>
      </c>
      <c r="BB195" s="156">
        <f>IF(ISERROR((BA195/AS195-1)*100),"NA",IF(((BA195/AS195-1)*100)&gt;100,"NM",IF(((BA195/AS195-1)*100)&lt;-50,"NM",(BA195/AS195-1)*100)))</f>
        <v>-13.17658376481906</v>
      </c>
      <c r="BC195" s="166">
        <f>+BC187/BC164*100</f>
        <v>16.093170989941768</v>
      </c>
      <c r="BD195" s="156">
        <f>IF(ISERROR((BC195/AU195-1)*100),"NA",IF(((BC195/AU195-1)*100)&gt;100,"NM",IF(((BC195/AU195-1)*100)&lt;-50,"NM",(BC195/AU195-1)*100)))</f>
        <v>-6.6198720336712258</v>
      </c>
      <c r="BE195" s="166">
        <f>+BE187/BE164*100</f>
        <v>20.507715281234447</v>
      </c>
      <c r="BF195" s="156">
        <f>IF(ISERROR((BE195/AW195-1)*100),"NA",IF(((BE195/AW195-1)*100)&gt;100,"NM",IF(((BE195/AW195-1)*100)&lt;-50,"NM",(BE195/AW195-1)*100)))</f>
        <v>2.3438829066668276</v>
      </c>
      <c r="BG195" s="166">
        <f>+BG187/BG164*100</f>
        <v>21.88006482982172</v>
      </c>
      <c r="BH195" s="156">
        <f>IF(ISERROR((BG195/AY195-1)*100),"NA",IF(((BG195/AY195-1)*100)&gt;100,"NM",IF(((BG195/AY195-1)*100)&lt;-50,"NM",(BG195/AY195-1)*100)))</f>
        <v>-4.3370330098680743</v>
      </c>
      <c r="BI195" s="166">
        <f>+BI187/BI164*100</f>
        <v>23.477812177502582</v>
      </c>
      <c r="BJ195" s="156">
        <f>IF(ISERROR((BI195/BA195-1)*100),"NA",IF(((BI195/BA195-1)*100)&gt;100,"NM",IF(((BI195/BA195-1)*100)&lt;-50,"NM",(BI195/BA195-1)*100)))</f>
        <v>17.949725058915945</v>
      </c>
      <c r="BK195" s="166">
        <f>+BK187/BK164*100</f>
        <v>18.865979381443299</v>
      </c>
      <c r="BL195" s="156">
        <f>IF(ISERROR((BK195/BC195-1)*100),"NA",IF(((BK195/BC195-1)*100)&gt;100,"NM",IF(((BK195/BC195-1)*100)&lt;-50,"NM",(BK195/BC195-1)*100)))</f>
        <v>17.229720564297345</v>
      </c>
      <c r="BM195" s="166">
        <f>+BM187/BM164*100</f>
        <v>25.222551928783382</v>
      </c>
      <c r="BN195" s="98">
        <f>IF(ISERROR((BM195/BE195-1)*100),"NA",IF(((BM195/BE195-1)*100)&gt;100,"NM",IF(((BM195/BE195-1)*100)&lt;-50,"NM",(BM195/BE195-1)*100)))</f>
        <v>22.99055054593644</v>
      </c>
      <c r="BO195" s="137">
        <f>+BO187/BO164*100</f>
        <v>22.985781990521325</v>
      </c>
      <c r="BP195" s="98">
        <f>IF(ISERROR((BO195/BG195-1)*100),"NA",IF(((BO195/BG195-1)*100)&gt;100,"NM",IF(((BO195/BG195-1)*100)&lt;-50,"NM",(BO195/BG195-1)*100)))</f>
        <v>5.053536949271531</v>
      </c>
      <c r="BQ195" s="137">
        <f>+BQ187/BQ164*100</f>
        <v>16.853932584269664</v>
      </c>
      <c r="BR195" s="98">
        <f>IF(ISERROR((BQ195/BI195-1)*100),"NA",IF(((BQ195/BI195-1)*100)&gt;100,"NM",IF(((BQ195/BI195-1)*100)&lt;-50,"NM",(BQ195/BI195-1)*100)))</f>
        <v>-28.213359674033832</v>
      </c>
      <c r="BS195" s="137">
        <f>+BS187/BS164*100</f>
        <v>12.001627339300244</v>
      </c>
      <c r="BT195" s="98">
        <f>IF(ISERROR((BS195/BK195-1)*100),"NA",IF(((BS195/BK195-1)*100)&gt;100,"NM",IF(((BS195/BK195-1)*100)&lt;-50,"NM",(BS195/BK195-1)*100)))</f>
        <v>-36.384816835403079</v>
      </c>
      <c r="BU195" s="137">
        <f>+BU187/BU164*100</f>
        <v>7.9170593779453347</v>
      </c>
      <c r="BV195" s="98" t="str">
        <f>IF(ISERROR((BU195/BM195-1)*100),"NA",IF(((BU195/BM195-1)*100)&gt;100,"NM",IF(((BU195/BM195-1)*100)&lt;-50,"NM",(BU195/BM195-1)*100)))</f>
        <v>NM</v>
      </c>
      <c r="BW195" s="137">
        <f>+BW187/BW164*100</f>
        <v>6.2176165803108807</v>
      </c>
      <c r="BX195" s="98" t="str">
        <f>IF(ISERROR((BW195/BO195-1)*100),"NA",IF(((BW195/BO195-1)*100)&gt;100,"NM",IF(((BW195/BO195-1)*100)&lt;-50,"NM",(BW195/BO195-1)*100)))</f>
        <v>NM</v>
      </c>
      <c r="BY195" s="137">
        <f>+BY187/BY164*100</f>
        <v>11.726546906187625</v>
      </c>
      <c r="BZ195" s="98">
        <f>IF(ISERROR((BY195/BQ195-1)*100),"NA",IF(((BY195/BQ195-1)*100)&gt;100,"NM",IF(((BY195/BQ195-1)*100)&lt;-50,"NM",(BY195/BQ195-1)*100)))</f>
        <v>-30.422488356620093</v>
      </c>
      <c r="CA195" s="137">
        <f>+CA187/CA164*100</f>
        <v>10.850286906624934</v>
      </c>
      <c r="CB195" s="98">
        <f>IF(ISERROR((CA195/BS195-1)*100),"NA",IF(((CA195/BS195-1)*100)&gt;100,"NM",IF(((CA195/BS195-1)*100)&lt;-50,"NM",(CA195/BS195-1)*100)))</f>
        <v>-9.5932026559861434</v>
      </c>
      <c r="CC195" s="137">
        <f>+CC187/CC164*100</f>
        <v>13.213780084945729</v>
      </c>
      <c r="CD195" s="98">
        <f>IF(ISERROR((CC195/BU195-1)*100),"NA",IF(((CC195/BU195-1)*100)&gt;100,"NM",IF(((CC195/BU195-1)*100)&lt;-50,"NM",(CC195/BU195-1)*100)))</f>
        <v>66.90262702532641</v>
      </c>
      <c r="CE195" s="137">
        <f>+CE187/CE164*100</f>
        <v>17.121212121212121</v>
      </c>
      <c r="CF195" s="98" t="str">
        <f>IF(ISERROR((CE195/BW195-1)*100),"NA",IF(((CE195/BW195-1)*100)&gt;100,"NM",IF(((CE195/BW195-1)*100)&lt;-50,"NM",(CE195/BW195-1)*100)))</f>
        <v>NM</v>
      </c>
      <c r="CG195" s="137">
        <f>+CG187/CG164*100</f>
        <v>19.802523313219965</v>
      </c>
      <c r="CH195" s="98">
        <f>IF(ISERROR((CG195/BY195-1)*100),"NA",IF(((CG195/BY195-1)*100)&gt;100,"NM",IF(((CG195/BY195-1)*100)&lt;-50,"NM",(CG195/BY195-1)*100)))</f>
        <v>68.869177530607686</v>
      </c>
      <c r="CI195" s="137">
        <f>+CI187/CI164*100</f>
        <v>16.138328530259365</v>
      </c>
      <c r="CJ195" s="98">
        <f>IF(ISERROR((CI195/CA195-1)*100),"NA",IF(((CI195/CA195-1)*100)&gt;100,"NM",IF(((CI195/CA195-1)*100)&lt;-50,"NM",(CI195/CA195-1)*100)))</f>
        <v>48.736422079361553</v>
      </c>
      <c r="CK195" s="137">
        <f>+CK187/CK164*100</f>
        <v>23.822562979189485</v>
      </c>
      <c r="CL195" s="98">
        <f>IF(ISERROR((CK195/CC195-1)*100),"NA",IF(((CK195/CC195-1)*100)&gt;100,"NM",IF(((CK195/CC195-1)*100)&lt;-50,"NM",(CK195/CC195-1)*100)))</f>
        <v>80.285753403223282</v>
      </c>
      <c r="CM195" s="137">
        <f>+CM187/CM164*100</f>
        <v>23.244929797191887</v>
      </c>
      <c r="CN195" s="98">
        <f>IF(ISERROR((CM195/CE195-1)*100),"NA",IF(((CM195/CE195-1)*100)&gt;100,"NM",IF(((CM195/CE195-1)*100)&lt;-50,"NM",(CM195/CE195-1)*100)))</f>
        <v>35.766846603067663</v>
      </c>
      <c r="CO195" s="137">
        <f>+CO187/CO164*100</f>
        <v>20.783007080383172</v>
      </c>
      <c r="CP195" s="98">
        <f>IF(ISERROR((CO195/CG195-1)*100),"NA",IF(((CO195/CG195-1)*100)&gt;100,"NM",IF(((CO195/CG195-1)*100)&lt;-50,"NM",(CO195/CG195-1)*100)))</f>
        <v>4.9513072230984223</v>
      </c>
      <c r="CQ195" s="494">
        <f>+CQ187/CQ164*100</f>
        <v>17.863247863247864</v>
      </c>
      <c r="CR195" s="98">
        <f>IF(ISERROR((CQ195/CI195-1)*100),"NA",IF(((CQ195/CI195-1)*100)&gt;100,"NM",IF(((CQ195/CI195-1)*100)&lt;-50,"NM",(CQ195/CI195-1)*100)))</f>
        <v>10.688339438339444</v>
      </c>
      <c r="CS195" s="137">
        <f>+CS187/CS164*100</f>
        <v>15.983417779824965</v>
      </c>
      <c r="CT195" s="98">
        <f>IF(ISERROR((CS195/CK195-1)*100),"NA",IF(((CS195/CK195-1)*100)&gt;100,"NM",IF(((CS195/CK195-1)*100)&lt;-50,"NM",(CS195/CK195-1)*100)))</f>
        <v>-32.90638881388417</v>
      </c>
      <c r="CU195" s="137">
        <f>+CU187/CU164*100</f>
        <v>22.689075630252102</v>
      </c>
      <c r="CV195" s="98">
        <f>IF(ISERROR((CU195/CM195-1)*100),"NA",IF(((CU195/CM195-1)*100)&gt;100,"NM",IF(((CU195/CM195-1)*100)&lt;-50,"NM",(CU195/CM195-1)*100)))</f>
        <v>-2.3912920873047083</v>
      </c>
      <c r="CW195" s="137">
        <f>+CW187/CW164*100</f>
        <v>23.554913294797689</v>
      </c>
      <c r="CX195" s="98">
        <f>IF(ISERROR((CW195/CO195-1)*100),"NA",IF(((CW195/CO195-1)*100)&gt;100,"NM",IF(((CW195/CO195-1)*100)&lt;-50,"NM",(CW195/CO195-1)*100)))</f>
        <v>13.33736837837527</v>
      </c>
      <c r="CY195" s="137">
        <f>+CY187/CY164*100</f>
        <v>23.440643863179076</v>
      </c>
      <c r="CZ195" s="98">
        <f>IF(ISERROR((CY195/CQ195-1)*100),"NA",IF(((CY195/CQ195-1)*100)&gt;100,"NM",IF(((CY195/CQ195-1)*100)&lt;-50,"NM",(CY195/CQ195-1)*100)))</f>
        <v>31.222743157509658</v>
      </c>
      <c r="DA195" s="137">
        <f>+DA187/DA164*100</f>
        <v>14.054540005993408</v>
      </c>
      <c r="DB195" s="98">
        <f>IF(ISERROR((DA195/CS195-1)*100),"NA",IF(((DA195/CS195-1)*100)&gt;100,"NM",IF(((DA195/CS195-1)*100)&lt;-50,"NM",(DA195/CS195-1)*100)))</f>
        <v>-12.067993218986484</v>
      </c>
      <c r="DC195" s="137">
        <f>+DC187/DC164*100</f>
        <v>23.215202876219827</v>
      </c>
      <c r="DD195" s="98">
        <f>IF(ISERROR((DC195/CU195-1)*100),"NA",IF(((DC195/CU195-1)*100)&gt;100,"NM",IF(((DC195/CU195-1)*100)&lt;-50,"NM",(DC195/CU195-1)*100)))</f>
        <v>2.3188571211170128</v>
      </c>
      <c r="DE195" s="137">
        <f>+DE187/DE164*100</f>
        <v>26.215022091310754</v>
      </c>
      <c r="DF195" s="98">
        <f>IF(ISERROR((DE195/CW195-1)*100),"NA",IF(((DE195/CW195-1)*100)&gt;100,"NM",IF(((DE195/CW195-1)*100)&lt;-50,"NM",(DE195/CW195-1)*100)))</f>
        <v>11.293222620779385</v>
      </c>
      <c r="DG195" s="137">
        <f>+DG187/DG164*100</f>
        <v>23.466257668711656</v>
      </c>
      <c r="DH195" s="98">
        <f>IF(ISERROR((DG195/CY195-1)*100),"NA",IF(((DG195/CY195-1)*100)&gt;100,"NM",IF(((DG195/CY195-1)*100)&lt;-50,"NM",(DG195/CY195-1)*100)))</f>
        <v>0.10927091287289414</v>
      </c>
      <c r="DI195" s="137">
        <f>+DI187/DI164*100</f>
        <v>18.365287588294652</v>
      </c>
      <c r="DJ195" s="98">
        <f>IF(ISERROR((DI195/DA195-1)*100),"NA",IF(((DI195/DA195-1)*100)&gt;100,"NM",IF(((DI195/DA195-1)*100)&lt;-50,"NM",(DI195/DA195-1)*100)))</f>
        <v>30.67156648643763</v>
      </c>
      <c r="DK195" s="137">
        <f>+DK187/DK164*100</f>
        <v>28.871681415929203</v>
      </c>
      <c r="DL195" s="98">
        <f>IF(ISERROR((DK195/DC195-1)*100),"NA",IF(((DK195/DC195-1)*100)&gt;100,"NM",IF(((DK195/DC195-1)*100)&lt;-50,"NM",(DK195/DC195-1)*100)))</f>
        <v>24.365406453128656</v>
      </c>
      <c r="DM195" s="137">
        <f>+DM187/DM164*100</f>
        <v>24.674742036787798</v>
      </c>
      <c r="DN195" s="98">
        <f>IF(ISERROR((DM195/DE195-1)*100),"NA",IF(((DM195/DE195-1)*100)&gt;100,"NM",IF(((DM195/DE195-1)*100)&lt;-50,"NM",(DM195/DE195-1)*100)))</f>
        <v>-5.8755626798937417</v>
      </c>
      <c r="DO195" s="137">
        <f>+DO187/DO164*100</f>
        <v>29.56989247311828</v>
      </c>
      <c r="DP195" s="98">
        <f>IF(ISERROR((DO195/DG195-1)*100),"NA",IF(((DO195/DG195-1)*100)&gt;100,"NM",IF(((DO195/DG195-1)*100)&lt;-50,"NM",(DO195/DG195-1)*100)))</f>
        <v>26.010260735118429</v>
      </c>
      <c r="DQ195" s="137">
        <f>+DQ187/DQ164*100</f>
        <v>19.160013884068032</v>
      </c>
      <c r="DR195" s="98">
        <f>IF(ISERROR((DQ195/DI195-1)*100),"NA",IF(((DQ195/DI195-1)*100)&gt;100,"NM",IF(((DQ195/DI195-1)*100)&lt;-50,"NM",(DQ195/DI195-1)*100)))</f>
        <v>4.3273283467660351</v>
      </c>
      <c r="DS195" s="137">
        <f>+DS187/DS164*100</f>
        <v>26.93409742120344</v>
      </c>
      <c r="DT195" s="98">
        <f>IF(ISERROR((DS195/DK195-1)*100),"NA",IF(((DS195/DK195-1)*100)&gt;100,"NM",IF(((DS195/DK195-1)*100)&lt;-50,"NM",(DS195/DK195-1)*100)))</f>
        <v>-6.7110188936095438</v>
      </c>
      <c r="DU195" s="137">
        <f>+DU187/DU164*100</f>
        <v>29.298642533936654</v>
      </c>
      <c r="DV195" s="98">
        <f>IF(ISERROR((DU195/DM195-1)*100),"NA",IF(((DU195/DM195-1)*100)&gt;100,"NM",IF(((DU195/DM195-1)*100)&lt;-50,"NM",(DU195/DM195-1)*100)))</f>
        <v>18.739407651172368</v>
      </c>
      <c r="DW195" s="137">
        <f>+DW187/DW164*100</f>
        <v>14.440559440559442</v>
      </c>
      <c r="DX195" s="98" t="str">
        <f>IF(ISERROR((DW195/DO195-1)*100),"NA",IF(((DW195/DO195-1)*100)&gt;100,"NM",IF(((DW195/DO195-1)*100)&lt;-50,"NM",(DW195/DO195-1)*100)))</f>
        <v>NM</v>
      </c>
      <c r="DY195" s="137">
        <f>+DY187/DY164*100</f>
        <v>17.632612966601179</v>
      </c>
      <c r="DZ195" s="98">
        <f>IF(ISERROR((DY195/DQ195-1)*100),"NA",IF(((DY195/DQ195-1)*100)&gt;100,"NM",IF(((DY195/DQ195-1)*100)&lt;-50,"NM",(DY195/DQ195-1)*100)))</f>
        <v>-7.9718152956920303</v>
      </c>
      <c r="EA195" s="137">
        <f>+EA187/EA164*100</f>
        <v>22.506082725060828</v>
      </c>
      <c r="EB195" s="98">
        <f>IF(ISERROR((EA195/DS195-1)*100),"NA",IF(((EA195/DS195-1)*100)&gt;100,"NM",IF(((EA195/DS195-1)*100)&lt;-50,"NM",(EA195/DS195-1)*100)))</f>
        <v>-16.440182222912458</v>
      </c>
      <c r="EC195" s="137">
        <f>+EC187/EC164*100</f>
        <v>21.099947117927023</v>
      </c>
      <c r="ED195" s="98">
        <f>IF(ISERROR((EC195/DU195-1)*100),"NA",IF(((EC195/DU195-1)*100)&gt;100,"NM",IF(((EC195/DU195-1)*100)&lt;-50,"NM",(EC195/DU195-1)*100)))</f>
        <v>-27.98319207626453</v>
      </c>
      <c r="EE195" s="137">
        <f>+EE187/EE164*100</f>
        <v>17.54646840148699</v>
      </c>
      <c r="EF195" s="860">
        <f>IF(ISERROR((EE195/DW195-1)*100),"NA",IF(((EE195/DW195-1)*100)&gt;100,"NM",IF(((EE195/DW195-1)*100)&lt;-50,"NM",(EE195/DW195-1)*100)))</f>
        <v>21.508231545406264</v>
      </c>
      <c r="EG195" s="137">
        <f>+EG187/EG164*100</f>
        <v>20.577451879010084</v>
      </c>
      <c r="EH195" s="860">
        <f>IF(ISERROR((EG195/DY195-1)*100),"NA",IF(((EG195/DY195-1)*100)&gt;100,"NM",IF(((EG195/DY195-1)*100)&lt;-50,"NM",(EG195/DY195-1)*100)))</f>
        <v>16.701091993494522</v>
      </c>
      <c r="EI195" s="137">
        <f>+EI187/EI164*100</f>
        <v>23.809523809523807</v>
      </c>
      <c r="EJ195" s="860">
        <f t="shared" ref="EJ195:EJ196" si="1209">IF(ISERROR((EI195/EA195-1)*100),"NA",IF(((EI195/EA195-1)*100)&gt;100,"NM",IF(((EI195/EA195-1)*100)&lt;-50,"NM",(EI195/EA195-1)*100)))</f>
        <v>5.7915057915057799</v>
      </c>
      <c r="EK195" s="137">
        <f>+EK187/EK164*100</f>
        <v>16.131621187800963</v>
      </c>
      <c r="EL195" s="860">
        <f t="shared" ref="EL195:EL196" si="1210">IF(ISERROR((EK195/EC195-1)*100),"NA",IF(((EK195/EC195-1)*100)&gt;100,"NM",IF(((EK195/EC195-1)*100)&lt;-50,"NM",(EK195/EC195-1)*100)))</f>
        <v>-23.546627403178899</v>
      </c>
      <c r="EM195" s="137">
        <f>+EM187/EM164*100</f>
        <v>10.200803212851406</v>
      </c>
      <c r="EN195" s="860">
        <f t="shared" ref="EN195:EN196" si="1211">IF(ISERROR((EM195/EE195-1)*100),"NA",IF(((EM195/EE195-1)*100)&gt;100,"NM",IF(((EM195/EE195-1)*100)&lt;-50,"NM",(EM195/EE195-1)*100)))</f>
        <v>-41.864066435232459</v>
      </c>
      <c r="EO195" s="137">
        <f>+EO187/EO164*100</f>
        <v>11.46551724137931</v>
      </c>
      <c r="EP195" s="98">
        <f t="shared" ref="EP195:EP196" si="1212">IF(ISERROR((EO195/EG195-1)*100),"NA",IF(((EO195/EG195-1)*100)&gt;100,"NM",IF(((EO195/EG195-1)*100)&lt;-50,"NM",(EO195/EG195-1)*100)))</f>
        <v>-44.281161201136634</v>
      </c>
      <c r="EQ195" s="818">
        <f>+EQ187/EQ164*100</f>
        <v>14.346185781835352</v>
      </c>
      <c r="ER195" s="98">
        <f t="shared" ref="ER195:ER196" si="1213">IF(ISERROR((EQ195/EI195-1)*100),"NA",IF(((EQ195/EI195-1)*100)&gt;100,"NM",IF(((EQ195/EI195-1)*100)&lt;-50,"NM",(EQ195/EI195-1)*100)))</f>
        <v>-39.746019716291514</v>
      </c>
      <c r="ES195" s="818">
        <f t="shared" ref="ES195" si="1214">+ES187/ES164*100</f>
        <v>13.724645095937705</v>
      </c>
      <c r="ET195" s="98">
        <f t="shared" ref="ET195:ET196" si="1215">IF(ISERROR((ES195/EK195-1)*100),"NA",IF(((ES195/EK195-1)*100)&gt;100,"NM",IF(((ES195/EK195-1)*100)&lt;-50,"NM",(ES195/EK195-1)*100)))</f>
        <v>-14.920856768465773</v>
      </c>
      <c r="EU195" s="818">
        <f t="shared" ref="EU195" si="1216">+EU187/EU164*100</f>
        <v>13.108552809619244</v>
      </c>
      <c r="EV195" s="98">
        <f t="shared" ref="EV195:EV196" si="1217">IF(ISERROR((EU195/EM195-1)*100),"NA",IF(((EU195/EM195-1)*100)&gt;100,"NM",IF(((EU195/EM195-1)*100)&lt;-50,"NM",(EU195/EM195-1)*100)))</f>
        <v>28.505104314771312</v>
      </c>
      <c r="EW195" s="818">
        <f t="shared" ref="EW195" si="1218">+EW187/EW164*100</f>
        <v>12.493623553324626</v>
      </c>
      <c r="EX195" s="98">
        <f t="shared" ref="EX195:EX196" si="1219">IF(ISERROR((EW195/EO195-1)*100),"NA",IF(((EW195/EO195-1)*100)&gt;100,"NM",IF(((EW195/EO195-1)*100)&lt;-50,"NM",(EW195/EO195-1)*100)))</f>
        <v>8.9669422695982437</v>
      </c>
      <c r="EY195" s="125"/>
      <c r="EZ195" s="601"/>
      <c r="FA195" s="411"/>
      <c r="FB195" s="125">
        <f>+FB187/FB164*100</f>
        <v>11.423012784880489</v>
      </c>
      <c r="FC195" s="233"/>
      <c r="FD195" s="137">
        <f>+FD187/FD164*100</f>
        <v>11.469639190378409</v>
      </c>
      <c r="FE195" s="233">
        <f>IF(ISERROR((FD195/FB195-1)*100),"NA",IF(((FD195/FB195-1)*100)&gt;100,"NM",IF(((FD195/FB195-1)*100)&lt;-50,"NM",(FD195/FB195-1)*100)))</f>
        <v>0.40817957903045432</v>
      </c>
      <c r="FF195" s="125">
        <f>+FF187/FF164*100</f>
        <v>8.7226573048879299</v>
      </c>
      <c r="FG195" s="233">
        <f>IF(ISERROR((FF195/FD195-1)*100),"NA",IF(((FF195/FD195-1)*100)&gt;100,"NM",IF(((FF195/FD195-1)*100)&lt;-50,"NM",(FF195/FD195-1)*100)))</f>
        <v>-23.950028766335151</v>
      </c>
      <c r="FH195" s="125">
        <f>+FH187/FH164*100</f>
        <v>16.15990990990991</v>
      </c>
      <c r="FI195" s="233">
        <f>IF(ISERROR((FH195/FF195-1)*100),"NA",IF(((FH195/FF195-1)*100)&gt;100,"NM",IF(((FH195/FF195-1)*100)&lt;-50,"NM",(FH195/FF195-1)*100)))</f>
        <v>85.26361113435415</v>
      </c>
      <c r="FJ195" s="125">
        <f>+FJ187/FJ164*100</f>
        <v>18.303220738413199</v>
      </c>
      <c r="FK195" s="233">
        <f>IF(ISERROR((FJ195/FH195-1)*100),"NA",IF(((FJ195/FH195-1)*100)&gt;100,"NM",IF(((FJ195/FH195-1)*100)&lt;-50,"NM",(FJ195/FH195-1)*100)))</f>
        <v>13.263135997985497</v>
      </c>
      <c r="FL195" s="125">
        <f>+FL187/FL164*100</f>
        <v>16.529952771563512</v>
      </c>
      <c r="FM195" s="233">
        <f>IF(ISERROR((FL195/FJ195-1)*100),"NA",IF(((FL195/FJ195-1)*100)&gt;100,"NM",IF(((FL195/FJ195-1)*100)&lt;-50,"NM",(FL195/FJ195-1)*100)))</f>
        <v>-9.688283784547858</v>
      </c>
      <c r="FN195" s="125">
        <f>+FN187/FN164*100</f>
        <v>20.103873620428477</v>
      </c>
      <c r="FO195" s="233">
        <f>IF(ISERROR((FN195/FL195-1)*100),"NA",IF(((FN195/FL195-1)*100)&gt;100,"NM",IF(((FN195/FL195-1)*100)&lt;-50,"NM",(FN195/FL195-1)*100)))</f>
        <v>21.620877556366548</v>
      </c>
      <c r="FP195" s="125">
        <f>+FP187/FP164*100</f>
        <v>19.285027252324465</v>
      </c>
      <c r="FQ195" s="233">
        <f>IF(ISERROR((FP195/FN195-1)*100),"NA",IF(((FP195/FN195-1)*100)&gt;100,"NM",IF(((FP195/FN195-1)*100)&lt;-50,"NM",(FP195/FN195-1)*100)))</f>
        <v>-4.0730775748209265</v>
      </c>
      <c r="FR195" s="130">
        <f>+FR187/FR164*100</f>
        <v>19.786535303776684</v>
      </c>
      <c r="FS195" s="120">
        <f>IF(ISERROR((FR195/FP195-1)*100),"NA",IF(((FR195/FP195-1)*100)&gt;100,"NM",IF(((FR195/FP195-1)*100)&lt;-50,"NM",(FR195/FP195-1)*100)))</f>
        <v>2.600504758901856</v>
      </c>
      <c r="FT195" s="130">
        <f>+FT187/FT164*100</f>
        <v>22.397110050316087</v>
      </c>
      <c r="FU195" s="120">
        <f>IF(ISERROR((FT195/FR195-1)*100),"NA",IF(((FT195/FR195-1)*100)&gt;100,"NM",IF(((FT195/FR195-1)*100)&lt;-50,"NM",(FT195/FR195-1)*100)))</f>
        <v>13.193693117365113</v>
      </c>
      <c r="FV195" s="130">
        <f>+FV187/FV164*100</f>
        <v>15.082576834736958</v>
      </c>
      <c r="FW195" s="98">
        <f>IF(ISERROR((FV195/FT195-1)*100),"NA",IF(((FV195/FT195-1)*100)&gt;100,"NM",IF(((FV195/FT195-1)*100)&lt;-50,"NM",(FV195/FT195-1)*100)))</f>
        <v>-32.658379581770639</v>
      </c>
      <c r="FX195" s="487">
        <f>+FX187/FX164*100</f>
        <v>10.799050632911394</v>
      </c>
      <c r="FY195" s="98">
        <f>IF(ISERROR((FX195/FV195-1)*100),"NA",IF(((FX195/FV195-1)*100)&gt;100,"NM",IF(((FX195/FV195-1)*100)&lt;-50,"NM",(FX195/FV195-1)*100)))</f>
        <v>-28.400493156846363</v>
      </c>
      <c r="FZ195" s="130">
        <f>+FZ187/FZ164*100</f>
        <v>19.215100488864749</v>
      </c>
      <c r="GA195" s="98">
        <f>IF(ISERROR((FZ195/FX195-1)*100),"NA",IF(((FZ195/FX195-1)*100)&gt;100,"NM",IF(((FZ195/FX195-1)*100)&lt;-50,"NM",(FZ195/FX195-1)*100)))</f>
        <v>77.933238226557066</v>
      </c>
      <c r="GB195" s="487">
        <f>+GB187/GB164*100</f>
        <v>19.366157328805887</v>
      </c>
      <c r="GC195" s="98">
        <f>IF(ISERROR((GB195/FZ195-1)*100),"NA",IF(((GB195/FZ195-1)*100)&gt;100,"NM",IF(((GB195/FZ195-1)*100)&lt;-50,"NM",(GB195/FZ195-1)*100)))</f>
        <v>0.78613609139683849</v>
      </c>
      <c r="GD195" s="130">
        <f>+GD187/GD164*100</f>
        <v>19.980899830220714</v>
      </c>
      <c r="GE195" s="98">
        <f>IF(ISERROR((GD195/GB195-1)*100),"NA",IF(((GD195/GB195-1)*100)&gt;100,"NM",IF(((GD195/GB195-1)*100)&lt;-50,"NM",(GD195/GB195-1)*100)))</f>
        <v>3.1743132670952745</v>
      </c>
      <c r="GF195" s="130">
        <f>+GF187/GF164*100</f>
        <v>22.338157747110962</v>
      </c>
      <c r="GG195" s="98">
        <f>IF(ISERROR((GF195/GD195-1)*100),"NA",IF(((GF195/GD195-1)*100)&gt;100,"NM",IF(((GF195/GD195-1)*100)&lt;-50,"NM",(GF195/GD195-1)*100)))</f>
        <v>11.797556350915395</v>
      </c>
      <c r="GH195" s="130">
        <f>+GH187/GH164*100</f>
        <v>24.866131191432398</v>
      </c>
      <c r="GI195" s="98">
        <f>IF(ISERROR((GH195/GF195-1)*100),"NA",IF(((GH195/GF195-1)*100)&gt;100,"NM",IF(((GH195/GF195-1)*100)&lt;-50,"NM",(GH195/GF195-1)*100)))</f>
        <v>11.316839432062764</v>
      </c>
      <c r="GJ195" s="130">
        <f>+GJ187/GJ164*100</f>
        <v>20.929955999524317</v>
      </c>
      <c r="GK195" s="98">
        <f>IF(ISERROR((GJ195/GH195-1)*100),"NA",IF(((GJ195/GH195-1)*100)&gt;100,"NM",IF(((GJ195/GH195-1)*100)&lt;-50,"NM",(GJ195/GH195-1)*100)))</f>
        <v>-15.829463625062379</v>
      </c>
      <c r="GL195" s="130">
        <f>+GL187/GL164*100</f>
        <v>20.102295705959321</v>
      </c>
      <c r="GM195" s="98">
        <f>IF(ISERROR((GL195/GJ195-1)*100),"NA",IF(((GL195/GJ195-1)*100)&gt;100,"NM",IF(((GL195/GJ195-1)*100)&lt;-50,"NM",(GL195/GJ195-1)*100)))</f>
        <v>-3.9544292094250255</v>
      </c>
      <c r="GN195" s="130">
        <f>+GN187/GN164*100</f>
        <v>14.246920764232375</v>
      </c>
      <c r="GO195" s="98">
        <f>IF(ISERROR((GN195/GL195-1)*100),"NA",IF(((GN195/GL195-1)*100)&gt;100,"NM",IF(((GN195/GL195-1)*100)&lt;-50,"NM",(GN195/GL195-1)*100)))</f>
        <v>-29.127891795916238</v>
      </c>
      <c r="GP195" s="130">
        <f>+GP187/GP164*100</f>
        <v>13.419329947194525</v>
      </c>
      <c r="GQ195" s="98">
        <f>IF(ISERROR((GP195/GN195-1)*100),"NA",IF(((GP195/GN195-1)*100)&gt;100,"NM",IF(((GP195/GN195-1)*100)&lt;-50,"NM",(GP195/GN195-1)*100)))</f>
        <v>-5.808910084736052</v>
      </c>
      <c r="GR195" s="125">
        <f>+GR187/GR164*100</f>
        <v>13.46551928378325</v>
      </c>
      <c r="GS195" s="98">
        <f>IF(ISERROR((GR195/GP195-1)*100),"NA",IF(((GR195/GP195-1)*100)&gt;100,"NM",IF(((GR195/GP195-1)*100)&lt;-50,"NM",(GR195/GP195-1)*100)))</f>
        <v>0.3442000216887342</v>
      </c>
      <c r="GT195" s="125">
        <f>+GT187/GT164*100</f>
        <v>13.514291003258498</v>
      </c>
      <c r="GU195" s="98">
        <f>IF(ISERROR((GT195/GR195-1)*100),"NA",IF(((GT195/GR195-1)*100)&gt;100,"NM",IF(((GT195/GR195-1)*100)&lt;-50,"NM",(GT195/GR195-1)*100)))</f>
        <v>0.36219709353493279</v>
      </c>
      <c r="GV195" s="125">
        <f>+GV187/GV164*100</f>
        <v>13.442956328534656</v>
      </c>
      <c r="GW195" s="98">
        <f>IF(ISERROR((GV195/GT195-1)*100),"NA",IF(((GV195/GT195-1)*100)&gt;100,"NM",IF(((GV195/GT195-1)*100)&lt;-50,"NM",(GV195/GT195-1)*100)))</f>
        <v>-0.52784622372451517</v>
      </c>
      <c r="GX195" s="125">
        <f>+GX187/GX164*100</f>
        <v>13.380680470228738</v>
      </c>
      <c r="GY195" s="98">
        <f>IF(ISERROR((GX195/GV195-1)*100),"NA",IF(((GX195/GV195-1)*100)&gt;100,"NM",IF(((GX195/GV195-1)*100)&lt;-50,"NM",(GX195/GV195-1)*100)))</f>
        <v>-0.46326013998668758</v>
      </c>
      <c r="GZ195" s="98">
        <f>IF(ISERROR(((GX195/GN195)^0.2-1)*100),"NA",IF((((GX195/GN195)^0.2-1)*100)&gt;100,"NM",IF((((GX195/GN195)^0.2-1)*100)&lt;-50,"NM",((GX195/GN195)^0.2-1)*100)))</f>
        <v>-1.2467407012018206</v>
      </c>
      <c r="HA195" s="98"/>
      <c r="HB195" s="10"/>
      <c r="HC195"/>
      <c r="HD195"/>
      <c r="HE195"/>
      <c r="HF195"/>
      <c r="HG195"/>
      <c r="HH195"/>
      <c r="HI195" s="10"/>
    </row>
    <row r="196" spans="2:217" s="2" customFormat="1" ht="12.75" customHeight="1" x14ac:dyDescent="0.2">
      <c r="B196" s="91" t="s">
        <v>105</v>
      </c>
      <c r="C196" s="276">
        <f>+C190/C164*100</f>
        <v>5.2754982415005864</v>
      </c>
      <c r="D196" s="156"/>
      <c r="E196" s="276">
        <f>+E190/E164*100</f>
        <v>4.9893842887473463</v>
      </c>
      <c r="F196" s="156"/>
      <c r="G196" s="276">
        <f>+G190/G164*100</f>
        <v>6.2298603651987108</v>
      </c>
      <c r="H196" s="156"/>
      <c r="I196" s="276">
        <f>+I190/I164*100</f>
        <v>7.2671443193449328</v>
      </c>
      <c r="J196" s="156"/>
      <c r="K196" s="276">
        <f>+K190/K164*100</f>
        <v>10.206297502714442</v>
      </c>
      <c r="L196" s="156">
        <f>IF(ISERROR((K196/C196-1)*100),"NA",IF(((K196/C196-1)*100)&gt;100,"NM",IF(((K196/C196-1)*100)&lt;-50,"NM",(K196/C196-1)*100)))</f>
        <v>93.466039329231521</v>
      </c>
      <c r="M196" s="276">
        <f>+M190/M164*100</f>
        <v>10.824108241082412</v>
      </c>
      <c r="N196" s="156" t="str">
        <f>IF(ISERROR((M196/E196-1)*100),"NA",IF(((M196/E196-1)*100)&gt;100,"NM",IF(((M196/E196-1)*100)&lt;-50,"NM",(M196/E196-1)*100)))</f>
        <v>NM</v>
      </c>
      <c r="O196" s="276">
        <f>+O190/O164*100</f>
        <v>9.6026490066225172</v>
      </c>
      <c r="P196" s="156">
        <f>IF(ISERROR((O196/G196-1)*100),"NA",IF(((O196/G196-1)*100)&gt;100,"NM",IF(((O196/G196-1)*100)&lt;-50,"NM",(O196/G196-1)*100)))</f>
        <v>54.139072847682137</v>
      </c>
      <c r="Q196" s="276">
        <f>+Q190/Q164*100</f>
        <v>11.93548387096774</v>
      </c>
      <c r="R196" s="156">
        <f>IF(ISERROR((Q196/I196-1)*100),"NA",IF(((Q196/I196-1)*100)&gt;100,"NM",IF(((Q196/I196-1)*100)&lt;-50,"NM",(Q196/I196-1)*100)))</f>
        <v>64.238982280781471</v>
      </c>
      <c r="S196" s="276">
        <f>+S190/S164*100</f>
        <v>13.851761846901582</v>
      </c>
      <c r="T196" s="156">
        <f>IF(ISERROR((S196/K196-1)*100),"NA",IF(((S196/K196-1)*100)&gt;100,"NM",IF(((S196/K196-1)*100)&lt;-50,"NM",(S196/K196-1)*100)))</f>
        <v>35.717794265918677</v>
      </c>
      <c r="U196" s="276">
        <f>+U190/U164*100</f>
        <v>12.021371326803205</v>
      </c>
      <c r="V196" s="156">
        <f>IF(ISERROR((U196/M196-1)*100),"NA",IF(((U196/M196-1)*100)&gt;100,"NM",IF(((U196/M196-1)*100)&lt;-50,"NM",(U196/M196-1)*100)))</f>
        <v>11.061078280579606</v>
      </c>
      <c r="W196" s="276">
        <f>+W190/W164*100</f>
        <v>11.495535714285714</v>
      </c>
      <c r="X196" s="156">
        <f>IF(ISERROR((W196/O196-1)*100),"NA",IF(((W196/O196-1)*100)&gt;100,"NM",IF(((W196/O196-1)*100)&lt;-50,"NM",(W196/O196-1)*100)))</f>
        <v>19.712130541871907</v>
      </c>
      <c r="Y196" s="276">
        <f>+Y190/Y164*100</f>
        <v>10.235414534288639</v>
      </c>
      <c r="Z196" s="156">
        <f>IF(ISERROR((Y196/Q196-1)*100),"NA",IF(((Y196/Q196-1)*100)&gt;100,"NM",IF(((Y196/Q196-1)*100)&lt;-50,"NM",(Y196/Q196-1)*100)))</f>
        <v>-14.243824172176256</v>
      </c>
      <c r="AA196" s="276">
        <f>+AA190/AA164*100</f>
        <v>9.5238095238095237</v>
      </c>
      <c r="AB196" s="156">
        <f>IF(ISERROR((AA196/S196-1)*100),"NA",IF(((AA196/S196-1)*100)&gt;100,"NM",IF(((AA196/S196-1)*100)&lt;-50,"NM",(AA196/S196-1)*100)))</f>
        <v>-31.244778613199674</v>
      </c>
      <c r="AC196" s="276">
        <f>+AC190/AC164*100</f>
        <v>11.142061281337048</v>
      </c>
      <c r="AD196" s="156">
        <f>IF(ISERROR((AC196/U196-1)*100),"NA",IF(((AC196/U196-1)*100)&gt;100,"NM",IF(((AC196/U196-1)*100)&lt;-50,"NM",(AC196/U196-1)*100)))</f>
        <v>-7.314556896729596</v>
      </c>
      <c r="AE196" s="276">
        <f>+AE190/AE164*100</f>
        <v>10.505050505050505</v>
      </c>
      <c r="AF196" s="156">
        <f>IF(ISERROR((AE196/W196-1)*100),"NA",IF(((AE196/W196-1)*100)&gt;100,"NM",IF(((AE196/W196-1)*100)&lt;-50,"NM",(AE196/W196-1)*100)))</f>
        <v>-8.6162596842208394</v>
      </c>
      <c r="AG196" s="276">
        <f>+AG190/AG164*100</f>
        <v>11.415525114155251</v>
      </c>
      <c r="AH196" s="156">
        <f>IF(ISERROR((AG196/Y196-1)*100),"NA",IF(((AG196/Y196-1)*100)&gt;100,"NM",IF(((AG196/Y196-1)*100)&lt;-50,"NM",(AG196/Y196-1)*100)))</f>
        <v>11.529680365296802</v>
      </c>
      <c r="AI196" s="276">
        <f>+AI190/AI164*100</f>
        <v>16.840113528855248</v>
      </c>
      <c r="AJ196" s="156">
        <f>IF(ISERROR((AI196/AA196-1)*100),"NA",IF(((AI196/AA196-1)*100)&gt;100,"NM",IF(((AI196/AA196-1)*100)&lt;-50,"NM",(AI196/AA196-1)*100)))</f>
        <v>76.821192052980109</v>
      </c>
      <c r="AK196" s="276">
        <f>+AK190/AK164*100</f>
        <v>13.18359375</v>
      </c>
      <c r="AL196" s="156">
        <f>IF(ISERROR((AK196/AC196-1)*100),"NA",IF(((AK196/AC196-1)*100)&gt;100,"NM",IF(((AK196/AC196-1)*100)&lt;-50,"NM",(AK196/AC196-1)*100)))</f>
        <v>18.32275390625</v>
      </c>
      <c r="AM196" s="276">
        <f>+AM190/AM164*100</f>
        <v>11.061618411284336</v>
      </c>
      <c r="AN196" s="156">
        <f>IF(ISERROR((AM196/AE196-1)*100),"NA",IF(((AM196/AE196-1)*100)&gt;100,"NM",IF(((AM196/AE196-1)*100)&lt;-50,"NM",(AM196/AE196-1)*100)))</f>
        <v>5.298098338187418</v>
      </c>
      <c r="AO196" s="276">
        <f>+AO190/AO164*100</f>
        <v>13.160100586756077</v>
      </c>
      <c r="AP196" s="156">
        <f>IF(ISERROR((AO196/AG196-1)*100),"NA",IF(((AO196/AG196-1)*100)&gt;100,"NM",IF(((AO196/AG196-1)*100)&lt;-50,"NM",(AO196/AG196-1)*100)))</f>
        <v>15.282481139983229</v>
      </c>
      <c r="AQ196" s="276">
        <f>+AQ190/AQ164*100</f>
        <v>11.727078891257996</v>
      </c>
      <c r="AR196" s="156">
        <f>IF(ISERROR((AQ196/AI196-1)*100),"NA",IF(((AQ196/AI196-1)*100)&gt;100,"NM",IF(((AQ196/AI196-1)*100)&lt;-50,"NM",(AQ196/AI196-1)*100)))</f>
        <v>-30.362233774945491</v>
      </c>
      <c r="AS196" s="276">
        <f>+AS190/AS164*100</f>
        <v>15.211062590975255</v>
      </c>
      <c r="AT196" s="156">
        <f>IF(ISERROR((AS196/AK196-1)*100),"NA",IF(((AS196/AK196-1)*100)&gt;100,"NM",IF(((AS196/AK196-1)*100)&lt;-50,"NM",(AS196/AK196-1)*100)))</f>
        <v>15.378726615990068</v>
      </c>
      <c r="AU196" s="276">
        <f>+AU190/AU164*100</f>
        <v>11.48936170212766</v>
      </c>
      <c r="AV196" s="156">
        <f>IF(ISERROR((AU196/AM196-1)*100),"NA",IF(((AU196/AM196-1)*100)&gt;100,"NM",IF(((AU196/AM196-1)*100)&lt;-50,"NM",(AU196/AM196-1)*100)))</f>
        <v>3.866914179637293</v>
      </c>
      <c r="AW196" s="276">
        <f>+AW190/AW164*100</f>
        <v>13.316423589093215</v>
      </c>
      <c r="AX196" s="156">
        <f>IF(ISERROR((AW196/AO196-1)*100),"NA",IF(((AW196/AO196-1)*100)&gt;100,"NM",IF(((AW196/AO196-1)*100)&lt;-50,"NM",(AW196/AO196-1)*100)))</f>
        <v>1.1878556801796503</v>
      </c>
      <c r="AY196" s="166">
        <f>+AY190/AY164*100</f>
        <v>15.112912565141864</v>
      </c>
      <c r="AZ196" s="156">
        <f>IF(ISERROR((AY196/AQ196-1)*100),"NA",IF(((AY196/AQ196-1)*100)&gt;100,"NM",IF(((AY196/AQ196-1)*100)&lt;-50,"NM",(AY196/AQ196-1)*100)))</f>
        <v>28.871927146391528</v>
      </c>
      <c r="BA196" s="166">
        <f>+BA190/BA164*100</f>
        <v>13.131313131313133</v>
      </c>
      <c r="BB196" s="156">
        <f>IF(ISERROR((BA196/AS196-1)*100),"NA",IF(((BA196/AS196-1)*100)&gt;100,"NM",IF(((BA196/AS196-1)*100)&lt;-50,"NM",(BA196/AS196-1)*100)))</f>
        <v>-13.672611280266766</v>
      </c>
      <c r="BC196" s="166">
        <f>+BC190/BC164*100</f>
        <v>10.640550555849657</v>
      </c>
      <c r="BD196" s="156">
        <f>IF(ISERROR((BC196/AU196-1)*100),"NA",IF(((BC196/AU196-1)*100)&gt;100,"NM",IF(((BC196/AU196-1)*100)&lt;-50,"NM",(BC196/AU196-1)*100)))</f>
        <v>-7.3878007176048417</v>
      </c>
      <c r="BE196" s="166">
        <f>+BE190/BE164*100</f>
        <v>13.539074166251867</v>
      </c>
      <c r="BF196" s="156">
        <f>IF(ISERROR((BE196/AW196-1)*100),"NA",IF(((BE196/AW196-1)*100)&gt;100,"NM",IF(((BE196/AW196-1)*100)&lt;-50,"NM",(BE196/AW196-1)*100)))</f>
        <v>1.6719998103771117</v>
      </c>
      <c r="BG196" s="166">
        <f>+BG190/BG164*100</f>
        <v>14.370610480821178</v>
      </c>
      <c r="BH196" s="156">
        <f>IF(ISERROR((BG196/AY196-1)*100),"NA",IF(((BG196/AY196-1)*100)&gt;100,"NM",IF(((BG196/AY196-1)*100)&lt;-50,"NM",(BG196/AY196-1)*100)))</f>
        <v>-4.9117076613863002</v>
      </c>
      <c r="BI196" s="166">
        <f>+BI190/BI164*100</f>
        <v>15.428276573787409</v>
      </c>
      <c r="BJ196" s="156">
        <f>IF(ISERROR((BI196/BA196-1)*100),"NA",IF(((BI196/BA196-1)*100)&gt;100,"NM",IF(((BI196/BA196-1)*100)&lt;-50,"NM",(BI196/BA196-1)*100)))</f>
        <v>17.492260061919485</v>
      </c>
      <c r="BK196" s="166">
        <f>+BK190/BK164*100</f>
        <v>12.371134020618557</v>
      </c>
      <c r="BL196" s="156">
        <f>IF(ISERROR((BK196/BC196-1)*100),"NA",IF(((BK196/BC196-1)*100)&gt;100,"NM",IF(((BK196/BC196-1)*100)&lt;-50,"NM",(BK196/BC196-1)*100)))</f>
        <v>16.264040621634091</v>
      </c>
      <c r="BM196" s="166">
        <f>+BM190/BM164*100</f>
        <v>16.61721068249258</v>
      </c>
      <c r="BN196" s="98">
        <f>IF(ISERROR((BM196/BE196-1)*100),"NA",IF(((BM196/BE196-1)*100)&gt;100,"NM",IF(((BM196/BE196-1)*100)&lt;-50,"NM",(BM196/BE196-1)*100)))</f>
        <v>22.735206842380862</v>
      </c>
      <c r="BO196" s="137">
        <f>+BO190/BO164*100</f>
        <v>15.213270142180093</v>
      </c>
      <c r="BP196" s="98">
        <f>IF(ISERROR((BO196/BG196-1)*100),"NA",IF(((BO196/BG196-1)*100)&gt;100,"NM",IF(((BO196/BG196-1)*100)&lt;-50,"NM",(BO196/BG196-1)*100)))</f>
        <v>5.8637708014110945</v>
      </c>
      <c r="BQ196" s="137">
        <f>+BQ190/BQ164*100</f>
        <v>11.18488253319714</v>
      </c>
      <c r="BR196" s="98">
        <f>IF(ISERROR((BQ196/BI196-1)*100),"NA",IF(((BQ196/BI196-1)*100)&gt;100,"NM",IF(((BQ196/BI196-1)*100)&lt;-50,"NM",(BQ196/BI196-1)*100)))</f>
        <v>-27.504005520615195</v>
      </c>
      <c r="BS196" s="137">
        <f>+BS190/BS164*100</f>
        <v>7.9332790886899911</v>
      </c>
      <c r="BT196" s="98">
        <f>IF(ISERROR((BS196/BK196-1)*100),"NA",IF(((BS196/BK196-1)*100)&gt;100,"NM",IF(((BS196/BK196-1)*100)&lt;-50,"NM",(BS196/BK196-1)*100)))</f>
        <v>-35.872660699755912</v>
      </c>
      <c r="BU196" s="137">
        <f>+BU190/BU164*100</f>
        <v>5.2309142318567394</v>
      </c>
      <c r="BV196" s="98" t="str">
        <f>IF(ISERROR((BU196/BM196-1)*100),"NA",IF(((BU196/BM196-1)*100)&gt;100,"NM",IF(((BU196/BM196-1)*100)&lt;-50,"NM",(BU196/BM196-1)*100)))</f>
        <v>NM</v>
      </c>
      <c r="BW196" s="137">
        <f>+BW190/BW164*100</f>
        <v>4.2098445595854921</v>
      </c>
      <c r="BX196" s="98" t="str">
        <f>IF(ISERROR((BW196/BO196-1)*100),"NA",IF(((BW196/BO196-1)*100)&gt;100,"NM",IF(((BW196/BO196-1)*100)&lt;-50,"NM",(BW196/BO196-1)*100)))</f>
        <v>NM</v>
      </c>
      <c r="BY196" s="137">
        <f>+BY190/BY164*100</f>
        <v>7.7345309381237533</v>
      </c>
      <c r="BZ196" s="98">
        <f>IF(ISERROR((BY196/BQ196-1)*100),"NA",IF(((BY196/BQ196-1)*100)&gt;100,"NM",IF(((BY196/BQ196-1)*100)&lt;-50,"NM",(BY196/BQ196-1)*100)))</f>
        <v>-30.8483489641721</v>
      </c>
      <c r="CA196" s="137">
        <f>+CA190/CA164*100</f>
        <v>7.3030777256129369</v>
      </c>
      <c r="CB196" s="98">
        <f>IF(ISERROR((CA196/BS196-1)*100),"NA",IF(((CA196/BS196-1)*100)&gt;100,"NM",IF(((CA196/BS196-1)*100)&lt;-50,"NM",(CA196/BS196-1)*100)))</f>
        <v>-7.9437689766328141</v>
      </c>
      <c r="CC196" s="137">
        <f>+CC190/CC164*100</f>
        <v>8.8249174138744699</v>
      </c>
      <c r="CD196" s="98">
        <f>IF(ISERROR((CC196/BU196-1)*100),"NA",IF(((CC196/BU196-1)*100)&gt;100,"NM",IF(((CC196/BU196-1)*100)&lt;-50,"NM",(CC196/BU196-1)*100)))</f>
        <v>68.706979749924542</v>
      </c>
      <c r="CE196" s="137">
        <f>+CE190/CE164*100</f>
        <v>11.111111111111111</v>
      </c>
      <c r="CF196" s="98" t="str">
        <f>IF(ISERROR((CE196/BW196-1)*100),"NA",IF(((CE196/BW196-1)*100)&gt;100,"NM",IF(((CE196/BW196-1)*100)&lt;-50,"NM",(CE196/BW196-1)*100)))</f>
        <v>NM</v>
      </c>
      <c r="CG196" s="137">
        <f>+CG190/CG164*100</f>
        <v>12.890839275918815</v>
      </c>
      <c r="CH196" s="98">
        <f>IF(ISERROR((CG196/BY196-1)*100),"NA",IF(((CG196/BY196-1)*100)&gt;100,"NM",IF(((CG196/BY196-1)*100)&lt;-50,"NM",(CG196/BY196-1)*100)))</f>
        <v>66.666076831879366</v>
      </c>
      <c r="CI196" s="137">
        <f>+CI190/CI164*100</f>
        <v>10.489913544668587</v>
      </c>
      <c r="CJ196" s="98">
        <f>IF(ISERROR((CI196/CA196-1)*100),"NA",IF(((CI196/CA196-1)*100)&gt;100,"NM",IF(((CI196/CA196-1)*100)&lt;-50,"NM",(CI196/CA196-1)*100)))</f>
        <v>43.636887608069166</v>
      </c>
      <c r="CK196" s="137">
        <f>+CK190/CK164*100</f>
        <v>15.498357064622127</v>
      </c>
      <c r="CL196" s="98">
        <f>IF(ISERROR((CK196/CC196-1)*100),"NA",IF(((CK196/CC196-1)*100)&gt;100,"NM",IF(((CK196/CC196-1)*100)&lt;-50,"NM",(CK196/CC196-1)*100)))</f>
        <v>75.620420427456068</v>
      </c>
      <c r="CM196" s="137">
        <f>+CM190/CM164*100</f>
        <v>15.028601144045762</v>
      </c>
      <c r="CN196" s="98">
        <f>IF(ISERROR((CM196/CE196-1)*100),"NA",IF(((CM196/CE196-1)*100)&gt;100,"NM",IF(((CM196/CE196-1)*100)&lt;-50,"NM",(CM196/CE196-1)*100)))</f>
        <v>35.257410296411877</v>
      </c>
      <c r="CO196" s="137">
        <f>+CO190/CO164*100</f>
        <v>13.536026655560182</v>
      </c>
      <c r="CP196" s="98">
        <f>IF(ISERROR((CO196/CG196-1)*100),"NA",IF(((CO196/CG196-1)*100)&gt;100,"NM",IF(((CO196/CG196-1)*100)&lt;-50,"NM",(CO196/CG196-1)*100)))</f>
        <v>5.0050067790902597</v>
      </c>
      <c r="CQ196" s="494">
        <f>+CQ190/CQ164*100</f>
        <v>11.623931623931623</v>
      </c>
      <c r="CR196" s="98">
        <f>IF(ISERROR((CQ196/CI196-1)*100),"NA",IF(((CQ196/CI196-1)*100)&gt;100,"NM",IF(((CQ196/CI196-1)*100)&lt;-50,"NM",(CQ196/CI196-1)*100)))</f>
        <v>10.810556964403117</v>
      </c>
      <c r="CS196" s="137">
        <f>+CS190/CS164*100</f>
        <v>10.40994933210502</v>
      </c>
      <c r="CT196" s="98">
        <f>IF(ISERROR((CS196/CK196-1)*100),"NA",IF(((CS196/CK196-1)*100)&gt;100,"NM",IF(((CS196/CK196-1)*100)&lt;-50,"NM",(CS196/CK196-1)*100)))</f>
        <v>-32.831917030304723</v>
      </c>
      <c r="CU196" s="137">
        <f>+CU190/CU164*100</f>
        <v>14.730598121601583</v>
      </c>
      <c r="CV196" s="98">
        <f>IF(ISERROR((CU196/CM196-1)*100),"NA",IF(((CU196/CM196-1)*100)&gt;100,"NM",IF(((CU196/CM196-1)*100)&lt;-50,"NM",(CU196/CM196-1)*100)))</f>
        <v>-1.9829059244296121</v>
      </c>
      <c r="CW196" s="137">
        <f>+CW190/CW164*100</f>
        <v>15.317919075144509</v>
      </c>
      <c r="CX196" s="98">
        <f>IF(ISERROR((CW196/CO196-1)*100),"NA",IF(((CW196/CO196-1)*100)&gt;100,"NM",IF(((CW196/CO196-1)*100)&lt;-50,"NM",(CW196/CO196-1)*100)))</f>
        <v>13.164072921298375</v>
      </c>
      <c r="CY196" s="137">
        <f>+CY190/CY164*100</f>
        <v>15.241448692152918</v>
      </c>
      <c r="CZ196" s="98">
        <f>IF(ISERROR((CY196/CQ196-1)*100),"NA",IF(((CY196/CQ196-1)*100)&gt;100,"NM",IF(((CY196/CQ196-1)*100)&lt;-50,"NM",(CY196/CQ196-1)*100)))</f>
        <v>31.121286542786141</v>
      </c>
      <c r="DA196" s="137">
        <f>+DA190/DA164*100</f>
        <v>9.139946059334731</v>
      </c>
      <c r="DB196" s="98">
        <f>IF(ISERROR((DA196/CS196-1)*100),"NA",IF(((DA196/CS196-1)*100)&gt;100,"NM",IF(((DA196/CS196-1)*100)&lt;-50,"NM",(DA196/CS196-1)*100)))</f>
        <v>-12.199898695505739</v>
      </c>
      <c r="DC196" s="137">
        <f>+DC190/DC164*100</f>
        <v>15.100154083204931</v>
      </c>
      <c r="DD196" s="98">
        <f>IF(ISERROR((DC196/CU196-1)*100),"NA",IF(((DC196/CU196-1)*100)&gt;100,"NM",IF(((DC196/CU196-1)*100)&lt;-50,"NM",(DC196/CU196-1)*100)))</f>
        <v>2.5087641286025919</v>
      </c>
      <c r="DE196" s="137">
        <f>+DE190/DE164*100</f>
        <v>16.985763377515955</v>
      </c>
      <c r="DF196" s="98">
        <f>IF(ISERROR((DE196/CW196-1)*100),"NA",IF(((DE196/CW196-1)*100)&gt;100,"NM",IF(((DE196/CW196-1)*100)&lt;-50,"NM",(DE196/CW196-1)*100)))</f>
        <v>10.88819110604755</v>
      </c>
      <c r="DG196" s="137">
        <f>+DG190/DG164*100</f>
        <v>15.235173824130879</v>
      </c>
      <c r="DH196" s="98">
        <f>IF(ISERROR((DG196/CY196-1)*100),"NA",IF(((DG196/CY196-1)*100)&gt;100,"NM",IF(((DG196/CY196-1)*100)&lt;-50,"NM",(DG196/CY196-1)*100)))</f>
        <v>-4.1169761147907824E-2</v>
      </c>
      <c r="DI196" s="137">
        <f>+DI190/DI164*100</f>
        <v>12.008072653884964</v>
      </c>
      <c r="DJ196" s="98">
        <f>IF(ISERROR((DI196/DA196-1)*100),"NA",IF(((DI196/DA196-1)*100)&gt;100,"NM",IF(((DI196/DA196-1)*100)&lt;-50,"NM",(DI196/DA196-1)*100)))</f>
        <v>31.380126052505332</v>
      </c>
      <c r="DK196" s="137">
        <f>+DK190/DK164*100</f>
        <v>18.805309734513273</v>
      </c>
      <c r="DL196" s="98">
        <f>IF(ISERROR((DK196/DC196-1)*100),"NA",IF(((DK196/DC196-1)*100)&gt;100,"NM",IF(((DK196/DC196-1)*100)&lt;-50,"NM",(DK196/DC196-1)*100)))</f>
        <v>24.537204262235846</v>
      </c>
      <c r="DM196" s="137">
        <f>+DM190/DM164*100</f>
        <v>16.285329744279949</v>
      </c>
      <c r="DN196" s="98">
        <f>IF(ISERROR((DM196/DE196-1)*100),"NA",IF(((DM196/DE196-1)*100)&gt;100,"NM",IF(((DM196/DE196-1)*100)&lt;-50,"NM",(DM196/DE196-1)*100)))</f>
        <v>-4.123651187577293</v>
      </c>
      <c r="DO196" s="137">
        <f>+DO190/DO164*100</f>
        <v>19.30596285434995</v>
      </c>
      <c r="DP196" s="98">
        <f>IF(ISERROR((DO196/DG196-1)*100),"NA",IF(((DO196/DG196-1)*100)&gt;100,"NM",IF(((DO196/DG196-1)*100)&lt;-50,"NM",(DO196/DG196-1)*100)))</f>
        <v>26.719675648015119</v>
      </c>
      <c r="DQ196" s="137">
        <f>+DQ190/DQ164*100</f>
        <v>12.495661228740021</v>
      </c>
      <c r="DR196" s="98">
        <f>IF(ISERROR((DQ196/DI196-1)*100),"NA",IF(((DQ196/DI196-1)*100)&gt;100,"NM",IF(((DQ196/DI196-1)*100)&lt;-50,"NM",(DQ196/DI196-1)*100)))</f>
        <v>4.060506535137498</v>
      </c>
      <c r="DS196" s="137">
        <f>+DS190/DS164*100</f>
        <v>17.593123209169054</v>
      </c>
      <c r="DT196" s="98">
        <f>IF(ISERROR((DS196/DK196-1)*100),"NA",IF(((DS196/DK196-1)*100)&gt;100,"NM",IF(((DS196/DK196-1)*100)&lt;-50,"NM",(DS196/DK196-1)*100)))</f>
        <v>-6.4459801112421999</v>
      </c>
      <c r="DU196" s="137">
        <f>+DU190/DU164*100</f>
        <v>19.117647058823529</v>
      </c>
      <c r="DV196" s="98">
        <f>IF(ISERROR((DU196/DM196-1)*100),"NA",IF(((DU196/DM196-1)*100)&gt;100,"NM",IF(((DU196/DM196-1)*100)&lt;-50,"NM",(DU196/DM196-1)*100)))</f>
        <v>17.391832766164296</v>
      </c>
      <c r="DW196" s="137">
        <f>+DW190/DW164*100</f>
        <v>9.335664335664335</v>
      </c>
      <c r="DX196" s="98" t="str">
        <f>IF(ISERROR((DW196/DO196-1)*100),"NA",IF(((DW196/DO196-1)*100)&gt;100,"NM",IF(((DW196/DO196-1)*100)&lt;-50,"NM",(DW196/DO196-1)*100)))</f>
        <v>NM</v>
      </c>
      <c r="DY196" s="137">
        <f>+DY190/DY164*100</f>
        <v>11.542239685658155</v>
      </c>
      <c r="DZ196" s="98">
        <f>IF(ISERROR((DY196/DQ196-1)*100),"NA",IF(((DY196/DQ196-1)*100)&gt;100,"NM",IF(((DY196/DQ196-1)*100)&lt;-50,"NM",(DY196/DQ196-1)*100)))</f>
        <v>-7.6300207378301561</v>
      </c>
      <c r="EA196" s="137">
        <f>+EA190/EA164*100</f>
        <v>14.720194647201945</v>
      </c>
      <c r="EB196" s="98">
        <f>IF(ISERROR((EA196/DS196-1)*100),"NA",IF(((EA196/DS196-1)*100)&gt;100,"NM",IF(((EA196/DS196-1)*100)&lt;-50,"NM",(EA196/DS196-1)*100)))</f>
        <v>-16.329838243102945</v>
      </c>
      <c r="EC196" s="137">
        <f>+EC190/EC164*100</f>
        <v>13.749338974087784</v>
      </c>
      <c r="ED196" s="98">
        <f>IF(ISERROR((EC196/DU196-1)*100),"NA",IF(((EC196/DU196-1)*100)&gt;100,"NM",IF(((EC196/DU196-1)*100)&lt;-50,"NM",(EC196/DU196-1)*100)))</f>
        <v>-28.080380750925439</v>
      </c>
      <c r="EE196" s="137">
        <f>+EE190/EE164*100</f>
        <v>11.449814126394052</v>
      </c>
      <c r="EF196" s="860">
        <f>IF(ISERROR((EE196/DW196-1)*100),"NA",IF(((EE196/DW196-1)*100)&gt;100,"NM",IF(((EE196/DW196-1)*100)&lt;-50,"NM",(EE196/DW196-1)*100)))</f>
        <v>22.64594906923967</v>
      </c>
      <c r="EG196" s="137">
        <f>+EG190/EG164*100</f>
        <v>13.473877176901924</v>
      </c>
      <c r="EH196" s="860">
        <f>IF(ISERROR((EG196/DY196-1)*100),"NA",IF(((EG196/DY196-1)*100)&gt;100,"NM",IF(((EG196/DY196-1)*100)&lt;-50,"NM",(EG196/DY196-1)*100)))</f>
        <v>16.735378434775818</v>
      </c>
      <c r="EI196" s="137">
        <f>+EI190/EI164*100</f>
        <v>15.532879818594104</v>
      </c>
      <c r="EJ196" s="860">
        <f t="shared" si="1209"/>
        <v>5.5208860403665794</v>
      </c>
      <c r="EK196" s="137">
        <f>+EK190/EK164*100</f>
        <v>10.513643659711075</v>
      </c>
      <c r="EL196" s="860">
        <f t="shared" si="1210"/>
        <v>-23.53346092110138</v>
      </c>
      <c r="EM196" s="137">
        <f>+EM190/EM164*100</f>
        <v>6.6131191432396248</v>
      </c>
      <c r="EN196" s="860">
        <f t="shared" si="1211"/>
        <v>-42.242563326900687</v>
      </c>
      <c r="EO196" s="137">
        <f>+EO190/EO164*100</f>
        <v>7.4568965517241379</v>
      </c>
      <c r="EP196" s="98">
        <f t="shared" si="1212"/>
        <v>-44.656638517475955</v>
      </c>
      <c r="EQ196" s="1033">
        <f>+EQ190/EQ164*100</f>
        <v>11.476948625468284</v>
      </c>
      <c r="ER196" s="98">
        <f t="shared" si="1213"/>
        <v>-26.111907389320976</v>
      </c>
      <c r="ES196" s="1033">
        <f t="shared" ref="ES196" si="1220">+ES190/ES164*100</f>
        <v>10.979716076750163</v>
      </c>
      <c r="ET196" s="98">
        <f t="shared" si="1215"/>
        <v>4.4330246689366692</v>
      </c>
      <c r="EU196" s="1033">
        <f t="shared" ref="EU196" si="1221">+EU190/EU164*100</f>
        <v>10.486842247695396</v>
      </c>
      <c r="EV196" s="98">
        <f t="shared" si="1217"/>
        <v>58.576339251588294</v>
      </c>
      <c r="EW196" s="1033">
        <f t="shared" ref="EW196" si="1222">+EW190/EW164*100</f>
        <v>9.9948988426597012</v>
      </c>
      <c r="EX196" s="98">
        <f t="shared" si="1219"/>
        <v>34.035637658789057</v>
      </c>
      <c r="EY196" s="137"/>
      <c r="EZ196" s="601"/>
      <c r="FA196" s="411"/>
      <c r="FB196" s="242" t="s">
        <v>494</v>
      </c>
      <c r="FC196" s="233"/>
      <c r="FD196" s="137">
        <f>+FD190/FD164*100</f>
        <v>7.3921971252566738</v>
      </c>
      <c r="FE196" s="233" t="str">
        <f>IF(ISERROR((FD196/FB196-1)*100),"NA",IF(((FD196/FB196-1)*100)&gt;100,"NM",IF(((FD196/FB196-1)*100)&lt;-50,"NM",(FD196/FB196-1)*100)))</f>
        <v>NA</v>
      </c>
      <c r="FF196" s="137">
        <f>+FF190/FF164*100</f>
        <v>5.9681339454496358</v>
      </c>
      <c r="FG196" s="233">
        <f>IF(ISERROR((FF196/FD196-1)*100),"NA",IF(((FF196/FD196-1)*100)&gt;100,"NM",IF(((FF196/FD196-1)*100)&lt;-50,"NM",(FF196/FD196-1)*100)))</f>
        <v>-19.264410237945206</v>
      </c>
      <c r="FH196" s="137">
        <f>+FH190/FH164*100</f>
        <v>10.637714327230457</v>
      </c>
      <c r="FI196" s="233">
        <f>IF(ISERROR((FH196/FF196-1)*100),"NA",IF(((FH196/FF196-1)*100)&gt;100,"NM",IF(((FH196/FF196-1)*100)&lt;-50,"NM",(FH196/FF196-1)*100)))</f>
        <v>78.24188304857185</v>
      </c>
      <c r="FJ196" s="137">
        <f>+FJ190/FJ164*100</f>
        <v>11.835559046870909</v>
      </c>
      <c r="FK196" s="233">
        <f>IF(ISERROR((FJ196/FH196-1)*100),"NA",IF(((FJ196/FH196-1)*100)&gt;100,"NM",IF(((FJ196/FH196-1)*100)&lt;-50,"NM",(FJ196/FH196-1)*100)))</f>
        <v>11.260358031745653</v>
      </c>
      <c r="FL196" s="137">
        <f>+FL190/FL164*100</f>
        <v>10.71339796172011</v>
      </c>
      <c r="FM196" s="233">
        <f>IF(ISERROR((FL196/FJ196-1)*100),"NA",IF(((FL196/FJ196-1)*100)&gt;100,"NM",IF(((FL196/FJ196-1)*100)&lt;-50,"NM",(FL196/FJ196-1)*100)))</f>
        <v>-9.4812681066170352</v>
      </c>
      <c r="FN196" s="137">
        <f>+FN190/FN164*100</f>
        <v>13.395368967755896</v>
      </c>
      <c r="FO196" s="233">
        <f>IF(ISERROR((FN196/FL196-1)*100),"NA",IF(((FN196/FL196-1)*100)&gt;100,"NM",IF(((FN196/FL196-1)*100)&lt;-50,"NM",(FN196/FL196-1)*100)))</f>
        <v>25.033803613183213</v>
      </c>
      <c r="FP196" s="137">
        <f>+FP190/FP164*100</f>
        <v>12.824623276691247</v>
      </c>
      <c r="FQ196" s="233">
        <f>IF(ISERROR((FP196/FN196-1)*100),"NA",IF(((FP196/FN196-1)*100)&gt;100,"NM",IF(((FP196/FN196-1)*100)&lt;-50,"NM",(FP196/FN196-1)*100)))</f>
        <v>-4.2607687211789091</v>
      </c>
      <c r="FR196" s="106">
        <f>+FR190/FR164*100</f>
        <v>13.067870826491514</v>
      </c>
      <c r="FS196" s="120">
        <f>IF(ISERROR((FR196/FP196-1)*100),"NA",IF(((FR196/FP196-1)*100)&gt;100,"NM",IF(((FR196/FP196-1)*100)&lt;-50,"NM",(FR196/FP196-1)*100)))</f>
        <v>1.8967227695675826</v>
      </c>
      <c r="FT196" s="106">
        <f>+FT190/FT164*100</f>
        <v>14.720681202425492</v>
      </c>
      <c r="FU196" s="120">
        <f>IF(ISERROR((FT196/FR196-1)*100),"NA",IF(((FT196/FR196-1)*100)&gt;100,"NM",IF(((FT196/FR196-1)*100)&lt;-50,"NM",(FT196/FR196-1)*100)))</f>
        <v>12.647893431754454</v>
      </c>
      <c r="FV196" s="106">
        <f>+FV190/FV164*100</f>
        <v>9.9857814721644971</v>
      </c>
      <c r="FW196" s="98">
        <f>IF(ISERROR((FV196/FT196-1)*100),"NA",IF(((FV196/FT196-1)*100)&gt;100,"NM",IF(((FV196/FT196-1)*100)&lt;-50,"NM",(FV196/FT196-1)*100)))</f>
        <v>-32.164949876645906</v>
      </c>
      <c r="FX196" s="483">
        <f>+FX190/FX164*100</f>
        <v>7.2125527426160341</v>
      </c>
      <c r="FY196" s="98">
        <f>IF(ISERROR((FX196/FV196-1)*100),"NA",IF(((FX196/FV196-1)*100)&gt;100,"NM",IF(((FX196/FV196-1)*100)&lt;-50,"NM",(FX196/FV196-1)*100)))</f>
        <v>-27.771774670604156</v>
      </c>
      <c r="FZ196" s="106">
        <f>+FZ190/FZ164*100</f>
        <v>12.49321021184139</v>
      </c>
      <c r="GA196" s="98">
        <f>IF(ISERROR((FZ196/FX196-1)*100),"NA",IF(((FZ196/FX196-1)*100)&gt;100,"NM",IF(((FZ196/FX196-1)*100)&lt;-50,"NM",(FZ196/FX196-1)*100)))</f>
        <v>73.21481946362907</v>
      </c>
      <c r="GB196" s="483">
        <f>+GB190/GB164*100</f>
        <v>12.586304470854556</v>
      </c>
      <c r="GC196" s="98">
        <f>IF(ISERROR((GB196/FZ196-1)*100),"NA",IF(((GB196/FZ196-1)*100)&gt;100,"NM",IF(((GB196/FZ196-1)*100)&lt;-50,"NM",(GB196/FZ196-1)*100)))</f>
        <v>0.7451588297532119</v>
      </c>
      <c r="GD196" s="106">
        <f>+GD190/GD164*100</f>
        <v>12.98811544991511</v>
      </c>
      <c r="GE196" s="98">
        <f>IF(ISERROR((GD196/GB196-1)*100),"NA",IF(((GD196/GB196-1)*100)&gt;100,"NM",IF(((GD196/GB196-1)*100)&lt;-50,"NM",(GD196/GB196-1)*100)))</f>
        <v>3.1924460431654644</v>
      </c>
      <c r="GF196" s="106">
        <f>+GF190/GF164*100</f>
        <v>14.529339167508134</v>
      </c>
      <c r="GG196" s="98">
        <f>IF(ISERROR((GF196/GD196-1)*100),"NA",IF(((GF196/GD196-1)*100)&gt;100,"NM",IF(((GF196/GD196-1)*100)&lt;-50,"NM",(GF196/GD196-1)*100)))</f>
        <v>11.866415289703159</v>
      </c>
      <c r="GH196" s="106">
        <f>+GH190/GH164*100</f>
        <v>16.265060240963855</v>
      </c>
      <c r="GI196" s="98">
        <f>IF(ISERROR((GH196/GF196-1)*100),"NA",IF(((GH196/GF196-1)*100)&gt;100,"NM",IF(((GH196/GF196-1)*100)&lt;-50,"NM",(GH196/GF196-1)*100)))</f>
        <v>11.946318090896412</v>
      </c>
      <c r="GJ196" s="106">
        <f>+GJ190/GJ164*100</f>
        <v>13.640147461053633</v>
      </c>
      <c r="GK196" s="98">
        <f>IF(ISERROR((GJ196/GH196-1)*100),"NA",IF(((GJ196/GH196-1)*100)&gt;100,"NM",IF(((GJ196/GH196-1)*100)&lt;-50,"NM",(GJ196/GH196-1)*100)))</f>
        <v>-16.138352646855438</v>
      </c>
      <c r="GL196" s="106">
        <f>+GL190/GL164*100</f>
        <v>13.1319138812894</v>
      </c>
      <c r="GM196" s="98">
        <f>IF(ISERROR((GL196/GJ196-1)*100),"NA",IF(((GL196/GJ196-1)*100)&gt;100,"NM",IF(((GL196/GJ196-1)*100)&lt;-50,"NM",(GL196/GJ196-1)*100)))</f>
        <v>-3.7260123559175629</v>
      </c>
      <c r="GN196" s="106">
        <f>+GN190/GN164*100</f>
        <v>9.2716516341770934</v>
      </c>
      <c r="GO196" s="98">
        <f>IF(ISERROR((GN196/GL196-1)*100),"NA",IF(((GN196/GL196-1)*100)&gt;100,"NM",IF(((GN196/GL196-1)*100)&lt;-50,"NM",(GN196/GL196-1)*100)))</f>
        <v>-29.396036876334385</v>
      </c>
      <c r="GP196" s="106">
        <f>+GP190/GP164*100</f>
        <v>10.735463957755618</v>
      </c>
      <c r="GQ196" s="98">
        <f>IF(ISERROR((GP196/GN196-1)*100),"NA",IF(((GP196/GN196-1)*100)&gt;100,"NM",IF(((GP196/GN196-1)*100)&lt;-50,"NM",(GP196/GN196-1)*100)))</f>
        <v>15.788042749391384</v>
      </c>
      <c r="GR196" s="137">
        <f>+GR190/GR164*100</f>
        <v>10.772415427026598</v>
      </c>
      <c r="GS196" s="98">
        <f>IF(ISERROR((GR196/GP196-1)*100),"NA",IF(((GR196/GP196-1)*100)&gt;100,"NM",IF(((GR196/GP196-1)*100)&lt;-50,"NM",(GR196/GP196-1)*100)))</f>
        <v>0.344200021688712</v>
      </c>
      <c r="GT196" s="137">
        <f>+GT190/GT164*100</f>
        <v>10.811432802606795</v>
      </c>
      <c r="GU196" s="98">
        <f>IF(ISERROR((GT196/GR196-1)*100),"NA",IF(((GT196/GR196-1)*100)&gt;100,"NM",IF(((GT196/GR196-1)*100)&lt;-50,"NM",(GT196/GR196-1)*100)))</f>
        <v>0.36219709353491059</v>
      </c>
      <c r="GV196" s="137">
        <f>+GV190/GV164*100</f>
        <v>10.754365062827723</v>
      </c>
      <c r="GW196" s="98">
        <f>IF(ISERROR((GV196/GT196-1)*100),"NA",IF(((GV196/GT196-1)*100)&gt;100,"NM",IF(((GV196/GT196-1)*100)&lt;-50,"NM",(GV196/GT196-1)*100)))</f>
        <v>-0.52784622372450407</v>
      </c>
      <c r="GX196" s="137">
        <f>+GX190/GX164*100</f>
        <v>10.704544376182987</v>
      </c>
      <c r="GY196" s="98">
        <f>IF(ISERROR((GX196/GV196-1)*100),"NA",IF(((GX196/GV196-1)*100)&gt;100,"NM",IF(((GX196/GV196-1)*100)&lt;-50,"NM",(GX196/GV196-1)*100)))</f>
        <v>-0.46326013998669868</v>
      </c>
      <c r="GZ196" s="98">
        <f>IF(ISERROR(((GX196/GN196)^0.2-1)*100),"NA",IF((((GX196/GN196)^0.2-1)*100)&gt;100,"NM",IF((((GX196/GN196)^0.2-1)*100)&lt;-50,"NM",((GX196/GN196)^0.2-1)*100)))</f>
        <v>2.9158383844795965</v>
      </c>
      <c r="HA196" s="98"/>
      <c r="HB196" s="10"/>
      <c r="HC196"/>
      <c r="HD196"/>
      <c r="HE196"/>
      <c r="HF196"/>
      <c r="HG196"/>
      <c r="HH196"/>
      <c r="HI196" s="10"/>
    </row>
    <row r="197" spans="2:217" s="2" customFormat="1" ht="12.75" customHeight="1" x14ac:dyDescent="0.2">
      <c r="B197" s="91"/>
      <c r="C197" s="276"/>
      <c r="D197" s="156"/>
      <c r="E197" s="276"/>
      <c r="F197" s="156"/>
      <c r="G197" s="276"/>
      <c r="H197" s="156"/>
      <c r="I197" s="276"/>
      <c r="J197" s="156"/>
      <c r="K197" s="276"/>
      <c r="L197" s="156"/>
      <c r="M197" s="276"/>
      <c r="N197" s="156"/>
      <c r="O197" s="276"/>
      <c r="P197" s="156"/>
      <c r="Q197" s="276"/>
      <c r="R197" s="156"/>
      <c r="S197" s="276"/>
      <c r="T197" s="156"/>
      <c r="U197" s="276"/>
      <c r="V197" s="156"/>
      <c r="W197" s="276"/>
      <c r="X197" s="156"/>
      <c r="Y197" s="276"/>
      <c r="Z197" s="156"/>
      <c r="AA197" s="276"/>
      <c r="AB197" s="156"/>
      <c r="AC197" s="276"/>
      <c r="AD197" s="156"/>
      <c r="AE197" s="276"/>
      <c r="AF197" s="156"/>
      <c r="AG197" s="276"/>
      <c r="AH197" s="156"/>
      <c r="AI197" s="276"/>
      <c r="AJ197" s="156"/>
      <c r="AK197" s="276"/>
      <c r="AL197" s="156"/>
      <c r="AM197" s="276"/>
      <c r="AN197" s="156"/>
      <c r="AO197" s="276"/>
      <c r="AP197" s="156"/>
      <c r="AQ197" s="276"/>
      <c r="AR197" s="156"/>
      <c r="AS197" s="276"/>
      <c r="AT197" s="156"/>
      <c r="AU197" s="276"/>
      <c r="AV197" s="156"/>
      <c r="AW197" s="276"/>
      <c r="AX197" s="156"/>
      <c r="AY197" s="166"/>
      <c r="AZ197" s="156"/>
      <c r="BA197" s="166"/>
      <c r="BB197" s="156"/>
      <c r="BC197" s="166"/>
      <c r="BD197" s="156"/>
      <c r="BE197" s="166"/>
      <c r="BF197" s="156"/>
      <c r="BG197" s="166"/>
      <c r="BH197" s="156"/>
      <c r="BI197" s="166"/>
      <c r="BJ197" s="156"/>
      <c r="BK197" s="166"/>
      <c r="BL197" s="156"/>
      <c r="BM197" s="166"/>
      <c r="BN197" s="98"/>
      <c r="BO197" s="137"/>
      <c r="BP197" s="98"/>
      <c r="BQ197" s="137"/>
      <c r="BR197" s="98"/>
      <c r="BS197" s="137"/>
      <c r="BT197" s="98"/>
      <c r="BU197" s="137"/>
      <c r="BV197" s="98"/>
      <c r="BW197" s="137"/>
      <c r="BX197" s="98"/>
      <c r="BY197" s="137"/>
      <c r="BZ197" s="98"/>
      <c r="CA197" s="137"/>
      <c r="CB197" s="98"/>
      <c r="CC197" s="137"/>
      <c r="CD197" s="98"/>
      <c r="CE197" s="137"/>
      <c r="CF197" s="98"/>
      <c r="CG197" s="137"/>
      <c r="CH197" s="98"/>
      <c r="CI197" s="137"/>
      <c r="CJ197" s="98"/>
      <c r="CK197" s="137"/>
      <c r="CL197" s="98"/>
      <c r="CM197" s="137"/>
      <c r="CN197" s="98"/>
      <c r="CO197" s="137"/>
      <c r="CP197" s="98"/>
      <c r="CQ197" s="137"/>
      <c r="CR197" s="98"/>
      <c r="CS197" s="137"/>
      <c r="CT197" s="98"/>
      <c r="CU197" s="137"/>
      <c r="CV197" s="98"/>
      <c r="CW197" s="137"/>
      <c r="CX197" s="98"/>
      <c r="CY197" s="137"/>
      <c r="CZ197" s="98"/>
      <c r="DA197" s="137"/>
      <c r="DB197" s="98"/>
      <c r="DC197" s="137"/>
      <c r="DD197" s="98"/>
      <c r="DE197" s="137"/>
      <c r="DF197" s="98"/>
      <c r="DG197" s="137"/>
      <c r="DH197" s="98"/>
      <c r="DI197" s="137"/>
      <c r="DJ197" s="98"/>
      <c r="DK197" s="137"/>
      <c r="DL197" s="98"/>
      <c r="DM197" s="137"/>
      <c r="DN197" s="98"/>
      <c r="DO197" s="137"/>
      <c r="DP197" s="98"/>
      <c r="DQ197" s="137"/>
      <c r="DR197" s="98"/>
      <c r="DS197" s="137"/>
      <c r="DT197" s="98"/>
      <c r="DU197" s="137"/>
      <c r="DV197" s="98"/>
      <c r="DW197" s="137"/>
      <c r="DX197" s="98"/>
      <c r="DY197" s="137"/>
      <c r="DZ197" s="98"/>
      <c r="EA197" s="137"/>
      <c r="EB197" s="98"/>
      <c r="EC197" s="137"/>
      <c r="ED197" s="98"/>
      <c r="EE197" s="137"/>
      <c r="EF197" s="860"/>
      <c r="EG197" s="137"/>
      <c r="EH197" s="860"/>
      <c r="EI197" s="137"/>
      <c r="EJ197" s="860"/>
      <c r="EK197" s="137"/>
      <c r="EL197" s="860"/>
      <c r="EM197" s="137"/>
      <c r="EN197" s="860"/>
      <c r="EO197" s="137"/>
      <c r="EP197" s="98"/>
      <c r="EQ197" s="1033"/>
      <c r="ER197" s="98"/>
      <c r="ES197" s="1033"/>
      <c r="ET197" s="98"/>
      <c r="EU197" s="1033"/>
      <c r="EV197" s="98"/>
      <c r="EW197" s="1033"/>
      <c r="EX197" s="98"/>
      <c r="EY197" s="137"/>
      <c r="EZ197" s="601"/>
      <c r="FA197" s="411"/>
      <c r="FB197" s="242"/>
      <c r="FC197" s="233"/>
      <c r="FD197" s="137"/>
      <c r="FE197" s="233"/>
      <c r="FF197" s="137"/>
      <c r="FG197" s="233"/>
      <c r="FH197" s="137"/>
      <c r="FI197" s="233"/>
      <c r="FJ197" s="137"/>
      <c r="FK197" s="233"/>
      <c r="FL197" s="137"/>
      <c r="FM197" s="233"/>
      <c r="FN197" s="137"/>
      <c r="FO197" s="233"/>
      <c r="FP197" s="137"/>
      <c r="FQ197" s="233"/>
      <c r="FR197" s="106"/>
      <c r="FS197" s="120"/>
      <c r="FT197" s="106"/>
      <c r="FU197" s="120"/>
      <c r="FV197" s="106"/>
      <c r="FW197" s="98"/>
      <c r="FX197" s="483"/>
      <c r="FY197" s="98"/>
      <c r="FZ197" s="106"/>
      <c r="GA197" s="98"/>
      <c r="GB197" s="483"/>
      <c r="GC197" s="98"/>
      <c r="GD197" s="106"/>
      <c r="GE197" s="98"/>
      <c r="GF197" s="106"/>
      <c r="GG197" s="98"/>
      <c r="GH197" s="106"/>
      <c r="GI197" s="98"/>
      <c r="GJ197" s="106"/>
      <c r="GK197" s="98"/>
      <c r="GL197" s="106"/>
      <c r="GM197" s="98"/>
      <c r="GN197" s="106"/>
      <c r="GO197" s="98"/>
      <c r="GP197" s="106"/>
      <c r="GQ197" s="98"/>
      <c r="GR197" s="137"/>
      <c r="GS197" s="98"/>
      <c r="GT197" s="137"/>
      <c r="GU197" s="98"/>
      <c r="GV197" s="137"/>
      <c r="GW197" s="98"/>
      <c r="GX197" s="137"/>
      <c r="GY197" s="98"/>
      <c r="GZ197" s="98"/>
      <c r="HA197" s="98"/>
      <c r="HB197" s="10"/>
      <c r="HC197"/>
      <c r="HD197"/>
      <c r="HE197"/>
      <c r="HF197"/>
      <c r="HG197"/>
      <c r="HH197"/>
      <c r="HI197" s="10"/>
    </row>
    <row r="198" spans="2:217" s="708" customFormat="1" ht="12.75" customHeight="1" collapsed="1" x14ac:dyDescent="0.2">
      <c r="B198" s="709" t="s">
        <v>725</v>
      </c>
      <c r="C198" s="710"/>
      <c r="D198" s="710"/>
      <c r="E198" s="710"/>
      <c r="F198" s="710"/>
      <c r="G198" s="710"/>
      <c r="H198" s="710"/>
      <c r="I198" s="710"/>
      <c r="J198" s="710"/>
      <c r="K198" s="710"/>
      <c r="L198" s="710"/>
      <c r="M198" s="710"/>
      <c r="N198" s="710"/>
      <c r="O198" s="710"/>
      <c r="P198" s="710"/>
      <c r="Q198" s="710"/>
      <c r="R198" s="710"/>
      <c r="S198" s="710"/>
      <c r="T198" s="710"/>
      <c r="U198" s="710"/>
      <c r="V198" s="710"/>
      <c r="W198" s="710"/>
      <c r="X198" s="710"/>
      <c r="Y198" s="710"/>
      <c r="Z198" s="710"/>
      <c r="AA198" s="710"/>
      <c r="AB198" s="710"/>
      <c r="AC198" s="710"/>
      <c r="AD198" s="710"/>
      <c r="AE198" s="710"/>
      <c r="AF198" s="710"/>
      <c r="AG198" s="710"/>
      <c r="AH198" s="710"/>
      <c r="AI198" s="710"/>
      <c r="AJ198" s="710"/>
      <c r="AK198" s="710"/>
      <c r="AL198" s="710"/>
      <c r="AM198" s="710"/>
      <c r="AN198" s="710"/>
      <c r="AO198" s="710"/>
      <c r="AP198" s="710"/>
      <c r="AQ198" s="710"/>
      <c r="AR198" s="710"/>
      <c r="AS198" s="710"/>
      <c r="AT198" s="710"/>
      <c r="AU198" s="710"/>
      <c r="AV198" s="710"/>
      <c r="AW198" s="710"/>
      <c r="AX198" s="710"/>
      <c r="AY198" s="710"/>
      <c r="AZ198" s="710"/>
      <c r="BA198" s="710"/>
      <c r="BB198" s="710"/>
      <c r="BC198" s="710"/>
      <c r="BD198" s="710"/>
      <c r="BE198" s="710"/>
      <c r="BF198" s="710"/>
      <c r="BG198" s="710"/>
      <c r="BH198" s="710"/>
      <c r="BI198" s="710"/>
      <c r="BJ198" s="710"/>
      <c r="BK198" s="710"/>
      <c r="BL198" s="710"/>
      <c r="BM198" s="710"/>
      <c r="BN198" s="710"/>
      <c r="BO198" s="710"/>
      <c r="BP198" s="710"/>
      <c r="BQ198" s="710"/>
      <c r="BR198" s="710"/>
      <c r="BS198" s="711"/>
      <c r="BT198" s="710"/>
      <c r="BU198" s="711"/>
      <c r="BV198" s="710"/>
      <c r="BW198" s="711"/>
      <c r="BX198" s="710"/>
      <c r="BY198" s="711"/>
      <c r="BZ198" s="710"/>
      <c r="CA198" s="711"/>
      <c r="CB198" s="710"/>
      <c r="CC198" s="711"/>
      <c r="CD198" s="710"/>
      <c r="CE198" s="711"/>
      <c r="CF198" s="710"/>
      <c r="CG198" s="711"/>
      <c r="CH198" s="710"/>
      <c r="CI198" s="711"/>
      <c r="CJ198" s="710"/>
      <c r="CK198" s="711"/>
      <c r="CL198" s="710"/>
      <c r="CM198" s="711"/>
      <c r="CN198" s="710"/>
      <c r="CO198" s="711"/>
      <c r="CP198" s="710"/>
      <c r="CQ198" s="711"/>
      <c r="CR198" s="710"/>
      <c r="CS198" s="711"/>
      <c r="CT198" s="710"/>
      <c r="CU198" s="711"/>
      <c r="CV198" s="710"/>
      <c r="CW198" s="711"/>
      <c r="CX198" s="710"/>
      <c r="CY198" s="711"/>
      <c r="CZ198" s="710"/>
      <c r="DA198" s="711"/>
      <c r="DB198" s="710"/>
      <c r="DC198" s="711"/>
      <c r="DD198" s="710"/>
      <c r="DE198" s="711"/>
      <c r="DF198" s="710"/>
      <c r="DG198" s="711"/>
      <c r="DH198" s="710"/>
      <c r="DI198" s="711"/>
      <c r="DJ198" s="710"/>
      <c r="DK198" s="711"/>
      <c r="DL198" s="710"/>
      <c r="DM198" s="711"/>
      <c r="DN198" s="710"/>
      <c r="DO198" s="711"/>
      <c r="DP198" s="710"/>
      <c r="DQ198" s="711"/>
      <c r="DR198" s="710"/>
      <c r="DS198" s="711"/>
      <c r="DT198" s="710"/>
      <c r="DU198" s="711"/>
      <c r="DV198" s="710"/>
      <c r="DW198" s="711"/>
      <c r="DX198" s="710"/>
      <c r="DY198" s="711"/>
      <c r="DZ198" s="710"/>
      <c r="EA198" s="711"/>
      <c r="EB198" s="710"/>
      <c r="EC198" s="711"/>
      <c r="ED198" s="711"/>
      <c r="EE198" s="711"/>
      <c r="EF198" s="711"/>
      <c r="EG198" s="711"/>
      <c r="EH198" s="711"/>
      <c r="EI198" s="711"/>
      <c r="EJ198" s="711"/>
      <c r="EK198" s="711"/>
      <c r="EL198" s="711"/>
      <c r="EM198" s="711"/>
      <c r="EN198" s="711"/>
      <c r="EO198" s="711"/>
      <c r="EP198" s="710"/>
      <c r="EQ198" s="711"/>
      <c r="ER198" s="710"/>
      <c r="ES198" s="711"/>
      <c r="ET198" s="710"/>
      <c r="EU198" s="711"/>
      <c r="EV198" s="710"/>
      <c r="EW198" s="711"/>
      <c r="EX198" s="710"/>
      <c r="EY198" s="712"/>
      <c r="EZ198" s="713"/>
      <c r="FA198" s="714"/>
      <c r="FB198" s="711"/>
      <c r="FC198" s="710"/>
      <c r="FD198" s="711"/>
      <c r="FE198" s="710"/>
      <c r="FF198" s="712"/>
      <c r="FG198" s="710"/>
      <c r="FH198" s="712"/>
      <c r="FI198" s="710"/>
      <c r="FJ198" s="712"/>
      <c r="FK198" s="710"/>
      <c r="FL198" s="712"/>
      <c r="FM198" s="710"/>
      <c r="FN198" s="712"/>
      <c r="FO198" s="710"/>
      <c r="FP198" s="712"/>
      <c r="FQ198" s="710"/>
      <c r="FR198" s="712"/>
      <c r="FS198" s="715"/>
      <c r="FT198" s="712"/>
      <c r="FU198" s="715"/>
      <c r="FV198" s="712"/>
      <c r="FW198" s="710"/>
      <c r="FX198" s="716"/>
      <c r="FY198" s="710"/>
      <c r="FZ198" s="712"/>
      <c r="GA198" s="710"/>
      <c r="GB198" s="716"/>
      <c r="GC198" s="710"/>
      <c r="GD198" s="712"/>
      <c r="GE198" s="710"/>
      <c r="GF198" s="712"/>
      <c r="GG198" s="710"/>
      <c r="GH198" s="712"/>
      <c r="GI198" s="710"/>
      <c r="GJ198" s="712"/>
      <c r="GK198" s="710"/>
      <c r="GL198" s="712"/>
      <c r="GM198" s="710"/>
      <c r="GN198" s="712"/>
      <c r="GO198" s="710"/>
      <c r="GP198" s="712"/>
      <c r="GQ198" s="710"/>
      <c r="GR198" s="712"/>
      <c r="GS198" s="710"/>
      <c r="GT198" s="712"/>
      <c r="GU198" s="710"/>
      <c r="GV198" s="712"/>
      <c r="GW198" s="710"/>
      <c r="GX198" s="712"/>
      <c r="GY198" s="710"/>
      <c r="GZ198" s="710"/>
      <c r="HA198" s="710"/>
      <c r="HC198"/>
      <c r="HD198"/>
      <c r="HE198"/>
      <c r="HF198"/>
      <c r="HG198"/>
      <c r="HH198"/>
    </row>
    <row r="199" spans="2:217" s="2" customFormat="1" ht="12.75" customHeight="1" x14ac:dyDescent="0.2">
      <c r="B199" s="988"/>
      <c r="C199" s="276"/>
      <c r="D199" s="156"/>
      <c r="E199" s="276"/>
      <c r="F199" s="156"/>
      <c r="G199" s="276"/>
      <c r="H199" s="156"/>
      <c r="I199" s="276"/>
      <c r="J199" s="156"/>
      <c r="K199" s="276"/>
      <c r="L199" s="156"/>
      <c r="M199" s="276"/>
      <c r="N199" s="156"/>
      <c r="O199" s="276"/>
      <c r="P199" s="156"/>
      <c r="Q199" s="276"/>
      <c r="R199" s="156"/>
      <c r="S199" s="276"/>
      <c r="T199" s="156"/>
      <c r="U199" s="276"/>
      <c r="V199" s="156"/>
      <c r="W199" s="276"/>
      <c r="X199" s="156"/>
      <c r="Y199" s="276"/>
      <c r="Z199" s="156"/>
      <c r="AA199" s="276"/>
      <c r="AB199" s="156"/>
      <c r="AC199" s="276"/>
      <c r="AD199" s="156"/>
      <c r="AE199" s="276"/>
      <c r="AF199" s="156"/>
      <c r="AG199" s="276"/>
      <c r="AH199" s="156"/>
      <c r="AI199" s="276"/>
      <c r="AJ199" s="156"/>
      <c r="AK199" s="276"/>
      <c r="AL199" s="156"/>
      <c r="AM199" s="276"/>
      <c r="AN199" s="156"/>
      <c r="AO199" s="276"/>
      <c r="AP199" s="156"/>
      <c r="AQ199" s="276"/>
      <c r="AR199" s="156"/>
      <c r="AS199" s="276"/>
      <c r="AT199" s="156"/>
      <c r="AU199" s="276"/>
      <c r="AV199" s="156"/>
      <c r="AW199" s="276"/>
      <c r="AX199" s="156"/>
      <c r="AY199" s="166"/>
      <c r="AZ199" s="156"/>
      <c r="BA199" s="166"/>
      <c r="BB199" s="156"/>
      <c r="BC199" s="166"/>
      <c r="BD199" s="156"/>
      <c r="BE199" s="166"/>
      <c r="BF199" s="156"/>
      <c r="BG199" s="166"/>
      <c r="BH199" s="156"/>
      <c r="BI199" s="166"/>
      <c r="BJ199" s="156"/>
      <c r="BK199" s="166"/>
      <c r="BL199" s="156"/>
      <c r="BM199" s="166"/>
      <c r="BN199" s="98"/>
      <c r="BO199" s="137"/>
      <c r="BP199" s="98"/>
      <c r="BQ199" s="137"/>
      <c r="BR199" s="98"/>
      <c r="BS199" s="137"/>
      <c r="BT199" s="98"/>
      <c r="BU199" s="137"/>
      <c r="BV199" s="98"/>
      <c r="BW199" s="137"/>
      <c r="BX199" s="98"/>
      <c r="BY199" s="137"/>
      <c r="BZ199" s="98"/>
      <c r="CA199" s="137"/>
      <c r="CB199" s="98"/>
      <c r="CC199" s="137"/>
      <c r="CD199" s="98"/>
      <c r="CE199" s="137"/>
      <c r="CF199" s="98"/>
      <c r="CG199" s="137"/>
      <c r="CH199" s="98"/>
      <c r="CI199" s="137"/>
      <c r="CJ199" s="98"/>
      <c r="CK199" s="137"/>
      <c r="CL199" s="98"/>
      <c r="CM199" s="137"/>
      <c r="CN199" s="98"/>
      <c r="CO199" s="137"/>
      <c r="CP199" s="98"/>
      <c r="CQ199" s="137"/>
      <c r="CR199" s="98"/>
      <c r="CS199" s="137"/>
      <c r="CT199" s="98"/>
      <c r="CU199" s="137"/>
      <c r="CV199" s="98"/>
      <c r="CW199" s="137"/>
      <c r="CX199" s="98"/>
      <c r="CY199" s="137"/>
      <c r="CZ199" s="98"/>
      <c r="DA199" s="137"/>
      <c r="DB199" s="98"/>
      <c r="DC199" s="137"/>
      <c r="DD199" s="98"/>
      <c r="DE199" s="137"/>
      <c r="DF199" s="98"/>
      <c r="DG199" s="137"/>
      <c r="DH199" s="98"/>
      <c r="DI199" s="137"/>
      <c r="DJ199" s="98"/>
      <c r="DK199" s="137"/>
      <c r="DL199" s="98"/>
      <c r="DM199" s="137"/>
      <c r="DN199" s="98"/>
      <c r="DO199" s="137"/>
      <c r="DP199" s="98"/>
      <c r="DQ199" s="137"/>
      <c r="DR199" s="98"/>
      <c r="DS199" s="137"/>
      <c r="DT199" s="98"/>
      <c r="DU199" s="137"/>
      <c r="DV199" s="98"/>
      <c r="DW199" s="137"/>
      <c r="DX199" s="98"/>
      <c r="DY199" s="137"/>
      <c r="DZ199" s="98"/>
      <c r="EA199" s="137"/>
      <c r="EB199" s="98"/>
      <c r="EC199" s="137"/>
      <c r="ED199" s="137"/>
      <c r="EE199" s="137"/>
      <c r="EF199" s="137"/>
      <c r="EG199" s="137"/>
      <c r="EH199" s="137"/>
      <c r="EI199" s="137"/>
      <c r="EJ199" s="137"/>
      <c r="EK199" s="137"/>
      <c r="EL199" s="137"/>
      <c r="EM199" s="137"/>
      <c r="EN199" s="137"/>
      <c r="EO199" s="137"/>
      <c r="EP199" s="98"/>
      <c r="EQ199" s="137"/>
      <c r="ER199" s="98"/>
      <c r="ES199" s="137"/>
      <c r="ET199" s="98"/>
      <c r="EU199" s="137"/>
      <c r="EV199" s="98"/>
      <c r="EW199" s="137"/>
      <c r="EX199" s="98"/>
      <c r="EY199" s="137"/>
      <c r="EZ199" s="601"/>
      <c r="FA199" s="411"/>
      <c r="FB199" s="242"/>
      <c r="FC199" s="233"/>
      <c r="FD199" s="137"/>
      <c r="FE199" s="233"/>
      <c r="FF199" s="137"/>
      <c r="FG199" s="233"/>
      <c r="FH199" s="137"/>
      <c r="FI199" s="233"/>
      <c r="FJ199" s="137"/>
      <c r="FK199" s="233"/>
      <c r="FL199" s="137"/>
      <c r="FM199" s="233"/>
      <c r="FN199" s="137"/>
      <c r="FO199" s="233"/>
      <c r="FP199" s="137"/>
      <c r="FQ199" s="233"/>
      <c r="FR199" s="106"/>
      <c r="FS199" s="120"/>
      <c r="FT199" s="106"/>
      <c r="FU199" s="120"/>
      <c r="FV199" s="106"/>
      <c r="FW199" s="98"/>
      <c r="FX199" s="483"/>
      <c r="FY199" s="98"/>
      <c r="FZ199" s="106"/>
      <c r="GA199" s="98"/>
      <c r="GB199" s="483"/>
      <c r="GC199" s="98"/>
      <c r="GD199" s="106"/>
      <c r="GE199" s="98"/>
      <c r="GF199" s="106"/>
      <c r="GG199" s="98"/>
      <c r="GH199" s="106"/>
      <c r="GI199" s="98"/>
      <c r="GJ199" s="106"/>
      <c r="GK199" s="98"/>
      <c r="GL199" s="106"/>
      <c r="GM199" s="98"/>
      <c r="GN199" s="106"/>
      <c r="GO199" s="98"/>
      <c r="GP199" s="106"/>
      <c r="GQ199" s="98"/>
      <c r="GR199" s="137"/>
      <c r="GS199" s="98"/>
      <c r="GT199" s="137"/>
      <c r="GU199" s="98"/>
      <c r="GV199" s="137"/>
      <c r="GW199" s="98"/>
      <c r="GX199" s="137"/>
      <c r="GY199" s="98"/>
      <c r="GZ199" s="98"/>
      <c r="HA199" s="98"/>
      <c r="HB199" s="10"/>
      <c r="HC199"/>
      <c r="HD199"/>
      <c r="HE199"/>
      <c r="HF199"/>
      <c r="HG199"/>
      <c r="HH199"/>
      <c r="HI199" s="10"/>
    </row>
    <row r="200" spans="2:217" s="1100" customFormat="1" ht="11.25" customHeight="1" x14ac:dyDescent="0.2">
      <c r="B200" s="1091" t="s">
        <v>726</v>
      </c>
      <c r="C200" s="1092"/>
      <c r="D200" s="875"/>
      <c r="E200" s="1092"/>
      <c r="F200" s="875"/>
      <c r="G200" s="1092"/>
      <c r="H200" s="875"/>
      <c r="I200" s="1092"/>
      <c r="J200" s="875"/>
      <c r="K200" s="1092"/>
      <c r="L200" s="875"/>
      <c r="M200" s="1092"/>
      <c r="N200" s="875"/>
      <c r="O200" s="1092"/>
      <c r="P200" s="875"/>
      <c r="Q200" s="1092"/>
      <c r="R200" s="875"/>
      <c r="S200" s="1092"/>
      <c r="T200" s="875"/>
      <c r="U200" s="1092"/>
      <c r="V200" s="875"/>
      <c r="W200" s="1092"/>
      <c r="X200" s="875"/>
      <c r="Y200" s="1092"/>
      <c r="Z200" s="875"/>
      <c r="AA200" s="1092"/>
      <c r="AB200" s="875"/>
      <c r="AC200" s="1092"/>
      <c r="AD200" s="875"/>
      <c r="AE200" s="1092"/>
      <c r="AF200" s="875"/>
      <c r="AG200" s="1092"/>
      <c r="AH200" s="875"/>
      <c r="AI200" s="1092"/>
      <c r="AJ200" s="875"/>
      <c r="AK200" s="1092"/>
      <c r="AL200" s="875"/>
      <c r="AM200" s="1092"/>
      <c r="AN200" s="875"/>
      <c r="AO200" s="1092"/>
      <c r="AP200" s="875"/>
      <c r="AQ200" s="1092"/>
      <c r="AR200" s="875"/>
      <c r="AS200" s="1092"/>
      <c r="AT200" s="875"/>
      <c r="AU200" s="1092"/>
      <c r="AV200" s="875"/>
      <c r="AW200" s="1092"/>
      <c r="AX200" s="875"/>
      <c r="AY200" s="1093"/>
      <c r="AZ200" s="875"/>
      <c r="BA200" s="1093"/>
      <c r="BB200" s="875"/>
      <c r="BC200" s="1093"/>
      <c r="BD200" s="875"/>
      <c r="BE200" s="1093"/>
      <c r="BF200" s="875"/>
      <c r="BG200" s="1093"/>
      <c r="BH200" s="875"/>
      <c r="BI200" s="1093"/>
      <c r="BJ200" s="875"/>
      <c r="BK200" s="1093"/>
      <c r="BL200" s="875"/>
      <c r="BM200" s="1093"/>
      <c r="BN200" s="875"/>
      <c r="BO200" s="1093"/>
      <c r="BP200" s="875"/>
      <c r="BQ200" s="1093"/>
      <c r="BR200" s="875"/>
      <c r="BS200" s="1093"/>
      <c r="BT200" s="875"/>
      <c r="BU200" s="1093"/>
      <c r="BV200" s="875"/>
      <c r="BW200" s="1093"/>
      <c r="BX200" s="875"/>
      <c r="BY200" s="1093"/>
      <c r="BZ200" s="875"/>
      <c r="CA200" s="1093"/>
      <c r="CB200" s="875"/>
      <c r="CC200" s="1093"/>
      <c r="CD200" s="875"/>
      <c r="CE200" s="1093"/>
      <c r="CF200" s="875"/>
      <c r="CG200" s="1093"/>
      <c r="CH200" s="875"/>
      <c r="CI200" s="1093"/>
      <c r="CJ200" s="875"/>
      <c r="CK200" s="1093"/>
      <c r="CL200" s="875"/>
      <c r="CM200" s="1093"/>
      <c r="CN200" s="875"/>
      <c r="CO200" s="1093"/>
      <c r="CP200" s="875"/>
      <c r="CQ200" s="1093"/>
      <c r="CR200" s="875"/>
      <c r="CS200" s="1093"/>
      <c r="CT200" s="875"/>
      <c r="CU200" s="1093"/>
      <c r="CV200" s="875"/>
      <c r="CW200" s="1093"/>
      <c r="CX200" s="875"/>
      <c r="CY200" s="1093"/>
      <c r="CZ200" s="875"/>
      <c r="DA200" s="1093"/>
      <c r="DB200" s="875"/>
      <c r="DC200" s="1093"/>
      <c r="DD200" s="875"/>
      <c r="DE200" s="1093"/>
      <c r="DF200" s="875"/>
      <c r="DG200" s="1093"/>
      <c r="DH200" s="875"/>
      <c r="DI200" s="1093"/>
      <c r="DJ200" s="875"/>
      <c r="DK200" s="1093"/>
      <c r="DL200" s="875"/>
      <c r="DM200" s="1093"/>
      <c r="DN200" s="875"/>
      <c r="DO200" s="1093"/>
      <c r="DP200" s="875"/>
      <c r="DQ200" s="1093"/>
      <c r="DR200" s="875"/>
      <c r="DS200" s="1093"/>
      <c r="DT200" s="875"/>
      <c r="DU200" s="1093"/>
      <c r="DV200" s="875"/>
      <c r="DW200" s="1093"/>
      <c r="DX200" s="875"/>
      <c r="DY200" s="1093"/>
      <c r="DZ200" s="875"/>
      <c r="EA200" s="1093"/>
      <c r="EB200" s="875"/>
      <c r="EC200" s="1093"/>
      <c r="ED200" s="875"/>
      <c r="EE200" s="1093"/>
      <c r="EF200" s="875"/>
      <c r="EG200" s="1093"/>
      <c r="EH200" s="875"/>
      <c r="EI200" s="1093"/>
      <c r="EJ200" s="875"/>
      <c r="EK200" s="1093"/>
      <c r="EL200" s="875"/>
      <c r="EM200" s="1093"/>
      <c r="EN200" s="875"/>
      <c r="EO200" s="1093"/>
      <c r="EP200" s="875"/>
      <c r="EQ200" s="1093"/>
      <c r="ER200" s="875"/>
      <c r="ES200" s="1093"/>
      <c r="ET200" s="875"/>
      <c r="EU200" s="1093"/>
      <c r="EV200" s="875"/>
      <c r="EW200" s="1093"/>
      <c r="EX200" s="875"/>
      <c r="EY200" s="1093"/>
      <c r="EZ200" s="1094"/>
      <c r="FA200" s="1094"/>
      <c r="FB200" s="1095"/>
      <c r="FC200" s="1096"/>
      <c r="FD200" s="1093"/>
      <c r="FE200" s="1096"/>
      <c r="FF200" s="1093"/>
      <c r="FG200" s="1096"/>
      <c r="FH200" s="1093"/>
      <c r="FI200" s="1096"/>
      <c r="FJ200" s="1093"/>
      <c r="FK200" s="1096"/>
      <c r="FL200" s="1093"/>
      <c r="FM200" s="1096"/>
      <c r="FN200" s="1093"/>
      <c r="FO200" s="1096"/>
      <c r="FP200" s="1093"/>
      <c r="FQ200" s="1096"/>
      <c r="FR200" s="1097"/>
      <c r="FS200" s="1098"/>
      <c r="FT200" s="1097"/>
      <c r="FU200" s="1098"/>
      <c r="FV200" s="1097"/>
      <c r="FW200" s="875"/>
      <c r="FX200" s="1099"/>
      <c r="FY200" s="875"/>
      <c r="FZ200" s="1097"/>
      <c r="GA200" s="875"/>
      <c r="GB200" s="1099"/>
      <c r="GC200" s="875"/>
      <c r="GD200" s="1097"/>
      <c r="GE200" s="875"/>
      <c r="GF200" s="1097"/>
      <c r="GG200" s="875"/>
      <c r="GH200" s="1097"/>
      <c r="GI200" s="875"/>
      <c r="GJ200" s="1097"/>
      <c r="GK200" s="875"/>
      <c r="GL200" s="1097"/>
      <c r="GM200" s="875"/>
      <c r="GN200" s="1097"/>
      <c r="GO200" s="875"/>
      <c r="GP200" s="1097"/>
      <c r="GQ200" s="875"/>
      <c r="GR200" s="1093"/>
      <c r="GS200" s="875"/>
      <c r="GT200" s="1093"/>
      <c r="GU200" s="875"/>
      <c r="GV200" s="1093"/>
      <c r="GW200" s="875"/>
      <c r="GX200" s="1093"/>
      <c r="GY200" s="875"/>
      <c r="GZ200" s="875"/>
      <c r="HA200" s="875"/>
      <c r="HC200"/>
      <c r="HD200"/>
      <c r="HE200"/>
      <c r="HF200"/>
      <c r="HG200"/>
      <c r="HH200"/>
    </row>
    <row r="201" spans="2:217" s="2" customFormat="1" ht="12.75" customHeight="1" x14ac:dyDescent="0.2">
      <c r="B201" s="988" t="s">
        <v>727</v>
      </c>
      <c r="C201" s="276"/>
      <c r="D201" s="156"/>
      <c r="E201" s="276"/>
      <c r="F201" s="156"/>
      <c r="G201" s="276"/>
      <c r="H201" s="156"/>
      <c r="I201" s="276"/>
      <c r="J201" s="156"/>
      <c r="K201" s="276"/>
      <c r="L201" s="156"/>
      <c r="M201" s="276"/>
      <c r="N201" s="156"/>
      <c r="O201" s="276"/>
      <c r="P201" s="156"/>
      <c r="Q201" s="276"/>
      <c r="R201" s="156"/>
      <c r="S201" s="276"/>
      <c r="T201" s="156"/>
      <c r="U201" s="276"/>
      <c r="V201" s="156"/>
      <c r="W201" s="276"/>
      <c r="X201" s="156"/>
      <c r="Y201" s="276"/>
      <c r="Z201" s="156"/>
      <c r="AA201" s="276"/>
      <c r="AB201" s="156"/>
      <c r="AC201" s="276"/>
      <c r="AD201" s="156"/>
      <c r="AE201" s="276"/>
      <c r="AF201" s="156"/>
      <c r="AG201" s="276"/>
      <c r="AH201" s="156"/>
      <c r="AI201" s="276"/>
      <c r="AJ201" s="156"/>
      <c r="AK201" s="276"/>
      <c r="AL201" s="156"/>
      <c r="AM201" s="276"/>
      <c r="AN201" s="156"/>
      <c r="AO201" s="276"/>
      <c r="AP201" s="156"/>
      <c r="AQ201" s="276"/>
      <c r="AR201" s="156"/>
      <c r="AS201" s="276"/>
      <c r="AT201" s="156"/>
      <c r="AU201" s="276"/>
      <c r="AV201" s="156"/>
      <c r="AW201" s="276"/>
      <c r="AX201" s="156"/>
      <c r="AY201" s="166"/>
      <c r="AZ201" s="156"/>
      <c r="BA201" s="166"/>
      <c r="BB201" s="156"/>
      <c r="BC201" s="166"/>
      <c r="BD201" s="156"/>
      <c r="BE201" s="166"/>
      <c r="BF201" s="156"/>
      <c r="BG201" s="166"/>
      <c r="BH201" s="156"/>
      <c r="BI201" s="166"/>
      <c r="BJ201" s="156"/>
      <c r="BK201" s="166"/>
      <c r="BL201" s="156"/>
      <c r="BM201" s="166"/>
      <c r="BN201" s="98"/>
      <c r="BO201" s="137"/>
      <c r="BP201" s="98"/>
      <c r="BQ201" s="137"/>
      <c r="BR201" s="98"/>
      <c r="BS201" s="137"/>
      <c r="BT201" s="98"/>
      <c r="BU201" s="137"/>
      <c r="BV201" s="98"/>
      <c r="BW201" s="137"/>
      <c r="BX201" s="98"/>
      <c r="BY201" s="137"/>
      <c r="BZ201" s="98"/>
      <c r="CA201" s="137"/>
      <c r="CB201" s="98"/>
      <c r="CC201" s="137"/>
      <c r="CD201" s="98"/>
      <c r="CE201" s="137"/>
      <c r="CF201" s="98"/>
      <c r="CG201" s="137"/>
      <c r="CH201" s="98"/>
      <c r="CI201" s="137"/>
      <c r="CJ201" s="98"/>
      <c r="CK201" s="137"/>
      <c r="CL201" s="98"/>
      <c r="CM201" s="137"/>
      <c r="CN201" s="98"/>
      <c r="CO201" s="137"/>
      <c r="CP201" s="98"/>
      <c r="CQ201" s="137"/>
      <c r="CR201" s="98"/>
      <c r="CS201" s="137"/>
      <c r="CT201" s="98"/>
      <c r="CU201" s="137"/>
      <c r="CV201" s="98"/>
      <c r="CW201" s="137"/>
      <c r="CX201" s="98"/>
      <c r="CY201" s="137"/>
      <c r="CZ201" s="98"/>
      <c r="DA201" s="137"/>
      <c r="DB201" s="98"/>
      <c r="DC201" s="137"/>
      <c r="DD201" s="98"/>
      <c r="DE201" s="137"/>
      <c r="DF201" s="98"/>
      <c r="DG201" s="137"/>
      <c r="DH201" s="98"/>
      <c r="DI201" s="137"/>
      <c r="DJ201" s="98"/>
      <c r="DK201" s="137"/>
      <c r="DL201" s="98"/>
      <c r="DM201" s="137"/>
      <c r="DN201" s="98"/>
      <c r="DO201" s="137"/>
      <c r="DP201" s="98"/>
      <c r="DQ201" s="137"/>
      <c r="DR201" s="98"/>
      <c r="DS201" s="122">
        <v>541</v>
      </c>
      <c r="DT201" s="98"/>
      <c r="DU201" s="122">
        <v>547</v>
      </c>
      <c r="DV201" s="98"/>
      <c r="DW201" s="122">
        <v>554</v>
      </c>
      <c r="DX201" s="98"/>
      <c r="DY201" s="122">
        <v>557</v>
      </c>
      <c r="DZ201" s="98"/>
      <c r="EA201" s="122">
        <v>555</v>
      </c>
      <c r="EB201" s="98"/>
      <c r="EC201" s="122">
        <v>559</v>
      </c>
      <c r="ED201" s="98"/>
      <c r="EE201" s="122">
        <v>567</v>
      </c>
      <c r="EF201" s="860"/>
      <c r="EG201" s="122">
        <v>571</v>
      </c>
      <c r="EH201" s="860"/>
      <c r="EI201" s="122">
        <v>563</v>
      </c>
      <c r="EJ201" s="860"/>
      <c r="EK201" s="122">
        <v>573</v>
      </c>
      <c r="EL201" s="860"/>
      <c r="EM201" s="122">
        <v>585</v>
      </c>
      <c r="EN201" s="860"/>
      <c r="EO201" s="122">
        <v>591</v>
      </c>
      <c r="EP201" s="98"/>
      <c r="EQ201" s="122">
        <f>EO201*1.003</f>
        <v>592.77299999999991</v>
      </c>
      <c r="ER201" s="98"/>
      <c r="ES201" s="122">
        <f>EQ201*1.003</f>
        <v>594.55131899999981</v>
      </c>
      <c r="ET201" s="98"/>
      <c r="EU201" s="122">
        <f>ES201*1.003</f>
        <v>596.33497295699976</v>
      </c>
      <c r="EV201" s="98"/>
      <c r="EW201" s="122">
        <f>EU201*1.003</f>
        <v>598.12397787587065</v>
      </c>
      <c r="EX201" s="98"/>
      <c r="EY201" s="137"/>
      <c r="EZ201" s="601"/>
      <c r="FA201" s="411"/>
      <c r="FB201" s="242"/>
      <c r="FC201" s="233"/>
      <c r="FD201" s="137"/>
      <c r="FE201" s="233"/>
      <c r="FF201" s="137"/>
      <c r="FG201" s="233"/>
      <c r="FH201" s="137"/>
      <c r="FI201" s="233"/>
      <c r="FJ201" s="137"/>
      <c r="FK201" s="233"/>
      <c r="FL201" s="137"/>
      <c r="FM201" s="233"/>
      <c r="FN201" s="137"/>
      <c r="FO201" s="233"/>
      <c r="FP201" s="137"/>
      <c r="FQ201" s="233"/>
      <c r="FR201" s="106"/>
      <c r="FS201" s="120"/>
      <c r="FT201" s="106"/>
      <c r="FU201" s="120"/>
      <c r="FV201" s="106"/>
      <c r="FW201" s="98"/>
      <c r="FX201" s="483"/>
      <c r="FY201" s="98"/>
      <c r="FZ201" s="106"/>
      <c r="GA201" s="98"/>
      <c r="GB201" s="483"/>
      <c r="GC201" s="98"/>
      <c r="GD201" s="106"/>
      <c r="GE201" s="98"/>
      <c r="GF201" s="106"/>
      <c r="GG201" s="98"/>
      <c r="GH201" s="106"/>
      <c r="GI201" s="98"/>
      <c r="GJ201" s="119">
        <f>DS201+DU201+DW201+DY201</f>
        <v>2199</v>
      </c>
      <c r="GK201" s="98"/>
      <c r="GL201" s="119">
        <f>EA201+EC201+EE201+EG201</f>
        <v>2252</v>
      </c>
      <c r="GM201" s="98">
        <f t="shared" ref="GM201:GW201" si="1223">IF(ISERROR((GL201/GJ201-1)*100),"NA",IF(((GL201/GJ201-1)*100)&gt;100,"NM",IF(((GL201/GJ201-1)*100)&lt;-50,"NM",(GL201/GJ201-1)*100)))</f>
        <v>2.4101864483856206</v>
      </c>
      <c r="GN201" s="119">
        <f>EI201+EK201+EM201+EO201</f>
        <v>2312</v>
      </c>
      <c r="GO201" s="98">
        <f t="shared" si="1223"/>
        <v>2.6642984014209503</v>
      </c>
      <c r="GP201" s="119">
        <f>EQ201+ES201+EU201+EW201</f>
        <v>2381.7832698328702</v>
      </c>
      <c r="GQ201" s="98">
        <f t="shared" si="1223"/>
        <v>3.0183075187227626</v>
      </c>
      <c r="GR201" s="122">
        <f>GP201*1.06</f>
        <v>2524.6902660228425</v>
      </c>
      <c r="GS201" s="98">
        <f t="shared" si="1223"/>
        <v>6.0000000000000053</v>
      </c>
      <c r="GT201" s="122">
        <f>GR201*1.06</f>
        <v>2676.1716819842131</v>
      </c>
      <c r="GU201" s="98">
        <f t="shared" si="1223"/>
        <v>6.0000000000000053</v>
      </c>
      <c r="GV201" s="122">
        <f>GT201*1.05</f>
        <v>2809.9802660834239</v>
      </c>
      <c r="GW201" s="98">
        <f t="shared" si="1223"/>
        <v>5.0000000000000044</v>
      </c>
      <c r="GX201" s="122">
        <f>GV201*1.05</f>
        <v>2950.4792793875954</v>
      </c>
      <c r="GY201" s="98">
        <f t="shared" ref="GY201:GY203" si="1224">IF(ISERROR((GX201/GV201-1)*100),"NA",IF(((GX201/GV201-1)*100)&gt;100,"NM",IF(((GX201/GV201-1)*100)&lt;-50,"NM",(GX201/GV201-1)*100)))</f>
        <v>5.0000000000000044</v>
      </c>
      <c r="GZ201" s="98">
        <f t="shared" ref="GZ201:GZ208" si="1225">IF(ISERROR(((GX201/GN201)^0.2-1)*100),"NA",IF((((GX201/GN201)^0.2-1)*100)&gt;100,"NM",IF((((GX201/GN201)^0.2-1)*100)&lt;-50,"NM",((GX201/GN201)^0.2-1)*100)))</f>
        <v>4.9979809342402426</v>
      </c>
      <c r="HA201" s="98"/>
      <c r="HB201" s="10"/>
      <c r="HC201"/>
      <c r="HD201"/>
      <c r="HE201"/>
      <c r="HF201"/>
      <c r="HG201"/>
      <c r="HH201"/>
      <c r="HI201" s="10"/>
    </row>
    <row r="202" spans="2:217" s="2" customFormat="1" ht="12.75" customHeight="1" x14ac:dyDescent="0.2">
      <c r="B202" s="990" t="s">
        <v>711</v>
      </c>
      <c r="C202" s="276"/>
      <c r="D202" s="156"/>
      <c r="E202" s="276"/>
      <c r="F202" s="156"/>
      <c r="G202" s="276"/>
      <c r="H202" s="156"/>
      <c r="I202" s="276"/>
      <c r="J202" s="156"/>
      <c r="K202" s="276"/>
      <c r="L202" s="156"/>
      <c r="M202" s="276"/>
      <c r="N202" s="156"/>
      <c r="O202" s="276"/>
      <c r="P202" s="156"/>
      <c r="Q202" s="276"/>
      <c r="R202" s="156"/>
      <c r="S202" s="276"/>
      <c r="T202" s="156"/>
      <c r="U202" s="276"/>
      <c r="V202" s="156"/>
      <c r="W202" s="276"/>
      <c r="X202" s="156"/>
      <c r="Y202" s="276"/>
      <c r="Z202" s="156"/>
      <c r="AA202" s="276"/>
      <c r="AB202" s="156"/>
      <c r="AC202" s="276"/>
      <c r="AD202" s="156"/>
      <c r="AE202" s="276"/>
      <c r="AF202" s="156"/>
      <c r="AG202" s="276"/>
      <c r="AH202" s="156"/>
      <c r="AI202" s="276"/>
      <c r="AJ202" s="156"/>
      <c r="AK202" s="276"/>
      <c r="AL202" s="156"/>
      <c r="AM202" s="276"/>
      <c r="AN202" s="156"/>
      <c r="AO202" s="276"/>
      <c r="AP202" s="156"/>
      <c r="AQ202" s="276"/>
      <c r="AR202" s="156"/>
      <c r="AS202" s="276"/>
      <c r="AT202" s="156"/>
      <c r="AU202" s="276"/>
      <c r="AV202" s="156"/>
      <c r="AW202" s="276"/>
      <c r="AX202" s="156"/>
      <c r="AY202" s="166"/>
      <c r="AZ202" s="156"/>
      <c r="BA202" s="166"/>
      <c r="BB202" s="156"/>
      <c r="BC202" s="166"/>
      <c r="BD202" s="156"/>
      <c r="BE202" s="166"/>
      <c r="BF202" s="156"/>
      <c r="BG202" s="166"/>
      <c r="BH202" s="156"/>
      <c r="BI202" s="166"/>
      <c r="BJ202" s="156"/>
      <c r="BK202" s="166"/>
      <c r="BL202" s="156"/>
      <c r="BM202" s="166"/>
      <c r="BN202" s="98"/>
      <c r="BO202" s="137"/>
      <c r="BP202" s="98"/>
      <c r="BQ202" s="137"/>
      <c r="BR202" s="98"/>
      <c r="BS202" s="137"/>
      <c r="BT202" s="98"/>
      <c r="BU202" s="137"/>
      <c r="BV202" s="98"/>
      <c r="BW202" s="137"/>
      <c r="BX202" s="98"/>
      <c r="BY202" s="137"/>
      <c r="BZ202" s="98"/>
      <c r="CA202" s="137"/>
      <c r="CB202" s="98"/>
      <c r="CC202" s="137"/>
      <c r="CD202" s="98"/>
      <c r="CE202" s="137"/>
      <c r="CF202" s="98"/>
      <c r="CG202" s="137"/>
      <c r="CH202" s="98"/>
      <c r="CI202" s="137"/>
      <c r="CJ202" s="98"/>
      <c r="CK202" s="137"/>
      <c r="CL202" s="98"/>
      <c r="CM202" s="137"/>
      <c r="CN202" s="98"/>
      <c r="CO202" s="137"/>
      <c r="CP202" s="98"/>
      <c r="CQ202" s="137"/>
      <c r="CR202" s="98"/>
      <c r="CS202" s="137"/>
      <c r="CT202" s="98"/>
      <c r="CU202" s="137"/>
      <c r="CV202" s="98"/>
      <c r="CW202" s="137"/>
      <c r="CX202" s="98"/>
      <c r="CY202" s="137"/>
      <c r="CZ202" s="98"/>
      <c r="DA202" s="137"/>
      <c r="DB202" s="98"/>
      <c r="DC202" s="137"/>
      <c r="DD202" s="98"/>
      <c r="DE202" s="137"/>
      <c r="DF202" s="98"/>
      <c r="DG202" s="137"/>
      <c r="DH202" s="98"/>
      <c r="DI202" s="137"/>
      <c r="DJ202" s="98"/>
      <c r="DK202" s="137"/>
      <c r="DL202" s="98"/>
      <c r="DM202" s="137"/>
      <c r="DN202" s="98"/>
      <c r="DO202" s="137"/>
      <c r="DP202" s="98"/>
      <c r="DQ202" s="137"/>
      <c r="DR202" s="98"/>
      <c r="DS202" s="117">
        <f>DS204-DS203</f>
        <v>380.32300000000004</v>
      </c>
      <c r="DT202" s="98"/>
      <c r="DU202" s="117">
        <f>DU204-DU203</f>
        <v>392.19900000000007</v>
      </c>
      <c r="DV202" s="98"/>
      <c r="DW202" s="117">
        <f>DW204-DW203</f>
        <v>409.96000000000009</v>
      </c>
      <c r="DX202" s="98"/>
      <c r="DY202" s="117">
        <f>DY204-DY203</f>
        <v>464.53799999999995</v>
      </c>
      <c r="DZ202" s="98"/>
      <c r="EA202" s="117">
        <f>EA204-EA203</f>
        <v>409.59</v>
      </c>
      <c r="EB202" s="98"/>
      <c r="EC202" s="117">
        <f>EC204-EC203</f>
        <v>419.80899999999997</v>
      </c>
      <c r="ED202" s="98"/>
      <c r="EE202" s="117">
        <f>EE204-EE203</f>
        <v>413.34300000000002</v>
      </c>
      <c r="EF202" s="860"/>
      <c r="EG202" s="117">
        <f>EG204-EG203</f>
        <v>480.78200000000004</v>
      </c>
      <c r="EH202" s="860"/>
      <c r="EI202" s="117">
        <f>EI204-EI203</f>
        <v>404.23400000000004</v>
      </c>
      <c r="EJ202" s="860"/>
      <c r="EK202" s="117">
        <f>EK204-EK203</f>
        <v>395.9430000000001</v>
      </c>
      <c r="EL202" s="860"/>
      <c r="EM202" s="117">
        <f>EM204-EM203</f>
        <v>403.65</v>
      </c>
      <c r="EN202" s="860"/>
      <c r="EO202" s="117">
        <f>EO204-EO203</f>
        <v>449.75099999999998</v>
      </c>
      <c r="EP202" s="98"/>
      <c r="EQ202" s="117">
        <f>EQ211/100*EQ201</f>
        <v>421.46160299999991</v>
      </c>
      <c r="ER202" s="98"/>
      <c r="ES202" s="117">
        <f t="shared" ref="ES202" si="1226">ES211/100*ES201</f>
        <v>421.23960951149979</v>
      </c>
      <c r="ET202" s="98"/>
      <c r="EU202" s="117">
        <f t="shared" ref="EU202" si="1227">EU211/100*EU201</f>
        <v>421.01249090764179</v>
      </c>
      <c r="EV202" s="98"/>
      <c r="EW202" s="117">
        <f t="shared" ref="EW202" si="1228">EW211/100*EW201</f>
        <v>420.78021843567495</v>
      </c>
      <c r="EX202" s="98"/>
      <c r="EY202" s="137"/>
      <c r="EZ202" s="601"/>
      <c r="FA202" s="411"/>
      <c r="FB202" s="242"/>
      <c r="FC202" s="233"/>
      <c r="FD202" s="137"/>
      <c r="FE202" s="233"/>
      <c r="FF202" s="137"/>
      <c r="FG202" s="233"/>
      <c r="FH202" s="137"/>
      <c r="FI202" s="233"/>
      <c r="FJ202" s="137"/>
      <c r="FK202" s="233"/>
      <c r="FL202" s="137"/>
      <c r="FM202" s="233"/>
      <c r="FN202" s="137"/>
      <c r="FO202" s="233"/>
      <c r="FP202" s="137"/>
      <c r="FQ202" s="233"/>
      <c r="FR202" s="106"/>
      <c r="FS202" s="120"/>
      <c r="FT202" s="106"/>
      <c r="FU202" s="120"/>
      <c r="FV202" s="106"/>
      <c r="FW202" s="98"/>
      <c r="FX202" s="483"/>
      <c r="FY202" s="98"/>
      <c r="FZ202" s="106"/>
      <c r="GA202" s="98"/>
      <c r="GB202" s="483"/>
      <c r="GC202" s="98"/>
      <c r="GD202" s="106"/>
      <c r="GE202" s="98"/>
      <c r="GF202" s="106"/>
      <c r="GG202" s="98"/>
      <c r="GH202" s="106"/>
      <c r="GI202" s="98"/>
      <c r="GJ202" s="119">
        <f>DS202+DU202+DW202+DY202</f>
        <v>1647.0200000000002</v>
      </c>
      <c r="GK202" s="98"/>
      <c r="GL202" s="119">
        <f>EA202+EC202+EE202+EG202</f>
        <v>1723.5239999999999</v>
      </c>
      <c r="GM202" s="98">
        <f t="shared" ref="GM202:GW203" si="1229">IF(ISERROR((GL202/GJ202-1)*100),"NA",IF(((GL202/GJ202-1)*100)&gt;100,"NM",IF(((GL202/GJ202-1)*100)&lt;-50,"NM",(GL202/GJ202-1)*100)))</f>
        <v>4.6449952034583575</v>
      </c>
      <c r="GN202" s="119">
        <f>EI202+EK202+EM202+EO202</f>
        <v>1653.5780000000002</v>
      </c>
      <c r="GO202" s="98">
        <f t="shared" si="1229"/>
        <v>-4.0583130841229771</v>
      </c>
      <c r="GP202" s="119">
        <f>EQ202+ES202+EU202+EW202</f>
        <v>1684.4939218548163</v>
      </c>
      <c r="GQ202" s="98">
        <f t="shared" si="1229"/>
        <v>1.8696379520540374</v>
      </c>
      <c r="GR202" s="117">
        <f>GR211/100*GR201</f>
        <v>1772.9401058359913</v>
      </c>
      <c r="GS202" s="98">
        <f t="shared" si="1229"/>
        <v>5.2506086744311897</v>
      </c>
      <c r="GT202" s="117">
        <f>GT211/100*GT201</f>
        <v>1865.9356537762296</v>
      </c>
      <c r="GU202" s="98">
        <f t="shared" si="1229"/>
        <v>5.2452729584109736</v>
      </c>
      <c r="GV202" s="117">
        <f>GV211/100*GV201</f>
        <v>1945.182535134624</v>
      </c>
      <c r="GW202" s="98">
        <f t="shared" si="1229"/>
        <v>4.2470318415330555</v>
      </c>
      <c r="GX202" s="117">
        <f>GX211/100*GX201</f>
        <v>2036.5407033325807</v>
      </c>
      <c r="GY202" s="98">
        <f t="shared" si="1224"/>
        <v>4.6966372845638427</v>
      </c>
      <c r="GZ202" s="98">
        <f t="shared" si="1225"/>
        <v>4.254229224027184</v>
      </c>
      <c r="HA202" s="98"/>
      <c r="HB202" s="10"/>
      <c r="HC202"/>
      <c r="HD202"/>
      <c r="HE202"/>
      <c r="HF202"/>
      <c r="HG202"/>
      <c r="HH202"/>
      <c r="HI202" s="10"/>
    </row>
    <row r="203" spans="2:217" s="2" customFormat="1" ht="12.75" customHeight="1" x14ac:dyDescent="0.2">
      <c r="B203" s="990" t="s">
        <v>712</v>
      </c>
      <c r="C203" s="276"/>
      <c r="D203" s="156"/>
      <c r="E203" s="276"/>
      <c r="F203" s="156"/>
      <c r="G203" s="276"/>
      <c r="H203" s="156"/>
      <c r="I203" s="276"/>
      <c r="J203" s="156"/>
      <c r="K203" s="276"/>
      <c r="L203" s="156"/>
      <c r="M203" s="276"/>
      <c r="N203" s="156"/>
      <c r="O203" s="276"/>
      <c r="P203" s="156"/>
      <c r="Q203" s="276"/>
      <c r="R203" s="156"/>
      <c r="S203" s="276"/>
      <c r="T203" s="156"/>
      <c r="U203" s="276"/>
      <c r="V203" s="156"/>
      <c r="W203" s="276"/>
      <c r="X203" s="156"/>
      <c r="Y203" s="276"/>
      <c r="Z203" s="156"/>
      <c r="AA203" s="276"/>
      <c r="AB203" s="156"/>
      <c r="AC203" s="276"/>
      <c r="AD203" s="156"/>
      <c r="AE203" s="276"/>
      <c r="AF203" s="156"/>
      <c r="AG203" s="276"/>
      <c r="AH203" s="156"/>
      <c r="AI203" s="276"/>
      <c r="AJ203" s="156"/>
      <c r="AK203" s="276"/>
      <c r="AL203" s="156"/>
      <c r="AM203" s="276"/>
      <c r="AN203" s="156"/>
      <c r="AO203" s="276"/>
      <c r="AP203" s="156"/>
      <c r="AQ203" s="276"/>
      <c r="AR203" s="156"/>
      <c r="AS203" s="276"/>
      <c r="AT203" s="156"/>
      <c r="AU203" s="276"/>
      <c r="AV203" s="156"/>
      <c r="AW203" s="276"/>
      <c r="AX203" s="156"/>
      <c r="AY203" s="166"/>
      <c r="AZ203" s="156"/>
      <c r="BA203" s="166"/>
      <c r="BB203" s="156"/>
      <c r="BC203" s="166"/>
      <c r="BD203" s="156"/>
      <c r="BE203" s="166"/>
      <c r="BF203" s="156"/>
      <c r="BG203" s="166"/>
      <c r="BH203" s="156"/>
      <c r="BI203" s="166"/>
      <c r="BJ203" s="156"/>
      <c r="BK203" s="166"/>
      <c r="BL203" s="156"/>
      <c r="BM203" s="166"/>
      <c r="BN203" s="98"/>
      <c r="BO203" s="137"/>
      <c r="BP203" s="98"/>
      <c r="BQ203" s="137"/>
      <c r="BR203" s="98"/>
      <c r="BS203" s="137"/>
      <c r="BT203" s="98"/>
      <c r="BU203" s="137"/>
      <c r="BV203" s="98"/>
      <c r="BW203" s="137"/>
      <c r="BX203" s="98"/>
      <c r="BY203" s="137"/>
      <c r="BZ203" s="98"/>
      <c r="CA203" s="137"/>
      <c r="CB203" s="98"/>
      <c r="CC203" s="137"/>
      <c r="CD203" s="98"/>
      <c r="CE203" s="137"/>
      <c r="CF203" s="98"/>
      <c r="CG203" s="137"/>
      <c r="CH203" s="98"/>
      <c r="CI203" s="137"/>
      <c r="CJ203" s="98"/>
      <c r="CK203" s="137"/>
      <c r="CL203" s="98"/>
      <c r="CM203" s="137"/>
      <c r="CN203" s="98"/>
      <c r="CO203" s="137"/>
      <c r="CP203" s="98"/>
      <c r="CQ203" s="137"/>
      <c r="CR203" s="98"/>
      <c r="CS203" s="137"/>
      <c r="CT203" s="98"/>
      <c r="CU203" s="137"/>
      <c r="CV203" s="98"/>
      <c r="CW203" s="137"/>
      <c r="CX203" s="98"/>
      <c r="CY203" s="137"/>
      <c r="CZ203" s="98"/>
      <c r="DA203" s="137"/>
      <c r="DB203" s="98"/>
      <c r="DC203" s="137"/>
      <c r="DD203" s="98"/>
      <c r="DE203" s="137"/>
      <c r="DF203" s="98"/>
      <c r="DG203" s="137"/>
      <c r="DH203" s="98"/>
      <c r="DI203" s="137"/>
      <c r="DJ203" s="98"/>
      <c r="DK203" s="137"/>
      <c r="DL203" s="98"/>
      <c r="DM203" s="137"/>
      <c r="DN203" s="98"/>
      <c r="DO203" s="137"/>
      <c r="DP203" s="98"/>
      <c r="DQ203" s="137"/>
      <c r="DR203" s="98"/>
      <c r="DS203" s="117">
        <f>DS217*DS201/100</f>
        <v>1.0820000000000001</v>
      </c>
      <c r="DT203" s="98"/>
      <c r="DU203" s="117">
        <f>DU217*DU201/100</f>
        <v>10.392999999999999</v>
      </c>
      <c r="DV203" s="98"/>
      <c r="DW203" s="117">
        <f>DW217*DW201/100</f>
        <v>6.0940000000000012</v>
      </c>
      <c r="DX203" s="98"/>
      <c r="DY203" s="117">
        <f>DY217*DY201/100</f>
        <v>2.2280000000000002</v>
      </c>
      <c r="DZ203" s="98"/>
      <c r="EA203" s="117">
        <f>EA217*EA201/100</f>
        <v>9.99</v>
      </c>
      <c r="EB203" s="98"/>
      <c r="EC203" s="117">
        <f>EC217*EC201/100</f>
        <v>21.241999999999997</v>
      </c>
      <c r="ED203" s="98"/>
      <c r="EE203" s="117">
        <f>EE217*EE201/100</f>
        <v>9.6389999999999993</v>
      </c>
      <c r="EF203" s="860"/>
      <c r="EG203" s="117">
        <f>EG217*EG201/100</f>
        <v>6.2810000000000006</v>
      </c>
      <c r="EH203" s="860"/>
      <c r="EI203" s="117">
        <f>EI217*EI201/100</f>
        <v>7.8819999999999997</v>
      </c>
      <c r="EJ203" s="860"/>
      <c r="EK203" s="117">
        <f>EK217*EK201/100</f>
        <v>16.043999999999997</v>
      </c>
      <c r="EL203" s="860"/>
      <c r="EM203" s="117">
        <f>EM217*EM201/100</f>
        <v>37.44</v>
      </c>
      <c r="EN203" s="860"/>
      <c r="EO203" s="117">
        <f>EO217*EO201/100</f>
        <v>3.5459999999999998</v>
      </c>
      <c r="EP203" s="98"/>
      <c r="EQ203" s="117">
        <f>EQ217*EQ201/100</f>
        <v>5.9277299999999995</v>
      </c>
      <c r="ER203" s="98"/>
      <c r="ES203" s="117">
        <f t="shared" ref="ES203" si="1230">ES217*ES201/100</f>
        <v>11.891026379999996</v>
      </c>
      <c r="ET203" s="98"/>
      <c r="EU203" s="117">
        <f t="shared" ref="EU203" si="1231">EU217*EU201/100</f>
        <v>17.890049188709995</v>
      </c>
      <c r="EV203" s="98"/>
      <c r="EW203" s="117">
        <f t="shared" ref="EW203" si="1232">EW217*EW201/100</f>
        <v>5.9812397787587068</v>
      </c>
      <c r="EX203" s="98"/>
      <c r="EY203" s="137"/>
      <c r="EZ203" s="601"/>
      <c r="FA203" s="411"/>
      <c r="FB203" s="242"/>
      <c r="FC203" s="233"/>
      <c r="FD203" s="137"/>
      <c r="FE203" s="233"/>
      <c r="FF203" s="137"/>
      <c r="FG203" s="233"/>
      <c r="FH203" s="137"/>
      <c r="FI203" s="233"/>
      <c r="FJ203" s="137"/>
      <c r="FK203" s="233"/>
      <c r="FL203" s="137"/>
      <c r="FM203" s="233"/>
      <c r="FN203" s="137"/>
      <c r="FO203" s="233"/>
      <c r="FP203" s="137"/>
      <c r="FQ203" s="233"/>
      <c r="FR203" s="106"/>
      <c r="FS203" s="120"/>
      <c r="FT203" s="106"/>
      <c r="FU203" s="120"/>
      <c r="FV203" s="106"/>
      <c r="FW203" s="98"/>
      <c r="FX203" s="483"/>
      <c r="FY203" s="98"/>
      <c r="FZ203" s="106"/>
      <c r="GA203" s="98"/>
      <c r="GB203" s="483"/>
      <c r="GC203" s="98"/>
      <c r="GD203" s="106"/>
      <c r="GE203" s="98"/>
      <c r="GF203" s="106"/>
      <c r="GG203" s="98"/>
      <c r="GH203" s="106"/>
      <c r="GI203" s="98"/>
      <c r="GJ203" s="119">
        <f>DS203+DU203+DW203+DY203</f>
        <v>19.797000000000004</v>
      </c>
      <c r="GK203" s="98"/>
      <c r="GL203" s="119">
        <f>EA203+EC203+EE203+EG203</f>
        <v>47.151999999999994</v>
      </c>
      <c r="GM203" s="98" t="str">
        <f t="shared" si="1229"/>
        <v>NM</v>
      </c>
      <c r="GN203" s="119">
        <f>EI203+EK203+EM203+EO203</f>
        <v>64.911999999999992</v>
      </c>
      <c r="GO203" s="98">
        <f t="shared" si="1229"/>
        <v>37.665422463522226</v>
      </c>
      <c r="GP203" s="119">
        <f>EQ203+ES203+EU203+EW203</f>
        <v>41.690045347468697</v>
      </c>
      <c r="GQ203" s="98">
        <f t="shared" si="1229"/>
        <v>-35.774517273433723</v>
      </c>
      <c r="GR203" s="117">
        <f>GR217*GR201/100</f>
        <v>44.191448068316824</v>
      </c>
      <c r="GS203" s="98">
        <f t="shared" si="1229"/>
        <v>6.0000000000000053</v>
      </c>
      <c r="GT203" s="117">
        <f>GT217*GT201/100</f>
        <v>46.842934952415838</v>
      </c>
      <c r="GU203" s="98">
        <f t="shared" si="1229"/>
        <v>6.0000000000000053</v>
      </c>
      <c r="GV203" s="117">
        <f>GV217*GV201/100</f>
        <v>49.185081700036626</v>
      </c>
      <c r="GW203" s="98">
        <f t="shared" si="1229"/>
        <v>4.9999999999999822</v>
      </c>
      <c r="GX203" s="117">
        <f>GX217*GX201/100</f>
        <v>51.644335785038464</v>
      </c>
      <c r="GY203" s="98">
        <f t="shared" si="1224"/>
        <v>5.0000000000000044</v>
      </c>
      <c r="GZ203" s="98">
        <f t="shared" si="1225"/>
        <v>-4.4700520394598158</v>
      </c>
      <c r="HA203" s="98"/>
      <c r="HB203" s="10"/>
      <c r="HC203"/>
      <c r="HD203"/>
      <c r="HE203"/>
      <c r="HF203"/>
      <c r="HG203"/>
      <c r="HH203"/>
      <c r="HI203" s="10"/>
    </row>
    <row r="204" spans="2:217" s="2" customFormat="1" ht="12.75" customHeight="1" x14ac:dyDescent="0.2">
      <c r="B204" s="991" t="s">
        <v>713</v>
      </c>
      <c r="C204" s="276"/>
      <c r="D204" s="156"/>
      <c r="E204" s="276"/>
      <c r="F204" s="156"/>
      <c r="G204" s="276"/>
      <c r="H204" s="156"/>
      <c r="I204" s="276"/>
      <c r="J204" s="156"/>
      <c r="K204" s="276"/>
      <c r="L204" s="156"/>
      <c r="M204" s="276"/>
      <c r="N204" s="156"/>
      <c r="O204" s="276"/>
      <c r="P204" s="156"/>
      <c r="Q204" s="276"/>
      <c r="R204" s="156"/>
      <c r="S204" s="276"/>
      <c r="T204" s="156"/>
      <c r="U204" s="276"/>
      <c r="V204" s="156"/>
      <c r="W204" s="276"/>
      <c r="X204" s="156"/>
      <c r="Y204" s="276"/>
      <c r="Z204" s="156"/>
      <c r="AA204" s="276"/>
      <c r="AB204" s="156"/>
      <c r="AC204" s="276"/>
      <c r="AD204" s="156"/>
      <c r="AE204" s="276"/>
      <c r="AF204" s="156"/>
      <c r="AG204" s="276"/>
      <c r="AH204" s="156"/>
      <c r="AI204" s="276"/>
      <c r="AJ204" s="156"/>
      <c r="AK204" s="276"/>
      <c r="AL204" s="156"/>
      <c r="AM204" s="276"/>
      <c r="AN204" s="156"/>
      <c r="AO204" s="276"/>
      <c r="AP204" s="156"/>
      <c r="AQ204" s="276"/>
      <c r="AR204" s="156"/>
      <c r="AS204" s="276"/>
      <c r="AT204" s="156"/>
      <c r="AU204" s="276"/>
      <c r="AV204" s="156"/>
      <c r="AW204" s="276"/>
      <c r="AX204" s="156"/>
      <c r="AY204" s="166"/>
      <c r="AZ204" s="156"/>
      <c r="BA204" s="166"/>
      <c r="BB204" s="156"/>
      <c r="BC204" s="166"/>
      <c r="BD204" s="156"/>
      <c r="BE204" s="166"/>
      <c r="BF204" s="156"/>
      <c r="BG204" s="166"/>
      <c r="BH204" s="156"/>
      <c r="BI204" s="166"/>
      <c r="BJ204" s="156"/>
      <c r="BK204" s="166"/>
      <c r="BL204" s="156"/>
      <c r="BM204" s="166"/>
      <c r="BN204" s="98"/>
      <c r="BO204" s="137"/>
      <c r="BP204" s="98"/>
      <c r="BQ204" s="137"/>
      <c r="BR204" s="98"/>
      <c r="BS204" s="137"/>
      <c r="BT204" s="98"/>
      <c r="BU204" s="137"/>
      <c r="BV204" s="98"/>
      <c r="BW204" s="137"/>
      <c r="BX204" s="98"/>
      <c r="BY204" s="137"/>
      <c r="BZ204" s="98"/>
      <c r="CA204" s="137"/>
      <c r="CB204" s="98"/>
      <c r="CC204" s="137"/>
      <c r="CD204" s="98"/>
      <c r="CE204" s="137"/>
      <c r="CF204" s="98"/>
      <c r="CG204" s="137"/>
      <c r="CH204" s="98"/>
      <c r="CI204" s="137"/>
      <c r="CJ204" s="98"/>
      <c r="CK204" s="137"/>
      <c r="CL204" s="98"/>
      <c r="CM204" s="137"/>
      <c r="CN204" s="98"/>
      <c r="CO204" s="137"/>
      <c r="CP204" s="98"/>
      <c r="CQ204" s="137"/>
      <c r="CR204" s="98"/>
      <c r="CS204" s="137"/>
      <c r="CT204" s="98"/>
      <c r="CU204" s="137"/>
      <c r="CV204" s="98"/>
      <c r="CW204" s="137"/>
      <c r="CX204" s="98"/>
      <c r="CY204" s="137"/>
      <c r="CZ204" s="98"/>
      <c r="DA204" s="137"/>
      <c r="DB204" s="98"/>
      <c r="DC204" s="137"/>
      <c r="DD204" s="98"/>
      <c r="DE204" s="137"/>
      <c r="DF204" s="98"/>
      <c r="DG204" s="137"/>
      <c r="DH204" s="98"/>
      <c r="DI204" s="137"/>
      <c r="DJ204" s="98"/>
      <c r="DK204" s="137"/>
      <c r="DL204" s="98"/>
      <c r="DM204" s="137"/>
      <c r="DN204" s="98"/>
      <c r="DO204" s="137"/>
      <c r="DP204" s="98"/>
      <c r="DQ204" s="137"/>
      <c r="DR204" s="98"/>
      <c r="DS204" s="117">
        <f>DS206-DS205</f>
        <v>381.40500000000003</v>
      </c>
      <c r="DT204" s="98"/>
      <c r="DU204" s="117">
        <f>DU206-DU205</f>
        <v>402.59200000000004</v>
      </c>
      <c r="DV204" s="98"/>
      <c r="DW204" s="117">
        <f>DW206-DW205</f>
        <v>416.05400000000009</v>
      </c>
      <c r="DX204" s="98"/>
      <c r="DY204" s="117">
        <f>DY206-DY205</f>
        <v>466.76599999999996</v>
      </c>
      <c r="DZ204" s="98"/>
      <c r="EA204" s="117">
        <f>EA206-EA205</f>
        <v>419.58</v>
      </c>
      <c r="EB204" s="98"/>
      <c r="EC204" s="117">
        <f>EC206-EC205</f>
        <v>441.05099999999999</v>
      </c>
      <c r="ED204" s="98"/>
      <c r="EE204" s="117">
        <f>EE206-EE205</f>
        <v>422.98200000000003</v>
      </c>
      <c r="EF204" s="860"/>
      <c r="EG204" s="117">
        <f>EG206-EG205</f>
        <v>487.06300000000005</v>
      </c>
      <c r="EH204" s="860"/>
      <c r="EI204" s="117">
        <f>EI206-EI205</f>
        <v>412.11600000000004</v>
      </c>
      <c r="EJ204" s="860"/>
      <c r="EK204" s="117">
        <f>EK206-EK205</f>
        <v>411.98700000000008</v>
      </c>
      <c r="EL204" s="860"/>
      <c r="EM204" s="117">
        <f>EM206-EM205</f>
        <v>441.09</v>
      </c>
      <c r="EN204" s="860"/>
      <c r="EO204" s="117">
        <f>EO206-EO205</f>
        <v>453.29699999999997</v>
      </c>
      <c r="EP204" s="98"/>
      <c r="EQ204" s="117">
        <f>EQ202+EQ203</f>
        <v>427.38933299999991</v>
      </c>
      <c r="ER204" s="98"/>
      <c r="ES204" s="117">
        <f t="shared" ref="ES204" si="1233">ES202+ES203</f>
        <v>433.13063589149976</v>
      </c>
      <c r="ET204" s="98"/>
      <c r="EU204" s="117">
        <f t="shared" ref="EU204" si="1234">EU202+EU203</f>
        <v>438.9025400963518</v>
      </c>
      <c r="EV204" s="98"/>
      <c r="EW204" s="117">
        <f t="shared" ref="EW204" si="1235">EW202+EW203</f>
        <v>426.76145821443367</v>
      </c>
      <c r="EX204" s="98"/>
      <c r="EY204" s="137"/>
      <c r="EZ204" s="601"/>
      <c r="FA204" s="411"/>
      <c r="FB204" s="242"/>
      <c r="FC204" s="233"/>
      <c r="FD204" s="137"/>
      <c r="FE204" s="233"/>
      <c r="FF204" s="137"/>
      <c r="FG204" s="233"/>
      <c r="FH204" s="137"/>
      <c r="FI204" s="233"/>
      <c r="FJ204" s="137"/>
      <c r="FK204" s="233"/>
      <c r="FL204" s="137"/>
      <c r="FM204" s="233"/>
      <c r="FN204" s="137"/>
      <c r="FO204" s="233"/>
      <c r="FP204" s="137"/>
      <c r="FQ204" s="233"/>
      <c r="FR204" s="106"/>
      <c r="FS204" s="120"/>
      <c r="FT204" s="106"/>
      <c r="FU204" s="120"/>
      <c r="FV204" s="106"/>
      <c r="FW204" s="98"/>
      <c r="FX204" s="483"/>
      <c r="FY204" s="98"/>
      <c r="FZ204" s="106"/>
      <c r="GA204" s="98"/>
      <c r="GB204" s="483"/>
      <c r="GC204" s="98"/>
      <c r="GD204" s="106"/>
      <c r="GE204" s="98"/>
      <c r="GF204" s="106"/>
      <c r="GG204" s="98"/>
      <c r="GH204" s="106"/>
      <c r="GI204" s="98"/>
      <c r="GJ204" s="100">
        <f>GJ202+GJ203</f>
        <v>1666.8170000000002</v>
      </c>
      <c r="GK204" s="98"/>
      <c r="GL204" s="100">
        <f>GL202+GL203</f>
        <v>1770.6759999999999</v>
      </c>
      <c r="GM204" s="98"/>
      <c r="GN204" s="100">
        <f>GN202+GN203</f>
        <v>1718.4900000000002</v>
      </c>
      <c r="GO204" s="98"/>
      <c r="GP204" s="100">
        <f>GP202+GP203</f>
        <v>1726.183967202285</v>
      </c>
      <c r="GQ204" s="98"/>
      <c r="GR204" s="117">
        <f>GR202+GR203</f>
        <v>1817.131553904308</v>
      </c>
      <c r="GS204" s="98"/>
      <c r="GT204" s="117">
        <f>GT202+GT203</f>
        <v>1912.7785887286454</v>
      </c>
      <c r="GU204" s="98"/>
      <c r="GV204" s="117">
        <f>GV202+GV203</f>
        <v>1994.3676168346606</v>
      </c>
      <c r="GW204" s="98"/>
      <c r="GX204" s="117">
        <f>GX202+GX203</f>
        <v>2088.185039117619</v>
      </c>
      <c r="GY204" s="98"/>
      <c r="GZ204" s="98">
        <f t="shared" si="1225"/>
        <v>3.9739142965118823</v>
      </c>
      <c r="HA204" s="98"/>
      <c r="HB204" s="10"/>
      <c r="HC204"/>
      <c r="HD204"/>
      <c r="HE204"/>
      <c r="HF204"/>
      <c r="HG204"/>
      <c r="HH204"/>
      <c r="HI204" s="10"/>
    </row>
    <row r="205" spans="2:217" s="2" customFormat="1" ht="12.75" customHeight="1" x14ac:dyDescent="0.2">
      <c r="B205" s="991" t="s">
        <v>714</v>
      </c>
      <c r="C205" s="276"/>
      <c r="D205" s="156"/>
      <c r="E205" s="276"/>
      <c r="F205" s="156"/>
      <c r="G205" s="276"/>
      <c r="H205" s="156"/>
      <c r="I205" s="276"/>
      <c r="J205" s="156"/>
      <c r="K205" s="276"/>
      <c r="L205" s="156"/>
      <c r="M205" s="276"/>
      <c r="N205" s="156"/>
      <c r="O205" s="276"/>
      <c r="P205" s="156"/>
      <c r="Q205" s="276"/>
      <c r="R205" s="156"/>
      <c r="S205" s="276"/>
      <c r="T205" s="156"/>
      <c r="U205" s="276"/>
      <c r="V205" s="156"/>
      <c r="W205" s="276"/>
      <c r="X205" s="156"/>
      <c r="Y205" s="276"/>
      <c r="Z205" s="156"/>
      <c r="AA205" s="276"/>
      <c r="AB205" s="156"/>
      <c r="AC205" s="276"/>
      <c r="AD205" s="156"/>
      <c r="AE205" s="276"/>
      <c r="AF205" s="156"/>
      <c r="AG205" s="276"/>
      <c r="AH205" s="156"/>
      <c r="AI205" s="276"/>
      <c r="AJ205" s="156"/>
      <c r="AK205" s="276"/>
      <c r="AL205" s="156"/>
      <c r="AM205" s="276"/>
      <c r="AN205" s="156"/>
      <c r="AO205" s="276"/>
      <c r="AP205" s="156"/>
      <c r="AQ205" s="276"/>
      <c r="AR205" s="156"/>
      <c r="AS205" s="276"/>
      <c r="AT205" s="156"/>
      <c r="AU205" s="276"/>
      <c r="AV205" s="156"/>
      <c r="AW205" s="276"/>
      <c r="AX205" s="156"/>
      <c r="AY205" s="166"/>
      <c r="AZ205" s="156"/>
      <c r="BA205" s="166"/>
      <c r="BB205" s="156"/>
      <c r="BC205" s="166"/>
      <c r="BD205" s="156"/>
      <c r="BE205" s="166"/>
      <c r="BF205" s="156"/>
      <c r="BG205" s="166"/>
      <c r="BH205" s="156"/>
      <c r="BI205" s="166"/>
      <c r="BJ205" s="156"/>
      <c r="BK205" s="166"/>
      <c r="BL205" s="156"/>
      <c r="BM205" s="166"/>
      <c r="BN205" s="98"/>
      <c r="BO205" s="137"/>
      <c r="BP205" s="98"/>
      <c r="BQ205" s="137"/>
      <c r="BR205" s="98"/>
      <c r="BS205" s="137"/>
      <c r="BT205" s="98"/>
      <c r="BU205" s="137"/>
      <c r="BV205" s="98"/>
      <c r="BW205" s="137"/>
      <c r="BX205" s="98"/>
      <c r="BY205" s="137"/>
      <c r="BZ205" s="98"/>
      <c r="CA205" s="137"/>
      <c r="CB205" s="98"/>
      <c r="CC205" s="137"/>
      <c r="CD205" s="98"/>
      <c r="CE205" s="137"/>
      <c r="CF205" s="98"/>
      <c r="CG205" s="137"/>
      <c r="CH205" s="98"/>
      <c r="CI205" s="137"/>
      <c r="CJ205" s="98"/>
      <c r="CK205" s="137"/>
      <c r="CL205" s="98"/>
      <c r="CM205" s="137"/>
      <c r="CN205" s="98"/>
      <c r="CO205" s="137"/>
      <c r="CP205" s="98"/>
      <c r="CQ205" s="137"/>
      <c r="CR205" s="98"/>
      <c r="CS205" s="137"/>
      <c r="CT205" s="98"/>
      <c r="CU205" s="137"/>
      <c r="CV205" s="98"/>
      <c r="CW205" s="137"/>
      <c r="CX205" s="98"/>
      <c r="CY205" s="137"/>
      <c r="CZ205" s="98"/>
      <c r="DA205" s="137"/>
      <c r="DB205" s="98"/>
      <c r="DC205" s="137"/>
      <c r="DD205" s="98"/>
      <c r="DE205" s="137"/>
      <c r="DF205" s="98"/>
      <c r="DG205" s="137"/>
      <c r="DH205" s="98"/>
      <c r="DI205" s="137"/>
      <c r="DJ205" s="98"/>
      <c r="DK205" s="137"/>
      <c r="DL205" s="98"/>
      <c r="DM205" s="137"/>
      <c r="DN205" s="98"/>
      <c r="DO205" s="137"/>
      <c r="DP205" s="98"/>
      <c r="DQ205" s="137"/>
      <c r="DR205" s="98"/>
      <c r="DS205" s="117">
        <f>DS216*DS201/100</f>
        <v>-9.7380000000000013</v>
      </c>
      <c r="DT205" s="98"/>
      <c r="DU205" s="117">
        <f>DU216*DU201/100</f>
        <v>-12.034000000000001</v>
      </c>
      <c r="DV205" s="98"/>
      <c r="DW205" s="117">
        <f>DW216*DW201/100</f>
        <v>-14.958000000000002</v>
      </c>
      <c r="DX205" s="98"/>
      <c r="DY205" s="117">
        <f>DY216*DY201/100</f>
        <v>2.7850000000000001</v>
      </c>
      <c r="DZ205" s="98"/>
      <c r="EA205" s="117">
        <f>EA216*EA201/100</f>
        <v>0</v>
      </c>
      <c r="EB205" s="98"/>
      <c r="EC205" s="117">
        <f>EC216*EC201/100</f>
        <v>0.55900000000000005</v>
      </c>
      <c r="ED205" s="98"/>
      <c r="EE205" s="117">
        <f>EE216*EE201/100</f>
        <v>-1.7009999999999998</v>
      </c>
      <c r="EF205" s="860"/>
      <c r="EG205" s="117">
        <f>EG216*EG201/100</f>
        <v>-0.57100000000000006</v>
      </c>
      <c r="EH205" s="860"/>
      <c r="EI205" s="117">
        <f>EI216*EI201/100</f>
        <v>-4.5040000000000004</v>
      </c>
      <c r="EJ205" s="860"/>
      <c r="EK205" s="117">
        <f>EK216*EK201/100</f>
        <v>-2.8650000000000002</v>
      </c>
      <c r="EL205" s="860"/>
      <c r="EM205" s="117">
        <f>EM216*EM201/100</f>
        <v>-5.2649999999999997</v>
      </c>
      <c r="EN205" s="860"/>
      <c r="EO205" s="117">
        <f>EO216*EO201/100</f>
        <v>-10.638</v>
      </c>
      <c r="EP205" s="98"/>
      <c r="EQ205" s="117">
        <f>EQ216*EQ201/100</f>
        <v>0</v>
      </c>
      <c r="ER205" s="98"/>
      <c r="ES205" s="117">
        <f t="shared" ref="ES205" si="1236">ES216*ES201/100</f>
        <v>0</v>
      </c>
      <c r="ET205" s="98"/>
      <c r="EU205" s="117">
        <f t="shared" ref="EU205" si="1237">EU216*EU201/100</f>
        <v>0</v>
      </c>
      <c r="EV205" s="98"/>
      <c r="EW205" s="117">
        <f t="shared" ref="EW205" si="1238">EW216*EW201/100</f>
        <v>0</v>
      </c>
      <c r="EX205" s="98"/>
      <c r="EY205" s="137"/>
      <c r="EZ205" s="601"/>
      <c r="FA205" s="411"/>
      <c r="FB205" s="242"/>
      <c r="FC205" s="233"/>
      <c r="FD205" s="137"/>
      <c r="FE205" s="233"/>
      <c r="FF205" s="137"/>
      <c r="FG205" s="233"/>
      <c r="FH205" s="137"/>
      <c r="FI205" s="233"/>
      <c r="FJ205" s="137"/>
      <c r="FK205" s="233"/>
      <c r="FL205" s="137"/>
      <c r="FM205" s="233"/>
      <c r="FN205" s="137"/>
      <c r="FO205" s="233"/>
      <c r="FP205" s="137"/>
      <c r="FQ205" s="233"/>
      <c r="FR205" s="106"/>
      <c r="FS205" s="120"/>
      <c r="FT205" s="106"/>
      <c r="FU205" s="120"/>
      <c r="FV205" s="106"/>
      <c r="FW205" s="98"/>
      <c r="FX205" s="483"/>
      <c r="FY205" s="98"/>
      <c r="FZ205" s="106"/>
      <c r="GA205" s="98"/>
      <c r="GB205" s="483"/>
      <c r="GC205" s="98"/>
      <c r="GD205" s="106"/>
      <c r="GE205" s="98"/>
      <c r="GF205" s="106"/>
      <c r="GG205" s="98"/>
      <c r="GH205" s="106"/>
      <c r="GI205" s="98"/>
      <c r="GJ205" s="119">
        <f>DS205+DU205+DW205+DY205</f>
        <v>-33.945000000000007</v>
      </c>
      <c r="GK205" s="98"/>
      <c r="GL205" s="119">
        <f>EA205+EC205+EE205+EG205</f>
        <v>-1.7130000000000001</v>
      </c>
      <c r="GM205" s="98" t="str">
        <f t="shared" ref="GM205:GW208" si="1239">IF(ISERROR((GL205/GJ205-1)*100),"NA",IF(((GL205/GJ205-1)*100)&gt;100,"NM",IF(((GL205/GJ205-1)*100)&lt;-50,"NM",(GL205/GJ205-1)*100)))</f>
        <v>NM</v>
      </c>
      <c r="GN205" s="119">
        <f>EI205+EK205+EM205+EO205</f>
        <v>-23.271999999999998</v>
      </c>
      <c r="GO205" s="98" t="str">
        <f t="shared" si="1239"/>
        <v>NM</v>
      </c>
      <c r="GP205" s="119">
        <f>EQ205+ES205+EU205+EW205</f>
        <v>0</v>
      </c>
      <c r="GQ205" s="98" t="str">
        <f t="shared" si="1239"/>
        <v>NM</v>
      </c>
      <c r="GR205" s="117">
        <f>GR216*GR201/100</f>
        <v>0</v>
      </c>
      <c r="GS205" s="98" t="str">
        <f t="shared" si="1239"/>
        <v>NA</v>
      </c>
      <c r="GT205" s="117">
        <f>GT216*GT201/100</f>
        <v>0</v>
      </c>
      <c r="GU205" s="98" t="str">
        <f t="shared" si="1239"/>
        <v>NA</v>
      </c>
      <c r="GV205" s="117">
        <f>GV216*GV201/100</f>
        <v>0</v>
      </c>
      <c r="GW205" s="98" t="str">
        <f t="shared" si="1239"/>
        <v>NA</v>
      </c>
      <c r="GX205" s="117">
        <f>GX216*GX201/100</f>
        <v>0</v>
      </c>
      <c r="GY205" s="98" t="str">
        <f t="shared" ref="GY205:GY208" si="1240">IF(ISERROR((GX205/GV205-1)*100),"NA",IF(((GX205/GV205-1)*100)&gt;100,"NM",IF(((GX205/GV205-1)*100)&lt;-50,"NM",(GX205/GV205-1)*100)))</f>
        <v>NA</v>
      </c>
      <c r="GZ205" s="98" t="str">
        <f t="shared" si="1225"/>
        <v>NM</v>
      </c>
      <c r="HA205" s="98"/>
      <c r="HB205" s="10"/>
      <c r="HC205"/>
      <c r="HD205"/>
      <c r="HE205"/>
      <c r="HF205"/>
      <c r="HG205"/>
      <c r="HH205"/>
      <c r="HI205" s="10"/>
    </row>
    <row r="206" spans="2:217" s="2" customFormat="1" ht="12.75" customHeight="1" x14ac:dyDescent="0.2">
      <c r="B206" s="988" t="s">
        <v>715</v>
      </c>
      <c r="C206" s="276"/>
      <c r="D206" s="156"/>
      <c r="E206" s="276"/>
      <c r="F206" s="156"/>
      <c r="G206" s="276"/>
      <c r="H206" s="156"/>
      <c r="I206" s="276"/>
      <c r="J206" s="156"/>
      <c r="K206" s="276"/>
      <c r="L206" s="156"/>
      <c r="M206" s="276"/>
      <c r="N206" s="156"/>
      <c r="O206" s="276"/>
      <c r="P206" s="156"/>
      <c r="Q206" s="276"/>
      <c r="R206" s="156"/>
      <c r="S206" s="276"/>
      <c r="T206" s="156"/>
      <c r="U206" s="276"/>
      <c r="V206" s="156"/>
      <c r="W206" s="276"/>
      <c r="X206" s="156"/>
      <c r="Y206" s="276"/>
      <c r="Z206" s="156"/>
      <c r="AA206" s="276"/>
      <c r="AB206" s="156"/>
      <c r="AC206" s="276"/>
      <c r="AD206" s="156"/>
      <c r="AE206" s="276"/>
      <c r="AF206" s="156"/>
      <c r="AG206" s="276"/>
      <c r="AH206" s="156"/>
      <c r="AI206" s="276"/>
      <c r="AJ206" s="156"/>
      <c r="AK206" s="276"/>
      <c r="AL206" s="156"/>
      <c r="AM206" s="276"/>
      <c r="AN206" s="156"/>
      <c r="AO206" s="276"/>
      <c r="AP206" s="156"/>
      <c r="AQ206" s="276"/>
      <c r="AR206" s="156"/>
      <c r="AS206" s="276"/>
      <c r="AT206" s="156"/>
      <c r="AU206" s="276"/>
      <c r="AV206" s="156"/>
      <c r="AW206" s="276"/>
      <c r="AX206" s="156"/>
      <c r="AY206" s="166"/>
      <c r="AZ206" s="156"/>
      <c r="BA206" s="166"/>
      <c r="BB206" s="156"/>
      <c r="BC206" s="166"/>
      <c r="BD206" s="156"/>
      <c r="BE206" s="166"/>
      <c r="BF206" s="156"/>
      <c r="BG206" s="166"/>
      <c r="BH206" s="156"/>
      <c r="BI206" s="166"/>
      <c r="BJ206" s="156"/>
      <c r="BK206" s="166"/>
      <c r="BL206" s="156"/>
      <c r="BM206" s="166"/>
      <c r="BN206" s="98"/>
      <c r="BO206" s="137"/>
      <c r="BP206" s="98"/>
      <c r="BQ206" s="137"/>
      <c r="BR206" s="98"/>
      <c r="BS206" s="137"/>
      <c r="BT206" s="98"/>
      <c r="BU206" s="137"/>
      <c r="BV206" s="98"/>
      <c r="BW206" s="137"/>
      <c r="BX206" s="98"/>
      <c r="BY206" s="137"/>
      <c r="BZ206" s="98"/>
      <c r="CA206" s="137"/>
      <c r="CB206" s="98"/>
      <c r="CC206" s="137"/>
      <c r="CD206" s="98"/>
      <c r="CE206" s="137"/>
      <c r="CF206" s="98"/>
      <c r="CG206" s="137"/>
      <c r="CH206" s="98"/>
      <c r="CI206" s="137"/>
      <c r="CJ206" s="98"/>
      <c r="CK206" s="137"/>
      <c r="CL206" s="98"/>
      <c r="CM206" s="137"/>
      <c r="CN206" s="98"/>
      <c r="CO206" s="137"/>
      <c r="CP206" s="98"/>
      <c r="CQ206" s="137"/>
      <c r="CR206" s="98"/>
      <c r="CS206" s="137"/>
      <c r="CT206" s="98"/>
      <c r="CU206" s="137"/>
      <c r="CV206" s="98"/>
      <c r="CW206" s="137"/>
      <c r="CX206" s="98"/>
      <c r="CY206" s="137"/>
      <c r="CZ206" s="98"/>
      <c r="DA206" s="137"/>
      <c r="DB206" s="98"/>
      <c r="DC206" s="137"/>
      <c r="DD206" s="98"/>
      <c r="DE206" s="137"/>
      <c r="DF206" s="98"/>
      <c r="DG206" s="137"/>
      <c r="DH206" s="98"/>
      <c r="DI206" s="137"/>
      <c r="DJ206" s="98"/>
      <c r="DK206" s="137"/>
      <c r="DL206" s="98"/>
      <c r="DM206" s="137"/>
      <c r="DN206" s="98"/>
      <c r="DO206" s="137"/>
      <c r="DP206" s="98"/>
      <c r="DQ206" s="137"/>
      <c r="DR206" s="98"/>
      <c r="DS206" s="117">
        <f>DS220*DS201/100</f>
        <v>371.66700000000003</v>
      </c>
      <c r="DT206" s="98"/>
      <c r="DU206" s="117">
        <f>DU220*DU201/100</f>
        <v>390.55800000000005</v>
      </c>
      <c r="DV206" s="98"/>
      <c r="DW206" s="117">
        <f>DW220*DW201/100</f>
        <v>401.09600000000006</v>
      </c>
      <c r="DX206" s="98"/>
      <c r="DY206" s="117">
        <f>DY220*DY201/100</f>
        <v>469.55099999999999</v>
      </c>
      <c r="DZ206" s="98"/>
      <c r="EA206" s="117">
        <f>EA220*EA201/100</f>
        <v>419.58</v>
      </c>
      <c r="EB206" s="98"/>
      <c r="EC206" s="117">
        <f>EC220*EC201/100</f>
        <v>441.61</v>
      </c>
      <c r="ED206" s="98"/>
      <c r="EE206" s="117">
        <f>EE220*EE201/100</f>
        <v>421.28100000000001</v>
      </c>
      <c r="EF206" s="860"/>
      <c r="EG206" s="117">
        <f>EG220*EG201/100</f>
        <v>486.49200000000002</v>
      </c>
      <c r="EH206" s="860"/>
      <c r="EI206" s="117">
        <f>EI220*EI201/100</f>
        <v>407.61200000000002</v>
      </c>
      <c r="EJ206" s="860"/>
      <c r="EK206" s="117">
        <f>EK220*EK201/100</f>
        <v>409.12200000000007</v>
      </c>
      <c r="EL206" s="860"/>
      <c r="EM206" s="117">
        <f>EM220*EM201/100</f>
        <v>435.82499999999999</v>
      </c>
      <c r="EN206" s="860"/>
      <c r="EO206" s="117">
        <f>EO220*EO201/100</f>
        <v>442.65899999999999</v>
      </c>
      <c r="EP206" s="98"/>
      <c r="EQ206" s="117">
        <f>EQ204+EQ205</f>
        <v>427.38933299999991</v>
      </c>
      <c r="ER206" s="98"/>
      <c r="ES206" s="117">
        <f t="shared" ref="ES206" si="1241">ES204+ES205</f>
        <v>433.13063589149976</v>
      </c>
      <c r="ET206" s="98"/>
      <c r="EU206" s="117">
        <f t="shared" ref="EU206" si="1242">EU204+EU205</f>
        <v>438.9025400963518</v>
      </c>
      <c r="EV206" s="98"/>
      <c r="EW206" s="117">
        <f t="shared" ref="EW206" si="1243">EW204+EW205</f>
        <v>426.76145821443367</v>
      </c>
      <c r="EX206" s="98"/>
      <c r="EY206" s="137"/>
      <c r="EZ206" s="601"/>
      <c r="FA206" s="411"/>
      <c r="FB206" s="242"/>
      <c r="FC206" s="233"/>
      <c r="FD206" s="137"/>
      <c r="FE206" s="233"/>
      <c r="FF206" s="137"/>
      <c r="FG206" s="233"/>
      <c r="FH206" s="137"/>
      <c r="FI206" s="233"/>
      <c r="FJ206" s="137"/>
      <c r="FK206" s="233"/>
      <c r="FL206" s="137"/>
      <c r="FM206" s="233"/>
      <c r="FN206" s="137"/>
      <c r="FO206" s="233"/>
      <c r="FP206" s="137"/>
      <c r="FQ206" s="233"/>
      <c r="FR206" s="106"/>
      <c r="FS206" s="120"/>
      <c r="FT206" s="106"/>
      <c r="FU206" s="120"/>
      <c r="FV206" s="106"/>
      <c r="FW206" s="98"/>
      <c r="FX206" s="483"/>
      <c r="FY206" s="98"/>
      <c r="FZ206" s="106"/>
      <c r="GA206" s="98"/>
      <c r="GB206" s="483"/>
      <c r="GC206" s="98"/>
      <c r="GD206" s="106"/>
      <c r="GE206" s="98"/>
      <c r="GF206" s="106"/>
      <c r="GG206" s="98"/>
      <c r="GH206" s="106"/>
      <c r="GI206" s="98"/>
      <c r="GJ206" s="119">
        <f>DS206+DU206+DW206+DY206</f>
        <v>1632.8720000000001</v>
      </c>
      <c r="GK206" s="98"/>
      <c r="GL206" s="119">
        <f>EA206+EC206+EE206+EG206</f>
        <v>1768.963</v>
      </c>
      <c r="GM206" s="98">
        <f t="shared" si="1239"/>
        <v>8.3344560994370589</v>
      </c>
      <c r="GN206" s="119">
        <f>EI206+EK206+EM206+EO206</f>
        <v>1695.2180000000003</v>
      </c>
      <c r="GO206" s="98">
        <f t="shared" si="1239"/>
        <v>-4.1688265950163839</v>
      </c>
      <c r="GP206" s="119">
        <f>EQ206+ES206+EU206+EW206</f>
        <v>1726.1839672022852</v>
      </c>
      <c r="GQ206" s="98">
        <f t="shared" si="1239"/>
        <v>1.8266657858921231</v>
      </c>
      <c r="GR206" s="117">
        <f>GR204+GR205</f>
        <v>1817.131553904308</v>
      </c>
      <c r="GS206" s="98">
        <f t="shared" si="1239"/>
        <v>5.2687076482019535</v>
      </c>
      <c r="GT206" s="117">
        <f>GT204+GT205</f>
        <v>1912.7785887286454</v>
      </c>
      <c r="GU206" s="98">
        <f t="shared" si="1239"/>
        <v>5.2636274252587434</v>
      </c>
      <c r="GV206" s="117">
        <f>GV204+GV205</f>
        <v>1994.3676168346606</v>
      </c>
      <c r="GW206" s="98">
        <f t="shared" si="1239"/>
        <v>4.2654716330887243</v>
      </c>
      <c r="GX206" s="117">
        <f>GX204+GX205</f>
        <v>2088.185039117619</v>
      </c>
      <c r="GY206" s="98">
        <f t="shared" si="1240"/>
        <v>4.7041188139556711</v>
      </c>
      <c r="GZ206" s="98">
        <f t="shared" si="1225"/>
        <v>4.2578308613580917</v>
      </c>
      <c r="HA206" s="98"/>
      <c r="HB206" s="10"/>
      <c r="HC206"/>
      <c r="HD206"/>
      <c r="HE206"/>
      <c r="HF206"/>
      <c r="HG206"/>
      <c r="HH206"/>
      <c r="HI206" s="10"/>
    </row>
    <row r="207" spans="2:217" s="2" customFormat="1" ht="12.75" customHeight="1" x14ac:dyDescent="0.2">
      <c r="B207" s="988" t="s">
        <v>716</v>
      </c>
      <c r="C207" s="276"/>
      <c r="D207" s="156"/>
      <c r="E207" s="276"/>
      <c r="F207" s="156"/>
      <c r="G207" s="276"/>
      <c r="H207" s="156"/>
      <c r="I207" s="276"/>
      <c r="J207" s="156"/>
      <c r="K207" s="276"/>
      <c r="L207" s="156"/>
      <c r="M207" s="276"/>
      <c r="N207" s="156"/>
      <c r="O207" s="276"/>
      <c r="P207" s="156"/>
      <c r="Q207" s="276"/>
      <c r="R207" s="156"/>
      <c r="S207" s="276"/>
      <c r="T207" s="156"/>
      <c r="U207" s="276"/>
      <c r="V207" s="156"/>
      <c r="W207" s="276"/>
      <c r="X207" s="156"/>
      <c r="Y207" s="276"/>
      <c r="Z207" s="156"/>
      <c r="AA207" s="276"/>
      <c r="AB207" s="156"/>
      <c r="AC207" s="276"/>
      <c r="AD207" s="156"/>
      <c r="AE207" s="276"/>
      <c r="AF207" s="156"/>
      <c r="AG207" s="276"/>
      <c r="AH207" s="156"/>
      <c r="AI207" s="276"/>
      <c r="AJ207" s="156"/>
      <c r="AK207" s="276"/>
      <c r="AL207" s="156"/>
      <c r="AM207" s="276"/>
      <c r="AN207" s="156"/>
      <c r="AO207" s="276"/>
      <c r="AP207" s="156"/>
      <c r="AQ207" s="276"/>
      <c r="AR207" s="156"/>
      <c r="AS207" s="276"/>
      <c r="AT207" s="156"/>
      <c r="AU207" s="276"/>
      <c r="AV207" s="156"/>
      <c r="AW207" s="276"/>
      <c r="AX207" s="156"/>
      <c r="AY207" s="166"/>
      <c r="AZ207" s="156"/>
      <c r="BA207" s="166"/>
      <c r="BB207" s="156"/>
      <c r="BC207" s="166"/>
      <c r="BD207" s="156"/>
      <c r="BE207" s="166"/>
      <c r="BF207" s="156"/>
      <c r="BG207" s="166"/>
      <c r="BH207" s="156"/>
      <c r="BI207" s="166"/>
      <c r="BJ207" s="156"/>
      <c r="BK207" s="166"/>
      <c r="BL207" s="156"/>
      <c r="BM207" s="166"/>
      <c r="BN207" s="98"/>
      <c r="BO207" s="137"/>
      <c r="BP207" s="98"/>
      <c r="BQ207" s="137"/>
      <c r="BR207" s="98"/>
      <c r="BS207" s="137"/>
      <c r="BT207" s="98"/>
      <c r="BU207" s="137"/>
      <c r="BV207" s="98"/>
      <c r="BW207" s="137"/>
      <c r="BX207" s="98"/>
      <c r="BY207" s="137"/>
      <c r="BZ207" s="98"/>
      <c r="CA207" s="137"/>
      <c r="CB207" s="98"/>
      <c r="CC207" s="137"/>
      <c r="CD207" s="98"/>
      <c r="CE207" s="137"/>
      <c r="CF207" s="98"/>
      <c r="CG207" s="137"/>
      <c r="CH207" s="98"/>
      <c r="CI207" s="137"/>
      <c r="CJ207" s="98"/>
      <c r="CK207" s="137"/>
      <c r="CL207" s="98"/>
      <c r="CM207" s="137"/>
      <c r="CN207" s="98"/>
      <c r="CO207" s="137"/>
      <c r="CP207" s="98"/>
      <c r="CQ207" s="137"/>
      <c r="CR207" s="98"/>
      <c r="CS207" s="137"/>
      <c r="CT207" s="98"/>
      <c r="CU207" s="137"/>
      <c r="CV207" s="98"/>
      <c r="CW207" s="137"/>
      <c r="CX207" s="98"/>
      <c r="CY207" s="137"/>
      <c r="CZ207" s="98"/>
      <c r="DA207" s="137"/>
      <c r="DB207" s="98"/>
      <c r="DC207" s="137"/>
      <c r="DD207" s="98"/>
      <c r="DE207" s="137"/>
      <c r="DF207" s="98"/>
      <c r="DG207" s="137"/>
      <c r="DH207" s="98"/>
      <c r="DI207" s="137"/>
      <c r="DJ207" s="98"/>
      <c r="DK207" s="137"/>
      <c r="DL207" s="98"/>
      <c r="DM207" s="137"/>
      <c r="DN207" s="98"/>
      <c r="DO207" s="137"/>
      <c r="DP207" s="98"/>
      <c r="DQ207" s="137"/>
      <c r="DR207" s="98"/>
      <c r="DS207" s="117">
        <f>DS221*DS201/100</f>
        <v>140.66</v>
      </c>
      <c r="DT207" s="98"/>
      <c r="DU207" s="117">
        <f>DU221*DU201/100</f>
        <v>142.22</v>
      </c>
      <c r="DV207" s="98"/>
      <c r="DW207" s="117">
        <f>DW221*DW201/100</f>
        <v>145.702</v>
      </c>
      <c r="DX207" s="98"/>
      <c r="DY207" s="117">
        <f>DY221*DY201/100</f>
        <v>143.70600000000002</v>
      </c>
      <c r="DZ207" s="98"/>
      <c r="EA207" s="117">
        <f>EA221*EA201/100</f>
        <v>149.29499999999999</v>
      </c>
      <c r="EB207" s="98"/>
      <c r="EC207" s="117">
        <f>EC221*EC201/100</f>
        <v>144.78099999999998</v>
      </c>
      <c r="ED207" s="98"/>
      <c r="EE207" s="117">
        <f>EE221*EE201/100</f>
        <v>143.45099999999999</v>
      </c>
      <c r="EF207" s="860"/>
      <c r="EG207" s="117">
        <f>EG221*EG201/100</f>
        <v>142.75</v>
      </c>
      <c r="EH207" s="860"/>
      <c r="EI207" s="117">
        <f>EI221*EI201/100</f>
        <v>143.00199999999998</v>
      </c>
      <c r="EJ207" s="860"/>
      <c r="EK207" s="117">
        <f>EK221*EK201/100</f>
        <v>143.82300000000001</v>
      </c>
      <c r="EL207" s="860"/>
      <c r="EM207" s="117">
        <f>EM221*EM201/100</f>
        <v>147.41999999999999</v>
      </c>
      <c r="EN207" s="860"/>
      <c r="EO207" s="117">
        <f>EO221*EO201/100</f>
        <v>147.15899999999999</v>
      </c>
      <c r="EP207" s="98"/>
      <c r="EQ207" s="117">
        <f>EQ221*EQ201/100</f>
        <v>147.60047699999998</v>
      </c>
      <c r="ER207" s="98"/>
      <c r="ES207" s="117">
        <f t="shared" ref="ES207" si="1244">ES221*ES201/100</f>
        <v>148.04327843099995</v>
      </c>
      <c r="ET207" s="98"/>
      <c r="EU207" s="117">
        <f t="shared" ref="EU207" si="1245">EU221*EU201/100</f>
        <v>148.48740826629293</v>
      </c>
      <c r="EV207" s="98"/>
      <c r="EW207" s="117">
        <f t="shared" ref="EW207" si="1246">EW221*EW201/100</f>
        <v>148.93287049109179</v>
      </c>
      <c r="EX207" s="98"/>
      <c r="EY207" s="137"/>
      <c r="EZ207" s="601"/>
      <c r="FA207" s="411"/>
      <c r="FB207" s="242"/>
      <c r="FC207" s="233"/>
      <c r="FD207" s="137"/>
      <c r="FE207" s="233"/>
      <c r="FF207" s="137"/>
      <c r="FG207" s="233"/>
      <c r="FH207" s="137"/>
      <c r="FI207" s="233"/>
      <c r="FJ207" s="137"/>
      <c r="FK207" s="233"/>
      <c r="FL207" s="137"/>
      <c r="FM207" s="233"/>
      <c r="FN207" s="137"/>
      <c r="FO207" s="233"/>
      <c r="FP207" s="137"/>
      <c r="FQ207" s="233"/>
      <c r="FR207" s="106"/>
      <c r="FS207" s="120"/>
      <c r="FT207" s="106"/>
      <c r="FU207" s="120"/>
      <c r="FV207" s="106"/>
      <c r="FW207" s="98"/>
      <c r="FX207" s="483"/>
      <c r="FY207" s="98"/>
      <c r="FZ207" s="106"/>
      <c r="GA207" s="98"/>
      <c r="GB207" s="483"/>
      <c r="GC207" s="98"/>
      <c r="GD207" s="106"/>
      <c r="GE207" s="98"/>
      <c r="GF207" s="106"/>
      <c r="GG207" s="98"/>
      <c r="GH207" s="106"/>
      <c r="GI207" s="98"/>
      <c r="GJ207" s="119">
        <f>DS207+DU207+DW207+DY207</f>
        <v>572.28800000000001</v>
      </c>
      <c r="GK207" s="98"/>
      <c r="GL207" s="119">
        <f>EA207+EC207+EE207+EG207</f>
        <v>580.27699999999993</v>
      </c>
      <c r="GM207" s="98">
        <f t="shared" si="1239"/>
        <v>1.3959754529187851</v>
      </c>
      <c r="GN207" s="119">
        <f>EI207+EK207+EM207+EO207</f>
        <v>581.404</v>
      </c>
      <c r="GO207" s="98">
        <f t="shared" si="1239"/>
        <v>0.1942175891858744</v>
      </c>
      <c r="GP207" s="119">
        <f>EQ207+ES207+EU207+EW207</f>
        <v>593.06403418838465</v>
      </c>
      <c r="GQ207" s="98">
        <f t="shared" si="1239"/>
        <v>2.0054960386211018</v>
      </c>
      <c r="GR207" s="117">
        <f>GR221*GR201/100</f>
        <v>628.64787623968778</v>
      </c>
      <c r="GS207" s="98">
        <f t="shared" si="1239"/>
        <v>6.0000000000000053</v>
      </c>
      <c r="GT207" s="117">
        <f>GT221*GT201/100</f>
        <v>666.36674881406896</v>
      </c>
      <c r="GU207" s="98">
        <f t="shared" si="1239"/>
        <v>5.9999999999999831</v>
      </c>
      <c r="GV207" s="117">
        <f>GV221*GV201/100</f>
        <v>699.6850862547725</v>
      </c>
      <c r="GW207" s="98">
        <f t="shared" si="1239"/>
        <v>5.0000000000000044</v>
      </c>
      <c r="GX207" s="117">
        <f>GX221*GX201/100</f>
        <v>734.6693405675112</v>
      </c>
      <c r="GY207" s="98">
        <f t="shared" si="1240"/>
        <v>5.0000000000000044</v>
      </c>
      <c r="GZ207" s="98">
        <f t="shared" si="1225"/>
        <v>4.7907093399350176</v>
      </c>
      <c r="HA207" s="98"/>
      <c r="HB207" s="10"/>
      <c r="HC207"/>
      <c r="HD207"/>
      <c r="HE207"/>
      <c r="HF207"/>
      <c r="HG207"/>
      <c r="HH207"/>
      <c r="HI207" s="10"/>
    </row>
    <row r="208" spans="2:217" s="2" customFormat="1" ht="12.75" customHeight="1" x14ac:dyDescent="0.2">
      <c r="B208" s="989" t="s">
        <v>731</v>
      </c>
      <c r="C208" s="276"/>
      <c r="D208" s="156"/>
      <c r="E208" s="276"/>
      <c r="F208" s="156"/>
      <c r="G208" s="276"/>
      <c r="H208" s="156"/>
      <c r="I208" s="276"/>
      <c r="J208" s="156"/>
      <c r="K208" s="276"/>
      <c r="L208" s="156"/>
      <c r="M208" s="276"/>
      <c r="N208" s="156"/>
      <c r="O208" s="276"/>
      <c r="P208" s="156"/>
      <c r="Q208" s="276"/>
      <c r="R208" s="156"/>
      <c r="S208" s="276"/>
      <c r="T208" s="156"/>
      <c r="U208" s="276"/>
      <c r="V208" s="156"/>
      <c r="W208" s="276"/>
      <c r="X208" s="156"/>
      <c r="Y208" s="276"/>
      <c r="Z208" s="156"/>
      <c r="AA208" s="276"/>
      <c r="AB208" s="156"/>
      <c r="AC208" s="276"/>
      <c r="AD208" s="156"/>
      <c r="AE208" s="276"/>
      <c r="AF208" s="156"/>
      <c r="AG208" s="276"/>
      <c r="AH208" s="156"/>
      <c r="AI208" s="276"/>
      <c r="AJ208" s="156"/>
      <c r="AK208" s="276"/>
      <c r="AL208" s="156"/>
      <c r="AM208" s="276"/>
      <c r="AN208" s="156"/>
      <c r="AO208" s="276"/>
      <c r="AP208" s="156"/>
      <c r="AQ208" s="276"/>
      <c r="AR208" s="156"/>
      <c r="AS208" s="276"/>
      <c r="AT208" s="156"/>
      <c r="AU208" s="276"/>
      <c r="AV208" s="156"/>
      <c r="AW208" s="276"/>
      <c r="AX208" s="156"/>
      <c r="AY208" s="166"/>
      <c r="AZ208" s="156"/>
      <c r="BA208" s="166"/>
      <c r="BB208" s="156"/>
      <c r="BC208" s="166"/>
      <c r="BD208" s="156"/>
      <c r="BE208" s="166"/>
      <c r="BF208" s="156"/>
      <c r="BG208" s="166"/>
      <c r="BH208" s="156"/>
      <c r="BI208" s="166"/>
      <c r="BJ208" s="156"/>
      <c r="BK208" s="166"/>
      <c r="BL208" s="156"/>
      <c r="BM208" s="166"/>
      <c r="BN208" s="98"/>
      <c r="BO208" s="137"/>
      <c r="BP208" s="98"/>
      <c r="BQ208" s="137"/>
      <c r="BR208" s="98"/>
      <c r="BS208" s="137"/>
      <c r="BT208" s="98"/>
      <c r="BU208" s="137"/>
      <c r="BV208" s="98"/>
      <c r="BW208" s="137"/>
      <c r="BX208" s="98"/>
      <c r="BY208" s="137"/>
      <c r="BZ208" s="98"/>
      <c r="CA208" s="137"/>
      <c r="CB208" s="98"/>
      <c r="CC208" s="137"/>
      <c r="CD208" s="98"/>
      <c r="CE208" s="137"/>
      <c r="CF208" s="98"/>
      <c r="CG208" s="137"/>
      <c r="CH208" s="98"/>
      <c r="CI208" s="137"/>
      <c r="CJ208" s="98"/>
      <c r="CK208" s="137"/>
      <c r="CL208" s="98"/>
      <c r="CM208" s="137"/>
      <c r="CN208" s="98"/>
      <c r="CO208" s="137"/>
      <c r="CP208" s="98"/>
      <c r="CQ208" s="137"/>
      <c r="CR208" s="98"/>
      <c r="CS208" s="137"/>
      <c r="CT208" s="98"/>
      <c r="CU208" s="137"/>
      <c r="CV208" s="98"/>
      <c r="CW208" s="137"/>
      <c r="CX208" s="98"/>
      <c r="CY208" s="137"/>
      <c r="CZ208" s="98"/>
      <c r="DA208" s="137"/>
      <c r="DB208" s="98"/>
      <c r="DC208" s="137"/>
      <c r="DD208" s="98"/>
      <c r="DE208" s="137"/>
      <c r="DF208" s="98"/>
      <c r="DG208" s="137"/>
      <c r="DH208" s="98"/>
      <c r="DI208" s="137"/>
      <c r="DJ208" s="98"/>
      <c r="DK208" s="137"/>
      <c r="DL208" s="98"/>
      <c r="DM208" s="137"/>
      <c r="DN208" s="98"/>
      <c r="DO208" s="137"/>
      <c r="DP208" s="98"/>
      <c r="DQ208" s="137"/>
      <c r="DR208" s="98"/>
      <c r="DS208" s="271">
        <f>DS201-DS206-DS207</f>
        <v>28.672999999999973</v>
      </c>
      <c r="DT208" s="98"/>
      <c r="DU208" s="271">
        <f>DU201-DU206-DU207</f>
        <v>14.221999999999952</v>
      </c>
      <c r="DV208" s="98"/>
      <c r="DW208" s="271">
        <f>DW201-DW206-DW207</f>
        <v>7.2019999999999413</v>
      </c>
      <c r="DX208" s="98"/>
      <c r="DY208" s="271">
        <f>DY201-DY206-DY207</f>
        <v>-56.257000000000005</v>
      </c>
      <c r="DZ208" s="98"/>
      <c r="EA208" s="271">
        <f>EA201-EA206-EA207</f>
        <v>-13.874999999999972</v>
      </c>
      <c r="EB208" s="98"/>
      <c r="EC208" s="271">
        <f>EC201-EC206-EC207</f>
        <v>-27.390999999999991</v>
      </c>
      <c r="ED208" s="98"/>
      <c r="EE208" s="271">
        <f>EE201-EE206-EE207</f>
        <v>2.2680000000000007</v>
      </c>
      <c r="EF208" s="860"/>
      <c r="EG208" s="271">
        <f>EG201-EG206-EG207</f>
        <v>-58.242000000000019</v>
      </c>
      <c r="EH208" s="860"/>
      <c r="EI208" s="271">
        <f>EI201-EI206-EI207</f>
        <v>12.385999999999996</v>
      </c>
      <c r="EJ208" s="860"/>
      <c r="EK208" s="271">
        <f>EK201-EK206-EK207</f>
        <v>20.054999999999922</v>
      </c>
      <c r="EL208" s="860"/>
      <c r="EM208" s="271">
        <f>EM201-EM206-EM207</f>
        <v>1.7550000000000239</v>
      </c>
      <c r="EN208" s="860"/>
      <c r="EO208" s="271">
        <f>EO201-EO206-EO207</f>
        <v>1.1820000000000164</v>
      </c>
      <c r="EP208" s="98"/>
      <c r="EQ208" s="271">
        <f>EQ201-EQ206-EQ207</f>
        <v>17.783190000000019</v>
      </c>
      <c r="ER208" s="98"/>
      <c r="ES208" s="271">
        <f t="shared" ref="ES208" si="1247">ES201-ES206-ES207</f>
        <v>13.377404677500095</v>
      </c>
      <c r="ET208" s="98"/>
      <c r="EU208" s="271">
        <f t="shared" ref="EU208" si="1248">EU201-EU206-EU207</f>
        <v>8.9450245943550328</v>
      </c>
      <c r="EV208" s="98"/>
      <c r="EW208" s="271">
        <f t="shared" ref="EW208" si="1249">EW201-EW206-EW207</f>
        <v>22.429649170345186</v>
      </c>
      <c r="EX208" s="98"/>
      <c r="EY208" s="137"/>
      <c r="EZ208" s="601"/>
      <c r="FA208" s="411"/>
      <c r="FB208" s="242"/>
      <c r="FC208" s="233"/>
      <c r="FD208" s="137"/>
      <c r="FE208" s="233"/>
      <c r="FF208" s="137"/>
      <c r="FG208" s="233"/>
      <c r="FH208" s="137"/>
      <c r="FI208" s="233"/>
      <c r="FJ208" s="137"/>
      <c r="FK208" s="233"/>
      <c r="FL208" s="137"/>
      <c r="FM208" s="233"/>
      <c r="FN208" s="137"/>
      <c r="FO208" s="233"/>
      <c r="FP208" s="137"/>
      <c r="FQ208" s="233"/>
      <c r="FR208" s="106"/>
      <c r="FS208" s="120"/>
      <c r="FT208" s="106"/>
      <c r="FU208" s="120"/>
      <c r="FV208" s="106"/>
      <c r="FW208" s="98"/>
      <c r="FX208" s="483"/>
      <c r="FY208" s="98"/>
      <c r="FZ208" s="106"/>
      <c r="GA208" s="98"/>
      <c r="GB208" s="483"/>
      <c r="GC208" s="98"/>
      <c r="GD208" s="106"/>
      <c r="GE208" s="98"/>
      <c r="GF208" s="106"/>
      <c r="GG208" s="98"/>
      <c r="GH208" s="106"/>
      <c r="GI208" s="98"/>
      <c r="GJ208" s="271">
        <f>GJ201-GJ206-GJ207</f>
        <v>-6.1600000000000819</v>
      </c>
      <c r="GK208" s="98"/>
      <c r="GL208" s="271">
        <f>GL201-GL206-GL207</f>
        <v>-97.239999999999895</v>
      </c>
      <c r="GM208" s="98" t="str">
        <f t="shared" si="1239"/>
        <v>NM</v>
      </c>
      <c r="GN208" s="271">
        <f>GN201-GN206-GN207</f>
        <v>35.377999999999702</v>
      </c>
      <c r="GO208" s="98" t="str">
        <f t="shared" si="1239"/>
        <v>NM</v>
      </c>
      <c r="GP208" s="271">
        <f>GP201-GP206-GP207</f>
        <v>62.53526844220039</v>
      </c>
      <c r="GQ208" s="98">
        <f t="shared" si="1239"/>
        <v>76.763153491437947</v>
      </c>
      <c r="GR208" s="271">
        <f>GR201-GR206-GR207</f>
        <v>78.910835878846683</v>
      </c>
      <c r="GS208" s="98">
        <f t="shared" si="1239"/>
        <v>26.186131193762719</v>
      </c>
      <c r="GT208" s="271">
        <f>GT201-GT206-GT207</f>
        <v>97.026344441498736</v>
      </c>
      <c r="GU208" s="98">
        <f t="shared" si="1239"/>
        <v>22.956934064752698</v>
      </c>
      <c r="GV208" s="271">
        <f>GV201-GV206-GV207</f>
        <v>115.92756299399082</v>
      </c>
      <c r="GW208" s="98">
        <f t="shared" si="1239"/>
        <v>19.480501570260046</v>
      </c>
      <c r="GX208" s="271">
        <f>GX201-GX206-GX207</f>
        <v>127.6248997024652</v>
      </c>
      <c r="GY208" s="98">
        <f t="shared" si="1240"/>
        <v>10.090211858486775</v>
      </c>
      <c r="GZ208" s="98">
        <f t="shared" si="1225"/>
        <v>29.252939064265071</v>
      </c>
      <c r="HA208" s="98"/>
      <c r="HB208" s="10"/>
      <c r="HC208"/>
      <c r="HD208"/>
      <c r="HE208"/>
      <c r="HF208"/>
      <c r="HG208"/>
      <c r="HH208"/>
      <c r="HI208" s="10"/>
    </row>
    <row r="209" spans="2:217" s="2" customFormat="1" ht="12.75" customHeight="1" x14ac:dyDescent="0.2">
      <c r="B209" s="989"/>
      <c r="C209" s="276"/>
      <c r="D209" s="156"/>
      <c r="E209" s="276"/>
      <c r="F209" s="156"/>
      <c r="G209" s="276"/>
      <c r="H209" s="156"/>
      <c r="I209" s="276"/>
      <c r="J209" s="156"/>
      <c r="K209" s="276"/>
      <c r="L209" s="156"/>
      <c r="M209" s="276"/>
      <c r="N209" s="156"/>
      <c r="O209" s="276"/>
      <c r="P209" s="156"/>
      <c r="Q209" s="276"/>
      <c r="R209" s="156"/>
      <c r="S209" s="276"/>
      <c r="T209" s="156"/>
      <c r="U209" s="276"/>
      <c r="V209" s="156"/>
      <c r="W209" s="276"/>
      <c r="X209" s="156"/>
      <c r="Y209" s="276"/>
      <c r="Z209" s="156"/>
      <c r="AA209" s="276"/>
      <c r="AB209" s="156"/>
      <c r="AC209" s="276"/>
      <c r="AD209" s="156"/>
      <c r="AE209" s="276"/>
      <c r="AF209" s="156"/>
      <c r="AG209" s="276"/>
      <c r="AH209" s="156"/>
      <c r="AI209" s="276"/>
      <c r="AJ209" s="156"/>
      <c r="AK209" s="276"/>
      <c r="AL209" s="156"/>
      <c r="AM209" s="276"/>
      <c r="AN209" s="156"/>
      <c r="AO209" s="276"/>
      <c r="AP209" s="156"/>
      <c r="AQ209" s="276"/>
      <c r="AR209" s="156"/>
      <c r="AS209" s="276"/>
      <c r="AT209" s="156"/>
      <c r="AU209" s="276"/>
      <c r="AV209" s="156"/>
      <c r="AW209" s="276"/>
      <c r="AX209" s="156"/>
      <c r="AY209" s="166"/>
      <c r="AZ209" s="156"/>
      <c r="BA209" s="166"/>
      <c r="BB209" s="156"/>
      <c r="BC209" s="166"/>
      <c r="BD209" s="156"/>
      <c r="BE209" s="166"/>
      <c r="BF209" s="156"/>
      <c r="BG209" s="166"/>
      <c r="BH209" s="156"/>
      <c r="BI209" s="166"/>
      <c r="BJ209" s="156"/>
      <c r="BK209" s="166"/>
      <c r="BL209" s="156"/>
      <c r="BM209" s="166"/>
      <c r="BN209" s="98"/>
      <c r="BO209" s="137"/>
      <c r="BP209" s="98"/>
      <c r="BQ209" s="137"/>
      <c r="BR209" s="98"/>
      <c r="BS209" s="137"/>
      <c r="BT209" s="98"/>
      <c r="BU209" s="137"/>
      <c r="BV209" s="98"/>
      <c r="BW209" s="137"/>
      <c r="BX209" s="98"/>
      <c r="BY209" s="137"/>
      <c r="BZ209" s="98"/>
      <c r="CA209" s="137"/>
      <c r="CB209" s="98"/>
      <c r="CC209" s="137"/>
      <c r="CD209" s="98"/>
      <c r="CE209" s="137"/>
      <c r="CF209" s="98"/>
      <c r="CG209" s="137"/>
      <c r="CH209" s="98"/>
      <c r="CI209" s="137"/>
      <c r="CJ209" s="98"/>
      <c r="CK209" s="137"/>
      <c r="CL209" s="98"/>
      <c r="CM209" s="137"/>
      <c r="CN209" s="98"/>
      <c r="CO209" s="137"/>
      <c r="CP209" s="98"/>
      <c r="CQ209" s="137"/>
      <c r="CR209" s="98"/>
      <c r="CS209" s="137"/>
      <c r="CT209" s="98"/>
      <c r="CU209" s="137"/>
      <c r="CV209" s="98"/>
      <c r="CW209" s="137"/>
      <c r="CX209" s="98"/>
      <c r="CY209" s="137"/>
      <c r="CZ209" s="98"/>
      <c r="DA209" s="137"/>
      <c r="DB209" s="98"/>
      <c r="DC209" s="137"/>
      <c r="DD209" s="98"/>
      <c r="DE209" s="137"/>
      <c r="DF209" s="98"/>
      <c r="DG209" s="137"/>
      <c r="DH209" s="98"/>
      <c r="DI209" s="137"/>
      <c r="DJ209" s="98"/>
      <c r="DK209" s="137"/>
      <c r="DL209" s="98"/>
      <c r="DM209" s="137"/>
      <c r="DN209" s="98"/>
      <c r="DO209" s="137"/>
      <c r="DP209" s="98"/>
      <c r="DQ209" s="137"/>
      <c r="DR209" s="98"/>
      <c r="DS209" s="137"/>
      <c r="DT209" s="98"/>
      <c r="DU209" s="137"/>
      <c r="DV209" s="98"/>
      <c r="DW209" s="137"/>
      <c r="DX209" s="98"/>
      <c r="DY209" s="137"/>
      <c r="DZ209" s="98"/>
      <c r="EA209" s="137"/>
      <c r="EB209" s="98"/>
      <c r="EC209" s="137"/>
      <c r="ED209" s="98"/>
      <c r="EE209" s="137"/>
      <c r="EF209" s="860"/>
      <c r="EG209" s="137"/>
      <c r="EH209" s="860"/>
      <c r="EI209" s="137"/>
      <c r="EJ209" s="860"/>
      <c r="EK209" s="137"/>
      <c r="EL209" s="860"/>
      <c r="EM209" s="137"/>
      <c r="EN209" s="860"/>
      <c r="EO209" s="137"/>
      <c r="EP209" s="98"/>
      <c r="EQ209" s="1033"/>
      <c r="ER209" s="98"/>
      <c r="ES209" s="1033"/>
      <c r="ET209" s="98"/>
      <c r="EU209" s="1033"/>
      <c r="EV209" s="98"/>
      <c r="EW209" s="1033"/>
      <c r="EX209" s="98"/>
      <c r="EY209" s="137"/>
      <c r="EZ209" s="601"/>
      <c r="FA209" s="411"/>
      <c r="FB209" s="242"/>
      <c r="FC209" s="233"/>
      <c r="FD209" s="137"/>
      <c r="FE209" s="233"/>
      <c r="FF209" s="137"/>
      <c r="FG209" s="233"/>
      <c r="FH209" s="137"/>
      <c r="FI209" s="233"/>
      <c r="FJ209" s="137"/>
      <c r="FK209" s="233"/>
      <c r="FL209" s="137"/>
      <c r="FM209" s="233"/>
      <c r="FN209" s="137"/>
      <c r="FO209" s="233"/>
      <c r="FP209" s="137"/>
      <c r="FQ209" s="233"/>
      <c r="FR209" s="106"/>
      <c r="FS209" s="120"/>
      <c r="FT209" s="106"/>
      <c r="FU209" s="120"/>
      <c r="FV209" s="106"/>
      <c r="FW209" s="98"/>
      <c r="FX209" s="483"/>
      <c r="FY209" s="98"/>
      <c r="FZ209" s="106"/>
      <c r="GA209" s="98"/>
      <c r="GB209" s="483"/>
      <c r="GC209" s="98"/>
      <c r="GD209" s="106"/>
      <c r="GE209" s="98"/>
      <c r="GF209" s="106"/>
      <c r="GG209" s="98"/>
      <c r="GH209" s="106"/>
      <c r="GI209" s="98"/>
      <c r="GJ209" s="106"/>
      <c r="GK209" s="98"/>
      <c r="GL209" s="106"/>
      <c r="GM209" s="98"/>
      <c r="GN209" s="106"/>
      <c r="GO209" s="98"/>
      <c r="GP209" s="106"/>
      <c r="GQ209" s="98"/>
      <c r="GR209" s="137"/>
      <c r="GS209" s="98"/>
      <c r="GT209" s="137"/>
      <c r="GU209" s="98"/>
      <c r="GV209" s="137"/>
      <c r="GW209" s="98"/>
      <c r="GX209" s="137"/>
      <c r="GY209" s="98"/>
      <c r="GZ209" s="98"/>
      <c r="HA209" s="98"/>
      <c r="HB209" s="10"/>
      <c r="HC209"/>
      <c r="HD209"/>
      <c r="HE209"/>
      <c r="HF209"/>
      <c r="HG209"/>
      <c r="HH209"/>
      <c r="HI209" s="10"/>
    </row>
    <row r="210" spans="2:217" s="2" customFormat="1" ht="12.75" customHeight="1" x14ac:dyDescent="0.2">
      <c r="B210" s="989" t="s">
        <v>717</v>
      </c>
      <c r="C210" s="276"/>
      <c r="D210" s="156"/>
      <c r="E210" s="276"/>
      <c r="F210" s="156"/>
      <c r="G210" s="276"/>
      <c r="H210" s="156"/>
      <c r="I210" s="276"/>
      <c r="J210" s="156"/>
      <c r="K210" s="276"/>
      <c r="L210" s="156"/>
      <c r="M210" s="276"/>
      <c r="N210" s="156"/>
      <c r="O210" s="276"/>
      <c r="P210" s="156"/>
      <c r="Q210" s="276"/>
      <c r="R210" s="156"/>
      <c r="S210" s="276"/>
      <c r="T210" s="156"/>
      <c r="U210" s="276"/>
      <c r="V210" s="156"/>
      <c r="W210" s="276"/>
      <c r="X210" s="156"/>
      <c r="Y210" s="276"/>
      <c r="Z210" s="156"/>
      <c r="AA210" s="276"/>
      <c r="AB210" s="156"/>
      <c r="AC210" s="276"/>
      <c r="AD210" s="156"/>
      <c r="AE210" s="276"/>
      <c r="AF210" s="156"/>
      <c r="AG210" s="276"/>
      <c r="AH210" s="156"/>
      <c r="AI210" s="276"/>
      <c r="AJ210" s="156"/>
      <c r="AK210" s="276"/>
      <c r="AL210" s="156"/>
      <c r="AM210" s="276"/>
      <c r="AN210" s="156"/>
      <c r="AO210" s="276"/>
      <c r="AP210" s="156"/>
      <c r="AQ210" s="276"/>
      <c r="AR210" s="156"/>
      <c r="AS210" s="276"/>
      <c r="AT210" s="156"/>
      <c r="AU210" s="276"/>
      <c r="AV210" s="156"/>
      <c r="AW210" s="276"/>
      <c r="AX210" s="156"/>
      <c r="AY210" s="166"/>
      <c r="AZ210" s="156"/>
      <c r="BA210" s="166"/>
      <c r="BB210" s="156"/>
      <c r="BC210" s="166"/>
      <c r="BD210" s="156"/>
      <c r="BE210" s="166"/>
      <c r="BF210" s="156"/>
      <c r="BG210" s="166"/>
      <c r="BH210" s="156"/>
      <c r="BI210" s="166"/>
      <c r="BJ210" s="156"/>
      <c r="BK210" s="166"/>
      <c r="BL210" s="156"/>
      <c r="BM210" s="166"/>
      <c r="BN210" s="98"/>
      <c r="BO210" s="137"/>
      <c r="BP210" s="98"/>
      <c r="BQ210" s="137"/>
      <c r="BR210" s="98"/>
      <c r="BS210" s="137"/>
      <c r="BT210" s="98"/>
      <c r="BU210" s="137"/>
      <c r="BV210" s="98"/>
      <c r="BW210" s="137"/>
      <c r="BX210" s="98"/>
      <c r="BY210" s="137"/>
      <c r="BZ210" s="98"/>
      <c r="CA210" s="137"/>
      <c r="CB210" s="98"/>
      <c r="CC210" s="137"/>
      <c r="CD210" s="98"/>
      <c r="CE210" s="137"/>
      <c r="CF210" s="98"/>
      <c r="CG210" s="137"/>
      <c r="CH210" s="98"/>
      <c r="CI210" s="137"/>
      <c r="CJ210" s="98"/>
      <c r="CK210" s="137"/>
      <c r="CL210" s="98"/>
      <c r="CM210" s="137"/>
      <c r="CN210" s="98"/>
      <c r="CO210" s="137"/>
      <c r="CP210" s="98"/>
      <c r="CQ210" s="137"/>
      <c r="CR210" s="98"/>
      <c r="CS210" s="137"/>
      <c r="CT210" s="98"/>
      <c r="CU210" s="137"/>
      <c r="CV210" s="98"/>
      <c r="CW210" s="137"/>
      <c r="CX210" s="98"/>
      <c r="CY210" s="137"/>
      <c r="CZ210" s="98"/>
      <c r="DA210" s="137"/>
      <c r="DB210" s="98"/>
      <c r="DC210" s="137"/>
      <c r="DD210" s="98"/>
      <c r="DE210" s="137"/>
      <c r="DF210" s="98"/>
      <c r="DG210" s="137"/>
      <c r="DH210" s="98"/>
      <c r="DI210" s="137"/>
      <c r="DJ210" s="98"/>
      <c r="DK210" s="137"/>
      <c r="DL210" s="98"/>
      <c r="DM210" s="137"/>
      <c r="DN210" s="98"/>
      <c r="DO210" s="137"/>
      <c r="DP210" s="98"/>
      <c r="DQ210" s="137"/>
      <c r="DR210" s="98"/>
      <c r="DS210" s="137"/>
      <c r="DT210" s="98"/>
      <c r="DU210" s="137"/>
      <c r="DV210" s="98"/>
      <c r="DW210" s="137"/>
      <c r="DX210" s="98"/>
      <c r="DY210" s="137"/>
      <c r="DZ210" s="98"/>
      <c r="EA210" s="137"/>
      <c r="EB210" s="98"/>
      <c r="EC210" s="137"/>
      <c r="ED210" s="98"/>
      <c r="EE210" s="137"/>
      <c r="EF210" s="860"/>
      <c r="EG210" s="137"/>
      <c r="EH210" s="860"/>
      <c r="EI210" s="137"/>
      <c r="EJ210" s="860"/>
      <c r="EK210" s="137"/>
      <c r="EL210" s="860"/>
      <c r="EM210" s="137"/>
      <c r="EN210" s="860"/>
      <c r="EO210" s="137"/>
      <c r="EP210" s="98"/>
      <c r="EQ210" s="1033"/>
      <c r="ER210" s="98"/>
      <c r="ES210" s="1033"/>
      <c r="ET210" s="98"/>
      <c r="EU210" s="1033"/>
      <c r="EV210" s="98"/>
      <c r="EW210" s="1033"/>
      <c r="EX210" s="98"/>
      <c r="EY210" s="137"/>
      <c r="EZ210" s="601"/>
      <c r="FA210" s="411"/>
      <c r="FB210" s="242"/>
      <c r="FC210" s="233"/>
      <c r="FD210" s="137"/>
      <c r="FE210" s="233"/>
      <c r="FF210" s="137"/>
      <c r="FG210" s="233"/>
      <c r="FH210" s="137"/>
      <c r="FI210" s="233"/>
      <c r="FJ210" s="137"/>
      <c r="FK210" s="233"/>
      <c r="FL210" s="137"/>
      <c r="FM210" s="233"/>
      <c r="FN210" s="137"/>
      <c r="FO210" s="233"/>
      <c r="FP210" s="137"/>
      <c r="FQ210" s="233"/>
      <c r="FR210" s="106"/>
      <c r="FS210" s="120"/>
      <c r="FT210" s="106"/>
      <c r="FU210" s="120"/>
      <c r="FV210" s="106"/>
      <c r="FW210" s="98"/>
      <c r="FX210" s="483"/>
      <c r="FY210" s="98"/>
      <c r="FZ210" s="106"/>
      <c r="GA210" s="98"/>
      <c r="GB210" s="483"/>
      <c r="GC210" s="98"/>
      <c r="GD210" s="106"/>
      <c r="GE210" s="98"/>
      <c r="GF210" s="106"/>
      <c r="GG210" s="98"/>
      <c r="GH210" s="106"/>
      <c r="GI210" s="98"/>
      <c r="GJ210" s="106"/>
      <c r="GK210" s="98"/>
      <c r="GL210" s="106"/>
      <c r="GM210" s="98"/>
      <c r="GN210" s="106"/>
      <c r="GO210" s="98"/>
      <c r="GP210" s="106"/>
      <c r="GQ210" s="98"/>
      <c r="GR210" s="137"/>
      <c r="GS210" s="98"/>
      <c r="GT210" s="137"/>
      <c r="GU210" s="98"/>
      <c r="GV210" s="137"/>
      <c r="GW210" s="98"/>
      <c r="GX210" s="137"/>
      <c r="GY210" s="98"/>
      <c r="GZ210" s="98"/>
      <c r="HA210" s="98"/>
      <c r="HB210" s="10"/>
      <c r="HC210"/>
      <c r="HD210"/>
      <c r="HE210"/>
      <c r="HF210"/>
      <c r="HG210"/>
      <c r="HH210"/>
      <c r="HI210" s="10"/>
    </row>
    <row r="211" spans="2:217" s="2" customFormat="1" ht="12.75" customHeight="1" x14ac:dyDescent="0.2">
      <c r="B211" s="988" t="s">
        <v>749</v>
      </c>
      <c r="C211" s="276"/>
      <c r="D211" s="156"/>
      <c r="E211" s="276"/>
      <c r="F211" s="156"/>
      <c r="G211" s="276"/>
      <c r="H211" s="156"/>
      <c r="I211" s="276"/>
      <c r="J211" s="156"/>
      <c r="K211" s="276"/>
      <c r="L211" s="156"/>
      <c r="M211" s="276"/>
      <c r="N211" s="156"/>
      <c r="O211" s="276"/>
      <c r="P211" s="156"/>
      <c r="Q211" s="276"/>
      <c r="R211" s="156"/>
      <c r="S211" s="276"/>
      <c r="T211" s="156"/>
      <c r="U211" s="276"/>
      <c r="V211" s="156"/>
      <c r="W211" s="276"/>
      <c r="X211" s="156"/>
      <c r="Y211" s="276"/>
      <c r="Z211" s="156"/>
      <c r="AA211" s="276"/>
      <c r="AB211" s="156"/>
      <c r="AC211" s="276"/>
      <c r="AD211" s="156"/>
      <c r="AE211" s="276"/>
      <c r="AF211" s="156"/>
      <c r="AG211" s="276"/>
      <c r="AH211" s="156"/>
      <c r="AI211" s="276"/>
      <c r="AJ211" s="156"/>
      <c r="AK211" s="276"/>
      <c r="AL211" s="156"/>
      <c r="AM211" s="276"/>
      <c r="AN211" s="156"/>
      <c r="AO211" s="276"/>
      <c r="AP211" s="156"/>
      <c r="AQ211" s="276"/>
      <c r="AR211" s="156"/>
      <c r="AS211" s="276"/>
      <c r="AT211" s="156"/>
      <c r="AU211" s="276"/>
      <c r="AV211" s="156"/>
      <c r="AW211" s="276"/>
      <c r="AX211" s="156"/>
      <c r="AY211" s="166"/>
      <c r="AZ211" s="156"/>
      <c r="BA211" s="166"/>
      <c r="BB211" s="156"/>
      <c r="BC211" s="166"/>
      <c r="BD211" s="156"/>
      <c r="BE211" s="166"/>
      <c r="BF211" s="156"/>
      <c r="BG211" s="166"/>
      <c r="BH211" s="156"/>
      <c r="BI211" s="166"/>
      <c r="BJ211" s="156"/>
      <c r="BK211" s="166"/>
      <c r="BL211" s="156"/>
      <c r="BM211" s="166"/>
      <c r="BN211" s="98"/>
      <c r="BO211" s="137"/>
      <c r="BP211" s="98"/>
      <c r="BQ211" s="137"/>
      <c r="BR211" s="98"/>
      <c r="BS211" s="137"/>
      <c r="BT211" s="98"/>
      <c r="BU211" s="137"/>
      <c r="BV211" s="98"/>
      <c r="BW211" s="137"/>
      <c r="BX211" s="98"/>
      <c r="BY211" s="137"/>
      <c r="BZ211" s="98"/>
      <c r="CA211" s="137"/>
      <c r="CB211" s="98"/>
      <c r="CC211" s="137"/>
      <c r="CD211" s="98"/>
      <c r="CE211" s="137"/>
      <c r="CF211" s="98"/>
      <c r="CG211" s="137"/>
      <c r="CH211" s="98"/>
      <c r="CI211" s="137"/>
      <c r="CJ211" s="98"/>
      <c r="CK211" s="137"/>
      <c r="CL211" s="98"/>
      <c r="CM211" s="137"/>
      <c r="CN211" s="98"/>
      <c r="CO211" s="137"/>
      <c r="CP211" s="98"/>
      <c r="CQ211" s="137"/>
      <c r="CR211" s="98"/>
      <c r="CS211" s="137"/>
      <c r="CT211" s="98"/>
      <c r="CU211" s="137"/>
      <c r="CV211" s="98"/>
      <c r="CW211" s="137"/>
      <c r="CX211" s="98"/>
      <c r="CY211" s="137"/>
      <c r="CZ211" s="98"/>
      <c r="DA211" s="137"/>
      <c r="DB211" s="98"/>
      <c r="DC211" s="137"/>
      <c r="DD211" s="98"/>
      <c r="DE211" s="137"/>
      <c r="DF211" s="98"/>
      <c r="DG211" s="137"/>
      <c r="DH211" s="98"/>
      <c r="DI211" s="137"/>
      <c r="DJ211" s="98"/>
      <c r="DK211" s="137"/>
      <c r="DL211" s="98"/>
      <c r="DM211" s="137"/>
      <c r="DN211" s="98"/>
      <c r="DO211" s="137"/>
      <c r="DP211" s="98"/>
      <c r="DQ211" s="137"/>
      <c r="DR211" s="98"/>
      <c r="DS211" s="1001">
        <f>DS220-DS219</f>
        <v>70.3</v>
      </c>
      <c r="DT211" s="995"/>
      <c r="DU211" s="1001">
        <f>DU220-DU219</f>
        <v>71.7</v>
      </c>
      <c r="DV211" s="996"/>
      <c r="DW211" s="1001">
        <f>DW220-DW219</f>
        <v>74</v>
      </c>
      <c r="DX211" s="996"/>
      <c r="DY211" s="1001">
        <f>DY220-DY219</f>
        <v>83.399999999999991</v>
      </c>
      <c r="DZ211" s="996"/>
      <c r="EA211" s="1001">
        <f>EA220-EA219</f>
        <v>73.8</v>
      </c>
      <c r="EB211" s="996"/>
      <c r="EC211" s="1001">
        <f>EC220-EC219</f>
        <v>75.099999999999994</v>
      </c>
      <c r="ED211" s="98"/>
      <c r="EE211" s="1001">
        <f>EE220-EE219</f>
        <v>72.899999999999991</v>
      </c>
      <c r="EF211" s="860"/>
      <c r="EG211" s="1001">
        <f>EG220-EG219</f>
        <v>84.2</v>
      </c>
      <c r="EH211" s="860"/>
      <c r="EI211" s="1001">
        <f>EI220-EI219</f>
        <v>71.800000000000011</v>
      </c>
      <c r="EJ211" s="860"/>
      <c r="EK211" s="1001">
        <f>EK220-EK219</f>
        <v>69.100000000000009</v>
      </c>
      <c r="EL211" s="860"/>
      <c r="EM211" s="1001">
        <f>EM220-EM219</f>
        <v>69</v>
      </c>
      <c r="EN211" s="860"/>
      <c r="EO211" s="1001">
        <f>EO220-EO219</f>
        <v>76.100000000000009</v>
      </c>
      <c r="EP211" s="98"/>
      <c r="EQ211" s="1001">
        <f>EQ213-EQ212</f>
        <v>71.099999999999994</v>
      </c>
      <c r="ER211" s="98"/>
      <c r="ES211" s="1001">
        <f t="shared" ref="ES211" si="1250">ES213-ES212</f>
        <v>70.849999999999994</v>
      </c>
      <c r="ET211" s="98"/>
      <c r="EU211" s="1001">
        <f t="shared" ref="EU211" si="1251">EU213-EU212</f>
        <v>70.599999999999994</v>
      </c>
      <c r="EV211" s="98"/>
      <c r="EW211" s="1001">
        <f t="shared" ref="EW211" si="1252">EW213-EW212</f>
        <v>70.349999999999994</v>
      </c>
      <c r="EX211" s="98"/>
      <c r="EY211" s="137"/>
      <c r="EZ211" s="601"/>
      <c r="FA211" s="411"/>
      <c r="FB211" s="242"/>
      <c r="FC211" s="233"/>
      <c r="FD211" s="137"/>
      <c r="FE211" s="233"/>
      <c r="FF211" s="137"/>
      <c r="FG211" s="233"/>
      <c r="FH211" s="137"/>
      <c r="FI211" s="233"/>
      <c r="FJ211" s="137"/>
      <c r="FK211" s="233"/>
      <c r="FL211" s="137"/>
      <c r="FM211" s="233"/>
      <c r="FN211" s="137"/>
      <c r="FO211" s="233"/>
      <c r="FP211" s="137"/>
      <c r="FQ211" s="233"/>
      <c r="FR211" s="106"/>
      <c r="FS211" s="120"/>
      <c r="FT211" s="106"/>
      <c r="FU211" s="120"/>
      <c r="FV211" s="106"/>
      <c r="FW211" s="98"/>
      <c r="FX211" s="483"/>
      <c r="FY211" s="98"/>
      <c r="FZ211" s="106"/>
      <c r="GA211" s="98"/>
      <c r="GB211" s="483"/>
      <c r="GC211" s="98"/>
      <c r="GD211" s="106"/>
      <c r="GE211" s="98"/>
      <c r="GF211" s="106"/>
      <c r="GG211" s="98"/>
      <c r="GH211" s="106"/>
      <c r="GI211" s="98"/>
      <c r="GJ211" s="1001">
        <f>GJ213-GJ212</f>
        <v>74.898590268303778</v>
      </c>
      <c r="GK211" s="98"/>
      <c r="GL211" s="1001">
        <f>GL213-GL212</f>
        <v>76.533037300177625</v>
      </c>
      <c r="GM211" s="98">
        <f t="shared" ref="GM211:GS211" si="1253">IF(ISERROR((GL211/GJ211-1)*100),"NA",IF(((GL211/GJ211-1)*100)&gt;100,"NM",IF(((GL211/GJ211-1)*100)&lt;-50,"NM",(GL211/GJ211-1)*100)))</f>
        <v>2.182213344762407</v>
      </c>
      <c r="GN211" s="1001">
        <f>GN213-GN212</f>
        <v>71.521539792387557</v>
      </c>
      <c r="GO211" s="98">
        <f t="shared" si="1253"/>
        <v>-6.548149249759927</v>
      </c>
      <c r="GP211" s="1001">
        <f>GP213-GP212</f>
        <v>70.724063905823698</v>
      </c>
      <c r="GQ211" s="98">
        <f t="shared" si="1253"/>
        <v>-1.1150149855257196</v>
      </c>
      <c r="GR211" s="1001">
        <f>GR213-GR212</f>
        <v>70.224063905823698</v>
      </c>
      <c r="GS211" s="98">
        <f t="shared" si="1253"/>
        <v>-0.70697294864984217</v>
      </c>
      <c r="GT211" s="1001">
        <f>GT213-GT212</f>
        <v>69.724063905823698</v>
      </c>
      <c r="GU211" s="98">
        <f t="shared" ref="GU211" si="1254">IF(ISERROR((GT211/GR211-1)*100),"NA",IF(((GT211/GR211-1)*100)&gt;100,"NM",IF(((GT211/GR211-1)*100)&lt;-50,"NM",(GT211/GR211-1)*100)))</f>
        <v>-0.71200664300850036</v>
      </c>
      <c r="GV211" s="1001">
        <f>GV213-GV212</f>
        <v>69.224063905823698</v>
      </c>
      <c r="GW211" s="98"/>
      <c r="GX211" s="1001">
        <f>GX213-GX212</f>
        <v>69.024063905823709</v>
      </c>
      <c r="GY211" s="98"/>
      <c r="GZ211" s="98"/>
      <c r="HA211" s="98"/>
      <c r="HB211" s="10"/>
      <c r="HC211"/>
      <c r="HD211"/>
      <c r="HE211"/>
      <c r="HF211"/>
      <c r="HG211"/>
      <c r="HH211"/>
      <c r="HI211" s="10"/>
    </row>
    <row r="212" spans="2:217" s="2" customFormat="1" ht="12.75" customHeight="1" x14ac:dyDescent="0.2">
      <c r="B212" s="988" t="s">
        <v>719</v>
      </c>
      <c r="C212" s="276"/>
      <c r="D212" s="156"/>
      <c r="E212" s="276"/>
      <c r="F212" s="156"/>
      <c r="G212" s="276"/>
      <c r="H212" s="156"/>
      <c r="I212" s="276"/>
      <c r="J212" s="156"/>
      <c r="K212" s="276"/>
      <c r="L212" s="156"/>
      <c r="M212" s="276"/>
      <c r="N212" s="156"/>
      <c r="O212" s="276"/>
      <c r="P212" s="156"/>
      <c r="Q212" s="276"/>
      <c r="R212" s="156"/>
      <c r="S212" s="276"/>
      <c r="T212" s="156"/>
      <c r="U212" s="276"/>
      <c r="V212" s="156"/>
      <c r="W212" s="276"/>
      <c r="X212" s="156"/>
      <c r="Y212" s="276"/>
      <c r="Z212" s="156"/>
      <c r="AA212" s="276"/>
      <c r="AB212" s="156"/>
      <c r="AC212" s="276"/>
      <c r="AD212" s="156"/>
      <c r="AE212" s="276"/>
      <c r="AF212" s="156"/>
      <c r="AG212" s="276"/>
      <c r="AH212" s="156"/>
      <c r="AI212" s="276"/>
      <c r="AJ212" s="156"/>
      <c r="AK212" s="276"/>
      <c r="AL212" s="156"/>
      <c r="AM212" s="276"/>
      <c r="AN212" s="156"/>
      <c r="AO212" s="276"/>
      <c r="AP212" s="156"/>
      <c r="AQ212" s="276"/>
      <c r="AR212" s="156"/>
      <c r="AS212" s="276"/>
      <c r="AT212" s="156"/>
      <c r="AU212" s="276"/>
      <c r="AV212" s="156"/>
      <c r="AW212" s="276"/>
      <c r="AX212" s="156"/>
      <c r="AY212" s="166"/>
      <c r="AZ212" s="156"/>
      <c r="BA212" s="166"/>
      <c r="BB212" s="156"/>
      <c r="BC212" s="166"/>
      <c r="BD212" s="156"/>
      <c r="BE212" s="166"/>
      <c r="BF212" s="156"/>
      <c r="BG212" s="166"/>
      <c r="BH212" s="156"/>
      <c r="BI212" s="166"/>
      <c r="BJ212" s="156"/>
      <c r="BK212" s="166"/>
      <c r="BL212" s="156"/>
      <c r="BM212" s="166"/>
      <c r="BN212" s="98"/>
      <c r="BO212" s="137"/>
      <c r="BP212" s="98"/>
      <c r="BQ212" s="137"/>
      <c r="BR212" s="98"/>
      <c r="BS212" s="137"/>
      <c r="BT212" s="98"/>
      <c r="BU212" s="137"/>
      <c r="BV212" s="98"/>
      <c r="BW212" s="137"/>
      <c r="BX212" s="98"/>
      <c r="BY212" s="137"/>
      <c r="BZ212" s="98"/>
      <c r="CA212" s="137"/>
      <c r="CB212" s="98"/>
      <c r="CC212" s="137"/>
      <c r="CD212" s="98"/>
      <c r="CE212" s="137"/>
      <c r="CF212" s="98"/>
      <c r="CG212" s="137"/>
      <c r="CH212" s="98"/>
      <c r="CI212" s="137"/>
      <c r="CJ212" s="98"/>
      <c r="CK212" s="137"/>
      <c r="CL212" s="98"/>
      <c r="CM212" s="137"/>
      <c r="CN212" s="98"/>
      <c r="CO212" s="137"/>
      <c r="CP212" s="98"/>
      <c r="CQ212" s="137"/>
      <c r="CR212" s="98"/>
      <c r="CS212" s="137"/>
      <c r="CT212" s="98"/>
      <c r="CU212" s="137"/>
      <c r="CV212" s="98"/>
      <c r="CW212" s="137"/>
      <c r="CX212" s="98"/>
      <c r="CY212" s="137"/>
      <c r="CZ212" s="98"/>
      <c r="DA212" s="137"/>
      <c r="DB212" s="98"/>
      <c r="DC212" s="137"/>
      <c r="DD212" s="98"/>
      <c r="DE212" s="137"/>
      <c r="DF212" s="98"/>
      <c r="DG212" s="137"/>
      <c r="DH212" s="98"/>
      <c r="DI212" s="137"/>
      <c r="DJ212" s="98"/>
      <c r="DK212" s="137"/>
      <c r="DL212" s="98"/>
      <c r="DM212" s="137"/>
      <c r="DN212" s="98"/>
      <c r="DO212" s="137"/>
      <c r="DP212" s="98"/>
      <c r="DQ212" s="137"/>
      <c r="DR212" s="98"/>
      <c r="DS212" s="996">
        <v>26</v>
      </c>
      <c r="DT212" s="995"/>
      <c r="DU212" s="996">
        <v>26</v>
      </c>
      <c r="DV212" s="996"/>
      <c r="DW212" s="996">
        <v>26.3</v>
      </c>
      <c r="DX212" s="996"/>
      <c r="DY212" s="996">
        <v>25.8</v>
      </c>
      <c r="DZ212" s="996"/>
      <c r="EA212" s="996">
        <v>26.9</v>
      </c>
      <c r="EB212" s="996"/>
      <c r="EC212" s="996">
        <v>25.9</v>
      </c>
      <c r="ED212" s="98"/>
      <c r="EE212" s="996">
        <v>25.3</v>
      </c>
      <c r="EF212" s="860"/>
      <c r="EG212" s="996">
        <v>25</v>
      </c>
      <c r="EH212" s="860"/>
      <c r="EI212" s="996">
        <v>25.4</v>
      </c>
      <c r="EJ212" s="860"/>
      <c r="EK212" s="996">
        <v>25.1</v>
      </c>
      <c r="EL212" s="860"/>
      <c r="EM212" s="996">
        <v>25.2</v>
      </c>
      <c r="EN212" s="860"/>
      <c r="EO212" s="996">
        <v>24.9</v>
      </c>
      <c r="EP212" s="98"/>
      <c r="EQ212" s="996">
        <f>EO212</f>
        <v>24.9</v>
      </c>
      <c r="ER212" s="98"/>
      <c r="ES212" s="996">
        <f t="shared" ref="ES212" si="1255">EQ212</f>
        <v>24.9</v>
      </c>
      <c r="ET212" s="98"/>
      <c r="EU212" s="996">
        <f t="shared" ref="EU212" si="1256">ES212</f>
        <v>24.9</v>
      </c>
      <c r="EV212" s="98"/>
      <c r="EW212" s="996">
        <f t="shared" ref="EW212" si="1257">EU212</f>
        <v>24.9</v>
      </c>
      <c r="EX212" s="98"/>
      <c r="EY212" s="137"/>
      <c r="EZ212" s="601"/>
      <c r="FA212" s="411"/>
      <c r="FB212" s="242"/>
      <c r="FC212" s="233"/>
      <c r="FD212" s="137"/>
      <c r="FE212" s="233"/>
      <c r="FF212" s="137"/>
      <c r="FG212" s="233"/>
      <c r="FH212" s="137"/>
      <c r="FI212" s="233"/>
      <c r="FJ212" s="137"/>
      <c r="FK212" s="233"/>
      <c r="FL212" s="137"/>
      <c r="FM212" s="233"/>
      <c r="FN212" s="137"/>
      <c r="FO212" s="233"/>
      <c r="FP212" s="137"/>
      <c r="FQ212" s="233"/>
      <c r="FR212" s="106"/>
      <c r="FS212" s="120"/>
      <c r="FT212" s="106"/>
      <c r="FU212" s="120"/>
      <c r="FV212" s="106"/>
      <c r="FW212" s="98"/>
      <c r="FX212" s="483"/>
      <c r="FY212" s="98"/>
      <c r="FZ212" s="106"/>
      <c r="GA212" s="98"/>
      <c r="GB212" s="483"/>
      <c r="GC212" s="98"/>
      <c r="GD212" s="106"/>
      <c r="GE212" s="98"/>
      <c r="GF212" s="106"/>
      <c r="GG212" s="98"/>
      <c r="GH212" s="106"/>
      <c r="GI212" s="98"/>
      <c r="GJ212" s="1001">
        <f>GJ207/GJ201*100</f>
        <v>26.024920418371988</v>
      </c>
      <c r="GK212" s="98"/>
      <c r="GL212" s="1001">
        <f>GL207/GL201*100</f>
        <v>25.767184724689162</v>
      </c>
      <c r="GM212" s="98">
        <f t="shared" ref="GM212:GW213" si="1258">IF(ISERROR((GL212/GJ212-1)*100),"NA",IF(((GL212/GJ212-1)*100)&gt;100,"NM",IF(((GL212/GJ212-1)*100)&lt;-50,"NM",(GL212/GJ212-1)*100)))</f>
        <v>-0.99034190898381613</v>
      </c>
      <c r="GN212" s="1001">
        <f>GN207/GN201*100</f>
        <v>25.147231833910034</v>
      </c>
      <c r="GO212" s="98">
        <f t="shared" si="1258"/>
        <v>-2.405978369010997</v>
      </c>
      <c r="GP212" s="1001">
        <f>GP207/GP201*100</f>
        <v>24.9</v>
      </c>
      <c r="GQ212" s="98">
        <f t="shared" si="1258"/>
        <v>-0.98313737091592079</v>
      </c>
      <c r="GR212" s="996">
        <f>GP212</f>
        <v>24.9</v>
      </c>
      <c r="GS212" s="98">
        <f t="shared" si="1258"/>
        <v>0</v>
      </c>
      <c r="GT212" s="996">
        <f>GR212</f>
        <v>24.9</v>
      </c>
      <c r="GU212" s="98">
        <f t="shared" si="1258"/>
        <v>0</v>
      </c>
      <c r="GV212" s="996">
        <f>GT212</f>
        <v>24.9</v>
      </c>
      <c r="GW212" s="98"/>
      <c r="GX212" s="996">
        <f>GV212</f>
        <v>24.9</v>
      </c>
      <c r="GY212" s="98"/>
      <c r="GZ212" s="98"/>
      <c r="HA212" s="98"/>
      <c r="HB212" s="10"/>
      <c r="HC212"/>
      <c r="HD212"/>
      <c r="HE212"/>
      <c r="HF212"/>
      <c r="HG212"/>
      <c r="HH212"/>
      <c r="HI212" s="10"/>
    </row>
    <row r="213" spans="2:217" s="2" customFormat="1" ht="12.75" customHeight="1" x14ac:dyDescent="0.2">
      <c r="B213" s="989" t="s">
        <v>720</v>
      </c>
      <c r="C213" s="276"/>
      <c r="D213" s="156"/>
      <c r="E213" s="276"/>
      <c r="F213" s="156"/>
      <c r="G213" s="276"/>
      <c r="H213" s="156"/>
      <c r="I213" s="276"/>
      <c r="J213" s="156"/>
      <c r="K213" s="276"/>
      <c r="L213" s="156"/>
      <c r="M213" s="276"/>
      <c r="N213" s="156"/>
      <c r="O213" s="276"/>
      <c r="P213" s="156"/>
      <c r="Q213" s="276"/>
      <c r="R213" s="156"/>
      <c r="S213" s="276"/>
      <c r="T213" s="156"/>
      <c r="U213" s="276"/>
      <c r="V213" s="156"/>
      <c r="W213" s="276"/>
      <c r="X213" s="156"/>
      <c r="Y213" s="276"/>
      <c r="Z213" s="156"/>
      <c r="AA213" s="276"/>
      <c r="AB213" s="156"/>
      <c r="AC213" s="276"/>
      <c r="AD213" s="156"/>
      <c r="AE213" s="276"/>
      <c r="AF213" s="156"/>
      <c r="AG213" s="276"/>
      <c r="AH213" s="156"/>
      <c r="AI213" s="276"/>
      <c r="AJ213" s="156"/>
      <c r="AK213" s="276"/>
      <c r="AL213" s="156"/>
      <c r="AM213" s="276"/>
      <c r="AN213" s="156"/>
      <c r="AO213" s="276"/>
      <c r="AP213" s="156"/>
      <c r="AQ213" s="276"/>
      <c r="AR213" s="156"/>
      <c r="AS213" s="276"/>
      <c r="AT213" s="156"/>
      <c r="AU213" s="276"/>
      <c r="AV213" s="156"/>
      <c r="AW213" s="276"/>
      <c r="AX213" s="156"/>
      <c r="AY213" s="166"/>
      <c r="AZ213" s="156"/>
      <c r="BA213" s="166"/>
      <c r="BB213" s="156"/>
      <c r="BC213" s="166"/>
      <c r="BD213" s="156"/>
      <c r="BE213" s="166"/>
      <c r="BF213" s="156"/>
      <c r="BG213" s="166"/>
      <c r="BH213" s="156"/>
      <c r="BI213" s="166"/>
      <c r="BJ213" s="156"/>
      <c r="BK213" s="166"/>
      <c r="BL213" s="156"/>
      <c r="BM213" s="166"/>
      <c r="BN213" s="98"/>
      <c r="BO213" s="137"/>
      <c r="BP213" s="98"/>
      <c r="BQ213" s="137"/>
      <c r="BR213" s="98"/>
      <c r="BS213" s="137"/>
      <c r="BT213" s="98"/>
      <c r="BU213" s="137"/>
      <c r="BV213" s="98"/>
      <c r="BW213" s="137"/>
      <c r="BX213" s="98"/>
      <c r="BY213" s="137"/>
      <c r="BZ213" s="98"/>
      <c r="CA213" s="137"/>
      <c r="CB213" s="98"/>
      <c r="CC213" s="137"/>
      <c r="CD213" s="98"/>
      <c r="CE213" s="137"/>
      <c r="CF213" s="98"/>
      <c r="CG213" s="137"/>
      <c r="CH213" s="98"/>
      <c r="CI213" s="137"/>
      <c r="CJ213" s="98"/>
      <c r="CK213" s="137"/>
      <c r="CL213" s="98"/>
      <c r="CM213" s="137"/>
      <c r="CN213" s="98"/>
      <c r="CO213" s="137"/>
      <c r="CP213" s="98"/>
      <c r="CQ213" s="137"/>
      <c r="CR213" s="98"/>
      <c r="CS213" s="137"/>
      <c r="CT213" s="98"/>
      <c r="CU213" s="137"/>
      <c r="CV213" s="98"/>
      <c r="CW213" s="137"/>
      <c r="CX213" s="98"/>
      <c r="CY213" s="137"/>
      <c r="CZ213" s="98"/>
      <c r="DA213" s="137"/>
      <c r="DB213" s="98"/>
      <c r="DC213" s="137"/>
      <c r="DD213" s="98"/>
      <c r="DE213" s="137"/>
      <c r="DF213" s="98"/>
      <c r="DG213" s="137"/>
      <c r="DH213" s="98"/>
      <c r="DI213" s="137"/>
      <c r="DJ213" s="98"/>
      <c r="DK213" s="137"/>
      <c r="DL213" s="98"/>
      <c r="DM213" s="137"/>
      <c r="DN213" s="98"/>
      <c r="DO213" s="137"/>
      <c r="DP213" s="98"/>
      <c r="DQ213" s="137"/>
      <c r="DR213" s="98"/>
      <c r="DS213" s="999">
        <f>DS211+DS212</f>
        <v>96.3</v>
      </c>
      <c r="DT213" s="98"/>
      <c r="DU213" s="999">
        <f>DU211+DU212</f>
        <v>97.7</v>
      </c>
      <c r="DV213" s="98"/>
      <c r="DW213" s="999">
        <f>DW211+DW212</f>
        <v>100.3</v>
      </c>
      <c r="DX213" s="98"/>
      <c r="DY213" s="999">
        <f>DY211+DY212</f>
        <v>109.19999999999999</v>
      </c>
      <c r="DZ213" s="98"/>
      <c r="EA213" s="999">
        <f>EA211+EA212</f>
        <v>100.69999999999999</v>
      </c>
      <c r="EB213" s="98"/>
      <c r="EC213" s="999">
        <f>EC211+EC212</f>
        <v>101</v>
      </c>
      <c r="ED213" s="98"/>
      <c r="EE213" s="999">
        <f>EE211+EE212</f>
        <v>98.199999999999989</v>
      </c>
      <c r="EF213" s="860"/>
      <c r="EG213" s="999">
        <f>EG211+EG212</f>
        <v>109.2</v>
      </c>
      <c r="EH213" s="860"/>
      <c r="EI213" s="999">
        <f>EI211+EI212</f>
        <v>97.200000000000017</v>
      </c>
      <c r="EJ213" s="860"/>
      <c r="EK213" s="999">
        <f>EK211+EK212</f>
        <v>94.200000000000017</v>
      </c>
      <c r="EL213" s="860"/>
      <c r="EM213" s="999">
        <f>EM211+EM212</f>
        <v>94.2</v>
      </c>
      <c r="EN213" s="860"/>
      <c r="EO213" s="999">
        <f>EO211+EO212</f>
        <v>101</v>
      </c>
      <c r="EP213" s="98"/>
      <c r="EQ213" s="1116">
        <v>96</v>
      </c>
      <c r="ER213" s="98"/>
      <c r="ES213" s="1116">
        <f>EQ213-0.25</f>
        <v>95.75</v>
      </c>
      <c r="ET213" s="98"/>
      <c r="EU213" s="1116">
        <f>ES213-0.25</f>
        <v>95.5</v>
      </c>
      <c r="EV213" s="98"/>
      <c r="EW213" s="1116">
        <f>EU213-0.25</f>
        <v>95.25</v>
      </c>
      <c r="EX213" s="98"/>
      <c r="EY213" s="137"/>
      <c r="EZ213" s="601"/>
      <c r="FA213" s="411"/>
      <c r="FB213" s="242"/>
      <c r="FC213" s="233"/>
      <c r="FD213" s="137"/>
      <c r="FE213" s="233"/>
      <c r="FF213" s="137"/>
      <c r="FG213" s="233"/>
      <c r="FH213" s="137"/>
      <c r="FI213" s="233"/>
      <c r="FJ213" s="137"/>
      <c r="FK213" s="233"/>
      <c r="FL213" s="137"/>
      <c r="FM213" s="233"/>
      <c r="FN213" s="137"/>
      <c r="FO213" s="233"/>
      <c r="FP213" s="137"/>
      <c r="FQ213" s="233"/>
      <c r="FR213" s="106"/>
      <c r="FS213" s="120"/>
      <c r="FT213" s="106"/>
      <c r="FU213" s="120"/>
      <c r="FV213" s="106"/>
      <c r="FW213" s="98"/>
      <c r="FX213" s="483"/>
      <c r="FY213" s="98"/>
      <c r="FZ213" s="106"/>
      <c r="GA213" s="98"/>
      <c r="GB213" s="483"/>
      <c r="GC213" s="98"/>
      <c r="GD213" s="106"/>
      <c r="GE213" s="98"/>
      <c r="GF213" s="106"/>
      <c r="GG213" s="98"/>
      <c r="GH213" s="106"/>
      <c r="GI213" s="98"/>
      <c r="GJ213" s="999">
        <f>GJ222-GJ219</f>
        <v>100.92351068667577</v>
      </c>
      <c r="GK213" s="98"/>
      <c r="GL213" s="999">
        <f>GL222-GL219</f>
        <v>102.30022202486678</v>
      </c>
      <c r="GM213" s="98">
        <f t="shared" si="1258"/>
        <v>1.3641136032862766</v>
      </c>
      <c r="GN213" s="999">
        <f>GN222-GN219</f>
        <v>96.668771626297598</v>
      </c>
      <c r="GO213" s="98">
        <f t="shared" si="1258"/>
        <v>-5.5048271519883007</v>
      </c>
      <c r="GP213" s="999">
        <f>GP222-GP219</f>
        <v>95.624063905823704</v>
      </c>
      <c r="GQ213" s="98">
        <f t="shared" si="1258"/>
        <v>-1.0807085917182491</v>
      </c>
      <c r="GR213" s="1116">
        <f>GP213-0.5</f>
        <v>95.124063905823704</v>
      </c>
      <c r="GS213" s="98">
        <f t="shared" si="1258"/>
        <v>-0.52288093559005322</v>
      </c>
      <c r="GT213" s="1116">
        <f>GR213-0.5</f>
        <v>94.624063905823704</v>
      </c>
      <c r="GU213" s="98">
        <f t="shared" si="1258"/>
        <v>-0.52562935125964882</v>
      </c>
      <c r="GV213" s="1116">
        <f>GT213-0.5</f>
        <v>94.124063905823704</v>
      </c>
      <c r="GW213" s="98">
        <f t="shared" si="1258"/>
        <v>-0.52840681256052235</v>
      </c>
      <c r="GX213" s="1116">
        <f>GV213-0.2</f>
        <v>93.924063905823701</v>
      </c>
      <c r="GY213" s="98">
        <f t="shared" ref="GY213" si="1259">IF(ISERROR((GX213/GV213-1)*100),"NA",IF(((GX213/GV213-1)*100)&gt;100,"NM",IF(((GX213/GV213-1)*100)&lt;-50,"NM",(GX213/GV213-1)*100)))</f>
        <v>-0.21248551295034446</v>
      </c>
      <c r="GZ213" s="98"/>
      <c r="HA213" s="98"/>
      <c r="HB213" s="10"/>
      <c r="HC213"/>
      <c r="HD213"/>
      <c r="HE213"/>
      <c r="HF213"/>
      <c r="HG213"/>
      <c r="HH213"/>
      <c r="HI213" s="10"/>
    </row>
    <row r="214" spans="2:217" s="2" customFormat="1" ht="12.75" customHeight="1" x14ac:dyDescent="0.2">
      <c r="B214" s="989"/>
      <c r="C214" s="276"/>
      <c r="D214" s="156"/>
      <c r="E214" s="276"/>
      <c r="F214" s="156"/>
      <c r="G214" s="276"/>
      <c r="H214" s="156"/>
      <c r="I214" s="276"/>
      <c r="J214" s="156"/>
      <c r="K214" s="276"/>
      <c r="L214" s="156"/>
      <c r="M214" s="276"/>
      <c r="N214" s="156"/>
      <c r="O214" s="276"/>
      <c r="P214" s="156"/>
      <c r="Q214" s="276"/>
      <c r="R214" s="156"/>
      <c r="S214" s="276"/>
      <c r="T214" s="156"/>
      <c r="U214" s="276"/>
      <c r="V214" s="156"/>
      <c r="W214" s="276"/>
      <c r="X214" s="156"/>
      <c r="Y214" s="276"/>
      <c r="Z214" s="156"/>
      <c r="AA214" s="276"/>
      <c r="AB214" s="156"/>
      <c r="AC214" s="276"/>
      <c r="AD214" s="156"/>
      <c r="AE214" s="276"/>
      <c r="AF214" s="156"/>
      <c r="AG214" s="276"/>
      <c r="AH214" s="156"/>
      <c r="AI214" s="276"/>
      <c r="AJ214" s="156"/>
      <c r="AK214" s="276"/>
      <c r="AL214" s="156"/>
      <c r="AM214" s="276"/>
      <c r="AN214" s="156"/>
      <c r="AO214" s="276"/>
      <c r="AP214" s="156"/>
      <c r="AQ214" s="276"/>
      <c r="AR214" s="156"/>
      <c r="AS214" s="276"/>
      <c r="AT214" s="156"/>
      <c r="AU214" s="276"/>
      <c r="AV214" s="156"/>
      <c r="AW214" s="276"/>
      <c r="AX214" s="156"/>
      <c r="AY214" s="166"/>
      <c r="AZ214" s="156"/>
      <c r="BA214" s="166"/>
      <c r="BB214" s="156"/>
      <c r="BC214" s="166"/>
      <c r="BD214" s="156"/>
      <c r="BE214" s="166"/>
      <c r="BF214" s="156"/>
      <c r="BG214" s="166"/>
      <c r="BH214" s="156"/>
      <c r="BI214" s="166"/>
      <c r="BJ214" s="156"/>
      <c r="BK214" s="166"/>
      <c r="BL214" s="156"/>
      <c r="BM214" s="166"/>
      <c r="BN214" s="98"/>
      <c r="BO214" s="137"/>
      <c r="BP214" s="98"/>
      <c r="BQ214" s="137"/>
      <c r="BR214" s="98"/>
      <c r="BS214" s="137"/>
      <c r="BT214" s="98"/>
      <c r="BU214" s="137"/>
      <c r="BV214" s="98"/>
      <c r="BW214" s="137"/>
      <c r="BX214" s="98"/>
      <c r="BY214" s="137"/>
      <c r="BZ214" s="98"/>
      <c r="CA214" s="137"/>
      <c r="CB214" s="98"/>
      <c r="CC214" s="137"/>
      <c r="CD214" s="98"/>
      <c r="CE214" s="137"/>
      <c r="CF214" s="98"/>
      <c r="CG214" s="137"/>
      <c r="CH214" s="98"/>
      <c r="CI214" s="137"/>
      <c r="CJ214" s="98"/>
      <c r="CK214" s="137"/>
      <c r="CL214" s="98"/>
      <c r="CM214" s="137"/>
      <c r="CN214" s="98"/>
      <c r="CO214" s="137"/>
      <c r="CP214" s="98"/>
      <c r="CQ214" s="137"/>
      <c r="CR214" s="98"/>
      <c r="CS214" s="137"/>
      <c r="CT214" s="98"/>
      <c r="CU214" s="137"/>
      <c r="CV214" s="98"/>
      <c r="CW214" s="137"/>
      <c r="CX214" s="98"/>
      <c r="CY214" s="137"/>
      <c r="CZ214" s="98"/>
      <c r="DA214" s="137"/>
      <c r="DB214" s="98"/>
      <c r="DC214" s="137"/>
      <c r="DD214" s="98"/>
      <c r="DE214" s="137"/>
      <c r="DF214" s="98"/>
      <c r="DG214" s="137"/>
      <c r="DH214" s="98"/>
      <c r="DI214" s="137"/>
      <c r="DJ214" s="98"/>
      <c r="DK214" s="137"/>
      <c r="DL214" s="98"/>
      <c r="DM214" s="137"/>
      <c r="DN214" s="98"/>
      <c r="DO214" s="137"/>
      <c r="DP214" s="98"/>
      <c r="DQ214" s="137"/>
      <c r="DR214" s="98"/>
      <c r="DS214" s="999"/>
      <c r="DT214" s="98"/>
      <c r="DU214" s="999"/>
      <c r="DV214" s="98"/>
      <c r="DW214" s="999"/>
      <c r="DX214" s="98"/>
      <c r="DY214" s="999"/>
      <c r="DZ214" s="98"/>
      <c r="EA214" s="999"/>
      <c r="EB214" s="98"/>
      <c r="EC214" s="999"/>
      <c r="ED214" s="98"/>
      <c r="EE214" s="999"/>
      <c r="EF214" s="860"/>
      <c r="EG214" s="999"/>
      <c r="EH214" s="860"/>
      <c r="EI214" s="999"/>
      <c r="EJ214" s="860"/>
      <c r="EK214" s="999"/>
      <c r="EL214" s="860"/>
      <c r="EM214" s="999"/>
      <c r="EN214" s="860"/>
      <c r="EO214" s="999"/>
      <c r="EP214" s="98"/>
      <c r="EQ214" s="999"/>
      <c r="ER214" s="98"/>
      <c r="ES214" s="999"/>
      <c r="ET214" s="98"/>
      <c r="EU214" s="999"/>
      <c r="EV214" s="98"/>
      <c r="EW214" s="999"/>
      <c r="EX214" s="98"/>
      <c r="EY214" s="137"/>
      <c r="EZ214" s="601"/>
      <c r="FA214" s="411"/>
      <c r="FB214" s="242"/>
      <c r="FC214" s="233"/>
      <c r="FD214" s="137"/>
      <c r="FE214" s="233"/>
      <c r="FF214" s="137"/>
      <c r="FG214" s="233"/>
      <c r="FH214" s="137"/>
      <c r="FI214" s="233"/>
      <c r="FJ214" s="137"/>
      <c r="FK214" s="233"/>
      <c r="FL214" s="137"/>
      <c r="FM214" s="233"/>
      <c r="FN214" s="137"/>
      <c r="FO214" s="233"/>
      <c r="FP214" s="137"/>
      <c r="FQ214" s="233"/>
      <c r="FR214" s="106"/>
      <c r="FS214" s="120"/>
      <c r="FT214" s="106"/>
      <c r="FU214" s="120"/>
      <c r="FV214" s="106"/>
      <c r="FW214" s="98"/>
      <c r="FX214" s="483"/>
      <c r="FY214" s="98"/>
      <c r="FZ214" s="106"/>
      <c r="GA214" s="98"/>
      <c r="GB214" s="483"/>
      <c r="GC214" s="98"/>
      <c r="GD214" s="106"/>
      <c r="GE214" s="98"/>
      <c r="GF214" s="106"/>
      <c r="GG214" s="98"/>
      <c r="GH214" s="106"/>
      <c r="GI214" s="98"/>
      <c r="GJ214" s="999"/>
      <c r="GK214" s="98"/>
      <c r="GL214" s="999"/>
      <c r="GM214" s="98"/>
      <c r="GN214" s="999"/>
      <c r="GO214" s="98"/>
      <c r="GP214" s="999"/>
      <c r="GQ214" s="98"/>
      <c r="GR214" s="999"/>
      <c r="GS214" s="98"/>
      <c r="GT214" s="999"/>
      <c r="GU214" s="98"/>
      <c r="GV214" s="999"/>
      <c r="GW214" s="98"/>
      <c r="GX214" s="999"/>
      <c r="GY214" s="98"/>
      <c r="GZ214" s="98"/>
      <c r="HA214" s="98"/>
      <c r="HB214" s="10"/>
      <c r="HC214"/>
      <c r="HD214"/>
      <c r="HE214"/>
      <c r="HF214"/>
      <c r="HG214"/>
      <c r="HH214"/>
      <c r="HI214" s="10"/>
    </row>
    <row r="215" spans="2:217" s="2" customFormat="1" ht="12.75" hidden="1" customHeight="1" outlineLevel="1" x14ac:dyDescent="0.2">
      <c r="B215" s="992" t="s">
        <v>718</v>
      </c>
      <c r="C215" s="276"/>
      <c r="D215" s="156"/>
      <c r="E215" s="276"/>
      <c r="F215" s="156"/>
      <c r="G215" s="276"/>
      <c r="H215" s="156"/>
      <c r="I215" s="276"/>
      <c r="J215" s="156"/>
      <c r="K215" s="276"/>
      <c r="L215" s="156"/>
      <c r="M215" s="276"/>
      <c r="N215" s="156"/>
      <c r="O215" s="276"/>
      <c r="P215" s="156"/>
      <c r="Q215" s="276"/>
      <c r="R215" s="156"/>
      <c r="S215" s="276"/>
      <c r="T215" s="156"/>
      <c r="U215" s="276"/>
      <c r="V215" s="156"/>
      <c r="W215" s="276"/>
      <c r="X215" s="156"/>
      <c r="Y215" s="276"/>
      <c r="Z215" s="156"/>
      <c r="AA215" s="276"/>
      <c r="AB215" s="156"/>
      <c r="AC215" s="276"/>
      <c r="AD215" s="156"/>
      <c r="AE215" s="276"/>
      <c r="AF215" s="156"/>
      <c r="AG215" s="276"/>
      <c r="AH215" s="156"/>
      <c r="AI215" s="276"/>
      <c r="AJ215" s="156"/>
      <c r="AK215" s="276"/>
      <c r="AL215" s="156"/>
      <c r="AM215" s="276"/>
      <c r="AN215" s="156"/>
      <c r="AO215" s="276"/>
      <c r="AP215" s="156"/>
      <c r="AQ215" s="276"/>
      <c r="AR215" s="156"/>
      <c r="AS215" s="276"/>
      <c r="AT215" s="156"/>
      <c r="AU215" s="276"/>
      <c r="AV215" s="156"/>
      <c r="AW215" s="276"/>
      <c r="AX215" s="156"/>
      <c r="AY215" s="166"/>
      <c r="AZ215" s="156"/>
      <c r="BA215" s="166"/>
      <c r="BB215" s="156"/>
      <c r="BC215" s="166"/>
      <c r="BD215" s="156"/>
      <c r="BE215" s="166"/>
      <c r="BF215" s="156"/>
      <c r="BG215" s="166"/>
      <c r="BH215" s="156"/>
      <c r="BI215" s="166"/>
      <c r="BJ215" s="156"/>
      <c r="BK215" s="166"/>
      <c r="BL215" s="156"/>
      <c r="BM215" s="166"/>
      <c r="BN215" s="98"/>
      <c r="BO215" s="137"/>
      <c r="BP215" s="98"/>
      <c r="BQ215" s="137"/>
      <c r="BR215" s="98"/>
      <c r="BS215" s="137"/>
      <c r="BT215" s="98"/>
      <c r="BU215" s="137"/>
      <c r="BV215" s="98"/>
      <c r="BW215" s="137"/>
      <c r="BX215" s="98"/>
      <c r="BY215" s="137"/>
      <c r="BZ215" s="98"/>
      <c r="CA215" s="137"/>
      <c r="CB215" s="98"/>
      <c r="CC215" s="137"/>
      <c r="CD215" s="98"/>
      <c r="CE215" s="137"/>
      <c r="CF215" s="98"/>
      <c r="CG215" s="137"/>
      <c r="CH215" s="98"/>
      <c r="CI215" s="137"/>
      <c r="CJ215" s="98"/>
      <c r="CK215" s="137"/>
      <c r="CL215" s="98"/>
      <c r="CM215" s="137"/>
      <c r="CN215" s="98"/>
      <c r="CO215" s="137"/>
      <c r="CP215" s="98"/>
      <c r="CQ215" s="137"/>
      <c r="CR215" s="98"/>
      <c r="CS215" s="137"/>
      <c r="CT215" s="98"/>
      <c r="CU215" s="137"/>
      <c r="CV215" s="98"/>
      <c r="CW215" s="137"/>
      <c r="CX215" s="98"/>
      <c r="CY215" s="137"/>
      <c r="CZ215" s="98"/>
      <c r="DA215" s="137"/>
      <c r="DB215" s="98"/>
      <c r="DC215" s="137"/>
      <c r="DD215" s="98"/>
      <c r="DE215" s="137"/>
      <c r="DF215" s="98"/>
      <c r="DG215" s="137"/>
      <c r="DH215" s="98"/>
      <c r="DI215" s="137"/>
      <c r="DJ215" s="98"/>
      <c r="DK215" s="137"/>
      <c r="DL215" s="98"/>
      <c r="DM215" s="137"/>
      <c r="DN215" s="98"/>
      <c r="DO215" s="137"/>
      <c r="DP215" s="98"/>
      <c r="DQ215" s="137"/>
      <c r="DR215" s="98"/>
      <c r="DS215" s="1001">
        <f>DS216</f>
        <v>-1.8</v>
      </c>
      <c r="DT215" s="1002"/>
      <c r="DU215" s="1001">
        <f>DU216</f>
        <v>-2.2000000000000002</v>
      </c>
      <c r="DV215" s="1001"/>
      <c r="DW215" s="1001">
        <f>DW216</f>
        <v>-2.7</v>
      </c>
      <c r="DX215" s="1001"/>
      <c r="DY215" s="1001">
        <f>DY216</f>
        <v>0.5</v>
      </c>
      <c r="DZ215" s="1001"/>
      <c r="EA215" s="1001">
        <f>EA216</f>
        <v>0</v>
      </c>
      <c r="EB215" s="1001"/>
      <c r="EC215" s="1001">
        <f>EC216</f>
        <v>0.1</v>
      </c>
      <c r="ED215" s="33"/>
      <c r="EE215" s="1001">
        <f>EE216</f>
        <v>-0.3</v>
      </c>
      <c r="EF215" s="771"/>
      <c r="EG215" s="1001">
        <f>EG216</f>
        <v>-0.1</v>
      </c>
      <c r="EH215" s="771"/>
      <c r="EI215" s="1001">
        <f>EI216</f>
        <v>-0.8</v>
      </c>
      <c r="EJ215" s="771"/>
      <c r="EK215" s="1001">
        <f>EK216</f>
        <v>-0.5</v>
      </c>
      <c r="EL215" s="771"/>
      <c r="EM215" s="1001">
        <f>EM216</f>
        <v>-0.9</v>
      </c>
      <c r="EN215" s="771"/>
      <c r="EO215" s="1001">
        <f>EO216</f>
        <v>-1.8</v>
      </c>
      <c r="EP215" s="98"/>
      <c r="EQ215" s="1001">
        <f>EQ216</f>
        <v>0</v>
      </c>
      <c r="ER215" s="98"/>
      <c r="ES215" s="1001">
        <f t="shared" ref="ES215" si="1260">ES216</f>
        <v>0</v>
      </c>
      <c r="ET215" s="98"/>
      <c r="EU215" s="1001">
        <f t="shared" ref="EU215" si="1261">EU216</f>
        <v>0</v>
      </c>
      <c r="EV215" s="98"/>
      <c r="EW215" s="1001">
        <f t="shared" ref="EW215" si="1262">EW216</f>
        <v>0</v>
      </c>
      <c r="EX215" s="98"/>
      <c r="EY215" s="137"/>
      <c r="EZ215" s="601"/>
      <c r="FA215" s="411"/>
      <c r="FB215" s="242"/>
      <c r="FC215" s="233"/>
      <c r="FD215" s="137"/>
      <c r="FE215" s="233"/>
      <c r="FF215" s="137"/>
      <c r="FG215" s="233"/>
      <c r="FH215" s="137"/>
      <c r="FI215" s="233"/>
      <c r="FJ215" s="137"/>
      <c r="FK215" s="233"/>
      <c r="FL215" s="137"/>
      <c r="FM215" s="233"/>
      <c r="FN215" s="137"/>
      <c r="FO215" s="233"/>
      <c r="FP215" s="137"/>
      <c r="FQ215" s="233"/>
      <c r="FR215" s="106"/>
      <c r="FS215" s="120"/>
      <c r="FT215" s="106"/>
      <c r="FU215" s="120"/>
      <c r="FV215" s="106"/>
      <c r="FW215" s="98"/>
      <c r="FX215" s="483"/>
      <c r="FY215" s="98"/>
      <c r="FZ215" s="106"/>
      <c r="GA215" s="98"/>
      <c r="GB215" s="483"/>
      <c r="GC215" s="98"/>
      <c r="GD215" s="106"/>
      <c r="GE215" s="98"/>
      <c r="GF215" s="106"/>
      <c r="GG215" s="98"/>
      <c r="GH215" s="106"/>
      <c r="GI215" s="98"/>
      <c r="GJ215" s="1001">
        <f>GJ216</f>
        <v>-1.5436562073669855</v>
      </c>
      <c r="GK215" s="33"/>
      <c r="GL215" s="1001">
        <f>GL216</f>
        <v>-7.6065719360568385E-2</v>
      </c>
      <c r="GM215" s="33" t="str">
        <f t="shared" ref="GM215:GS221" si="1263">IF(ISERROR((GL215/GJ215-1)*100),"NA",IF(((GL215/GJ215-1)*100)&gt;100,"NM",IF(((GL215/GJ215-1)*100)&lt;-50,"NM",(GL215/GJ215-1)*100)))</f>
        <v>NM</v>
      </c>
      <c r="GN215" s="1001">
        <f>GN216</f>
        <v>-1.0065743944636678</v>
      </c>
      <c r="GO215" s="33" t="str">
        <f t="shared" si="1263"/>
        <v>NM</v>
      </c>
      <c r="GP215" s="1001">
        <f>GP216</f>
        <v>0</v>
      </c>
      <c r="GQ215" s="33" t="str">
        <f t="shared" si="1263"/>
        <v>NM</v>
      </c>
      <c r="GR215" s="1001">
        <f>GR216</f>
        <v>0</v>
      </c>
      <c r="GS215" s="33" t="str">
        <f t="shared" si="1263"/>
        <v>NA</v>
      </c>
      <c r="GT215" s="1001">
        <f>GT216</f>
        <v>0</v>
      </c>
      <c r="GU215" s="33" t="str">
        <f t="shared" ref="GU215:GU221" si="1264">IF(ISERROR((GT215/GR215-1)*100),"NA",IF(((GT215/GR215-1)*100)&gt;100,"NM",IF(((GT215/GR215-1)*100)&lt;-50,"NM",(GT215/GR215-1)*100)))</f>
        <v>NA</v>
      </c>
      <c r="GV215" s="1001">
        <f>GV216</f>
        <v>0</v>
      </c>
      <c r="GW215" s="98"/>
      <c r="GX215" s="1001">
        <f>GX216</f>
        <v>0</v>
      </c>
      <c r="GY215" s="98"/>
      <c r="GZ215" s="98"/>
      <c r="HA215" s="98"/>
      <c r="HB215" s="10"/>
      <c r="HC215"/>
      <c r="HD215"/>
      <c r="HE215"/>
      <c r="HF215"/>
      <c r="HG215"/>
      <c r="HH215"/>
      <c r="HI215" s="10"/>
    </row>
    <row r="216" spans="2:217" s="2" customFormat="1" ht="12.75" customHeight="1" collapsed="1" x14ac:dyDescent="0.2">
      <c r="B216" s="994" t="s">
        <v>721</v>
      </c>
      <c r="C216" s="276"/>
      <c r="D216" s="156"/>
      <c r="E216" s="276"/>
      <c r="F216" s="156"/>
      <c r="G216" s="276"/>
      <c r="H216" s="156"/>
      <c r="I216" s="276"/>
      <c r="J216" s="156"/>
      <c r="K216" s="276"/>
      <c r="L216" s="156"/>
      <c r="M216" s="276"/>
      <c r="N216" s="156"/>
      <c r="O216" s="276"/>
      <c r="P216" s="156"/>
      <c r="Q216" s="276"/>
      <c r="R216" s="156"/>
      <c r="S216" s="276"/>
      <c r="T216" s="156"/>
      <c r="U216" s="276"/>
      <c r="V216" s="156"/>
      <c r="W216" s="276"/>
      <c r="X216" s="156"/>
      <c r="Y216" s="276"/>
      <c r="Z216" s="156"/>
      <c r="AA216" s="276"/>
      <c r="AB216" s="156"/>
      <c r="AC216" s="276"/>
      <c r="AD216" s="156"/>
      <c r="AE216" s="276"/>
      <c r="AF216" s="156"/>
      <c r="AG216" s="276"/>
      <c r="AH216" s="156"/>
      <c r="AI216" s="276"/>
      <c r="AJ216" s="156"/>
      <c r="AK216" s="276"/>
      <c r="AL216" s="156"/>
      <c r="AM216" s="276"/>
      <c r="AN216" s="156"/>
      <c r="AO216" s="276"/>
      <c r="AP216" s="156"/>
      <c r="AQ216" s="276"/>
      <c r="AR216" s="156"/>
      <c r="AS216" s="276"/>
      <c r="AT216" s="156"/>
      <c r="AU216" s="276"/>
      <c r="AV216" s="156"/>
      <c r="AW216" s="276"/>
      <c r="AX216" s="156"/>
      <c r="AY216" s="166"/>
      <c r="AZ216" s="156"/>
      <c r="BA216" s="166"/>
      <c r="BB216" s="156"/>
      <c r="BC216" s="166"/>
      <c r="BD216" s="156"/>
      <c r="BE216" s="166"/>
      <c r="BF216" s="156"/>
      <c r="BG216" s="166"/>
      <c r="BH216" s="156"/>
      <c r="BI216" s="166"/>
      <c r="BJ216" s="156"/>
      <c r="BK216" s="166"/>
      <c r="BL216" s="156"/>
      <c r="BM216" s="166"/>
      <c r="BN216" s="98"/>
      <c r="BO216" s="137"/>
      <c r="BP216" s="98"/>
      <c r="BQ216" s="137"/>
      <c r="BR216" s="98"/>
      <c r="BS216" s="137"/>
      <c r="BT216" s="98"/>
      <c r="BU216" s="137"/>
      <c r="BV216" s="98"/>
      <c r="BW216" s="137"/>
      <c r="BX216" s="98"/>
      <c r="BY216" s="137"/>
      <c r="BZ216" s="98"/>
      <c r="CA216" s="137"/>
      <c r="CB216" s="98"/>
      <c r="CC216" s="137"/>
      <c r="CD216" s="98"/>
      <c r="CE216" s="137"/>
      <c r="CF216" s="98"/>
      <c r="CG216" s="137"/>
      <c r="CH216" s="98"/>
      <c r="CI216" s="137"/>
      <c r="CJ216" s="98"/>
      <c r="CK216" s="137"/>
      <c r="CL216" s="98"/>
      <c r="CM216" s="137"/>
      <c r="CN216" s="98"/>
      <c r="CO216" s="137"/>
      <c r="CP216" s="98"/>
      <c r="CQ216" s="137"/>
      <c r="CR216" s="98"/>
      <c r="CS216" s="137"/>
      <c r="CT216" s="98"/>
      <c r="CU216" s="137"/>
      <c r="CV216" s="98"/>
      <c r="CW216" s="137"/>
      <c r="CX216" s="98"/>
      <c r="CY216" s="137"/>
      <c r="CZ216" s="98"/>
      <c r="DA216" s="137"/>
      <c r="DB216" s="98"/>
      <c r="DC216" s="137"/>
      <c r="DD216" s="98"/>
      <c r="DE216" s="137"/>
      <c r="DF216" s="98"/>
      <c r="DG216" s="137"/>
      <c r="DH216" s="98"/>
      <c r="DI216" s="137"/>
      <c r="DJ216" s="98"/>
      <c r="DK216" s="137"/>
      <c r="DL216" s="98"/>
      <c r="DM216" s="137"/>
      <c r="DN216" s="98"/>
      <c r="DO216" s="137"/>
      <c r="DP216" s="98"/>
      <c r="DQ216" s="137"/>
      <c r="DR216" s="98"/>
      <c r="DS216" s="996">
        <v>-1.8</v>
      </c>
      <c r="DT216" s="995"/>
      <c r="DU216" s="996">
        <v>-2.2000000000000002</v>
      </c>
      <c r="DV216" s="996"/>
      <c r="DW216" s="1113">
        <v>-2.7</v>
      </c>
      <c r="DX216" s="996"/>
      <c r="DY216" s="1113">
        <v>0.5</v>
      </c>
      <c r="DZ216" s="996"/>
      <c r="EA216" s="1113">
        <v>0</v>
      </c>
      <c r="EB216" s="996"/>
      <c r="EC216" s="1113">
        <v>0.1</v>
      </c>
      <c r="ED216" s="98"/>
      <c r="EE216" s="1113">
        <v>-0.3</v>
      </c>
      <c r="EF216" s="860"/>
      <c r="EG216" s="1113">
        <v>-0.1</v>
      </c>
      <c r="EH216" s="860"/>
      <c r="EI216" s="1113">
        <v>-0.8</v>
      </c>
      <c r="EJ216" s="860"/>
      <c r="EK216" s="1113">
        <v>-0.5</v>
      </c>
      <c r="EL216" s="860"/>
      <c r="EM216" s="1113">
        <v>-0.9</v>
      </c>
      <c r="EN216" s="860"/>
      <c r="EO216" s="1113">
        <v>-1.8</v>
      </c>
      <c r="EP216" s="98"/>
      <c r="EQ216" s="1113">
        <v>0</v>
      </c>
      <c r="ER216" s="98"/>
      <c r="ES216" s="1113">
        <v>0</v>
      </c>
      <c r="ET216" s="98"/>
      <c r="EU216" s="1113">
        <v>0</v>
      </c>
      <c r="EV216" s="98"/>
      <c r="EW216" s="1113">
        <v>0</v>
      </c>
      <c r="EX216" s="98"/>
      <c r="EY216" s="137"/>
      <c r="EZ216" s="601"/>
      <c r="FA216" s="411"/>
      <c r="FB216" s="242"/>
      <c r="FC216" s="233"/>
      <c r="FD216" s="137"/>
      <c r="FE216" s="233"/>
      <c r="FF216" s="137"/>
      <c r="FG216" s="233"/>
      <c r="FH216" s="137"/>
      <c r="FI216" s="233"/>
      <c r="FJ216" s="137"/>
      <c r="FK216" s="233"/>
      <c r="FL216" s="137"/>
      <c r="FM216" s="233"/>
      <c r="FN216" s="137"/>
      <c r="FO216" s="233"/>
      <c r="FP216" s="137"/>
      <c r="FQ216" s="233"/>
      <c r="FR216" s="106"/>
      <c r="FS216" s="120"/>
      <c r="FT216" s="106"/>
      <c r="FU216" s="120"/>
      <c r="FV216" s="106"/>
      <c r="FW216" s="98"/>
      <c r="FX216" s="483"/>
      <c r="FY216" s="98"/>
      <c r="FZ216" s="106"/>
      <c r="GA216" s="98"/>
      <c r="GB216" s="483"/>
      <c r="GC216" s="98"/>
      <c r="GD216" s="106"/>
      <c r="GE216" s="98"/>
      <c r="GF216" s="106"/>
      <c r="GG216" s="98"/>
      <c r="GH216" s="106"/>
      <c r="GI216" s="98"/>
      <c r="GJ216" s="1001">
        <f>GJ205/GJ201*100</f>
        <v>-1.5436562073669855</v>
      </c>
      <c r="GK216" s="98"/>
      <c r="GL216" s="1001">
        <f>GL205/GL201*100</f>
        <v>-7.6065719360568385E-2</v>
      </c>
      <c r="GM216" s="98" t="str">
        <f t="shared" ref="GM216:GW217" si="1265">IF(ISERROR((GL216/GJ216-1)*100),"NA",IF(((GL216/GJ216-1)*100)&gt;100,"NM",IF(((GL216/GJ216-1)*100)&lt;-50,"NM",(GL216/GJ216-1)*100)))</f>
        <v>NM</v>
      </c>
      <c r="GN216" s="1001">
        <f>GN205/GN201*100</f>
        <v>-1.0065743944636678</v>
      </c>
      <c r="GO216" s="98" t="str">
        <f t="shared" si="1265"/>
        <v>NM</v>
      </c>
      <c r="GP216" s="1001">
        <f>GP205/GP201*100</f>
        <v>0</v>
      </c>
      <c r="GQ216" s="98" t="str">
        <f t="shared" si="1265"/>
        <v>NM</v>
      </c>
      <c r="GR216" s="1113">
        <v>0</v>
      </c>
      <c r="GS216" s="98" t="str">
        <f t="shared" si="1265"/>
        <v>NA</v>
      </c>
      <c r="GT216" s="1113">
        <v>0</v>
      </c>
      <c r="GU216" s="98" t="str">
        <f t="shared" si="1265"/>
        <v>NA</v>
      </c>
      <c r="GV216" s="1113">
        <v>0</v>
      </c>
      <c r="GW216" s="98" t="str">
        <f t="shared" si="1265"/>
        <v>NA</v>
      </c>
      <c r="GX216" s="1113">
        <v>0</v>
      </c>
      <c r="GY216" s="98" t="str">
        <f t="shared" ref="GY216:GY217" si="1266">IF(ISERROR((GX216/GV216-1)*100),"NA",IF(((GX216/GV216-1)*100)&gt;100,"NM",IF(((GX216/GV216-1)*100)&lt;-50,"NM",(GX216/GV216-1)*100)))</f>
        <v>NA</v>
      </c>
      <c r="GZ216" s="98"/>
      <c r="HA216" s="98"/>
      <c r="HB216" s="10"/>
      <c r="HC216"/>
      <c r="HD216"/>
      <c r="HE216"/>
      <c r="HF216"/>
      <c r="HG216"/>
      <c r="HH216"/>
      <c r="HI216" s="10"/>
    </row>
    <row r="217" spans="2:217" s="2" customFormat="1" ht="12.75" customHeight="1" x14ac:dyDescent="0.2">
      <c r="B217" s="988" t="s">
        <v>730</v>
      </c>
      <c r="C217" s="276"/>
      <c r="D217" s="156"/>
      <c r="E217" s="276"/>
      <c r="F217" s="156"/>
      <c r="G217" s="276"/>
      <c r="H217" s="156"/>
      <c r="I217" s="276"/>
      <c r="J217" s="156"/>
      <c r="K217" s="276"/>
      <c r="L217" s="156"/>
      <c r="M217" s="276"/>
      <c r="N217" s="156"/>
      <c r="O217" s="276"/>
      <c r="P217" s="156"/>
      <c r="Q217" s="276"/>
      <c r="R217" s="156"/>
      <c r="S217" s="276"/>
      <c r="T217" s="156"/>
      <c r="U217" s="276"/>
      <c r="V217" s="156"/>
      <c r="W217" s="276"/>
      <c r="X217" s="156"/>
      <c r="Y217" s="276"/>
      <c r="Z217" s="156"/>
      <c r="AA217" s="276"/>
      <c r="AB217" s="156"/>
      <c r="AC217" s="276"/>
      <c r="AD217" s="156"/>
      <c r="AE217" s="276"/>
      <c r="AF217" s="156"/>
      <c r="AG217" s="276"/>
      <c r="AH217" s="156"/>
      <c r="AI217" s="276"/>
      <c r="AJ217" s="156"/>
      <c r="AK217" s="276"/>
      <c r="AL217" s="156"/>
      <c r="AM217" s="276"/>
      <c r="AN217" s="156"/>
      <c r="AO217" s="276"/>
      <c r="AP217" s="156"/>
      <c r="AQ217" s="276"/>
      <c r="AR217" s="156"/>
      <c r="AS217" s="276"/>
      <c r="AT217" s="156"/>
      <c r="AU217" s="276"/>
      <c r="AV217" s="156"/>
      <c r="AW217" s="276"/>
      <c r="AX217" s="156"/>
      <c r="AY217" s="166"/>
      <c r="AZ217" s="156"/>
      <c r="BA217" s="166"/>
      <c r="BB217" s="156"/>
      <c r="BC217" s="166"/>
      <c r="BD217" s="156"/>
      <c r="BE217" s="166"/>
      <c r="BF217" s="156"/>
      <c r="BG217" s="166"/>
      <c r="BH217" s="156"/>
      <c r="BI217" s="166"/>
      <c r="BJ217" s="156"/>
      <c r="BK217" s="166"/>
      <c r="BL217" s="156"/>
      <c r="BM217" s="166"/>
      <c r="BN217" s="98"/>
      <c r="BO217" s="137"/>
      <c r="BP217" s="98"/>
      <c r="BQ217" s="137"/>
      <c r="BR217" s="98"/>
      <c r="BS217" s="137"/>
      <c r="BT217" s="98"/>
      <c r="BU217" s="137"/>
      <c r="BV217" s="98"/>
      <c r="BW217" s="137"/>
      <c r="BX217" s="98"/>
      <c r="BY217" s="137"/>
      <c r="BZ217" s="98"/>
      <c r="CA217" s="137"/>
      <c r="CB217" s="98"/>
      <c r="CC217" s="137"/>
      <c r="CD217" s="98"/>
      <c r="CE217" s="137"/>
      <c r="CF217" s="98"/>
      <c r="CG217" s="137"/>
      <c r="CH217" s="98"/>
      <c r="CI217" s="137"/>
      <c r="CJ217" s="98"/>
      <c r="CK217" s="137"/>
      <c r="CL217" s="98"/>
      <c r="CM217" s="137"/>
      <c r="CN217" s="98"/>
      <c r="CO217" s="137"/>
      <c r="CP217" s="98"/>
      <c r="CQ217" s="137"/>
      <c r="CR217" s="98"/>
      <c r="CS217" s="137"/>
      <c r="CT217" s="98"/>
      <c r="CU217" s="137"/>
      <c r="CV217" s="98"/>
      <c r="CW217" s="137"/>
      <c r="CX217" s="98"/>
      <c r="CY217" s="137"/>
      <c r="CZ217" s="98"/>
      <c r="DA217" s="137"/>
      <c r="DB217" s="98"/>
      <c r="DC217" s="137"/>
      <c r="DD217" s="98"/>
      <c r="DE217" s="137"/>
      <c r="DF217" s="98"/>
      <c r="DG217" s="137"/>
      <c r="DH217" s="98"/>
      <c r="DI217" s="137"/>
      <c r="DJ217" s="98"/>
      <c r="DK217" s="137"/>
      <c r="DL217" s="98"/>
      <c r="DM217" s="137"/>
      <c r="DN217" s="98"/>
      <c r="DO217" s="137"/>
      <c r="DP217" s="98"/>
      <c r="DQ217" s="137"/>
      <c r="DR217" s="98"/>
      <c r="DS217" s="996">
        <v>0.2</v>
      </c>
      <c r="DT217" s="995"/>
      <c r="DU217" s="996">
        <v>1.9</v>
      </c>
      <c r="DV217" s="996"/>
      <c r="DW217" s="1113">
        <v>1.1000000000000001</v>
      </c>
      <c r="DX217" s="996"/>
      <c r="DY217" s="1113">
        <v>0.4</v>
      </c>
      <c r="DZ217" s="996"/>
      <c r="EA217" s="1113">
        <v>1.8</v>
      </c>
      <c r="EB217" s="996"/>
      <c r="EC217" s="1113">
        <v>3.8</v>
      </c>
      <c r="ED217" s="98"/>
      <c r="EE217" s="1113">
        <v>1.7</v>
      </c>
      <c r="EF217" s="860"/>
      <c r="EG217" s="1113">
        <v>1.1000000000000001</v>
      </c>
      <c r="EH217" s="860"/>
      <c r="EI217" s="1113">
        <v>1.4</v>
      </c>
      <c r="EJ217" s="860"/>
      <c r="EK217" s="1113">
        <v>2.8</v>
      </c>
      <c r="EL217" s="860"/>
      <c r="EM217" s="1113">
        <v>6.4</v>
      </c>
      <c r="EN217" s="860"/>
      <c r="EO217" s="1113">
        <v>0.6</v>
      </c>
      <c r="EP217" s="98"/>
      <c r="EQ217" s="1113">
        <v>1</v>
      </c>
      <c r="ER217" s="98"/>
      <c r="ES217" s="1113">
        <v>2</v>
      </c>
      <c r="ET217" s="98"/>
      <c r="EU217" s="1113">
        <v>3</v>
      </c>
      <c r="EV217" s="98"/>
      <c r="EW217" s="1113">
        <v>1</v>
      </c>
      <c r="EX217" s="98"/>
      <c r="EY217" s="137"/>
      <c r="EZ217" s="601"/>
      <c r="FA217" s="411"/>
      <c r="FB217" s="242"/>
      <c r="FC217" s="233"/>
      <c r="FD217" s="137"/>
      <c r="FE217" s="233"/>
      <c r="FF217" s="137"/>
      <c r="FG217" s="233"/>
      <c r="FH217" s="137"/>
      <c r="FI217" s="233"/>
      <c r="FJ217" s="137"/>
      <c r="FK217" s="233"/>
      <c r="FL217" s="137"/>
      <c r="FM217" s="233"/>
      <c r="FN217" s="137"/>
      <c r="FO217" s="233"/>
      <c r="FP217" s="137"/>
      <c r="FQ217" s="233"/>
      <c r="FR217" s="106"/>
      <c r="FS217" s="120"/>
      <c r="FT217" s="106"/>
      <c r="FU217" s="120"/>
      <c r="FV217" s="106"/>
      <c r="FW217" s="98"/>
      <c r="FX217" s="483"/>
      <c r="FY217" s="98"/>
      <c r="FZ217" s="106"/>
      <c r="GA217" s="98"/>
      <c r="GB217" s="483"/>
      <c r="GC217" s="98"/>
      <c r="GD217" s="106"/>
      <c r="GE217" s="98"/>
      <c r="GF217" s="106"/>
      <c r="GG217" s="98"/>
      <c r="GH217" s="106"/>
      <c r="GI217" s="98"/>
      <c r="GJ217" s="1001">
        <f>GJ203/GJ201*100</f>
        <v>0.90027285129604373</v>
      </c>
      <c r="GK217" s="98"/>
      <c r="GL217" s="1001">
        <f>GL203/GL201*100</f>
        <v>2.0937833037300178</v>
      </c>
      <c r="GM217" s="98" t="str">
        <f t="shared" si="1265"/>
        <v>NM</v>
      </c>
      <c r="GN217" s="1001">
        <f>GN203/GN201*100</f>
        <v>2.8076124567474046</v>
      </c>
      <c r="GO217" s="98">
        <f t="shared" si="1265"/>
        <v>34.092790392669571</v>
      </c>
      <c r="GP217" s="1001">
        <f>GP203/GP201*100</f>
        <v>1.7503710717723737</v>
      </c>
      <c r="GQ217" s="98">
        <f t="shared" si="1265"/>
        <v>-37.65624356147201</v>
      </c>
      <c r="GR217" s="1113">
        <f>GP217</f>
        <v>1.7503710717723737</v>
      </c>
      <c r="GS217" s="98">
        <f t="shared" si="1265"/>
        <v>0</v>
      </c>
      <c r="GT217" s="1113">
        <f>GR217</f>
        <v>1.7503710717723737</v>
      </c>
      <c r="GU217" s="98">
        <f t="shared" si="1265"/>
        <v>0</v>
      </c>
      <c r="GV217" s="1113">
        <f>GT217</f>
        <v>1.7503710717723737</v>
      </c>
      <c r="GW217" s="98">
        <f t="shared" si="1265"/>
        <v>0</v>
      </c>
      <c r="GX217" s="1113">
        <f>GV217</f>
        <v>1.7503710717723737</v>
      </c>
      <c r="GY217" s="98">
        <f t="shared" si="1266"/>
        <v>0</v>
      </c>
      <c r="GZ217" s="98"/>
      <c r="HA217" s="98"/>
      <c r="HB217" s="10"/>
      <c r="HC217"/>
      <c r="HD217"/>
      <c r="HE217"/>
      <c r="HF217"/>
      <c r="HG217"/>
      <c r="HH217"/>
      <c r="HI217" s="10"/>
    </row>
    <row r="218" spans="2:217" s="2" customFormat="1" ht="12.75" hidden="1" customHeight="1" outlineLevel="1" x14ac:dyDescent="0.2">
      <c r="B218" s="992" t="s">
        <v>722</v>
      </c>
      <c r="C218" s="276"/>
      <c r="D218" s="156"/>
      <c r="E218" s="276"/>
      <c r="F218" s="156"/>
      <c r="G218" s="276"/>
      <c r="H218" s="156"/>
      <c r="I218" s="276"/>
      <c r="J218" s="156"/>
      <c r="K218" s="276"/>
      <c r="L218" s="156"/>
      <c r="M218" s="276"/>
      <c r="N218" s="156"/>
      <c r="O218" s="276"/>
      <c r="P218" s="156"/>
      <c r="Q218" s="276"/>
      <c r="R218" s="156"/>
      <c r="S218" s="276"/>
      <c r="T218" s="156"/>
      <c r="U218" s="276"/>
      <c r="V218" s="156"/>
      <c r="W218" s="276"/>
      <c r="X218" s="156"/>
      <c r="Y218" s="276"/>
      <c r="Z218" s="156"/>
      <c r="AA218" s="276"/>
      <c r="AB218" s="156"/>
      <c r="AC218" s="276"/>
      <c r="AD218" s="156"/>
      <c r="AE218" s="276"/>
      <c r="AF218" s="156"/>
      <c r="AG218" s="276"/>
      <c r="AH218" s="156"/>
      <c r="AI218" s="276"/>
      <c r="AJ218" s="156"/>
      <c r="AK218" s="276"/>
      <c r="AL218" s="156"/>
      <c r="AM218" s="276"/>
      <c r="AN218" s="156"/>
      <c r="AO218" s="276"/>
      <c r="AP218" s="156"/>
      <c r="AQ218" s="276"/>
      <c r="AR218" s="156"/>
      <c r="AS218" s="276"/>
      <c r="AT218" s="156"/>
      <c r="AU218" s="276"/>
      <c r="AV218" s="156"/>
      <c r="AW218" s="276"/>
      <c r="AX218" s="156"/>
      <c r="AY218" s="166"/>
      <c r="AZ218" s="156"/>
      <c r="BA218" s="166"/>
      <c r="BB218" s="156"/>
      <c r="BC218" s="166"/>
      <c r="BD218" s="156"/>
      <c r="BE218" s="166"/>
      <c r="BF218" s="156"/>
      <c r="BG218" s="166"/>
      <c r="BH218" s="156"/>
      <c r="BI218" s="166"/>
      <c r="BJ218" s="156"/>
      <c r="BK218" s="166"/>
      <c r="BL218" s="156"/>
      <c r="BM218" s="166"/>
      <c r="BN218" s="98"/>
      <c r="BO218" s="137"/>
      <c r="BP218" s="98"/>
      <c r="BQ218" s="137"/>
      <c r="BR218" s="98"/>
      <c r="BS218" s="137"/>
      <c r="BT218" s="98"/>
      <c r="BU218" s="137"/>
      <c r="BV218" s="98"/>
      <c r="BW218" s="137"/>
      <c r="BX218" s="98"/>
      <c r="BY218" s="137"/>
      <c r="BZ218" s="98"/>
      <c r="CA218" s="137"/>
      <c r="CB218" s="98"/>
      <c r="CC218" s="137"/>
      <c r="CD218" s="98"/>
      <c r="CE218" s="137"/>
      <c r="CF218" s="98"/>
      <c r="CG218" s="137"/>
      <c r="CH218" s="98"/>
      <c r="CI218" s="137"/>
      <c r="CJ218" s="98"/>
      <c r="CK218" s="137"/>
      <c r="CL218" s="98"/>
      <c r="CM218" s="137"/>
      <c r="CN218" s="98"/>
      <c r="CO218" s="137"/>
      <c r="CP218" s="98"/>
      <c r="CQ218" s="137"/>
      <c r="CR218" s="98"/>
      <c r="CS218" s="137"/>
      <c r="CT218" s="98"/>
      <c r="CU218" s="137"/>
      <c r="CV218" s="98"/>
      <c r="CW218" s="137"/>
      <c r="CX218" s="98"/>
      <c r="CY218" s="137"/>
      <c r="CZ218" s="98"/>
      <c r="DA218" s="137"/>
      <c r="DB218" s="98"/>
      <c r="DC218" s="137"/>
      <c r="DD218" s="98"/>
      <c r="DE218" s="137"/>
      <c r="DF218" s="98"/>
      <c r="DG218" s="137"/>
      <c r="DH218" s="98"/>
      <c r="DI218" s="137"/>
      <c r="DJ218" s="98"/>
      <c r="DK218" s="137"/>
      <c r="DL218" s="98"/>
      <c r="DM218" s="137"/>
      <c r="DN218" s="98"/>
      <c r="DO218" s="137"/>
      <c r="DP218" s="98"/>
      <c r="DQ218" s="137"/>
      <c r="DR218" s="98"/>
      <c r="DS218" s="997">
        <f>DS217</f>
        <v>0.2</v>
      </c>
      <c r="DT218" s="998"/>
      <c r="DU218" s="997">
        <f>DU217</f>
        <v>1.9</v>
      </c>
      <c r="DV218" s="998"/>
      <c r="DW218" s="1114">
        <f>DW217</f>
        <v>1.1000000000000001</v>
      </c>
      <c r="DX218" s="998"/>
      <c r="DY218" s="1114">
        <f>DY217</f>
        <v>0.4</v>
      </c>
      <c r="DZ218" s="998"/>
      <c r="EA218" s="1114">
        <f>EA217</f>
        <v>1.8</v>
      </c>
      <c r="EB218" s="998"/>
      <c r="EC218" s="1114">
        <f>EC217</f>
        <v>3.8</v>
      </c>
      <c r="ED218" s="98"/>
      <c r="EE218" s="1114">
        <f>EE217</f>
        <v>1.7</v>
      </c>
      <c r="EF218" s="860"/>
      <c r="EG218" s="1114">
        <f>EG217</f>
        <v>1.1000000000000001</v>
      </c>
      <c r="EH218" s="860"/>
      <c r="EI218" s="1114">
        <f>EI217</f>
        <v>1.4</v>
      </c>
      <c r="EJ218" s="860"/>
      <c r="EK218" s="1114">
        <f>EK217</f>
        <v>2.8</v>
      </c>
      <c r="EL218" s="860"/>
      <c r="EM218" s="1114">
        <f>EM217</f>
        <v>6.4</v>
      </c>
      <c r="EN218" s="860"/>
      <c r="EO218" s="1114">
        <f>EO217</f>
        <v>0.6</v>
      </c>
      <c r="EP218" s="98"/>
      <c r="EQ218" s="1114">
        <f>EQ217</f>
        <v>1</v>
      </c>
      <c r="ER218" s="98"/>
      <c r="ES218" s="1114">
        <f t="shared" ref="ES218" si="1267">ES217</f>
        <v>2</v>
      </c>
      <c r="ET218" s="98"/>
      <c r="EU218" s="1114">
        <f t="shared" ref="EU218" si="1268">EU217</f>
        <v>3</v>
      </c>
      <c r="EV218" s="98"/>
      <c r="EW218" s="1114">
        <f t="shared" ref="EW218" si="1269">EW217</f>
        <v>1</v>
      </c>
      <c r="EX218" s="98"/>
      <c r="EY218" s="137"/>
      <c r="EZ218" s="601"/>
      <c r="FA218" s="411"/>
      <c r="FB218" s="242"/>
      <c r="FC218" s="233"/>
      <c r="FD218" s="137"/>
      <c r="FE218" s="233"/>
      <c r="FF218" s="137"/>
      <c r="FG218" s="233"/>
      <c r="FH218" s="137"/>
      <c r="FI218" s="233"/>
      <c r="FJ218" s="137"/>
      <c r="FK218" s="233"/>
      <c r="FL218" s="137"/>
      <c r="FM218" s="233"/>
      <c r="FN218" s="137"/>
      <c r="FO218" s="233"/>
      <c r="FP218" s="137"/>
      <c r="FQ218" s="233"/>
      <c r="FR218" s="106"/>
      <c r="FS218" s="120"/>
      <c r="FT218" s="106"/>
      <c r="FU218" s="120"/>
      <c r="FV218" s="106"/>
      <c r="FW218" s="98"/>
      <c r="FX218" s="483"/>
      <c r="FY218" s="98"/>
      <c r="FZ218" s="106"/>
      <c r="GA218" s="98"/>
      <c r="GB218" s="483"/>
      <c r="GC218" s="98"/>
      <c r="GD218" s="106"/>
      <c r="GE218" s="98"/>
      <c r="GF218" s="106"/>
      <c r="GG218" s="98"/>
      <c r="GH218" s="106"/>
      <c r="GI218" s="98"/>
      <c r="GJ218" s="1001">
        <f>GJ217</f>
        <v>0.90027285129604373</v>
      </c>
      <c r="GK218" s="98"/>
      <c r="GL218" s="1001">
        <f>GL217</f>
        <v>2.0937833037300178</v>
      </c>
      <c r="GM218" s="98"/>
      <c r="GN218" s="1001">
        <f>GN217</f>
        <v>2.8076124567474046</v>
      </c>
      <c r="GO218" s="98"/>
      <c r="GP218" s="1001">
        <f>GP217</f>
        <v>1.7503710717723737</v>
      </c>
      <c r="GQ218" s="98"/>
      <c r="GR218" s="1114">
        <f>GR217</f>
        <v>1.7503710717723737</v>
      </c>
      <c r="GS218" s="98"/>
      <c r="GT218" s="1114">
        <f>GT217</f>
        <v>1.7503710717723737</v>
      </c>
      <c r="GU218" s="98"/>
      <c r="GV218" s="1114">
        <f>GV217</f>
        <v>1.7503710717723737</v>
      </c>
      <c r="GW218" s="98"/>
      <c r="GX218" s="1114">
        <f>GX217</f>
        <v>1.7503710717723737</v>
      </c>
      <c r="GY218" s="98"/>
      <c r="GZ218" s="98"/>
      <c r="HA218" s="98"/>
      <c r="HB218" s="10"/>
      <c r="HC218"/>
      <c r="HD218"/>
      <c r="HE218"/>
      <c r="HF218"/>
      <c r="HG218"/>
      <c r="HH218"/>
      <c r="HI218" s="10"/>
    </row>
    <row r="219" spans="2:217" s="2" customFormat="1" ht="12.75" customHeight="1" collapsed="1" x14ac:dyDescent="0.2">
      <c r="B219" s="988" t="s">
        <v>723</v>
      </c>
      <c r="C219" s="276"/>
      <c r="D219" s="156"/>
      <c r="E219" s="276"/>
      <c r="F219" s="156"/>
      <c r="G219" s="276"/>
      <c r="H219" s="156"/>
      <c r="I219" s="276"/>
      <c r="J219" s="156"/>
      <c r="K219" s="276"/>
      <c r="L219" s="156"/>
      <c r="M219" s="276"/>
      <c r="N219" s="156"/>
      <c r="O219" s="276"/>
      <c r="P219" s="156"/>
      <c r="Q219" s="276"/>
      <c r="R219" s="156"/>
      <c r="S219" s="276"/>
      <c r="T219" s="156"/>
      <c r="U219" s="276"/>
      <c r="V219" s="156"/>
      <c r="W219" s="276"/>
      <c r="X219" s="156"/>
      <c r="Y219" s="276"/>
      <c r="Z219" s="156"/>
      <c r="AA219" s="276"/>
      <c r="AB219" s="156"/>
      <c r="AC219" s="276"/>
      <c r="AD219" s="156"/>
      <c r="AE219" s="276"/>
      <c r="AF219" s="156"/>
      <c r="AG219" s="276"/>
      <c r="AH219" s="156"/>
      <c r="AI219" s="276"/>
      <c r="AJ219" s="156"/>
      <c r="AK219" s="276"/>
      <c r="AL219" s="156"/>
      <c r="AM219" s="276"/>
      <c r="AN219" s="156"/>
      <c r="AO219" s="276"/>
      <c r="AP219" s="156"/>
      <c r="AQ219" s="276"/>
      <c r="AR219" s="156"/>
      <c r="AS219" s="276"/>
      <c r="AT219" s="156"/>
      <c r="AU219" s="276"/>
      <c r="AV219" s="156"/>
      <c r="AW219" s="276"/>
      <c r="AX219" s="156"/>
      <c r="AY219" s="166"/>
      <c r="AZ219" s="156"/>
      <c r="BA219" s="166"/>
      <c r="BB219" s="156"/>
      <c r="BC219" s="166"/>
      <c r="BD219" s="156"/>
      <c r="BE219" s="166"/>
      <c r="BF219" s="156"/>
      <c r="BG219" s="166"/>
      <c r="BH219" s="156"/>
      <c r="BI219" s="166"/>
      <c r="BJ219" s="156"/>
      <c r="BK219" s="166"/>
      <c r="BL219" s="156"/>
      <c r="BM219" s="166"/>
      <c r="BN219" s="98"/>
      <c r="BO219" s="137"/>
      <c r="BP219" s="98"/>
      <c r="BQ219" s="137"/>
      <c r="BR219" s="98"/>
      <c r="BS219" s="137"/>
      <c r="BT219" s="98"/>
      <c r="BU219" s="137"/>
      <c r="BV219" s="98"/>
      <c r="BW219" s="137"/>
      <c r="BX219" s="98"/>
      <c r="BY219" s="137"/>
      <c r="BZ219" s="98"/>
      <c r="CA219" s="137"/>
      <c r="CB219" s="98"/>
      <c r="CC219" s="137"/>
      <c r="CD219" s="98"/>
      <c r="CE219" s="137"/>
      <c r="CF219" s="98"/>
      <c r="CG219" s="137"/>
      <c r="CH219" s="98"/>
      <c r="CI219" s="137"/>
      <c r="CJ219" s="98"/>
      <c r="CK219" s="137"/>
      <c r="CL219" s="98"/>
      <c r="CM219" s="137"/>
      <c r="CN219" s="98"/>
      <c r="CO219" s="137"/>
      <c r="CP219" s="98"/>
      <c r="CQ219" s="137"/>
      <c r="CR219" s="98"/>
      <c r="CS219" s="137"/>
      <c r="CT219" s="98"/>
      <c r="CU219" s="137"/>
      <c r="CV219" s="98"/>
      <c r="CW219" s="137"/>
      <c r="CX219" s="98"/>
      <c r="CY219" s="137"/>
      <c r="CZ219" s="98"/>
      <c r="DA219" s="137"/>
      <c r="DB219" s="98"/>
      <c r="DC219" s="137"/>
      <c r="DD219" s="98"/>
      <c r="DE219" s="137"/>
      <c r="DF219" s="98"/>
      <c r="DG219" s="137"/>
      <c r="DH219" s="98"/>
      <c r="DI219" s="137"/>
      <c r="DJ219" s="98"/>
      <c r="DK219" s="137"/>
      <c r="DL219" s="98"/>
      <c r="DM219" s="137"/>
      <c r="DN219" s="98"/>
      <c r="DO219" s="137"/>
      <c r="DP219" s="98"/>
      <c r="DQ219" s="137"/>
      <c r="DR219" s="98"/>
      <c r="DS219" s="137">
        <f>DS217+DS216</f>
        <v>-1.6</v>
      </c>
      <c r="DT219" s="98"/>
      <c r="DU219" s="137">
        <f>DU217+DU216</f>
        <v>-0.30000000000000027</v>
      </c>
      <c r="DV219" s="98"/>
      <c r="DW219" s="1115">
        <f>DW217+DW216</f>
        <v>-1.6</v>
      </c>
      <c r="DX219" s="98"/>
      <c r="DY219" s="1115">
        <f>DY217+DY216</f>
        <v>0.9</v>
      </c>
      <c r="DZ219" s="98"/>
      <c r="EA219" s="1115">
        <f>EA217+EA216</f>
        <v>1.8</v>
      </c>
      <c r="EB219" s="98"/>
      <c r="EC219" s="1115">
        <f>EC217+EC216</f>
        <v>3.9</v>
      </c>
      <c r="ED219" s="98"/>
      <c r="EE219" s="1115">
        <f>EE217+EE216</f>
        <v>1.4</v>
      </c>
      <c r="EF219" s="860"/>
      <c r="EG219" s="1115">
        <f>EG217+EG216</f>
        <v>1</v>
      </c>
      <c r="EH219" s="860"/>
      <c r="EI219" s="1115">
        <f>EI217+EI216</f>
        <v>0.59999999999999987</v>
      </c>
      <c r="EJ219" s="860"/>
      <c r="EK219" s="1115">
        <f>EK217+EK216</f>
        <v>2.2999999999999998</v>
      </c>
      <c r="EL219" s="860"/>
      <c r="EM219" s="1115">
        <f>EM217+EM216</f>
        <v>5.5</v>
      </c>
      <c r="EN219" s="860"/>
      <c r="EO219" s="1115">
        <f>EO217+EO216</f>
        <v>-1.2000000000000002</v>
      </c>
      <c r="EP219" s="98"/>
      <c r="EQ219" s="1115">
        <f>EQ217+EQ216</f>
        <v>1</v>
      </c>
      <c r="ER219" s="98"/>
      <c r="ES219" s="1115">
        <f t="shared" ref="ES219" si="1270">ES217+ES216</f>
        <v>2</v>
      </c>
      <c r="ET219" s="98"/>
      <c r="EU219" s="1115">
        <f t="shared" ref="EU219" si="1271">EU217+EU216</f>
        <v>3</v>
      </c>
      <c r="EV219" s="98"/>
      <c r="EW219" s="1115">
        <f t="shared" ref="EW219" si="1272">EW217+EW216</f>
        <v>1</v>
      </c>
      <c r="EX219" s="98"/>
      <c r="EY219" s="137"/>
      <c r="EZ219" s="601"/>
      <c r="FA219" s="411"/>
      <c r="FB219" s="242"/>
      <c r="FC219" s="233"/>
      <c r="FD219" s="137"/>
      <c r="FE219" s="233"/>
      <c r="FF219" s="137"/>
      <c r="FG219" s="233"/>
      <c r="FH219" s="137"/>
      <c r="FI219" s="233"/>
      <c r="FJ219" s="137"/>
      <c r="FK219" s="233"/>
      <c r="FL219" s="137"/>
      <c r="FM219" s="233"/>
      <c r="FN219" s="137"/>
      <c r="FO219" s="233"/>
      <c r="FP219" s="137"/>
      <c r="FQ219" s="233"/>
      <c r="FR219" s="106"/>
      <c r="FS219" s="120"/>
      <c r="FT219" s="106"/>
      <c r="FU219" s="120"/>
      <c r="FV219" s="106"/>
      <c r="FW219" s="98"/>
      <c r="FX219" s="483"/>
      <c r="FY219" s="98"/>
      <c r="FZ219" s="106"/>
      <c r="GA219" s="98"/>
      <c r="GB219" s="483"/>
      <c r="GC219" s="98"/>
      <c r="GD219" s="106"/>
      <c r="GE219" s="98"/>
      <c r="GF219" s="106"/>
      <c r="GG219" s="98"/>
      <c r="GH219" s="106"/>
      <c r="GI219" s="98"/>
      <c r="GJ219" s="1001">
        <f>GJ217+GJ216</f>
        <v>-0.64338335607094177</v>
      </c>
      <c r="GK219" s="98"/>
      <c r="GL219" s="1001">
        <f>GL217+GL216</f>
        <v>2.0177175843694495</v>
      </c>
      <c r="GM219" s="98" t="str">
        <f>IF(ISERROR((GL219/GJ219-1)*100),"NA",IF(((GL219/GJ219-1)*100)&gt;100,"NM",IF(((GL219/GJ219-1)*100)&lt;-50,"NM",(GL219/GJ219-1)*100)))</f>
        <v>NM</v>
      </c>
      <c r="GN219" s="1001">
        <f>GN217+GN216</f>
        <v>1.8010380622837368</v>
      </c>
      <c r="GO219" s="98">
        <f>IF(ISERROR((GN219/GL219-1)*100),"NA",IF(((GN219/GL219-1)*100)&gt;100,"NM",IF(((GN219/GL219-1)*100)&lt;-50,"NM",(GN219/GL219-1)*100)))</f>
        <v>-10.738842926495417</v>
      </c>
      <c r="GP219" s="1001">
        <f>GP217+GP216</f>
        <v>1.7503710717723737</v>
      </c>
      <c r="GQ219" s="98">
        <f>IF(ISERROR((GP219/GN219-1)*100),"NA",IF(((GP219/GN219-1)*100)&gt;100,"NM",IF(((GP219/GN219-1)*100)&lt;-50,"NM",(GP219/GN219-1)*100)))</f>
        <v>-2.8132104241659794</v>
      </c>
      <c r="GR219" s="1115">
        <f>GR217+GR216</f>
        <v>1.7503710717723737</v>
      </c>
      <c r="GS219" s="98">
        <f>IF(ISERROR((GR219/GP219-1)*100),"NA",IF(((GR219/GP219-1)*100)&gt;100,"NM",IF(((GR219/GP219-1)*100)&lt;-50,"NM",(GR219/GP219-1)*100)))</f>
        <v>0</v>
      </c>
      <c r="GT219" s="1115">
        <f>GT217+GT216</f>
        <v>1.7503710717723737</v>
      </c>
      <c r="GU219" s="98">
        <f>IF(ISERROR((GT219/GR219-1)*100),"NA",IF(((GT219/GR219-1)*100)&gt;100,"NM",IF(((GT219/GR219-1)*100)&lt;-50,"NM",(GT219/GR219-1)*100)))</f>
        <v>0</v>
      </c>
      <c r="GV219" s="1115">
        <f>GV217+GV216</f>
        <v>1.7503710717723737</v>
      </c>
      <c r="GW219" s="98">
        <f>IF(ISERROR((GV219/GT219-1)*100),"NA",IF(((GV219/GT219-1)*100)&gt;100,"NM",IF(((GV219/GT219-1)*100)&lt;-50,"NM",(GV219/GT219-1)*100)))</f>
        <v>0</v>
      </c>
      <c r="GX219" s="1115">
        <f>GX217+GX216</f>
        <v>1.7503710717723737</v>
      </c>
      <c r="GY219" s="98">
        <f>IF(ISERROR((GX219/GV219-1)*100),"NA",IF(((GX219/GV219-1)*100)&gt;100,"NM",IF(((GX219/GV219-1)*100)&lt;-50,"NM",(GX219/GV219-1)*100)))</f>
        <v>0</v>
      </c>
      <c r="GZ219" s="98"/>
      <c r="HA219" s="98"/>
      <c r="HB219" s="10"/>
      <c r="HC219"/>
      <c r="HD219"/>
      <c r="HE219"/>
      <c r="HF219"/>
      <c r="HG219"/>
      <c r="HH219"/>
      <c r="HI219" s="10"/>
    </row>
    <row r="220" spans="2:217" s="2" customFormat="1" ht="12.75" customHeight="1" x14ac:dyDescent="0.2">
      <c r="B220" s="988" t="s">
        <v>728</v>
      </c>
      <c r="C220" s="276"/>
      <c r="D220" s="156"/>
      <c r="E220" s="276"/>
      <c r="F220" s="156"/>
      <c r="G220" s="276"/>
      <c r="H220" s="156"/>
      <c r="I220" s="276"/>
      <c r="J220" s="156"/>
      <c r="K220" s="276"/>
      <c r="L220" s="156"/>
      <c r="M220" s="276"/>
      <c r="N220" s="156"/>
      <c r="O220" s="276"/>
      <c r="P220" s="156"/>
      <c r="Q220" s="276"/>
      <c r="R220" s="156"/>
      <c r="S220" s="276"/>
      <c r="T220" s="156"/>
      <c r="U220" s="276"/>
      <c r="V220" s="156"/>
      <c r="W220" s="276"/>
      <c r="X220" s="156"/>
      <c r="Y220" s="276"/>
      <c r="Z220" s="156"/>
      <c r="AA220" s="276"/>
      <c r="AB220" s="156"/>
      <c r="AC220" s="276"/>
      <c r="AD220" s="156"/>
      <c r="AE220" s="276"/>
      <c r="AF220" s="156"/>
      <c r="AG220" s="276"/>
      <c r="AH220" s="156"/>
      <c r="AI220" s="276"/>
      <c r="AJ220" s="156"/>
      <c r="AK220" s="276"/>
      <c r="AL220" s="156"/>
      <c r="AM220" s="276"/>
      <c r="AN220" s="156"/>
      <c r="AO220" s="276"/>
      <c r="AP220" s="156"/>
      <c r="AQ220" s="276"/>
      <c r="AR220" s="156"/>
      <c r="AS220" s="276"/>
      <c r="AT220" s="156"/>
      <c r="AU220" s="276"/>
      <c r="AV220" s="156"/>
      <c r="AW220" s="276"/>
      <c r="AX220" s="156"/>
      <c r="AY220" s="166"/>
      <c r="AZ220" s="156"/>
      <c r="BA220" s="166"/>
      <c r="BB220" s="156"/>
      <c r="BC220" s="166"/>
      <c r="BD220" s="156"/>
      <c r="BE220" s="166"/>
      <c r="BF220" s="156"/>
      <c r="BG220" s="166"/>
      <c r="BH220" s="156"/>
      <c r="BI220" s="166"/>
      <c r="BJ220" s="156"/>
      <c r="BK220" s="166"/>
      <c r="BL220" s="156"/>
      <c r="BM220" s="166"/>
      <c r="BN220" s="98"/>
      <c r="BO220" s="137"/>
      <c r="BP220" s="98"/>
      <c r="BQ220" s="137"/>
      <c r="BR220" s="98"/>
      <c r="BS220" s="137"/>
      <c r="BT220" s="98"/>
      <c r="BU220" s="137"/>
      <c r="BV220" s="98"/>
      <c r="BW220" s="137"/>
      <c r="BX220" s="98"/>
      <c r="BY220" s="137"/>
      <c r="BZ220" s="98"/>
      <c r="CA220" s="137"/>
      <c r="CB220" s="98"/>
      <c r="CC220" s="137"/>
      <c r="CD220" s="98"/>
      <c r="CE220" s="137"/>
      <c r="CF220" s="98"/>
      <c r="CG220" s="137"/>
      <c r="CH220" s="98"/>
      <c r="CI220" s="137"/>
      <c r="CJ220" s="98"/>
      <c r="CK220" s="137"/>
      <c r="CL220" s="98"/>
      <c r="CM220" s="137"/>
      <c r="CN220" s="98"/>
      <c r="CO220" s="137"/>
      <c r="CP220" s="98"/>
      <c r="CQ220" s="137"/>
      <c r="CR220" s="98"/>
      <c r="CS220" s="137"/>
      <c r="CT220" s="98"/>
      <c r="CU220" s="137"/>
      <c r="CV220" s="98"/>
      <c r="CW220" s="137"/>
      <c r="CX220" s="98"/>
      <c r="CY220" s="137"/>
      <c r="CZ220" s="98"/>
      <c r="DA220" s="137"/>
      <c r="DB220" s="98"/>
      <c r="DC220" s="137"/>
      <c r="DD220" s="98"/>
      <c r="DE220" s="137"/>
      <c r="DF220" s="98"/>
      <c r="DG220" s="137"/>
      <c r="DH220" s="98"/>
      <c r="DI220" s="137"/>
      <c r="DJ220" s="98"/>
      <c r="DK220" s="137"/>
      <c r="DL220" s="98"/>
      <c r="DM220" s="137"/>
      <c r="DN220" s="98"/>
      <c r="DO220" s="137"/>
      <c r="DP220" s="98"/>
      <c r="DQ220" s="137"/>
      <c r="DR220" s="98"/>
      <c r="DS220" s="996">
        <v>68.7</v>
      </c>
      <c r="DT220" s="995"/>
      <c r="DU220" s="996">
        <v>71.400000000000006</v>
      </c>
      <c r="DV220" s="996"/>
      <c r="DW220" s="996">
        <v>72.400000000000006</v>
      </c>
      <c r="DX220" s="996"/>
      <c r="DY220" s="996">
        <v>84.3</v>
      </c>
      <c r="DZ220" s="996"/>
      <c r="EA220" s="996">
        <v>75.599999999999994</v>
      </c>
      <c r="EB220" s="996"/>
      <c r="EC220" s="996">
        <v>79</v>
      </c>
      <c r="ED220" s="98"/>
      <c r="EE220" s="996">
        <v>74.3</v>
      </c>
      <c r="EF220" s="860"/>
      <c r="EG220" s="996">
        <v>85.2</v>
      </c>
      <c r="EH220" s="860"/>
      <c r="EI220" s="996">
        <v>72.400000000000006</v>
      </c>
      <c r="EJ220" s="860"/>
      <c r="EK220" s="996">
        <v>71.400000000000006</v>
      </c>
      <c r="EL220" s="860"/>
      <c r="EM220" s="996">
        <v>74.5</v>
      </c>
      <c r="EN220" s="860"/>
      <c r="EO220" s="996">
        <v>74.900000000000006</v>
      </c>
      <c r="EP220" s="98"/>
      <c r="EQ220" s="1001">
        <f>EQ211+EQ219</f>
        <v>72.099999999999994</v>
      </c>
      <c r="ER220" s="98"/>
      <c r="ES220" s="1001">
        <f t="shared" ref="ES220" si="1273">ES211+ES219</f>
        <v>72.849999999999994</v>
      </c>
      <c r="ET220" s="98"/>
      <c r="EU220" s="1001">
        <f t="shared" ref="EU220" si="1274">EU211+EU219</f>
        <v>73.599999999999994</v>
      </c>
      <c r="EV220" s="98"/>
      <c r="EW220" s="1001">
        <f t="shared" ref="EW220" si="1275">EW211+EW219</f>
        <v>71.349999999999994</v>
      </c>
      <c r="EX220" s="98"/>
      <c r="EY220" s="137"/>
      <c r="EZ220" s="601"/>
      <c r="FA220" s="411"/>
      <c r="FB220" s="242"/>
      <c r="FC220" s="233"/>
      <c r="FD220" s="137"/>
      <c r="FE220" s="233"/>
      <c r="FF220" s="137"/>
      <c r="FG220" s="233"/>
      <c r="FH220" s="137"/>
      <c r="FI220" s="233"/>
      <c r="FJ220" s="137"/>
      <c r="FK220" s="233"/>
      <c r="FL220" s="137"/>
      <c r="FM220" s="233"/>
      <c r="FN220" s="137"/>
      <c r="FO220" s="233"/>
      <c r="FP220" s="137"/>
      <c r="FQ220" s="233"/>
      <c r="FR220" s="106"/>
      <c r="FS220" s="120"/>
      <c r="FT220" s="106"/>
      <c r="FU220" s="120"/>
      <c r="FV220" s="106"/>
      <c r="FW220" s="98"/>
      <c r="FX220" s="483"/>
      <c r="FY220" s="98"/>
      <c r="FZ220" s="106"/>
      <c r="GA220" s="98"/>
      <c r="GB220" s="483"/>
      <c r="GC220" s="98"/>
      <c r="GD220" s="106"/>
      <c r="GE220" s="98"/>
      <c r="GF220" s="106"/>
      <c r="GG220" s="98"/>
      <c r="GH220" s="106"/>
      <c r="GI220" s="98"/>
      <c r="GJ220" s="1001">
        <f>GJ206/GJ201*100</f>
        <v>74.255206912232836</v>
      </c>
      <c r="GK220" s="33"/>
      <c r="GL220" s="1001">
        <f>GL206/GL201*100</f>
        <v>78.550754884547075</v>
      </c>
      <c r="GM220" s="33">
        <f t="shared" ref="GM220:GW220" si="1276">IF(ISERROR((GL220/GJ220-1)*100),"NA",IF(((GL220/GJ220-1)*100)&gt;100,"NM",IF(((GL220/GJ220-1)*100)&lt;-50,"NM",(GL220/GJ220-1)*100)))</f>
        <v>5.7848441219636282</v>
      </c>
      <c r="GN220" s="1001">
        <f>GN206/GN201*100</f>
        <v>73.322577854671295</v>
      </c>
      <c r="GO220" s="33">
        <f t="shared" si="1276"/>
        <v>-6.6557947629657939</v>
      </c>
      <c r="GP220" s="1001">
        <f>GP206/GP201*100</f>
        <v>72.474434977596076</v>
      </c>
      <c r="GQ220" s="33">
        <f t="shared" si="1276"/>
        <v>-1.1567281209837965</v>
      </c>
      <c r="GR220" s="1001">
        <f>GR211+GR219</f>
        <v>71.974434977596076</v>
      </c>
      <c r="GS220" s="33">
        <f t="shared" si="1276"/>
        <v>-0.68989844509248499</v>
      </c>
      <c r="GT220" s="1001">
        <f>GT211+GT219</f>
        <v>71.474434977596076</v>
      </c>
      <c r="GU220" s="33">
        <f t="shared" si="1276"/>
        <v>-0.69469110824647018</v>
      </c>
      <c r="GV220" s="1001">
        <f>GV211+GV219</f>
        <v>70.974434977596076</v>
      </c>
      <c r="GW220" s="98">
        <f t="shared" si="1276"/>
        <v>-0.6995508256297911</v>
      </c>
      <c r="GX220" s="1001">
        <f>GX211+GX219</f>
        <v>70.774434977596087</v>
      </c>
      <c r="GY220" s="98">
        <f t="shared" ref="GY220:GY222" si="1277">IF(ISERROR((GX220/GV220-1)*100),"NA",IF(((GX220/GV220-1)*100)&gt;100,"NM",IF(((GX220/GV220-1)*100)&lt;-50,"NM",(GX220/GV220-1)*100)))</f>
        <v>-0.28179160575652062</v>
      </c>
      <c r="GZ220" s="98"/>
      <c r="HA220" s="98"/>
      <c r="HB220" s="10"/>
      <c r="HC220"/>
      <c r="HD220"/>
      <c r="HE220"/>
      <c r="HF220"/>
      <c r="HG220"/>
      <c r="HH220"/>
      <c r="HI220" s="10"/>
    </row>
    <row r="221" spans="2:217" s="2" customFormat="1" ht="12.75" customHeight="1" collapsed="1" x14ac:dyDescent="0.2">
      <c r="B221" s="988" t="s">
        <v>719</v>
      </c>
      <c r="C221" s="276"/>
      <c r="D221" s="156"/>
      <c r="E221" s="276"/>
      <c r="F221" s="156"/>
      <c r="G221" s="276"/>
      <c r="H221" s="156"/>
      <c r="I221" s="276"/>
      <c r="J221" s="156"/>
      <c r="K221" s="276"/>
      <c r="L221" s="156"/>
      <c r="M221" s="276"/>
      <c r="N221" s="156"/>
      <c r="O221" s="276"/>
      <c r="P221" s="156"/>
      <c r="Q221" s="276"/>
      <c r="R221" s="156"/>
      <c r="S221" s="276"/>
      <c r="T221" s="156"/>
      <c r="U221" s="276"/>
      <c r="V221" s="156"/>
      <c r="W221" s="276"/>
      <c r="X221" s="156"/>
      <c r="Y221" s="276"/>
      <c r="Z221" s="156"/>
      <c r="AA221" s="276"/>
      <c r="AB221" s="156"/>
      <c r="AC221" s="276"/>
      <c r="AD221" s="156"/>
      <c r="AE221" s="276"/>
      <c r="AF221" s="156"/>
      <c r="AG221" s="276"/>
      <c r="AH221" s="156"/>
      <c r="AI221" s="276"/>
      <c r="AJ221" s="156"/>
      <c r="AK221" s="276"/>
      <c r="AL221" s="156"/>
      <c r="AM221" s="276"/>
      <c r="AN221" s="156"/>
      <c r="AO221" s="276"/>
      <c r="AP221" s="156"/>
      <c r="AQ221" s="276"/>
      <c r="AR221" s="156"/>
      <c r="AS221" s="276"/>
      <c r="AT221" s="156"/>
      <c r="AU221" s="276"/>
      <c r="AV221" s="156"/>
      <c r="AW221" s="276"/>
      <c r="AX221" s="156"/>
      <c r="AY221" s="166"/>
      <c r="AZ221" s="156"/>
      <c r="BA221" s="166"/>
      <c r="BB221" s="156"/>
      <c r="BC221" s="166"/>
      <c r="BD221" s="156"/>
      <c r="BE221" s="166"/>
      <c r="BF221" s="156"/>
      <c r="BG221" s="166"/>
      <c r="BH221" s="156"/>
      <c r="BI221" s="166"/>
      <c r="BJ221" s="156"/>
      <c r="BK221" s="166"/>
      <c r="BL221" s="156"/>
      <c r="BM221" s="166"/>
      <c r="BN221" s="98"/>
      <c r="BO221" s="137"/>
      <c r="BP221" s="98"/>
      <c r="BQ221" s="137"/>
      <c r="BR221" s="98"/>
      <c r="BS221" s="137"/>
      <c r="BT221" s="98"/>
      <c r="BU221" s="137"/>
      <c r="BV221" s="98"/>
      <c r="BW221" s="137"/>
      <c r="BX221" s="98"/>
      <c r="BY221" s="137"/>
      <c r="BZ221" s="98"/>
      <c r="CA221" s="137"/>
      <c r="CB221" s="98"/>
      <c r="CC221" s="137"/>
      <c r="CD221" s="98"/>
      <c r="CE221" s="137"/>
      <c r="CF221" s="98"/>
      <c r="CG221" s="137"/>
      <c r="CH221" s="98"/>
      <c r="CI221" s="137"/>
      <c r="CJ221" s="98"/>
      <c r="CK221" s="137"/>
      <c r="CL221" s="98"/>
      <c r="CM221" s="137"/>
      <c r="CN221" s="98"/>
      <c r="CO221" s="137"/>
      <c r="CP221" s="98"/>
      <c r="CQ221" s="137"/>
      <c r="CR221" s="98"/>
      <c r="CS221" s="137"/>
      <c r="CT221" s="98"/>
      <c r="CU221" s="137"/>
      <c r="CV221" s="98"/>
      <c r="CW221" s="137"/>
      <c r="CX221" s="98"/>
      <c r="CY221" s="137"/>
      <c r="CZ221" s="98"/>
      <c r="DA221" s="137"/>
      <c r="DB221" s="98"/>
      <c r="DC221" s="137"/>
      <c r="DD221" s="98"/>
      <c r="DE221" s="137"/>
      <c r="DF221" s="98"/>
      <c r="DG221" s="137"/>
      <c r="DH221" s="98"/>
      <c r="DI221" s="137"/>
      <c r="DJ221" s="98"/>
      <c r="DK221" s="137"/>
      <c r="DL221" s="98"/>
      <c r="DM221" s="137"/>
      <c r="DN221" s="98"/>
      <c r="DO221" s="137"/>
      <c r="DP221" s="98"/>
      <c r="DQ221" s="137"/>
      <c r="DR221" s="98"/>
      <c r="DS221" s="1001">
        <f>DS212</f>
        <v>26</v>
      </c>
      <c r="DT221" s="1002"/>
      <c r="DU221" s="1001">
        <f>DU212</f>
        <v>26</v>
      </c>
      <c r="DV221" s="1001"/>
      <c r="DW221" s="1001">
        <f>DW212</f>
        <v>26.3</v>
      </c>
      <c r="DX221" s="1001"/>
      <c r="DY221" s="1001">
        <f>DY212</f>
        <v>25.8</v>
      </c>
      <c r="DZ221" s="1001"/>
      <c r="EA221" s="1001">
        <f>EA212</f>
        <v>26.9</v>
      </c>
      <c r="EB221" s="1001"/>
      <c r="EC221" s="1001">
        <f>EC212</f>
        <v>25.9</v>
      </c>
      <c r="ED221" s="33"/>
      <c r="EE221" s="1001">
        <f>EE212</f>
        <v>25.3</v>
      </c>
      <c r="EF221" s="771"/>
      <c r="EG221" s="1001">
        <f>EG212</f>
        <v>25</v>
      </c>
      <c r="EH221" s="771"/>
      <c r="EI221" s="1001">
        <f>EI212</f>
        <v>25.4</v>
      </c>
      <c r="EJ221" s="771"/>
      <c r="EK221" s="1001">
        <f>EK212</f>
        <v>25.1</v>
      </c>
      <c r="EL221" s="771"/>
      <c r="EM221" s="1001">
        <f>EM212</f>
        <v>25.2</v>
      </c>
      <c r="EN221" s="771"/>
      <c r="EO221" s="1001">
        <f>EO212</f>
        <v>24.9</v>
      </c>
      <c r="EP221" s="98"/>
      <c r="EQ221" s="1001">
        <f>EQ212</f>
        <v>24.9</v>
      </c>
      <c r="ER221" s="98"/>
      <c r="ES221" s="1001">
        <f t="shared" ref="ES221" si="1278">ES212</f>
        <v>24.9</v>
      </c>
      <c r="ET221" s="98"/>
      <c r="EU221" s="1001">
        <f t="shared" ref="EU221" si="1279">EU212</f>
        <v>24.9</v>
      </c>
      <c r="EV221" s="98"/>
      <c r="EW221" s="1001">
        <f t="shared" ref="EW221" si="1280">EW212</f>
        <v>24.9</v>
      </c>
      <c r="EX221" s="98"/>
      <c r="EY221" s="137"/>
      <c r="EZ221" s="601"/>
      <c r="FA221" s="411"/>
      <c r="FB221" s="242"/>
      <c r="FC221" s="233"/>
      <c r="FD221" s="137"/>
      <c r="FE221" s="233"/>
      <c r="FF221" s="137"/>
      <c r="FG221" s="233"/>
      <c r="FH221" s="137"/>
      <c r="FI221" s="233"/>
      <c r="FJ221" s="137"/>
      <c r="FK221" s="233"/>
      <c r="FL221" s="137"/>
      <c r="FM221" s="233"/>
      <c r="FN221" s="137"/>
      <c r="FO221" s="233"/>
      <c r="FP221" s="137"/>
      <c r="FQ221" s="233"/>
      <c r="FR221" s="106"/>
      <c r="FS221" s="120"/>
      <c r="FT221" s="106"/>
      <c r="FU221" s="120"/>
      <c r="FV221" s="106"/>
      <c r="FW221" s="98"/>
      <c r="FX221" s="483"/>
      <c r="FY221" s="98"/>
      <c r="FZ221" s="106"/>
      <c r="GA221" s="98"/>
      <c r="GB221" s="483"/>
      <c r="GC221" s="98"/>
      <c r="GD221" s="106"/>
      <c r="GE221" s="98"/>
      <c r="GF221" s="106"/>
      <c r="GG221" s="98"/>
      <c r="GH221" s="106"/>
      <c r="GI221" s="98"/>
      <c r="GJ221" s="1001">
        <f>GJ212</f>
        <v>26.024920418371988</v>
      </c>
      <c r="GK221" s="33"/>
      <c r="GL221" s="1001">
        <f>GL212</f>
        <v>25.767184724689162</v>
      </c>
      <c r="GM221" s="33">
        <f t="shared" si="1263"/>
        <v>-0.99034190898381613</v>
      </c>
      <c r="GN221" s="1001">
        <f>GN212</f>
        <v>25.147231833910034</v>
      </c>
      <c r="GO221" s="33">
        <f t="shared" si="1263"/>
        <v>-2.405978369010997</v>
      </c>
      <c r="GP221" s="1001">
        <f>GP212</f>
        <v>24.9</v>
      </c>
      <c r="GQ221" s="33">
        <f t="shared" si="1263"/>
        <v>-0.98313737091592079</v>
      </c>
      <c r="GR221" s="1001">
        <f>GR212</f>
        <v>24.9</v>
      </c>
      <c r="GS221" s="33">
        <f t="shared" si="1263"/>
        <v>0</v>
      </c>
      <c r="GT221" s="1001">
        <f>GT212</f>
        <v>24.9</v>
      </c>
      <c r="GU221" s="33">
        <f t="shared" si="1264"/>
        <v>0</v>
      </c>
      <c r="GV221" s="1001">
        <f>GV212</f>
        <v>24.9</v>
      </c>
      <c r="GW221" s="98">
        <f t="shared" ref="GM221:GW222" si="1281">IF(ISERROR((GV221/GT221-1)*100),"NA",IF(((GV221/GT221-1)*100)&gt;100,"NM",IF(((GV221/GT221-1)*100)&lt;-50,"NM",(GV221/GT221-1)*100)))</f>
        <v>0</v>
      </c>
      <c r="GX221" s="1001">
        <f>GX212</f>
        <v>24.9</v>
      </c>
      <c r="GY221" s="98">
        <f t="shared" si="1277"/>
        <v>0</v>
      </c>
      <c r="GZ221" s="98"/>
      <c r="HA221" s="98"/>
      <c r="HB221" s="10"/>
      <c r="HC221"/>
      <c r="HD221"/>
      <c r="HE221"/>
      <c r="HF221"/>
      <c r="HG221"/>
      <c r="HH221"/>
      <c r="HI221" s="10"/>
    </row>
    <row r="222" spans="2:217" s="2" customFormat="1" ht="12.75" customHeight="1" x14ac:dyDescent="0.2">
      <c r="B222" s="989" t="s">
        <v>724</v>
      </c>
      <c r="C222" s="276"/>
      <c r="D222" s="156"/>
      <c r="E222" s="276"/>
      <c r="F222" s="156"/>
      <c r="G222" s="276"/>
      <c r="H222" s="156"/>
      <c r="I222" s="276"/>
      <c r="J222" s="156"/>
      <c r="K222" s="276"/>
      <c r="L222" s="156"/>
      <c r="M222" s="276"/>
      <c r="N222" s="156"/>
      <c r="O222" s="276"/>
      <c r="P222" s="156"/>
      <c r="Q222" s="276"/>
      <c r="R222" s="156"/>
      <c r="S222" s="276"/>
      <c r="T222" s="156"/>
      <c r="U222" s="276"/>
      <c r="V222" s="156"/>
      <c r="W222" s="276"/>
      <c r="X222" s="156"/>
      <c r="Y222" s="276"/>
      <c r="Z222" s="156"/>
      <c r="AA222" s="276"/>
      <c r="AB222" s="156"/>
      <c r="AC222" s="276"/>
      <c r="AD222" s="156"/>
      <c r="AE222" s="276"/>
      <c r="AF222" s="156"/>
      <c r="AG222" s="276"/>
      <c r="AH222" s="156"/>
      <c r="AI222" s="276"/>
      <c r="AJ222" s="156"/>
      <c r="AK222" s="276"/>
      <c r="AL222" s="156"/>
      <c r="AM222" s="276"/>
      <c r="AN222" s="156"/>
      <c r="AO222" s="276"/>
      <c r="AP222" s="156"/>
      <c r="AQ222" s="276"/>
      <c r="AR222" s="156"/>
      <c r="AS222" s="276"/>
      <c r="AT222" s="156"/>
      <c r="AU222" s="276"/>
      <c r="AV222" s="156"/>
      <c r="AW222" s="276"/>
      <c r="AX222" s="156"/>
      <c r="AY222" s="166"/>
      <c r="AZ222" s="156"/>
      <c r="BA222" s="166"/>
      <c r="BB222" s="156"/>
      <c r="BC222" s="166"/>
      <c r="BD222" s="156"/>
      <c r="BE222" s="166"/>
      <c r="BF222" s="156"/>
      <c r="BG222" s="166"/>
      <c r="BH222" s="156"/>
      <c r="BI222" s="166"/>
      <c r="BJ222" s="156"/>
      <c r="BK222" s="166"/>
      <c r="BL222" s="156"/>
      <c r="BM222" s="166"/>
      <c r="BN222" s="98"/>
      <c r="BO222" s="137"/>
      <c r="BP222" s="98"/>
      <c r="BQ222" s="137"/>
      <c r="BR222" s="98"/>
      <c r="BS222" s="137"/>
      <c r="BT222" s="98"/>
      <c r="BU222" s="137"/>
      <c r="BV222" s="98"/>
      <c r="BW222" s="137"/>
      <c r="BX222" s="98"/>
      <c r="BY222" s="137"/>
      <c r="BZ222" s="98"/>
      <c r="CA222" s="137"/>
      <c r="CB222" s="98"/>
      <c r="CC222" s="137"/>
      <c r="CD222" s="98"/>
      <c r="CE222" s="137"/>
      <c r="CF222" s="98"/>
      <c r="CG222" s="137"/>
      <c r="CH222" s="98"/>
      <c r="CI222" s="137"/>
      <c r="CJ222" s="98"/>
      <c r="CK222" s="137"/>
      <c r="CL222" s="98"/>
      <c r="CM222" s="137"/>
      <c r="CN222" s="98"/>
      <c r="CO222" s="137"/>
      <c r="CP222" s="98"/>
      <c r="CQ222" s="137"/>
      <c r="CR222" s="98"/>
      <c r="CS222" s="137"/>
      <c r="CT222" s="98"/>
      <c r="CU222" s="137"/>
      <c r="CV222" s="98"/>
      <c r="CW222" s="137"/>
      <c r="CX222" s="98"/>
      <c r="CY222" s="137"/>
      <c r="CZ222" s="98"/>
      <c r="DA222" s="137"/>
      <c r="DB222" s="98"/>
      <c r="DC222" s="137"/>
      <c r="DD222" s="98"/>
      <c r="DE222" s="137"/>
      <c r="DF222" s="98"/>
      <c r="DG222" s="137"/>
      <c r="DH222" s="98"/>
      <c r="DI222" s="137"/>
      <c r="DJ222" s="98"/>
      <c r="DK222" s="137"/>
      <c r="DL222" s="98"/>
      <c r="DM222" s="137"/>
      <c r="DN222" s="98"/>
      <c r="DO222" s="137"/>
      <c r="DP222" s="98"/>
      <c r="DQ222" s="137"/>
      <c r="DR222" s="98"/>
      <c r="DS222" s="999">
        <f>DS221+DS220</f>
        <v>94.7</v>
      </c>
      <c r="DT222" s="1000"/>
      <c r="DU222" s="999">
        <f>DU221+DU220</f>
        <v>97.4</v>
      </c>
      <c r="DV222" s="1000"/>
      <c r="DW222" s="999">
        <f>DW221+DW220</f>
        <v>98.7</v>
      </c>
      <c r="DX222" s="1000"/>
      <c r="DY222" s="999">
        <f>DY221+DY220</f>
        <v>110.1</v>
      </c>
      <c r="DZ222" s="1000"/>
      <c r="EA222" s="999">
        <f>EA221+EA220</f>
        <v>102.5</v>
      </c>
      <c r="EB222" s="1000"/>
      <c r="EC222" s="999">
        <f>EC221+EC220</f>
        <v>104.9</v>
      </c>
      <c r="ED222" s="98"/>
      <c r="EE222" s="999">
        <f>EE221+EE220</f>
        <v>99.6</v>
      </c>
      <c r="EF222" s="860"/>
      <c r="EG222" s="999">
        <f>EG221+EG220</f>
        <v>110.2</v>
      </c>
      <c r="EH222" s="860"/>
      <c r="EI222" s="999">
        <f>EI221+EI220</f>
        <v>97.800000000000011</v>
      </c>
      <c r="EJ222" s="860"/>
      <c r="EK222" s="999">
        <f>EK221+EK220</f>
        <v>96.5</v>
      </c>
      <c r="EL222" s="860"/>
      <c r="EM222" s="999">
        <f>EM221+EM220</f>
        <v>99.7</v>
      </c>
      <c r="EN222" s="860"/>
      <c r="EO222" s="999">
        <f>EO221+EO220</f>
        <v>99.800000000000011</v>
      </c>
      <c r="EP222" s="98"/>
      <c r="EQ222" s="999">
        <f>EQ221+EQ220</f>
        <v>97</v>
      </c>
      <c r="ER222" s="98"/>
      <c r="ES222" s="999">
        <f t="shared" ref="ES222" si="1282">ES221+ES220</f>
        <v>97.75</v>
      </c>
      <c r="ET222" s="98"/>
      <c r="EU222" s="999">
        <f t="shared" ref="EU222" si="1283">EU221+EU220</f>
        <v>98.5</v>
      </c>
      <c r="EV222" s="98"/>
      <c r="EW222" s="999">
        <f t="shared" ref="EW222" si="1284">EW221+EW220</f>
        <v>96.25</v>
      </c>
      <c r="EX222" s="98"/>
      <c r="EY222" s="137"/>
      <c r="EZ222" s="601"/>
      <c r="FA222" s="411"/>
      <c r="FB222" s="242"/>
      <c r="FC222" s="233"/>
      <c r="FD222" s="137"/>
      <c r="FE222" s="233"/>
      <c r="FF222" s="137"/>
      <c r="FG222" s="233"/>
      <c r="FH222" s="137"/>
      <c r="FI222" s="233"/>
      <c r="FJ222" s="137"/>
      <c r="FK222" s="233"/>
      <c r="FL222" s="137"/>
      <c r="FM222" s="233"/>
      <c r="FN222" s="137"/>
      <c r="FO222" s="233"/>
      <c r="FP222" s="137"/>
      <c r="FQ222" s="233"/>
      <c r="FR222" s="106"/>
      <c r="FS222" s="120"/>
      <c r="FT222" s="106"/>
      <c r="FU222" s="120"/>
      <c r="FV222" s="106"/>
      <c r="FW222" s="98"/>
      <c r="FX222" s="483"/>
      <c r="FY222" s="98"/>
      <c r="FZ222" s="106"/>
      <c r="GA222" s="98"/>
      <c r="GB222" s="483"/>
      <c r="GC222" s="98"/>
      <c r="GD222" s="106"/>
      <c r="GE222" s="98"/>
      <c r="GF222" s="106"/>
      <c r="GG222" s="98"/>
      <c r="GH222" s="106"/>
      <c r="GI222" s="98"/>
      <c r="GJ222" s="999">
        <f>GJ221+GJ220</f>
        <v>100.28012733060483</v>
      </c>
      <c r="GK222" s="98"/>
      <c r="GL222" s="999">
        <f>GL221+GL220</f>
        <v>104.31793960923623</v>
      </c>
      <c r="GM222" s="98">
        <f t="shared" si="1281"/>
        <v>4.0265328596158279</v>
      </c>
      <c r="GN222" s="999">
        <f>GN221+GN220</f>
        <v>98.469809688581336</v>
      </c>
      <c r="GO222" s="98">
        <f t="shared" si="1281"/>
        <v>-5.606063484920587</v>
      </c>
      <c r="GP222" s="999">
        <f>GP221+GP220</f>
        <v>97.374434977596081</v>
      </c>
      <c r="GQ222" s="98">
        <f t="shared" si="1281"/>
        <v>-1.1123964943666076</v>
      </c>
      <c r="GR222" s="999">
        <f>GR221+GR220</f>
        <v>96.874434977596081</v>
      </c>
      <c r="GS222" s="98">
        <f t="shared" si="1281"/>
        <v>-0.51348179849777242</v>
      </c>
      <c r="GT222" s="999">
        <f>GT221+GT220</f>
        <v>96.374434977596081</v>
      </c>
      <c r="GU222" s="98">
        <f t="shared" si="1281"/>
        <v>-0.51613204259269851</v>
      </c>
      <c r="GV222" s="999">
        <f>GV221+GV220</f>
        <v>95.874434977596081</v>
      </c>
      <c r="GW222" s="98">
        <f t="shared" si="1281"/>
        <v>-0.51880978613906281</v>
      </c>
      <c r="GX222" s="999">
        <f>GX221+GX220</f>
        <v>95.674434977596093</v>
      </c>
      <c r="GY222" s="98">
        <f t="shared" si="1277"/>
        <v>-0.20860618375140305</v>
      </c>
      <c r="GZ222" s="98"/>
      <c r="HA222" s="98"/>
      <c r="HB222" s="10"/>
      <c r="HC222"/>
      <c r="HD222"/>
      <c r="HE222"/>
      <c r="HF222"/>
      <c r="HG222"/>
      <c r="HH222"/>
      <c r="HI222" s="10"/>
    </row>
    <row r="223" spans="2:217" s="2" customFormat="1" ht="12.75" customHeight="1" x14ac:dyDescent="0.2">
      <c r="B223" s="91"/>
      <c r="C223" s="276"/>
      <c r="D223" s="156"/>
      <c r="E223" s="276"/>
      <c r="F223" s="156"/>
      <c r="G223" s="276"/>
      <c r="H223" s="156"/>
      <c r="I223" s="276"/>
      <c r="J223" s="156"/>
      <c r="K223" s="276"/>
      <c r="L223" s="156"/>
      <c r="M223" s="276"/>
      <c r="N223" s="156"/>
      <c r="O223" s="276"/>
      <c r="P223" s="156"/>
      <c r="Q223" s="276"/>
      <c r="R223" s="156"/>
      <c r="S223" s="276"/>
      <c r="T223" s="156"/>
      <c r="U223" s="276"/>
      <c r="V223" s="156"/>
      <c r="W223" s="276"/>
      <c r="X223" s="156"/>
      <c r="Y223" s="276"/>
      <c r="Z223" s="156"/>
      <c r="AA223" s="276"/>
      <c r="AB223" s="156"/>
      <c r="AC223" s="276"/>
      <c r="AD223" s="156"/>
      <c r="AE223" s="276"/>
      <c r="AF223" s="156"/>
      <c r="AG223" s="276"/>
      <c r="AH223" s="156"/>
      <c r="AI223" s="276"/>
      <c r="AJ223" s="156"/>
      <c r="AK223" s="276"/>
      <c r="AL223" s="156"/>
      <c r="AM223" s="276"/>
      <c r="AN223" s="156"/>
      <c r="AO223" s="276"/>
      <c r="AP223" s="156"/>
      <c r="AQ223" s="276"/>
      <c r="AR223" s="156"/>
      <c r="AS223" s="276"/>
      <c r="AT223" s="156"/>
      <c r="AU223" s="276"/>
      <c r="AV223" s="156"/>
      <c r="AW223" s="276"/>
      <c r="AX223" s="156"/>
      <c r="AY223" s="166"/>
      <c r="AZ223" s="156"/>
      <c r="BA223" s="166"/>
      <c r="BB223" s="156"/>
      <c r="BC223" s="166"/>
      <c r="BD223" s="156"/>
      <c r="BE223" s="166"/>
      <c r="BF223" s="156"/>
      <c r="BG223" s="166"/>
      <c r="BH223" s="156"/>
      <c r="BI223" s="166"/>
      <c r="BJ223" s="156"/>
      <c r="BK223" s="166"/>
      <c r="BL223" s="156"/>
      <c r="BM223" s="166"/>
      <c r="BN223" s="98"/>
      <c r="BO223" s="137"/>
      <c r="BP223" s="98"/>
      <c r="BQ223" s="137"/>
      <c r="BR223" s="98"/>
      <c r="BS223" s="137"/>
      <c r="BT223" s="98"/>
      <c r="BU223" s="137"/>
      <c r="BV223" s="98"/>
      <c r="BW223" s="137"/>
      <c r="BX223" s="98"/>
      <c r="BY223" s="137"/>
      <c r="BZ223" s="98"/>
      <c r="CA223" s="137"/>
      <c r="CB223" s="98"/>
      <c r="CC223" s="137"/>
      <c r="CD223" s="98"/>
      <c r="CE223" s="137"/>
      <c r="CF223" s="98"/>
      <c r="CG223" s="137"/>
      <c r="CH223" s="98"/>
      <c r="CI223" s="137"/>
      <c r="CJ223" s="98"/>
      <c r="CK223" s="137"/>
      <c r="CL223" s="98"/>
      <c r="CM223" s="137"/>
      <c r="CN223" s="98"/>
      <c r="CO223" s="137"/>
      <c r="CP223" s="98"/>
      <c r="CQ223" s="137"/>
      <c r="CR223" s="98"/>
      <c r="CS223" s="137"/>
      <c r="CT223" s="98"/>
      <c r="CU223" s="137"/>
      <c r="CV223" s="98"/>
      <c r="CW223" s="137"/>
      <c r="CX223" s="98"/>
      <c r="CY223" s="137"/>
      <c r="CZ223" s="98"/>
      <c r="DA223" s="137"/>
      <c r="DB223" s="98"/>
      <c r="DC223" s="137"/>
      <c r="DD223" s="98"/>
      <c r="DE223" s="137"/>
      <c r="DF223" s="98"/>
      <c r="DG223" s="137"/>
      <c r="DH223" s="98"/>
      <c r="DI223" s="137"/>
      <c r="DJ223" s="98"/>
      <c r="DK223" s="137"/>
      <c r="DL223" s="98"/>
      <c r="DM223" s="137"/>
      <c r="DN223" s="98"/>
      <c r="DO223" s="137"/>
      <c r="DP223" s="98"/>
      <c r="DQ223" s="137"/>
      <c r="DR223" s="98"/>
      <c r="DS223" s="137"/>
      <c r="DT223" s="98"/>
      <c r="DU223" s="137"/>
      <c r="DV223" s="98"/>
      <c r="DW223" s="137"/>
      <c r="DX223" s="98"/>
      <c r="DY223" s="137"/>
      <c r="DZ223" s="98"/>
      <c r="EA223" s="137"/>
      <c r="EB223" s="98"/>
      <c r="EC223" s="137"/>
      <c r="ED223" s="98"/>
      <c r="EE223" s="137"/>
      <c r="EF223" s="860"/>
      <c r="EG223" s="137"/>
      <c r="EH223" s="860"/>
      <c r="EI223" s="137"/>
      <c r="EJ223" s="860"/>
      <c r="EK223" s="137"/>
      <c r="EL223" s="860"/>
      <c r="EM223" s="137"/>
      <c r="EN223" s="860"/>
      <c r="EO223" s="137"/>
      <c r="EP223" s="98"/>
      <c r="EQ223" s="1033"/>
      <c r="ER223" s="98"/>
      <c r="ES223" s="1033"/>
      <c r="ET223" s="98"/>
      <c r="EU223" s="1033"/>
      <c r="EV223" s="98"/>
      <c r="EW223" s="1033"/>
      <c r="EX223" s="98"/>
      <c r="EY223" s="137"/>
      <c r="EZ223" s="601"/>
      <c r="FA223" s="411"/>
      <c r="FB223" s="242"/>
      <c r="FC223" s="233"/>
      <c r="FD223" s="137"/>
      <c r="FE223" s="233"/>
      <c r="FF223" s="137"/>
      <c r="FG223" s="233"/>
      <c r="FH223" s="137"/>
      <c r="FI223" s="233"/>
      <c r="FJ223" s="137"/>
      <c r="FK223" s="233"/>
      <c r="FL223" s="137"/>
      <c r="FM223" s="233"/>
      <c r="FN223" s="137"/>
      <c r="FO223" s="233"/>
      <c r="FP223" s="137"/>
      <c r="FQ223" s="233"/>
      <c r="FR223" s="106"/>
      <c r="FS223" s="120"/>
      <c r="FT223" s="106"/>
      <c r="FU223" s="120"/>
      <c r="FV223" s="106"/>
      <c r="FW223" s="98"/>
      <c r="FX223" s="483"/>
      <c r="FY223" s="98"/>
      <c r="FZ223" s="106"/>
      <c r="GA223" s="98"/>
      <c r="GB223" s="483"/>
      <c r="GC223" s="98"/>
      <c r="GD223" s="106"/>
      <c r="GE223" s="98"/>
      <c r="GF223" s="106"/>
      <c r="GG223" s="98"/>
      <c r="GH223" s="106"/>
      <c r="GI223" s="98"/>
      <c r="GJ223" s="106"/>
      <c r="GK223" s="98"/>
      <c r="GL223" s="106"/>
      <c r="GM223" s="98"/>
      <c r="GN223" s="106"/>
      <c r="GO223" s="98"/>
      <c r="GP223" s="106"/>
      <c r="GQ223" s="98"/>
      <c r="GR223" s="137"/>
      <c r="GS223" s="98"/>
      <c r="GT223" s="137"/>
      <c r="GU223" s="98"/>
      <c r="GV223" s="137"/>
      <c r="GW223" s="98"/>
      <c r="GX223" s="137"/>
      <c r="GY223" s="98"/>
      <c r="GZ223" s="98"/>
      <c r="HA223" s="98"/>
      <c r="HB223" s="10"/>
      <c r="HC223"/>
      <c r="HD223"/>
      <c r="HE223"/>
      <c r="HF223"/>
      <c r="HG223"/>
      <c r="HH223"/>
      <c r="HI223" s="10"/>
    </row>
    <row r="224" spans="2:217" s="1100" customFormat="1" ht="11.25" customHeight="1" x14ac:dyDescent="0.2">
      <c r="B224" s="1091" t="s">
        <v>729</v>
      </c>
      <c r="C224" s="1092"/>
      <c r="D224" s="875"/>
      <c r="E224" s="1092"/>
      <c r="F224" s="875"/>
      <c r="G224" s="1092"/>
      <c r="H224" s="875"/>
      <c r="I224" s="1092"/>
      <c r="J224" s="875"/>
      <c r="K224" s="1092"/>
      <c r="L224" s="875"/>
      <c r="M224" s="1092"/>
      <c r="N224" s="875"/>
      <c r="O224" s="1092"/>
      <c r="P224" s="875"/>
      <c r="Q224" s="1092"/>
      <c r="R224" s="875"/>
      <c r="S224" s="1092"/>
      <c r="T224" s="875"/>
      <c r="U224" s="1092"/>
      <c r="V224" s="875"/>
      <c r="W224" s="1092"/>
      <c r="X224" s="875"/>
      <c r="Y224" s="1092"/>
      <c r="Z224" s="875"/>
      <c r="AA224" s="1092"/>
      <c r="AB224" s="875"/>
      <c r="AC224" s="1092"/>
      <c r="AD224" s="875"/>
      <c r="AE224" s="1092"/>
      <c r="AF224" s="875"/>
      <c r="AG224" s="1092"/>
      <c r="AH224" s="875"/>
      <c r="AI224" s="1092"/>
      <c r="AJ224" s="875"/>
      <c r="AK224" s="1092"/>
      <c r="AL224" s="875"/>
      <c r="AM224" s="1092"/>
      <c r="AN224" s="875"/>
      <c r="AO224" s="1092"/>
      <c r="AP224" s="875"/>
      <c r="AQ224" s="1092"/>
      <c r="AR224" s="875"/>
      <c r="AS224" s="1092"/>
      <c r="AT224" s="875"/>
      <c r="AU224" s="1092"/>
      <c r="AV224" s="875"/>
      <c r="AW224" s="1092"/>
      <c r="AX224" s="875"/>
      <c r="AY224" s="1093"/>
      <c r="AZ224" s="875"/>
      <c r="BA224" s="1093"/>
      <c r="BB224" s="875"/>
      <c r="BC224" s="1093"/>
      <c r="BD224" s="875"/>
      <c r="BE224" s="1093"/>
      <c r="BF224" s="875"/>
      <c r="BG224" s="1093"/>
      <c r="BH224" s="875"/>
      <c r="BI224" s="1093"/>
      <c r="BJ224" s="875"/>
      <c r="BK224" s="1093"/>
      <c r="BL224" s="875"/>
      <c r="BM224" s="1093"/>
      <c r="BN224" s="875"/>
      <c r="BO224" s="1093"/>
      <c r="BP224" s="875"/>
      <c r="BQ224" s="1093"/>
      <c r="BR224" s="875"/>
      <c r="BS224" s="1093"/>
      <c r="BT224" s="875"/>
      <c r="BU224" s="1093"/>
      <c r="BV224" s="875"/>
      <c r="BW224" s="1093"/>
      <c r="BX224" s="875"/>
      <c r="BY224" s="1093"/>
      <c r="BZ224" s="875"/>
      <c r="CA224" s="1093"/>
      <c r="CB224" s="875"/>
      <c r="CC224" s="1093"/>
      <c r="CD224" s="875"/>
      <c r="CE224" s="1093"/>
      <c r="CF224" s="875"/>
      <c r="CG224" s="1093"/>
      <c r="CH224" s="875"/>
      <c r="CI224" s="1093"/>
      <c r="CJ224" s="875"/>
      <c r="CK224" s="1093"/>
      <c r="CL224" s="875"/>
      <c r="CM224" s="1093"/>
      <c r="CN224" s="875"/>
      <c r="CO224" s="1093"/>
      <c r="CP224" s="875"/>
      <c r="CQ224" s="1093"/>
      <c r="CR224" s="875"/>
      <c r="CS224" s="1093"/>
      <c r="CT224" s="875"/>
      <c r="CU224" s="1093"/>
      <c r="CV224" s="875"/>
      <c r="CW224" s="1093"/>
      <c r="CX224" s="875"/>
      <c r="CY224" s="1093"/>
      <c r="CZ224" s="875"/>
      <c r="DA224" s="1093"/>
      <c r="DB224" s="875"/>
      <c r="DC224" s="1093"/>
      <c r="DD224" s="875"/>
      <c r="DE224" s="1093"/>
      <c r="DF224" s="875"/>
      <c r="DG224" s="1093"/>
      <c r="DH224" s="875"/>
      <c r="DI224" s="1093"/>
      <c r="DJ224" s="875"/>
      <c r="DK224" s="1093"/>
      <c r="DL224" s="875"/>
      <c r="DM224" s="1093"/>
      <c r="DN224" s="875"/>
      <c r="DO224" s="1093"/>
      <c r="DP224" s="875"/>
      <c r="DQ224" s="1093"/>
      <c r="DR224" s="875"/>
      <c r="DS224" s="1093"/>
      <c r="DT224" s="875"/>
      <c r="DU224" s="1093"/>
      <c r="DV224" s="875"/>
      <c r="DW224" s="1093"/>
      <c r="DX224" s="875"/>
      <c r="DY224" s="1093"/>
      <c r="DZ224" s="875"/>
      <c r="EA224" s="1093"/>
      <c r="EB224" s="875"/>
      <c r="EC224" s="1093"/>
      <c r="ED224" s="875"/>
      <c r="EE224" s="1093"/>
      <c r="EF224" s="875"/>
      <c r="EG224" s="1093"/>
      <c r="EH224" s="875"/>
      <c r="EI224" s="1093"/>
      <c r="EJ224" s="875"/>
      <c r="EK224" s="1093"/>
      <c r="EL224" s="875"/>
      <c r="EM224" s="1093"/>
      <c r="EN224" s="875"/>
      <c r="EO224" s="1093"/>
      <c r="EP224" s="875"/>
      <c r="EQ224" s="1093"/>
      <c r="ER224" s="875"/>
      <c r="ES224" s="1093"/>
      <c r="ET224" s="875"/>
      <c r="EU224" s="1093"/>
      <c r="EV224" s="875"/>
      <c r="EW224" s="1093"/>
      <c r="EX224" s="875"/>
      <c r="EY224" s="1093"/>
      <c r="EZ224" s="1094"/>
      <c r="FA224" s="1094"/>
      <c r="FB224" s="1095"/>
      <c r="FC224" s="1096"/>
      <c r="FD224" s="1093"/>
      <c r="FE224" s="1096"/>
      <c r="FF224" s="1093"/>
      <c r="FG224" s="1096"/>
      <c r="FH224" s="1093"/>
      <c r="FI224" s="1096"/>
      <c r="FJ224" s="1093"/>
      <c r="FK224" s="1096"/>
      <c r="FL224" s="1093"/>
      <c r="FM224" s="1096"/>
      <c r="FN224" s="1093"/>
      <c r="FO224" s="1096"/>
      <c r="FP224" s="1093"/>
      <c r="FQ224" s="1096"/>
      <c r="FR224" s="1097"/>
      <c r="FS224" s="1098"/>
      <c r="FT224" s="1097"/>
      <c r="FU224" s="1098"/>
      <c r="FV224" s="1097"/>
      <c r="FW224" s="875"/>
      <c r="FX224" s="1099"/>
      <c r="FY224" s="875"/>
      <c r="FZ224" s="1097"/>
      <c r="GA224" s="875"/>
      <c r="GB224" s="1099"/>
      <c r="GC224" s="875"/>
      <c r="GD224" s="1097"/>
      <c r="GE224" s="875"/>
      <c r="GF224" s="1097"/>
      <c r="GG224" s="875"/>
      <c r="GH224" s="1097"/>
      <c r="GI224" s="875"/>
      <c r="GJ224" s="1097"/>
      <c r="GK224" s="875"/>
      <c r="GL224" s="1097"/>
      <c r="GM224" s="875"/>
      <c r="GN224" s="1097"/>
      <c r="GO224" s="875"/>
      <c r="GP224" s="1097"/>
      <c r="GQ224" s="875"/>
      <c r="GR224" s="1093"/>
      <c r="GS224" s="875"/>
      <c r="GT224" s="1093"/>
      <c r="GU224" s="875"/>
      <c r="GV224" s="1093"/>
      <c r="GW224" s="875"/>
      <c r="GX224" s="1093"/>
      <c r="GY224" s="875"/>
      <c r="GZ224" s="875"/>
      <c r="HA224" s="875"/>
      <c r="HC224"/>
      <c r="HD224"/>
      <c r="HE224"/>
      <c r="HF224"/>
      <c r="HG224"/>
      <c r="HH224"/>
    </row>
    <row r="225" spans="2:217" s="2" customFormat="1" ht="12.75" customHeight="1" x14ac:dyDescent="0.2">
      <c r="B225" s="988" t="s">
        <v>727</v>
      </c>
      <c r="C225" s="276"/>
      <c r="D225" s="156"/>
      <c r="E225" s="276"/>
      <c r="F225" s="156"/>
      <c r="G225" s="276"/>
      <c r="H225" s="156"/>
      <c r="I225" s="276"/>
      <c r="J225" s="156"/>
      <c r="K225" s="276"/>
      <c r="L225" s="156"/>
      <c r="M225" s="276"/>
      <c r="N225" s="156"/>
      <c r="O225" s="276"/>
      <c r="P225" s="156"/>
      <c r="Q225" s="276"/>
      <c r="R225" s="156"/>
      <c r="S225" s="276"/>
      <c r="T225" s="156"/>
      <c r="U225" s="276"/>
      <c r="V225" s="156"/>
      <c r="W225" s="276"/>
      <c r="X225" s="156"/>
      <c r="Y225" s="276"/>
      <c r="Z225" s="156"/>
      <c r="AA225" s="276"/>
      <c r="AB225" s="156"/>
      <c r="AC225" s="276"/>
      <c r="AD225" s="156"/>
      <c r="AE225" s="276"/>
      <c r="AF225" s="156"/>
      <c r="AG225" s="276"/>
      <c r="AH225" s="156"/>
      <c r="AI225" s="276"/>
      <c r="AJ225" s="156"/>
      <c r="AK225" s="276"/>
      <c r="AL225" s="156"/>
      <c r="AM225" s="276"/>
      <c r="AN225" s="156"/>
      <c r="AO225" s="276"/>
      <c r="AP225" s="156"/>
      <c r="AQ225" s="276"/>
      <c r="AR225" s="156"/>
      <c r="AS225" s="276"/>
      <c r="AT225" s="156"/>
      <c r="AU225" s="276"/>
      <c r="AV225" s="156"/>
      <c r="AW225" s="276"/>
      <c r="AX225" s="156"/>
      <c r="AY225" s="166"/>
      <c r="AZ225" s="156"/>
      <c r="BA225" s="166"/>
      <c r="BB225" s="156"/>
      <c r="BC225" s="166"/>
      <c r="BD225" s="156"/>
      <c r="BE225" s="166"/>
      <c r="BF225" s="156"/>
      <c r="BG225" s="166"/>
      <c r="BH225" s="156"/>
      <c r="BI225" s="166"/>
      <c r="BJ225" s="156"/>
      <c r="BK225" s="166"/>
      <c r="BL225" s="156"/>
      <c r="BM225" s="166"/>
      <c r="BN225" s="98"/>
      <c r="BO225" s="137"/>
      <c r="BP225" s="98"/>
      <c r="BQ225" s="137"/>
      <c r="BR225" s="98"/>
      <c r="BS225" s="137"/>
      <c r="BT225" s="98"/>
      <c r="BU225" s="137"/>
      <c r="BV225" s="98"/>
      <c r="BW225" s="137"/>
      <c r="BX225" s="98"/>
      <c r="BY225" s="137"/>
      <c r="BZ225" s="98"/>
      <c r="CA225" s="137"/>
      <c r="CB225" s="98"/>
      <c r="CC225" s="137"/>
      <c r="CD225" s="98"/>
      <c r="CE225" s="137"/>
      <c r="CF225" s="98"/>
      <c r="CG225" s="137"/>
      <c r="CH225" s="98"/>
      <c r="CI225" s="137"/>
      <c r="CJ225" s="98"/>
      <c r="CK225" s="137"/>
      <c r="CL225" s="98"/>
      <c r="CM225" s="137"/>
      <c r="CN225" s="98"/>
      <c r="CO225" s="137"/>
      <c r="CP225" s="98"/>
      <c r="CQ225" s="137"/>
      <c r="CR225" s="98"/>
      <c r="CS225" s="137"/>
      <c r="CT225" s="98"/>
      <c r="CU225" s="137"/>
      <c r="CV225" s="98"/>
      <c r="CW225" s="137"/>
      <c r="CX225" s="98"/>
      <c r="CY225" s="137"/>
      <c r="CZ225" s="98"/>
      <c r="DA225" s="137"/>
      <c r="DB225" s="98"/>
      <c r="DC225" s="137"/>
      <c r="DD225" s="98"/>
      <c r="DE225" s="137"/>
      <c r="DF225" s="98"/>
      <c r="DG225" s="137"/>
      <c r="DH225" s="98"/>
      <c r="DI225" s="137"/>
      <c r="DJ225" s="98"/>
      <c r="DK225" s="137"/>
      <c r="DL225" s="98"/>
      <c r="DM225" s="137"/>
      <c r="DN225" s="98"/>
      <c r="DO225" s="137"/>
      <c r="DP225" s="98"/>
      <c r="DQ225" s="137"/>
      <c r="DR225" s="98"/>
      <c r="DS225" s="122">
        <v>304</v>
      </c>
      <c r="DT225" s="98"/>
      <c r="DU225" s="122">
        <v>309</v>
      </c>
      <c r="DV225" s="98"/>
      <c r="DW225" s="122">
        <v>313</v>
      </c>
      <c r="DX225" s="98"/>
      <c r="DY225" s="122">
        <v>312</v>
      </c>
      <c r="DZ225" s="98"/>
      <c r="EA225" s="122">
        <v>310</v>
      </c>
      <c r="EB225" s="98"/>
      <c r="EC225" s="122">
        <v>309</v>
      </c>
      <c r="ED225" s="98"/>
      <c r="EE225" s="122">
        <v>312</v>
      </c>
      <c r="EF225" s="860"/>
      <c r="EG225" s="122">
        <v>311</v>
      </c>
      <c r="EH225" s="860"/>
      <c r="EI225" s="122">
        <v>305</v>
      </c>
      <c r="EJ225" s="860"/>
      <c r="EK225" s="122">
        <v>309</v>
      </c>
      <c r="EL225" s="860"/>
      <c r="EM225" s="122">
        <v>310</v>
      </c>
      <c r="EN225" s="860"/>
      <c r="EO225" s="122">
        <v>310</v>
      </c>
      <c r="EP225" s="98"/>
      <c r="EQ225" s="122">
        <f>EO225*1.005</f>
        <v>311.54999999999995</v>
      </c>
      <c r="ER225" s="98"/>
      <c r="ES225" s="122">
        <f t="shared" ref="ES225" si="1285">EQ225*1.005</f>
        <v>313.1077499999999</v>
      </c>
      <c r="ET225" s="98"/>
      <c r="EU225" s="122">
        <f t="shared" ref="EU225" si="1286">ES225*1.005</f>
        <v>314.67328874999987</v>
      </c>
      <c r="EV225" s="98"/>
      <c r="EW225" s="122">
        <f t="shared" ref="EW225" si="1287">EU225*1.005</f>
        <v>316.24665519374986</v>
      </c>
      <c r="EX225" s="98"/>
      <c r="EY225" s="137"/>
      <c r="EZ225" s="601"/>
      <c r="FA225" s="411"/>
      <c r="FB225" s="242"/>
      <c r="FC225" s="233"/>
      <c r="FD225" s="137"/>
      <c r="FE225" s="233"/>
      <c r="FF225" s="137"/>
      <c r="FG225" s="233"/>
      <c r="FH225" s="137"/>
      <c r="FI225" s="233"/>
      <c r="FJ225" s="137"/>
      <c r="FK225" s="233"/>
      <c r="FL225" s="137"/>
      <c r="FM225" s="233"/>
      <c r="FN225" s="137"/>
      <c r="FO225" s="233"/>
      <c r="FP225" s="137"/>
      <c r="FQ225" s="233"/>
      <c r="FR225" s="106"/>
      <c r="FS225" s="120"/>
      <c r="FT225" s="106"/>
      <c r="FU225" s="120"/>
      <c r="FV225" s="106"/>
      <c r="FW225" s="98"/>
      <c r="FX225" s="483"/>
      <c r="FY225" s="98"/>
      <c r="FZ225" s="106"/>
      <c r="GA225" s="98"/>
      <c r="GB225" s="483"/>
      <c r="GC225" s="98"/>
      <c r="GD225" s="106"/>
      <c r="GE225" s="98"/>
      <c r="GF225" s="106"/>
      <c r="GG225" s="98"/>
      <c r="GH225" s="106"/>
      <c r="GI225" s="98"/>
      <c r="GJ225" s="119">
        <f>DS225+DU225+DW225+DY225</f>
        <v>1238</v>
      </c>
      <c r="GK225" s="98"/>
      <c r="GL225" s="119">
        <f>EA225+EC225+EE225+EG225</f>
        <v>1242</v>
      </c>
      <c r="GM225" s="98">
        <f t="shared" ref="GM225:GW227" si="1288">IF(ISERROR((GL225/GJ225-1)*100),"NA",IF(((GL225/GJ225-1)*100)&gt;100,"NM",IF(((GL225/GJ225-1)*100)&lt;-50,"NM",(GL225/GJ225-1)*100)))</f>
        <v>0.32310177705976439</v>
      </c>
      <c r="GN225" s="119">
        <f>EI225+EK225+EM225+EO225</f>
        <v>1234</v>
      </c>
      <c r="GO225" s="98">
        <f t="shared" si="1288"/>
        <v>-0.6441223832528209</v>
      </c>
      <c r="GP225" s="119">
        <f>EQ225+ES225+EU225+EW225</f>
        <v>1255.5776939437496</v>
      </c>
      <c r="GQ225" s="98">
        <f t="shared" si="1288"/>
        <v>1.7485975643233065</v>
      </c>
      <c r="GR225" s="122">
        <f>GP225*1.06</f>
        <v>1330.9123555803747</v>
      </c>
      <c r="GS225" s="98">
        <f t="shared" si="1288"/>
        <v>6.0000000000000053</v>
      </c>
      <c r="GT225" s="122">
        <f>GR225*1.06</f>
        <v>1410.7670969151973</v>
      </c>
      <c r="GU225" s="98">
        <f t="shared" ref="GU225:GU227" si="1289">IF(ISERROR((GT225/GR225-1)*100),"NA",IF(((GT225/GR225-1)*100)&gt;100,"NM",IF(((GT225/GR225-1)*100)&lt;-50,"NM",(GT225/GR225-1)*100)))</f>
        <v>6.0000000000000053</v>
      </c>
      <c r="GV225" s="122">
        <f>GT225*1.05</f>
        <v>1481.3054517609571</v>
      </c>
      <c r="GW225" s="98">
        <f t="shared" si="1288"/>
        <v>5.0000000000000044</v>
      </c>
      <c r="GX225" s="122">
        <f>GV225*1.05</f>
        <v>1555.3707243490051</v>
      </c>
      <c r="GY225" s="98">
        <f t="shared" ref="GY225:GY227" si="1290">IF(ISERROR((GX225/GV225-1)*100),"NA",IF(((GX225/GV225-1)*100)&gt;100,"NM",IF(((GX225/GV225-1)*100)&lt;-50,"NM",(GX225/GV225-1)*100)))</f>
        <v>5.0000000000000044</v>
      </c>
      <c r="GZ225" s="98"/>
      <c r="HA225" s="98"/>
      <c r="HB225" s="10"/>
      <c r="HC225"/>
      <c r="HD225"/>
      <c r="HE225"/>
      <c r="HF225"/>
      <c r="HG225"/>
      <c r="HH225"/>
      <c r="HI225" s="10"/>
    </row>
    <row r="226" spans="2:217" s="2" customFormat="1" ht="12.75" customHeight="1" x14ac:dyDescent="0.2">
      <c r="B226" s="990" t="s">
        <v>711</v>
      </c>
      <c r="C226" s="276"/>
      <c r="D226" s="156"/>
      <c r="E226" s="276"/>
      <c r="F226" s="156"/>
      <c r="G226" s="276"/>
      <c r="H226" s="156"/>
      <c r="I226" s="276"/>
      <c r="J226" s="156"/>
      <c r="K226" s="276"/>
      <c r="L226" s="156"/>
      <c r="M226" s="276"/>
      <c r="N226" s="156"/>
      <c r="O226" s="276"/>
      <c r="P226" s="156"/>
      <c r="Q226" s="276"/>
      <c r="R226" s="156"/>
      <c r="S226" s="276"/>
      <c r="T226" s="156"/>
      <c r="U226" s="276"/>
      <c r="V226" s="156"/>
      <c r="W226" s="276"/>
      <c r="X226" s="156"/>
      <c r="Y226" s="276"/>
      <c r="Z226" s="156"/>
      <c r="AA226" s="276"/>
      <c r="AB226" s="156"/>
      <c r="AC226" s="276"/>
      <c r="AD226" s="156"/>
      <c r="AE226" s="276"/>
      <c r="AF226" s="156"/>
      <c r="AG226" s="276"/>
      <c r="AH226" s="156"/>
      <c r="AI226" s="276"/>
      <c r="AJ226" s="156"/>
      <c r="AK226" s="276"/>
      <c r="AL226" s="156"/>
      <c r="AM226" s="276"/>
      <c r="AN226" s="156"/>
      <c r="AO226" s="276"/>
      <c r="AP226" s="156"/>
      <c r="AQ226" s="276"/>
      <c r="AR226" s="156"/>
      <c r="AS226" s="276"/>
      <c r="AT226" s="156"/>
      <c r="AU226" s="276"/>
      <c r="AV226" s="156"/>
      <c r="AW226" s="276"/>
      <c r="AX226" s="156"/>
      <c r="AY226" s="166"/>
      <c r="AZ226" s="156"/>
      <c r="BA226" s="166"/>
      <c r="BB226" s="156"/>
      <c r="BC226" s="166"/>
      <c r="BD226" s="156"/>
      <c r="BE226" s="166"/>
      <c r="BF226" s="156"/>
      <c r="BG226" s="166"/>
      <c r="BH226" s="156"/>
      <c r="BI226" s="166"/>
      <c r="BJ226" s="156"/>
      <c r="BK226" s="166"/>
      <c r="BL226" s="156"/>
      <c r="BM226" s="166"/>
      <c r="BN226" s="98"/>
      <c r="BO226" s="137"/>
      <c r="BP226" s="98"/>
      <c r="BQ226" s="137"/>
      <c r="BR226" s="98"/>
      <c r="BS226" s="137"/>
      <c r="BT226" s="98"/>
      <c r="BU226" s="137"/>
      <c r="BV226" s="98"/>
      <c r="BW226" s="137"/>
      <c r="BX226" s="98"/>
      <c r="BY226" s="137"/>
      <c r="BZ226" s="98"/>
      <c r="CA226" s="137"/>
      <c r="CB226" s="98"/>
      <c r="CC226" s="137"/>
      <c r="CD226" s="98"/>
      <c r="CE226" s="137"/>
      <c r="CF226" s="98"/>
      <c r="CG226" s="137"/>
      <c r="CH226" s="98"/>
      <c r="CI226" s="137"/>
      <c r="CJ226" s="98"/>
      <c r="CK226" s="137"/>
      <c r="CL226" s="98"/>
      <c r="CM226" s="137"/>
      <c r="CN226" s="98"/>
      <c r="CO226" s="137"/>
      <c r="CP226" s="98"/>
      <c r="CQ226" s="137"/>
      <c r="CR226" s="98"/>
      <c r="CS226" s="137"/>
      <c r="CT226" s="98"/>
      <c r="CU226" s="137"/>
      <c r="CV226" s="98"/>
      <c r="CW226" s="137"/>
      <c r="CX226" s="98"/>
      <c r="CY226" s="137"/>
      <c r="CZ226" s="98"/>
      <c r="DA226" s="137"/>
      <c r="DB226" s="98"/>
      <c r="DC226" s="137"/>
      <c r="DD226" s="98"/>
      <c r="DE226" s="137"/>
      <c r="DF226" s="98"/>
      <c r="DG226" s="137"/>
      <c r="DH226" s="98"/>
      <c r="DI226" s="137"/>
      <c r="DJ226" s="98"/>
      <c r="DK226" s="137"/>
      <c r="DL226" s="98"/>
      <c r="DM226" s="137"/>
      <c r="DN226" s="98"/>
      <c r="DO226" s="137"/>
      <c r="DP226" s="98"/>
      <c r="DQ226" s="137"/>
      <c r="DR226" s="98"/>
      <c r="DS226" s="117">
        <f>DS228-DS227</f>
        <v>135.11699999999996</v>
      </c>
      <c r="DT226" s="98"/>
      <c r="DU226" s="117">
        <f>DU228-DU227</f>
        <v>128.21899999999994</v>
      </c>
      <c r="DV226" s="98"/>
      <c r="DW226" s="117">
        <f>DW228-DW227</f>
        <v>146.20599999999993</v>
      </c>
      <c r="DX226" s="98"/>
      <c r="DY226" s="117">
        <f>DY228-DY227</f>
        <v>131.80900000000003</v>
      </c>
      <c r="DZ226" s="98"/>
      <c r="EA226" s="117">
        <f>EA228-EA227</f>
        <v>137.56</v>
      </c>
      <c r="EB226" s="98"/>
      <c r="EC226" s="117">
        <f>EC228-EC227</f>
        <v>142.89699999999996</v>
      </c>
      <c r="ED226" s="98"/>
      <c r="EE226" s="117">
        <f>EE228-EE227</f>
        <v>162.26300000000001</v>
      </c>
      <c r="EF226" s="860"/>
      <c r="EG226" s="117">
        <f>EG228-EG227</f>
        <v>133.11599999999999</v>
      </c>
      <c r="EH226" s="860"/>
      <c r="EI226" s="117">
        <f>EI228-EI227</f>
        <v>151.90799999999999</v>
      </c>
      <c r="EJ226" s="860"/>
      <c r="EK226" s="117">
        <f>EK228-EK227</f>
        <v>156.18299999999994</v>
      </c>
      <c r="EL226" s="860"/>
      <c r="EM226" s="117">
        <f>EM228-EM227</f>
        <v>161.125</v>
      </c>
      <c r="EN226" s="860"/>
      <c r="EO226" s="117">
        <f>EO228-EO227</f>
        <v>114.40100000000001</v>
      </c>
      <c r="EP226" s="98"/>
      <c r="EQ226" s="117">
        <f>EQ235/100*EQ225</f>
        <v>137.08199999999999</v>
      </c>
      <c r="ER226" s="98"/>
      <c r="ES226" s="117">
        <f t="shared" ref="ES226" si="1291">ES235/100*ES225</f>
        <v>140.89848749999996</v>
      </c>
      <c r="ET226" s="98"/>
      <c r="EU226" s="117">
        <f t="shared" ref="EU226" si="1292">EU235/100*EU225</f>
        <v>141.60297993749995</v>
      </c>
      <c r="EV226" s="98"/>
      <c r="EW226" s="117">
        <f t="shared" ref="EW226" si="1293">EW235/100*EW225</f>
        <v>142.31099483718745</v>
      </c>
      <c r="EX226" s="98"/>
      <c r="EY226" s="137"/>
      <c r="EZ226" s="601"/>
      <c r="FA226" s="411"/>
      <c r="FB226" s="242"/>
      <c r="FC226" s="233"/>
      <c r="FD226" s="137"/>
      <c r="FE226" s="233"/>
      <c r="FF226" s="137"/>
      <c r="FG226" s="233"/>
      <c r="FH226" s="137"/>
      <c r="FI226" s="233"/>
      <c r="FJ226" s="137"/>
      <c r="FK226" s="233"/>
      <c r="FL226" s="137"/>
      <c r="FM226" s="233"/>
      <c r="FN226" s="137"/>
      <c r="FO226" s="233"/>
      <c r="FP226" s="137"/>
      <c r="FQ226" s="233"/>
      <c r="FR226" s="106"/>
      <c r="FS226" s="120"/>
      <c r="FT226" s="106"/>
      <c r="FU226" s="120"/>
      <c r="FV226" s="106"/>
      <c r="FW226" s="98"/>
      <c r="FX226" s="483"/>
      <c r="FY226" s="98"/>
      <c r="FZ226" s="106"/>
      <c r="GA226" s="98"/>
      <c r="GB226" s="483"/>
      <c r="GC226" s="98"/>
      <c r="GD226" s="106"/>
      <c r="GE226" s="98"/>
      <c r="GF226" s="106"/>
      <c r="GG226" s="98"/>
      <c r="GH226" s="106"/>
      <c r="GI226" s="98"/>
      <c r="GJ226" s="119">
        <f>DS226+DU226+DW226+DY226</f>
        <v>541.35099999999989</v>
      </c>
      <c r="GK226" s="98"/>
      <c r="GL226" s="119">
        <f>EA226+EC226+EE226+EG226</f>
        <v>575.83600000000001</v>
      </c>
      <c r="GM226" s="98">
        <f t="shared" si="1288"/>
        <v>6.3701738797933505</v>
      </c>
      <c r="GN226" s="119">
        <f>EI226+EK226+EM226+EO226</f>
        <v>583.61699999999996</v>
      </c>
      <c r="GO226" s="98">
        <f t="shared" si="1288"/>
        <v>1.351252787251922</v>
      </c>
      <c r="GP226" s="119">
        <f>EQ226+ES226+EU226+EW226</f>
        <v>561.89446227468738</v>
      </c>
      <c r="GQ226" s="98">
        <f t="shared" si="1288"/>
        <v>-3.722053628546218</v>
      </c>
      <c r="GR226" s="117">
        <f>GR235/100*GR225</f>
        <v>595.60813001116867</v>
      </c>
      <c r="GS226" s="98">
        <f t="shared" si="1288"/>
        <v>6.0000000000000053</v>
      </c>
      <c r="GT226" s="117">
        <f>GT235/100*GT225</f>
        <v>631.34461781183882</v>
      </c>
      <c r="GU226" s="98">
        <f t="shared" si="1289"/>
        <v>6.0000000000000053</v>
      </c>
      <c r="GV226" s="117">
        <f>GV235/100*GV225</f>
        <v>664.39315415419162</v>
      </c>
      <c r="GW226" s="98">
        <f t="shared" si="1288"/>
        <v>5.2346270816238105</v>
      </c>
      <c r="GX226" s="117">
        <f>GX235/100*GX225</f>
        <v>697.61281186190126</v>
      </c>
      <c r="GY226" s="98">
        <f t="shared" si="1290"/>
        <v>5.0000000000000044</v>
      </c>
      <c r="GZ226" s="98"/>
      <c r="HA226" s="98"/>
      <c r="HB226" s="10"/>
      <c r="HC226"/>
      <c r="HD226"/>
      <c r="HE226"/>
      <c r="HF226"/>
      <c r="HG226"/>
      <c r="HH226"/>
      <c r="HI226" s="10"/>
    </row>
    <row r="227" spans="2:217" s="2" customFormat="1" ht="12.75" customHeight="1" x14ac:dyDescent="0.2">
      <c r="B227" s="990" t="s">
        <v>712</v>
      </c>
      <c r="C227" s="276"/>
      <c r="D227" s="156"/>
      <c r="E227" s="276"/>
      <c r="F227" s="156"/>
      <c r="G227" s="276"/>
      <c r="H227" s="156"/>
      <c r="I227" s="276"/>
      <c r="J227" s="156"/>
      <c r="K227" s="276"/>
      <c r="L227" s="156"/>
      <c r="M227" s="276"/>
      <c r="N227" s="156"/>
      <c r="O227" s="276"/>
      <c r="P227" s="156"/>
      <c r="Q227" s="276"/>
      <c r="R227" s="156"/>
      <c r="S227" s="276"/>
      <c r="T227" s="156"/>
      <c r="U227" s="276"/>
      <c r="V227" s="156"/>
      <c r="W227" s="276"/>
      <c r="X227" s="156"/>
      <c r="Y227" s="276"/>
      <c r="Z227" s="156"/>
      <c r="AA227" s="276"/>
      <c r="AB227" s="156"/>
      <c r="AC227" s="276"/>
      <c r="AD227" s="156"/>
      <c r="AE227" s="276"/>
      <c r="AF227" s="156"/>
      <c r="AG227" s="276"/>
      <c r="AH227" s="156"/>
      <c r="AI227" s="276"/>
      <c r="AJ227" s="156"/>
      <c r="AK227" s="276"/>
      <c r="AL227" s="156"/>
      <c r="AM227" s="276"/>
      <c r="AN227" s="156"/>
      <c r="AO227" s="276"/>
      <c r="AP227" s="156"/>
      <c r="AQ227" s="276"/>
      <c r="AR227" s="156"/>
      <c r="AS227" s="276"/>
      <c r="AT227" s="156"/>
      <c r="AU227" s="276"/>
      <c r="AV227" s="156"/>
      <c r="AW227" s="276"/>
      <c r="AX227" s="156"/>
      <c r="AY227" s="166"/>
      <c r="AZ227" s="156"/>
      <c r="BA227" s="166"/>
      <c r="BB227" s="156"/>
      <c r="BC227" s="166"/>
      <c r="BD227" s="156"/>
      <c r="BE227" s="166"/>
      <c r="BF227" s="156"/>
      <c r="BG227" s="166"/>
      <c r="BH227" s="156"/>
      <c r="BI227" s="166"/>
      <c r="BJ227" s="156"/>
      <c r="BK227" s="166"/>
      <c r="BL227" s="156"/>
      <c r="BM227" s="166"/>
      <c r="BN227" s="98"/>
      <c r="BO227" s="137"/>
      <c r="BP227" s="98"/>
      <c r="BQ227" s="137"/>
      <c r="BR227" s="98"/>
      <c r="BS227" s="137"/>
      <c r="BT227" s="98"/>
      <c r="BU227" s="137"/>
      <c r="BV227" s="98"/>
      <c r="BW227" s="137"/>
      <c r="BX227" s="98"/>
      <c r="BY227" s="137"/>
      <c r="BZ227" s="98"/>
      <c r="CA227" s="137"/>
      <c r="CB227" s="98"/>
      <c r="CC227" s="137"/>
      <c r="CD227" s="98"/>
      <c r="CE227" s="137"/>
      <c r="CF227" s="98"/>
      <c r="CG227" s="137"/>
      <c r="CH227" s="98"/>
      <c r="CI227" s="137"/>
      <c r="CJ227" s="98"/>
      <c r="CK227" s="137"/>
      <c r="CL227" s="98"/>
      <c r="CM227" s="137"/>
      <c r="CN227" s="98"/>
      <c r="CO227" s="137"/>
      <c r="CP227" s="98"/>
      <c r="CQ227" s="137"/>
      <c r="CR227" s="98"/>
      <c r="CS227" s="137"/>
      <c r="CT227" s="98"/>
      <c r="CU227" s="137"/>
      <c r="CV227" s="98"/>
      <c r="CW227" s="137"/>
      <c r="CX227" s="98"/>
      <c r="CY227" s="137"/>
      <c r="CZ227" s="98"/>
      <c r="DA227" s="137"/>
      <c r="DB227" s="98"/>
      <c r="DC227" s="137"/>
      <c r="DD227" s="98"/>
      <c r="DE227" s="137"/>
      <c r="DF227" s="98"/>
      <c r="DG227" s="137"/>
      <c r="DH227" s="98"/>
      <c r="DI227" s="137"/>
      <c r="DJ227" s="98"/>
      <c r="DK227" s="137"/>
      <c r="DL227" s="98"/>
      <c r="DM227" s="137"/>
      <c r="DN227" s="98"/>
      <c r="DO227" s="137"/>
      <c r="DP227" s="98"/>
      <c r="DQ227" s="137"/>
      <c r="DR227" s="98"/>
      <c r="DS227" s="117">
        <f>DS241*DS225/100</f>
        <v>89.072000000000003</v>
      </c>
      <c r="DT227" s="98"/>
      <c r="DU227" s="117">
        <f>DU241*DU225/100</f>
        <v>122.36399999999999</v>
      </c>
      <c r="DV227" s="98"/>
      <c r="DW227" s="117">
        <f>DW241*DW225/100</f>
        <v>45.698</v>
      </c>
      <c r="DX227" s="98"/>
      <c r="DY227" s="117">
        <f>DY241*DY225/100</f>
        <v>42.431999999999995</v>
      </c>
      <c r="DZ227" s="98"/>
      <c r="EA227" s="117">
        <f>EA241*EA225/100</f>
        <v>94.86</v>
      </c>
      <c r="EB227" s="98"/>
      <c r="EC227" s="117">
        <f>EC241*EC225/100</f>
        <v>123.6</v>
      </c>
      <c r="ED227" s="98"/>
      <c r="EE227" s="117">
        <f>EE241*EE225/100</f>
        <v>27.768000000000001</v>
      </c>
      <c r="EF227" s="860"/>
      <c r="EG227" s="117">
        <f>EG241*EG225/100</f>
        <v>22.081</v>
      </c>
      <c r="EH227" s="860"/>
      <c r="EI227" s="117">
        <f>EI241*EI225/100</f>
        <v>104.005</v>
      </c>
      <c r="EJ227" s="860"/>
      <c r="EK227" s="117">
        <f>EK241*EK225/100</f>
        <v>111.54899999999999</v>
      </c>
      <c r="EL227" s="860"/>
      <c r="EM227" s="117">
        <f>EM241*EM225/100</f>
        <v>48.67</v>
      </c>
      <c r="EN227" s="860"/>
      <c r="EO227" s="117">
        <f>EO241*EO225/100</f>
        <v>23.56</v>
      </c>
      <c r="EP227" s="98"/>
      <c r="EQ227" s="117">
        <f>EQ241*EQ225/100</f>
        <v>80.379899999999992</v>
      </c>
      <c r="ER227" s="98"/>
      <c r="ES227" s="117">
        <f t="shared" ref="ES227" si="1294">ES241*ES225/100</f>
        <v>78.276937499999974</v>
      </c>
      <c r="ET227" s="98"/>
      <c r="EU227" s="117">
        <f t="shared" ref="EU227" si="1295">EU241*EU225/100</f>
        <v>69.228123524999972</v>
      </c>
      <c r="EV227" s="98"/>
      <c r="EW227" s="117">
        <f t="shared" ref="EW227" si="1296">EW241*EW225/100</f>
        <v>28.462198967437487</v>
      </c>
      <c r="EX227" s="98"/>
      <c r="EY227" s="137"/>
      <c r="EZ227" s="601"/>
      <c r="FA227" s="411"/>
      <c r="FB227" s="242"/>
      <c r="FC227" s="233"/>
      <c r="FD227" s="137"/>
      <c r="FE227" s="233"/>
      <c r="FF227" s="137"/>
      <c r="FG227" s="233"/>
      <c r="FH227" s="137"/>
      <c r="FI227" s="233"/>
      <c r="FJ227" s="137"/>
      <c r="FK227" s="233"/>
      <c r="FL227" s="137"/>
      <c r="FM227" s="233"/>
      <c r="FN227" s="137"/>
      <c r="FO227" s="233"/>
      <c r="FP227" s="137"/>
      <c r="FQ227" s="233"/>
      <c r="FR227" s="106"/>
      <c r="FS227" s="120"/>
      <c r="FT227" s="106"/>
      <c r="FU227" s="120"/>
      <c r="FV227" s="106"/>
      <c r="FW227" s="98"/>
      <c r="FX227" s="483"/>
      <c r="FY227" s="98"/>
      <c r="FZ227" s="106"/>
      <c r="GA227" s="98"/>
      <c r="GB227" s="483"/>
      <c r="GC227" s="98"/>
      <c r="GD227" s="106"/>
      <c r="GE227" s="98"/>
      <c r="GF227" s="106"/>
      <c r="GG227" s="98"/>
      <c r="GH227" s="106"/>
      <c r="GI227" s="98"/>
      <c r="GJ227" s="119">
        <f>DS227+DU227+DW227+DY227</f>
        <v>299.56599999999997</v>
      </c>
      <c r="GK227" s="98"/>
      <c r="GL227" s="119">
        <f>EA227+EC227+EE227+EG227</f>
        <v>268.30899999999997</v>
      </c>
      <c r="GM227" s="98">
        <f t="shared" si="1288"/>
        <v>-10.434094656937043</v>
      </c>
      <c r="GN227" s="119">
        <f>EI227+EK227+EM227+EO227</f>
        <v>287.78399999999999</v>
      </c>
      <c r="GO227" s="98">
        <f t="shared" si="1288"/>
        <v>7.2584221923230441</v>
      </c>
      <c r="GP227" s="119">
        <f>EQ227+ES227+EU227+EW227</f>
        <v>256.34715999243741</v>
      </c>
      <c r="GQ227" s="98">
        <f t="shared" si="1288"/>
        <v>-10.92376226877192</v>
      </c>
      <c r="GR227" s="117">
        <f>GR241*GR225/100</f>
        <v>251.76430425827803</v>
      </c>
      <c r="GS227" s="98">
        <f t="shared" si="1288"/>
        <v>-1.7877536596444421</v>
      </c>
      <c r="GT227" s="117">
        <f>GT241*GT225/100</f>
        <v>266.87016251377474</v>
      </c>
      <c r="GU227" s="98">
        <f t="shared" si="1289"/>
        <v>6.0000000000000053</v>
      </c>
      <c r="GV227" s="117">
        <f>GV241*GV225/100</f>
        <v>280.21367063946349</v>
      </c>
      <c r="GW227" s="98">
        <f t="shared" si="1288"/>
        <v>5.0000000000000044</v>
      </c>
      <c r="GX227" s="117">
        <f>GX241*GX225/100</f>
        <v>294.22435417143669</v>
      </c>
      <c r="GY227" s="98">
        <f t="shared" si="1290"/>
        <v>5.0000000000000044</v>
      </c>
      <c r="GZ227" s="98"/>
      <c r="HA227" s="98"/>
      <c r="HB227" s="10"/>
      <c r="HC227"/>
      <c r="HD227"/>
      <c r="HE227"/>
      <c r="HF227"/>
      <c r="HG227"/>
      <c r="HH227"/>
      <c r="HI227" s="10"/>
    </row>
    <row r="228" spans="2:217" s="2" customFormat="1" ht="12.75" customHeight="1" x14ac:dyDescent="0.2">
      <c r="B228" s="991" t="s">
        <v>713</v>
      </c>
      <c r="C228" s="276"/>
      <c r="D228" s="156"/>
      <c r="E228" s="276"/>
      <c r="F228" s="156"/>
      <c r="G228" s="276"/>
      <c r="H228" s="156"/>
      <c r="I228" s="276"/>
      <c r="J228" s="156"/>
      <c r="K228" s="276"/>
      <c r="L228" s="156"/>
      <c r="M228" s="276"/>
      <c r="N228" s="156"/>
      <c r="O228" s="276"/>
      <c r="P228" s="156"/>
      <c r="Q228" s="276"/>
      <c r="R228" s="156"/>
      <c r="S228" s="276"/>
      <c r="T228" s="156"/>
      <c r="U228" s="276"/>
      <c r="V228" s="156"/>
      <c r="W228" s="276"/>
      <c r="X228" s="156"/>
      <c r="Y228" s="276"/>
      <c r="Z228" s="156"/>
      <c r="AA228" s="276"/>
      <c r="AB228" s="156"/>
      <c r="AC228" s="276"/>
      <c r="AD228" s="156"/>
      <c r="AE228" s="276"/>
      <c r="AF228" s="156"/>
      <c r="AG228" s="276"/>
      <c r="AH228" s="156"/>
      <c r="AI228" s="276"/>
      <c r="AJ228" s="156"/>
      <c r="AK228" s="276"/>
      <c r="AL228" s="156"/>
      <c r="AM228" s="276"/>
      <c r="AN228" s="156"/>
      <c r="AO228" s="276"/>
      <c r="AP228" s="156"/>
      <c r="AQ228" s="276"/>
      <c r="AR228" s="156"/>
      <c r="AS228" s="276"/>
      <c r="AT228" s="156"/>
      <c r="AU228" s="276"/>
      <c r="AV228" s="156"/>
      <c r="AW228" s="276"/>
      <c r="AX228" s="156"/>
      <c r="AY228" s="166"/>
      <c r="AZ228" s="156"/>
      <c r="BA228" s="166"/>
      <c r="BB228" s="156"/>
      <c r="BC228" s="166"/>
      <c r="BD228" s="156"/>
      <c r="BE228" s="166"/>
      <c r="BF228" s="156"/>
      <c r="BG228" s="166"/>
      <c r="BH228" s="156"/>
      <c r="BI228" s="166"/>
      <c r="BJ228" s="156"/>
      <c r="BK228" s="166"/>
      <c r="BL228" s="156"/>
      <c r="BM228" s="166"/>
      <c r="BN228" s="98"/>
      <c r="BO228" s="137"/>
      <c r="BP228" s="98"/>
      <c r="BQ228" s="137"/>
      <c r="BR228" s="98"/>
      <c r="BS228" s="137"/>
      <c r="BT228" s="98"/>
      <c r="BU228" s="137"/>
      <c r="BV228" s="98"/>
      <c r="BW228" s="137"/>
      <c r="BX228" s="98"/>
      <c r="BY228" s="137"/>
      <c r="BZ228" s="98"/>
      <c r="CA228" s="137"/>
      <c r="CB228" s="98"/>
      <c r="CC228" s="137"/>
      <c r="CD228" s="98"/>
      <c r="CE228" s="137"/>
      <c r="CF228" s="98"/>
      <c r="CG228" s="137"/>
      <c r="CH228" s="98"/>
      <c r="CI228" s="137"/>
      <c r="CJ228" s="98"/>
      <c r="CK228" s="137"/>
      <c r="CL228" s="98"/>
      <c r="CM228" s="137"/>
      <c r="CN228" s="98"/>
      <c r="CO228" s="137"/>
      <c r="CP228" s="98"/>
      <c r="CQ228" s="137"/>
      <c r="CR228" s="98"/>
      <c r="CS228" s="137"/>
      <c r="CT228" s="98"/>
      <c r="CU228" s="137"/>
      <c r="CV228" s="98"/>
      <c r="CW228" s="137"/>
      <c r="CX228" s="98"/>
      <c r="CY228" s="137"/>
      <c r="CZ228" s="98"/>
      <c r="DA228" s="137"/>
      <c r="DB228" s="98"/>
      <c r="DC228" s="137"/>
      <c r="DD228" s="98"/>
      <c r="DE228" s="137"/>
      <c r="DF228" s="98"/>
      <c r="DG228" s="137"/>
      <c r="DH228" s="98"/>
      <c r="DI228" s="137"/>
      <c r="DJ228" s="98"/>
      <c r="DK228" s="137"/>
      <c r="DL228" s="98"/>
      <c r="DM228" s="137"/>
      <c r="DN228" s="98"/>
      <c r="DO228" s="137"/>
      <c r="DP228" s="98"/>
      <c r="DQ228" s="137"/>
      <c r="DR228" s="98"/>
      <c r="DS228" s="117">
        <f>DS230-DS229</f>
        <v>224.18899999999996</v>
      </c>
      <c r="DT228" s="98"/>
      <c r="DU228" s="117">
        <f>DU230-DU229</f>
        <v>250.58299999999994</v>
      </c>
      <c r="DV228" s="98"/>
      <c r="DW228" s="117">
        <f>DW230-DW229</f>
        <v>191.90399999999994</v>
      </c>
      <c r="DX228" s="98"/>
      <c r="DY228" s="117">
        <f>DY230-DY229</f>
        <v>174.24100000000001</v>
      </c>
      <c r="DZ228" s="98"/>
      <c r="EA228" s="117">
        <f>EA230-EA229</f>
        <v>232.42000000000002</v>
      </c>
      <c r="EB228" s="98"/>
      <c r="EC228" s="117">
        <f>EC230-EC229</f>
        <v>266.49699999999996</v>
      </c>
      <c r="ED228" s="98"/>
      <c r="EE228" s="117">
        <f>EE230-EE229</f>
        <v>190.03100000000001</v>
      </c>
      <c r="EF228" s="860"/>
      <c r="EG228" s="117">
        <f>EG230-EG229</f>
        <v>155.19699999999997</v>
      </c>
      <c r="EH228" s="860"/>
      <c r="EI228" s="117">
        <f>EI230-EI229</f>
        <v>255.91299999999998</v>
      </c>
      <c r="EJ228" s="860"/>
      <c r="EK228" s="117">
        <f>EK230-EK229</f>
        <v>267.73199999999991</v>
      </c>
      <c r="EL228" s="860"/>
      <c r="EM228" s="117">
        <f>EM230-EM229</f>
        <v>209.79500000000002</v>
      </c>
      <c r="EN228" s="860"/>
      <c r="EO228" s="117">
        <f>EO230-EO229</f>
        <v>137.96100000000001</v>
      </c>
      <c r="EP228" s="98"/>
      <c r="EQ228" s="117">
        <f>EQ226+EQ227</f>
        <v>217.46189999999999</v>
      </c>
      <c r="ER228" s="98"/>
      <c r="ES228" s="117">
        <f t="shared" ref="ES228" si="1297">ES226+ES227</f>
        <v>219.17542499999993</v>
      </c>
      <c r="ET228" s="98"/>
      <c r="EU228" s="117">
        <f t="shared" ref="EU228" si="1298">EU226+EU227</f>
        <v>210.83110346249993</v>
      </c>
      <c r="EV228" s="98"/>
      <c r="EW228" s="117">
        <f t="shared" ref="EW228" si="1299">EW226+EW227</f>
        <v>170.77319380462495</v>
      </c>
      <c r="EX228" s="98"/>
      <c r="EY228" s="137"/>
      <c r="EZ228" s="601"/>
      <c r="FA228" s="411"/>
      <c r="FB228" s="242"/>
      <c r="FC228" s="233"/>
      <c r="FD228" s="137"/>
      <c r="FE228" s="233"/>
      <c r="FF228" s="137"/>
      <c r="FG228" s="233"/>
      <c r="FH228" s="137"/>
      <c r="FI228" s="233"/>
      <c r="FJ228" s="137"/>
      <c r="FK228" s="233"/>
      <c r="FL228" s="137"/>
      <c r="FM228" s="233"/>
      <c r="FN228" s="137"/>
      <c r="FO228" s="233"/>
      <c r="FP228" s="137"/>
      <c r="FQ228" s="233"/>
      <c r="FR228" s="106"/>
      <c r="FS228" s="120"/>
      <c r="FT228" s="106"/>
      <c r="FU228" s="120"/>
      <c r="FV228" s="106"/>
      <c r="FW228" s="98"/>
      <c r="FX228" s="483"/>
      <c r="FY228" s="98"/>
      <c r="FZ228" s="106"/>
      <c r="GA228" s="98"/>
      <c r="GB228" s="483"/>
      <c r="GC228" s="98"/>
      <c r="GD228" s="106"/>
      <c r="GE228" s="98"/>
      <c r="GF228" s="106"/>
      <c r="GG228" s="98"/>
      <c r="GH228" s="106"/>
      <c r="GI228" s="98"/>
      <c r="GJ228" s="100">
        <f>GJ226+GJ227</f>
        <v>840.91699999999992</v>
      </c>
      <c r="GK228" s="98"/>
      <c r="GL228" s="100">
        <f>GL226+GL227</f>
        <v>844.14499999999998</v>
      </c>
      <c r="GM228" s="98"/>
      <c r="GN228" s="100">
        <f>GN226+GN227</f>
        <v>871.40099999999995</v>
      </c>
      <c r="GO228" s="98"/>
      <c r="GP228" s="100">
        <f>GP226+GP227</f>
        <v>818.24162226712474</v>
      </c>
      <c r="GQ228" s="98"/>
      <c r="GR228" s="117">
        <f>GR226+GR227</f>
        <v>847.37243426944667</v>
      </c>
      <c r="GS228" s="98"/>
      <c r="GT228" s="117">
        <f>GT226+GT227</f>
        <v>898.21478032561356</v>
      </c>
      <c r="GU228" s="98"/>
      <c r="GV228" s="117">
        <f>GV226+GV227</f>
        <v>944.60682479365505</v>
      </c>
      <c r="GW228" s="98"/>
      <c r="GX228" s="117">
        <f>GX226+GX227</f>
        <v>991.83716603333801</v>
      </c>
      <c r="GY228" s="98"/>
      <c r="GZ228" s="98"/>
      <c r="HA228" s="98"/>
      <c r="HB228" s="10"/>
      <c r="HC228"/>
      <c r="HD228"/>
      <c r="HE228"/>
      <c r="HF228"/>
      <c r="HG228"/>
      <c r="HH228"/>
      <c r="HI228" s="10"/>
    </row>
    <row r="229" spans="2:217" s="2" customFormat="1" ht="12.75" customHeight="1" x14ac:dyDescent="0.2">
      <c r="B229" s="991" t="s">
        <v>714</v>
      </c>
      <c r="C229" s="276"/>
      <c r="D229" s="156"/>
      <c r="E229" s="276"/>
      <c r="F229" s="156"/>
      <c r="G229" s="276"/>
      <c r="H229" s="156"/>
      <c r="I229" s="276"/>
      <c r="J229" s="156"/>
      <c r="K229" s="276"/>
      <c r="L229" s="156"/>
      <c r="M229" s="276"/>
      <c r="N229" s="156"/>
      <c r="O229" s="276"/>
      <c r="P229" s="156"/>
      <c r="Q229" s="276"/>
      <c r="R229" s="156"/>
      <c r="S229" s="276"/>
      <c r="T229" s="156"/>
      <c r="U229" s="276"/>
      <c r="V229" s="156"/>
      <c r="W229" s="276"/>
      <c r="X229" s="156"/>
      <c r="Y229" s="276"/>
      <c r="Z229" s="156"/>
      <c r="AA229" s="276"/>
      <c r="AB229" s="156"/>
      <c r="AC229" s="276"/>
      <c r="AD229" s="156"/>
      <c r="AE229" s="276"/>
      <c r="AF229" s="156"/>
      <c r="AG229" s="276"/>
      <c r="AH229" s="156"/>
      <c r="AI229" s="276"/>
      <c r="AJ229" s="156"/>
      <c r="AK229" s="276"/>
      <c r="AL229" s="156"/>
      <c r="AM229" s="276"/>
      <c r="AN229" s="156"/>
      <c r="AO229" s="276"/>
      <c r="AP229" s="156"/>
      <c r="AQ229" s="276"/>
      <c r="AR229" s="156"/>
      <c r="AS229" s="276"/>
      <c r="AT229" s="156"/>
      <c r="AU229" s="276"/>
      <c r="AV229" s="156"/>
      <c r="AW229" s="276"/>
      <c r="AX229" s="156"/>
      <c r="AY229" s="166"/>
      <c r="AZ229" s="156"/>
      <c r="BA229" s="166"/>
      <c r="BB229" s="156"/>
      <c r="BC229" s="166"/>
      <c r="BD229" s="156"/>
      <c r="BE229" s="166"/>
      <c r="BF229" s="156"/>
      <c r="BG229" s="166"/>
      <c r="BH229" s="156"/>
      <c r="BI229" s="166"/>
      <c r="BJ229" s="156"/>
      <c r="BK229" s="166"/>
      <c r="BL229" s="156"/>
      <c r="BM229" s="166"/>
      <c r="BN229" s="98"/>
      <c r="BO229" s="137"/>
      <c r="BP229" s="98"/>
      <c r="BQ229" s="137"/>
      <c r="BR229" s="98"/>
      <c r="BS229" s="137"/>
      <c r="BT229" s="98"/>
      <c r="BU229" s="137"/>
      <c r="BV229" s="98"/>
      <c r="BW229" s="137"/>
      <c r="BX229" s="98"/>
      <c r="BY229" s="137"/>
      <c r="BZ229" s="98"/>
      <c r="CA229" s="137"/>
      <c r="CB229" s="98"/>
      <c r="CC229" s="137"/>
      <c r="CD229" s="98"/>
      <c r="CE229" s="137"/>
      <c r="CF229" s="98"/>
      <c r="CG229" s="137"/>
      <c r="CH229" s="98"/>
      <c r="CI229" s="137"/>
      <c r="CJ229" s="98"/>
      <c r="CK229" s="137"/>
      <c r="CL229" s="98"/>
      <c r="CM229" s="137"/>
      <c r="CN229" s="98"/>
      <c r="CO229" s="137"/>
      <c r="CP229" s="98"/>
      <c r="CQ229" s="137"/>
      <c r="CR229" s="98"/>
      <c r="CS229" s="137"/>
      <c r="CT229" s="98"/>
      <c r="CU229" s="137"/>
      <c r="CV229" s="98"/>
      <c r="CW229" s="137"/>
      <c r="CX229" s="98"/>
      <c r="CY229" s="137"/>
      <c r="CZ229" s="98"/>
      <c r="DA229" s="137"/>
      <c r="DB229" s="98"/>
      <c r="DC229" s="137"/>
      <c r="DD229" s="98"/>
      <c r="DE229" s="137"/>
      <c r="DF229" s="98"/>
      <c r="DG229" s="137"/>
      <c r="DH229" s="98"/>
      <c r="DI229" s="137"/>
      <c r="DJ229" s="98"/>
      <c r="DK229" s="137"/>
      <c r="DL229" s="98"/>
      <c r="DM229" s="137"/>
      <c r="DN229" s="98"/>
      <c r="DO229" s="137"/>
      <c r="DP229" s="98"/>
      <c r="DQ229" s="137"/>
      <c r="DR229" s="98"/>
      <c r="DS229" s="117">
        <f>DS240*DS225/100</f>
        <v>-11.856</v>
      </c>
      <c r="DT229" s="98"/>
      <c r="DU229" s="117">
        <f>DU240*DU225/100</f>
        <v>-15.141000000000002</v>
      </c>
      <c r="DV229" s="98"/>
      <c r="DW229" s="117">
        <f>DW240*DW225/100</f>
        <v>0</v>
      </c>
      <c r="DX229" s="98"/>
      <c r="DY229" s="117">
        <f>DY240*DY225/100</f>
        <v>-12.791999999999998</v>
      </c>
      <c r="DZ229" s="98"/>
      <c r="EA229" s="117">
        <f>EA240*EA225/100</f>
        <v>0</v>
      </c>
      <c r="EB229" s="98"/>
      <c r="EC229" s="117">
        <f>EC240*EC225/100</f>
        <v>-7.1069999999999993</v>
      </c>
      <c r="ED229" s="98"/>
      <c r="EE229" s="117">
        <f>EE240*EE225/100</f>
        <v>-0.31200000000000006</v>
      </c>
      <c r="EF229" s="860"/>
      <c r="EG229" s="117">
        <f>EG240*EG225/100</f>
        <v>0.311</v>
      </c>
      <c r="EH229" s="860"/>
      <c r="EI229" s="117">
        <f>EI240*EI225/100</f>
        <v>-1.5249999999999999</v>
      </c>
      <c r="EJ229" s="860"/>
      <c r="EK229" s="117">
        <f>EK240*EK225/100</f>
        <v>-1.8540000000000001</v>
      </c>
      <c r="EL229" s="860"/>
      <c r="EM229" s="117">
        <f>EM240*EM225/100</f>
        <v>-0.62</v>
      </c>
      <c r="EN229" s="860"/>
      <c r="EO229" s="117">
        <f>EO240*EO225/100</f>
        <v>-0.62</v>
      </c>
      <c r="EP229" s="98"/>
      <c r="EQ229" s="117">
        <f>EQ240*EQ225/100</f>
        <v>0</v>
      </c>
      <c r="ER229" s="98"/>
      <c r="ES229" s="117">
        <f t="shared" ref="ES229" si="1300">ES240*ES225/100</f>
        <v>0</v>
      </c>
      <c r="ET229" s="98"/>
      <c r="EU229" s="117">
        <f t="shared" ref="EU229" si="1301">EU240*EU225/100</f>
        <v>0</v>
      </c>
      <c r="EV229" s="98"/>
      <c r="EW229" s="117">
        <f t="shared" ref="EW229" si="1302">EW240*EW225/100</f>
        <v>0</v>
      </c>
      <c r="EX229" s="98"/>
      <c r="EY229" s="137"/>
      <c r="EZ229" s="601"/>
      <c r="FA229" s="411"/>
      <c r="FB229" s="242"/>
      <c r="FC229" s="233"/>
      <c r="FD229" s="137"/>
      <c r="FE229" s="233"/>
      <c r="FF229" s="137"/>
      <c r="FG229" s="233"/>
      <c r="FH229" s="137"/>
      <c r="FI229" s="233"/>
      <c r="FJ229" s="137"/>
      <c r="FK229" s="233"/>
      <c r="FL229" s="137"/>
      <c r="FM229" s="233"/>
      <c r="FN229" s="137"/>
      <c r="FO229" s="233"/>
      <c r="FP229" s="137"/>
      <c r="FQ229" s="233"/>
      <c r="FR229" s="106"/>
      <c r="FS229" s="120"/>
      <c r="FT229" s="106"/>
      <c r="FU229" s="120"/>
      <c r="FV229" s="106"/>
      <c r="FW229" s="98"/>
      <c r="FX229" s="483"/>
      <c r="FY229" s="98"/>
      <c r="FZ229" s="106"/>
      <c r="GA229" s="98"/>
      <c r="GB229" s="483"/>
      <c r="GC229" s="98"/>
      <c r="GD229" s="106"/>
      <c r="GE229" s="98"/>
      <c r="GF229" s="106"/>
      <c r="GG229" s="98"/>
      <c r="GH229" s="106"/>
      <c r="GI229" s="98"/>
      <c r="GJ229" s="119">
        <f>DS229+DU229+DW229+DY229</f>
        <v>-39.789000000000001</v>
      </c>
      <c r="GK229" s="98"/>
      <c r="GL229" s="119">
        <f>EA229+EC229+EE229+EG229</f>
        <v>-7.1079999999999997</v>
      </c>
      <c r="GM229" s="98" t="str">
        <f t="shared" ref="GM229:GW232" si="1303">IF(ISERROR((GL229/GJ229-1)*100),"NA",IF(((GL229/GJ229-1)*100)&gt;100,"NM",IF(((GL229/GJ229-1)*100)&lt;-50,"NM",(GL229/GJ229-1)*100)))</f>
        <v>NM</v>
      </c>
      <c r="GN229" s="119">
        <f>EI229+EK229+EM229+EO229</f>
        <v>-4.6189999999999998</v>
      </c>
      <c r="GO229" s="98">
        <f t="shared" si="1303"/>
        <v>-35.016882386043889</v>
      </c>
      <c r="GP229" s="119">
        <f>EQ229+ES229+EU229+EW229</f>
        <v>0</v>
      </c>
      <c r="GQ229" s="98" t="str">
        <f t="shared" si="1303"/>
        <v>NM</v>
      </c>
      <c r="GR229" s="117">
        <f>GR240*GR225/100</f>
        <v>0</v>
      </c>
      <c r="GS229" s="98" t="str">
        <f t="shared" si="1303"/>
        <v>NA</v>
      </c>
      <c r="GT229" s="117">
        <f>GT240*GT225/100</f>
        <v>0</v>
      </c>
      <c r="GU229" s="98" t="str">
        <f t="shared" ref="GU229:GU232" si="1304">IF(ISERROR((GT229/GR229-1)*100),"NA",IF(((GT229/GR229-1)*100)&gt;100,"NM",IF(((GT229/GR229-1)*100)&lt;-50,"NM",(GT229/GR229-1)*100)))</f>
        <v>NA</v>
      </c>
      <c r="GV229" s="117">
        <f>GV240*GV225/100</f>
        <v>0</v>
      </c>
      <c r="GW229" s="98" t="str">
        <f t="shared" si="1303"/>
        <v>NA</v>
      </c>
      <c r="GX229" s="117">
        <f>GX240*GX225/100</f>
        <v>0</v>
      </c>
      <c r="GY229" s="98" t="str">
        <f t="shared" ref="GY229:GY232" si="1305">IF(ISERROR((GX229/GV229-1)*100),"NA",IF(((GX229/GV229-1)*100)&gt;100,"NM",IF(((GX229/GV229-1)*100)&lt;-50,"NM",(GX229/GV229-1)*100)))</f>
        <v>NA</v>
      </c>
      <c r="GZ229" s="98"/>
      <c r="HA229" s="98"/>
      <c r="HB229" s="10"/>
      <c r="HC229"/>
      <c r="HD229"/>
      <c r="HE229"/>
      <c r="HF229"/>
      <c r="HG229"/>
      <c r="HH229"/>
      <c r="HI229" s="10"/>
    </row>
    <row r="230" spans="2:217" s="2" customFormat="1" ht="12.75" customHeight="1" x14ac:dyDescent="0.2">
      <c r="B230" s="988" t="s">
        <v>715</v>
      </c>
      <c r="C230" s="276"/>
      <c r="D230" s="156"/>
      <c r="E230" s="276"/>
      <c r="F230" s="156"/>
      <c r="G230" s="276"/>
      <c r="H230" s="156"/>
      <c r="I230" s="276"/>
      <c r="J230" s="156"/>
      <c r="K230" s="276"/>
      <c r="L230" s="156"/>
      <c r="M230" s="276"/>
      <c r="N230" s="156"/>
      <c r="O230" s="276"/>
      <c r="P230" s="156"/>
      <c r="Q230" s="276"/>
      <c r="R230" s="156"/>
      <c r="S230" s="276"/>
      <c r="T230" s="156"/>
      <c r="U230" s="276"/>
      <c r="V230" s="156"/>
      <c r="W230" s="276"/>
      <c r="X230" s="156"/>
      <c r="Y230" s="276"/>
      <c r="Z230" s="156"/>
      <c r="AA230" s="276"/>
      <c r="AB230" s="156"/>
      <c r="AC230" s="276"/>
      <c r="AD230" s="156"/>
      <c r="AE230" s="276"/>
      <c r="AF230" s="156"/>
      <c r="AG230" s="276"/>
      <c r="AH230" s="156"/>
      <c r="AI230" s="276"/>
      <c r="AJ230" s="156"/>
      <c r="AK230" s="276"/>
      <c r="AL230" s="156"/>
      <c r="AM230" s="276"/>
      <c r="AN230" s="156"/>
      <c r="AO230" s="276"/>
      <c r="AP230" s="156"/>
      <c r="AQ230" s="276"/>
      <c r="AR230" s="156"/>
      <c r="AS230" s="276"/>
      <c r="AT230" s="156"/>
      <c r="AU230" s="276"/>
      <c r="AV230" s="156"/>
      <c r="AW230" s="276"/>
      <c r="AX230" s="156"/>
      <c r="AY230" s="166"/>
      <c r="AZ230" s="156"/>
      <c r="BA230" s="166"/>
      <c r="BB230" s="156"/>
      <c r="BC230" s="166"/>
      <c r="BD230" s="156"/>
      <c r="BE230" s="166"/>
      <c r="BF230" s="156"/>
      <c r="BG230" s="166"/>
      <c r="BH230" s="156"/>
      <c r="BI230" s="166"/>
      <c r="BJ230" s="156"/>
      <c r="BK230" s="166"/>
      <c r="BL230" s="156"/>
      <c r="BM230" s="166"/>
      <c r="BN230" s="98"/>
      <c r="BO230" s="137"/>
      <c r="BP230" s="98"/>
      <c r="BQ230" s="137"/>
      <c r="BR230" s="98"/>
      <c r="BS230" s="137"/>
      <c r="BT230" s="98"/>
      <c r="BU230" s="137"/>
      <c r="BV230" s="98"/>
      <c r="BW230" s="137"/>
      <c r="BX230" s="98"/>
      <c r="BY230" s="137"/>
      <c r="BZ230" s="98"/>
      <c r="CA230" s="137"/>
      <c r="CB230" s="98"/>
      <c r="CC230" s="137"/>
      <c r="CD230" s="98"/>
      <c r="CE230" s="137"/>
      <c r="CF230" s="98"/>
      <c r="CG230" s="137"/>
      <c r="CH230" s="98"/>
      <c r="CI230" s="137"/>
      <c r="CJ230" s="98"/>
      <c r="CK230" s="137"/>
      <c r="CL230" s="98"/>
      <c r="CM230" s="137"/>
      <c r="CN230" s="98"/>
      <c r="CO230" s="137"/>
      <c r="CP230" s="98"/>
      <c r="CQ230" s="137"/>
      <c r="CR230" s="98"/>
      <c r="CS230" s="137"/>
      <c r="CT230" s="98"/>
      <c r="CU230" s="137"/>
      <c r="CV230" s="98"/>
      <c r="CW230" s="137"/>
      <c r="CX230" s="98"/>
      <c r="CY230" s="137"/>
      <c r="CZ230" s="98"/>
      <c r="DA230" s="137"/>
      <c r="DB230" s="98"/>
      <c r="DC230" s="137"/>
      <c r="DD230" s="98"/>
      <c r="DE230" s="137"/>
      <c r="DF230" s="98"/>
      <c r="DG230" s="137"/>
      <c r="DH230" s="98"/>
      <c r="DI230" s="137"/>
      <c r="DJ230" s="98"/>
      <c r="DK230" s="137"/>
      <c r="DL230" s="98"/>
      <c r="DM230" s="137"/>
      <c r="DN230" s="98"/>
      <c r="DO230" s="137"/>
      <c r="DP230" s="98"/>
      <c r="DQ230" s="137"/>
      <c r="DR230" s="98"/>
      <c r="DS230" s="117">
        <f>DS257-DS206</f>
        <v>212.33299999999997</v>
      </c>
      <c r="DT230" s="98"/>
      <c r="DU230" s="117">
        <f>DU257-DU206</f>
        <v>235.44199999999995</v>
      </c>
      <c r="DV230" s="98"/>
      <c r="DW230" s="117">
        <f>DW257-DW206</f>
        <v>191.90399999999994</v>
      </c>
      <c r="DX230" s="98"/>
      <c r="DY230" s="117">
        <f>DY257-DY206</f>
        <v>161.44900000000001</v>
      </c>
      <c r="DZ230" s="98"/>
      <c r="EA230" s="117">
        <f>EA257-EA206</f>
        <v>232.42000000000002</v>
      </c>
      <c r="EB230" s="98"/>
      <c r="EC230" s="117">
        <f>EC257-EC206</f>
        <v>259.39</v>
      </c>
      <c r="ED230" s="98"/>
      <c r="EE230" s="117">
        <f>EE257-EE206</f>
        <v>189.71899999999999</v>
      </c>
      <c r="EF230" s="860"/>
      <c r="EG230" s="117">
        <f>EG257-EG206</f>
        <v>155.50799999999998</v>
      </c>
      <c r="EH230" s="860"/>
      <c r="EI230" s="117">
        <f>EI257-EI206</f>
        <v>254.38799999999998</v>
      </c>
      <c r="EJ230" s="860"/>
      <c r="EK230" s="117">
        <f>EK257-EK206</f>
        <v>265.87799999999993</v>
      </c>
      <c r="EL230" s="860"/>
      <c r="EM230" s="117">
        <f>EM257-EM206</f>
        <v>209.17500000000001</v>
      </c>
      <c r="EN230" s="860"/>
      <c r="EO230" s="117">
        <f>EO257-EO206</f>
        <v>137.34100000000001</v>
      </c>
      <c r="EP230" s="98"/>
      <c r="EQ230" s="117">
        <f>EQ228+EQ229</f>
        <v>217.46189999999999</v>
      </c>
      <c r="ER230" s="98"/>
      <c r="ES230" s="117">
        <f t="shared" ref="ES230" si="1306">ES228+ES229</f>
        <v>219.17542499999993</v>
      </c>
      <c r="ET230" s="98"/>
      <c r="EU230" s="117">
        <f t="shared" ref="EU230" si="1307">EU228+EU229</f>
        <v>210.83110346249993</v>
      </c>
      <c r="EV230" s="98"/>
      <c r="EW230" s="117">
        <f t="shared" ref="EW230" si="1308">EW228+EW229</f>
        <v>170.77319380462495</v>
      </c>
      <c r="EX230" s="98"/>
      <c r="EY230" s="137"/>
      <c r="EZ230" s="601"/>
      <c r="FA230" s="411"/>
      <c r="FB230" s="242"/>
      <c r="FC230" s="233"/>
      <c r="FD230" s="137"/>
      <c r="FE230" s="233"/>
      <c r="FF230" s="137"/>
      <c r="FG230" s="233"/>
      <c r="FH230" s="137"/>
      <c r="FI230" s="233"/>
      <c r="FJ230" s="137"/>
      <c r="FK230" s="233"/>
      <c r="FL230" s="137"/>
      <c r="FM230" s="233"/>
      <c r="FN230" s="137"/>
      <c r="FO230" s="233"/>
      <c r="FP230" s="137"/>
      <c r="FQ230" s="233"/>
      <c r="FR230" s="106"/>
      <c r="FS230" s="120"/>
      <c r="FT230" s="106"/>
      <c r="FU230" s="120"/>
      <c r="FV230" s="106"/>
      <c r="FW230" s="98"/>
      <c r="FX230" s="483"/>
      <c r="FY230" s="98"/>
      <c r="FZ230" s="106"/>
      <c r="GA230" s="98"/>
      <c r="GB230" s="483"/>
      <c r="GC230" s="98"/>
      <c r="GD230" s="106"/>
      <c r="GE230" s="98"/>
      <c r="GF230" s="106"/>
      <c r="GG230" s="98"/>
      <c r="GH230" s="106"/>
      <c r="GI230" s="98"/>
      <c r="GJ230" s="119">
        <f>DS230+DU230+DW230+DY230</f>
        <v>801.12799999999993</v>
      </c>
      <c r="GK230" s="98"/>
      <c r="GL230" s="119">
        <f>EA230+EC230+EE230+EG230</f>
        <v>837.03700000000003</v>
      </c>
      <c r="GM230" s="98">
        <f t="shared" si="1303"/>
        <v>4.4823049500204881</v>
      </c>
      <c r="GN230" s="119">
        <f>EI230+EK230+EM230+EO230</f>
        <v>866.78199999999981</v>
      </c>
      <c r="GO230" s="98">
        <f t="shared" si="1303"/>
        <v>3.5536063519294503</v>
      </c>
      <c r="GP230" s="119">
        <f>EQ230+ES230+EU230+EW230</f>
        <v>818.24162226712474</v>
      </c>
      <c r="GQ230" s="98">
        <f t="shared" si="1303"/>
        <v>-5.6000675755697564</v>
      </c>
      <c r="GR230" s="117">
        <f>GR228+GR229</f>
        <v>847.37243426944667</v>
      </c>
      <c r="GS230" s="98">
        <f t="shared" si="1303"/>
        <v>3.5601723512436845</v>
      </c>
      <c r="GT230" s="117">
        <f>GT228+GT229</f>
        <v>898.21478032561356</v>
      </c>
      <c r="GU230" s="98">
        <f t="shared" si="1304"/>
        <v>6.0000000000000053</v>
      </c>
      <c r="GV230" s="117">
        <f>GV228+GV229</f>
        <v>944.60682479365505</v>
      </c>
      <c r="GW230" s="98">
        <f t="shared" si="1303"/>
        <v>5.1649166195220975</v>
      </c>
      <c r="GX230" s="117">
        <f>GX228+GX229</f>
        <v>991.83716603333801</v>
      </c>
      <c r="GY230" s="98">
        <f t="shared" si="1305"/>
        <v>5.0000000000000266</v>
      </c>
      <c r="GZ230" s="98"/>
      <c r="HA230" s="98"/>
      <c r="HB230" s="10"/>
      <c r="HC230"/>
      <c r="HD230"/>
      <c r="HE230"/>
      <c r="HF230"/>
      <c r="HG230"/>
      <c r="HH230"/>
      <c r="HI230" s="10"/>
    </row>
    <row r="231" spans="2:217" s="2" customFormat="1" ht="12.75" customHeight="1" x14ac:dyDescent="0.2">
      <c r="B231" s="988" t="s">
        <v>716</v>
      </c>
      <c r="C231" s="276"/>
      <c r="D231" s="156"/>
      <c r="E231" s="276"/>
      <c r="F231" s="156"/>
      <c r="G231" s="276"/>
      <c r="H231" s="156"/>
      <c r="I231" s="276"/>
      <c r="J231" s="156"/>
      <c r="K231" s="276"/>
      <c r="L231" s="156"/>
      <c r="M231" s="276"/>
      <c r="N231" s="156"/>
      <c r="O231" s="276"/>
      <c r="P231" s="156"/>
      <c r="Q231" s="276"/>
      <c r="R231" s="156"/>
      <c r="S231" s="276"/>
      <c r="T231" s="156"/>
      <c r="U231" s="276"/>
      <c r="V231" s="156"/>
      <c r="W231" s="276"/>
      <c r="X231" s="156"/>
      <c r="Y231" s="276"/>
      <c r="Z231" s="156"/>
      <c r="AA231" s="276"/>
      <c r="AB231" s="156"/>
      <c r="AC231" s="276"/>
      <c r="AD231" s="156"/>
      <c r="AE231" s="276"/>
      <c r="AF231" s="156"/>
      <c r="AG231" s="276"/>
      <c r="AH231" s="156"/>
      <c r="AI231" s="276"/>
      <c r="AJ231" s="156"/>
      <c r="AK231" s="276"/>
      <c r="AL231" s="156"/>
      <c r="AM231" s="276"/>
      <c r="AN231" s="156"/>
      <c r="AO231" s="276"/>
      <c r="AP231" s="156"/>
      <c r="AQ231" s="276"/>
      <c r="AR231" s="156"/>
      <c r="AS231" s="276"/>
      <c r="AT231" s="156"/>
      <c r="AU231" s="276"/>
      <c r="AV231" s="156"/>
      <c r="AW231" s="276"/>
      <c r="AX231" s="156"/>
      <c r="AY231" s="166"/>
      <c r="AZ231" s="156"/>
      <c r="BA231" s="166"/>
      <c r="BB231" s="156"/>
      <c r="BC231" s="166"/>
      <c r="BD231" s="156"/>
      <c r="BE231" s="166"/>
      <c r="BF231" s="156"/>
      <c r="BG231" s="166"/>
      <c r="BH231" s="156"/>
      <c r="BI231" s="166"/>
      <c r="BJ231" s="156"/>
      <c r="BK231" s="166"/>
      <c r="BL231" s="156"/>
      <c r="BM231" s="166"/>
      <c r="BN231" s="98"/>
      <c r="BO231" s="137"/>
      <c r="BP231" s="98"/>
      <c r="BQ231" s="137"/>
      <c r="BR231" s="98"/>
      <c r="BS231" s="137"/>
      <c r="BT231" s="98"/>
      <c r="BU231" s="137"/>
      <c r="BV231" s="98"/>
      <c r="BW231" s="137"/>
      <c r="BX231" s="98"/>
      <c r="BY231" s="137"/>
      <c r="BZ231" s="98"/>
      <c r="CA231" s="137"/>
      <c r="CB231" s="98"/>
      <c r="CC231" s="137"/>
      <c r="CD231" s="98"/>
      <c r="CE231" s="137"/>
      <c r="CF231" s="98"/>
      <c r="CG231" s="137"/>
      <c r="CH231" s="98"/>
      <c r="CI231" s="137"/>
      <c r="CJ231" s="98"/>
      <c r="CK231" s="137"/>
      <c r="CL231" s="98"/>
      <c r="CM231" s="137"/>
      <c r="CN231" s="98"/>
      <c r="CO231" s="137"/>
      <c r="CP231" s="98"/>
      <c r="CQ231" s="137"/>
      <c r="CR231" s="98"/>
      <c r="CS231" s="137"/>
      <c r="CT231" s="98"/>
      <c r="CU231" s="137"/>
      <c r="CV231" s="98"/>
      <c r="CW231" s="137"/>
      <c r="CX231" s="98"/>
      <c r="CY231" s="137"/>
      <c r="CZ231" s="98"/>
      <c r="DA231" s="137"/>
      <c r="DB231" s="98"/>
      <c r="DC231" s="137"/>
      <c r="DD231" s="98"/>
      <c r="DE231" s="137"/>
      <c r="DF231" s="98"/>
      <c r="DG231" s="137"/>
      <c r="DH231" s="98"/>
      <c r="DI231" s="137"/>
      <c r="DJ231" s="98"/>
      <c r="DK231" s="137"/>
      <c r="DL231" s="98"/>
      <c r="DM231" s="137"/>
      <c r="DN231" s="98"/>
      <c r="DO231" s="137"/>
      <c r="DP231" s="98"/>
      <c r="DQ231" s="137"/>
      <c r="DR231" s="98"/>
      <c r="DS231" s="117">
        <f>DS258-DS207</f>
        <v>79.34</v>
      </c>
      <c r="DT231" s="98"/>
      <c r="DU231" s="117">
        <f>DU258-DU207</f>
        <v>89.78</v>
      </c>
      <c r="DV231" s="98"/>
      <c r="DW231" s="117">
        <f>DW258-DW207</f>
        <v>94.298000000000002</v>
      </c>
      <c r="DX231" s="98"/>
      <c r="DY231" s="117">
        <f>DY258-DY207</f>
        <v>87.293999999999983</v>
      </c>
      <c r="DZ231" s="98"/>
      <c r="EA231" s="117">
        <f>EA258-EA207</f>
        <v>78.705000000000013</v>
      </c>
      <c r="EB231" s="98"/>
      <c r="EC231" s="117">
        <f>EC258-EC207</f>
        <v>85.219000000000023</v>
      </c>
      <c r="ED231" s="98"/>
      <c r="EE231" s="117">
        <f>EE258-EE207</f>
        <v>92.549000000000007</v>
      </c>
      <c r="EF231" s="860"/>
      <c r="EG231" s="117">
        <f>EG258-EG207</f>
        <v>75.25</v>
      </c>
      <c r="EH231" s="860"/>
      <c r="EI231" s="117">
        <f>EI258-EI207</f>
        <v>73.998000000000019</v>
      </c>
      <c r="EJ231" s="860"/>
      <c r="EK231" s="117">
        <f>EK258-EK207</f>
        <v>84.176999999999992</v>
      </c>
      <c r="EL231" s="860"/>
      <c r="EM231" s="117">
        <f>EM258-EM207</f>
        <v>88.580000000000013</v>
      </c>
      <c r="EN231" s="860"/>
      <c r="EO231" s="117">
        <f>EO258-EO207</f>
        <v>82.841000000000008</v>
      </c>
      <c r="EP231" s="98"/>
      <c r="EQ231" s="117">
        <f>EQ245*EQ225/100</f>
        <v>87.23399999999998</v>
      </c>
      <c r="ER231" s="98"/>
      <c r="ES231" s="117">
        <f t="shared" ref="ES231" si="1309">ES245*ES225/100</f>
        <v>87.670169999999956</v>
      </c>
      <c r="ET231" s="98"/>
      <c r="EU231" s="117">
        <f t="shared" ref="EU231" si="1310">EU245*EU225/100</f>
        <v>88.108520849999962</v>
      </c>
      <c r="EV231" s="98"/>
      <c r="EW231" s="117">
        <f t="shared" ref="EW231" si="1311">EW245*EW225/100</f>
        <v>88.549063454249961</v>
      </c>
      <c r="EX231" s="98"/>
      <c r="EY231" s="137"/>
      <c r="EZ231" s="601"/>
      <c r="FA231" s="411"/>
      <c r="FB231" s="242"/>
      <c r="FC231" s="233"/>
      <c r="FD231" s="137"/>
      <c r="FE231" s="233"/>
      <c r="FF231" s="137"/>
      <c r="FG231" s="233"/>
      <c r="FH231" s="137"/>
      <c r="FI231" s="233"/>
      <c r="FJ231" s="137"/>
      <c r="FK231" s="233"/>
      <c r="FL231" s="137"/>
      <c r="FM231" s="233"/>
      <c r="FN231" s="137"/>
      <c r="FO231" s="233"/>
      <c r="FP231" s="137"/>
      <c r="FQ231" s="233"/>
      <c r="FR231" s="106"/>
      <c r="FS231" s="120"/>
      <c r="FT231" s="106"/>
      <c r="FU231" s="120"/>
      <c r="FV231" s="106"/>
      <c r="FW231" s="98"/>
      <c r="FX231" s="483"/>
      <c r="FY231" s="98"/>
      <c r="FZ231" s="106"/>
      <c r="GA231" s="98"/>
      <c r="GB231" s="483"/>
      <c r="GC231" s="98"/>
      <c r="GD231" s="106"/>
      <c r="GE231" s="98"/>
      <c r="GF231" s="106"/>
      <c r="GG231" s="98"/>
      <c r="GH231" s="106"/>
      <c r="GI231" s="98"/>
      <c r="GJ231" s="119">
        <f>DS231+DU231+DW231+DY231</f>
        <v>350.71199999999999</v>
      </c>
      <c r="GK231" s="98"/>
      <c r="GL231" s="119">
        <f>EA231+EC231+EE231+EG231</f>
        <v>331.72300000000007</v>
      </c>
      <c r="GM231" s="98">
        <f t="shared" si="1303"/>
        <v>-5.4144141061611588</v>
      </c>
      <c r="GN231" s="119">
        <f>EI231+EK231+EM231+EO231</f>
        <v>329.596</v>
      </c>
      <c r="GO231" s="98">
        <f t="shared" si="1303"/>
        <v>-0.64119762572991679</v>
      </c>
      <c r="GP231" s="119">
        <f>EQ231+ES231+EU231+EW231</f>
        <v>351.56175430424986</v>
      </c>
      <c r="GQ231" s="98">
        <f t="shared" si="1303"/>
        <v>6.664448083183605</v>
      </c>
      <c r="GR231" s="117">
        <f>GR245*GR225/100</f>
        <v>372.65545956250486</v>
      </c>
      <c r="GS231" s="98">
        <f t="shared" si="1303"/>
        <v>6.0000000000000053</v>
      </c>
      <c r="GT231" s="117">
        <f>GT245*GT225/100</f>
        <v>395.01478713625517</v>
      </c>
      <c r="GU231" s="98">
        <f t="shared" si="1304"/>
        <v>6.0000000000000053</v>
      </c>
      <c r="GV231" s="117">
        <f>GV245*GV225/100</f>
        <v>414.76552649306797</v>
      </c>
      <c r="GW231" s="98">
        <f t="shared" si="1303"/>
        <v>5.0000000000000044</v>
      </c>
      <c r="GX231" s="117">
        <f>GX245*GX225/100</f>
        <v>435.50380281772135</v>
      </c>
      <c r="GY231" s="98">
        <f t="shared" si="1305"/>
        <v>5.0000000000000044</v>
      </c>
      <c r="GZ231" s="98"/>
      <c r="HA231" s="98"/>
      <c r="HB231" s="10"/>
      <c r="HC231"/>
      <c r="HD231"/>
      <c r="HE231"/>
      <c r="HF231"/>
      <c r="HG231"/>
      <c r="HH231"/>
      <c r="HI231" s="10"/>
    </row>
    <row r="232" spans="2:217" s="2" customFormat="1" ht="12.75" customHeight="1" x14ac:dyDescent="0.2">
      <c r="B232" s="989" t="s">
        <v>731</v>
      </c>
      <c r="C232" s="276"/>
      <c r="D232" s="156"/>
      <c r="E232" s="276"/>
      <c r="F232" s="156"/>
      <c r="G232" s="276"/>
      <c r="H232" s="156"/>
      <c r="I232" s="276"/>
      <c r="J232" s="156"/>
      <c r="K232" s="276"/>
      <c r="L232" s="156"/>
      <c r="M232" s="276"/>
      <c r="N232" s="156"/>
      <c r="O232" s="276"/>
      <c r="P232" s="156"/>
      <c r="Q232" s="276"/>
      <c r="R232" s="156"/>
      <c r="S232" s="276"/>
      <c r="T232" s="156"/>
      <c r="U232" s="276"/>
      <c r="V232" s="156"/>
      <c r="W232" s="276"/>
      <c r="X232" s="156"/>
      <c r="Y232" s="276"/>
      <c r="Z232" s="156"/>
      <c r="AA232" s="276"/>
      <c r="AB232" s="156"/>
      <c r="AC232" s="276"/>
      <c r="AD232" s="156"/>
      <c r="AE232" s="276"/>
      <c r="AF232" s="156"/>
      <c r="AG232" s="276"/>
      <c r="AH232" s="156"/>
      <c r="AI232" s="276"/>
      <c r="AJ232" s="156"/>
      <c r="AK232" s="276"/>
      <c r="AL232" s="156"/>
      <c r="AM232" s="276"/>
      <c r="AN232" s="156"/>
      <c r="AO232" s="276"/>
      <c r="AP232" s="156"/>
      <c r="AQ232" s="276"/>
      <c r="AR232" s="156"/>
      <c r="AS232" s="276"/>
      <c r="AT232" s="156"/>
      <c r="AU232" s="276"/>
      <c r="AV232" s="156"/>
      <c r="AW232" s="276"/>
      <c r="AX232" s="156"/>
      <c r="AY232" s="166"/>
      <c r="AZ232" s="156"/>
      <c r="BA232" s="166"/>
      <c r="BB232" s="156"/>
      <c r="BC232" s="166"/>
      <c r="BD232" s="156"/>
      <c r="BE232" s="166"/>
      <c r="BF232" s="156"/>
      <c r="BG232" s="166"/>
      <c r="BH232" s="156"/>
      <c r="BI232" s="166"/>
      <c r="BJ232" s="156"/>
      <c r="BK232" s="166"/>
      <c r="BL232" s="156"/>
      <c r="BM232" s="166"/>
      <c r="BN232" s="98"/>
      <c r="BO232" s="137"/>
      <c r="BP232" s="98"/>
      <c r="BQ232" s="137"/>
      <c r="BR232" s="98"/>
      <c r="BS232" s="137"/>
      <c r="BT232" s="98"/>
      <c r="BU232" s="137"/>
      <c r="BV232" s="98"/>
      <c r="BW232" s="137"/>
      <c r="BX232" s="98"/>
      <c r="BY232" s="137"/>
      <c r="BZ232" s="98"/>
      <c r="CA232" s="137"/>
      <c r="CB232" s="98"/>
      <c r="CC232" s="137"/>
      <c r="CD232" s="98"/>
      <c r="CE232" s="137"/>
      <c r="CF232" s="98"/>
      <c r="CG232" s="137"/>
      <c r="CH232" s="98"/>
      <c r="CI232" s="137"/>
      <c r="CJ232" s="98"/>
      <c r="CK232" s="137"/>
      <c r="CL232" s="98"/>
      <c r="CM232" s="137"/>
      <c r="CN232" s="98"/>
      <c r="CO232" s="137"/>
      <c r="CP232" s="98"/>
      <c r="CQ232" s="137"/>
      <c r="CR232" s="98"/>
      <c r="CS232" s="137"/>
      <c r="CT232" s="98"/>
      <c r="CU232" s="137"/>
      <c r="CV232" s="98"/>
      <c r="CW232" s="137"/>
      <c r="CX232" s="98"/>
      <c r="CY232" s="137"/>
      <c r="CZ232" s="98"/>
      <c r="DA232" s="137"/>
      <c r="DB232" s="98"/>
      <c r="DC232" s="137"/>
      <c r="DD232" s="98"/>
      <c r="DE232" s="137"/>
      <c r="DF232" s="98"/>
      <c r="DG232" s="137"/>
      <c r="DH232" s="98"/>
      <c r="DI232" s="137"/>
      <c r="DJ232" s="98"/>
      <c r="DK232" s="137"/>
      <c r="DL232" s="98"/>
      <c r="DM232" s="137"/>
      <c r="DN232" s="98"/>
      <c r="DO232" s="137"/>
      <c r="DP232" s="98"/>
      <c r="DQ232" s="137"/>
      <c r="DR232" s="98"/>
      <c r="DS232" s="271">
        <f>DS225-DS230-DS231</f>
        <v>12.327000000000027</v>
      </c>
      <c r="DT232" s="98"/>
      <c r="DU232" s="271">
        <f>DU225-DU230-DU231</f>
        <v>-16.221999999999952</v>
      </c>
      <c r="DV232" s="98"/>
      <c r="DW232" s="271">
        <f>DW225-DW230-DW231</f>
        <v>26.798000000000059</v>
      </c>
      <c r="DX232" s="98"/>
      <c r="DY232" s="271">
        <f>DY225-DY230-DY231</f>
        <v>63.257000000000005</v>
      </c>
      <c r="DZ232" s="98"/>
      <c r="EA232" s="271">
        <f>EA225-EA230-EA231</f>
        <v>-1.1250000000000284</v>
      </c>
      <c r="EB232" s="98"/>
      <c r="EC232" s="271">
        <f>EC225-EC230-EC231</f>
        <v>-35.609000000000009</v>
      </c>
      <c r="ED232" s="98"/>
      <c r="EE232" s="271">
        <f>EE225-EE230-EE231</f>
        <v>29.731999999999999</v>
      </c>
      <c r="EF232" s="860"/>
      <c r="EG232" s="271">
        <f>EG225-EG230-EG231</f>
        <v>80.242000000000019</v>
      </c>
      <c r="EH232" s="860"/>
      <c r="EI232" s="271">
        <f>EI225-EI230-EI231</f>
        <v>-23.385999999999996</v>
      </c>
      <c r="EJ232" s="860"/>
      <c r="EK232" s="271">
        <f>EK225-EK230-EK231</f>
        <v>-41.054999999999922</v>
      </c>
      <c r="EL232" s="860"/>
      <c r="EM232" s="271">
        <f>EM225-EM230-EM231</f>
        <v>12.244999999999976</v>
      </c>
      <c r="EN232" s="860"/>
      <c r="EO232" s="271">
        <f>EO225-EO230-EO231</f>
        <v>89.817999999999984</v>
      </c>
      <c r="EP232" s="98"/>
      <c r="EQ232" s="271">
        <f>EQ225-EQ230-EQ231</f>
        <v>6.8540999999999883</v>
      </c>
      <c r="ER232" s="98"/>
      <c r="ES232" s="271">
        <f t="shared" ref="ES232" si="1312">ES225-ES230-ES231</f>
        <v>6.262155000000007</v>
      </c>
      <c r="ET232" s="98"/>
      <c r="EU232" s="271">
        <f t="shared" ref="EU232" si="1313">EU225-EU230-EU231</f>
        <v>15.733664437499982</v>
      </c>
      <c r="EV232" s="98"/>
      <c r="EW232" s="271">
        <f t="shared" ref="EW232" si="1314">EW225-EW230-EW231</f>
        <v>56.924397934874946</v>
      </c>
      <c r="EX232" s="98"/>
      <c r="EY232" s="137"/>
      <c r="EZ232" s="601"/>
      <c r="FA232" s="411"/>
      <c r="FB232" s="242"/>
      <c r="FC232" s="233"/>
      <c r="FD232" s="137"/>
      <c r="FE232" s="233"/>
      <c r="FF232" s="137"/>
      <c r="FG232" s="233"/>
      <c r="FH232" s="137"/>
      <c r="FI232" s="233"/>
      <c r="FJ232" s="137"/>
      <c r="FK232" s="233"/>
      <c r="FL232" s="137"/>
      <c r="FM232" s="233"/>
      <c r="FN232" s="137"/>
      <c r="FO232" s="233"/>
      <c r="FP232" s="137"/>
      <c r="FQ232" s="233"/>
      <c r="FR232" s="106"/>
      <c r="FS232" s="120"/>
      <c r="FT232" s="106"/>
      <c r="FU232" s="120"/>
      <c r="FV232" s="106"/>
      <c r="FW232" s="98"/>
      <c r="FX232" s="483"/>
      <c r="FY232" s="98"/>
      <c r="FZ232" s="106"/>
      <c r="GA232" s="98"/>
      <c r="GB232" s="483"/>
      <c r="GC232" s="98"/>
      <c r="GD232" s="106"/>
      <c r="GE232" s="98"/>
      <c r="GF232" s="106"/>
      <c r="GG232" s="98"/>
      <c r="GH232" s="106"/>
      <c r="GI232" s="98"/>
      <c r="GJ232" s="271">
        <f>GJ225-GJ230-GJ231</f>
        <v>86.160000000000082</v>
      </c>
      <c r="GK232" s="98"/>
      <c r="GL232" s="271">
        <f>GL225-GL230-GL231</f>
        <v>73.239999999999895</v>
      </c>
      <c r="GM232" s="98">
        <f t="shared" si="1303"/>
        <v>-14.995357474466308</v>
      </c>
      <c r="GN232" s="271">
        <f>GN225-GN230-GN231</f>
        <v>37.622000000000185</v>
      </c>
      <c r="GO232" s="98">
        <f t="shared" si="1303"/>
        <v>-48.631895139267833</v>
      </c>
      <c r="GP232" s="271">
        <f>GP225-GP230-GP231</f>
        <v>85.774317372375037</v>
      </c>
      <c r="GQ232" s="98" t="str">
        <f t="shared" si="1303"/>
        <v>NM</v>
      </c>
      <c r="GR232" s="271">
        <f>GR225-GR230-GR231</f>
        <v>110.88446174842312</v>
      </c>
      <c r="GS232" s="98">
        <f t="shared" si="1303"/>
        <v>29.274665360537398</v>
      </c>
      <c r="GT232" s="271">
        <f>GT225-GT230-GT231</f>
        <v>117.53752945332855</v>
      </c>
      <c r="GU232" s="98">
        <f t="shared" si="1304"/>
        <v>6.0000000000000275</v>
      </c>
      <c r="GV232" s="271">
        <f>GV225-GV230-GV231</f>
        <v>121.9331004742341</v>
      </c>
      <c r="GW232" s="98">
        <f t="shared" si="1303"/>
        <v>3.7397170430155446</v>
      </c>
      <c r="GX232" s="271">
        <f>GX225-GX230-GX231</f>
        <v>128.0297554979457</v>
      </c>
      <c r="GY232" s="98">
        <f t="shared" si="1305"/>
        <v>4.9999999999999156</v>
      </c>
      <c r="GZ232" s="98"/>
      <c r="HA232" s="98"/>
      <c r="HB232" s="10"/>
      <c r="HC232"/>
      <c r="HD232"/>
      <c r="HE232"/>
      <c r="HF232"/>
      <c r="HG232"/>
      <c r="HH232"/>
      <c r="HI232" s="10"/>
    </row>
    <row r="233" spans="2:217" s="2" customFormat="1" ht="12.75" customHeight="1" x14ac:dyDescent="0.2">
      <c r="B233" s="989"/>
      <c r="C233" s="276"/>
      <c r="D233" s="156"/>
      <c r="E233" s="276"/>
      <c r="F233" s="156"/>
      <c r="G233" s="276"/>
      <c r="H233" s="156"/>
      <c r="I233" s="276"/>
      <c r="J233" s="156"/>
      <c r="K233" s="276"/>
      <c r="L233" s="156"/>
      <c r="M233" s="276"/>
      <c r="N233" s="156"/>
      <c r="O233" s="276"/>
      <c r="P233" s="156"/>
      <c r="Q233" s="276"/>
      <c r="R233" s="156"/>
      <c r="S233" s="276"/>
      <c r="T233" s="156"/>
      <c r="U233" s="276"/>
      <c r="V233" s="156"/>
      <c r="W233" s="276"/>
      <c r="X233" s="156"/>
      <c r="Y233" s="276"/>
      <c r="Z233" s="156"/>
      <c r="AA233" s="276"/>
      <c r="AB233" s="156"/>
      <c r="AC233" s="276"/>
      <c r="AD233" s="156"/>
      <c r="AE233" s="276"/>
      <c r="AF233" s="156"/>
      <c r="AG233" s="276"/>
      <c r="AH233" s="156"/>
      <c r="AI233" s="276"/>
      <c r="AJ233" s="156"/>
      <c r="AK233" s="276"/>
      <c r="AL233" s="156"/>
      <c r="AM233" s="276"/>
      <c r="AN233" s="156"/>
      <c r="AO233" s="276"/>
      <c r="AP233" s="156"/>
      <c r="AQ233" s="276"/>
      <c r="AR233" s="156"/>
      <c r="AS233" s="276"/>
      <c r="AT233" s="156"/>
      <c r="AU233" s="276"/>
      <c r="AV233" s="156"/>
      <c r="AW233" s="276"/>
      <c r="AX233" s="156"/>
      <c r="AY233" s="166"/>
      <c r="AZ233" s="156"/>
      <c r="BA233" s="166"/>
      <c r="BB233" s="156"/>
      <c r="BC233" s="166"/>
      <c r="BD233" s="156"/>
      <c r="BE233" s="166"/>
      <c r="BF233" s="156"/>
      <c r="BG233" s="166"/>
      <c r="BH233" s="156"/>
      <c r="BI233" s="166"/>
      <c r="BJ233" s="156"/>
      <c r="BK233" s="166"/>
      <c r="BL233" s="156"/>
      <c r="BM233" s="166"/>
      <c r="BN233" s="98"/>
      <c r="BO233" s="137"/>
      <c r="BP233" s="98"/>
      <c r="BQ233" s="137"/>
      <c r="BR233" s="98"/>
      <c r="BS233" s="137"/>
      <c r="BT233" s="98"/>
      <c r="BU233" s="137"/>
      <c r="BV233" s="98"/>
      <c r="BW233" s="137"/>
      <c r="BX233" s="98"/>
      <c r="BY233" s="137"/>
      <c r="BZ233" s="98"/>
      <c r="CA233" s="137"/>
      <c r="CB233" s="98"/>
      <c r="CC233" s="137"/>
      <c r="CD233" s="98"/>
      <c r="CE233" s="137"/>
      <c r="CF233" s="98"/>
      <c r="CG233" s="137"/>
      <c r="CH233" s="98"/>
      <c r="CI233" s="137"/>
      <c r="CJ233" s="98"/>
      <c r="CK233" s="137"/>
      <c r="CL233" s="98"/>
      <c r="CM233" s="137"/>
      <c r="CN233" s="98"/>
      <c r="CO233" s="137"/>
      <c r="CP233" s="98"/>
      <c r="CQ233" s="137"/>
      <c r="CR233" s="98"/>
      <c r="CS233" s="137"/>
      <c r="CT233" s="98"/>
      <c r="CU233" s="137"/>
      <c r="CV233" s="98"/>
      <c r="CW233" s="137"/>
      <c r="CX233" s="98"/>
      <c r="CY233" s="137"/>
      <c r="CZ233" s="98"/>
      <c r="DA233" s="137"/>
      <c r="DB233" s="98"/>
      <c r="DC233" s="137"/>
      <c r="DD233" s="98"/>
      <c r="DE233" s="137"/>
      <c r="DF233" s="98"/>
      <c r="DG233" s="137"/>
      <c r="DH233" s="98"/>
      <c r="DI233" s="137"/>
      <c r="DJ233" s="98"/>
      <c r="DK233" s="137"/>
      <c r="DL233" s="98"/>
      <c r="DM233" s="137"/>
      <c r="DN233" s="98"/>
      <c r="DO233" s="137"/>
      <c r="DP233" s="98"/>
      <c r="DQ233" s="137"/>
      <c r="DR233" s="98"/>
      <c r="DS233" s="137"/>
      <c r="DT233" s="98"/>
      <c r="DU233" s="137"/>
      <c r="DV233" s="98"/>
      <c r="DW233" s="137"/>
      <c r="DX233" s="98"/>
      <c r="DY233" s="137"/>
      <c r="DZ233" s="98"/>
      <c r="EA233" s="137"/>
      <c r="EB233" s="98"/>
      <c r="EC233" s="137"/>
      <c r="ED233" s="98"/>
      <c r="EE233" s="137"/>
      <c r="EF233" s="860"/>
      <c r="EG233" s="137"/>
      <c r="EH233" s="860"/>
      <c r="EI233" s="137"/>
      <c r="EJ233" s="860"/>
      <c r="EK233" s="137"/>
      <c r="EL233" s="860"/>
      <c r="EM233" s="137"/>
      <c r="EN233" s="860"/>
      <c r="EO233" s="137"/>
      <c r="EP233" s="98"/>
      <c r="EQ233" s="1033"/>
      <c r="ER233" s="98"/>
      <c r="ES233" s="1033"/>
      <c r="ET233" s="98"/>
      <c r="EU233" s="1033"/>
      <c r="EV233" s="98"/>
      <c r="EW233" s="1033"/>
      <c r="EX233" s="98"/>
      <c r="EY233" s="137"/>
      <c r="EZ233" s="601"/>
      <c r="FA233" s="411"/>
      <c r="FB233" s="242"/>
      <c r="FC233" s="233"/>
      <c r="FD233" s="137"/>
      <c r="FE233" s="233"/>
      <c r="FF233" s="137"/>
      <c r="FG233" s="233"/>
      <c r="FH233" s="137"/>
      <c r="FI233" s="233"/>
      <c r="FJ233" s="137"/>
      <c r="FK233" s="233"/>
      <c r="FL233" s="137"/>
      <c r="FM233" s="233"/>
      <c r="FN233" s="137"/>
      <c r="FO233" s="233"/>
      <c r="FP233" s="137"/>
      <c r="FQ233" s="233"/>
      <c r="FR233" s="106"/>
      <c r="FS233" s="120"/>
      <c r="FT233" s="106"/>
      <c r="FU233" s="120"/>
      <c r="FV233" s="106"/>
      <c r="FW233" s="98"/>
      <c r="FX233" s="483"/>
      <c r="FY233" s="98"/>
      <c r="FZ233" s="106"/>
      <c r="GA233" s="98"/>
      <c r="GB233" s="483"/>
      <c r="GC233" s="98"/>
      <c r="GD233" s="106"/>
      <c r="GE233" s="98"/>
      <c r="GF233" s="106"/>
      <c r="GG233" s="98"/>
      <c r="GH233" s="106"/>
      <c r="GI233" s="98"/>
      <c r="GJ233" s="106"/>
      <c r="GK233" s="98"/>
      <c r="GL233" s="106"/>
      <c r="GM233" s="98"/>
      <c r="GN233" s="106"/>
      <c r="GO233" s="98"/>
      <c r="GP233" s="106"/>
      <c r="GQ233" s="98"/>
      <c r="GR233" s="137"/>
      <c r="GS233" s="98"/>
      <c r="GT233" s="137"/>
      <c r="GU233" s="98"/>
      <c r="GV233" s="137"/>
      <c r="GW233" s="98"/>
      <c r="GX233" s="137"/>
      <c r="GY233" s="98"/>
      <c r="GZ233" s="98"/>
      <c r="HA233" s="98"/>
      <c r="HB233" s="10"/>
      <c r="HC233"/>
      <c r="HD233"/>
      <c r="HE233"/>
      <c r="HF233"/>
      <c r="HG233"/>
      <c r="HH233"/>
      <c r="HI233" s="10"/>
    </row>
    <row r="234" spans="2:217" s="2" customFormat="1" ht="12.75" customHeight="1" x14ac:dyDescent="0.2">
      <c r="B234" s="989" t="s">
        <v>717</v>
      </c>
      <c r="C234" s="276"/>
      <c r="D234" s="156"/>
      <c r="E234" s="276"/>
      <c r="F234" s="156"/>
      <c r="G234" s="276"/>
      <c r="H234" s="156"/>
      <c r="I234" s="276"/>
      <c r="J234" s="156"/>
      <c r="K234" s="276"/>
      <c r="L234" s="156"/>
      <c r="M234" s="276"/>
      <c r="N234" s="156"/>
      <c r="O234" s="276"/>
      <c r="P234" s="156"/>
      <c r="Q234" s="276"/>
      <c r="R234" s="156"/>
      <c r="S234" s="276"/>
      <c r="T234" s="156"/>
      <c r="U234" s="276"/>
      <c r="V234" s="156"/>
      <c r="W234" s="276"/>
      <c r="X234" s="156"/>
      <c r="Y234" s="276"/>
      <c r="Z234" s="156"/>
      <c r="AA234" s="276"/>
      <c r="AB234" s="156"/>
      <c r="AC234" s="276"/>
      <c r="AD234" s="156"/>
      <c r="AE234" s="276"/>
      <c r="AF234" s="156"/>
      <c r="AG234" s="276"/>
      <c r="AH234" s="156"/>
      <c r="AI234" s="276"/>
      <c r="AJ234" s="156"/>
      <c r="AK234" s="276"/>
      <c r="AL234" s="156"/>
      <c r="AM234" s="276"/>
      <c r="AN234" s="156"/>
      <c r="AO234" s="276"/>
      <c r="AP234" s="156"/>
      <c r="AQ234" s="276"/>
      <c r="AR234" s="156"/>
      <c r="AS234" s="276"/>
      <c r="AT234" s="156"/>
      <c r="AU234" s="276"/>
      <c r="AV234" s="156"/>
      <c r="AW234" s="276"/>
      <c r="AX234" s="156"/>
      <c r="AY234" s="166"/>
      <c r="AZ234" s="156"/>
      <c r="BA234" s="166"/>
      <c r="BB234" s="156"/>
      <c r="BC234" s="166"/>
      <c r="BD234" s="156"/>
      <c r="BE234" s="166"/>
      <c r="BF234" s="156"/>
      <c r="BG234" s="166"/>
      <c r="BH234" s="156"/>
      <c r="BI234" s="166"/>
      <c r="BJ234" s="156"/>
      <c r="BK234" s="166"/>
      <c r="BL234" s="156"/>
      <c r="BM234" s="166"/>
      <c r="BN234" s="98"/>
      <c r="BO234" s="137"/>
      <c r="BP234" s="98"/>
      <c r="BQ234" s="137"/>
      <c r="BR234" s="98"/>
      <c r="BS234" s="137"/>
      <c r="BT234" s="98"/>
      <c r="BU234" s="137"/>
      <c r="BV234" s="98"/>
      <c r="BW234" s="137"/>
      <c r="BX234" s="98"/>
      <c r="BY234" s="137"/>
      <c r="BZ234" s="98"/>
      <c r="CA234" s="137"/>
      <c r="CB234" s="98"/>
      <c r="CC234" s="137"/>
      <c r="CD234" s="98"/>
      <c r="CE234" s="137"/>
      <c r="CF234" s="98"/>
      <c r="CG234" s="137"/>
      <c r="CH234" s="98"/>
      <c r="CI234" s="137"/>
      <c r="CJ234" s="98"/>
      <c r="CK234" s="137"/>
      <c r="CL234" s="98"/>
      <c r="CM234" s="137"/>
      <c r="CN234" s="98"/>
      <c r="CO234" s="137"/>
      <c r="CP234" s="98"/>
      <c r="CQ234" s="137"/>
      <c r="CR234" s="98"/>
      <c r="CS234" s="137"/>
      <c r="CT234" s="98"/>
      <c r="CU234" s="137"/>
      <c r="CV234" s="98"/>
      <c r="CW234" s="137"/>
      <c r="CX234" s="98"/>
      <c r="CY234" s="137"/>
      <c r="CZ234" s="98"/>
      <c r="DA234" s="137"/>
      <c r="DB234" s="98"/>
      <c r="DC234" s="137"/>
      <c r="DD234" s="98"/>
      <c r="DE234" s="137"/>
      <c r="DF234" s="98"/>
      <c r="DG234" s="137"/>
      <c r="DH234" s="98"/>
      <c r="DI234" s="137"/>
      <c r="DJ234" s="98"/>
      <c r="DK234" s="137"/>
      <c r="DL234" s="98"/>
      <c r="DM234" s="137"/>
      <c r="DN234" s="98"/>
      <c r="DO234" s="137"/>
      <c r="DP234" s="98"/>
      <c r="DQ234" s="137"/>
      <c r="DR234" s="98"/>
      <c r="DS234" s="137"/>
      <c r="DT234" s="98"/>
      <c r="DU234" s="137"/>
      <c r="DV234" s="98"/>
      <c r="DW234" s="137"/>
      <c r="DX234" s="98"/>
      <c r="DY234" s="137"/>
      <c r="DZ234" s="98"/>
      <c r="EA234" s="137"/>
      <c r="EB234" s="98"/>
      <c r="EC234" s="137"/>
      <c r="ED234" s="98"/>
      <c r="EE234" s="137"/>
      <c r="EF234" s="860"/>
      <c r="EG234" s="137"/>
      <c r="EH234" s="860"/>
      <c r="EI234" s="137"/>
      <c r="EJ234" s="860"/>
      <c r="EK234" s="137"/>
      <c r="EL234" s="860"/>
      <c r="EM234" s="137"/>
      <c r="EN234" s="860"/>
      <c r="EO234" s="137"/>
      <c r="EP234" s="98"/>
      <c r="EQ234" s="1033"/>
      <c r="ER234" s="98"/>
      <c r="ES234" s="1033"/>
      <c r="ET234" s="98"/>
      <c r="EU234" s="1033"/>
      <c r="EV234" s="98"/>
      <c r="EW234" s="1033"/>
      <c r="EX234" s="98"/>
      <c r="EY234" s="137"/>
      <c r="EZ234" s="601"/>
      <c r="FA234" s="411"/>
      <c r="FB234" s="242"/>
      <c r="FC234" s="233"/>
      <c r="FD234" s="137"/>
      <c r="FE234" s="233"/>
      <c r="FF234" s="137"/>
      <c r="FG234" s="233"/>
      <c r="FH234" s="137"/>
      <c r="FI234" s="233"/>
      <c r="FJ234" s="137"/>
      <c r="FK234" s="233"/>
      <c r="FL234" s="137"/>
      <c r="FM234" s="233"/>
      <c r="FN234" s="137"/>
      <c r="FO234" s="233"/>
      <c r="FP234" s="137"/>
      <c r="FQ234" s="233"/>
      <c r="FR234" s="106"/>
      <c r="FS234" s="120"/>
      <c r="FT234" s="106"/>
      <c r="FU234" s="120"/>
      <c r="FV234" s="106"/>
      <c r="FW234" s="98"/>
      <c r="FX234" s="483"/>
      <c r="FY234" s="98"/>
      <c r="FZ234" s="106"/>
      <c r="GA234" s="98"/>
      <c r="GB234" s="483"/>
      <c r="GC234" s="98"/>
      <c r="GD234" s="106"/>
      <c r="GE234" s="98"/>
      <c r="GF234" s="106"/>
      <c r="GG234" s="98"/>
      <c r="GH234" s="106"/>
      <c r="GI234" s="98"/>
      <c r="GJ234" s="106"/>
      <c r="GK234" s="98"/>
      <c r="GL234" s="106"/>
      <c r="GM234" s="98"/>
      <c r="GN234" s="106"/>
      <c r="GO234" s="98"/>
      <c r="GP234" s="106"/>
      <c r="GQ234" s="98"/>
      <c r="GR234" s="137"/>
      <c r="GS234" s="98"/>
      <c r="GT234" s="137"/>
      <c r="GU234" s="98"/>
      <c r="GV234" s="137"/>
      <c r="GW234" s="98"/>
      <c r="GX234" s="137"/>
      <c r="GY234" s="98"/>
      <c r="GZ234" s="98"/>
      <c r="HA234" s="98"/>
      <c r="HB234" s="10"/>
      <c r="HC234"/>
      <c r="HD234"/>
      <c r="HE234"/>
      <c r="HF234"/>
      <c r="HG234"/>
      <c r="HH234"/>
      <c r="HI234" s="10"/>
    </row>
    <row r="235" spans="2:217" s="2" customFormat="1" ht="12.75" customHeight="1" x14ac:dyDescent="0.2">
      <c r="B235" s="988" t="s">
        <v>749</v>
      </c>
      <c r="C235" s="276"/>
      <c r="D235" s="156"/>
      <c r="E235" s="276"/>
      <c r="F235" s="156"/>
      <c r="G235" s="276"/>
      <c r="H235" s="156"/>
      <c r="I235" s="276"/>
      <c r="J235" s="156"/>
      <c r="K235" s="276"/>
      <c r="L235" s="156"/>
      <c r="M235" s="276"/>
      <c r="N235" s="156"/>
      <c r="O235" s="276"/>
      <c r="P235" s="156"/>
      <c r="Q235" s="276"/>
      <c r="R235" s="156"/>
      <c r="S235" s="276"/>
      <c r="T235" s="156"/>
      <c r="U235" s="276"/>
      <c r="V235" s="156"/>
      <c r="W235" s="276"/>
      <c r="X235" s="156"/>
      <c r="Y235" s="276"/>
      <c r="Z235" s="156"/>
      <c r="AA235" s="276"/>
      <c r="AB235" s="156"/>
      <c r="AC235" s="276"/>
      <c r="AD235" s="156"/>
      <c r="AE235" s="276"/>
      <c r="AF235" s="156"/>
      <c r="AG235" s="276"/>
      <c r="AH235" s="156"/>
      <c r="AI235" s="276"/>
      <c r="AJ235" s="156"/>
      <c r="AK235" s="276"/>
      <c r="AL235" s="156"/>
      <c r="AM235" s="276"/>
      <c r="AN235" s="156"/>
      <c r="AO235" s="276"/>
      <c r="AP235" s="156"/>
      <c r="AQ235" s="276"/>
      <c r="AR235" s="156"/>
      <c r="AS235" s="276"/>
      <c r="AT235" s="156"/>
      <c r="AU235" s="276"/>
      <c r="AV235" s="156"/>
      <c r="AW235" s="276"/>
      <c r="AX235" s="156"/>
      <c r="AY235" s="166"/>
      <c r="AZ235" s="156"/>
      <c r="BA235" s="166"/>
      <c r="BB235" s="156"/>
      <c r="BC235" s="166"/>
      <c r="BD235" s="156"/>
      <c r="BE235" s="166"/>
      <c r="BF235" s="156"/>
      <c r="BG235" s="166"/>
      <c r="BH235" s="156"/>
      <c r="BI235" s="166"/>
      <c r="BJ235" s="156"/>
      <c r="BK235" s="166"/>
      <c r="BL235" s="156"/>
      <c r="BM235" s="166"/>
      <c r="BN235" s="98"/>
      <c r="BO235" s="137"/>
      <c r="BP235" s="98"/>
      <c r="BQ235" s="137"/>
      <c r="BR235" s="98"/>
      <c r="BS235" s="137"/>
      <c r="BT235" s="98"/>
      <c r="BU235" s="137"/>
      <c r="BV235" s="98"/>
      <c r="BW235" s="137"/>
      <c r="BX235" s="98"/>
      <c r="BY235" s="137"/>
      <c r="BZ235" s="98"/>
      <c r="CA235" s="137"/>
      <c r="CB235" s="98"/>
      <c r="CC235" s="137"/>
      <c r="CD235" s="98"/>
      <c r="CE235" s="137"/>
      <c r="CF235" s="98"/>
      <c r="CG235" s="137"/>
      <c r="CH235" s="98"/>
      <c r="CI235" s="137"/>
      <c r="CJ235" s="98"/>
      <c r="CK235" s="137"/>
      <c r="CL235" s="98"/>
      <c r="CM235" s="137"/>
      <c r="CN235" s="98"/>
      <c r="CO235" s="137"/>
      <c r="CP235" s="98"/>
      <c r="CQ235" s="137"/>
      <c r="CR235" s="98"/>
      <c r="CS235" s="137"/>
      <c r="CT235" s="98"/>
      <c r="CU235" s="137"/>
      <c r="CV235" s="98"/>
      <c r="CW235" s="137"/>
      <c r="CX235" s="98"/>
      <c r="CY235" s="137"/>
      <c r="CZ235" s="98"/>
      <c r="DA235" s="137"/>
      <c r="DB235" s="98"/>
      <c r="DC235" s="137"/>
      <c r="DD235" s="98"/>
      <c r="DE235" s="137"/>
      <c r="DF235" s="98"/>
      <c r="DG235" s="137"/>
      <c r="DH235" s="98"/>
      <c r="DI235" s="137"/>
      <c r="DJ235" s="98"/>
      <c r="DK235" s="137"/>
      <c r="DL235" s="98"/>
      <c r="DM235" s="137"/>
      <c r="DN235" s="98"/>
      <c r="DO235" s="137"/>
      <c r="DP235" s="98"/>
      <c r="DQ235" s="137"/>
      <c r="DR235" s="98"/>
      <c r="DS235" s="1001">
        <f>DS244-DS243</f>
        <v>44.446381578947353</v>
      </c>
      <c r="DT235" s="1002"/>
      <c r="DU235" s="1001">
        <f>DU244-DU243</f>
        <v>41.494822006472475</v>
      </c>
      <c r="DV235" s="1001"/>
      <c r="DW235" s="1001">
        <f>DW244-DW243</f>
        <v>46.711182108626183</v>
      </c>
      <c r="DX235" s="1001"/>
      <c r="DY235" s="1001">
        <f>DY244-DY243</f>
        <v>42.246474358974361</v>
      </c>
      <c r="DZ235" s="1001"/>
      <c r="EA235" s="1001">
        <f>EA244-EA243</f>
        <v>44.374193548387105</v>
      </c>
      <c r="EB235" s="1001"/>
      <c r="EC235" s="1001">
        <f>EC244-EC243</f>
        <v>46.244983818770223</v>
      </c>
      <c r="ED235" s="98"/>
      <c r="EE235" s="1001">
        <f>EE244-EE243</f>
        <v>52.007371794871787</v>
      </c>
      <c r="EF235" s="996"/>
      <c r="EG235" s="1001">
        <f>EG244-EG243</f>
        <v>42.802572347266874</v>
      </c>
      <c r="EH235" s="996"/>
      <c r="EI235" s="1001">
        <f>EI244-EI243</f>
        <v>49.805901639344263</v>
      </c>
      <c r="EJ235" s="996"/>
      <c r="EK235" s="1001">
        <f>EK244-EK243</f>
        <v>50.544660194174739</v>
      </c>
      <c r="EL235" s="860"/>
      <c r="EM235" s="1001">
        <f>EM244-EM243</f>
        <v>51.975806451612911</v>
      </c>
      <c r="EN235" s="860"/>
      <c r="EO235" s="1001">
        <f>EO244-EO243</f>
        <v>36.903548387096777</v>
      </c>
      <c r="EP235" s="98"/>
      <c r="EQ235" s="1001">
        <f>EQ238-EQ237</f>
        <v>44</v>
      </c>
      <c r="ER235" s="98"/>
      <c r="ES235" s="1001">
        <f t="shared" ref="ES235" si="1315">ES238-ES237</f>
        <v>45</v>
      </c>
      <c r="ET235" s="98"/>
      <c r="EU235" s="1001">
        <f t="shared" ref="EU235" si="1316">EU238-EU237</f>
        <v>45</v>
      </c>
      <c r="EV235" s="98"/>
      <c r="EW235" s="1001">
        <f t="shared" ref="EW235" si="1317">EW238-EW237</f>
        <v>45</v>
      </c>
      <c r="EX235" s="98"/>
      <c r="EY235" s="137"/>
      <c r="EZ235" s="601"/>
      <c r="FA235" s="411"/>
      <c r="FB235" s="242"/>
      <c r="FC235" s="233"/>
      <c r="FD235" s="137"/>
      <c r="FE235" s="233"/>
      <c r="FF235" s="137"/>
      <c r="FG235" s="233"/>
      <c r="FH235" s="137"/>
      <c r="FI235" s="233"/>
      <c r="FJ235" s="137"/>
      <c r="FK235" s="233"/>
      <c r="FL235" s="137"/>
      <c r="FM235" s="233"/>
      <c r="FN235" s="137"/>
      <c r="FO235" s="233"/>
      <c r="FP235" s="137"/>
      <c r="FQ235" s="233"/>
      <c r="FR235" s="106"/>
      <c r="FS235" s="120"/>
      <c r="FT235" s="106"/>
      <c r="FU235" s="120"/>
      <c r="FV235" s="106"/>
      <c r="FW235" s="98"/>
      <c r="FX235" s="483"/>
      <c r="FY235" s="98"/>
      <c r="FZ235" s="106"/>
      <c r="GA235" s="98"/>
      <c r="GB235" s="483"/>
      <c r="GC235" s="98"/>
      <c r="GD235" s="106"/>
      <c r="GE235" s="98"/>
      <c r="GF235" s="106"/>
      <c r="GG235" s="98"/>
      <c r="GH235" s="106"/>
      <c r="GI235" s="98"/>
      <c r="GJ235" s="1001">
        <f>GJ244-GJ243</f>
        <v>43.727867528271396</v>
      </c>
      <c r="GK235" s="98"/>
      <c r="GL235" s="1001">
        <f>GL244-GL243</f>
        <v>46.363607085346217</v>
      </c>
      <c r="GM235" s="98">
        <f t="shared" ref="GM235:GW235" si="1318">IF(ISERROR((GL235/GJ235-1)*100),"NA",IF(((GL235/GJ235-1)*100)&gt;100,"NM",IF(((GL235/GJ235-1)*100)&lt;-50,"NM",(GL235/GJ235-1)*100)))</f>
        <v>6.0275968302610172</v>
      </c>
      <c r="GN235" s="1001">
        <f>GN244-GN243</f>
        <v>47.294732576985396</v>
      </c>
      <c r="GO235" s="98">
        <f t="shared" si="1318"/>
        <v>2.0083111521611352</v>
      </c>
      <c r="GP235" s="1001">
        <f>GP244-GP243</f>
        <v>44.75186720702132</v>
      </c>
      <c r="GQ235" s="98">
        <f t="shared" si="1318"/>
        <v>-5.3766354758954416</v>
      </c>
      <c r="GR235" s="1001">
        <f>GR238-GR237</f>
        <v>44.75186720702132</v>
      </c>
      <c r="GS235" s="98">
        <f t="shared" si="1318"/>
        <v>0</v>
      </c>
      <c r="GT235" s="1001">
        <f>GT238-GT237</f>
        <v>44.75186720702132</v>
      </c>
      <c r="GU235" s="98">
        <f t="shared" si="1318"/>
        <v>0</v>
      </c>
      <c r="GV235" s="1001">
        <f>GV238-GV237</f>
        <v>44.851867207021314</v>
      </c>
      <c r="GW235" s="98">
        <f t="shared" si="1318"/>
        <v>0.22345436345123648</v>
      </c>
      <c r="GX235" s="1001">
        <f>GX238-GX237</f>
        <v>44.851867207021314</v>
      </c>
      <c r="GY235" s="98">
        <f t="shared" ref="GY235" si="1319">IF(ISERROR((GX235/GV235-1)*100),"NA",IF(((GX235/GV235-1)*100)&gt;100,"NM",IF(((GX235/GV235-1)*100)&lt;-50,"NM",(GX235/GV235-1)*100)))</f>
        <v>0</v>
      </c>
      <c r="GZ235" s="1001"/>
      <c r="HA235" s="98"/>
      <c r="HB235" s="10"/>
      <c r="HC235"/>
      <c r="HD235"/>
      <c r="HE235"/>
      <c r="HF235"/>
      <c r="HG235"/>
      <c r="HH235"/>
      <c r="HI235" s="10"/>
    </row>
    <row r="236" spans="2:217" s="2" customFormat="1" ht="12.75" hidden="1" customHeight="1" outlineLevel="1" x14ac:dyDescent="0.2">
      <c r="B236" s="992" t="s">
        <v>718</v>
      </c>
      <c r="C236" s="276"/>
      <c r="D236" s="156"/>
      <c r="E236" s="276"/>
      <c r="F236" s="156"/>
      <c r="G236" s="276"/>
      <c r="H236" s="156"/>
      <c r="I236" s="276"/>
      <c r="J236" s="156"/>
      <c r="K236" s="276"/>
      <c r="L236" s="156"/>
      <c r="M236" s="276"/>
      <c r="N236" s="156"/>
      <c r="O236" s="276"/>
      <c r="P236" s="156"/>
      <c r="Q236" s="276"/>
      <c r="R236" s="156"/>
      <c r="S236" s="276"/>
      <c r="T236" s="156"/>
      <c r="U236" s="276"/>
      <c r="V236" s="156"/>
      <c r="W236" s="276"/>
      <c r="X236" s="156"/>
      <c r="Y236" s="276"/>
      <c r="Z236" s="156"/>
      <c r="AA236" s="276"/>
      <c r="AB236" s="156"/>
      <c r="AC236" s="276"/>
      <c r="AD236" s="156"/>
      <c r="AE236" s="276"/>
      <c r="AF236" s="156"/>
      <c r="AG236" s="276"/>
      <c r="AH236" s="156"/>
      <c r="AI236" s="276"/>
      <c r="AJ236" s="156"/>
      <c r="AK236" s="276"/>
      <c r="AL236" s="156"/>
      <c r="AM236" s="276"/>
      <c r="AN236" s="156"/>
      <c r="AO236" s="276"/>
      <c r="AP236" s="156"/>
      <c r="AQ236" s="276"/>
      <c r="AR236" s="156"/>
      <c r="AS236" s="276"/>
      <c r="AT236" s="156"/>
      <c r="AU236" s="276"/>
      <c r="AV236" s="156"/>
      <c r="AW236" s="276"/>
      <c r="AX236" s="156"/>
      <c r="AY236" s="166"/>
      <c r="AZ236" s="156"/>
      <c r="BA236" s="166"/>
      <c r="BB236" s="156"/>
      <c r="BC236" s="166"/>
      <c r="BD236" s="156"/>
      <c r="BE236" s="166"/>
      <c r="BF236" s="156"/>
      <c r="BG236" s="166"/>
      <c r="BH236" s="156"/>
      <c r="BI236" s="166"/>
      <c r="BJ236" s="156"/>
      <c r="BK236" s="166"/>
      <c r="BL236" s="156"/>
      <c r="BM236" s="166"/>
      <c r="BN236" s="98"/>
      <c r="BO236" s="137"/>
      <c r="BP236" s="98"/>
      <c r="BQ236" s="137"/>
      <c r="BR236" s="98"/>
      <c r="BS236" s="137"/>
      <c r="BT236" s="98"/>
      <c r="BU236" s="137"/>
      <c r="BV236" s="98"/>
      <c r="BW236" s="137"/>
      <c r="BX236" s="98"/>
      <c r="BY236" s="137"/>
      <c r="BZ236" s="98"/>
      <c r="CA236" s="137"/>
      <c r="CB236" s="98"/>
      <c r="CC236" s="137"/>
      <c r="CD236" s="98"/>
      <c r="CE236" s="137"/>
      <c r="CF236" s="98"/>
      <c r="CG236" s="137"/>
      <c r="CH236" s="98"/>
      <c r="CI236" s="137"/>
      <c r="CJ236" s="98"/>
      <c r="CK236" s="137"/>
      <c r="CL236" s="98"/>
      <c r="CM236" s="137"/>
      <c r="CN236" s="98"/>
      <c r="CO236" s="137"/>
      <c r="CP236" s="98"/>
      <c r="CQ236" s="137"/>
      <c r="CR236" s="98"/>
      <c r="CS236" s="137"/>
      <c r="CT236" s="98"/>
      <c r="CU236" s="137"/>
      <c r="CV236" s="98"/>
      <c r="CW236" s="137"/>
      <c r="CX236" s="98"/>
      <c r="CY236" s="137"/>
      <c r="CZ236" s="98"/>
      <c r="DA236" s="137"/>
      <c r="DB236" s="98"/>
      <c r="DC236" s="137"/>
      <c r="DD236" s="98"/>
      <c r="DE236" s="137"/>
      <c r="DF236" s="98"/>
      <c r="DG236" s="137"/>
      <c r="DH236" s="98"/>
      <c r="DI236" s="137"/>
      <c r="DJ236" s="98"/>
      <c r="DK236" s="137"/>
      <c r="DL236" s="98"/>
      <c r="DM236" s="137"/>
      <c r="DN236" s="98"/>
      <c r="DO236" s="137"/>
      <c r="DP236" s="98"/>
      <c r="DQ236" s="137"/>
      <c r="DR236" s="98"/>
      <c r="DS236" s="997">
        <f>DS235</f>
        <v>44.446381578947353</v>
      </c>
      <c r="DT236" s="998"/>
      <c r="DU236" s="997">
        <f>DU235</f>
        <v>41.494822006472475</v>
      </c>
      <c r="DV236" s="998"/>
      <c r="DW236" s="997">
        <f>DW235</f>
        <v>46.711182108626183</v>
      </c>
      <c r="DX236" s="998"/>
      <c r="DY236" s="997">
        <f>DY235</f>
        <v>42.246474358974361</v>
      </c>
      <c r="DZ236" s="998"/>
      <c r="EA236" s="997">
        <f>EA235</f>
        <v>44.374193548387105</v>
      </c>
      <c r="EB236" s="998"/>
      <c r="EC236" s="997">
        <f>EC235</f>
        <v>46.244983818770223</v>
      </c>
      <c r="ED236" s="98"/>
      <c r="EE236" s="997">
        <f>EE235</f>
        <v>52.007371794871787</v>
      </c>
      <c r="EF236" s="860"/>
      <c r="EG236" s="997">
        <f>EG235</f>
        <v>42.802572347266874</v>
      </c>
      <c r="EH236" s="860"/>
      <c r="EI236" s="997">
        <f>EI235</f>
        <v>49.805901639344263</v>
      </c>
      <c r="EJ236" s="860"/>
      <c r="EK236" s="997">
        <f>EK235</f>
        <v>50.544660194174739</v>
      </c>
      <c r="EL236" s="860"/>
      <c r="EM236" s="997">
        <f>EM235</f>
        <v>51.975806451612911</v>
      </c>
      <c r="EN236" s="860"/>
      <c r="EO236" s="997">
        <f>EO235</f>
        <v>36.903548387096777</v>
      </c>
      <c r="EP236" s="98"/>
      <c r="EQ236" s="997">
        <f>EQ235</f>
        <v>44</v>
      </c>
      <c r="ER236" s="98"/>
      <c r="ES236" s="997">
        <f t="shared" ref="ES236" si="1320">ES235</f>
        <v>45</v>
      </c>
      <c r="ET236" s="98"/>
      <c r="EU236" s="997">
        <f t="shared" ref="EU236" si="1321">EU235</f>
        <v>45</v>
      </c>
      <c r="EV236" s="98"/>
      <c r="EW236" s="997">
        <f t="shared" ref="EW236" si="1322">EW235</f>
        <v>45</v>
      </c>
      <c r="EX236" s="98"/>
      <c r="EY236" s="137"/>
      <c r="EZ236" s="601"/>
      <c r="FA236" s="411"/>
      <c r="FB236" s="242"/>
      <c r="FC236" s="233"/>
      <c r="FD236" s="137"/>
      <c r="FE236" s="233"/>
      <c r="FF236" s="137"/>
      <c r="FG236" s="233"/>
      <c r="FH236" s="137"/>
      <c r="FI236" s="233"/>
      <c r="FJ236" s="137"/>
      <c r="FK236" s="233"/>
      <c r="FL236" s="137"/>
      <c r="FM236" s="233"/>
      <c r="FN236" s="137"/>
      <c r="FO236" s="233"/>
      <c r="FP236" s="137"/>
      <c r="FQ236" s="233"/>
      <c r="FR236" s="106"/>
      <c r="FS236" s="120"/>
      <c r="FT236" s="106"/>
      <c r="FU236" s="120"/>
      <c r="FV236" s="106"/>
      <c r="FW236" s="98"/>
      <c r="FX236" s="483"/>
      <c r="FY236" s="98"/>
      <c r="FZ236" s="106"/>
      <c r="GA236" s="98"/>
      <c r="GB236" s="483"/>
      <c r="GC236" s="98"/>
      <c r="GD236" s="106"/>
      <c r="GE236" s="98"/>
      <c r="GF236" s="106"/>
      <c r="GG236" s="98"/>
      <c r="GH236" s="106"/>
      <c r="GI236" s="98"/>
      <c r="GJ236" s="997">
        <f>GJ235</f>
        <v>43.727867528271396</v>
      </c>
      <c r="GK236" s="98"/>
      <c r="GL236" s="997">
        <f>GL235</f>
        <v>46.363607085346217</v>
      </c>
      <c r="GM236" s="98"/>
      <c r="GN236" s="997">
        <f>GN235</f>
        <v>47.294732576985396</v>
      </c>
      <c r="GO236" s="98"/>
      <c r="GP236" s="997">
        <f>GP235</f>
        <v>44.75186720702132</v>
      </c>
      <c r="GQ236" s="98"/>
      <c r="GR236" s="997">
        <f>GR235</f>
        <v>44.75186720702132</v>
      </c>
      <c r="GS236" s="98"/>
      <c r="GT236" s="997">
        <f>GT235</f>
        <v>44.75186720702132</v>
      </c>
      <c r="GU236" s="98"/>
      <c r="GV236" s="997">
        <f>GV235</f>
        <v>44.851867207021314</v>
      </c>
      <c r="GW236" s="98"/>
      <c r="GX236" s="997">
        <f>GX235</f>
        <v>44.851867207021314</v>
      </c>
      <c r="GY236" s="98"/>
      <c r="GZ236" s="98"/>
      <c r="HA236" s="98"/>
      <c r="HB236" s="10"/>
      <c r="HC236"/>
      <c r="HD236"/>
      <c r="HE236"/>
      <c r="HF236"/>
      <c r="HG236"/>
      <c r="HH236"/>
      <c r="HI236" s="10"/>
    </row>
    <row r="237" spans="2:217" s="2" customFormat="1" ht="12.75" customHeight="1" collapsed="1" x14ac:dyDescent="0.2">
      <c r="B237" s="988" t="s">
        <v>719</v>
      </c>
      <c r="C237" s="276"/>
      <c r="D237" s="156"/>
      <c r="E237" s="276"/>
      <c r="F237" s="156"/>
      <c r="G237" s="276"/>
      <c r="H237" s="156"/>
      <c r="I237" s="276"/>
      <c r="J237" s="156"/>
      <c r="K237" s="276"/>
      <c r="L237" s="156"/>
      <c r="M237" s="276"/>
      <c r="N237" s="156"/>
      <c r="O237" s="276"/>
      <c r="P237" s="156"/>
      <c r="Q237" s="276"/>
      <c r="R237" s="156"/>
      <c r="S237" s="276"/>
      <c r="T237" s="156"/>
      <c r="U237" s="276"/>
      <c r="V237" s="156"/>
      <c r="W237" s="276"/>
      <c r="X237" s="156"/>
      <c r="Y237" s="276"/>
      <c r="Z237" s="156"/>
      <c r="AA237" s="276"/>
      <c r="AB237" s="156"/>
      <c r="AC237" s="276"/>
      <c r="AD237" s="156"/>
      <c r="AE237" s="276"/>
      <c r="AF237" s="156"/>
      <c r="AG237" s="276"/>
      <c r="AH237" s="156"/>
      <c r="AI237" s="276"/>
      <c r="AJ237" s="156"/>
      <c r="AK237" s="276"/>
      <c r="AL237" s="156"/>
      <c r="AM237" s="276"/>
      <c r="AN237" s="156"/>
      <c r="AO237" s="276"/>
      <c r="AP237" s="156"/>
      <c r="AQ237" s="276"/>
      <c r="AR237" s="156"/>
      <c r="AS237" s="276"/>
      <c r="AT237" s="156"/>
      <c r="AU237" s="276"/>
      <c r="AV237" s="156"/>
      <c r="AW237" s="276"/>
      <c r="AX237" s="156"/>
      <c r="AY237" s="166"/>
      <c r="AZ237" s="156"/>
      <c r="BA237" s="166"/>
      <c r="BB237" s="156"/>
      <c r="BC237" s="166"/>
      <c r="BD237" s="156"/>
      <c r="BE237" s="166"/>
      <c r="BF237" s="156"/>
      <c r="BG237" s="166"/>
      <c r="BH237" s="156"/>
      <c r="BI237" s="166"/>
      <c r="BJ237" s="156"/>
      <c r="BK237" s="166"/>
      <c r="BL237" s="156"/>
      <c r="BM237" s="166"/>
      <c r="BN237" s="98"/>
      <c r="BO237" s="137"/>
      <c r="BP237" s="98"/>
      <c r="BQ237" s="137"/>
      <c r="BR237" s="98"/>
      <c r="BS237" s="137"/>
      <c r="BT237" s="98"/>
      <c r="BU237" s="137"/>
      <c r="BV237" s="98"/>
      <c r="BW237" s="137"/>
      <c r="BX237" s="98"/>
      <c r="BY237" s="137"/>
      <c r="BZ237" s="98"/>
      <c r="CA237" s="137"/>
      <c r="CB237" s="98"/>
      <c r="CC237" s="137"/>
      <c r="CD237" s="98"/>
      <c r="CE237" s="137"/>
      <c r="CF237" s="98"/>
      <c r="CG237" s="137"/>
      <c r="CH237" s="98"/>
      <c r="CI237" s="137"/>
      <c r="CJ237" s="98"/>
      <c r="CK237" s="137"/>
      <c r="CL237" s="98"/>
      <c r="CM237" s="137"/>
      <c r="CN237" s="98"/>
      <c r="CO237" s="137"/>
      <c r="CP237" s="98"/>
      <c r="CQ237" s="137"/>
      <c r="CR237" s="98"/>
      <c r="CS237" s="137"/>
      <c r="CT237" s="98"/>
      <c r="CU237" s="137"/>
      <c r="CV237" s="98"/>
      <c r="CW237" s="137"/>
      <c r="CX237" s="98"/>
      <c r="CY237" s="137"/>
      <c r="CZ237" s="98"/>
      <c r="DA237" s="137"/>
      <c r="DB237" s="98"/>
      <c r="DC237" s="137"/>
      <c r="DD237" s="98"/>
      <c r="DE237" s="137"/>
      <c r="DF237" s="98"/>
      <c r="DG237" s="137"/>
      <c r="DH237" s="98"/>
      <c r="DI237" s="137"/>
      <c r="DJ237" s="98"/>
      <c r="DK237" s="137"/>
      <c r="DL237" s="98"/>
      <c r="DM237" s="137"/>
      <c r="DN237" s="98"/>
      <c r="DO237" s="137"/>
      <c r="DP237" s="98"/>
      <c r="DQ237" s="137"/>
      <c r="DR237" s="98"/>
      <c r="DS237" s="1001">
        <f>DS231/DS225*100</f>
        <v>26.098684210526319</v>
      </c>
      <c r="DT237" s="1002"/>
      <c r="DU237" s="1001">
        <f>DU231/DU225*100</f>
        <v>29.055016181229774</v>
      </c>
      <c r="DV237" s="1001"/>
      <c r="DW237" s="1001">
        <f>DW231/DW225*100</f>
        <v>30.127156549520766</v>
      </c>
      <c r="DX237" s="1001"/>
      <c r="DY237" s="1001">
        <f>DY231/DY225*100</f>
        <v>27.978846153846149</v>
      </c>
      <c r="DZ237" s="1001"/>
      <c r="EA237" s="1001">
        <f>EA231/EA225*100</f>
        <v>25.388709677419357</v>
      </c>
      <c r="EB237" s="1001"/>
      <c r="EC237" s="1001">
        <f>EC231/EC225*100</f>
        <v>27.578964401294503</v>
      </c>
      <c r="ED237" s="98"/>
      <c r="EE237" s="1001">
        <f>EE231/EE225*100</f>
        <v>29.663141025641025</v>
      </c>
      <c r="EF237" s="860"/>
      <c r="EG237" s="1001">
        <f>EG231/EG225*100</f>
        <v>24.19614147909968</v>
      </c>
      <c r="EH237" s="860"/>
      <c r="EI237" s="1001">
        <f>EI231/EI225*100</f>
        <v>24.261639344262299</v>
      </c>
      <c r="EJ237" s="860"/>
      <c r="EK237" s="1001">
        <f>EK231/EK225*100</f>
        <v>27.241747572815534</v>
      </c>
      <c r="EL237" s="860"/>
      <c r="EM237" s="1001">
        <f>EM231/EM225*100</f>
        <v>28.5741935483871</v>
      </c>
      <c r="EN237" s="860"/>
      <c r="EO237" s="1001">
        <f>EO231/EO225*100</f>
        <v>26.722903225806455</v>
      </c>
      <c r="EP237" s="98"/>
      <c r="EQ237" s="996">
        <v>28</v>
      </c>
      <c r="ER237" s="98"/>
      <c r="ES237" s="996">
        <f t="shared" ref="ES237" si="1323">EQ237</f>
        <v>28</v>
      </c>
      <c r="ET237" s="98"/>
      <c r="EU237" s="996">
        <f t="shared" ref="EU237:EU238" si="1324">ES237</f>
        <v>28</v>
      </c>
      <c r="EV237" s="98"/>
      <c r="EW237" s="996">
        <f t="shared" ref="EW237:EW238" si="1325">EU237</f>
        <v>28</v>
      </c>
      <c r="EX237" s="98"/>
      <c r="EY237" s="137"/>
      <c r="EZ237" s="601"/>
      <c r="FA237" s="411"/>
      <c r="FB237" s="242"/>
      <c r="FC237" s="233"/>
      <c r="FD237" s="137"/>
      <c r="FE237" s="233"/>
      <c r="FF237" s="137"/>
      <c r="FG237" s="233"/>
      <c r="FH237" s="137"/>
      <c r="FI237" s="233"/>
      <c r="FJ237" s="137"/>
      <c r="FK237" s="233"/>
      <c r="FL237" s="137"/>
      <c r="FM237" s="233"/>
      <c r="FN237" s="137"/>
      <c r="FO237" s="233"/>
      <c r="FP237" s="137"/>
      <c r="FQ237" s="233"/>
      <c r="FR237" s="106"/>
      <c r="FS237" s="120"/>
      <c r="FT237" s="106"/>
      <c r="FU237" s="120"/>
      <c r="FV237" s="106"/>
      <c r="FW237" s="98"/>
      <c r="FX237" s="483"/>
      <c r="FY237" s="98"/>
      <c r="FZ237" s="106"/>
      <c r="GA237" s="98"/>
      <c r="GB237" s="483"/>
      <c r="GC237" s="98"/>
      <c r="GD237" s="106"/>
      <c r="GE237" s="98"/>
      <c r="GF237" s="106"/>
      <c r="GG237" s="98"/>
      <c r="GH237" s="106"/>
      <c r="GI237" s="98"/>
      <c r="GJ237" s="1001">
        <f>GJ231/GJ225*100</f>
        <v>28.328917609046851</v>
      </c>
      <c r="GK237" s="98"/>
      <c r="GL237" s="1001">
        <f>GL231/GL225*100</f>
        <v>26.708776167471825</v>
      </c>
      <c r="GM237" s="98">
        <f t="shared" ref="GM237:GW246" si="1326">IF(ISERROR((GL237/GJ237-1)*100),"NA",IF(((GL237/GJ237-1)*100)&gt;100,"NM",IF(((GL237/GJ237-1)*100)&lt;-50,"NM",(GL237/GJ237-1)*100)))</f>
        <v>-5.7190375711976831</v>
      </c>
      <c r="GN237" s="1001">
        <f>GN231/GN225*100</f>
        <v>26.709562398703401</v>
      </c>
      <c r="GO237" s="98">
        <f t="shared" si="1326"/>
        <v>2.943718673753537E-3</v>
      </c>
      <c r="GP237" s="1001">
        <f>GP231/GP225*100</f>
        <v>27.999999999999996</v>
      </c>
      <c r="GQ237" s="98">
        <f t="shared" si="1326"/>
        <v>4.8313693127343793</v>
      </c>
      <c r="GR237" s="996">
        <f>GP237</f>
        <v>27.999999999999996</v>
      </c>
      <c r="GS237" s="98">
        <f t="shared" si="1326"/>
        <v>0</v>
      </c>
      <c r="GT237" s="996">
        <f>GR237</f>
        <v>27.999999999999996</v>
      </c>
      <c r="GU237" s="98">
        <f t="shared" si="1326"/>
        <v>0</v>
      </c>
      <c r="GV237" s="996">
        <f>GT237</f>
        <v>27.999999999999996</v>
      </c>
      <c r="GW237" s="98">
        <f t="shared" si="1326"/>
        <v>0</v>
      </c>
      <c r="GX237" s="996">
        <f>GV237</f>
        <v>27.999999999999996</v>
      </c>
      <c r="GY237" s="98">
        <f t="shared" ref="GY237" si="1327">IF(ISERROR((GX237/GV237-1)*100),"NA",IF(((GX237/GV237-1)*100)&gt;100,"NM",IF(((GX237/GV237-1)*100)&lt;-50,"NM",(GX237/GV237-1)*100)))</f>
        <v>0</v>
      </c>
      <c r="GZ237" s="98"/>
      <c r="HA237" s="98"/>
      <c r="HB237" s="10"/>
      <c r="HC237"/>
      <c r="HD237"/>
      <c r="HE237"/>
      <c r="HF237"/>
      <c r="HG237"/>
      <c r="HH237"/>
      <c r="HI237" s="10"/>
    </row>
    <row r="238" spans="2:217" s="2" customFormat="1" ht="12.75" customHeight="1" x14ac:dyDescent="0.2">
      <c r="B238" s="989" t="s">
        <v>748</v>
      </c>
      <c r="C238" s="276"/>
      <c r="D238" s="156"/>
      <c r="E238" s="276"/>
      <c r="F238" s="156"/>
      <c r="G238" s="276"/>
      <c r="H238" s="156"/>
      <c r="I238" s="276"/>
      <c r="J238" s="156"/>
      <c r="K238" s="276"/>
      <c r="L238" s="156"/>
      <c r="M238" s="276"/>
      <c r="N238" s="156"/>
      <c r="O238" s="276"/>
      <c r="P238" s="156"/>
      <c r="Q238" s="276"/>
      <c r="R238" s="156"/>
      <c r="S238" s="276"/>
      <c r="T238" s="156"/>
      <c r="U238" s="276"/>
      <c r="V238" s="156"/>
      <c r="W238" s="276"/>
      <c r="X238" s="156"/>
      <c r="Y238" s="276"/>
      <c r="Z238" s="156"/>
      <c r="AA238" s="276"/>
      <c r="AB238" s="156"/>
      <c r="AC238" s="276"/>
      <c r="AD238" s="156"/>
      <c r="AE238" s="276"/>
      <c r="AF238" s="156"/>
      <c r="AG238" s="276"/>
      <c r="AH238" s="156"/>
      <c r="AI238" s="276"/>
      <c r="AJ238" s="156"/>
      <c r="AK238" s="276"/>
      <c r="AL238" s="156"/>
      <c r="AM238" s="276"/>
      <c r="AN238" s="156"/>
      <c r="AO238" s="276"/>
      <c r="AP238" s="156"/>
      <c r="AQ238" s="276"/>
      <c r="AR238" s="156"/>
      <c r="AS238" s="276"/>
      <c r="AT238" s="156"/>
      <c r="AU238" s="276"/>
      <c r="AV238" s="156"/>
      <c r="AW238" s="276"/>
      <c r="AX238" s="156"/>
      <c r="AY238" s="166"/>
      <c r="AZ238" s="156"/>
      <c r="BA238" s="166"/>
      <c r="BB238" s="156"/>
      <c r="BC238" s="166"/>
      <c r="BD238" s="156"/>
      <c r="BE238" s="166"/>
      <c r="BF238" s="156"/>
      <c r="BG238" s="166"/>
      <c r="BH238" s="156"/>
      <c r="BI238" s="166"/>
      <c r="BJ238" s="156"/>
      <c r="BK238" s="166"/>
      <c r="BL238" s="156"/>
      <c r="BM238" s="166"/>
      <c r="BN238" s="98"/>
      <c r="BO238" s="137"/>
      <c r="BP238" s="98"/>
      <c r="BQ238" s="137"/>
      <c r="BR238" s="98"/>
      <c r="BS238" s="137"/>
      <c r="BT238" s="98"/>
      <c r="BU238" s="137"/>
      <c r="BV238" s="98"/>
      <c r="BW238" s="137"/>
      <c r="BX238" s="98"/>
      <c r="BY238" s="137"/>
      <c r="BZ238" s="98"/>
      <c r="CA238" s="137"/>
      <c r="CB238" s="98"/>
      <c r="CC238" s="137"/>
      <c r="CD238" s="98"/>
      <c r="CE238" s="137"/>
      <c r="CF238" s="98"/>
      <c r="CG238" s="137"/>
      <c r="CH238" s="98"/>
      <c r="CI238" s="137"/>
      <c r="CJ238" s="98"/>
      <c r="CK238" s="137"/>
      <c r="CL238" s="98"/>
      <c r="CM238" s="137"/>
      <c r="CN238" s="98"/>
      <c r="CO238" s="137"/>
      <c r="CP238" s="98"/>
      <c r="CQ238" s="137"/>
      <c r="CR238" s="98"/>
      <c r="CS238" s="137"/>
      <c r="CT238" s="98"/>
      <c r="CU238" s="137"/>
      <c r="CV238" s="98"/>
      <c r="CW238" s="137"/>
      <c r="CX238" s="98"/>
      <c r="CY238" s="137"/>
      <c r="CZ238" s="98"/>
      <c r="DA238" s="137"/>
      <c r="DB238" s="98"/>
      <c r="DC238" s="137"/>
      <c r="DD238" s="98"/>
      <c r="DE238" s="137"/>
      <c r="DF238" s="98"/>
      <c r="DG238" s="137"/>
      <c r="DH238" s="98"/>
      <c r="DI238" s="137"/>
      <c r="DJ238" s="98"/>
      <c r="DK238" s="137"/>
      <c r="DL238" s="98"/>
      <c r="DM238" s="137"/>
      <c r="DN238" s="98"/>
      <c r="DO238" s="137"/>
      <c r="DP238" s="98"/>
      <c r="DQ238" s="137"/>
      <c r="DR238" s="98"/>
      <c r="DS238" s="999">
        <f>DS235+DS237</f>
        <v>70.545065789473668</v>
      </c>
      <c r="DT238" s="98"/>
      <c r="DU238" s="999">
        <f>DU235+DU237</f>
        <v>70.54983818770225</v>
      </c>
      <c r="DV238" s="98"/>
      <c r="DW238" s="999">
        <f>DW235+DW237</f>
        <v>76.838338658146952</v>
      </c>
      <c r="DX238" s="98"/>
      <c r="DY238" s="999">
        <f>DY235+DY237</f>
        <v>70.225320512820502</v>
      </c>
      <c r="DZ238" s="98"/>
      <c r="EA238" s="999">
        <f>EA235+EA237</f>
        <v>69.762903225806468</v>
      </c>
      <c r="EB238" s="98"/>
      <c r="EC238" s="999">
        <f>EC235+EC237</f>
        <v>73.823948220064722</v>
      </c>
      <c r="ED238" s="999"/>
      <c r="EE238" s="999">
        <f>EE235+EE237</f>
        <v>81.670512820512812</v>
      </c>
      <c r="EF238" s="860"/>
      <c r="EG238" s="999">
        <f>EG235+EG237</f>
        <v>66.998713826366554</v>
      </c>
      <c r="EH238" s="860"/>
      <c r="EI238" s="999">
        <f>EI235+EI237</f>
        <v>74.067540983606563</v>
      </c>
      <c r="EJ238" s="860"/>
      <c r="EK238" s="999">
        <f>EK235+EK237</f>
        <v>77.786407766990266</v>
      </c>
      <c r="EL238" s="860"/>
      <c r="EM238" s="999">
        <f>EM235+EM237</f>
        <v>80.550000000000011</v>
      </c>
      <c r="EN238" s="860"/>
      <c r="EO238" s="999">
        <f>EO235+EO237</f>
        <v>63.626451612903232</v>
      </c>
      <c r="EP238" s="98"/>
      <c r="EQ238" s="1116">
        <v>72</v>
      </c>
      <c r="ER238" s="98"/>
      <c r="ES238" s="1116">
        <v>73</v>
      </c>
      <c r="ET238" s="98"/>
      <c r="EU238" s="1116">
        <f t="shared" si="1324"/>
        <v>73</v>
      </c>
      <c r="EV238" s="98"/>
      <c r="EW238" s="1116">
        <f t="shared" si="1325"/>
        <v>73</v>
      </c>
      <c r="EX238" s="98"/>
      <c r="EY238" s="137"/>
      <c r="EZ238" s="601"/>
      <c r="FA238" s="411"/>
      <c r="FB238" s="242"/>
      <c r="FC238" s="233"/>
      <c r="FD238" s="137"/>
      <c r="FE238" s="233"/>
      <c r="FF238" s="137"/>
      <c r="FG238" s="233"/>
      <c r="FH238" s="137"/>
      <c r="FI238" s="233"/>
      <c r="FJ238" s="137"/>
      <c r="FK238" s="233"/>
      <c r="FL238" s="137"/>
      <c r="FM238" s="233"/>
      <c r="FN238" s="137"/>
      <c r="FO238" s="233"/>
      <c r="FP238" s="137"/>
      <c r="FQ238" s="233"/>
      <c r="FR238" s="106"/>
      <c r="FS238" s="120"/>
      <c r="FT238" s="106"/>
      <c r="FU238" s="120"/>
      <c r="FV238" s="106"/>
      <c r="FW238" s="98"/>
      <c r="FX238" s="483"/>
      <c r="FY238" s="98"/>
      <c r="FZ238" s="106"/>
      <c r="GA238" s="98"/>
      <c r="GB238" s="483"/>
      <c r="GC238" s="98"/>
      <c r="GD238" s="106"/>
      <c r="GE238" s="98"/>
      <c r="GF238" s="106"/>
      <c r="GG238" s="98"/>
      <c r="GH238" s="106"/>
      <c r="GI238" s="98"/>
      <c r="GJ238" s="999">
        <f>GJ235+GJ237</f>
        <v>72.056785137318244</v>
      </c>
      <c r="GK238" s="98"/>
      <c r="GL238" s="999">
        <f>GL235+GL237</f>
        <v>73.072383252818042</v>
      </c>
      <c r="GM238" s="98">
        <f>IF(ISERROR((GL238/GJ238-1)*100),"NA",IF(((GL238/GJ238-1)*100)&gt;100,"NM",IF(((GL238/GJ238-1)*100)&lt;-50,"NM",(GL238/GJ238-1)*100)))</f>
        <v>1.4094413365297598</v>
      </c>
      <c r="GN238" s="999">
        <f>GN235+GN237</f>
        <v>74.004294975688794</v>
      </c>
      <c r="GO238" s="98">
        <f>IF(ISERROR((GN238/GL238-1)*100),"NA",IF(((GN238/GL238-1)*100)&gt;100,"NM",IF(((GN238/GL238-1)*100)&lt;-50,"NM",(GN238/GL238-1)*100)))</f>
        <v>1.2753268490593772</v>
      </c>
      <c r="GP238" s="999">
        <f>GP235+GP237</f>
        <v>72.75186720702132</v>
      </c>
      <c r="GQ238" s="98">
        <f>IF(ISERROR((GP238/GN238-1)*100),"NA",IF(((GP238/GN238-1)*100)&gt;100,"NM",IF(((GP238/GN238-1)*100)&lt;-50,"NM",(GP238/GN238-1)*100)))</f>
        <v>-1.6923717320446174</v>
      </c>
      <c r="GR238" s="1116">
        <f>GP238</f>
        <v>72.75186720702132</v>
      </c>
      <c r="GS238" s="98">
        <f>IF(ISERROR((GR238/GP238-1)*100),"NA",IF(((GR238/GP238-1)*100)&gt;100,"NM",IF(((GR238/GP238-1)*100)&lt;-50,"NM",(GR238/GP238-1)*100)))</f>
        <v>0</v>
      </c>
      <c r="GT238" s="1116">
        <f>GR238</f>
        <v>72.75186720702132</v>
      </c>
      <c r="GU238" s="98">
        <f>IF(ISERROR((GT238/GR238-1)*100),"NA",IF(((GT238/GR238-1)*100)&gt;100,"NM",IF(((GT238/GR238-1)*100)&lt;-50,"NM",(GT238/GR238-1)*100)))</f>
        <v>0</v>
      </c>
      <c r="GV238" s="1116">
        <f>GT238+0.1</f>
        <v>72.851867207021314</v>
      </c>
      <c r="GW238" s="98">
        <f>IF(ISERROR((GV238/GT238-1)*100),"NA",IF(((GV238/GT238-1)*100)&gt;100,"NM",IF(((GV238/GT238-1)*100)&lt;-50,"NM",(GV238/GT238-1)*100)))</f>
        <v>0.1374535167811386</v>
      </c>
      <c r="GX238" s="1116">
        <f>GV238</f>
        <v>72.851867207021314</v>
      </c>
      <c r="GY238" s="98">
        <f>IF(ISERROR((GX238/GV238-1)*100),"NA",IF(((GX238/GV238-1)*100)&gt;100,"NM",IF(((GX238/GV238-1)*100)&lt;-50,"NM",(GX238/GV238-1)*100)))</f>
        <v>0</v>
      </c>
      <c r="GZ238" s="98"/>
      <c r="HA238" s="98"/>
      <c r="HB238" s="10"/>
      <c r="HC238"/>
      <c r="HD238"/>
      <c r="HE238"/>
      <c r="HF238"/>
      <c r="HG238"/>
      <c r="HH238"/>
      <c r="HI238" s="10"/>
    </row>
    <row r="239" spans="2:217" s="2" customFormat="1" ht="12.75" customHeight="1" x14ac:dyDescent="0.2">
      <c r="B239" s="989"/>
      <c r="C239" s="276"/>
      <c r="D239" s="156"/>
      <c r="E239" s="276"/>
      <c r="F239" s="156"/>
      <c r="G239" s="276"/>
      <c r="H239" s="156"/>
      <c r="I239" s="276"/>
      <c r="J239" s="156"/>
      <c r="K239" s="276"/>
      <c r="L239" s="156"/>
      <c r="M239" s="276"/>
      <c r="N239" s="156"/>
      <c r="O239" s="276"/>
      <c r="P239" s="156"/>
      <c r="Q239" s="276"/>
      <c r="R239" s="156"/>
      <c r="S239" s="276"/>
      <c r="T239" s="156"/>
      <c r="U239" s="276"/>
      <c r="V239" s="156"/>
      <c r="W239" s="276"/>
      <c r="X239" s="156"/>
      <c r="Y239" s="276"/>
      <c r="Z239" s="156"/>
      <c r="AA239" s="276"/>
      <c r="AB239" s="156"/>
      <c r="AC239" s="276"/>
      <c r="AD239" s="156"/>
      <c r="AE239" s="276"/>
      <c r="AF239" s="156"/>
      <c r="AG239" s="276"/>
      <c r="AH239" s="156"/>
      <c r="AI239" s="276"/>
      <c r="AJ239" s="156"/>
      <c r="AK239" s="276"/>
      <c r="AL239" s="156"/>
      <c r="AM239" s="276"/>
      <c r="AN239" s="156"/>
      <c r="AO239" s="276"/>
      <c r="AP239" s="156"/>
      <c r="AQ239" s="276"/>
      <c r="AR239" s="156"/>
      <c r="AS239" s="276"/>
      <c r="AT239" s="156"/>
      <c r="AU239" s="276"/>
      <c r="AV239" s="156"/>
      <c r="AW239" s="276"/>
      <c r="AX239" s="156"/>
      <c r="AY239" s="166"/>
      <c r="AZ239" s="156"/>
      <c r="BA239" s="166"/>
      <c r="BB239" s="156"/>
      <c r="BC239" s="166"/>
      <c r="BD239" s="156"/>
      <c r="BE239" s="166"/>
      <c r="BF239" s="156"/>
      <c r="BG239" s="166"/>
      <c r="BH239" s="156"/>
      <c r="BI239" s="166"/>
      <c r="BJ239" s="156"/>
      <c r="BK239" s="166"/>
      <c r="BL239" s="156"/>
      <c r="BM239" s="166"/>
      <c r="BN239" s="98"/>
      <c r="BO239" s="137"/>
      <c r="BP239" s="98"/>
      <c r="BQ239" s="137"/>
      <c r="BR239" s="98"/>
      <c r="BS239" s="137"/>
      <c r="BT239" s="98"/>
      <c r="BU239" s="137"/>
      <c r="BV239" s="98"/>
      <c r="BW239" s="137"/>
      <c r="BX239" s="98"/>
      <c r="BY239" s="137"/>
      <c r="BZ239" s="98"/>
      <c r="CA239" s="137"/>
      <c r="CB239" s="98"/>
      <c r="CC239" s="137"/>
      <c r="CD239" s="98"/>
      <c r="CE239" s="137"/>
      <c r="CF239" s="98"/>
      <c r="CG239" s="137"/>
      <c r="CH239" s="98"/>
      <c r="CI239" s="137"/>
      <c r="CJ239" s="98"/>
      <c r="CK239" s="137"/>
      <c r="CL239" s="98"/>
      <c r="CM239" s="137"/>
      <c r="CN239" s="98"/>
      <c r="CO239" s="137"/>
      <c r="CP239" s="98"/>
      <c r="CQ239" s="137"/>
      <c r="CR239" s="98"/>
      <c r="CS239" s="137"/>
      <c r="CT239" s="98"/>
      <c r="CU239" s="137"/>
      <c r="CV239" s="98"/>
      <c r="CW239" s="137"/>
      <c r="CX239" s="98"/>
      <c r="CY239" s="137"/>
      <c r="CZ239" s="98"/>
      <c r="DA239" s="137"/>
      <c r="DB239" s="98"/>
      <c r="DC239" s="137"/>
      <c r="DD239" s="98"/>
      <c r="DE239" s="137"/>
      <c r="DF239" s="98"/>
      <c r="DG239" s="137"/>
      <c r="DH239" s="98"/>
      <c r="DI239" s="137"/>
      <c r="DJ239" s="98"/>
      <c r="DK239" s="137"/>
      <c r="DL239" s="98"/>
      <c r="DM239" s="137"/>
      <c r="DN239" s="98"/>
      <c r="DO239" s="137"/>
      <c r="DP239" s="98"/>
      <c r="DQ239" s="137"/>
      <c r="DR239" s="98"/>
      <c r="DS239" s="999"/>
      <c r="DT239" s="98"/>
      <c r="DU239" s="999"/>
      <c r="DV239" s="98"/>
      <c r="DW239" s="999"/>
      <c r="DX239" s="98"/>
      <c r="DY239" s="999"/>
      <c r="DZ239" s="98"/>
      <c r="EA239" s="999"/>
      <c r="EB239" s="98"/>
      <c r="EC239" s="999"/>
      <c r="ED239" s="999"/>
      <c r="EE239" s="999"/>
      <c r="EF239" s="1039"/>
      <c r="EG239" s="999"/>
      <c r="EH239" s="1039"/>
      <c r="EI239" s="999"/>
      <c r="EJ239" s="1039"/>
      <c r="EK239" s="999"/>
      <c r="EL239" s="1039"/>
      <c r="EM239" s="999"/>
      <c r="EN239" s="1039"/>
      <c r="EO239" s="999"/>
      <c r="EP239" s="98"/>
      <c r="EQ239" s="1116"/>
      <c r="ER239" s="98"/>
      <c r="ES239" s="1116"/>
      <c r="ET239" s="98"/>
      <c r="EU239" s="1116"/>
      <c r="EV239" s="98"/>
      <c r="EW239" s="1116"/>
      <c r="EX239" s="98"/>
      <c r="EY239" s="137"/>
      <c r="EZ239" s="601"/>
      <c r="FA239" s="411"/>
      <c r="FB239" s="242"/>
      <c r="FC239" s="233"/>
      <c r="FD239" s="137"/>
      <c r="FE239" s="233"/>
      <c r="FF239" s="137"/>
      <c r="FG239" s="233"/>
      <c r="FH239" s="137"/>
      <c r="FI239" s="233"/>
      <c r="FJ239" s="137"/>
      <c r="FK239" s="233"/>
      <c r="FL239" s="137"/>
      <c r="FM239" s="233"/>
      <c r="FN239" s="137"/>
      <c r="FO239" s="233"/>
      <c r="FP239" s="137"/>
      <c r="FQ239" s="233"/>
      <c r="FR239" s="106"/>
      <c r="FS239" s="120"/>
      <c r="FT239" s="106"/>
      <c r="FU239" s="120"/>
      <c r="FV239" s="106"/>
      <c r="FW239" s="98"/>
      <c r="FX239" s="483"/>
      <c r="FY239" s="98"/>
      <c r="FZ239" s="106"/>
      <c r="GA239" s="98"/>
      <c r="GB239" s="483"/>
      <c r="GC239" s="98"/>
      <c r="GD239" s="106"/>
      <c r="GE239" s="98"/>
      <c r="GF239" s="106"/>
      <c r="GG239" s="98"/>
      <c r="GH239" s="106"/>
      <c r="GI239" s="98"/>
      <c r="GJ239" s="999"/>
      <c r="GK239" s="98"/>
      <c r="GL239" s="999"/>
      <c r="GM239" s="98"/>
      <c r="GN239" s="999"/>
      <c r="GO239" s="98"/>
      <c r="GP239" s="999"/>
      <c r="GQ239" s="98"/>
      <c r="GR239" s="1116"/>
      <c r="GS239" s="98"/>
      <c r="GT239" s="1116"/>
      <c r="GU239" s="98"/>
      <c r="GV239" s="1116"/>
      <c r="GW239" s="98"/>
      <c r="GX239" s="1116"/>
      <c r="GY239" s="98"/>
      <c r="GZ239" s="98"/>
      <c r="HA239" s="98"/>
      <c r="HB239" s="10"/>
      <c r="HC239"/>
      <c r="HD239"/>
      <c r="HE239"/>
      <c r="HF239"/>
      <c r="HG239"/>
      <c r="HH239"/>
      <c r="HI239" s="10"/>
    </row>
    <row r="240" spans="2:217" s="2" customFormat="1" ht="12.75" customHeight="1" collapsed="1" x14ac:dyDescent="0.2">
      <c r="B240" s="994" t="s">
        <v>721</v>
      </c>
      <c r="C240" s="276"/>
      <c r="D240" s="156"/>
      <c r="E240" s="276"/>
      <c r="F240" s="156"/>
      <c r="G240" s="276"/>
      <c r="H240" s="156"/>
      <c r="I240" s="276"/>
      <c r="J240" s="156"/>
      <c r="K240" s="276"/>
      <c r="L240" s="156"/>
      <c r="M240" s="276"/>
      <c r="N240" s="156"/>
      <c r="O240" s="276"/>
      <c r="P240" s="156"/>
      <c r="Q240" s="276"/>
      <c r="R240" s="156"/>
      <c r="S240" s="276"/>
      <c r="T240" s="156"/>
      <c r="U240" s="276"/>
      <c r="V240" s="156"/>
      <c r="W240" s="276"/>
      <c r="X240" s="156"/>
      <c r="Y240" s="276"/>
      <c r="Z240" s="156"/>
      <c r="AA240" s="276"/>
      <c r="AB240" s="156"/>
      <c r="AC240" s="276"/>
      <c r="AD240" s="156"/>
      <c r="AE240" s="276"/>
      <c r="AF240" s="156"/>
      <c r="AG240" s="276"/>
      <c r="AH240" s="156"/>
      <c r="AI240" s="276"/>
      <c r="AJ240" s="156"/>
      <c r="AK240" s="276"/>
      <c r="AL240" s="156"/>
      <c r="AM240" s="276"/>
      <c r="AN240" s="156"/>
      <c r="AO240" s="276"/>
      <c r="AP240" s="156"/>
      <c r="AQ240" s="276"/>
      <c r="AR240" s="156"/>
      <c r="AS240" s="276"/>
      <c r="AT240" s="156"/>
      <c r="AU240" s="276"/>
      <c r="AV240" s="156"/>
      <c r="AW240" s="276"/>
      <c r="AX240" s="156"/>
      <c r="AY240" s="166"/>
      <c r="AZ240" s="156"/>
      <c r="BA240" s="166"/>
      <c r="BB240" s="156"/>
      <c r="BC240" s="166"/>
      <c r="BD240" s="156"/>
      <c r="BE240" s="166"/>
      <c r="BF240" s="156"/>
      <c r="BG240" s="166"/>
      <c r="BH240" s="156"/>
      <c r="BI240" s="166"/>
      <c r="BJ240" s="156"/>
      <c r="BK240" s="166"/>
      <c r="BL240" s="156"/>
      <c r="BM240" s="166"/>
      <c r="BN240" s="98"/>
      <c r="BO240" s="137"/>
      <c r="BP240" s="98"/>
      <c r="BQ240" s="137"/>
      <c r="BR240" s="98"/>
      <c r="BS240" s="137"/>
      <c r="BT240" s="98"/>
      <c r="BU240" s="137"/>
      <c r="BV240" s="98"/>
      <c r="BW240" s="137"/>
      <c r="BX240" s="98"/>
      <c r="BY240" s="137"/>
      <c r="BZ240" s="98"/>
      <c r="CA240" s="137"/>
      <c r="CB240" s="98"/>
      <c r="CC240" s="137"/>
      <c r="CD240" s="98"/>
      <c r="CE240" s="137"/>
      <c r="CF240" s="98"/>
      <c r="CG240" s="137"/>
      <c r="CH240" s="98"/>
      <c r="CI240" s="137"/>
      <c r="CJ240" s="98"/>
      <c r="CK240" s="137"/>
      <c r="CL240" s="98"/>
      <c r="CM240" s="137"/>
      <c r="CN240" s="98"/>
      <c r="CO240" s="137"/>
      <c r="CP240" s="98"/>
      <c r="CQ240" s="137"/>
      <c r="CR240" s="98"/>
      <c r="CS240" s="137"/>
      <c r="CT240" s="98"/>
      <c r="CU240" s="137"/>
      <c r="CV240" s="98"/>
      <c r="CW240" s="137"/>
      <c r="CX240" s="98"/>
      <c r="CY240" s="137"/>
      <c r="CZ240" s="98"/>
      <c r="DA240" s="137"/>
      <c r="DB240" s="98"/>
      <c r="DC240" s="137"/>
      <c r="DD240" s="98"/>
      <c r="DE240" s="137"/>
      <c r="DF240" s="98"/>
      <c r="DG240" s="137"/>
      <c r="DH240" s="98"/>
      <c r="DI240" s="137"/>
      <c r="DJ240" s="98"/>
      <c r="DK240" s="137"/>
      <c r="DL240" s="98"/>
      <c r="DM240" s="137"/>
      <c r="DN240" s="98"/>
      <c r="DO240" s="137"/>
      <c r="DP240" s="98"/>
      <c r="DQ240" s="137"/>
      <c r="DR240" s="98"/>
      <c r="DS240" s="996">
        <v>-3.9</v>
      </c>
      <c r="DT240" s="995"/>
      <c r="DU240" s="996">
        <v>-4.9000000000000004</v>
      </c>
      <c r="DV240" s="996"/>
      <c r="DW240" s="996">
        <v>0</v>
      </c>
      <c r="DX240" s="996"/>
      <c r="DY240" s="996">
        <v>-4.0999999999999996</v>
      </c>
      <c r="DZ240" s="996"/>
      <c r="EA240" s="996">
        <v>0</v>
      </c>
      <c r="EB240" s="996"/>
      <c r="EC240" s="996">
        <v>-2.2999999999999998</v>
      </c>
      <c r="ED240" s="996"/>
      <c r="EE240" s="996">
        <v>-0.1</v>
      </c>
      <c r="EF240" s="996"/>
      <c r="EG240" s="996">
        <v>0.1</v>
      </c>
      <c r="EH240" s="996"/>
      <c r="EI240" s="996">
        <v>-0.5</v>
      </c>
      <c r="EJ240" s="996"/>
      <c r="EK240" s="996">
        <v>-0.6</v>
      </c>
      <c r="EL240" s="860"/>
      <c r="EM240" s="996">
        <v>-0.2</v>
      </c>
      <c r="EN240" s="860"/>
      <c r="EO240" s="996">
        <v>-0.2</v>
      </c>
      <c r="EP240" s="98"/>
      <c r="EQ240" s="996">
        <v>0</v>
      </c>
      <c r="ER240" s="98"/>
      <c r="ES240" s="996">
        <v>0</v>
      </c>
      <c r="ET240" s="98"/>
      <c r="EU240" s="996">
        <v>0</v>
      </c>
      <c r="EV240" s="98"/>
      <c r="EW240" s="996">
        <v>0</v>
      </c>
      <c r="EX240" s="98"/>
      <c r="EY240" s="137"/>
      <c r="EZ240" s="601"/>
      <c r="FA240" s="411"/>
      <c r="FB240" s="242"/>
      <c r="FC240" s="233"/>
      <c r="FD240" s="137"/>
      <c r="FE240" s="233"/>
      <c r="FF240" s="137"/>
      <c r="FG240" s="233"/>
      <c r="FH240" s="137"/>
      <c r="FI240" s="233"/>
      <c r="FJ240" s="137"/>
      <c r="FK240" s="233"/>
      <c r="FL240" s="137"/>
      <c r="FM240" s="233"/>
      <c r="FN240" s="137"/>
      <c r="FO240" s="233"/>
      <c r="FP240" s="137"/>
      <c r="FQ240" s="233"/>
      <c r="FR240" s="106"/>
      <c r="FS240" s="120"/>
      <c r="FT240" s="106"/>
      <c r="FU240" s="120"/>
      <c r="FV240" s="106"/>
      <c r="FW240" s="98"/>
      <c r="FX240" s="483"/>
      <c r="FY240" s="98"/>
      <c r="FZ240" s="106"/>
      <c r="GA240" s="98"/>
      <c r="GB240" s="483"/>
      <c r="GC240" s="98"/>
      <c r="GD240" s="106"/>
      <c r="GE240" s="98"/>
      <c r="GF240" s="106"/>
      <c r="GG240" s="98"/>
      <c r="GH240" s="106"/>
      <c r="GI240" s="98"/>
      <c r="GJ240" s="1001">
        <f>GJ229/GJ225*100</f>
        <v>-3.2139741518578355</v>
      </c>
      <c r="GK240" s="98"/>
      <c r="GL240" s="1001">
        <f>GL229/GL225*100</f>
        <v>-0.57230273752012883</v>
      </c>
      <c r="GM240" s="98" t="str">
        <f>IF(ISERROR((GL240/GJ240-1)*100),"NA",IF(((GL240/GJ240-1)*100)&gt;100,"NM",IF(((GL240/GJ240-1)*100)&lt;-50,"NM",(GL240/GJ240-1)*100)))</f>
        <v>NM</v>
      </c>
      <c r="GN240" s="1001">
        <f>GN229/GN225*100</f>
        <v>-0.37431118314424633</v>
      </c>
      <c r="GO240" s="98">
        <f>IF(ISERROR((GN240/GL240-1)*100),"NA",IF(((GN240/GL240-1)*100)&gt;100,"NM",IF(((GN240/GL240-1)*100)&lt;-50,"NM",(GN240/GL240-1)*100)))</f>
        <v>-34.595597993084702</v>
      </c>
      <c r="GP240" s="1001">
        <f>GP229/GP225*100</f>
        <v>0</v>
      </c>
      <c r="GQ240" s="98" t="str">
        <f>IF(ISERROR((GP240/GN240-1)*100),"NA",IF(((GP240/GN240-1)*100)&gt;100,"NM",IF(((GP240/GN240-1)*100)&lt;-50,"NM",(GP240/GN240-1)*100)))</f>
        <v>NM</v>
      </c>
      <c r="GR240" s="996">
        <v>0</v>
      </c>
      <c r="GS240" s="98" t="str">
        <f>IF(ISERROR((GR240/GP240-1)*100),"NA",IF(((GR240/GP240-1)*100)&gt;100,"NM",IF(((GR240/GP240-1)*100)&lt;-50,"NM",(GR240/GP240-1)*100)))</f>
        <v>NA</v>
      </c>
      <c r="GT240" s="996">
        <v>0</v>
      </c>
      <c r="GU240" s="98" t="str">
        <f>IF(ISERROR((GT240/GR240-1)*100),"NA",IF(((GT240/GR240-1)*100)&gt;100,"NM",IF(((GT240/GR240-1)*100)&lt;-50,"NM",(GT240/GR240-1)*100)))</f>
        <v>NA</v>
      </c>
      <c r="GV240" s="996">
        <v>0</v>
      </c>
      <c r="GW240" s="98" t="str">
        <f>IF(ISERROR((GV240/GT240-1)*100),"NA",IF(((GV240/GT240-1)*100)&gt;100,"NM",IF(((GV240/GT240-1)*100)&lt;-50,"NM",(GV240/GT240-1)*100)))</f>
        <v>NA</v>
      </c>
      <c r="GX240" s="996">
        <v>0</v>
      </c>
      <c r="GY240" s="98" t="str">
        <f>IF(ISERROR((GX240/GV240-1)*100),"NA",IF(((GX240/GV240-1)*100)&gt;100,"NM",IF(((GX240/GV240-1)*100)&lt;-50,"NM",(GX240/GV240-1)*100)))</f>
        <v>NA</v>
      </c>
      <c r="GZ240" s="98"/>
      <c r="HA240" s="98"/>
      <c r="HB240" s="10"/>
      <c r="HC240"/>
      <c r="HD240"/>
      <c r="HE240"/>
      <c r="HF240"/>
      <c r="HG240"/>
      <c r="HH240"/>
      <c r="HI240" s="10"/>
    </row>
    <row r="241" spans="1:217" s="2" customFormat="1" ht="12.75" customHeight="1" x14ac:dyDescent="0.2">
      <c r="B241" s="988" t="s">
        <v>730</v>
      </c>
      <c r="C241" s="276"/>
      <c r="D241" s="156"/>
      <c r="E241" s="276"/>
      <c r="F241" s="156"/>
      <c r="G241" s="276"/>
      <c r="H241" s="156"/>
      <c r="I241" s="276"/>
      <c r="J241" s="156"/>
      <c r="K241" s="276"/>
      <c r="L241" s="156"/>
      <c r="M241" s="276"/>
      <c r="N241" s="156"/>
      <c r="O241" s="276"/>
      <c r="P241" s="156"/>
      <c r="Q241" s="276"/>
      <c r="R241" s="156"/>
      <c r="S241" s="276"/>
      <c r="T241" s="156"/>
      <c r="U241" s="276"/>
      <c r="V241" s="156"/>
      <c r="W241" s="276"/>
      <c r="X241" s="156"/>
      <c r="Y241" s="276"/>
      <c r="Z241" s="156"/>
      <c r="AA241" s="276"/>
      <c r="AB241" s="156"/>
      <c r="AC241" s="276"/>
      <c r="AD241" s="156"/>
      <c r="AE241" s="276"/>
      <c r="AF241" s="156"/>
      <c r="AG241" s="276"/>
      <c r="AH241" s="156"/>
      <c r="AI241" s="276"/>
      <c r="AJ241" s="156"/>
      <c r="AK241" s="276"/>
      <c r="AL241" s="156"/>
      <c r="AM241" s="276"/>
      <c r="AN241" s="156"/>
      <c r="AO241" s="276"/>
      <c r="AP241" s="156"/>
      <c r="AQ241" s="276"/>
      <c r="AR241" s="156"/>
      <c r="AS241" s="276"/>
      <c r="AT241" s="156"/>
      <c r="AU241" s="276"/>
      <c r="AV241" s="156"/>
      <c r="AW241" s="276"/>
      <c r="AX241" s="156"/>
      <c r="AY241" s="166"/>
      <c r="AZ241" s="156"/>
      <c r="BA241" s="166"/>
      <c r="BB241" s="156"/>
      <c r="BC241" s="166"/>
      <c r="BD241" s="156"/>
      <c r="BE241" s="166"/>
      <c r="BF241" s="156"/>
      <c r="BG241" s="166"/>
      <c r="BH241" s="156"/>
      <c r="BI241" s="166"/>
      <c r="BJ241" s="156"/>
      <c r="BK241" s="166"/>
      <c r="BL241" s="156"/>
      <c r="BM241" s="166"/>
      <c r="BN241" s="98"/>
      <c r="BO241" s="137"/>
      <c r="BP241" s="98"/>
      <c r="BQ241" s="137"/>
      <c r="BR241" s="98"/>
      <c r="BS241" s="137"/>
      <c r="BT241" s="98"/>
      <c r="BU241" s="137"/>
      <c r="BV241" s="98"/>
      <c r="BW241" s="137"/>
      <c r="BX241" s="98"/>
      <c r="BY241" s="137"/>
      <c r="BZ241" s="98"/>
      <c r="CA241" s="137"/>
      <c r="CB241" s="98"/>
      <c r="CC241" s="137"/>
      <c r="CD241" s="98"/>
      <c r="CE241" s="137"/>
      <c r="CF241" s="98"/>
      <c r="CG241" s="137"/>
      <c r="CH241" s="98"/>
      <c r="CI241" s="137"/>
      <c r="CJ241" s="98"/>
      <c r="CK241" s="137"/>
      <c r="CL241" s="98"/>
      <c r="CM241" s="137"/>
      <c r="CN241" s="98"/>
      <c r="CO241" s="137"/>
      <c r="CP241" s="98"/>
      <c r="CQ241" s="137"/>
      <c r="CR241" s="98"/>
      <c r="CS241" s="137"/>
      <c r="CT241" s="98"/>
      <c r="CU241" s="137"/>
      <c r="CV241" s="98"/>
      <c r="CW241" s="137"/>
      <c r="CX241" s="98"/>
      <c r="CY241" s="137"/>
      <c r="CZ241" s="98"/>
      <c r="DA241" s="137"/>
      <c r="DB241" s="98"/>
      <c r="DC241" s="137"/>
      <c r="DD241" s="98"/>
      <c r="DE241" s="137"/>
      <c r="DF241" s="98"/>
      <c r="DG241" s="137"/>
      <c r="DH241" s="98"/>
      <c r="DI241" s="137"/>
      <c r="DJ241" s="98"/>
      <c r="DK241" s="137"/>
      <c r="DL241" s="98"/>
      <c r="DM241" s="137"/>
      <c r="DN241" s="98"/>
      <c r="DO241" s="137"/>
      <c r="DP241" s="98"/>
      <c r="DQ241" s="137"/>
      <c r="DR241" s="98"/>
      <c r="DS241" s="996">
        <v>29.3</v>
      </c>
      <c r="DT241" s="995"/>
      <c r="DU241" s="996">
        <v>39.6</v>
      </c>
      <c r="DV241" s="996"/>
      <c r="DW241" s="996">
        <v>14.6</v>
      </c>
      <c r="DX241" s="996"/>
      <c r="DY241" s="996">
        <v>13.6</v>
      </c>
      <c r="DZ241" s="996"/>
      <c r="EA241" s="996">
        <v>30.6</v>
      </c>
      <c r="EB241" s="996"/>
      <c r="EC241" s="996">
        <v>40</v>
      </c>
      <c r="ED241" s="996"/>
      <c r="EE241" s="996">
        <v>8.9</v>
      </c>
      <c r="EF241" s="996"/>
      <c r="EG241" s="996">
        <v>7.1</v>
      </c>
      <c r="EH241" s="996"/>
      <c r="EI241" s="996">
        <v>34.1</v>
      </c>
      <c r="EJ241" s="996"/>
      <c r="EK241" s="996">
        <v>36.1</v>
      </c>
      <c r="EL241" s="860"/>
      <c r="EM241" s="996">
        <v>15.7</v>
      </c>
      <c r="EN241" s="860"/>
      <c r="EO241" s="996">
        <v>7.6</v>
      </c>
      <c r="EP241" s="98"/>
      <c r="EQ241" s="996">
        <v>25.8</v>
      </c>
      <c r="ER241" s="98"/>
      <c r="ES241" s="996">
        <v>25</v>
      </c>
      <c r="ET241" s="98"/>
      <c r="EU241" s="996">
        <v>22</v>
      </c>
      <c r="EV241" s="98"/>
      <c r="EW241" s="996">
        <v>9</v>
      </c>
      <c r="EX241" s="98"/>
      <c r="EY241" s="137"/>
      <c r="EZ241" s="601"/>
      <c r="FA241" s="411"/>
      <c r="FB241" s="242"/>
      <c r="FC241" s="233"/>
      <c r="FD241" s="137"/>
      <c r="FE241" s="233"/>
      <c r="FF241" s="137"/>
      <c r="FG241" s="233"/>
      <c r="FH241" s="137"/>
      <c r="FI241" s="233"/>
      <c r="FJ241" s="137"/>
      <c r="FK241" s="233"/>
      <c r="FL241" s="137"/>
      <c r="FM241" s="233"/>
      <c r="FN241" s="137"/>
      <c r="FO241" s="233"/>
      <c r="FP241" s="137"/>
      <c r="FQ241" s="233"/>
      <c r="FR241" s="106"/>
      <c r="FS241" s="120"/>
      <c r="FT241" s="106"/>
      <c r="FU241" s="120"/>
      <c r="FV241" s="106"/>
      <c r="FW241" s="98"/>
      <c r="FX241" s="483"/>
      <c r="FY241" s="98"/>
      <c r="FZ241" s="106"/>
      <c r="GA241" s="98"/>
      <c r="GB241" s="483"/>
      <c r="GC241" s="98"/>
      <c r="GD241" s="106"/>
      <c r="GE241" s="98"/>
      <c r="GF241" s="106"/>
      <c r="GG241" s="98"/>
      <c r="GH241" s="106"/>
      <c r="GI241" s="98"/>
      <c r="GJ241" s="1001">
        <f>GJ227/GJ225*100</f>
        <v>24.197576736672051</v>
      </c>
      <c r="GK241" s="1001"/>
      <c r="GL241" s="1001">
        <f>GL227/GL225*100</f>
        <v>21.602979066022542</v>
      </c>
      <c r="GM241" s="98">
        <f>IF(ISERROR((GL241/GJ241-1)*100),"NA",IF(((GL241/GJ241-1)*100)&gt;100,"NM",IF(((GL241/GJ241-1)*100)&lt;-50,"NM",(GL241/GJ241-1)*100)))</f>
        <v>-10.722551678975901</v>
      </c>
      <c r="GN241" s="1001">
        <f>GN227/GN225*100</f>
        <v>23.321231766612641</v>
      </c>
      <c r="GO241" s="98">
        <f>IF(ISERROR((GN241/GL241-1)*100),"NA",IF(((GN241/GL241-1)*100)&gt;100,"NM",IF(((GN241/GL241-1)*100)&lt;-50,"NM",(GN241/GL241-1)*100)))</f>
        <v>7.9537766311711611</v>
      </c>
      <c r="GP241" s="1001">
        <f>GP227/GP225*100</f>
        <v>20.416670448107041</v>
      </c>
      <c r="GQ241" s="98">
        <f>IF(ISERROR((GP241/GN241-1)*100),"NA",IF(((GP241/GN241-1)*100)&gt;100,"NM",IF(((GP241/GN241-1)*100)&lt;-50,"NM",(GP241/GN241-1)*100)))</f>
        <v>-12.454579361729323</v>
      </c>
      <c r="GR241" s="996">
        <f>GP241-1.5</f>
        <v>18.916670448107041</v>
      </c>
      <c r="GS241" s="98">
        <f>IF(ISERROR((GR241/GP241-1)*100),"NA",IF(((GR241/GP241-1)*100)&gt;100,"NM",IF(((GR241/GP241-1)*100)&lt;-50,"NM",(GR241/GP241-1)*100)))</f>
        <v>-7.3469374147589033</v>
      </c>
      <c r="GT241" s="996">
        <f>GR241</f>
        <v>18.916670448107041</v>
      </c>
      <c r="GU241" s="98">
        <f>IF(ISERROR((GT241/GR241-1)*100),"NA",IF(((GT241/GR241-1)*100)&gt;100,"NM",IF(((GT241/GR241-1)*100)&lt;-50,"NM",(GT241/GR241-1)*100)))</f>
        <v>0</v>
      </c>
      <c r="GV241" s="996">
        <f>GT241</f>
        <v>18.916670448107041</v>
      </c>
      <c r="GW241" s="98">
        <f>IF(ISERROR((GV241/GT241-1)*100),"NA",IF(((GV241/GT241-1)*100)&gt;100,"NM",IF(((GV241/GT241-1)*100)&lt;-50,"NM",(GV241/GT241-1)*100)))</f>
        <v>0</v>
      </c>
      <c r="GX241" s="996">
        <f>GV241</f>
        <v>18.916670448107041</v>
      </c>
      <c r="GY241" s="98">
        <f>IF(ISERROR((GX241/GV241-1)*100),"NA",IF(((GX241/GV241-1)*100)&gt;100,"NM",IF(((GX241/GV241-1)*100)&lt;-50,"NM",(GX241/GV241-1)*100)))</f>
        <v>0</v>
      </c>
      <c r="GZ241" s="98"/>
      <c r="HA241" s="98"/>
      <c r="HB241" s="10"/>
      <c r="HC241"/>
      <c r="HD241"/>
      <c r="HE241"/>
      <c r="HF241"/>
      <c r="HG241"/>
      <c r="HH241"/>
      <c r="HI241" s="10"/>
    </row>
    <row r="242" spans="1:217" s="2" customFormat="1" ht="12.75" hidden="1" customHeight="1" outlineLevel="1" x14ac:dyDescent="0.2">
      <c r="B242" s="992" t="s">
        <v>722</v>
      </c>
      <c r="C242" s="276"/>
      <c r="D242" s="156"/>
      <c r="E242" s="276"/>
      <c r="F242" s="156"/>
      <c r="G242" s="276"/>
      <c r="H242" s="156"/>
      <c r="I242" s="276"/>
      <c r="J242" s="156"/>
      <c r="K242" s="276"/>
      <c r="L242" s="156"/>
      <c r="M242" s="276"/>
      <c r="N242" s="156"/>
      <c r="O242" s="276"/>
      <c r="P242" s="156"/>
      <c r="Q242" s="276"/>
      <c r="R242" s="156"/>
      <c r="S242" s="276"/>
      <c r="T242" s="156"/>
      <c r="U242" s="276"/>
      <c r="V242" s="156"/>
      <c r="W242" s="276"/>
      <c r="X242" s="156"/>
      <c r="Y242" s="276"/>
      <c r="Z242" s="156"/>
      <c r="AA242" s="276"/>
      <c r="AB242" s="156"/>
      <c r="AC242" s="276"/>
      <c r="AD242" s="156"/>
      <c r="AE242" s="276"/>
      <c r="AF242" s="156"/>
      <c r="AG242" s="276"/>
      <c r="AH242" s="156"/>
      <c r="AI242" s="276"/>
      <c r="AJ242" s="156"/>
      <c r="AK242" s="276"/>
      <c r="AL242" s="156"/>
      <c r="AM242" s="276"/>
      <c r="AN242" s="156"/>
      <c r="AO242" s="276"/>
      <c r="AP242" s="156"/>
      <c r="AQ242" s="276"/>
      <c r="AR242" s="156"/>
      <c r="AS242" s="276"/>
      <c r="AT242" s="156"/>
      <c r="AU242" s="276"/>
      <c r="AV242" s="156"/>
      <c r="AW242" s="276"/>
      <c r="AX242" s="156"/>
      <c r="AY242" s="166"/>
      <c r="AZ242" s="156"/>
      <c r="BA242" s="166"/>
      <c r="BB242" s="156"/>
      <c r="BC242" s="166"/>
      <c r="BD242" s="156"/>
      <c r="BE242" s="166"/>
      <c r="BF242" s="156"/>
      <c r="BG242" s="166"/>
      <c r="BH242" s="156"/>
      <c r="BI242" s="166"/>
      <c r="BJ242" s="156"/>
      <c r="BK242" s="166"/>
      <c r="BL242" s="156"/>
      <c r="BM242" s="166"/>
      <c r="BN242" s="98"/>
      <c r="BO242" s="137"/>
      <c r="BP242" s="98"/>
      <c r="BQ242" s="137"/>
      <c r="BR242" s="98"/>
      <c r="BS242" s="137"/>
      <c r="BT242" s="98"/>
      <c r="BU242" s="137"/>
      <c r="BV242" s="98"/>
      <c r="BW242" s="137"/>
      <c r="BX242" s="98"/>
      <c r="BY242" s="137"/>
      <c r="BZ242" s="98"/>
      <c r="CA242" s="137"/>
      <c r="CB242" s="98"/>
      <c r="CC242" s="137"/>
      <c r="CD242" s="98"/>
      <c r="CE242" s="137"/>
      <c r="CF242" s="98"/>
      <c r="CG242" s="137"/>
      <c r="CH242" s="98"/>
      <c r="CI242" s="137"/>
      <c r="CJ242" s="98"/>
      <c r="CK242" s="137"/>
      <c r="CL242" s="98"/>
      <c r="CM242" s="137"/>
      <c r="CN242" s="98"/>
      <c r="CO242" s="137"/>
      <c r="CP242" s="98"/>
      <c r="CQ242" s="137"/>
      <c r="CR242" s="98"/>
      <c r="CS242" s="137"/>
      <c r="CT242" s="98"/>
      <c r="CU242" s="137"/>
      <c r="CV242" s="98"/>
      <c r="CW242" s="137"/>
      <c r="CX242" s="98"/>
      <c r="CY242" s="137"/>
      <c r="CZ242" s="98"/>
      <c r="DA242" s="137"/>
      <c r="DB242" s="98"/>
      <c r="DC242" s="137"/>
      <c r="DD242" s="98"/>
      <c r="DE242" s="137"/>
      <c r="DF242" s="98"/>
      <c r="DG242" s="137"/>
      <c r="DH242" s="98"/>
      <c r="DI242" s="137"/>
      <c r="DJ242" s="98"/>
      <c r="DK242" s="137"/>
      <c r="DL242" s="98"/>
      <c r="DM242" s="137"/>
      <c r="DN242" s="98"/>
      <c r="DO242" s="137"/>
      <c r="DP242" s="98"/>
      <c r="DQ242" s="137"/>
      <c r="DR242" s="98"/>
      <c r="DS242" s="997">
        <f>DS241</f>
        <v>29.3</v>
      </c>
      <c r="DT242" s="998"/>
      <c r="DU242" s="997">
        <f>DU241</f>
        <v>39.6</v>
      </c>
      <c r="DV242" s="998"/>
      <c r="DW242" s="997">
        <f>DW241</f>
        <v>14.6</v>
      </c>
      <c r="DX242" s="998"/>
      <c r="DY242" s="997">
        <f>DY241</f>
        <v>13.6</v>
      </c>
      <c r="DZ242" s="998"/>
      <c r="EA242" s="997">
        <f>EA241</f>
        <v>30.6</v>
      </c>
      <c r="EB242" s="998"/>
      <c r="EC242" s="997">
        <f>EC241</f>
        <v>40</v>
      </c>
      <c r="ED242" s="997"/>
      <c r="EE242" s="997">
        <f>EE241</f>
        <v>8.9</v>
      </c>
      <c r="EF242" s="997"/>
      <c r="EG242" s="997">
        <f>EG241</f>
        <v>7.1</v>
      </c>
      <c r="EH242" s="997"/>
      <c r="EI242" s="997">
        <f>EI241</f>
        <v>34.1</v>
      </c>
      <c r="EJ242" s="997"/>
      <c r="EK242" s="997">
        <f>EK241</f>
        <v>36.1</v>
      </c>
      <c r="EL242" s="860"/>
      <c r="EM242" s="997">
        <f>EM241</f>
        <v>15.7</v>
      </c>
      <c r="EN242" s="860"/>
      <c r="EO242" s="997">
        <f>EO241</f>
        <v>7.6</v>
      </c>
      <c r="EP242" s="98"/>
      <c r="EQ242" s="997">
        <f>EQ241</f>
        <v>25.8</v>
      </c>
      <c r="ER242" s="98"/>
      <c r="ES242" s="997">
        <f t="shared" ref="ES242" si="1328">ES241</f>
        <v>25</v>
      </c>
      <c r="ET242" s="98"/>
      <c r="EU242" s="997">
        <f t="shared" ref="EU242" si="1329">EU241</f>
        <v>22</v>
      </c>
      <c r="EV242" s="98"/>
      <c r="EW242" s="997">
        <f t="shared" ref="EW242" si="1330">EW241</f>
        <v>9</v>
      </c>
      <c r="EX242" s="98"/>
      <c r="EY242" s="137"/>
      <c r="EZ242" s="601"/>
      <c r="FA242" s="411"/>
      <c r="FB242" s="242"/>
      <c r="FC242" s="233"/>
      <c r="FD242" s="137"/>
      <c r="FE242" s="233"/>
      <c r="FF242" s="137"/>
      <c r="FG242" s="233"/>
      <c r="FH242" s="137"/>
      <c r="FI242" s="233"/>
      <c r="FJ242" s="137"/>
      <c r="FK242" s="233"/>
      <c r="FL242" s="137"/>
      <c r="FM242" s="233"/>
      <c r="FN242" s="137"/>
      <c r="FO242" s="233"/>
      <c r="FP242" s="137"/>
      <c r="FQ242" s="233"/>
      <c r="FR242" s="106"/>
      <c r="FS242" s="120"/>
      <c r="FT242" s="106"/>
      <c r="FU242" s="120"/>
      <c r="FV242" s="106"/>
      <c r="FW242" s="98"/>
      <c r="FX242" s="483"/>
      <c r="FY242" s="98"/>
      <c r="FZ242" s="106"/>
      <c r="GA242" s="98"/>
      <c r="GB242" s="483"/>
      <c r="GC242" s="98"/>
      <c r="GD242" s="106"/>
      <c r="GE242" s="98"/>
      <c r="GF242" s="106"/>
      <c r="GG242" s="98"/>
      <c r="GH242" s="106"/>
      <c r="GI242" s="98"/>
      <c r="GJ242" s="997">
        <f>GJ241</f>
        <v>24.197576736672051</v>
      </c>
      <c r="GK242" s="98"/>
      <c r="GL242" s="997">
        <f>GL241</f>
        <v>21.602979066022542</v>
      </c>
      <c r="GM242" s="98">
        <f>IF(ISERROR((GL242/GJ242-1)*100),"NA",IF(((GL242/GJ242-1)*100)&gt;100,"NM",IF(((GL242/GJ242-1)*100)&lt;-50,"NM",(GL242/GJ242-1)*100)))</f>
        <v>-10.722551678975901</v>
      </c>
      <c r="GN242" s="997">
        <f>GN241</f>
        <v>23.321231766612641</v>
      </c>
      <c r="GO242" s="98">
        <f>IF(ISERROR((GN242/GL242-1)*100),"NA",IF(((GN242/GL242-1)*100)&gt;100,"NM",IF(((GN242/GL242-1)*100)&lt;-50,"NM",(GN242/GL242-1)*100)))</f>
        <v>7.9537766311711611</v>
      </c>
      <c r="GP242" s="997">
        <f>GP241</f>
        <v>20.416670448107041</v>
      </c>
      <c r="GQ242" s="98">
        <f>IF(ISERROR((GP242/GN242-1)*100),"NA",IF(((GP242/GN242-1)*100)&gt;100,"NM",IF(((GP242/GN242-1)*100)&lt;-50,"NM",(GP242/GN242-1)*100)))</f>
        <v>-12.454579361729323</v>
      </c>
      <c r="GR242" s="997">
        <f>GR241</f>
        <v>18.916670448107041</v>
      </c>
      <c r="GS242" s="98">
        <f>IF(ISERROR((GR242/GP242-1)*100),"NA",IF(((GR242/GP242-1)*100)&gt;100,"NM",IF(((GR242/GP242-1)*100)&lt;-50,"NM",(GR242/GP242-1)*100)))</f>
        <v>-7.3469374147589033</v>
      </c>
      <c r="GT242" s="997">
        <f>GT241</f>
        <v>18.916670448107041</v>
      </c>
      <c r="GU242" s="98">
        <f>IF(ISERROR((GT242/GR242-1)*100),"NA",IF(((GT242/GR242-1)*100)&gt;100,"NM",IF(((GT242/GR242-1)*100)&lt;-50,"NM",(GT242/GR242-1)*100)))</f>
        <v>0</v>
      </c>
      <c r="GV242" s="997">
        <f>GV241</f>
        <v>18.916670448107041</v>
      </c>
      <c r="GW242" s="98">
        <f>IF(ISERROR((GV242/GT242-1)*100),"NA",IF(((GV242/GT242-1)*100)&gt;100,"NM",IF(((GV242/GT242-1)*100)&lt;-50,"NM",(GV242/GT242-1)*100)))</f>
        <v>0</v>
      </c>
      <c r="GX242" s="997">
        <f>GX241</f>
        <v>18.916670448107041</v>
      </c>
      <c r="GY242" s="98">
        <f>IF(ISERROR((GX242/GV242-1)*100),"NA",IF(((GX242/GV242-1)*100)&gt;100,"NM",IF(((GX242/GV242-1)*100)&lt;-50,"NM",(GX242/GV242-1)*100)))</f>
        <v>0</v>
      </c>
      <c r="GZ242" s="98"/>
      <c r="HA242" s="98"/>
      <c r="HB242" s="10"/>
      <c r="HC242"/>
      <c r="HD242"/>
      <c r="HE242"/>
      <c r="HF242"/>
      <c r="HG242"/>
      <c r="HH242"/>
      <c r="HI242" s="10"/>
    </row>
    <row r="243" spans="1:217" s="2" customFormat="1" ht="12.75" customHeight="1" collapsed="1" x14ac:dyDescent="0.2">
      <c r="B243" s="988" t="s">
        <v>723</v>
      </c>
      <c r="C243" s="276"/>
      <c r="D243" s="156"/>
      <c r="E243" s="276"/>
      <c r="F243" s="156"/>
      <c r="G243" s="276"/>
      <c r="H243" s="156"/>
      <c r="I243" s="276"/>
      <c r="J243" s="156"/>
      <c r="K243" s="276"/>
      <c r="L243" s="156"/>
      <c r="M243" s="276"/>
      <c r="N243" s="156"/>
      <c r="O243" s="276"/>
      <c r="P243" s="156"/>
      <c r="Q243" s="276"/>
      <c r="R243" s="156"/>
      <c r="S243" s="276"/>
      <c r="T243" s="156"/>
      <c r="U243" s="276"/>
      <c r="V243" s="156"/>
      <c r="W243" s="276"/>
      <c r="X243" s="156"/>
      <c r="Y243" s="276"/>
      <c r="Z243" s="156"/>
      <c r="AA243" s="276"/>
      <c r="AB243" s="156"/>
      <c r="AC243" s="276"/>
      <c r="AD243" s="156"/>
      <c r="AE243" s="276"/>
      <c r="AF243" s="156"/>
      <c r="AG243" s="276"/>
      <c r="AH243" s="156"/>
      <c r="AI243" s="276"/>
      <c r="AJ243" s="156"/>
      <c r="AK243" s="276"/>
      <c r="AL243" s="156"/>
      <c r="AM243" s="276"/>
      <c r="AN243" s="156"/>
      <c r="AO243" s="276"/>
      <c r="AP243" s="156"/>
      <c r="AQ243" s="276"/>
      <c r="AR243" s="156"/>
      <c r="AS243" s="276"/>
      <c r="AT243" s="156"/>
      <c r="AU243" s="276"/>
      <c r="AV243" s="156"/>
      <c r="AW243" s="276"/>
      <c r="AX243" s="156"/>
      <c r="AY243" s="166"/>
      <c r="AZ243" s="156"/>
      <c r="BA243" s="166"/>
      <c r="BB243" s="156"/>
      <c r="BC243" s="166"/>
      <c r="BD243" s="156"/>
      <c r="BE243" s="166"/>
      <c r="BF243" s="156"/>
      <c r="BG243" s="166"/>
      <c r="BH243" s="156"/>
      <c r="BI243" s="166"/>
      <c r="BJ243" s="156"/>
      <c r="BK243" s="166"/>
      <c r="BL243" s="156"/>
      <c r="BM243" s="166"/>
      <c r="BN243" s="98"/>
      <c r="BO243" s="137"/>
      <c r="BP243" s="98"/>
      <c r="BQ243" s="137"/>
      <c r="BR243" s="98"/>
      <c r="BS243" s="137"/>
      <c r="BT243" s="98"/>
      <c r="BU243" s="137"/>
      <c r="BV243" s="98"/>
      <c r="BW243" s="137"/>
      <c r="BX243" s="98"/>
      <c r="BY243" s="137"/>
      <c r="BZ243" s="98"/>
      <c r="CA243" s="137"/>
      <c r="CB243" s="98"/>
      <c r="CC243" s="137"/>
      <c r="CD243" s="98"/>
      <c r="CE243" s="137"/>
      <c r="CF243" s="98"/>
      <c r="CG243" s="137"/>
      <c r="CH243" s="98"/>
      <c r="CI243" s="137"/>
      <c r="CJ243" s="98"/>
      <c r="CK243" s="137"/>
      <c r="CL243" s="98"/>
      <c r="CM243" s="137"/>
      <c r="CN243" s="98"/>
      <c r="CO243" s="137"/>
      <c r="CP243" s="98"/>
      <c r="CQ243" s="137"/>
      <c r="CR243" s="98"/>
      <c r="CS243" s="137"/>
      <c r="CT243" s="98"/>
      <c r="CU243" s="137"/>
      <c r="CV243" s="98"/>
      <c r="CW243" s="137"/>
      <c r="CX243" s="98"/>
      <c r="CY243" s="137"/>
      <c r="CZ243" s="98"/>
      <c r="DA243" s="137"/>
      <c r="DB243" s="98"/>
      <c r="DC243" s="137"/>
      <c r="DD243" s="98"/>
      <c r="DE243" s="137"/>
      <c r="DF243" s="98"/>
      <c r="DG243" s="137"/>
      <c r="DH243" s="98"/>
      <c r="DI243" s="137"/>
      <c r="DJ243" s="98"/>
      <c r="DK243" s="137"/>
      <c r="DL243" s="98"/>
      <c r="DM243" s="137"/>
      <c r="DN243" s="98"/>
      <c r="DO243" s="137"/>
      <c r="DP243" s="98"/>
      <c r="DQ243" s="137"/>
      <c r="DR243" s="98"/>
      <c r="DS243" s="1001">
        <f>DS241+DS240</f>
        <v>25.400000000000002</v>
      </c>
      <c r="DT243" s="1002"/>
      <c r="DU243" s="1001">
        <f>DU241+DU240</f>
        <v>34.700000000000003</v>
      </c>
      <c r="DV243" s="1001"/>
      <c r="DW243" s="1001">
        <f>DW241+DW240</f>
        <v>14.6</v>
      </c>
      <c r="DX243" s="1001"/>
      <c r="DY243" s="1001">
        <f>DY241+DY240</f>
        <v>9.5</v>
      </c>
      <c r="DZ243" s="1001"/>
      <c r="EA243" s="1001">
        <f>EA241+EA240</f>
        <v>30.6</v>
      </c>
      <c r="EB243" s="1001"/>
      <c r="EC243" s="1001">
        <f>EC241+EC240</f>
        <v>37.700000000000003</v>
      </c>
      <c r="ED243" s="1001"/>
      <c r="EE243" s="1001">
        <f>EE241+EE240</f>
        <v>8.8000000000000007</v>
      </c>
      <c r="EF243" s="1001"/>
      <c r="EG243" s="1001">
        <f>EG241+EG240</f>
        <v>7.1999999999999993</v>
      </c>
      <c r="EH243" s="1001"/>
      <c r="EI243" s="1001">
        <f>EI241+EI240</f>
        <v>33.6</v>
      </c>
      <c r="EJ243" s="1001"/>
      <c r="EK243" s="1001">
        <f>EK241+EK240</f>
        <v>35.5</v>
      </c>
      <c r="EL243" s="860"/>
      <c r="EM243" s="1001">
        <f>EM241+EM240</f>
        <v>15.5</v>
      </c>
      <c r="EN243" s="860"/>
      <c r="EO243" s="1001">
        <f>EO241+EO240</f>
        <v>7.3999999999999995</v>
      </c>
      <c r="EP243" s="98"/>
      <c r="EQ243" s="1001">
        <f>EQ241+EQ240</f>
        <v>25.8</v>
      </c>
      <c r="ER243" s="98"/>
      <c r="ES243" s="1001">
        <f t="shared" ref="ES243" si="1331">ES241+ES240</f>
        <v>25</v>
      </c>
      <c r="ET243" s="98"/>
      <c r="EU243" s="1001">
        <f t="shared" ref="EU243" si="1332">EU241+EU240</f>
        <v>22</v>
      </c>
      <c r="EV243" s="98"/>
      <c r="EW243" s="1001">
        <f t="shared" ref="EW243" si="1333">EW241+EW240</f>
        <v>9</v>
      </c>
      <c r="EX243" s="98"/>
      <c r="EY243" s="137"/>
      <c r="EZ243" s="601"/>
      <c r="FA243" s="411"/>
      <c r="FB243" s="242"/>
      <c r="FC243" s="233"/>
      <c r="FD243" s="137"/>
      <c r="FE243" s="233"/>
      <c r="FF243" s="137"/>
      <c r="FG243" s="233"/>
      <c r="FH243" s="137"/>
      <c r="FI243" s="233"/>
      <c r="FJ243" s="137"/>
      <c r="FK243" s="233"/>
      <c r="FL243" s="137"/>
      <c r="FM243" s="233"/>
      <c r="FN243" s="137"/>
      <c r="FO243" s="233"/>
      <c r="FP243" s="137"/>
      <c r="FQ243" s="233"/>
      <c r="FR243" s="106"/>
      <c r="FS243" s="120"/>
      <c r="FT243" s="106"/>
      <c r="FU243" s="120"/>
      <c r="FV243" s="106"/>
      <c r="FW243" s="98"/>
      <c r="FX243" s="483"/>
      <c r="FY243" s="98"/>
      <c r="FZ243" s="106"/>
      <c r="GA243" s="98"/>
      <c r="GB243" s="483"/>
      <c r="GC243" s="98"/>
      <c r="GD243" s="106"/>
      <c r="GE243" s="98"/>
      <c r="GF243" s="106"/>
      <c r="GG243" s="98"/>
      <c r="GH243" s="106"/>
      <c r="GI243" s="98"/>
      <c r="GJ243" s="1001">
        <f>GJ241+GJ240</f>
        <v>20.983602584814214</v>
      </c>
      <c r="GK243" s="1001"/>
      <c r="GL243" s="1001">
        <f>GL241+GL240</f>
        <v>21.030676328502413</v>
      </c>
      <c r="GM243" s="1001">
        <f>IF(ISERROR((GL243/GJ243-1)*100),"NA",IF(((GL243/GJ243-1)*100)&gt;100,"NM",IF(((GL243/GJ243-1)*100)&lt;-50,"NM",(GL243/GJ243-1)*100)))</f>
        <v>0.22433585223475827</v>
      </c>
      <c r="GN243" s="1001">
        <f>GN241+GN240</f>
        <v>22.946920583468394</v>
      </c>
      <c r="GO243" s="1001">
        <f>IF(ISERROR((GN243/GL243-1)*100),"NA",IF(((GN243/GL243-1)*100)&gt;100,"NM",IF(((GN243/GL243-1)*100)&lt;-50,"NM",(GN243/GL243-1)*100)))</f>
        <v>9.1116625306478571</v>
      </c>
      <c r="GP243" s="1001">
        <f>GP241+GP240</f>
        <v>20.416670448107041</v>
      </c>
      <c r="GQ243" s="1001">
        <f>IF(ISERROR((GP243/GN243-1)*100),"NA",IF(((GP243/GN243-1)*100)&gt;100,"NM",IF(((GP243/GN243-1)*100)&lt;-50,"NM",(GP243/GN243-1)*100)))</f>
        <v>-11.026534589500503</v>
      </c>
      <c r="GR243" s="1001">
        <f>GR241+GR240</f>
        <v>18.916670448107041</v>
      </c>
      <c r="GS243" s="1001">
        <f>IF(ISERROR((GR243/GP243-1)*100),"NA",IF(((GR243/GP243-1)*100)&gt;100,"NM",IF(((GR243/GP243-1)*100)&lt;-50,"NM",(GR243/GP243-1)*100)))</f>
        <v>-7.3469374147589033</v>
      </c>
      <c r="GT243" s="1001">
        <f>GT241+GT240</f>
        <v>18.916670448107041</v>
      </c>
      <c r="GU243" s="1001">
        <f>IF(ISERROR((GT243/GR243-1)*100),"NA",IF(((GT243/GR243-1)*100)&gt;100,"NM",IF(((GT243/GR243-1)*100)&lt;-50,"NM",(GT243/GR243-1)*100)))</f>
        <v>0</v>
      </c>
      <c r="GV243" s="1001">
        <f>GV241+GV240</f>
        <v>18.916670448107041</v>
      </c>
      <c r="GW243" s="98">
        <f>IF(ISERROR((GV243/GT243-1)*100),"NA",IF(((GV243/GT243-1)*100)&gt;100,"NM",IF(((GV243/GT243-1)*100)&lt;-50,"NM",(GV243/GT243-1)*100)))</f>
        <v>0</v>
      </c>
      <c r="GX243" s="1001">
        <f>GX241+GX240</f>
        <v>18.916670448107041</v>
      </c>
      <c r="GY243" s="98">
        <f>IF(ISERROR((GX243/GV243-1)*100),"NA",IF(((GX243/GV243-1)*100)&gt;100,"NM",IF(((GX243/GV243-1)*100)&lt;-50,"NM",(GX243/GV243-1)*100)))</f>
        <v>0</v>
      </c>
      <c r="GZ243" s="98"/>
      <c r="HA243" s="98"/>
      <c r="HB243" s="10"/>
      <c r="HC243"/>
      <c r="HD243"/>
      <c r="HE243"/>
      <c r="HF243"/>
      <c r="HG243"/>
      <c r="HH243"/>
      <c r="HI243" s="10"/>
    </row>
    <row r="244" spans="1:217" s="2" customFormat="1" ht="12.75" customHeight="1" x14ac:dyDescent="0.2">
      <c r="B244" s="988" t="s">
        <v>728</v>
      </c>
      <c r="C244" s="276"/>
      <c r="D244" s="156"/>
      <c r="E244" s="276"/>
      <c r="F244" s="156"/>
      <c r="G244" s="276"/>
      <c r="H244" s="156"/>
      <c r="I244" s="276"/>
      <c r="J244" s="156"/>
      <c r="K244" s="276"/>
      <c r="L244" s="156"/>
      <c r="M244" s="276"/>
      <c r="N244" s="156"/>
      <c r="O244" s="276"/>
      <c r="P244" s="156"/>
      <c r="Q244" s="276"/>
      <c r="R244" s="156"/>
      <c r="S244" s="276"/>
      <c r="T244" s="156"/>
      <c r="U244" s="276"/>
      <c r="V244" s="156"/>
      <c r="W244" s="276"/>
      <c r="X244" s="156"/>
      <c r="Y244" s="276"/>
      <c r="Z244" s="156"/>
      <c r="AA244" s="276"/>
      <c r="AB244" s="156"/>
      <c r="AC244" s="276"/>
      <c r="AD244" s="156"/>
      <c r="AE244" s="276"/>
      <c r="AF244" s="156"/>
      <c r="AG244" s="276"/>
      <c r="AH244" s="156"/>
      <c r="AI244" s="276"/>
      <c r="AJ244" s="156"/>
      <c r="AK244" s="276"/>
      <c r="AL244" s="156"/>
      <c r="AM244" s="276"/>
      <c r="AN244" s="156"/>
      <c r="AO244" s="276"/>
      <c r="AP244" s="156"/>
      <c r="AQ244" s="276"/>
      <c r="AR244" s="156"/>
      <c r="AS244" s="276"/>
      <c r="AT244" s="156"/>
      <c r="AU244" s="276"/>
      <c r="AV244" s="156"/>
      <c r="AW244" s="276"/>
      <c r="AX244" s="156"/>
      <c r="AY244" s="166"/>
      <c r="AZ244" s="156"/>
      <c r="BA244" s="166"/>
      <c r="BB244" s="156"/>
      <c r="BC244" s="166"/>
      <c r="BD244" s="156"/>
      <c r="BE244" s="166"/>
      <c r="BF244" s="156"/>
      <c r="BG244" s="166"/>
      <c r="BH244" s="156"/>
      <c r="BI244" s="166"/>
      <c r="BJ244" s="156"/>
      <c r="BK244" s="166"/>
      <c r="BL244" s="156"/>
      <c r="BM244" s="166"/>
      <c r="BN244" s="98"/>
      <c r="BO244" s="137"/>
      <c r="BP244" s="98"/>
      <c r="BQ244" s="137"/>
      <c r="BR244" s="98"/>
      <c r="BS244" s="137"/>
      <c r="BT244" s="98"/>
      <c r="BU244" s="137"/>
      <c r="BV244" s="98"/>
      <c r="BW244" s="137"/>
      <c r="BX244" s="98"/>
      <c r="BY244" s="137"/>
      <c r="BZ244" s="98"/>
      <c r="CA244" s="137"/>
      <c r="CB244" s="98"/>
      <c r="CC244" s="137"/>
      <c r="CD244" s="98"/>
      <c r="CE244" s="137"/>
      <c r="CF244" s="98"/>
      <c r="CG244" s="137"/>
      <c r="CH244" s="98"/>
      <c r="CI244" s="137"/>
      <c r="CJ244" s="98"/>
      <c r="CK244" s="137"/>
      <c r="CL244" s="98"/>
      <c r="CM244" s="137"/>
      <c r="CN244" s="98"/>
      <c r="CO244" s="137"/>
      <c r="CP244" s="98"/>
      <c r="CQ244" s="137"/>
      <c r="CR244" s="98"/>
      <c r="CS244" s="137"/>
      <c r="CT244" s="98"/>
      <c r="CU244" s="137"/>
      <c r="CV244" s="98"/>
      <c r="CW244" s="137"/>
      <c r="CX244" s="98"/>
      <c r="CY244" s="137"/>
      <c r="CZ244" s="98"/>
      <c r="DA244" s="137"/>
      <c r="DB244" s="98"/>
      <c r="DC244" s="137"/>
      <c r="DD244" s="98"/>
      <c r="DE244" s="137"/>
      <c r="DF244" s="98"/>
      <c r="DG244" s="137"/>
      <c r="DH244" s="98"/>
      <c r="DI244" s="137"/>
      <c r="DJ244" s="98"/>
      <c r="DK244" s="137"/>
      <c r="DL244" s="98"/>
      <c r="DM244" s="137"/>
      <c r="DN244" s="98"/>
      <c r="DO244" s="137"/>
      <c r="DP244" s="98"/>
      <c r="DQ244" s="137"/>
      <c r="DR244" s="98"/>
      <c r="DS244" s="1001">
        <f>DS230/DS225*100</f>
        <v>69.846381578947359</v>
      </c>
      <c r="DT244" s="98"/>
      <c r="DU244" s="1001">
        <f>DU230/DU225*100</f>
        <v>76.194822006472478</v>
      </c>
      <c r="DV244" s="98"/>
      <c r="DW244" s="1001">
        <f>DW230/DW225*100</f>
        <v>61.311182108626184</v>
      </c>
      <c r="DX244" s="98"/>
      <c r="DY244" s="1001">
        <f>DY230/DY225*100</f>
        <v>51.746474358974361</v>
      </c>
      <c r="DZ244" s="98"/>
      <c r="EA244" s="1001">
        <f>EA230/EA225*100</f>
        <v>74.974193548387106</v>
      </c>
      <c r="EB244" s="98"/>
      <c r="EC244" s="1001">
        <f>EC230/EC225*100</f>
        <v>83.944983818770226</v>
      </c>
      <c r="ED244" s="999"/>
      <c r="EE244" s="1001">
        <f>EE230/EE225*100</f>
        <v>60.807371794871791</v>
      </c>
      <c r="EF244" s="1039"/>
      <c r="EG244" s="1001">
        <f>EG230/EG225*100</f>
        <v>50.00257234726687</v>
      </c>
      <c r="EH244" s="1039"/>
      <c r="EI244" s="1001">
        <f>EI230/EI225*100</f>
        <v>83.405901639344265</v>
      </c>
      <c r="EJ244" s="1039"/>
      <c r="EK244" s="1001">
        <f>EK230/EK225*100</f>
        <v>86.044660194174739</v>
      </c>
      <c r="EL244" s="1039"/>
      <c r="EM244" s="1001">
        <f>EM230/EM225*100</f>
        <v>67.475806451612911</v>
      </c>
      <c r="EN244" s="1039"/>
      <c r="EO244" s="1001">
        <f>EO230/EO225*100</f>
        <v>44.303548387096775</v>
      </c>
      <c r="EP244" s="98"/>
      <c r="EQ244" s="1001">
        <f>EQ235+EQ243</f>
        <v>69.8</v>
      </c>
      <c r="ER244" s="98"/>
      <c r="ES244" s="1001">
        <f t="shared" ref="ES244" si="1334">ES235+ES243</f>
        <v>70</v>
      </c>
      <c r="ET244" s="98"/>
      <c r="EU244" s="1001">
        <f t="shared" ref="EU244" si="1335">EU235+EU243</f>
        <v>67</v>
      </c>
      <c r="EV244" s="98"/>
      <c r="EW244" s="1001">
        <f t="shared" ref="EW244" si="1336">EW235+EW243</f>
        <v>54</v>
      </c>
      <c r="EX244" s="98"/>
      <c r="EY244" s="137"/>
      <c r="EZ244" s="601"/>
      <c r="FA244" s="411"/>
      <c r="FB244" s="242"/>
      <c r="FC244" s="233"/>
      <c r="FD244" s="137"/>
      <c r="FE244" s="233"/>
      <c r="FF244" s="137"/>
      <c r="FG244" s="233"/>
      <c r="FH244" s="137"/>
      <c r="FI244" s="233"/>
      <c r="FJ244" s="137"/>
      <c r="FK244" s="233"/>
      <c r="FL244" s="137"/>
      <c r="FM244" s="233"/>
      <c r="FN244" s="137"/>
      <c r="FO244" s="233"/>
      <c r="FP244" s="137"/>
      <c r="FQ244" s="233"/>
      <c r="FR244" s="106"/>
      <c r="FS244" s="120"/>
      <c r="FT244" s="106"/>
      <c r="FU244" s="120"/>
      <c r="FV244" s="106"/>
      <c r="FW244" s="98"/>
      <c r="FX244" s="483"/>
      <c r="FY244" s="98"/>
      <c r="FZ244" s="106"/>
      <c r="GA244" s="98"/>
      <c r="GB244" s="483"/>
      <c r="GC244" s="98"/>
      <c r="GD244" s="106"/>
      <c r="GE244" s="98"/>
      <c r="GF244" s="106"/>
      <c r="GG244" s="98"/>
      <c r="GH244" s="106"/>
      <c r="GI244" s="98"/>
      <c r="GJ244" s="1001">
        <f>GJ230/GJ225*100</f>
        <v>64.71147011308561</v>
      </c>
      <c r="GK244" s="98"/>
      <c r="GL244" s="1001">
        <f>GL230/GL225*100</f>
        <v>67.394283413848626</v>
      </c>
      <c r="GM244" s="98"/>
      <c r="GN244" s="1001">
        <f>GN230/GN225*100</f>
        <v>70.241653160453794</v>
      </c>
      <c r="GO244" s="98"/>
      <c r="GP244" s="1001">
        <f>GP230/GP225*100</f>
        <v>65.168537655128361</v>
      </c>
      <c r="GQ244" s="98"/>
      <c r="GR244" s="1001">
        <f>GR235+GR243</f>
        <v>63.668537655128361</v>
      </c>
      <c r="GS244" s="98"/>
      <c r="GT244" s="1001">
        <f>GT235+GT243</f>
        <v>63.668537655128361</v>
      </c>
      <c r="GU244" s="98"/>
      <c r="GV244" s="1001">
        <f>GV235+GV243</f>
        <v>63.768537655128355</v>
      </c>
      <c r="GW244" s="98"/>
      <c r="GX244" s="1001">
        <f>GX235+GX243</f>
        <v>63.768537655128355</v>
      </c>
      <c r="GY244" s="98"/>
      <c r="GZ244" s="98"/>
      <c r="HA244" s="98"/>
      <c r="HB244" s="10"/>
      <c r="HC244"/>
      <c r="HD244"/>
      <c r="HE244"/>
      <c r="HF244"/>
      <c r="HG244"/>
      <c r="HH244"/>
      <c r="HI244" s="10"/>
    </row>
    <row r="245" spans="1:217" s="2" customFormat="1" ht="12.75" customHeight="1" x14ac:dyDescent="0.2">
      <c r="B245" s="988" t="s">
        <v>719</v>
      </c>
      <c r="C245" s="276"/>
      <c r="D245" s="156"/>
      <c r="E245" s="276"/>
      <c r="F245" s="156"/>
      <c r="G245" s="276"/>
      <c r="H245" s="156"/>
      <c r="I245" s="276"/>
      <c r="J245" s="156"/>
      <c r="K245" s="276"/>
      <c r="L245" s="156"/>
      <c r="M245" s="276"/>
      <c r="N245" s="156"/>
      <c r="O245" s="276"/>
      <c r="P245" s="156"/>
      <c r="Q245" s="276"/>
      <c r="R245" s="156"/>
      <c r="S245" s="276"/>
      <c r="T245" s="156"/>
      <c r="U245" s="276"/>
      <c r="V245" s="156"/>
      <c r="W245" s="276"/>
      <c r="X245" s="156"/>
      <c r="Y245" s="276"/>
      <c r="Z245" s="156"/>
      <c r="AA245" s="276"/>
      <c r="AB245" s="156"/>
      <c r="AC245" s="276"/>
      <c r="AD245" s="156"/>
      <c r="AE245" s="276"/>
      <c r="AF245" s="156"/>
      <c r="AG245" s="276"/>
      <c r="AH245" s="156"/>
      <c r="AI245" s="276"/>
      <c r="AJ245" s="156"/>
      <c r="AK245" s="276"/>
      <c r="AL245" s="156"/>
      <c r="AM245" s="276"/>
      <c r="AN245" s="156"/>
      <c r="AO245" s="276"/>
      <c r="AP245" s="156"/>
      <c r="AQ245" s="276"/>
      <c r="AR245" s="156"/>
      <c r="AS245" s="276"/>
      <c r="AT245" s="156"/>
      <c r="AU245" s="276"/>
      <c r="AV245" s="156"/>
      <c r="AW245" s="276"/>
      <c r="AX245" s="156"/>
      <c r="AY245" s="166"/>
      <c r="AZ245" s="156"/>
      <c r="BA245" s="166"/>
      <c r="BB245" s="156"/>
      <c r="BC245" s="166"/>
      <c r="BD245" s="156"/>
      <c r="BE245" s="166"/>
      <c r="BF245" s="156"/>
      <c r="BG245" s="166"/>
      <c r="BH245" s="156"/>
      <c r="BI245" s="166"/>
      <c r="BJ245" s="156"/>
      <c r="BK245" s="166"/>
      <c r="BL245" s="156"/>
      <c r="BM245" s="166"/>
      <c r="BN245" s="98"/>
      <c r="BO245" s="137"/>
      <c r="BP245" s="98"/>
      <c r="BQ245" s="137"/>
      <c r="BR245" s="98"/>
      <c r="BS245" s="137"/>
      <c r="BT245" s="98"/>
      <c r="BU245" s="137"/>
      <c r="BV245" s="98"/>
      <c r="BW245" s="137"/>
      <c r="BX245" s="98"/>
      <c r="BY245" s="137"/>
      <c r="BZ245" s="98"/>
      <c r="CA245" s="137"/>
      <c r="CB245" s="98"/>
      <c r="CC245" s="137"/>
      <c r="CD245" s="98"/>
      <c r="CE245" s="137"/>
      <c r="CF245" s="98"/>
      <c r="CG245" s="137"/>
      <c r="CH245" s="98"/>
      <c r="CI245" s="137"/>
      <c r="CJ245" s="98"/>
      <c r="CK245" s="137"/>
      <c r="CL245" s="98"/>
      <c r="CM245" s="137"/>
      <c r="CN245" s="98"/>
      <c r="CO245" s="137"/>
      <c r="CP245" s="98"/>
      <c r="CQ245" s="137"/>
      <c r="CR245" s="98"/>
      <c r="CS245" s="137"/>
      <c r="CT245" s="98"/>
      <c r="CU245" s="137"/>
      <c r="CV245" s="98"/>
      <c r="CW245" s="137"/>
      <c r="CX245" s="98"/>
      <c r="CY245" s="137"/>
      <c r="CZ245" s="98"/>
      <c r="DA245" s="137"/>
      <c r="DB245" s="98"/>
      <c r="DC245" s="137"/>
      <c r="DD245" s="98"/>
      <c r="DE245" s="137"/>
      <c r="DF245" s="98"/>
      <c r="DG245" s="137"/>
      <c r="DH245" s="98"/>
      <c r="DI245" s="137"/>
      <c r="DJ245" s="98"/>
      <c r="DK245" s="137"/>
      <c r="DL245" s="98"/>
      <c r="DM245" s="137"/>
      <c r="DN245" s="98"/>
      <c r="DO245" s="137"/>
      <c r="DP245" s="98"/>
      <c r="DQ245" s="137"/>
      <c r="DR245" s="98"/>
      <c r="DS245" s="1001">
        <f>DS237</f>
        <v>26.098684210526319</v>
      </c>
      <c r="DT245" s="98"/>
      <c r="DU245" s="1001">
        <f>DU237</f>
        <v>29.055016181229774</v>
      </c>
      <c r="DV245" s="98"/>
      <c r="DW245" s="1001">
        <f>DW237</f>
        <v>30.127156549520766</v>
      </c>
      <c r="DX245" s="98"/>
      <c r="DY245" s="1001">
        <f>DY237</f>
        <v>27.978846153846149</v>
      </c>
      <c r="DZ245" s="98"/>
      <c r="EA245" s="1001">
        <f>EA237</f>
        <v>25.388709677419357</v>
      </c>
      <c r="EB245" s="98"/>
      <c r="EC245" s="1001">
        <f>EC237</f>
        <v>27.578964401294503</v>
      </c>
      <c r="ED245" s="999"/>
      <c r="EE245" s="1001">
        <f>EE237</f>
        <v>29.663141025641025</v>
      </c>
      <c r="EF245" s="1039"/>
      <c r="EG245" s="1001">
        <f>EG237</f>
        <v>24.19614147909968</v>
      </c>
      <c r="EH245" s="1039"/>
      <c r="EI245" s="1001">
        <f>EI237</f>
        <v>24.261639344262299</v>
      </c>
      <c r="EJ245" s="1039"/>
      <c r="EK245" s="1001">
        <f>EK237</f>
        <v>27.241747572815534</v>
      </c>
      <c r="EL245" s="1039"/>
      <c r="EM245" s="1001">
        <f>EM237</f>
        <v>28.5741935483871</v>
      </c>
      <c r="EN245" s="1039"/>
      <c r="EO245" s="1001">
        <f>EO237</f>
        <v>26.722903225806455</v>
      </c>
      <c r="EP245" s="98"/>
      <c r="EQ245" s="1001">
        <f>EQ237</f>
        <v>28</v>
      </c>
      <c r="ER245" s="98"/>
      <c r="ES245" s="1001">
        <f t="shared" ref="ES245" si="1337">ES237</f>
        <v>28</v>
      </c>
      <c r="ET245" s="98"/>
      <c r="EU245" s="1001">
        <f t="shared" ref="EU245" si="1338">EU237</f>
        <v>28</v>
      </c>
      <c r="EV245" s="98"/>
      <c r="EW245" s="1001">
        <f t="shared" ref="EW245" si="1339">EW237</f>
        <v>28</v>
      </c>
      <c r="EX245" s="98"/>
      <c r="EY245" s="137"/>
      <c r="EZ245" s="601"/>
      <c r="FA245" s="411"/>
      <c r="FB245" s="242"/>
      <c r="FC245" s="233"/>
      <c r="FD245" s="137"/>
      <c r="FE245" s="233"/>
      <c r="FF245" s="137"/>
      <c r="FG245" s="233"/>
      <c r="FH245" s="137"/>
      <c r="FI245" s="233"/>
      <c r="FJ245" s="137"/>
      <c r="FK245" s="233"/>
      <c r="FL245" s="137"/>
      <c r="FM245" s="233"/>
      <c r="FN245" s="137"/>
      <c r="FO245" s="233"/>
      <c r="FP245" s="137"/>
      <c r="FQ245" s="233"/>
      <c r="FR245" s="106"/>
      <c r="FS245" s="120"/>
      <c r="FT245" s="106"/>
      <c r="FU245" s="120"/>
      <c r="FV245" s="106"/>
      <c r="FW245" s="98"/>
      <c r="FX245" s="483"/>
      <c r="FY245" s="98"/>
      <c r="FZ245" s="106"/>
      <c r="GA245" s="98"/>
      <c r="GB245" s="483"/>
      <c r="GC245" s="98"/>
      <c r="GD245" s="106"/>
      <c r="GE245" s="98"/>
      <c r="GF245" s="106"/>
      <c r="GG245" s="98"/>
      <c r="GH245" s="106"/>
      <c r="GI245" s="98"/>
      <c r="GJ245" s="1001">
        <f>GJ237</f>
        <v>28.328917609046851</v>
      </c>
      <c r="GK245" s="98"/>
      <c r="GL245" s="1001">
        <f>GL237</f>
        <v>26.708776167471825</v>
      </c>
      <c r="GM245" s="98"/>
      <c r="GN245" s="1001">
        <f>GN237</f>
        <v>26.709562398703401</v>
      </c>
      <c r="GO245" s="98"/>
      <c r="GP245" s="1001">
        <f>GP237</f>
        <v>27.999999999999996</v>
      </c>
      <c r="GQ245" s="98"/>
      <c r="GR245" s="1001">
        <f>GR237</f>
        <v>27.999999999999996</v>
      </c>
      <c r="GS245" s="98"/>
      <c r="GT245" s="1001">
        <f>GT237</f>
        <v>27.999999999999996</v>
      </c>
      <c r="GU245" s="98"/>
      <c r="GV245" s="1001">
        <f>GV237</f>
        <v>27.999999999999996</v>
      </c>
      <c r="GW245" s="98"/>
      <c r="GX245" s="1001">
        <f>GX237</f>
        <v>27.999999999999996</v>
      </c>
      <c r="GY245" s="98"/>
      <c r="GZ245" s="98"/>
      <c r="HA245" s="98"/>
      <c r="HB245" s="10"/>
      <c r="HC245"/>
      <c r="HD245"/>
      <c r="HE245"/>
      <c r="HF245"/>
      <c r="HG245"/>
      <c r="HH245"/>
      <c r="HI245" s="10"/>
    </row>
    <row r="246" spans="1:217" s="2" customFormat="1" ht="12.75" customHeight="1" x14ac:dyDescent="0.2">
      <c r="B246" s="989" t="s">
        <v>724</v>
      </c>
      <c r="C246" s="276"/>
      <c r="D246" s="156"/>
      <c r="E246" s="276"/>
      <c r="F246" s="156"/>
      <c r="G246" s="276"/>
      <c r="H246" s="156"/>
      <c r="I246" s="276"/>
      <c r="J246" s="156"/>
      <c r="K246" s="276"/>
      <c r="L246" s="156"/>
      <c r="M246" s="276"/>
      <c r="N246" s="156"/>
      <c r="O246" s="276"/>
      <c r="P246" s="156"/>
      <c r="Q246" s="276"/>
      <c r="R246" s="156"/>
      <c r="S246" s="276"/>
      <c r="T246" s="156"/>
      <c r="U246" s="276"/>
      <c r="V246" s="156"/>
      <c r="W246" s="276"/>
      <c r="X246" s="156"/>
      <c r="Y246" s="276"/>
      <c r="Z246" s="156"/>
      <c r="AA246" s="276"/>
      <c r="AB246" s="156"/>
      <c r="AC246" s="276"/>
      <c r="AD246" s="156"/>
      <c r="AE246" s="276"/>
      <c r="AF246" s="156"/>
      <c r="AG246" s="276"/>
      <c r="AH246" s="156"/>
      <c r="AI246" s="276"/>
      <c r="AJ246" s="156"/>
      <c r="AK246" s="276"/>
      <c r="AL246" s="156"/>
      <c r="AM246" s="276"/>
      <c r="AN246" s="156"/>
      <c r="AO246" s="276"/>
      <c r="AP246" s="156"/>
      <c r="AQ246" s="276"/>
      <c r="AR246" s="156"/>
      <c r="AS246" s="276"/>
      <c r="AT246" s="156"/>
      <c r="AU246" s="276"/>
      <c r="AV246" s="156"/>
      <c r="AW246" s="276"/>
      <c r="AX246" s="156"/>
      <c r="AY246" s="166"/>
      <c r="AZ246" s="156"/>
      <c r="BA246" s="166"/>
      <c r="BB246" s="156"/>
      <c r="BC246" s="166"/>
      <c r="BD246" s="156"/>
      <c r="BE246" s="166"/>
      <c r="BF246" s="156"/>
      <c r="BG246" s="166"/>
      <c r="BH246" s="156"/>
      <c r="BI246" s="166"/>
      <c r="BJ246" s="156"/>
      <c r="BK246" s="166"/>
      <c r="BL246" s="156"/>
      <c r="BM246" s="166"/>
      <c r="BN246" s="98"/>
      <c r="BO246" s="137"/>
      <c r="BP246" s="98"/>
      <c r="BQ246" s="137"/>
      <c r="BR246" s="98"/>
      <c r="BS246" s="137"/>
      <c r="BT246" s="98"/>
      <c r="BU246" s="137"/>
      <c r="BV246" s="98"/>
      <c r="BW246" s="137"/>
      <c r="BX246" s="98"/>
      <c r="BY246" s="137"/>
      <c r="BZ246" s="98"/>
      <c r="CA246" s="137"/>
      <c r="CB246" s="98"/>
      <c r="CC246" s="137"/>
      <c r="CD246" s="98"/>
      <c r="CE246" s="137"/>
      <c r="CF246" s="98"/>
      <c r="CG246" s="137"/>
      <c r="CH246" s="98"/>
      <c r="CI246" s="137"/>
      <c r="CJ246" s="98"/>
      <c r="CK246" s="137"/>
      <c r="CL246" s="98"/>
      <c r="CM246" s="137"/>
      <c r="CN246" s="98"/>
      <c r="CO246" s="137"/>
      <c r="CP246" s="98"/>
      <c r="CQ246" s="137"/>
      <c r="CR246" s="98"/>
      <c r="CS246" s="137"/>
      <c r="CT246" s="98"/>
      <c r="CU246" s="137"/>
      <c r="CV246" s="98"/>
      <c r="CW246" s="137"/>
      <c r="CX246" s="98"/>
      <c r="CY246" s="137"/>
      <c r="CZ246" s="98"/>
      <c r="DA246" s="137"/>
      <c r="DB246" s="98"/>
      <c r="DC246" s="137"/>
      <c r="DD246" s="98"/>
      <c r="DE246" s="137"/>
      <c r="DF246" s="98"/>
      <c r="DG246" s="137"/>
      <c r="DH246" s="98"/>
      <c r="DI246" s="137"/>
      <c r="DJ246" s="98"/>
      <c r="DK246" s="137"/>
      <c r="DL246" s="98"/>
      <c r="DM246" s="137"/>
      <c r="DN246" s="98"/>
      <c r="DO246" s="137"/>
      <c r="DP246" s="98"/>
      <c r="DQ246" s="137"/>
      <c r="DR246" s="98"/>
      <c r="DS246" s="999">
        <f>DS244+DS245</f>
        <v>95.945065789473674</v>
      </c>
      <c r="DT246" s="1000"/>
      <c r="DU246" s="999">
        <f>DU244+DU245</f>
        <v>105.24983818770225</v>
      </c>
      <c r="DV246" s="1000"/>
      <c r="DW246" s="999">
        <f>DW244+DW245</f>
        <v>91.438338658146947</v>
      </c>
      <c r="DX246" s="1000"/>
      <c r="DY246" s="999">
        <f>DY244+DY245</f>
        <v>79.725320512820502</v>
      </c>
      <c r="DZ246" s="1000"/>
      <c r="EA246" s="999">
        <f>EA244+EA245</f>
        <v>100.36290322580646</v>
      </c>
      <c r="EB246" s="1000"/>
      <c r="EC246" s="999">
        <f>EC244+EC245</f>
        <v>111.52394822006472</v>
      </c>
      <c r="ED246" s="98"/>
      <c r="EE246" s="999">
        <f>EE244+EE245</f>
        <v>90.470512820512823</v>
      </c>
      <c r="EF246" s="860"/>
      <c r="EG246" s="999">
        <f>EG244+EG245</f>
        <v>74.198713826366543</v>
      </c>
      <c r="EH246" s="860"/>
      <c r="EI246" s="999">
        <f>EI244+EI245</f>
        <v>107.66754098360656</v>
      </c>
      <c r="EJ246" s="860"/>
      <c r="EK246" s="999">
        <f>EK244+EK245</f>
        <v>113.28640776699027</v>
      </c>
      <c r="EL246" s="860"/>
      <c r="EM246" s="999">
        <f>EM244+EM245</f>
        <v>96.050000000000011</v>
      </c>
      <c r="EN246" s="860"/>
      <c r="EO246" s="999">
        <f>EO244+EO245</f>
        <v>71.02645161290323</v>
      </c>
      <c r="EP246" s="98"/>
      <c r="EQ246" s="999">
        <f>EQ244+EQ245</f>
        <v>97.8</v>
      </c>
      <c r="ER246" s="98"/>
      <c r="ES246" s="999">
        <f t="shared" ref="ES246" si="1340">ES244+ES245</f>
        <v>98</v>
      </c>
      <c r="ET246" s="98"/>
      <c r="EU246" s="999">
        <f t="shared" ref="EU246" si="1341">EU244+EU245</f>
        <v>95</v>
      </c>
      <c r="EV246" s="98"/>
      <c r="EW246" s="999">
        <f t="shared" ref="EW246" si="1342">EW244+EW245</f>
        <v>82</v>
      </c>
      <c r="EX246" s="98"/>
      <c r="EY246" s="137"/>
      <c r="EZ246" s="601"/>
      <c r="FA246" s="411"/>
      <c r="FB246" s="242"/>
      <c r="FC246" s="233"/>
      <c r="FD246" s="137"/>
      <c r="FE246" s="233"/>
      <c r="FF246" s="137"/>
      <c r="FG246" s="233"/>
      <c r="FH246" s="137"/>
      <c r="FI246" s="233"/>
      <c r="FJ246" s="137"/>
      <c r="FK246" s="233"/>
      <c r="FL246" s="137"/>
      <c r="FM246" s="233"/>
      <c r="FN246" s="137"/>
      <c r="FO246" s="233"/>
      <c r="FP246" s="137"/>
      <c r="FQ246" s="233"/>
      <c r="FR246" s="106"/>
      <c r="FS246" s="120"/>
      <c r="FT246" s="106"/>
      <c r="FU246" s="120"/>
      <c r="FV246" s="106"/>
      <c r="FW246" s="98"/>
      <c r="FX246" s="483"/>
      <c r="FY246" s="98"/>
      <c r="FZ246" s="106"/>
      <c r="GA246" s="98"/>
      <c r="GB246" s="483"/>
      <c r="GC246" s="98"/>
      <c r="GD246" s="106"/>
      <c r="GE246" s="98"/>
      <c r="GF246" s="106"/>
      <c r="GG246" s="98"/>
      <c r="GH246" s="106"/>
      <c r="GI246" s="98"/>
      <c r="GJ246" s="999">
        <f>GJ244+GJ245</f>
        <v>93.040387722132465</v>
      </c>
      <c r="GK246" s="98"/>
      <c r="GL246" s="999">
        <f>GL244+GL245</f>
        <v>94.103059581320451</v>
      </c>
      <c r="GM246" s="98">
        <f t="shared" si="1326"/>
        <v>1.1421618989397198</v>
      </c>
      <c r="GN246" s="999">
        <f>GN244+GN245</f>
        <v>96.951215559157191</v>
      </c>
      <c r="GO246" s="98">
        <f t="shared" si="1326"/>
        <v>3.0266348304812229</v>
      </c>
      <c r="GP246" s="999">
        <f>GP244+GP245</f>
        <v>93.168537655128361</v>
      </c>
      <c r="GQ246" s="98">
        <f t="shared" si="1326"/>
        <v>-3.901630198458661</v>
      </c>
      <c r="GR246" s="999">
        <f>GR244+GR245</f>
        <v>91.668537655128361</v>
      </c>
      <c r="GS246" s="98">
        <f t="shared" si="1326"/>
        <v>-1.6099855570905097</v>
      </c>
      <c r="GT246" s="999">
        <f>GT244+GT245</f>
        <v>91.668537655128361</v>
      </c>
      <c r="GU246" s="98">
        <f t="shared" si="1326"/>
        <v>0</v>
      </c>
      <c r="GV246" s="999">
        <f>GV244+GV245</f>
        <v>91.768537655128355</v>
      </c>
      <c r="GW246" s="98">
        <f t="shared" si="1326"/>
        <v>0.10908868250545378</v>
      </c>
      <c r="GX246" s="999">
        <f>GX244+GX245</f>
        <v>91.768537655128355</v>
      </c>
      <c r="GY246" s="98">
        <f t="shared" ref="GY246" si="1343">IF(ISERROR((GX246/GV246-1)*100),"NA",IF(((GX246/GV246-1)*100)&gt;100,"NM",IF(((GX246/GV246-1)*100)&lt;-50,"NM",(GX246/GV246-1)*100)))</f>
        <v>0</v>
      </c>
      <c r="GZ246" s="98"/>
      <c r="HA246" s="98"/>
      <c r="HB246" s="10"/>
      <c r="HC246"/>
      <c r="HD246"/>
      <c r="HE246"/>
      <c r="HF246"/>
      <c r="HG246"/>
      <c r="HH246"/>
      <c r="HI246" s="10"/>
    </row>
    <row r="247" spans="1:217" s="2" customFormat="1" ht="12.75" customHeight="1" x14ac:dyDescent="0.2">
      <c r="B247" s="993"/>
      <c r="C247" s="276"/>
      <c r="D247" s="156"/>
      <c r="E247" s="276"/>
      <c r="F247" s="156"/>
      <c r="G247" s="276"/>
      <c r="H247" s="156"/>
      <c r="I247" s="276"/>
      <c r="J247" s="156"/>
      <c r="K247" s="276"/>
      <c r="L247" s="156"/>
      <c r="M247" s="276"/>
      <c r="N247" s="156"/>
      <c r="O247" s="276"/>
      <c r="P247" s="156"/>
      <c r="Q247" s="276"/>
      <c r="R247" s="156"/>
      <c r="S247" s="276"/>
      <c r="T247" s="156"/>
      <c r="U247" s="276"/>
      <c r="V247" s="156"/>
      <c r="W247" s="276"/>
      <c r="X247" s="156"/>
      <c r="Y247" s="276"/>
      <c r="Z247" s="156"/>
      <c r="AA247" s="276"/>
      <c r="AB247" s="156"/>
      <c r="AC247" s="276"/>
      <c r="AD247" s="156"/>
      <c r="AE247" s="276"/>
      <c r="AF247" s="156"/>
      <c r="AG247" s="276"/>
      <c r="AH247" s="156"/>
      <c r="AI247" s="276"/>
      <c r="AJ247" s="156"/>
      <c r="AK247" s="276"/>
      <c r="AL247" s="156"/>
      <c r="AM247" s="276"/>
      <c r="AN247" s="156"/>
      <c r="AO247" s="276"/>
      <c r="AP247" s="156"/>
      <c r="AQ247" s="276"/>
      <c r="AR247" s="156"/>
      <c r="AS247" s="276"/>
      <c r="AT247" s="156"/>
      <c r="AU247" s="276"/>
      <c r="AV247" s="156"/>
      <c r="AW247" s="276"/>
      <c r="AX247" s="156"/>
      <c r="AY247" s="166"/>
      <c r="AZ247" s="156"/>
      <c r="BA247" s="166"/>
      <c r="BB247" s="156"/>
      <c r="BC247" s="166"/>
      <c r="BD247" s="156"/>
      <c r="BE247" s="166"/>
      <c r="BF247" s="156"/>
      <c r="BG247" s="166"/>
      <c r="BH247" s="156"/>
      <c r="BI247" s="166"/>
      <c r="BJ247" s="156"/>
      <c r="BK247" s="166"/>
      <c r="BL247" s="156"/>
      <c r="BM247" s="166"/>
      <c r="BN247" s="98"/>
      <c r="BO247" s="137"/>
      <c r="BP247" s="98"/>
      <c r="BQ247" s="137"/>
      <c r="BR247" s="98"/>
      <c r="BS247" s="137"/>
      <c r="BT247" s="98"/>
      <c r="BU247" s="137"/>
      <c r="BV247" s="98"/>
      <c r="BW247" s="137"/>
      <c r="BX247" s="98"/>
      <c r="BY247" s="137"/>
      <c r="BZ247" s="98"/>
      <c r="CA247" s="137"/>
      <c r="CB247" s="98"/>
      <c r="CC247" s="137"/>
      <c r="CD247" s="98"/>
      <c r="CE247" s="137"/>
      <c r="CF247" s="98"/>
      <c r="CG247" s="137"/>
      <c r="CH247" s="98"/>
      <c r="CI247" s="137"/>
      <c r="CJ247" s="98"/>
      <c r="CK247" s="137"/>
      <c r="CL247" s="98"/>
      <c r="CM247" s="137"/>
      <c r="CN247" s="98"/>
      <c r="CO247" s="137"/>
      <c r="CP247" s="98"/>
      <c r="CQ247" s="137"/>
      <c r="CR247" s="98"/>
      <c r="CS247" s="137"/>
      <c r="CT247" s="98"/>
      <c r="CU247" s="137"/>
      <c r="CV247" s="98"/>
      <c r="CW247" s="137"/>
      <c r="CX247" s="98"/>
      <c r="CY247" s="137"/>
      <c r="CZ247" s="98"/>
      <c r="DA247" s="137"/>
      <c r="DB247" s="98"/>
      <c r="DC247" s="137"/>
      <c r="DD247" s="98"/>
      <c r="DE247" s="137"/>
      <c r="DF247" s="98"/>
      <c r="DG247" s="137"/>
      <c r="DH247" s="98"/>
      <c r="DI247" s="137"/>
      <c r="DJ247" s="98"/>
      <c r="DK247" s="137"/>
      <c r="DL247" s="98"/>
      <c r="DM247" s="137"/>
      <c r="DN247" s="98"/>
      <c r="DO247" s="137"/>
      <c r="DP247" s="98"/>
      <c r="DQ247" s="137"/>
      <c r="DR247" s="98"/>
      <c r="DS247" s="137"/>
      <c r="DT247" s="98"/>
      <c r="DU247" s="137"/>
      <c r="DV247" s="98"/>
      <c r="DW247" s="137"/>
      <c r="DX247" s="98"/>
      <c r="DY247" s="137"/>
      <c r="DZ247" s="98"/>
      <c r="EA247" s="137"/>
      <c r="EB247" s="98"/>
      <c r="EC247" s="137"/>
      <c r="ED247" s="98"/>
      <c r="EE247" s="137"/>
      <c r="EF247" s="860"/>
      <c r="EG247" s="137"/>
      <c r="EH247" s="860"/>
      <c r="EI247" s="137"/>
      <c r="EJ247" s="860"/>
      <c r="EK247" s="137"/>
      <c r="EL247" s="860"/>
      <c r="EM247" s="137"/>
      <c r="EN247" s="860"/>
      <c r="EO247" s="137"/>
      <c r="EP247" s="98"/>
      <c r="EQ247" s="1033"/>
      <c r="ER247" s="98"/>
      <c r="ES247" s="1033"/>
      <c r="ET247" s="98"/>
      <c r="EU247" s="1033"/>
      <c r="EV247" s="98"/>
      <c r="EW247" s="1033"/>
      <c r="EX247" s="98"/>
      <c r="EY247" s="137"/>
      <c r="EZ247" s="601"/>
      <c r="FA247" s="411"/>
      <c r="FB247" s="242"/>
      <c r="FC247" s="233"/>
      <c r="FD247" s="137"/>
      <c r="FE247" s="233"/>
      <c r="FF247" s="137"/>
      <c r="FG247" s="233"/>
      <c r="FH247" s="137"/>
      <c r="FI247" s="233"/>
      <c r="FJ247" s="137"/>
      <c r="FK247" s="233"/>
      <c r="FL247" s="137"/>
      <c r="FM247" s="233"/>
      <c r="FN247" s="137"/>
      <c r="FO247" s="233"/>
      <c r="FP247" s="137"/>
      <c r="FQ247" s="233"/>
      <c r="FR247" s="106"/>
      <c r="FS247" s="120"/>
      <c r="FT247" s="106"/>
      <c r="FU247" s="120"/>
      <c r="FV247" s="106"/>
      <c r="FW247" s="98"/>
      <c r="FX247" s="483"/>
      <c r="FY247" s="98"/>
      <c r="FZ247" s="106"/>
      <c r="GA247" s="98"/>
      <c r="GB247" s="483"/>
      <c r="GC247" s="98"/>
      <c r="GD247" s="106"/>
      <c r="GE247" s="98"/>
      <c r="GF247" s="106"/>
      <c r="GG247" s="98"/>
      <c r="GH247" s="106"/>
      <c r="GI247" s="98"/>
      <c r="GJ247" s="106"/>
      <c r="GK247" s="98"/>
      <c r="GL247" s="106"/>
      <c r="GM247" s="98"/>
      <c r="GN247" s="106"/>
      <c r="GO247" s="98"/>
      <c r="GP247" s="106"/>
      <c r="GQ247" s="98"/>
      <c r="GR247" s="137"/>
      <c r="GS247" s="98"/>
      <c r="GT247" s="137"/>
      <c r="GU247" s="98"/>
      <c r="GV247" s="137"/>
      <c r="GW247" s="98"/>
      <c r="GX247" s="137"/>
      <c r="GY247" s="98"/>
      <c r="GZ247" s="98"/>
      <c r="HA247" s="98"/>
      <c r="HB247" s="10"/>
      <c r="HC247"/>
      <c r="HD247"/>
      <c r="HE247"/>
      <c r="HF247"/>
      <c r="HG247"/>
      <c r="HH247"/>
      <c r="HI247" s="10"/>
    </row>
    <row r="248" spans="1:217" s="1100" customFormat="1" ht="3.75" customHeight="1" x14ac:dyDescent="0.2">
      <c r="B248" s="1091"/>
      <c r="C248" s="1092"/>
      <c r="D248" s="875"/>
      <c r="E248" s="1092"/>
      <c r="F248" s="875"/>
      <c r="G248" s="1092"/>
      <c r="H248" s="875"/>
      <c r="I248" s="1092"/>
      <c r="J248" s="875"/>
      <c r="K248" s="1092"/>
      <c r="L248" s="875"/>
      <c r="M248" s="1092"/>
      <c r="N248" s="875"/>
      <c r="O248" s="1092"/>
      <c r="P248" s="875"/>
      <c r="Q248" s="1092"/>
      <c r="R248" s="875"/>
      <c r="S248" s="1092"/>
      <c r="T248" s="875"/>
      <c r="U248" s="1092"/>
      <c r="V248" s="875"/>
      <c r="W248" s="1092"/>
      <c r="X248" s="875"/>
      <c r="Y248" s="1092"/>
      <c r="Z248" s="875"/>
      <c r="AA248" s="1092"/>
      <c r="AB248" s="875"/>
      <c r="AC248" s="1092"/>
      <c r="AD248" s="875"/>
      <c r="AE248" s="1092"/>
      <c r="AF248" s="875"/>
      <c r="AG248" s="1092"/>
      <c r="AH248" s="875"/>
      <c r="AI248" s="1092"/>
      <c r="AJ248" s="875"/>
      <c r="AK248" s="1092"/>
      <c r="AL248" s="875"/>
      <c r="AM248" s="1092"/>
      <c r="AN248" s="875"/>
      <c r="AO248" s="1092"/>
      <c r="AP248" s="875"/>
      <c r="AQ248" s="1092"/>
      <c r="AR248" s="875"/>
      <c r="AS248" s="1092"/>
      <c r="AT248" s="875"/>
      <c r="AU248" s="1092"/>
      <c r="AV248" s="875"/>
      <c r="AW248" s="1092"/>
      <c r="AX248" s="875"/>
      <c r="AY248" s="1093"/>
      <c r="AZ248" s="875"/>
      <c r="BA248" s="1093"/>
      <c r="BB248" s="875"/>
      <c r="BC248" s="1093"/>
      <c r="BD248" s="875"/>
      <c r="BE248" s="1093"/>
      <c r="BF248" s="875"/>
      <c r="BG248" s="1093"/>
      <c r="BH248" s="875"/>
      <c r="BI248" s="1093"/>
      <c r="BJ248" s="875"/>
      <c r="BK248" s="1093"/>
      <c r="BL248" s="875"/>
      <c r="BM248" s="1093"/>
      <c r="BN248" s="875"/>
      <c r="BO248" s="1093"/>
      <c r="BP248" s="875"/>
      <c r="BQ248" s="1093"/>
      <c r="BR248" s="875"/>
      <c r="BS248" s="1093"/>
      <c r="BT248" s="875"/>
      <c r="BU248" s="1093"/>
      <c r="BV248" s="875"/>
      <c r="BW248" s="1093"/>
      <c r="BX248" s="875"/>
      <c r="BY248" s="1093"/>
      <c r="BZ248" s="875"/>
      <c r="CA248" s="1093"/>
      <c r="CB248" s="875"/>
      <c r="CC248" s="1093"/>
      <c r="CD248" s="875"/>
      <c r="CE248" s="1093"/>
      <c r="CF248" s="875"/>
      <c r="CG248" s="1093"/>
      <c r="CH248" s="875"/>
      <c r="CI248" s="1093"/>
      <c r="CJ248" s="875"/>
      <c r="CK248" s="1093"/>
      <c r="CL248" s="875"/>
      <c r="CM248" s="1093"/>
      <c r="CN248" s="875"/>
      <c r="CO248" s="1093"/>
      <c r="CP248" s="875"/>
      <c r="CQ248" s="1093"/>
      <c r="CR248" s="875"/>
      <c r="CS248" s="1093"/>
      <c r="CT248" s="875"/>
      <c r="CU248" s="1093"/>
      <c r="CV248" s="875"/>
      <c r="CW248" s="1093"/>
      <c r="CX248" s="875"/>
      <c r="CY248" s="1093"/>
      <c r="CZ248" s="875"/>
      <c r="DA248" s="1093"/>
      <c r="DB248" s="875"/>
      <c r="DC248" s="1093"/>
      <c r="DD248" s="875"/>
      <c r="DE248" s="1093"/>
      <c r="DF248" s="875"/>
      <c r="DG248" s="1093"/>
      <c r="DH248" s="875"/>
      <c r="DI248" s="1093"/>
      <c r="DJ248" s="875"/>
      <c r="DK248" s="1093"/>
      <c r="DL248" s="875"/>
      <c r="DM248" s="1093"/>
      <c r="DN248" s="875"/>
      <c r="DO248" s="1093"/>
      <c r="DP248" s="875"/>
      <c r="DQ248" s="1093"/>
      <c r="DR248" s="875"/>
      <c r="DS248" s="1101"/>
      <c r="DT248" s="875"/>
      <c r="DU248" s="1101"/>
      <c r="DV248" s="875"/>
      <c r="DW248" s="1101"/>
      <c r="DX248" s="875"/>
      <c r="DY248" s="1101"/>
      <c r="DZ248" s="875"/>
      <c r="EA248" s="1101"/>
      <c r="EB248" s="875"/>
      <c r="EC248" s="1101"/>
      <c r="ED248" s="1101"/>
      <c r="EE248" s="1101"/>
      <c r="EF248" s="1101"/>
      <c r="EG248" s="1101"/>
      <c r="EH248" s="1101"/>
      <c r="EI248" s="1101"/>
      <c r="EJ248" s="1101"/>
      <c r="EK248" s="1101"/>
      <c r="EL248" s="875"/>
      <c r="EM248" s="1101"/>
      <c r="EN248" s="875"/>
      <c r="EO248" s="1101"/>
      <c r="EP248" s="875"/>
      <c r="EQ248" s="1101"/>
      <c r="ER248" s="875"/>
      <c r="ES248" s="1101"/>
      <c r="ET248" s="875"/>
      <c r="EU248" s="1101"/>
      <c r="EV248" s="875"/>
      <c r="EW248" s="1101"/>
      <c r="EX248" s="875"/>
      <c r="EY248" s="1093"/>
      <c r="EZ248" s="1094"/>
      <c r="FA248" s="1094"/>
      <c r="FB248" s="1095"/>
      <c r="FC248" s="1096"/>
      <c r="FD248" s="1093"/>
      <c r="FE248" s="1096"/>
      <c r="FF248" s="1093"/>
      <c r="FG248" s="1096"/>
      <c r="FH248" s="1093"/>
      <c r="FI248" s="1096"/>
      <c r="FJ248" s="1093"/>
      <c r="FK248" s="1096"/>
      <c r="FL248" s="1093"/>
      <c r="FM248" s="1096"/>
      <c r="FN248" s="1093"/>
      <c r="FO248" s="1096"/>
      <c r="FP248" s="1093"/>
      <c r="FQ248" s="1096"/>
      <c r="FR248" s="1097"/>
      <c r="FS248" s="1098"/>
      <c r="FT248" s="1097"/>
      <c r="FU248" s="1098"/>
      <c r="FV248" s="1097"/>
      <c r="FW248" s="875"/>
      <c r="FX248" s="1099"/>
      <c r="FY248" s="875"/>
      <c r="FZ248" s="1097"/>
      <c r="GA248" s="875"/>
      <c r="GB248" s="1099"/>
      <c r="GC248" s="875"/>
      <c r="GD248" s="1097"/>
      <c r="GE248" s="875"/>
      <c r="GF248" s="1097"/>
      <c r="GG248" s="875"/>
      <c r="GH248" s="1097"/>
      <c r="GI248" s="875"/>
      <c r="GJ248" s="1101"/>
      <c r="GK248" s="875"/>
      <c r="GL248" s="1101"/>
      <c r="GM248" s="875"/>
      <c r="GN248" s="1101"/>
      <c r="GO248" s="875"/>
      <c r="GP248" s="1101"/>
      <c r="GQ248" s="875"/>
      <c r="GR248" s="1101"/>
      <c r="GS248" s="875"/>
      <c r="GT248" s="1101"/>
      <c r="GU248" s="875"/>
      <c r="GV248" s="1101"/>
      <c r="GW248" s="875"/>
      <c r="GX248" s="1101"/>
      <c r="GY248" s="875"/>
      <c r="GZ248" s="875"/>
      <c r="HA248" s="875"/>
      <c r="HC248"/>
      <c r="HD248"/>
      <c r="HE248"/>
      <c r="HF248"/>
      <c r="HG248"/>
      <c r="HH248"/>
    </row>
    <row r="249" spans="1:217" s="2" customFormat="1" ht="12.75" customHeight="1" x14ac:dyDescent="0.2">
      <c r="B249" s="93"/>
      <c r="C249" s="153"/>
      <c r="D249" s="154"/>
      <c r="E249" s="153"/>
      <c r="F249" s="154"/>
      <c r="G249" s="153"/>
      <c r="H249" s="154"/>
      <c r="I249" s="153"/>
      <c r="J249" s="156"/>
      <c r="K249" s="153"/>
      <c r="L249" s="156"/>
      <c r="M249" s="153"/>
      <c r="N249" s="156"/>
      <c r="O249" s="153"/>
      <c r="P249" s="156"/>
      <c r="Q249" s="153"/>
      <c r="R249" s="156"/>
      <c r="S249" s="153"/>
      <c r="T249" s="156"/>
      <c r="U249" s="153"/>
      <c r="V249" s="156"/>
      <c r="W249" s="153"/>
      <c r="X249" s="156"/>
      <c r="Y249" s="153"/>
      <c r="Z249" s="156"/>
      <c r="AA249" s="153"/>
      <c r="AB249" s="156"/>
      <c r="AC249" s="153"/>
      <c r="AD249" s="156"/>
      <c r="AE249" s="153"/>
      <c r="AF249" s="156"/>
      <c r="AG249" s="153"/>
      <c r="AH249" s="156"/>
      <c r="AI249" s="153"/>
      <c r="AJ249" s="156"/>
      <c r="AK249" s="153"/>
      <c r="AL249" s="156"/>
      <c r="AM249" s="153"/>
      <c r="AN249" s="156"/>
      <c r="AO249" s="153"/>
      <c r="AP249" s="156"/>
      <c r="AQ249" s="153"/>
      <c r="AR249" s="156"/>
      <c r="AS249" s="153"/>
      <c r="AT249" s="156"/>
      <c r="AU249" s="153"/>
      <c r="AV249" s="156"/>
      <c r="AW249" s="153"/>
      <c r="AX249" s="156"/>
      <c r="AY249" s="153"/>
      <c r="AZ249" s="156"/>
      <c r="BA249" s="153"/>
      <c r="BB249" s="156"/>
      <c r="BC249" s="153"/>
      <c r="BD249" s="156"/>
      <c r="BE249" s="153"/>
      <c r="BF249" s="156"/>
      <c r="BG249" s="153"/>
      <c r="BH249" s="156"/>
      <c r="BI249" s="153"/>
      <c r="BJ249" s="156"/>
      <c r="BK249" s="153"/>
      <c r="BL249" s="156"/>
      <c r="BM249" s="153"/>
      <c r="BN249" s="98"/>
      <c r="BO249" s="112"/>
      <c r="BP249" s="98"/>
      <c r="BQ249" s="112"/>
      <c r="BR249" s="98"/>
      <c r="BS249" s="112"/>
      <c r="BT249" s="98"/>
      <c r="BU249" s="112"/>
      <c r="BV249" s="98"/>
      <c r="BW249" s="112"/>
      <c r="BX249" s="98"/>
      <c r="BY249" s="112"/>
      <c r="BZ249" s="98"/>
      <c r="CA249" s="112"/>
      <c r="CB249" s="98"/>
      <c r="CC249" s="112"/>
      <c r="CD249" s="98"/>
      <c r="CE249" s="112"/>
      <c r="CF249" s="98"/>
      <c r="CG249" s="112"/>
      <c r="CH249" s="98"/>
      <c r="CI249" s="112"/>
      <c r="CJ249" s="98"/>
      <c r="CK249" s="112"/>
      <c r="CL249" s="98"/>
      <c r="CM249" s="112"/>
      <c r="CN249" s="98"/>
      <c r="CO249" s="112"/>
      <c r="CP249" s="98"/>
      <c r="CQ249" s="543"/>
      <c r="CR249" s="98"/>
      <c r="CS249" s="112"/>
      <c r="CT249" s="98"/>
      <c r="CU249" s="112"/>
      <c r="CV249" s="98"/>
      <c r="CW249" s="112"/>
      <c r="CX249" s="98"/>
      <c r="CY249" s="112"/>
      <c r="CZ249" s="98"/>
      <c r="DA249" s="112"/>
      <c r="DB249" s="98"/>
      <c r="DC249" s="112"/>
      <c r="DD249" s="98"/>
      <c r="DE249" s="112"/>
      <c r="DF249" s="98"/>
      <c r="DG249" s="112"/>
      <c r="DH249" s="98"/>
      <c r="DI249" s="112"/>
      <c r="DJ249" s="98"/>
      <c r="DK249" s="112"/>
      <c r="DL249" s="98"/>
      <c r="DM249" s="112"/>
      <c r="DN249" s="98"/>
      <c r="DO249" s="112"/>
      <c r="DP249" s="98"/>
      <c r="DQ249" s="112"/>
      <c r="DR249" s="98"/>
      <c r="DS249" s="112"/>
      <c r="DT249" s="98"/>
      <c r="DU249" s="112"/>
      <c r="DV249" s="98"/>
      <c r="DW249" s="112"/>
      <c r="DX249" s="98"/>
      <c r="DY249" s="112"/>
      <c r="DZ249" s="98"/>
      <c r="EA249" s="112"/>
      <c r="EB249" s="98"/>
      <c r="EC249" s="112"/>
      <c r="ED249" s="98"/>
      <c r="EE249" s="112"/>
      <c r="EF249" s="860"/>
      <c r="EG249" s="112"/>
      <c r="EH249" s="860"/>
      <c r="EI249" s="112"/>
      <c r="EJ249" s="860"/>
      <c r="EK249" s="112"/>
      <c r="EL249" s="860"/>
      <c r="EM249" s="112"/>
      <c r="EN249" s="860"/>
      <c r="EO249" s="112"/>
      <c r="EP249" s="98"/>
      <c r="EQ249" s="1022"/>
      <c r="ER249" s="98"/>
      <c r="ES249" s="1022"/>
      <c r="ET249" s="98"/>
      <c r="EU249" s="1022"/>
      <c r="EV249" s="98"/>
      <c r="EW249" s="1022"/>
      <c r="EX249" s="98"/>
      <c r="EY249" s="114"/>
      <c r="EZ249" s="594"/>
      <c r="FA249" s="405"/>
      <c r="FB249" s="114"/>
      <c r="FC249" s="113"/>
      <c r="FD249" s="112"/>
      <c r="FE249" s="113"/>
      <c r="FF249" s="114"/>
      <c r="FG249" s="113"/>
      <c r="FH249" s="114"/>
      <c r="FI249" s="113"/>
      <c r="FJ249" s="114"/>
      <c r="FK249" s="113"/>
      <c r="FL249" s="114"/>
      <c r="FM249" s="113"/>
      <c r="FN249" s="114"/>
      <c r="FO249" s="113"/>
      <c r="FP249" s="114"/>
      <c r="FQ249" s="113"/>
      <c r="FR249" s="115"/>
      <c r="FS249" s="116"/>
      <c r="FT249" s="115"/>
      <c r="FU249" s="116"/>
      <c r="FV249" s="115"/>
      <c r="FW249" s="98"/>
      <c r="FX249" s="484"/>
      <c r="FY249" s="98"/>
      <c r="FZ249" s="115"/>
      <c r="GA249" s="98"/>
      <c r="GB249" s="484"/>
      <c r="GC249" s="98"/>
      <c r="GD249" s="115"/>
      <c r="GE249" s="98"/>
      <c r="GF249" s="115"/>
      <c r="GG249" s="98"/>
      <c r="GH249" s="115"/>
      <c r="GI249" s="98"/>
      <c r="GJ249" s="115"/>
      <c r="GK249" s="98"/>
      <c r="GL249" s="115"/>
      <c r="GM249" s="98"/>
      <c r="GN249" s="115"/>
      <c r="GO249" s="98"/>
      <c r="GP249" s="115"/>
      <c r="GQ249" s="98"/>
      <c r="GR249" s="114"/>
      <c r="GS249" s="98"/>
      <c r="GT249" s="114"/>
      <c r="GU249" s="98"/>
      <c r="GV249" s="114"/>
      <c r="GW249" s="98"/>
      <c r="GX249" s="114"/>
      <c r="GY249" s="98"/>
      <c r="GZ249" s="98"/>
      <c r="HA249" s="98"/>
      <c r="HB249" s="10"/>
      <c r="HC249"/>
      <c r="HD249"/>
      <c r="HE249"/>
      <c r="HF249"/>
      <c r="HG249"/>
      <c r="HH249"/>
      <c r="HI249" s="10"/>
    </row>
    <row r="250" spans="1:217" s="2" customFormat="1" ht="12.75" customHeight="1" x14ac:dyDescent="0.2">
      <c r="B250" s="93" t="s">
        <v>284</v>
      </c>
      <c r="C250" s="153"/>
      <c r="D250" s="154"/>
      <c r="E250" s="153"/>
      <c r="F250" s="154"/>
      <c r="G250" s="153"/>
      <c r="H250" s="154"/>
      <c r="I250" s="153"/>
      <c r="J250" s="156"/>
      <c r="K250" s="153"/>
      <c r="L250" s="156"/>
      <c r="M250" s="153"/>
      <c r="N250" s="156"/>
      <c r="O250" s="153"/>
      <c r="P250" s="156"/>
      <c r="Q250" s="153"/>
      <c r="R250" s="156"/>
      <c r="S250" s="153"/>
      <c r="T250" s="156"/>
      <c r="U250" s="153"/>
      <c r="V250" s="156"/>
      <c r="W250" s="153"/>
      <c r="X250" s="156"/>
      <c r="Y250" s="153"/>
      <c r="Z250" s="156"/>
      <c r="AA250" s="153"/>
      <c r="AB250" s="156"/>
      <c r="AC250" s="153"/>
      <c r="AD250" s="156"/>
      <c r="AE250" s="153"/>
      <c r="AF250" s="156"/>
      <c r="AG250" s="153"/>
      <c r="AH250" s="156"/>
      <c r="AI250" s="153"/>
      <c r="AJ250" s="156"/>
      <c r="AK250" s="153"/>
      <c r="AL250" s="156"/>
      <c r="AM250" s="153"/>
      <c r="AN250" s="156"/>
      <c r="AO250" s="153"/>
      <c r="AP250" s="156"/>
      <c r="AQ250" s="153"/>
      <c r="AR250" s="156"/>
      <c r="AS250" s="153"/>
      <c r="AT250" s="156"/>
      <c r="AU250" s="153"/>
      <c r="AV250" s="156"/>
      <c r="AW250" s="153"/>
      <c r="AX250" s="156"/>
      <c r="AY250" s="153"/>
      <c r="AZ250" s="156"/>
      <c r="BA250" s="153"/>
      <c r="BB250" s="156"/>
      <c r="BC250" s="153"/>
      <c r="BD250" s="156"/>
      <c r="BE250" s="153"/>
      <c r="BF250" s="156"/>
      <c r="BG250" s="153"/>
      <c r="BH250" s="156"/>
      <c r="BI250" s="153"/>
      <c r="BJ250" s="156"/>
      <c r="BK250" s="153"/>
      <c r="BL250" s="156"/>
      <c r="BM250" s="153"/>
      <c r="BN250" s="98"/>
      <c r="BO250" s="112"/>
      <c r="BP250" s="98"/>
      <c r="BQ250" s="112"/>
      <c r="BR250" s="98"/>
      <c r="BS250" s="112"/>
      <c r="BT250" s="98"/>
      <c r="BU250" s="112"/>
      <c r="BV250" s="98"/>
      <c r="BW250" s="112"/>
      <c r="BX250" s="98"/>
      <c r="BY250" s="112"/>
      <c r="BZ250" s="98"/>
      <c r="CA250" s="112"/>
      <c r="CB250" s="98"/>
      <c r="CC250" s="112"/>
      <c r="CD250" s="98"/>
      <c r="CE250" s="112"/>
      <c r="CF250" s="98"/>
      <c r="CG250" s="112"/>
      <c r="CH250" s="98"/>
      <c r="CI250" s="112"/>
      <c r="CJ250" s="98"/>
      <c r="CK250" s="112"/>
      <c r="CL250" s="98"/>
      <c r="CM250" s="112"/>
      <c r="CN250" s="98"/>
      <c r="CO250" s="112"/>
      <c r="CP250" s="98"/>
      <c r="CQ250" s="543"/>
      <c r="CR250" s="98"/>
      <c r="CS250" s="112"/>
      <c r="CT250" s="98"/>
      <c r="CU250" s="112"/>
      <c r="CV250" s="98"/>
      <c r="CW250" s="112"/>
      <c r="CX250" s="98"/>
      <c r="CY250" s="112"/>
      <c r="CZ250" s="98"/>
      <c r="DA250" s="112"/>
      <c r="DB250" s="98"/>
      <c r="DC250" s="112"/>
      <c r="DD250" s="98"/>
      <c r="DE250" s="112"/>
      <c r="DF250" s="98"/>
      <c r="DG250" s="112"/>
      <c r="DH250" s="98"/>
      <c r="DI250" s="112"/>
      <c r="DJ250" s="98"/>
      <c r="DK250" s="112"/>
      <c r="DL250" s="98"/>
      <c r="DM250" s="112"/>
      <c r="DN250" s="98"/>
      <c r="DO250" s="112"/>
      <c r="DP250" s="98"/>
      <c r="DQ250" s="112"/>
      <c r="DR250" s="98"/>
      <c r="DS250" s="112"/>
      <c r="DT250" s="98"/>
      <c r="DU250" s="112"/>
      <c r="DV250" s="98"/>
      <c r="DW250" s="112"/>
      <c r="DX250" s="98"/>
      <c r="DY250" s="112"/>
      <c r="DZ250" s="98"/>
      <c r="EA250" s="112"/>
      <c r="EB250" s="98"/>
      <c r="EC250" s="112"/>
      <c r="ED250" s="98"/>
      <c r="EE250" s="112"/>
      <c r="EF250" s="860"/>
      <c r="EG250" s="112"/>
      <c r="EH250" s="860"/>
      <c r="EI250" s="112"/>
      <c r="EJ250" s="860"/>
      <c r="EK250" s="112"/>
      <c r="EL250" s="860"/>
      <c r="EM250" s="112"/>
      <c r="EN250" s="860"/>
      <c r="EO250" s="112"/>
      <c r="EP250" s="98"/>
      <c r="EQ250" s="1022"/>
      <c r="ER250" s="98"/>
      <c r="ES250" s="1022"/>
      <c r="ET250" s="98"/>
      <c r="EU250" s="1022"/>
      <c r="EV250" s="98"/>
      <c r="EW250" s="1022"/>
      <c r="EX250" s="98"/>
      <c r="EY250" s="114"/>
      <c r="EZ250" s="594"/>
      <c r="FA250" s="405"/>
      <c r="FB250" s="114"/>
      <c r="FC250" s="113"/>
      <c r="FD250" s="112"/>
      <c r="FE250" s="113"/>
      <c r="FF250" s="114"/>
      <c r="FG250" s="113"/>
      <c r="FH250" s="114"/>
      <c r="FI250" s="113"/>
      <c r="FJ250" s="114"/>
      <c r="FK250" s="113"/>
      <c r="FL250" s="114"/>
      <c r="FM250" s="113"/>
      <c r="FN250" s="114"/>
      <c r="FO250" s="113"/>
      <c r="FP250" s="114"/>
      <c r="FQ250" s="113"/>
      <c r="FR250" s="115"/>
      <c r="FS250" s="116"/>
      <c r="FT250" s="115"/>
      <c r="FU250" s="116"/>
      <c r="FV250" s="115"/>
      <c r="FW250" s="98"/>
      <c r="FX250" s="484"/>
      <c r="FY250" s="98"/>
      <c r="FZ250" s="115"/>
      <c r="GA250" s="98"/>
      <c r="GB250" s="484"/>
      <c r="GC250" s="98"/>
      <c r="GD250" s="115"/>
      <c r="GE250" s="98"/>
      <c r="GF250" s="115"/>
      <c r="GG250" s="98"/>
      <c r="GH250" s="115"/>
      <c r="GI250" s="98"/>
      <c r="GJ250" s="115"/>
      <c r="GK250" s="98"/>
      <c r="GL250" s="115"/>
      <c r="GM250" s="98"/>
      <c r="GN250" s="115"/>
      <c r="GO250" s="98"/>
      <c r="GP250" s="115"/>
      <c r="GQ250" s="98"/>
      <c r="GR250" s="114"/>
      <c r="GS250" s="98"/>
      <c r="GT250" s="114"/>
      <c r="GU250" s="98"/>
      <c r="GV250" s="114"/>
      <c r="GW250" s="98"/>
      <c r="GX250" s="114"/>
      <c r="GY250" s="98"/>
      <c r="GZ250" s="98"/>
      <c r="HA250" s="98"/>
      <c r="HB250" s="10"/>
      <c r="HC250"/>
      <c r="HD250"/>
      <c r="HE250"/>
      <c r="HF250"/>
      <c r="HG250"/>
      <c r="HH250"/>
      <c r="HI250" s="10"/>
    </row>
    <row r="251" spans="1:217" s="2" customFormat="1" ht="12.75" customHeight="1" x14ac:dyDescent="0.2">
      <c r="B251" s="91" t="s">
        <v>493</v>
      </c>
      <c r="C251" s="157">
        <v>153</v>
      </c>
      <c r="D251" s="156"/>
      <c r="E251" s="157">
        <v>227</v>
      </c>
      <c r="F251" s="156"/>
      <c r="G251" s="157">
        <v>170</v>
      </c>
      <c r="H251" s="156"/>
      <c r="I251" s="157">
        <v>223</v>
      </c>
      <c r="J251" s="156"/>
      <c r="K251" s="157"/>
      <c r="L251" s="156"/>
      <c r="M251" s="157"/>
      <c r="N251" s="156"/>
      <c r="O251" s="157"/>
      <c r="P251" s="156"/>
      <c r="Q251" s="157"/>
      <c r="R251" s="156"/>
      <c r="S251" s="157"/>
      <c r="T251" s="156"/>
      <c r="U251" s="157"/>
      <c r="V251" s="156"/>
      <c r="W251" s="157"/>
      <c r="X251" s="156"/>
      <c r="Y251" s="157"/>
      <c r="Z251" s="156"/>
      <c r="AA251" s="157"/>
      <c r="AB251" s="156"/>
      <c r="AC251" s="157"/>
      <c r="AD251" s="156"/>
      <c r="AE251" s="157"/>
      <c r="AF251" s="156"/>
      <c r="AG251" s="157"/>
      <c r="AH251" s="156"/>
      <c r="AI251" s="157"/>
      <c r="AJ251" s="156"/>
      <c r="AK251" s="157"/>
      <c r="AL251" s="156"/>
      <c r="AM251" s="157"/>
      <c r="AN251" s="156"/>
      <c r="AO251" s="157"/>
      <c r="AP251" s="156"/>
      <c r="AQ251" s="157"/>
      <c r="AR251" s="156"/>
      <c r="AS251" s="157"/>
      <c r="AT251" s="156"/>
      <c r="AU251" s="157"/>
      <c r="AV251" s="156"/>
      <c r="AW251" s="157"/>
      <c r="AX251" s="156"/>
      <c r="AY251" s="157"/>
      <c r="AZ251" s="156"/>
      <c r="BA251" s="157"/>
      <c r="BB251" s="156"/>
      <c r="BC251" s="157"/>
      <c r="BD251" s="156"/>
      <c r="BE251" s="157"/>
      <c r="BF251" s="156"/>
      <c r="BG251" s="157"/>
      <c r="BH251" s="156"/>
      <c r="BI251" s="157"/>
      <c r="BJ251" s="156"/>
      <c r="BK251" s="157"/>
      <c r="BL251" s="156"/>
      <c r="BM251" s="157"/>
      <c r="BN251" s="98"/>
      <c r="BO251" s="101"/>
      <c r="BP251" s="98"/>
      <c r="BQ251" s="101"/>
      <c r="BR251" s="98"/>
      <c r="BS251" s="101"/>
      <c r="BT251" s="98"/>
      <c r="BU251" s="101"/>
      <c r="BV251" s="98"/>
      <c r="BW251" s="101"/>
      <c r="BX251" s="98"/>
      <c r="BY251" s="101"/>
      <c r="BZ251" s="98"/>
      <c r="CA251" s="101"/>
      <c r="CB251" s="98"/>
      <c r="CC251" s="101"/>
      <c r="CD251" s="98"/>
      <c r="CE251" s="101"/>
      <c r="CF251" s="98"/>
      <c r="CG251" s="101"/>
      <c r="CH251" s="98"/>
      <c r="CI251" s="101"/>
      <c r="CJ251" s="98"/>
      <c r="CK251" s="101"/>
      <c r="CL251" s="98"/>
      <c r="CM251" s="101"/>
      <c r="CN251" s="98"/>
      <c r="CO251" s="101"/>
      <c r="CP251" s="98"/>
      <c r="CQ251" s="542"/>
      <c r="CR251" s="98"/>
      <c r="CS251" s="101"/>
      <c r="CT251" s="98"/>
      <c r="CU251" s="101"/>
      <c r="CV251" s="98"/>
      <c r="CW251" s="101"/>
      <c r="CX251" s="98"/>
      <c r="CY251" s="101"/>
      <c r="CZ251" s="98"/>
      <c r="DA251" s="101"/>
      <c r="DB251" s="98"/>
      <c r="DC251" s="101"/>
      <c r="DD251" s="98"/>
      <c r="DE251" s="101"/>
      <c r="DF251" s="98"/>
      <c r="DG251" s="101"/>
      <c r="DH251" s="98"/>
      <c r="DI251" s="101"/>
      <c r="DJ251" s="98"/>
      <c r="DK251" s="101"/>
      <c r="DL251" s="98"/>
      <c r="DM251" s="101"/>
      <c r="DN251" s="98"/>
      <c r="DO251" s="101"/>
      <c r="DP251" s="98"/>
      <c r="DQ251" s="101"/>
      <c r="DR251" s="98"/>
      <c r="DS251" s="100">
        <f>DS201+DS225</f>
        <v>845</v>
      </c>
      <c r="DT251" s="98" t="str">
        <f>IF(ISERROR((DS251/DK251-1)*100),"NA",IF(((DS251/DK251-1)*100)&gt;100,"NM",IF(((DS251/DK251-1)*100)&lt;-50,"NM",(DS251/DK251-1)*100)))</f>
        <v>NA</v>
      </c>
      <c r="DU251" s="100">
        <f>DU201+DU225</f>
        <v>856</v>
      </c>
      <c r="DV251" s="98" t="str">
        <f>IF(ISERROR((DU251/DM251-1)*100),"NA",IF(((DU251/DM251-1)*100)&gt;100,"NM",IF(((DU251/DM251-1)*100)&lt;-50,"NM",(DU251/DM251-1)*100)))</f>
        <v>NA</v>
      </c>
      <c r="DW251" s="100">
        <f>DW201+DW225</f>
        <v>867</v>
      </c>
      <c r="DX251" s="98" t="str">
        <f>IF(ISERROR((DW251/DO251-1)*100),"NA",IF(((DW251/DO251-1)*100)&gt;100,"NM",IF(((DW251/DO251-1)*100)&lt;-50,"NM",(DW251/DO251-1)*100)))</f>
        <v>NA</v>
      </c>
      <c r="DY251" s="100">
        <f>DY201+DY225</f>
        <v>869</v>
      </c>
      <c r="DZ251" s="98" t="str">
        <f>IF(ISERROR((DY251/DQ251-1)*100),"NA",IF(((DY251/DQ251-1)*100)&gt;100,"NM",IF(((DY251/DQ251-1)*100)&lt;-50,"NM",(DY251/DQ251-1)*100)))</f>
        <v>NA</v>
      </c>
      <c r="EA251" s="100">
        <f>EA201+EA225</f>
        <v>865</v>
      </c>
      <c r="EB251" s="98">
        <f>IF(ISERROR((EA251/DS251-1)*100),"NA",IF(((EA251/DS251-1)*100)&gt;100,"NM",IF(((EA251/DS251-1)*100)&lt;-50,"NM",(EA251/DS251-1)*100)))</f>
        <v>2.3668639053254337</v>
      </c>
      <c r="EC251" s="100">
        <f>EC201+EC225</f>
        <v>868</v>
      </c>
      <c r="ED251" s="98">
        <f>IF(ISERROR((EC251/DU251-1)*100),"NA",IF(((EC251/DU251-1)*100)&gt;100,"NM",IF(((EC251/DU251-1)*100)&lt;-50,"NM",(EC251/DU251-1)*100)))</f>
        <v>1.4018691588784993</v>
      </c>
      <c r="EE251" s="100">
        <f>EE201+EE225</f>
        <v>879</v>
      </c>
      <c r="EF251" s="860">
        <f>IF(ISERROR((EE251/DW251-1)*100),"NA",IF(((EE251/DW251-1)*100)&gt;100,"NM",IF(((EE251/DW251-1)*100)&lt;-50,"NM",(EE251/DW251-1)*100)))</f>
        <v>1.384083044982698</v>
      </c>
      <c r="EG251" s="100">
        <f>EG201+EG225</f>
        <v>882</v>
      </c>
      <c r="EH251" s="860">
        <f>IF(ISERROR((EG251/DY251-1)*100),"NA",IF(((EG251/DY251-1)*100)&gt;100,"NM",IF(((EG251/DY251-1)*100)&lt;-50,"NM",(EG251/DY251-1)*100)))</f>
        <v>1.4959723820483273</v>
      </c>
      <c r="EI251" s="100">
        <f>EI201+EI225</f>
        <v>868</v>
      </c>
      <c r="EJ251" s="860">
        <f t="shared" ref="EJ251" si="1344">IF(ISERROR((EI251/EA251-1)*100),"NA",IF(((EI251/EA251-1)*100)&gt;100,"NM",IF(((EI251/EA251-1)*100)&lt;-50,"NM",(EI251/EA251-1)*100)))</f>
        <v>0.34682080924854919</v>
      </c>
      <c r="EK251" s="100">
        <f>EK201+EK225</f>
        <v>882</v>
      </c>
      <c r="EL251" s="860">
        <f t="shared" ref="EL251" si="1345">IF(ISERROR((EK251/EC251-1)*100),"NA",IF(((EK251/EC251-1)*100)&gt;100,"NM",IF(((EK251/EC251-1)*100)&lt;-50,"NM",(EK251/EC251-1)*100)))</f>
        <v>1.6129032258064502</v>
      </c>
      <c r="EM251" s="100">
        <f>EM201+EM225</f>
        <v>895</v>
      </c>
      <c r="EN251" s="860">
        <f t="shared" ref="EN251" si="1346">IF(ISERROR((EM251/EE251-1)*100),"NA",IF(((EM251/EE251-1)*100)&gt;100,"NM",IF(((EM251/EE251-1)*100)&lt;-50,"NM",(EM251/EE251-1)*100)))</f>
        <v>1.8202502844141044</v>
      </c>
      <c r="EO251" s="100">
        <f>EO201+EO225</f>
        <v>901</v>
      </c>
      <c r="EP251" s="98">
        <f t="shared" ref="EP251" si="1347">IF(ISERROR((EO251/EG251-1)*100),"NA",IF(((EO251/EG251-1)*100)&gt;100,"NM",IF(((EO251/EG251-1)*100)&lt;-50,"NM",(EO251/EG251-1)*100)))</f>
        <v>2.1541950113378672</v>
      </c>
      <c r="EQ251" s="100">
        <f>EQ201+EQ225</f>
        <v>904.32299999999987</v>
      </c>
      <c r="ER251" s="98">
        <f t="shared" ref="ER251:ER254" si="1348">IF(ISERROR((EQ251/EI251-1)*100),"NA",IF(((EQ251/EI251-1)*100)&gt;100,"NM",IF(((EQ251/EI251-1)*100)&lt;-50,"NM",(EQ251/EI251-1)*100)))</f>
        <v>4.1846774193548208</v>
      </c>
      <c r="ES251" s="100">
        <f t="shared" ref="ES251" si="1349">ES201+ES225</f>
        <v>907.6590689999997</v>
      </c>
      <c r="ET251" s="98">
        <f t="shared" ref="ET251:ET254" si="1350">IF(ISERROR((ES251/EK251-1)*100),"NA",IF(((ES251/EK251-1)*100)&gt;100,"NM",IF(((ES251/EK251-1)*100)&lt;-50,"NM",(ES251/EK251-1)*100)))</f>
        <v>2.9091914965986065</v>
      </c>
      <c r="EU251" s="100">
        <f t="shared" ref="EU251" si="1351">EU201+EU225</f>
        <v>911.00826170699963</v>
      </c>
      <c r="EV251" s="98">
        <f t="shared" ref="EV251:EV254" si="1352">IF(ISERROR((EU251/EM251-1)*100),"NA",IF(((EU251/EM251-1)*100)&gt;100,"NM",IF(((EU251/EM251-1)*100)&lt;-50,"NM",(EU251/EM251-1)*100)))</f>
        <v>1.7886325929608482</v>
      </c>
      <c r="EW251" s="100">
        <f t="shared" ref="EW251" si="1353">EW201+EW225</f>
        <v>914.37063306962045</v>
      </c>
      <c r="EX251" s="98">
        <f t="shared" ref="EX251:EX254" si="1354">IF(ISERROR((EW251/EO251-1)*100),"NA",IF(((EW251/EO251-1)*100)&gt;100,"NM",IF(((EW251/EO251-1)*100)&lt;-50,"NM",(EW251/EO251-1)*100)))</f>
        <v>1.4839770332542024</v>
      </c>
      <c r="EY251" s="119"/>
      <c r="EZ251" s="594"/>
      <c r="FA251" s="405"/>
      <c r="FB251" s="121">
        <v>542</v>
      </c>
      <c r="FC251" s="98"/>
      <c r="FD251" s="101">
        <v>430</v>
      </c>
      <c r="FE251" s="98">
        <f t="shared" ref="FE251" si="1355">IF(ISERROR((FD251/FB251-1)*100),"NA",IF(((FD251/FB251-1)*100)&gt;100,"NM",IF(((FD251/FB251-1)*100)&lt;-50,"NM",(FD251/FB251-1)*100)))</f>
        <v>-20.664206642066418</v>
      </c>
      <c r="FF251" s="118">
        <f>C251+E251+G251+I251</f>
        <v>773</v>
      </c>
      <c r="FG251" s="98">
        <f t="shared" ref="FG251" si="1356">IF(ISERROR((FF251/FD251-1)*100),"NA",IF(((FF251/FD251-1)*100)&gt;100,"NM",IF(((FF251/FD251-1)*100)&lt;-50,"NM",(FF251/FD251-1)*100)))</f>
        <v>79.767441860465112</v>
      </c>
      <c r="FH251" s="118">
        <f>K251+M251+O251+Q251</f>
        <v>0</v>
      </c>
      <c r="FI251" s="98" t="str">
        <f t="shared" ref="FI251" si="1357">IF(ISERROR((FH251/FF251-1)*100),"NA",IF(((FH251/FF251-1)*100)&gt;100,"NM",IF(((FH251/FF251-1)*100)&lt;-50,"NM",(FH251/FF251-1)*100)))</f>
        <v>NM</v>
      </c>
      <c r="FJ251" s="118">
        <f>S251+U251+W251+Y251</f>
        <v>0</v>
      </c>
      <c r="FK251" s="98" t="str">
        <f t="shared" ref="FK251" si="1358">IF(ISERROR((FJ251/FH251-1)*100),"NA",IF(((FJ251/FH251-1)*100)&gt;100,"NM",IF(((FJ251/FH251-1)*100)&lt;-50,"NM",(FJ251/FH251-1)*100)))</f>
        <v>NA</v>
      </c>
      <c r="FL251" s="118">
        <f>AA251+AC251+AE251+AG251</f>
        <v>0</v>
      </c>
      <c r="FM251" s="98" t="str">
        <f t="shared" ref="FM251" si="1359">IF(ISERROR((FL251/FJ251-1)*100),"NA",IF(((FL251/FJ251-1)*100)&gt;100,"NM",IF(((FL251/FJ251-1)*100)&lt;-50,"NM",(FL251/FJ251-1)*100)))</f>
        <v>NA</v>
      </c>
      <c r="FN251" s="118">
        <f>AI251+AK251+AM251+AO251</f>
        <v>0</v>
      </c>
      <c r="FO251" s="98" t="str">
        <f t="shared" ref="FO251" si="1360">IF(ISERROR((FN251/FL251-1)*100),"NA",IF(((FN251/FL251-1)*100)&gt;100,"NM",IF(((FN251/FL251-1)*100)&lt;-50,"NM",(FN251/FL251-1)*100)))</f>
        <v>NA</v>
      </c>
      <c r="FP251" s="118">
        <f>AQ251+AS251+AU251+AW251</f>
        <v>0</v>
      </c>
      <c r="FQ251" s="98" t="str">
        <f t="shared" ref="FQ251" si="1361">IF(ISERROR((FP251/FN251-1)*100),"NA",IF(((FP251/FN251-1)*100)&gt;100,"NM",IF(((FP251/FN251-1)*100)&lt;-50,"NM",(FP251/FN251-1)*100)))</f>
        <v>NA</v>
      </c>
      <c r="FR251" s="119">
        <f>AY251+BA251+BC251+BE251</f>
        <v>0</v>
      </c>
      <c r="FS251" s="120" t="str">
        <f t="shared" ref="FS251" si="1362">IF(ISERROR((FR251/FP251-1)*100),"NA",IF(((FR251/FP251-1)*100)&gt;100,"NM",IF(((FR251/FP251-1)*100)&lt;-50,"NM",(FR251/FP251-1)*100)))</f>
        <v>NA</v>
      </c>
      <c r="FT251" s="119">
        <f>BG251+BI251+BK251+BM251</f>
        <v>0</v>
      </c>
      <c r="FU251" s="120" t="str">
        <f>IF(ISERROR((FT251/FR251-1)*100),"NA",IF(((FT251/FR251-1)*100)&gt;100,"NM",IF(((FT251/FR251-1)*100)&lt;-50,"NM",(FT251/FR251-1)*100)))</f>
        <v>NA</v>
      </c>
      <c r="FV251" s="121">
        <v>2683</v>
      </c>
      <c r="FW251" s="98" t="str">
        <f t="shared" ref="FW251:FW254" si="1363">IF(ISERROR((FV251/FT251-1)*100),"NA",IF(((FV251/FT251-1)*100)&gt;100,"NM",IF(((FV251/FT251-1)*100)&lt;-50,"NM",(FV251/FT251-1)*100)))</f>
        <v>NA</v>
      </c>
      <c r="FX251" s="485">
        <f>BW251+BY251+CA251+CC251</f>
        <v>0</v>
      </c>
      <c r="FY251" s="98" t="str">
        <f t="shared" ref="FY251:FY254" si="1364">IF(ISERROR((FX251/FV251-1)*100),"NA",IF(((FX251/FV251-1)*100)&gt;100,"NM",IF(((FX251/FV251-1)*100)&lt;-50,"NM",(FX251/FV251-1)*100)))</f>
        <v>NM</v>
      </c>
      <c r="FZ251" s="119">
        <f>CE251+CG251+CI251+CK251</f>
        <v>0</v>
      </c>
      <c r="GA251" s="98" t="str">
        <f t="shared" ref="GA251:GA254" si="1365">IF(ISERROR((FZ251/FX251-1)*100),"NA",IF(((FZ251/FX251-1)*100)&gt;100,"NM",IF(((FZ251/FX251-1)*100)&lt;-50,"NM",(FZ251/FX251-1)*100)))</f>
        <v>NA</v>
      </c>
      <c r="GB251" s="485">
        <f>CM251+CO251+CQ251+CS251</f>
        <v>0</v>
      </c>
      <c r="GC251" s="98" t="str">
        <f t="shared" ref="GC251:GC254" si="1366">IF(ISERROR((GB251/FZ251-1)*100),"NA",IF(((GB251/FZ251-1)*100)&gt;100,"NM",IF(((GB251/FZ251-1)*100)&lt;-50,"NM",(GB251/FZ251-1)*100)))</f>
        <v>NA</v>
      </c>
      <c r="GD251" s="119">
        <f>CU251+CW251+CY251+DA251</f>
        <v>0</v>
      </c>
      <c r="GE251" s="98" t="str">
        <f t="shared" ref="GE251:GE254" si="1367">IF(ISERROR((GD251/GB251-1)*100),"NA",IF(((GD251/GB251-1)*100)&gt;100,"NM",IF(((GD251/GB251-1)*100)&lt;-50,"NM",(GD251/GB251-1)*100)))</f>
        <v>NA</v>
      </c>
      <c r="GF251" s="119">
        <f>DC251+DE251+DG251+DI251</f>
        <v>0</v>
      </c>
      <c r="GG251" s="98" t="str">
        <f t="shared" ref="GG251:GG254" si="1368">IF(ISERROR((GF251/GD251-1)*100),"NA",IF(((GF251/GD251-1)*100)&gt;100,"NM",IF(((GF251/GD251-1)*100)&lt;-50,"NM",(GF251/GD251-1)*100)))</f>
        <v>NA</v>
      </c>
      <c r="GH251" s="119">
        <f>DK251+DM251+DO251+DQ251</f>
        <v>0</v>
      </c>
      <c r="GI251" s="98" t="str">
        <f t="shared" ref="GI251:GI254" si="1369">IF(ISERROR((GH251/GF251-1)*100),"NA",IF(((GH251/GF251-1)*100)&gt;100,"NM",IF(((GH251/GF251-1)*100)&lt;-50,"NM",(GH251/GF251-1)*100)))</f>
        <v>NA</v>
      </c>
      <c r="GJ251" s="119">
        <f>DS251+DU251+DW251+DY251</f>
        <v>3437</v>
      </c>
      <c r="GK251" s="98" t="str">
        <f t="shared" ref="GK251:GK254" si="1370">IF(ISERROR((GJ251/GH251-1)*100),"NA",IF(((GJ251/GH251-1)*100)&gt;100,"NM",IF(((GJ251/GH251-1)*100)&lt;-50,"NM",(GJ251/GH251-1)*100)))</f>
        <v>NA</v>
      </c>
      <c r="GL251" s="119">
        <f>EA251+EC251+EE251+EG251</f>
        <v>3494</v>
      </c>
      <c r="GM251" s="98">
        <f t="shared" ref="GM251:GW254" si="1371">IF(ISERROR((GL251/GJ251-1)*100),"NA",IF(((GL251/GJ251-1)*100)&gt;100,"NM",IF(((GL251/GJ251-1)*100)&lt;-50,"NM",(GL251/GJ251-1)*100)))</f>
        <v>1.6584230433517533</v>
      </c>
      <c r="GN251" s="119">
        <f>EI251+EK251+EM251+EO251</f>
        <v>3546</v>
      </c>
      <c r="GO251" s="98">
        <f t="shared" si="1371"/>
        <v>1.4882655981682813</v>
      </c>
      <c r="GP251" s="119">
        <f>EQ251+ES251+EU251+EW251</f>
        <v>3637.3609637766199</v>
      </c>
      <c r="GQ251" s="98">
        <f t="shared" si="1371"/>
        <v>2.5764513191376182</v>
      </c>
      <c r="GR251" s="100">
        <f>GR201+GR225</f>
        <v>3855.6026216032169</v>
      </c>
      <c r="GS251" s="98">
        <f t="shared" si="1371"/>
        <v>6.0000000000000053</v>
      </c>
      <c r="GT251" s="100">
        <f>GT201+GT225</f>
        <v>4086.9387788994104</v>
      </c>
      <c r="GU251" s="98">
        <f t="shared" si="1371"/>
        <v>6.0000000000000053</v>
      </c>
      <c r="GV251" s="100">
        <f>GV201+GV225</f>
        <v>4291.285717844381</v>
      </c>
      <c r="GW251" s="98">
        <f t="shared" si="1371"/>
        <v>5.0000000000000044</v>
      </c>
      <c r="GX251" s="100">
        <f>GX201+GX225</f>
        <v>4505.8500037366002</v>
      </c>
      <c r="GY251" s="98">
        <f t="shared" ref="GY251:GY254" si="1372">IF(ISERROR((GX251/GV251-1)*100),"NA",IF(((GX251/GV251-1)*100)&gt;100,"NM",IF(((GX251/GV251-1)*100)&lt;-50,"NM",(GX251/GV251-1)*100)))</f>
        <v>5.0000000000000044</v>
      </c>
      <c r="GZ251" s="98">
        <f>IF(ISERROR(((GX251/GN251)^0.2-1)*100),"NA",IF((((GX251/GN251)^0.2-1)*100)&gt;100,"NM",IF((((GX251/GN251)^0.2-1)*100)&lt;-50,"NM",((GX251/GN251)^0.2-1)*100)))</f>
        <v>4.9077565636847176</v>
      </c>
      <c r="HA251" s="98"/>
      <c r="HB251" s="10"/>
      <c r="HC251"/>
      <c r="HD251"/>
      <c r="HE251"/>
      <c r="HF251"/>
      <c r="HG251"/>
      <c r="HH251"/>
      <c r="HI251" s="10"/>
    </row>
    <row r="252" spans="1:217" s="2" customFormat="1" ht="12.75" customHeight="1" x14ac:dyDescent="0.2">
      <c r="B252" s="91" t="s">
        <v>534</v>
      </c>
      <c r="C252" s="157">
        <v>621</v>
      </c>
      <c r="D252" s="156"/>
      <c r="E252" s="157">
        <v>631</v>
      </c>
      <c r="F252" s="156"/>
      <c r="G252" s="157">
        <v>680</v>
      </c>
      <c r="H252" s="156"/>
      <c r="I252" s="157">
        <v>698</v>
      </c>
      <c r="J252" s="156"/>
      <c r="K252" s="157"/>
      <c r="L252" s="156"/>
      <c r="M252" s="157"/>
      <c r="N252" s="156"/>
      <c r="O252" s="157"/>
      <c r="P252" s="156"/>
      <c r="Q252" s="157"/>
      <c r="R252" s="156"/>
      <c r="S252" s="157"/>
      <c r="T252" s="156"/>
      <c r="U252" s="157"/>
      <c r="V252" s="156"/>
      <c r="W252" s="157"/>
      <c r="X252" s="156"/>
      <c r="Y252" s="157"/>
      <c r="Z252" s="156"/>
      <c r="AA252" s="157"/>
      <c r="AB252" s="156"/>
      <c r="AC252" s="157"/>
      <c r="AD252" s="156"/>
      <c r="AE252" s="157"/>
      <c r="AF252" s="156"/>
      <c r="AG252" s="157"/>
      <c r="AH252" s="156"/>
      <c r="AI252" s="157"/>
      <c r="AJ252" s="156"/>
      <c r="AK252" s="157"/>
      <c r="AL252" s="156"/>
      <c r="AM252" s="157"/>
      <c r="AN252" s="156"/>
      <c r="AO252" s="157"/>
      <c r="AP252" s="156"/>
      <c r="AQ252" s="157"/>
      <c r="AR252" s="156"/>
      <c r="AS252" s="157"/>
      <c r="AT252" s="156"/>
      <c r="AU252" s="157"/>
      <c r="AV252" s="156"/>
      <c r="AW252" s="157"/>
      <c r="AX252" s="156"/>
      <c r="AY252" s="157"/>
      <c r="AZ252" s="156"/>
      <c r="BA252" s="157"/>
      <c r="BB252" s="156"/>
      <c r="BC252" s="157"/>
      <c r="BD252" s="156"/>
      <c r="BE252" s="157"/>
      <c r="BF252" s="156"/>
      <c r="BG252" s="157"/>
      <c r="BH252" s="156"/>
      <c r="BI252" s="157"/>
      <c r="BJ252" s="156"/>
      <c r="BK252" s="157"/>
      <c r="BL252" s="156"/>
      <c r="BM252" s="157"/>
      <c r="BN252" s="98"/>
      <c r="BO252" s="101"/>
      <c r="BP252" s="98"/>
      <c r="BQ252" s="101"/>
      <c r="BR252" s="98"/>
      <c r="BS252" s="101"/>
      <c r="BT252" s="98"/>
      <c r="BU252" s="101"/>
      <c r="BV252" s="98"/>
      <c r="BW252" s="101"/>
      <c r="BX252" s="98"/>
      <c r="BY252" s="101"/>
      <c r="BZ252" s="98"/>
      <c r="CA252" s="101"/>
      <c r="CB252" s="98"/>
      <c r="CC252" s="101"/>
      <c r="CD252" s="98"/>
      <c r="CE252" s="101"/>
      <c r="CF252" s="98"/>
      <c r="CG252" s="101"/>
      <c r="CH252" s="98"/>
      <c r="CI252" s="101"/>
      <c r="CJ252" s="98"/>
      <c r="CK252" s="101"/>
      <c r="CL252" s="98"/>
      <c r="CM252" s="101"/>
      <c r="CN252" s="98"/>
      <c r="CO252" s="101"/>
      <c r="CP252" s="98"/>
      <c r="CQ252" s="542"/>
      <c r="CR252" s="98"/>
      <c r="CS252" s="101"/>
      <c r="CT252" s="98"/>
      <c r="CU252" s="101"/>
      <c r="CV252" s="98"/>
      <c r="CW252" s="101"/>
      <c r="CX252" s="98"/>
      <c r="CY252" s="101"/>
      <c r="CZ252" s="98"/>
      <c r="DA252" s="101"/>
      <c r="DB252" s="98"/>
      <c r="DC252" s="101"/>
      <c r="DD252" s="98"/>
      <c r="DE252" s="101"/>
      <c r="DF252" s="98"/>
      <c r="DG252" s="101"/>
      <c r="DH252" s="98"/>
      <c r="DI252" s="101"/>
      <c r="DJ252" s="98"/>
      <c r="DK252" s="101"/>
      <c r="DL252" s="98"/>
      <c r="DM252" s="101"/>
      <c r="DN252" s="98"/>
      <c r="DO252" s="101"/>
      <c r="DP252" s="98"/>
      <c r="DQ252" s="101"/>
      <c r="DR252" s="98"/>
      <c r="DS252" s="101">
        <v>41</v>
      </c>
      <c r="DT252" s="98" t="str">
        <f t="shared" ref="DT252:DT254" si="1373">IF(ISERROR((DS252/DK252-1)*100),"NA",IF(((DS252/DK252-1)*100)&gt;100,"NM",IF(((DS252/DK252-1)*100)&lt;-50,"NM",(DS252/DK252-1)*100)))</f>
        <v>NA</v>
      </c>
      <c r="DU252" s="101">
        <v>42</v>
      </c>
      <c r="DV252" s="98" t="str">
        <f t="shared" ref="DV252:DV254" si="1374">IF(ISERROR((DU252/DM252-1)*100),"NA",IF(((DU252/DM252-1)*100)&gt;100,"NM",IF(((DU252/DM252-1)*100)&lt;-50,"NM",(DU252/DM252-1)*100)))</f>
        <v>NA</v>
      </c>
      <c r="DW252" s="101">
        <v>39</v>
      </c>
      <c r="DX252" s="98" t="str">
        <f t="shared" ref="DX252:DX254" si="1375">IF(ISERROR((DW252/DO252-1)*100),"NA",IF(((DW252/DO252-1)*100)&gt;100,"NM",IF(((DW252/DO252-1)*100)&lt;-50,"NM",(DW252/DO252-1)*100)))</f>
        <v>NA</v>
      </c>
      <c r="DY252" s="101">
        <v>34</v>
      </c>
      <c r="DZ252" s="98" t="str">
        <f t="shared" ref="DZ252:DZ254" si="1376">IF(ISERROR((DY252/DQ252-1)*100),"NA",IF(((DY252/DQ252-1)*100)&gt;100,"NM",IF(((DY252/DQ252-1)*100)&lt;-50,"NM",(DY252/DQ252-1)*100)))</f>
        <v>NA</v>
      </c>
      <c r="EA252" s="101">
        <v>22</v>
      </c>
      <c r="EB252" s="98">
        <f t="shared" ref="EB252:EB254" si="1377">IF(ISERROR((EA252/DS252-1)*100),"NA",IF(((EA252/DS252-1)*100)&gt;100,"NM",IF(((EA252/DS252-1)*100)&lt;-50,"NM",(EA252/DS252-1)*100)))</f>
        <v>-46.341463414634141</v>
      </c>
      <c r="EC252" s="101">
        <v>32</v>
      </c>
      <c r="ED252" s="98">
        <f t="shared" ref="ED252:ED254" si="1378">IF(ISERROR((EC252/DU252-1)*100),"NA",IF(((EC252/DU252-1)*100)&gt;100,"NM",IF(((EC252/DU252-1)*100)&lt;-50,"NM",(EC252/DU252-1)*100)))</f>
        <v>-23.809523809523814</v>
      </c>
      <c r="EE252" s="101">
        <v>32</v>
      </c>
      <c r="EF252" s="860">
        <f t="shared" ref="EF252:EF254" si="1379">IF(ISERROR((EE252/DW252-1)*100),"NA",IF(((EE252/DW252-1)*100)&gt;100,"NM",IF(((EE252/DW252-1)*100)&lt;-50,"NM",(EE252/DW252-1)*100)))</f>
        <v>-17.948717948717952</v>
      </c>
      <c r="EG252" s="101">
        <v>28</v>
      </c>
      <c r="EH252" s="860">
        <f t="shared" ref="EH252:EH254" si="1380">IF(ISERROR((EG252/DY252-1)*100),"NA",IF(((EG252/DY252-1)*100)&gt;100,"NM",IF(((EG252/DY252-1)*100)&lt;-50,"NM",(EG252/DY252-1)*100)))</f>
        <v>-17.647058823529417</v>
      </c>
      <c r="EI252" s="101">
        <v>42</v>
      </c>
      <c r="EJ252" s="860">
        <f t="shared" ref="EJ252:EJ254" si="1381">IF(ISERROR((EI252/EA252-1)*100),"NA",IF(((EI252/EA252-1)*100)&gt;100,"NM",IF(((EI252/EA252-1)*100)&lt;-50,"NM",(EI252/EA252-1)*100)))</f>
        <v>90.909090909090921</v>
      </c>
      <c r="EK252" s="101">
        <v>41</v>
      </c>
      <c r="EL252" s="860">
        <f t="shared" ref="EL252:EL254" si="1382">IF(ISERROR((EK252/EC252-1)*100),"NA",IF(((EK252/EC252-1)*100)&gt;100,"NM",IF(((EK252/EC252-1)*100)&lt;-50,"NM",(EK252/EC252-1)*100)))</f>
        <v>28.125</v>
      </c>
      <c r="EM252" s="101">
        <v>41</v>
      </c>
      <c r="EN252" s="860">
        <f t="shared" ref="EN252:EN254" si="1383">IF(ISERROR((EM252/EE252-1)*100),"NA",IF(((EM252/EE252-1)*100)&gt;100,"NM",IF(((EM252/EE252-1)*100)&lt;-50,"NM",(EM252/EE252-1)*100)))</f>
        <v>28.125</v>
      </c>
      <c r="EO252" s="101">
        <v>38</v>
      </c>
      <c r="EP252" s="98">
        <f t="shared" ref="EP252:EP254" si="1384">IF(ISERROR((EO252/EG252-1)*100),"NA",IF(((EO252/EG252-1)*100)&gt;100,"NM",IF(((EO252/EG252-1)*100)&lt;-50,"NM",(EO252/EG252-1)*100)))</f>
        <v>35.714285714285722</v>
      </c>
      <c r="EQ252" s="101">
        <f>EO252*1.005</f>
        <v>38.19</v>
      </c>
      <c r="ER252" s="98">
        <f t="shared" si="1348"/>
        <v>-9.0714285714285747</v>
      </c>
      <c r="ES252" s="101">
        <f t="shared" ref="ES252" si="1385">EQ252*1.005</f>
        <v>38.380949999999991</v>
      </c>
      <c r="ET252" s="98">
        <f t="shared" si="1350"/>
        <v>-6.3879268292683093</v>
      </c>
      <c r="EU252" s="101">
        <f t="shared" ref="EU252" si="1386">ES252*1.005</f>
        <v>38.572854749999991</v>
      </c>
      <c r="EV252" s="98">
        <f t="shared" si="1352"/>
        <v>-5.9198664634146585</v>
      </c>
      <c r="EW252" s="101">
        <f t="shared" ref="EW252" si="1387">EU252*1.005</f>
        <v>38.765719023749988</v>
      </c>
      <c r="EX252" s="98">
        <f t="shared" si="1354"/>
        <v>2.0150500624999568</v>
      </c>
      <c r="EY252" s="118"/>
      <c r="EZ252" s="594"/>
      <c r="FA252" s="405"/>
      <c r="FB252" s="121">
        <v>2773</v>
      </c>
      <c r="FC252" s="98"/>
      <c r="FD252" s="101">
        <v>2652</v>
      </c>
      <c r="FE252" s="98">
        <f t="shared" ref="FE252:FE254" si="1388">IF(ISERROR((FD252/FB252-1)*100),"NA",IF(((FD252/FB252-1)*100)&gt;100,"NM",IF(((FD252/FB252-1)*100)&lt;-50,"NM",(FD252/FB252-1)*100)))</f>
        <v>-4.3635052289938692</v>
      </c>
      <c r="FF252" s="118">
        <f>C252+E252+G252+I252</f>
        <v>2630</v>
      </c>
      <c r="FG252" s="98">
        <f t="shared" ref="FG252:FG254" si="1389">IF(ISERROR((FF252/FD252-1)*100),"NA",IF(((FF252/FD252-1)*100)&gt;100,"NM",IF(((FF252/FD252-1)*100)&lt;-50,"NM",(FF252/FD252-1)*100)))</f>
        <v>-0.82956259426847367</v>
      </c>
      <c r="FH252" s="118">
        <f>K252+M252+O252+Q252</f>
        <v>0</v>
      </c>
      <c r="FI252" s="98" t="str">
        <f t="shared" ref="FI252:FI254" si="1390">IF(ISERROR((FH252/FF252-1)*100),"NA",IF(((FH252/FF252-1)*100)&gt;100,"NM",IF(((FH252/FF252-1)*100)&lt;-50,"NM",(FH252/FF252-1)*100)))</f>
        <v>NM</v>
      </c>
      <c r="FJ252" s="118">
        <f>S252+U252+W252+Y252</f>
        <v>0</v>
      </c>
      <c r="FK252" s="98" t="str">
        <f t="shared" ref="FK252:FK254" si="1391">IF(ISERROR((FJ252/FH252-1)*100),"NA",IF(((FJ252/FH252-1)*100)&gt;100,"NM",IF(((FJ252/FH252-1)*100)&lt;-50,"NM",(FJ252/FH252-1)*100)))</f>
        <v>NA</v>
      </c>
      <c r="FL252" s="118">
        <f>AA252+AC252+AE252+AG252</f>
        <v>0</v>
      </c>
      <c r="FM252" s="98" t="str">
        <f t="shared" ref="FM252:FM254" si="1392">IF(ISERROR((FL252/FJ252-1)*100),"NA",IF(((FL252/FJ252-1)*100)&gt;100,"NM",IF(((FL252/FJ252-1)*100)&lt;-50,"NM",(FL252/FJ252-1)*100)))</f>
        <v>NA</v>
      </c>
      <c r="FN252" s="118">
        <f>AI252+AK252+AM252+AO252</f>
        <v>0</v>
      </c>
      <c r="FO252" s="98" t="str">
        <f t="shared" ref="FO252:FO254" si="1393">IF(ISERROR((FN252/FL252-1)*100),"NA",IF(((FN252/FL252-1)*100)&gt;100,"NM",IF(((FN252/FL252-1)*100)&lt;-50,"NM",(FN252/FL252-1)*100)))</f>
        <v>NA</v>
      </c>
      <c r="FP252" s="118">
        <f>AQ252+AS252+AU252+AW252</f>
        <v>0</v>
      </c>
      <c r="FQ252" s="98" t="str">
        <f t="shared" ref="FQ252:FQ254" si="1394">IF(ISERROR((FP252/FN252-1)*100),"NA",IF(((FP252/FN252-1)*100)&gt;100,"NM",IF(((FP252/FN252-1)*100)&lt;-50,"NM",(FP252/FN252-1)*100)))</f>
        <v>NA</v>
      </c>
      <c r="FR252" s="119">
        <f>AY252+BA252+BC252+BE252</f>
        <v>0</v>
      </c>
      <c r="FS252" s="120" t="str">
        <f t="shared" ref="FS252:FS254" si="1395">IF(ISERROR((FR252/FP252-1)*100),"NA",IF(((FR252/FP252-1)*100)&gt;100,"NM",IF(((FR252/FP252-1)*100)&lt;-50,"NM",(FR252/FP252-1)*100)))</f>
        <v>NA</v>
      </c>
      <c r="FT252" s="119">
        <f>BG252+BI252+BK252+BM252</f>
        <v>0</v>
      </c>
      <c r="FU252" s="120" t="str">
        <f t="shared" ref="FU252:FU254" si="1396">IF(ISERROR((FT252/FR252-1)*100),"NA",IF(((FT252/FR252-1)*100)&gt;100,"NM",IF(((FT252/FR252-1)*100)&lt;-50,"NM",(FT252/FR252-1)*100)))</f>
        <v>NA</v>
      </c>
      <c r="FV252" s="121">
        <v>5874</v>
      </c>
      <c r="FW252" s="98" t="str">
        <f t="shared" si="1363"/>
        <v>NA</v>
      </c>
      <c r="FX252" s="485">
        <f>BW252+BY252+CA252+CC252</f>
        <v>0</v>
      </c>
      <c r="FY252" s="98" t="str">
        <f t="shared" si="1364"/>
        <v>NM</v>
      </c>
      <c r="FZ252" s="119">
        <f>CE252+CG252+CI252+CK252</f>
        <v>0</v>
      </c>
      <c r="GA252" s="98" t="str">
        <f t="shared" si="1365"/>
        <v>NA</v>
      </c>
      <c r="GB252" s="485">
        <f>CM252+CO252+CQ252+CS252</f>
        <v>0</v>
      </c>
      <c r="GC252" s="98" t="str">
        <f t="shared" si="1366"/>
        <v>NA</v>
      </c>
      <c r="GD252" s="119">
        <f>CU252+CW252+CY252+DA252</f>
        <v>0</v>
      </c>
      <c r="GE252" s="98" t="str">
        <f t="shared" si="1367"/>
        <v>NA</v>
      </c>
      <c r="GF252" s="119">
        <f>DC252+DE252+DG252+DI252</f>
        <v>0</v>
      </c>
      <c r="GG252" s="98" t="str">
        <f t="shared" si="1368"/>
        <v>NA</v>
      </c>
      <c r="GH252" s="119">
        <f>DK252+DM252+DO252+DQ252</f>
        <v>0</v>
      </c>
      <c r="GI252" s="98" t="str">
        <f t="shared" si="1369"/>
        <v>NA</v>
      </c>
      <c r="GJ252" s="119">
        <f>DS252+DU252+DW252+DY252</f>
        <v>156</v>
      </c>
      <c r="GK252" s="98" t="str">
        <f t="shared" si="1370"/>
        <v>NA</v>
      </c>
      <c r="GL252" s="119">
        <f>EA252+EC252+EE252+EG252</f>
        <v>114</v>
      </c>
      <c r="GM252" s="98">
        <f t="shared" si="1371"/>
        <v>-26.923076923076927</v>
      </c>
      <c r="GN252" s="119">
        <f>EI252+EK252+EM252+EO252</f>
        <v>162</v>
      </c>
      <c r="GO252" s="98">
        <f t="shared" si="1371"/>
        <v>42.105263157894733</v>
      </c>
      <c r="GP252" s="119">
        <f>EQ252+ES252+EU252+EW252</f>
        <v>153.90952377374995</v>
      </c>
      <c r="GQ252" s="98">
        <f t="shared" si="1371"/>
        <v>-4.9941211273148429</v>
      </c>
      <c r="GR252" s="101">
        <f>GP252*1.01</f>
        <v>155.44861901148747</v>
      </c>
      <c r="GS252" s="98">
        <f t="shared" si="1371"/>
        <v>1.0000000000000009</v>
      </c>
      <c r="GT252" s="101">
        <f>GR252*1.01</f>
        <v>157.00310520160235</v>
      </c>
      <c r="GU252" s="98">
        <f t="shared" si="1371"/>
        <v>1.0000000000000009</v>
      </c>
      <c r="GV252" s="101">
        <f>GT252*1.01</f>
        <v>158.57313625361837</v>
      </c>
      <c r="GW252" s="98">
        <f t="shared" si="1371"/>
        <v>1.0000000000000009</v>
      </c>
      <c r="GX252" s="101">
        <f>GV252*1.01</f>
        <v>160.15886761615457</v>
      </c>
      <c r="GY252" s="98">
        <f t="shared" si="1372"/>
        <v>1.0000000000000009</v>
      </c>
      <c r="GZ252" s="98">
        <f>IF(ISERROR(((GX252/GN252)^0.2-1)*100),"NA",IF((((GX252/GN252)^0.2-1)*100)&gt;100,"NM",IF((((GX252/GN252)^0.2-1)*100)&lt;-50,"NM",((GX252/GN252)^0.2-1)*100)))</f>
        <v>-0.22834070546157159</v>
      </c>
      <c r="HA252" s="98"/>
      <c r="HB252" s="10"/>
      <c r="HC252"/>
      <c r="HD252"/>
      <c r="HE252"/>
      <c r="HF252"/>
      <c r="HG252"/>
      <c r="HH252"/>
      <c r="HI252" s="10"/>
    </row>
    <row r="253" spans="1:217" s="2" customFormat="1" ht="12.75" customHeight="1" x14ac:dyDescent="0.2">
      <c r="B253" s="91" t="s">
        <v>537</v>
      </c>
      <c r="C253" s="173">
        <v>79</v>
      </c>
      <c r="D253" s="156"/>
      <c r="E253" s="173">
        <v>84</v>
      </c>
      <c r="F253" s="156"/>
      <c r="G253" s="173">
        <v>81</v>
      </c>
      <c r="H253" s="156"/>
      <c r="I253" s="173">
        <v>56</v>
      </c>
      <c r="J253" s="156"/>
      <c r="K253" s="173"/>
      <c r="L253" s="156"/>
      <c r="M253" s="173"/>
      <c r="N253" s="156"/>
      <c r="O253" s="173"/>
      <c r="P253" s="156"/>
      <c r="Q253" s="173"/>
      <c r="R253" s="156"/>
      <c r="S253" s="173"/>
      <c r="T253" s="156"/>
      <c r="U253" s="173"/>
      <c r="V253" s="156"/>
      <c r="W253" s="173"/>
      <c r="X253" s="156"/>
      <c r="Y253" s="173"/>
      <c r="Z253" s="156"/>
      <c r="AA253" s="173"/>
      <c r="AB253" s="156"/>
      <c r="AC253" s="173"/>
      <c r="AD253" s="156"/>
      <c r="AE253" s="173"/>
      <c r="AF253" s="156"/>
      <c r="AG253" s="173"/>
      <c r="AH253" s="156"/>
      <c r="AI253" s="173"/>
      <c r="AJ253" s="156"/>
      <c r="AK253" s="173"/>
      <c r="AL253" s="156"/>
      <c r="AM253" s="173"/>
      <c r="AN253" s="156"/>
      <c r="AO253" s="173"/>
      <c r="AP253" s="156"/>
      <c r="AQ253" s="173"/>
      <c r="AR253" s="156"/>
      <c r="AS253" s="173"/>
      <c r="AT253" s="156"/>
      <c r="AU253" s="173"/>
      <c r="AV253" s="156"/>
      <c r="AW253" s="173"/>
      <c r="AX253" s="156"/>
      <c r="AY253" s="173"/>
      <c r="AZ253" s="156"/>
      <c r="BA253" s="173"/>
      <c r="BB253" s="156"/>
      <c r="BC253" s="173"/>
      <c r="BD253" s="156"/>
      <c r="BE253" s="173"/>
      <c r="BF253" s="156"/>
      <c r="BG253" s="173"/>
      <c r="BH253" s="156"/>
      <c r="BI253" s="173"/>
      <c r="BJ253" s="156"/>
      <c r="BK253" s="173"/>
      <c r="BL253" s="156"/>
      <c r="BM253" s="173"/>
      <c r="BN253" s="98"/>
      <c r="BO253" s="122"/>
      <c r="BP253" s="98"/>
      <c r="BQ253" s="122"/>
      <c r="BR253" s="98"/>
      <c r="BS253" s="122"/>
      <c r="BT253" s="98"/>
      <c r="BU253" s="122"/>
      <c r="BV253" s="98"/>
      <c r="BW253" s="122"/>
      <c r="BX253" s="98"/>
      <c r="BY253" s="122"/>
      <c r="BZ253" s="98"/>
      <c r="CA253" s="122"/>
      <c r="CB253" s="98"/>
      <c r="CC253" s="122"/>
      <c r="CD253" s="98"/>
      <c r="CE253" s="122"/>
      <c r="CF253" s="98"/>
      <c r="CG253" s="122"/>
      <c r="CH253" s="98"/>
      <c r="CI253" s="122"/>
      <c r="CJ253" s="98"/>
      <c r="CK253" s="122"/>
      <c r="CL253" s="98"/>
      <c r="CM253" s="122"/>
      <c r="CN253" s="98"/>
      <c r="CO253" s="122"/>
      <c r="CP253" s="98"/>
      <c r="CQ253" s="547"/>
      <c r="CR253" s="98"/>
      <c r="CS253" s="122"/>
      <c r="CT253" s="98"/>
      <c r="CU253" s="122"/>
      <c r="CV253" s="98"/>
      <c r="CW253" s="122"/>
      <c r="CX253" s="98"/>
      <c r="CY253" s="122"/>
      <c r="CZ253" s="98"/>
      <c r="DA253" s="122"/>
      <c r="DB253" s="98"/>
      <c r="DC253" s="122"/>
      <c r="DD253" s="98"/>
      <c r="DE253" s="122"/>
      <c r="DF253" s="98"/>
      <c r="DG253" s="122"/>
      <c r="DH253" s="98"/>
      <c r="DI253" s="122"/>
      <c r="DJ253" s="98"/>
      <c r="DK253" s="122"/>
      <c r="DL253" s="98"/>
      <c r="DM253" s="122"/>
      <c r="DN253" s="98"/>
      <c r="DO253" s="122"/>
      <c r="DP253" s="98"/>
      <c r="DQ253" s="122"/>
      <c r="DR253" s="98"/>
      <c r="DS253" s="122">
        <v>5</v>
      </c>
      <c r="DT253" s="98" t="str">
        <f t="shared" si="1373"/>
        <v>NA</v>
      </c>
      <c r="DU253" s="122">
        <v>6</v>
      </c>
      <c r="DV253" s="98" t="str">
        <f t="shared" si="1374"/>
        <v>NA</v>
      </c>
      <c r="DW253" s="122">
        <v>5</v>
      </c>
      <c r="DX253" s="98" t="str">
        <f t="shared" si="1375"/>
        <v>NA</v>
      </c>
      <c r="DY253" s="122">
        <v>6</v>
      </c>
      <c r="DZ253" s="98" t="str">
        <f t="shared" si="1376"/>
        <v>NA</v>
      </c>
      <c r="EA253" s="122">
        <v>15</v>
      </c>
      <c r="EB253" s="98" t="str">
        <f t="shared" si="1377"/>
        <v>NM</v>
      </c>
      <c r="EC253" s="122">
        <v>6</v>
      </c>
      <c r="ED253" s="98">
        <f t="shared" si="1378"/>
        <v>0</v>
      </c>
      <c r="EE253" s="122">
        <v>3</v>
      </c>
      <c r="EF253" s="860">
        <f t="shared" si="1379"/>
        <v>-40</v>
      </c>
      <c r="EG253" s="122">
        <v>5</v>
      </c>
      <c r="EH253" s="860">
        <f t="shared" si="1380"/>
        <v>-16.666666666666664</v>
      </c>
      <c r="EI253" s="122">
        <v>7</v>
      </c>
      <c r="EJ253" s="860" t="str">
        <f t="shared" si="1381"/>
        <v>NM</v>
      </c>
      <c r="EK253" s="122">
        <v>5</v>
      </c>
      <c r="EL253" s="860">
        <f t="shared" si="1382"/>
        <v>-16.666666666666664</v>
      </c>
      <c r="EM253" s="122">
        <v>4</v>
      </c>
      <c r="EN253" s="860">
        <f t="shared" si="1383"/>
        <v>33.333333333333329</v>
      </c>
      <c r="EO253" s="122">
        <v>6</v>
      </c>
      <c r="EP253" s="98">
        <f t="shared" si="1384"/>
        <v>19.999999999999996</v>
      </c>
      <c r="EQ253" s="952">
        <f>EO253*1.01</f>
        <v>6.0600000000000005</v>
      </c>
      <c r="ER253" s="98">
        <f t="shared" si="1348"/>
        <v>-13.428571428571423</v>
      </c>
      <c r="ES253" s="952">
        <f t="shared" ref="ES253" si="1397">EQ253*1.01</f>
        <v>6.1206000000000005</v>
      </c>
      <c r="ET253" s="98">
        <f t="shared" si="1350"/>
        <v>22.41200000000001</v>
      </c>
      <c r="EU253" s="952">
        <f t="shared" ref="EU253" si="1398">ES253*1.01</f>
        <v>6.1818060000000008</v>
      </c>
      <c r="EV253" s="98">
        <f t="shared" si="1352"/>
        <v>54.545150000000021</v>
      </c>
      <c r="EW253" s="952">
        <f t="shared" ref="EW253" si="1399">EU253*1.01</f>
        <v>6.243624060000001</v>
      </c>
      <c r="EX253" s="98">
        <f t="shared" si="1354"/>
        <v>4.0604010000000246</v>
      </c>
      <c r="EY253" s="121"/>
      <c r="EZ253" s="594"/>
      <c r="FA253" s="405"/>
      <c r="FB253" s="177">
        <v>283</v>
      </c>
      <c r="FC253" s="98"/>
      <c r="FD253" s="122">
        <v>327</v>
      </c>
      <c r="FE253" s="98">
        <f t="shared" si="1388"/>
        <v>15.547703180212014</v>
      </c>
      <c r="FF253" s="118">
        <f>C253+E253+G253+I253</f>
        <v>300</v>
      </c>
      <c r="FG253" s="98">
        <f t="shared" si="1389"/>
        <v>-8.2568807339449499</v>
      </c>
      <c r="FH253" s="118">
        <f>K253+M253+O253+Q253</f>
        <v>0</v>
      </c>
      <c r="FI253" s="98" t="str">
        <f t="shared" si="1390"/>
        <v>NM</v>
      </c>
      <c r="FJ253" s="118">
        <f>S253+U253+W253+Y253</f>
        <v>0</v>
      </c>
      <c r="FK253" s="98" t="str">
        <f t="shared" si="1391"/>
        <v>NA</v>
      </c>
      <c r="FL253" s="118">
        <f>AA253+AC253+AE253+AG253</f>
        <v>0</v>
      </c>
      <c r="FM253" s="98" t="str">
        <f t="shared" si="1392"/>
        <v>NA</v>
      </c>
      <c r="FN253" s="118">
        <f>AI253+AK253+AM253+AO253</f>
        <v>0</v>
      </c>
      <c r="FO253" s="98" t="str">
        <f t="shared" si="1393"/>
        <v>NA</v>
      </c>
      <c r="FP253" s="118">
        <f>AQ253+AS253+AU253+AW253</f>
        <v>0</v>
      </c>
      <c r="FQ253" s="98" t="str">
        <f t="shared" si="1394"/>
        <v>NA</v>
      </c>
      <c r="FR253" s="119">
        <f>AY253+BA253+BC253+BE253</f>
        <v>0</v>
      </c>
      <c r="FS253" s="120" t="str">
        <f t="shared" si="1395"/>
        <v>NA</v>
      </c>
      <c r="FT253" s="119">
        <f>BG253+BI253+BK253+BM253</f>
        <v>0</v>
      </c>
      <c r="FU253" s="120" t="str">
        <f t="shared" si="1396"/>
        <v>NA</v>
      </c>
      <c r="FV253" s="121">
        <v>359</v>
      </c>
      <c r="FW253" s="98" t="str">
        <f t="shared" si="1363"/>
        <v>NA</v>
      </c>
      <c r="FX253" s="485">
        <f>BW253+BY253+CA253+CC253</f>
        <v>0</v>
      </c>
      <c r="FY253" s="98" t="str">
        <f t="shared" si="1364"/>
        <v>NM</v>
      </c>
      <c r="FZ253" s="119">
        <f>CE253+CG253+CI253+CK253</f>
        <v>0</v>
      </c>
      <c r="GA253" s="98" t="str">
        <f t="shared" si="1365"/>
        <v>NA</v>
      </c>
      <c r="GB253" s="485">
        <f>CM253+CO253+CQ253+CS253</f>
        <v>0</v>
      </c>
      <c r="GC253" s="98" t="str">
        <f t="shared" si="1366"/>
        <v>NA</v>
      </c>
      <c r="GD253" s="119">
        <f>CU253+CW253+CY253+DA253</f>
        <v>0</v>
      </c>
      <c r="GE253" s="98" t="str">
        <f t="shared" si="1367"/>
        <v>NA</v>
      </c>
      <c r="GF253" s="119">
        <f>DC253+DE253+DG253+DI253</f>
        <v>0</v>
      </c>
      <c r="GG253" s="98" t="str">
        <f t="shared" si="1368"/>
        <v>NA</v>
      </c>
      <c r="GH253" s="119">
        <f>DK253+DM253+DO253+DQ253</f>
        <v>0</v>
      </c>
      <c r="GI253" s="98" t="str">
        <f t="shared" si="1369"/>
        <v>NA</v>
      </c>
      <c r="GJ253" s="119">
        <f>DS253+DU253+DW253+DY253</f>
        <v>22</v>
      </c>
      <c r="GK253" s="98" t="str">
        <f t="shared" si="1370"/>
        <v>NA</v>
      </c>
      <c r="GL253" s="119">
        <f>EA253+EC253+EE253+EG253</f>
        <v>29</v>
      </c>
      <c r="GM253" s="98">
        <f t="shared" si="1371"/>
        <v>31.818181818181813</v>
      </c>
      <c r="GN253" s="119">
        <f>EI253+EK253+EM253+EO253</f>
        <v>22</v>
      </c>
      <c r="GO253" s="98">
        <f t="shared" si="1371"/>
        <v>-24.137931034482762</v>
      </c>
      <c r="GP253" s="119">
        <f>EQ253+ES253+EU253+EW253</f>
        <v>24.606030060000005</v>
      </c>
      <c r="GQ253" s="98">
        <f t="shared" si="1371"/>
        <v>11.845591181818204</v>
      </c>
      <c r="GR253" s="952">
        <f>GP253*1.04</f>
        <v>25.590271262400005</v>
      </c>
      <c r="GS253" s="98">
        <f t="shared" si="1371"/>
        <v>4.0000000000000036</v>
      </c>
      <c r="GT253" s="952">
        <f>GR253*1.04</f>
        <v>26.613882112896007</v>
      </c>
      <c r="GU253" s="98">
        <f t="shared" si="1371"/>
        <v>4.0000000000000036</v>
      </c>
      <c r="GV253" s="952">
        <f>GT253*1.04</f>
        <v>27.678437397411848</v>
      </c>
      <c r="GW253" s="98">
        <f t="shared" si="1371"/>
        <v>4.0000000000000036</v>
      </c>
      <c r="GX253" s="952">
        <f>GV253*1.04</f>
        <v>28.785574893308322</v>
      </c>
      <c r="GY253" s="98">
        <f t="shared" si="1372"/>
        <v>4.0000000000000036</v>
      </c>
      <c r="GZ253" s="98">
        <f>IF(ISERROR(((GX253/GN253)^0.2-1)*100),"NA",IF((((GX253/GN253)^0.2-1)*100)&gt;100,"NM",IF((((GX253/GN253)^0.2-1)*100)&lt;-50,"NM",((GX253/GN253)^0.2-1)*100)))</f>
        <v>5.5238056356158971</v>
      </c>
      <c r="HA253" s="98"/>
      <c r="HB253" s="10"/>
      <c r="HC253"/>
      <c r="HD253"/>
      <c r="HE253"/>
      <c r="HF253"/>
      <c r="HG253"/>
      <c r="HH253"/>
      <c r="HI253" s="10"/>
    </row>
    <row r="254" spans="1:217" s="2" customFormat="1" ht="12.75" customHeight="1" x14ac:dyDescent="0.2">
      <c r="A254" s="2" t="s">
        <v>606</v>
      </c>
      <c r="B254" s="131" t="s">
        <v>538</v>
      </c>
      <c r="C254" s="181">
        <f>+C253+C252+C251</f>
        <v>853</v>
      </c>
      <c r="D254" s="156"/>
      <c r="E254" s="181">
        <f>+E253+E252+E251</f>
        <v>942</v>
      </c>
      <c r="F254" s="156"/>
      <c r="G254" s="181">
        <f>+G253+G252+G251</f>
        <v>931</v>
      </c>
      <c r="H254" s="156"/>
      <c r="I254" s="181">
        <f>+I253+I252+I251</f>
        <v>977</v>
      </c>
      <c r="J254" s="156"/>
      <c r="K254" s="181"/>
      <c r="L254" s="156"/>
      <c r="M254" s="181"/>
      <c r="N254" s="156"/>
      <c r="O254" s="181"/>
      <c r="P254" s="156"/>
      <c r="Q254" s="181"/>
      <c r="R254" s="156"/>
      <c r="S254" s="181"/>
      <c r="T254" s="156"/>
      <c r="U254" s="181"/>
      <c r="V254" s="156"/>
      <c r="W254" s="181"/>
      <c r="X254" s="156"/>
      <c r="Y254" s="181"/>
      <c r="Z254" s="156"/>
      <c r="AA254" s="181"/>
      <c r="AB254" s="156"/>
      <c r="AC254" s="181"/>
      <c r="AD254" s="156"/>
      <c r="AE254" s="181"/>
      <c r="AF254" s="156"/>
      <c r="AG254" s="181"/>
      <c r="AH254" s="156"/>
      <c r="AI254" s="181"/>
      <c r="AJ254" s="156"/>
      <c r="AK254" s="181"/>
      <c r="AL254" s="156"/>
      <c r="AM254" s="181"/>
      <c r="AN254" s="156"/>
      <c r="AO254" s="181"/>
      <c r="AP254" s="156"/>
      <c r="AQ254" s="181"/>
      <c r="AR254" s="156"/>
      <c r="AS254" s="181"/>
      <c r="AT254" s="156"/>
      <c r="AU254" s="181"/>
      <c r="AV254" s="156"/>
      <c r="AW254" s="181"/>
      <c r="AX254" s="156"/>
      <c r="AY254" s="181"/>
      <c r="AZ254" s="156"/>
      <c r="BA254" s="181"/>
      <c r="BB254" s="156"/>
      <c r="BC254" s="181"/>
      <c r="BD254" s="156"/>
      <c r="BE254" s="181"/>
      <c r="BF254" s="156"/>
      <c r="BG254" s="181"/>
      <c r="BH254" s="156"/>
      <c r="BI254" s="181"/>
      <c r="BJ254" s="156"/>
      <c r="BK254" s="181"/>
      <c r="BL254" s="156"/>
      <c r="BM254" s="181"/>
      <c r="BN254" s="98"/>
      <c r="BO254" s="182"/>
      <c r="BP254" s="98"/>
      <c r="BQ254" s="182"/>
      <c r="BR254" s="98"/>
      <c r="BS254" s="182"/>
      <c r="BT254" s="98"/>
      <c r="BU254" s="182"/>
      <c r="BV254" s="98"/>
      <c r="BW254" s="182"/>
      <c r="BX254" s="98"/>
      <c r="BY254" s="182"/>
      <c r="BZ254" s="98"/>
      <c r="CA254" s="182"/>
      <c r="CB254" s="98"/>
      <c r="CC254" s="182"/>
      <c r="CD254" s="98"/>
      <c r="CE254" s="182"/>
      <c r="CF254" s="98"/>
      <c r="CG254" s="182"/>
      <c r="CH254" s="98"/>
      <c r="CI254" s="182"/>
      <c r="CJ254" s="98"/>
      <c r="CK254" s="182"/>
      <c r="CL254" s="98"/>
      <c r="CM254" s="182"/>
      <c r="CN254" s="98"/>
      <c r="CO254" s="182"/>
      <c r="CP254" s="98"/>
      <c r="CQ254" s="512"/>
      <c r="CR254" s="98"/>
      <c r="CS254" s="182"/>
      <c r="CT254" s="98"/>
      <c r="CU254" s="182"/>
      <c r="CV254" s="98"/>
      <c r="CW254" s="182"/>
      <c r="CX254" s="98"/>
      <c r="CY254" s="182"/>
      <c r="CZ254" s="98"/>
      <c r="DA254" s="182"/>
      <c r="DB254" s="98"/>
      <c r="DC254" s="182"/>
      <c r="DD254" s="98"/>
      <c r="DE254" s="182"/>
      <c r="DF254" s="98"/>
      <c r="DG254" s="182"/>
      <c r="DH254" s="98"/>
      <c r="DI254" s="182"/>
      <c r="DJ254" s="98"/>
      <c r="DK254" s="182"/>
      <c r="DL254" s="98"/>
      <c r="DM254" s="182"/>
      <c r="DN254" s="98"/>
      <c r="DO254" s="182"/>
      <c r="DP254" s="98"/>
      <c r="DQ254" s="182"/>
      <c r="DR254" s="98"/>
      <c r="DS254" s="182">
        <f>+DS253+DS252+DS251</f>
        <v>891</v>
      </c>
      <c r="DT254" s="98" t="str">
        <f t="shared" si="1373"/>
        <v>NA</v>
      </c>
      <c r="DU254" s="182">
        <f>+DU253+DU252+DU251</f>
        <v>904</v>
      </c>
      <c r="DV254" s="98" t="str">
        <f t="shared" si="1374"/>
        <v>NA</v>
      </c>
      <c r="DW254" s="182">
        <f>+DW253+DW252+DW251</f>
        <v>911</v>
      </c>
      <c r="DX254" s="98" t="str">
        <f t="shared" si="1375"/>
        <v>NA</v>
      </c>
      <c r="DY254" s="182">
        <f>+DY253+DY252+DY251</f>
        <v>909</v>
      </c>
      <c r="DZ254" s="98" t="str">
        <f t="shared" si="1376"/>
        <v>NA</v>
      </c>
      <c r="EA254" s="182">
        <f>+EA253+EA252+EA251</f>
        <v>902</v>
      </c>
      <c r="EB254" s="98">
        <f t="shared" si="1377"/>
        <v>1.2345679012345734</v>
      </c>
      <c r="EC254" s="182">
        <f>+EC253+EC252+EC251</f>
        <v>906</v>
      </c>
      <c r="ED254" s="98">
        <f t="shared" si="1378"/>
        <v>0.22123893805310324</v>
      </c>
      <c r="EE254" s="182">
        <f>+EE253+EE252+EE251</f>
        <v>914</v>
      </c>
      <c r="EF254" s="860">
        <f t="shared" si="1379"/>
        <v>0.3293084522502765</v>
      </c>
      <c r="EG254" s="182">
        <f>+EG253+EG252+EG251</f>
        <v>915</v>
      </c>
      <c r="EH254" s="860">
        <f t="shared" si="1380"/>
        <v>0.66006600660066805</v>
      </c>
      <c r="EI254" s="182">
        <f>+EI253+EI252+EI251</f>
        <v>917</v>
      </c>
      <c r="EJ254" s="860">
        <f t="shared" si="1381"/>
        <v>1.6629711751662946</v>
      </c>
      <c r="EK254" s="182">
        <f>+EK253+EK252+EK251</f>
        <v>928</v>
      </c>
      <c r="EL254" s="860">
        <f t="shared" si="1382"/>
        <v>2.4282560706401668</v>
      </c>
      <c r="EM254" s="182">
        <f>+EM253+EM252+EM251</f>
        <v>940</v>
      </c>
      <c r="EN254" s="860">
        <f t="shared" si="1383"/>
        <v>2.8446389496717739</v>
      </c>
      <c r="EO254" s="182">
        <f>+EO253+EO252+EO251</f>
        <v>945</v>
      </c>
      <c r="EP254" s="98">
        <f t="shared" si="1384"/>
        <v>3.2786885245901676</v>
      </c>
      <c r="EQ254" s="182">
        <f>+EQ253+EQ252+EQ251</f>
        <v>948.57299999999987</v>
      </c>
      <c r="ER254" s="98">
        <f t="shared" si="1348"/>
        <v>3.4430752453653124</v>
      </c>
      <c r="ES254" s="182">
        <f t="shared" ref="ES254" si="1400">+ES253+ES252+ES251</f>
        <v>952.16061899999966</v>
      </c>
      <c r="ET254" s="98">
        <f t="shared" si="1350"/>
        <v>2.6035149784482403</v>
      </c>
      <c r="EU254" s="182">
        <f t="shared" ref="EU254" si="1401">+EU253+EU252+EU251</f>
        <v>955.7629224569996</v>
      </c>
      <c r="EV254" s="98">
        <f t="shared" si="1352"/>
        <v>1.6769066443616643</v>
      </c>
      <c r="EW254" s="182">
        <f t="shared" ref="EW254" si="1402">+EW253+EW252+EW251</f>
        <v>959.37997615337042</v>
      </c>
      <c r="EX254" s="98">
        <f t="shared" si="1354"/>
        <v>1.5216905982402551</v>
      </c>
      <c r="EY254" s="182"/>
      <c r="EZ254" s="594"/>
      <c r="FA254" s="405"/>
      <c r="FB254" s="182">
        <f>+FB253+FB252+FB251</f>
        <v>3598</v>
      </c>
      <c r="FC254" s="98"/>
      <c r="FD254" s="182">
        <f>+FD253+FD252+FD251</f>
        <v>3409</v>
      </c>
      <c r="FE254" s="98">
        <f t="shared" si="1388"/>
        <v>-5.2529182879377467</v>
      </c>
      <c r="FF254" s="182">
        <f>+FF253+FF252+FF251</f>
        <v>3703</v>
      </c>
      <c r="FG254" s="98">
        <f t="shared" si="1389"/>
        <v>8.6242299794661257</v>
      </c>
      <c r="FH254" s="182">
        <f>+FH253+FH252+FH251</f>
        <v>0</v>
      </c>
      <c r="FI254" s="98" t="str">
        <f t="shared" si="1390"/>
        <v>NM</v>
      </c>
      <c r="FJ254" s="182">
        <f>+FJ253+FJ252+FJ251</f>
        <v>0</v>
      </c>
      <c r="FK254" s="98" t="str">
        <f t="shared" si="1391"/>
        <v>NA</v>
      </c>
      <c r="FL254" s="182">
        <f>+FL253+FL252+FL251</f>
        <v>0</v>
      </c>
      <c r="FM254" s="98" t="str">
        <f t="shared" si="1392"/>
        <v>NA</v>
      </c>
      <c r="FN254" s="182">
        <f>+FN253+FN252+FN251</f>
        <v>0</v>
      </c>
      <c r="FO254" s="98" t="str">
        <f t="shared" si="1393"/>
        <v>NA</v>
      </c>
      <c r="FP254" s="182">
        <f>+FP253+FP252+FP251</f>
        <v>0</v>
      </c>
      <c r="FQ254" s="98" t="str">
        <f t="shared" si="1394"/>
        <v>NA</v>
      </c>
      <c r="FR254" s="197">
        <f>+FR253+FR252+FR251</f>
        <v>0</v>
      </c>
      <c r="FS254" s="120" t="str">
        <f t="shared" si="1395"/>
        <v>NA</v>
      </c>
      <c r="FT254" s="197">
        <f>+FT253+FT252+FT251</f>
        <v>0</v>
      </c>
      <c r="FU254" s="120" t="str">
        <f t="shared" si="1396"/>
        <v>NA</v>
      </c>
      <c r="FV254" s="197">
        <f>+FV253+FV252+FV251</f>
        <v>8916</v>
      </c>
      <c r="FW254" s="98" t="str">
        <f t="shared" si="1363"/>
        <v>NA</v>
      </c>
      <c r="FX254" s="502">
        <f>+FX253+FX252+FX251</f>
        <v>0</v>
      </c>
      <c r="FY254" s="98" t="str">
        <f t="shared" si="1364"/>
        <v>NM</v>
      </c>
      <c r="FZ254" s="197">
        <f>+FZ253+FZ252+FZ251</f>
        <v>0</v>
      </c>
      <c r="GA254" s="98" t="str">
        <f t="shared" si="1365"/>
        <v>NA</v>
      </c>
      <c r="GB254" s="502">
        <f>+GB253+GB252+GB251</f>
        <v>0</v>
      </c>
      <c r="GC254" s="98" t="str">
        <f t="shared" si="1366"/>
        <v>NA</v>
      </c>
      <c r="GD254" s="197">
        <f>+GD253+GD252+GD251</f>
        <v>0</v>
      </c>
      <c r="GE254" s="98" t="str">
        <f t="shared" si="1367"/>
        <v>NA</v>
      </c>
      <c r="GF254" s="197">
        <f>+GF253+GF252+GF251</f>
        <v>0</v>
      </c>
      <c r="GG254" s="98" t="str">
        <f t="shared" si="1368"/>
        <v>NA</v>
      </c>
      <c r="GH254" s="197">
        <f>+GH253+GH252+GH251</f>
        <v>0</v>
      </c>
      <c r="GI254" s="98" t="str">
        <f t="shared" si="1369"/>
        <v>NA</v>
      </c>
      <c r="GJ254" s="182">
        <f>+GJ253+GJ252+GJ251</f>
        <v>3615</v>
      </c>
      <c r="GK254" s="98" t="str">
        <f t="shared" si="1370"/>
        <v>NA</v>
      </c>
      <c r="GL254" s="182">
        <f>+GL253+GL252+GL251</f>
        <v>3637</v>
      </c>
      <c r="GM254" s="98">
        <f t="shared" si="1371"/>
        <v>0.60857538035961056</v>
      </c>
      <c r="GN254" s="182">
        <f>+GN253+GN252+GN251</f>
        <v>3730</v>
      </c>
      <c r="GO254" s="98">
        <f t="shared" si="1371"/>
        <v>2.5570525158097324</v>
      </c>
      <c r="GP254" s="182">
        <f>+GP253+GP252+GP251</f>
        <v>3815.8765176103698</v>
      </c>
      <c r="GQ254" s="98">
        <f t="shared" si="1371"/>
        <v>2.3023195069804325</v>
      </c>
      <c r="GR254" s="182">
        <f>+GR253+GR252+GR251</f>
        <v>4036.6415118771042</v>
      </c>
      <c r="GS254" s="98">
        <f t="shared" si="1371"/>
        <v>5.7854333925088541</v>
      </c>
      <c r="GT254" s="182">
        <f>+GT253+GT252+GT251</f>
        <v>4270.555766213909</v>
      </c>
      <c r="GU254" s="98">
        <f t="shared" si="1371"/>
        <v>5.7947740379856283</v>
      </c>
      <c r="GV254" s="182">
        <f>+GV253+GV252+GV251</f>
        <v>4477.5372914954114</v>
      </c>
      <c r="GW254" s="98">
        <f t="shared" si="1371"/>
        <v>4.8467116837348723</v>
      </c>
      <c r="GX254" s="182">
        <f>+GX253+GX252+GX251</f>
        <v>4694.7944462460628</v>
      </c>
      <c r="GY254" s="98">
        <f t="shared" si="1372"/>
        <v>4.8521573491594916</v>
      </c>
      <c r="GZ254" s="98">
        <f>IF(ISERROR(((GX254/GN254)^0.2-1)*100),"NA",IF((((GX254/GN254)^0.2-1)*100)&gt;100,"NM",IF((((GX254/GN254)^0.2-1)*100)&lt;-50,"NM",((GX254/GN254)^0.2-1)*100)))</f>
        <v>4.708406432153156</v>
      </c>
      <c r="HA254" s="98"/>
      <c r="HB254" s="10"/>
      <c r="HC254"/>
      <c r="HD254"/>
      <c r="HE254"/>
      <c r="HF254"/>
      <c r="HG254"/>
      <c r="HH254"/>
      <c r="HI254" s="10"/>
    </row>
    <row r="255" spans="1:217" s="2" customFormat="1" ht="12.75" customHeight="1" x14ac:dyDescent="0.2">
      <c r="B255" s="988"/>
      <c r="C255" s="276"/>
      <c r="D255" s="156"/>
      <c r="E255" s="276"/>
      <c r="F255" s="156"/>
      <c r="G255" s="276"/>
      <c r="H255" s="156"/>
      <c r="I255" s="276"/>
      <c r="J255" s="156"/>
      <c r="K255" s="276"/>
      <c r="L255" s="156"/>
      <c r="M255" s="276"/>
      <c r="N255" s="156"/>
      <c r="O255" s="276"/>
      <c r="P255" s="156"/>
      <c r="Q255" s="276"/>
      <c r="R255" s="156"/>
      <c r="S255" s="276"/>
      <c r="T255" s="156"/>
      <c r="U255" s="276"/>
      <c r="V255" s="156"/>
      <c r="W255" s="276"/>
      <c r="X255" s="156"/>
      <c r="Y255" s="276"/>
      <c r="Z255" s="156"/>
      <c r="AA255" s="276"/>
      <c r="AB255" s="156"/>
      <c r="AC255" s="276"/>
      <c r="AD255" s="156"/>
      <c r="AE255" s="276"/>
      <c r="AF255" s="156"/>
      <c r="AG255" s="276"/>
      <c r="AH255" s="156"/>
      <c r="AI255" s="276"/>
      <c r="AJ255" s="156"/>
      <c r="AK255" s="276"/>
      <c r="AL255" s="156"/>
      <c r="AM255" s="276"/>
      <c r="AN255" s="156"/>
      <c r="AO255" s="276"/>
      <c r="AP255" s="156"/>
      <c r="AQ255" s="276"/>
      <c r="AR255" s="156"/>
      <c r="AS255" s="276"/>
      <c r="AT255" s="156"/>
      <c r="AU255" s="276"/>
      <c r="AV255" s="156"/>
      <c r="AW255" s="276"/>
      <c r="AX255" s="156"/>
      <c r="AY255" s="166"/>
      <c r="AZ255" s="156"/>
      <c r="BA255" s="166"/>
      <c r="BB255" s="156"/>
      <c r="BC255" s="166"/>
      <c r="BD255" s="156"/>
      <c r="BE255" s="166"/>
      <c r="BF255" s="156"/>
      <c r="BG255" s="166"/>
      <c r="BH255" s="156"/>
      <c r="BI255" s="166"/>
      <c r="BJ255" s="156"/>
      <c r="BK255" s="166"/>
      <c r="BL255" s="156"/>
      <c r="BM255" s="166"/>
      <c r="BN255" s="98"/>
      <c r="BO255" s="137"/>
      <c r="BP255" s="98"/>
      <c r="BQ255" s="137"/>
      <c r="BR255" s="98"/>
      <c r="BS255" s="137"/>
      <c r="BT255" s="98"/>
      <c r="BU255" s="137"/>
      <c r="BV255" s="98"/>
      <c r="BW255" s="137"/>
      <c r="BX255" s="98"/>
      <c r="BY255" s="137"/>
      <c r="BZ255" s="98"/>
      <c r="CA255" s="137"/>
      <c r="CB255" s="98"/>
      <c r="CC255" s="137"/>
      <c r="CD255" s="98"/>
      <c r="CE255" s="137"/>
      <c r="CF255" s="98"/>
      <c r="CG255" s="137"/>
      <c r="CH255" s="98"/>
      <c r="CI255" s="137"/>
      <c r="CJ255" s="98"/>
      <c r="CK255" s="137"/>
      <c r="CL255" s="98"/>
      <c r="CM255" s="137"/>
      <c r="CN255" s="98"/>
      <c r="CO255" s="137"/>
      <c r="CP255" s="98"/>
      <c r="CQ255" s="137"/>
      <c r="CR255" s="98"/>
      <c r="CS255" s="137"/>
      <c r="CT255" s="98"/>
      <c r="CU255" s="137"/>
      <c r="CV255" s="98"/>
      <c r="CW255" s="137"/>
      <c r="CX255" s="98"/>
      <c r="CY255" s="137"/>
      <c r="CZ255" s="98"/>
      <c r="DA255" s="137"/>
      <c r="DB255" s="98"/>
      <c r="DC255" s="137"/>
      <c r="DD255" s="98"/>
      <c r="DE255" s="137"/>
      <c r="DF255" s="98"/>
      <c r="DG255" s="137"/>
      <c r="DH255" s="98"/>
      <c r="DI255" s="137"/>
      <c r="DJ255" s="98"/>
      <c r="DK255" s="137"/>
      <c r="DL255" s="98"/>
      <c r="DM255" s="137"/>
      <c r="DN255" s="98"/>
      <c r="DO255" s="137"/>
      <c r="DP255" s="98"/>
      <c r="DQ255" s="137"/>
      <c r="DR255" s="98"/>
      <c r="DS255" s="137"/>
      <c r="DT255" s="98"/>
      <c r="DU255" s="137"/>
      <c r="DV255" s="98"/>
      <c r="DW255" s="137"/>
      <c r="DX255" s="98"/>
      <c r="DY255" s="137"/>
      <c r="DZ255" s="98"/>
      <c r="EA255" s="137"/>
      <c r="EB255" s="98"/>
      <c r="EC255" s="137"/>
      <c r="ED255" s="98"/>
      <c r="EE255" s="137"/>
      <c r="EF255" s="860"/>
      <c r="EG255" s="137"/>
      <c r="EH255" s="860"/>
      <c r="EI255" s="137"/>
      <c r="EJ255" s="860"/>
      <c r="EK255" s="137"/>
      <c r="EL255" s="860"/>
      <c r="EM255" s="137"/>
      <c r="EN255" s="860"/>
      <c r="EO255" s="137"/>
      <c r="EP255" s="98"/>
      <c r="EQ255" s="1033"/>
      <c r="ER255" s="98"/>
      <c r="ES255" s="1033"/>
      <c r="ET255" s="98"/>
      <c r="EU255" s="1033"/>
      <c r="EV255" s="98"/>
      <c r="EW255" s="1033"/>
      <c r="EX255" s="98"/>
      <c r="EY255" s="137"/>
      <c r="EZ255" s="601"/>
      <c r="FA255" s="411"/>
      <c r="FB255" s="242"/>
      <c r="FC255" s="233"/>
      <c r="FD255" s="137"/>
      <c r="FE255" s="233"/>
      <c r="FF255" s="137"/>
      <c r="FG255" s="233"/>
      <c r="FH255" s="137"/>
      <c r="FI255" s="233"/>
      <c r="FJ255" s="137"/>
      <c r="FK255" s="233"/>
      <c r="FL255" s="137"/>
      <c r="FM255" s="233"/>
      <c r="FN255" s="137"/>
      <c r="FO255" s="233"/>
      <c r="FP255" s="137"/>
      <c r="FQ255" s="233"/>
      <c r="FR255" s="106"/>
      <c r="FS255" s="120"/>
      <c r="FT255" s="106"/>
      <c r="FU255" s="120"/>
      <c r="FV255" s="106"/>
      <c r="FW255" s="98"/>
      <c r="FX255" s="483"/>
      <c r="FY255" s="98"/>
      <c r="FZ255" s="106"/>
      <c r="GA255" s="98"/>
      <c r="GB255" s="483"/>
      <c r="GC255" s="98"/>
      <c r="GD255" s="106"/>
      <c r="GE255" s="98"/>
      <c r="GF255" s="106"/>
      <c r="GG255" s="98"/>
      <c r="GH255" s="106"/>
      <c r="GI255" s="98"/>
      <c r="GJ255" s="106"/>
      <c r="GK255" s="98"/>
      <c r="GL255" s="106"/>
      <c r="GM255" s="98"/>
      <c r="GN255" s="106"/>
      <c r="GO255" s="98"/>
      <c r="GP255" s="106"/>
      <c r="GQ255" s="98"/>
      <c r="GR255" s="137"/>
      <c r="GS255" s="98"/>
      <c r="GT255" s="137"/>
      <c r="GU255" s="98"/>
      <c r="GV255" s="137"/>
      <c r="GW255" s="98"/>
      <c r="GX255" s="137"/>
      <c r="GY255" s="98"/>
      <c r="GZ255" s="98"/>
      <c r="HA255" s="98"/>
      <c r="HB255" s="10"/>
      <c r="HC255"/>
      <c r="HD255"/>
      <c r="HE255"/>
      <c r="HF255"/>
      <c r="HG255"/>
      <c r="HH255"/>
      <c r="HI255" s="10"/>
    </row>
    <row r="256" spans="1:217" s="2" customFormat="1" ht="12.75" customHeight="1" x14ac:dyDescent="0.2">
      <c r="B256" s="131" t="s">
        <v>620</v>
      </c>
      <c r="C256" s="153"/>
      <c r="D256" s="154"/>
      <c r="E256" s="153"/>
      <c r="F256" s="154"/>
      <c r="G256" s="153"/>
      <c r="H256" s="154"/>
      <c r="I256" s="153"/>
      <c r="J256" s="156"/>
      <c r="K256" s="153"/>
      <c r="L256" s="156"/>
      <c r="M256" s="153"/>
      <c r="N256" s="156"/>
      <c r="O256" s="153"/>
      <c r="P256" s="156"/>
      <c r="Q256" s="153"/>
      <c r="R256" s="156"/>
      <c r="S256" s="153"/>
      <c r="T256" s="156"/>
      <c r="U256" s="153"/>
      <c r="V256" s="156"/>
      <c r="W256" s="153"/>
      <c r="X256" s="156"/>
      <c r="Y256" s="153"/>
      <c r="Z256" s="156"/>
      <c r="AA256" s="153"/>
      <c r="AB256" s="156"/>
      <c r="AC256" s="153"/>
      <c r="AD256" s="156"/>
      <c r="AE256" s="153"/>
      <c r="AF256" s="156"/>
      <c r="AG256" s="153"/>
      <c r="AH256" s="156"/>
      <c r="AI256" s="153"/>
      <c r="AJ256" s="156"/>
      <c r="AK256" s="153"/>
      <c r="AL256" s="156"/>
      <c r="AM256" s="153"/>
      <c r="AN256" s="156"/>
      <c r="AO256" s="153"/>
      <c r="AP256" s="156"/>
      <c r="AQ256" s="153"/>
      <c r="AR256" s="156"/>
      <c r="AS256" s="153"/>
      <c r="AT256" s="156"/>
      <c r="AU256" s="153"/>
      <c r="AV256" s="156"/>
      <c r="AW256" s="153"/>
      <c r="AX256" s="156"/>
      <c r="AY256" s="153"/>
      <c r="AZ256" s="156"/>
      <c r="BA256" s="153"/>
      <c r="BB256" s="156"/>
      <c r="BC256" s="153"/>
      <c r="BD256" s="156"/>
      <c r="BE256" s="153"/>
      <c r="BF256" s="156"/>
      <c r="BG256" s="153"/>
      <c r="BH256" s="156"/>
      <c r="BI256" s="153"/>
      <c r="BJ256" s="156"/>
      <c r="BK256" s="153"/>
      <c r="BL256" s="156"/>
      <c r="BM256" s="153"/>
      <c r="BN256" s="98"/>
      <c r="BO256" s="112"/>
      <c r="BP256" s="98"/>
      <c r="BQ256" s="112"/>
      <c r="BR256" s="98"/>
      <c r="BS256" s="112"/>
      <c r="BT256" s="98"/>
      <c r="BU256" s="112"/>
      <c r="BV256" s="98"/>
      <c r="BW256" s="112"/>
      <c r="BX256" s="98"/>
      <c r="BY256" s="112"/>
      <c r="BZ256" s="98"/>
      <c r="CA256" s="112"/>
      <c r="CB256" s="98"/>
      <c r="CC256" s="112"/>
      <c r="CD256" s="98"/>
      <c r="CE256" s="112"/>
      <c r="CF256" s="98"/>
      <c r="CG256" s="112"/>
      <c r="CH256" s="98"/>
      <c r="CI256" s="112"/>
      <c r="CJ256" s="98"/>
      <c r="CK256" s="112"/>
      <c r="CL256" s="98"/>
      <c r="CM256" s="112"/>
      <c r="CN256" s="98"/>
      <c r="CO256" s="112"/>
      <c r="CP256" s="98"/>
      <c r="CQ256" s="543"/>
      <c r="CR256" s="98"/>
      <c r="CS256" s="112"/>
      <c r="CT256" s="98"/>
      <c r="CU256" s="112"/>
      <c r="CV256" s="98"/>
      <c r="CW256" s="112"/>
      <c r="CX256" s="98"/>
      <c r="CY256" s="112"/>
      <c r="CZ256" s="98"/>
      <c r="DA256" s="112"/>
      <c r="DB256" s="98"/>
      <c r="DC256" s="112"/>
      <c r="DD256" s="98"/>
      <c r="DE256" s="112"/>
      <c r="DF256" s="98"/>
      <c r="DG256" s="112"/>
      <c r="DH256" s="98"/>
      <c r="DI256" s="112"/>
      <c r="DJ256" s="98"/>
      <c r="DK256" s="112"/>
      <c r="DL256" s="98"/>
      <c r="DM256" s="112"/>
      <c r="DN256" s="98"/>
      <c r="DO256" s="112"/>
      <c r="DP256" s="98"/>
      <c r="DQ256" s="112"/>
      <c r="DR256" s="98"/>
      <c r="DS256" s="112"/>
      <c r="DT256" s="98"/>
      <c r="DU256" s="112"/>
      <c r="DV256" s="98"/>
      <c r="DW256" s="112"/>
      <c r="DX256" s="98"/>
      <c r="DY256" s="112"/>
      <c r="DZ256" s="98"/>
      <c r="EA256" s="112"/>
      <c r="EB256" s="98"/>
      <c r="EC256" s="112"/>
      <c r="ED256" s="98"/>
      <c r="EE256" s="112"/>
      <c r="EF256" s="860"/>
      <c r="EG256" s="112"/>
      <c r="EH256" s="860"/>
      <c r="EI256" s="112"/>
      <c r="EJ256" s="860"/>
      <c r="EK256" s="112"/>
      <c r="EL256" s="860"/>
      <c r="EM256" s="112"/>
      <c r="EN256" s="860"/>
      <c r="EO256" s="112"/>
      <c r="EP256" s="98"/>
      <c r="EQ256" s="1022"/>
      <c r="ER256" s="98"/>
      <c r="ES256" s="1022"/>
      <c r="ET256" s="98"/>
      <c r="EU256" s="1022"/>
      <c r="EV256" s="98"/>
      <c r="EW256" s="1022"/>
      <c r="EX256" s="98"/>
      <c r="EY256" s="114"/>
      <c r="EZ256" s="594"/>
      <c r="FA256" s="405"/>
      <c r="FB256" s="114"/>
      <c r="FC256" s="113"/>
      <c r="FD256" s="112"/>
      <c r="FE256" s="113"/>
      <c r="FF256" s="114"/>
      <c r="FG256" s="113"/>
      <c r="FH256" s="114"/>
      <c r="FI256" s="113"/>
      <c r="FJ256" s="114"/>
      <c r="FK256" s="113"/>
      <c r="FL256" s="114"/>
      <c r="FM256" s="113"/>
      <c r="FN256" s="114"/>
      <c r="FO256" s="113"/>
      <c r="FP256" s="114"/>
      <c r="FQ256" s="113"/>
      <c r="FR256" s="115"/>
      <c r="FS256" s="116"/>
      <c r="FT256" s="115"/>
      <c r="FU256" s="116"/>
      <c r="FV256" s="115"/>
      <c r="FW256" s="98"/>
      <c r="FX256" s="484"/>
      <c r="FY256" s="98"/>
      <c r="FZ256" s="115"/>
      <c r="GA256" s="98"/>
      <c r="GB256" s="484"/>
      <c r="GC256" s="98"/>
      <c r="GD256" s="115"/>
      <c r="GE256" s="98"/>
      <c r="GF256" s="115"/>
      <c r="GG256" s="98"/>
      <c r="GH256" s="115"/>
      <c r="GI256" s="98"/>
      <c r="GJ256" s="115"/>
      <c r="GK256" s="98"/>
      <c r="GL256" s="115"/>
      <c r="GM256" s="98"/>
      <c r="GN256" s="115"/>
      <c r="GO256" s="98"/>
      <c r="GP256" s="115"/>
      <c r="GQ256" s="98"/>
      <c r="GR256" s="114"/>
      <c r="GS256" s="98"/>
      <c r="GT256" s="114"/>
      <c r="GU256" s="98"/>
      <c r="GV256" s="114"/>
      <c r="GW256" s="98"/>
      <c r="GX256" s="114"/>
      <c r="GY256" s="98"/>
      <c r="GZ256" s="98"/>
      <c r="HA256" s="98"/>
      <c r="HB256" s="10"/>
      <c r="HC256"/>
      <c r="HD256"/>
      <c r="HE256"/>
      <c r="HF256"/>
      <c r="HG256"/>
      <c r="HH256"/>
      <c r="HI256" s="10"/>
    </row>
    <row r="257" spans="1:217" s="2" customFormat="1" ht="12.75" customHeight="1" x14ac:dyDescent="0.2">
      <c r="B257" s="179" t="s">
        <v>540</v>
      </c>
      <c r="C257" s="157">
        <v>526</v>
      </c>
      <c r="D257" s="156"/>
      <c r="E257" s="157">
        <v>585</v>
      </c>
      <c r="F257" s="156"/>
      <c r="G257" s="157">
        <v>518</v>
      </c>
      <c r="H257" s="156"/>
      <c r="I257" s="157">
        <v>567</v>
      </c>
      <c r="J257" s="156"/>
      <c r="K257" s="157"/>
      <c r="L257" s="156"/>
      <c r="M257" s="157"/>
      <c r="N257" s="156"/>
      <c r="O257" s="157"/>
      <c r="P257" s="156"/>
      <c r="Q257" s="157"/>
      <c r="R257" s="156"/>
      <c r="S257" s="157"/>
      <c r="T257" s="156"/>
      <c r="U257" s="157"/>
      <c r="V257" s="156"/>
      <c r="W257" s="157"/>
      <c r="X257" s="156"/>
      <c r="Y257" s="157"/>
      <c r="Z257" s="156"/>
      <c r="AA257" s="157"/>
      <c r="AB257" s="156"/>
      <c r="AC257" s="157"/>
      <c r="AD257" s="156"/>
      <c r="AE257" s="157"/>
      <c r="AF257" s="156"/>
      <c r="AG257" s="157"/>
      <c r="AH257" s="156"/>
      <c r="AI257" s="157"/>
      <c r="AJ257" s="156"/>
      <c r="AK257" s="157"/>
      <c r="AL257" s="156"/>
      <c r="AM257" s="157"/>
      <c r="AN257" s="156"/>
      <c r="AO257" s="157"/>
      <c r="AP257" s="156"/>
      <c r="AQ257" s="157"/>
      <c r="AR257" s="156"/>
      <c r="AS257" s="157"/>
      <c r="AT257" s="156"/>
      <c r="AU257" s="157"/>
      <c r="AV257" s="156"/>
      <c r="AW257" s="157"/>
      <c r="AX257" s="156"/>
      <c r="AY257" s="157"/>
      <c r="AZ257" s="156"/>
      <c r="BA257" s="157"/>
      <c r="BB257" s="156"/>
      <c r="BC257" s="157"/>
      <c r="BD257" s="156"/>
      <c r="BE257" s="157"/>
      <c r="BF257" s="156"/>
      <c r="BG257" s="157"/>
      <c r="BH257" s="156"/>
      <c r="BI257" s="157"/>
      <c r="BJ257" s="156"/>
      <c r="BK257" s="157"/>
      <c r="BL257" s="156"/>
      <c r="BM257" s="157"/>
      <c r="BN257" s="98"/>
      <c r="BO257" s="101"/>
      <c r="BP257" s="98"/>
      <c r="BQ257" s="101"/>
      <c r="BR257" s="98"/>
      <c r="BS257" s="101"/>
      <c r="BT257" s="98"/>
      <c r="BU257" s="101"/>
      <c r="BV257" s="98"/>
      <c r="BW257" s="101"/>
      <c r="BX257" s="98"/>
      <c r="BY257" s="101"/>
      <c r="BZ257" s="98"/>
      <c r="CA257" s="101"/>
      <c r="CB257" s="98"/>
      <c r="CC257" s="101"/>
      <c r="CD257" s="98"/>
      <c r="CE257" s="101"/>
      <c r="CF257" s="98"/>
      <c r="CG257" s="101"/>
      <c r="CH257" s="98"/>
      <c r="CI257" s="101"/>
      <c r="CJ257" s="98"/>
      <c r="CK257" s="101"/>
      <c r="CL257" s="98"/>
      <c r="CM257" s="101"/>
      <c r="CN257" s="98"/>
      <c r="CO257" s="101"/>
      <c r="CP257" s="98"/>
      <c r="CQ257" s="542"/>
      <c r="CR257" s="98"/>
      <c r="CS257" s="101"/>
      <c r="CT257" s="98"/>
      <c r="CU257" s="101"/>
      <c r="CV257" s="98"/>
      <c r="CW257" s="101"/>
      <c r="CX257" s="98"/>
      <c r="CY257" s="101"/>
      <c r="CZ257" s="98"/>
      <c r="DA257" s="101"/>
      <c r="DB257" s="98"/>
      <c r="DC257" s="101"/>
      <c r="DD257" s="98"/>
      <c r="DE257" s="101"/>
      <c r="DF257" s="98"/>
      <c r="DG257" s="101"/>
      <c r="DH257" s="98"/>
      <c r="DI257" s="101"/>
      <c r="DJ257" s="98"/>
      <c r="DK257" s="101"/>
      <c r="DL257" s="98"/>
      <c r="DM257" s="101"/>
      <c r="DN257" s="98"/>
      <c r="DO257" s="101"/>
      <c r="DP257" s="98"/>
      <c r="DQ257" s="101"/>
      <c r="DR257" s="98"/>
      <c r="DS257" s="122">
        <v>584</v>
      </c>
      <c r="DT257" s="98" t="str">
        <f t="shared" ref="DT257:DT260" si="1403">IF(ISERROR((DS257/DK257-1)*100),"NA",IF(((DS257/DK257-1)*100)&gt;100,"NM",IF(((DS257/DK257-1)*100)&lt;-50,"NM",(DS257/DK257-1)*100)))</f>
        <v>NA</v>
      </c>
      <c r="DU257" s="122">
        <v>626</v>
      </c>
      <c r="DV257" s="98" t="str">
        <f t="shared" ref="DV257:DV260" si="1404">IF(ISERROR((DU257/DM257-1)*100),"NA",IF(((DU257/DM257-1)*100)&gt;100,"NM",IF(((DU257/DM257-1)*100)&lt;-50,"NM",(DU257/DM257-1)*100)))</f>
        <v>NA</v>
      </c>
      <c r="DW257" s="122">
        <v>593</v>
      </c>
      <c r="DX257" s="98" t="str">
        <f t="shared" ref="DX257:DX260" si="1405">IF(ISERROR((DW257/DO257-1)*100),"NA",IF(((DW257/DO257-1)*100)&gt;100,"NM",IF(((DW257/DO257-1)*100)&lt;-50,"NM",(DW257/DO257-1)*100)))</f>
        <v>NA</v>
      </c>
      <c r="DY257" s="122">
        <v>631</v>
      </c>
      <c r="DZ257" s="98" t="str">
        <f t="shared" ref="DZ257:DZ260" si="1406">IF(ISERROR((DY257/DQ257-1)*100),"NA",IF(((DY257/DQ257-1)*100)&gt;100,"NM",IF(((DY257/DQ257-1)*100)&lt;-50,"NM",(DY257/DQ257-1)*100)))</f>
        <v>NA</v>
      </c>
      <c r="EA257" s="122">
        <v>652</v>
      </c>
      <c r="EB257" s="98">
        <f t="shared" ref="EB257:EB260" si="1407">IF(ISERROR((EA257/DS257-1)*100),"NA",IF(((EA257/DS257-1)*100)&gt;100,"NM",IF(((EA257/DS257-1)*100)&lt;-50,"NM",(EA257/DS257-1)*100)))</f>
        <v>11.643835616438359</v>
      </c>
      <c r="EC257" s="122">
        <v>701</v>
      </c>
      <c r="ED257" s="98">
        <f t="shared" ref="ED257:ED260" si="1408">IF(ISERROR((EC257/DU257-1)*100),"NA",IF(((EC257/DU257-1)*100)&gt;100,"NM",IF(((EC257/DU257-1)*100)&lt;-50,"NM",(EC257/DU257-1)*100)))</f>
        <v>11.980830670926522</v>
      </c>
      <c r="EE257" s="122">
        <v>611</v>
      </c>
      <c r="EF257" s="860">
        <f t="shared" ref="EF257:EF260" si="1409">IF(ISERROR((EE257/DW257-1)*100),"NA",IF(((EE257/DW257-1)*100)&gt;100,"NM",IF(((EE257/DW257-1)*100)&lt;-50,"NM",(EE257/DW257-1)*100)))</f>
        <v>3.0354131534569895</v>
      </c>
      <c r="EG257" s="122">
        <v>642</v>
      </c>
      <c r="EH257" s="860">
        <f t="shared" ref="EH257:EH260" si="1410">IF(ISERROR((EG257/DY257-1)*100),"NA",IF(((EG257/DY257-1)*100)&gt;100,"NM",IF(((EG257/DY257-1)*100)&lt;-50,"NM",(EG257/DY257-1)*100)))</f>
        <v>1.7432646592709933</v>
      </c>
      <c r="EI257" s="122">
        <v>662</v>
      </c>
      <c r="EJ257" s="860">
        <f t="shared" ref="EJ257:EJ260" si="1411">IF(ISERROR((EI257/EA257-1)*100),"NA",IF(((EI257/EA257-1)*100)&gt;100,"NM",IF(((EI257/EA257-1)*100)&lt;-50,"NM",(EI257/EA257-1)*100)))</f>
        <v>1.5337423312883347</v>
      </c>
      <c r="EK257" s="122">
        <v>675</v>
      </c>
      <c r="EL257" s="860">
        <f t="shared" ref="EL257:EL260" si="1412">IF(ISERROR((EK257/EC257-1)*100),"NA",IF(((EK257/EC257-1)*100)&gt;100,"NM",IF(((EK257/EC257-1)*100)&lt;-50,"NM",(EK257/EC257-1)*100)))</f>
        <v>-3.708987161198285</v>
      </c>
      <c r="EM257" s="122">
        <v>645</v>
      </c>
      <c r="EN257" s="860">
        <f t="shared" ref="EN257:EN260" si="1413">IF(ISERROR((EM257/EE257-1)*100),"NA",IF(((EM257/EE257-1)*100)&gt;100,"NM",IF(((EM257/EE257-1)*100)&lt;-50,"NM",(EM257/EE257-1)*100)))</f>
        <v>5.5646481178396101</v>
      </c>
      <c r="EO257" s="122">
        <v>580</v>
      </c>
      <c r="EP257" s="98">
        <f t="shared" ref="EP257:EP260" si="1414">IF(ISERROR((EO257/EG257-1)*100),"NA",IF(((EO257/EG257-1)*100)&gt;100,"NM",IF(((EO257/EG257-1)*100)&lt;-50,"NM",(EO257/EG257-1)*100)))</f>
        <v>-9.6573208722741448</v>
      </c>
      <c r="EQ257" s="1023">
        <f>EQ206+EQ230</f>
        <v>644.85123299999987</v>
      </c>
      <c r="ER257" s="98">
        <f t="shared" ref="ER257:ER260" si="1415">IF(ISERROR((EQ257/EI257-1)*100),"NA",IF(((EQ257/EI257-1)*100)&gt;100,"NM",IF(((EQ257/EI257-1)*100)&lt;-50,"NM",(EQ257/EI257-1)*100)))</f>
        <v>-2.5904481873112006</v>
      </c>
      <c r="ES257" s="1023">
        <f t="shared" ref="ES257" si="1416">ES206+ES230</f>
        <v>652.30606089149967</v>
      </c>
      <c r="ET257" s="98">
        <f t="shared" ref="ET257:ET260" si="1417">IF(ISERROR((ES257/EK257-1)*100),"NA",IF(((ES257/EK257-1)*100)&gt;100,"NM",IF(((ES257/EK257-1)*100)&lt;-50,"NM",(ES257/EK257-1)*100)))</f>
        <v>-3.3620650531111629</v>
      </c>
      <c r="EU257" s="1023">
        <f t="shared" ref="EU257" si="1418">EU206+EU230</f>
        <v>649.73364355885178</v>
      </c>
      <c r="EV257" s="98">
        <f t="shared" ref="EV257:EV260" si="1419">IF(ISERROR((EU257/EM257-1)*100),"NA",IF(((EU257/EM257-1)*100)&gt;100,"NM",IF(((EU257/EM257-1)*100)&lt;-50,"NM",(EU257/EM257-1)*100)))</f>
        <v>0.73389822617857536</v>
      </c>
      <c r="EW257" s="1023">
        <f t="shared" ref="EW257" si="1420">EW206+EW230</f>
        <v>597.53465201905863</v>
      </c>
      <c r="EX257" s="98">
        <f t="shared" ref="EX257:EX260" si="1421">IF(ISERROR((EW257/EO257-1)*100),"NA",IF(((EW257/EO257-1)*100)&gt;100,"NM",IF(((EW257/EO257-1)*100)&lt;-50,"NM",(EW257/EO257-1)*100)))</f>
        <v>3.0232158653549446</v>
      </c>
      <c r="EY257" s="119"/>
      <c r="EZ257" s="594"/>
      <c r="FA257" s="405"/>
      <c r="FB257" s="121">
        <v>1923</v>
      </c>
      <c r="FC257" s="98"/>
      <c r="FD257" s="101">
        <v>1852</v>
      </c>
      <c r="FE257" s="98">
        <f>IF(ISERROR((FD257/FB257-1)*100),"NA",IF(((FD257/FB257-1)*100)&gt;100,"NM",IF(((FD257/FB257-1)*100)&lt;-50,"NM",(FD257/FB257-1)*100)))</f>
        <v>-3.692147685907432</v>
      </c>
      <c r="FF257" s="118">
        <f>C257+E257+G257+I257</f>
        <v>2196</v>
      </c>
      <c r="FG257" s="98">
        <f>IF(ISERROR((FF257/FD257-1)*100),"NA",IF(((FF257/FD257-1)*100)&gt;100,"NM",IF(((FF257/FD257-1)*100)&lt;-50,"NM",(FF257/FD257-1)*100)))</f>
        <v>18.574514038876888</v>
      </c>
      <c r="FH257" s="118">
        <f>K257+M257+O257+Q257</f>
        <v>0</v>
      </c>
      <c r="FI257" s="98" t="str">
        <f>IF(ISERROR((FH257/FF257-1)*100),"NA",IF(((FH257/FF257-1)*100)&gt;100,"NM",IF(((FH257/FF257-1)*100)&lt;-50,"NM",(FH257/FF257-1)*100)))</f>
        <v>NM</v>
      </c>
      <c r="FJ257" s="118">
        <f>S257+U257+W257+Y257</f>
        <v>0</v>
      </c>
      <c r="FK257" s="98" t="str">
        <f>IF(ISERROR((FJ257/FH257-1)*100),"NA",IF(((FJ257/FH257-1)*100)&gt;100,"NM",IF(((FJ257/FH257-1)*100)&lt;-50,"NM",(FJ257/FH257-1)*100)))</f>
        <v>NA</v>
      </c>
      <c r="FL257" s="118">
        <f>AA257+AC257+AE257+AG257</f>
        <v>0</v>
      </c>
      <c r="FM257" s="98" t="str">
        <f>IF(ISERROR((FL257/FJ257-1)*100),"NA",IF(((FL257/FJ257-1)*100)&gt;100,"NM",IF(((FL257/FJ257-1)*100)&lt;-50,"NM",(FL257/FJ257-1)*100)))</f>
        <v>NA</v>
      </c>
      <c r="FN257" s="118">
        <f>AI257+AK257+AM257+AO257</f>
        <v>0</v>
      </c>
      <c r="FO257" s="98" t="str">
        <f>IF(ISERROR((FN257/FL257-1)*100),"NA",IF(((FN257/FL257-1)*100)&gt;100,"NM",IF(((FN257/FL257-1)*100)&lt;-50,"NM",(FN257/FL257-1)*100)))</f>
        <v>NA</v>
      </c>
      <c r="FP257" s="118">
        <f>AQ257+AS257+AU257+AW257</f>
        <v>0</v>
      </c>
      <c r="FQ257" s="98" t="str">
        <f>IF(ISERROR((FP257/FN257-1)*100),"NA",IF(((FP257/FN257-1)*100)&gt;100,"NM",IF(((FP257/FN257-1)*100)&lt;-50,"NM",(FP257/FN257-1)*100)))</f>
        <v>NA</v>
      </c>
      <c r="FR257" s="119">
        <f>AY257+BA257+BC257+BE257</f>
        <v>0</v>
      </c>
      <c r="FS257" s="120" t="str">
        <f>IF(ISERROR((FR257/FP257-1)*100),"NA",IF(((FR257/FP257-1)*100)&gt;100,"NM",IF(((FR257/FP257-1)*100)&lt;-50,"NM",(FR257/FP257-1)*100)))</f>
        <v>NA</v>
      </c>
      <c r="FT257" s="119">
        <f>BG257+BI257+BK257+BM257</f>
        <v>0</v>
      </c>
      <c r="FU257" s="120" t="str">
        <f t="shared" ref="FU257:FU258" si="1422">IF(ISERROR((FT257/FR257-1)*100),"NA",IF(((FT257/FR257-1)*100)&gt;100,"NM",IF(((FT257/FR257-1)*100)&lt;-50,"NM",(FT257/FR257-1)*100)))</f>
        <v>NA</v>
      </c>
      <c r="FV257" s="121">
        <v>4977</v>
      </c>
      <c r="FW257" s="98" t="str">
        <f t="shared" ref="FW257:FW260" si="1423">IF(ISERROR((FV257/FT257-1)*100),"NA",IF(((FV257/FT257-1)*100)&gt;100,"NM",IF(((FV257/FT257-1)*100)&lt;-50,"NM",(FV257/FT257-1)*100)))</f>
        <v>NA</v>
      </c>
      <c r="FX257" s="485">
        <f>BW257+BY257+CA257+CC257</f>
        <v>0</v>
      </c>
      <c r="FY257" s="98" t="str">
        <f t="shared" ref="FY257:FY260" si="1424">IF(ISERROR((FX257/FV257-1)*100),"NA",IF(((FX257/FV257-1)*100)&gt;100,"NM",IF(((FX257/FV257-1)*100)&lt;-50,"NM",(FX257/FV257-1)*100)))</f>
        <v>NM</v>
      </c>
      <c r="FZ257" s="119">
        <f>CE257+CG257+CI257+CK257</f>
        <v>0</v>
      </c>
      <c r="GA257" s="98" t="str">
        <f t="shared" ref="GA257:GA260" si="1425">IF(ISERROR((FZ257/FX257-1)*100),"NA",IF(((FZ257/FX257-1)*100)&gt;100,"NM",IF(((FZ257/FX257-1)*100)&lt;-50,"NM",(FZ257/FX257-1)*100)))</f>
        <v>NA</v>
      </c>
      <c r="GB257" s="485">
        <f>CM257+CO257+CQ257+CS257</f>
        <v>0</v>
      </c>
      <c r="GC257" s="98" t="str">
        <f t="shared" ref="GC257:GC260" si="1426">IF(ISERROR((GB257/FZ257-1)*100),"NA",IF(((GB257/FZ257-1)*100)&gt;100,"NM",IF(((GB257/FZ257-1)*100)&lt;-50,"NM",(GB257/FZ257-1)*100)))</f>
        <v>NA</v>
      </c>
      <c r="GD257" s="119">
        <f>CU257+CW257+CY257+DA257</f>
        <v>0</v>
      </c>
      <c r="GE257" s="98" t="str">
        <f t="shared" ref="GE257:GE260" si="1427">IF(ISERROR((GD257/GB257-1)*100),"NA",IF(((GD257/GB257-1)*100)&gt;100,"NM",IF(((GD257/GB257-1)*100)&lt;-50,"NM",(GD257/GB257-1)*100)))</f>
        <v>NA</v>
      </c>
      <c r="GF257" s="119">
        <f>DC257+DE257+DG257+DI257</f>
        <v>0</v>
      </c>
      <c r="GG257" s="98" t="str">
        <f t="shared" ref="GG257:GG260" si="1428">IF(ISERROR((GF257/GD257-1)*100),"NA",IF(((GF257/GD257-1)*100)&gt;100,"NM",IF(((GF257/GD257-1)*100)&lt;-50,"NM",(GF257/GD257-1)*100)))</f>
        <v>NA</v>
      </c>
      <c r="GH257" s="119">
        <f>DK257+DM257+DO257+DQ257</f>
        <v>0</v>
      </c>
      <c r="GI257" s="98" t="str">
        <f t="shared" ref="GI257:GI260" si="1429">IF(ISERROR((GH257/GF257-1)*100),"NA",IF(((GH257/GF257-1)*100)&gt;100,"NM",IF(((GH257/GF257-1)*100)&lt;-50,"NM",(GH257/GF257-1)*100)))</f>
        <v>NA</v>
      </c>
      <c r="GJ257" s="119">
        <f>DS257+DU257+DW257+DY257</f>
        <v>2434</v>
      </c>
      <c r="GK257" s="98" t="str">
        <f t="shared" ref="GK257:GK260" si="1430">IF(ISERROR((GJ257/GH257-1)*100),"NA",IF(((GJ257/GH257-1)*100)&gt;100,"NM",IF(((GJ257/GH257-1)*100)&lt;-50,"NM",(GJ257/GH257-1)*100)))</f>
        <v>NA</v>
      </c>
      <c r="GL257" s="119">
        <f>EA257+EC257+EE257+EG257</f>
        <v>2606</v>
      </c>
      <c r="GM257" s="98">
        <f t="shared" ref="GM257:GW260" si="1431">IF(ISERROR((GL257/GJ257-1)*100),"NA",IF(((GL257/GJ257-1)*100)&gt;100,"NM",IF(((GL257/GJ257-1)*100)&lt;-50,"NM",(GL257/GJ257-1)*100)))</f>
        <v>7.0665571076417466</v>
      </c>
      <c r="GN257" s="119">
        <f>EI257+EK257+EM257+EO257</f>
        <v>2562</v>
      </c>
      <c r="GO257" s="98">
        <f t="shared" si="1431"/>
        <v>-1.6884113584036853</v>
      </c>
      <c r="GP257" s="119">
        <f>EQ257+ES257+EU257+EW257</f>
        <v>2544.4255894694102</v>
      </c>
      <c r="GQ257" s="98">
        <f t="shared" si="1431"/>
        <v>-0.68596450158430189</v>
      </c>
      <c r="GR257" s="1023">
        <f>GR206+GR230</f>
        <v>2664.5039881737548</v>
      </c>
      <c r="GS257" s="98">
        <f t="shared" si="1431"/>
        <v>4.719273348032349</v>
      </c>
      <c r="GT257" s="1023">
        <f>GT206+GT230</f>
        <v>2810.9933690542589</v>
      </c>
      <c r="GU257" s="98">
        <f t="shared" si="1431"/>
        <v>5.4978105317420756</v>
      </c>
      <c r="GV257" s="1023">
        <f>GV206+GV230</f>
        <v>2938.9744416283156</v>
      </c>
      <c r="GW257" s="98">
        <f t="shared" si="1431"/>
        <v>4.5528770712509825</v>
      </c>
      <c r="GX257" s="1023">
        <f>GX206+GX230</f>
        <v>3080.0222051509572</v>
      </c>
      <c r="GY257" s="98">
        <f t="shared" ref="GY257:GY260" si="1432">IF(ISERROR((GX257/GV257-1)*100),"NA",IF(((GX257/GV257-1)*100)&gt;100,"NM",IF(((GX257/GV257-1)*100)&lt;-50,"NM",(GX257/GV257-1)*100)))</f>
        <v>4.7992170848717874</v>
      </c>
      <c r="GZ257" s="98">
        <f>IF(ISERROR(((GX257/GN257)^0.2-1)*100),"NA",IF((((GX257/GN257)^0.2-1)*100)&gt;100,"NM",IF((((GX257/GN257)^0.2-1)*100)&lt;-50,"NM",((GX257/GN257)^0.2-1)*100)))</f>
        <v>3.7516338125854976</v>
      </c>
      <c r="HA257" s="98"/>
      <c r="HB257" s="10"/>
      <c r="HC257"/>
      <c r="HD257"/>
      <c r="HE257"/>
      <c r="HF257"/>
      <c r="HG257"/>
      <c r="HH257"/>
      <c r="HI257" s="10"/>
    </row>
    <row r="258" spans="1:217" s="2" customFormat="1" ht="12.75" customHeight="1" x14ac:dyDescent="0.2">
      <c r="B258" s="179" t="s">
        <v>266</v>
      </c>
      <c r="C258" s="173">
        <v>120</v>
      </c>
      <c r="D258" s="156"/>
      <c r="E258" s="173">
        <v>136</v>
      </c>
      <c r="F258" s="156"/>
      <c r="G258" s="173">
        <v>173</v>
      </c>
      <c r="H258" s="156"/>
      <c r="I258" s="173">
        <v>153</v>
      </c>
      <c r="J258" s="156"/>
      <c r="K258" s="173"/>
      <c r="L258" s="156"/>
      <c r="M258" s="173"/>
      <c r="N258" s="156"/>
      <c r="O258" s="173"/>
      <c r="P258" s="156"/>
      <c r="Q258" s="173"/>
      <c r="R258" s="156"/>
      <c r="S258" s="173"/>
      <c r="T258" s="156"/>
      <c r="U258" s="173"/>
      <c r="V258" s="156"/>
      <c r="W258" s="173"/>
      <c r="X258" s="156"/>
      <c r="Y258" s="173"/>
      <c r="Z258" s="156"/>
      <c r="AA258" s="173"/>
      <c r="AB258" s="156"/>
      <c r="AC258" s="173"/>
      <c r="AD258" s="156"/>
      <c r="AE258" s="173"/>
      <c r="AF258" s="156"/>
      <c r="AG258" s="173"/>
      <c r="AH258" s="156"/>
      <c r="AI258" s="173"/>
      <c r="AJ258" s="156"/>
      <c r="AK258" s="173"/>
      <c r="AL258" s="156"/>
      <c r="AM258" s="173"/>
      <c r="AN258" s="156"/>
      <c r="AO258" s="173"/>
      <c r="AP258" s="156"/>
      <c r="AQ258" s="173"/>
      <c r="AR258" s="156"/>
      <c r="AS258" s="173"/>
      <c r="AT258" s="156"/>
      <c r="AU258" s="173"/>
      <c r="AV258" s="156"/>
      <c r="AW258" s="173"/>
      <c r="AX258" s="156"/>
      <c r="AY258" s="173"/>
      <c r="AZ258" s="156"/>
      <c r="BA258" s="173"/>
      <c r="BB258" s="156"/>
      <c r="BC258" s="173"/>
      <c r="BD258" s="156"/>
      <c r="BE258" s="173"/>
      <c r="BF258" s="156"/>
      <c r="BG258" s="173"/>
      <c r="BH258" s="156"/>
      <c r="BI258" s="173"/>
      <c r="BJ258" s="156"/>
      <c r="BK258" s="173"/>
      <c r="BL258" s="156"/>
      <c r="BM258" s="173"/>
      <c r="BN258" s="98"/>
      <c r="BO258" s="122"/>
      <c r="BP258" s="98"/>
      <c r="BQ258" s="122"/>
      <c r="BR258" s="98"/>
      <c r="BS258" s="122"/>
      <c r="BT258" s="98"/>
      <c r="BU258" s="122"/>
      <c r="BV258" s="98"/>
      <c r="BW258" s="122"/>
      <c r="BX258" s="98"/>
      <c r="BY258" s="122"/>
      <c r="BZ258" s="98"/>
      <c r="CA258" s="122"/>
      <c r="CB258" s="98"/>
      <c r="CC258" s="122"/>
      <c r="CD258" s="98"/>
      <c r="CE258" s="122"/>
      <c r="CF258" s="98"/>
      <c r="CG258" s="122"/>
      <c r="CH258" s="98"/>
      <c r="CI258" s="122"/>
      <c r="CJ258" s="98"/>
      <c r="CK258" s="122"/>
      <c r="CL258" s="98"/>
      <c r="CM258" s="122"/>
      <c r="CN258" s="98"/>
      <c r="CO258" s="122"/>
      <c r="CP258" s="98"/>
      <c r="CQ258" s="547"/>
      <c r="CR258" s="98"/>
      <c r="CS258" s="122"/>
      <c r="CT258" s="98"/>
      <c r="CU258" s="122"/>
      <c r="CV258" s="98"/>
      <c r="CW258" s="122"/>
      <c r="CX258" s="98"/>
      <c r="CY258" s="122"/>
      <c r="CZ258" s="98"/>
      <c r="DA258" s="122"/>
      <c r="DB258" s="98"/>
      <c r="DC258" s="122"/>
      <c r="DD258" s="98"/>
      <c r="DE258" s="122"/>
      <c r="DF258" s="98"/>
      <c r="DG258" s="122"/>
      <c r="DH258" s="98"/>
      <c r="DI258" s="122"/>
      <c r="DJ258" s="98"/>
      <c r="DK258" s="122"/>
      <c r="DL258" s="98"/>
      <c r="DM258" s="122"/>
      <c r="DN258" s="98"/>
      <c r="DO258" s="122"/>
      <c r="DP258" s="98"/>
      <c r="DQ258" s="122"/>
      <c r="DR258" s="98"/>
      <c r="DS258" s="122">
        <v>220</v>
      </c>
      <c r="DT258" s="98" t="str">
        <f t="shared" si="1403"/>
        <v>NA</v>
      </c>
      <c r="DU258" s="122">
        <v>232</v>
      </c>
      <c r="DV258" s="98" t="str">
        <f t="shared" si="1404"/>
        <v>NA</v>
      </c>
      <c r="DW258" s="122">
        <v>240</v>
      </c>
      <c r="DX258" s="98" t="str">
        <f t="shared" si="1405"/>
        <v>NA</v>
      </c>
      <c r="DY258" s="122">
        <v>231</v>
      </c>
      <c r="DZ258" s="98" t="str">
        <f t="shared" si="1406"/>
        <v>NA</v>
      </c>
      <c r="EA258" s="122">
        <v>228</v>
      </c>
      <c r="EB258" s="98">
        <f t="shared" si="1407"/>
        <v>3.6363636363636376</v>
      </c>
      <c r="EC258" s="122">
        <v>230</v>
      </c>
      <c r="ED258" s="98">
        <f t="shared" si="1408"/>
        <v>-0.86206896551723755</v>
      </c>
      <c r="EE258" s="122">
        <v>236</v>
      </c>
      <c r="EF258" s="860">
        <f t="shared" si="1409"/>
        <v>-1.6666666666666718</v>
      </c>
      <c r="EG258" s="122">
        <v>218</v>
      </c>
      <c r="EH258" s="860">
        <f t="shared" si="1410"/>
        <v>-5.6277056277056259</v>
      </c>
      <c r="EI258" s="122">
        <v>217</v>
      </c>
      <c r="EJ258" s="860">
        <f t="shared" si="1411"/>
        <v>-4.8245614035087758</v>
      </c>
      <c r="EK258" s="122">
        <v>228</v>
      </c>
      <c r="EL258" s="860">
        <f t="shared" si="1412"/>
        <v>-0.86956521739129933</v>
      </c>
      <c r="EM258" s="122">
        <v>236</v>
      </c>
      <c r="EN258" s="860">
        <f t="shared" si="1413"/>
        <v>0</v>
      </c>
      <c r="EO258" s="122">
        <v>230</v>
      </c>
      <c r="EP258" s="98">
        <f t="shared" si="1414"/>
        <v>5.504587155963292</v>
      </c>
      <c r="EQ258" s="1034">
        <f>EQ207+EQ231</f>
        <v>234.83447699999996</v>
      </c>
      <c r="ER258" s="98">
        <f t="shared" si="1415"/>
        <v>8.2186529953916843</v>
      </c>
      <c r="ES258" s="1034">
        <f t="shared" ref="ES258" si="1433">ES207+ES231</f>
        <v>235.7134484309999</v>
      </c>
      <c r="ET258" s="98">
        <f t="shared" si="1417"/>
        <v>3.3830914171052218</v>
      </c>
      <c r="EU258" s="1034">
        <f t="shared" ref="EU258" si="1434">EU207+EU231</f>
        <v>236.59592911629289</v>
      </c>
      <c r="EV258" s="98">
        <f t="shared" si="1419"/>
        <v>0.25251233741223622</v>
      </c>
      <c r="EW258" s="1034">
        <f t="shared" ref="EW258" si="1435">EW207+EW231</f>
        <v>237.48193394534175</v>
      </c>
      <c r="EX258" s="98">
        <f t="shared" si="1421"/>
        <v>3.2530147588442304</v>
      </c>
      <c r="EY258" s="176"/>
      <c r="EZ258" s="594"/>
      <c r="FA258" s="405"/>
      <c r="FB258" s="177">
        <v>526</v>
      </c>
      <c r="FC258" s="98"/>
      <c r="FD258" s="122">
        <v>534</v>
      </c>
      <c r="FE258" s="98">
        <f>IF(ISERROR((FD258/FB258-1)*100),"NA",IF(((FD258/FB258-1)*100)&gt;100,"NM",IF(((FD258/FB258-1)*100)&lt;-50,"NM",(FD258/FB258-1)*100)))</f>
        <v>1.5209125475285079</v>
      </c>
      <c r="FF258" s="118">
        <f>C258+E258+G258+I258</f>
        <v>582</v>
      </c>
      <c r="FG258" s="98">
        <f>IF(ISERROR((FF258/FD258-1)*100),"NA",IF(((FF258/FD258-1)*100)&gt;100,"NM",IF(((FF258/FD258-1)*100)&lt;-50,"NM",(FF258/FD258-1)*100)))</f>
        <v>8.9887640449438209</v>
      </c>
      <c r="FH258" s="118">
        <f>K258+M258+O258+Q258</f>
        <v>0</v>
      </c>
      <c r="FI258" s="98" t="str">
        <f>IF(ISERROR((FH258/FF258-1)*100),"NA",IF(((FH258/FF258-1)*100)&gt;100,"NM",IF(((FH258/FF258-1)*100)&lt;-50,"NM",(FH258/FF258-1)*100)))</f>
        <v>NM</v>
      </c>
      <c r="FJ258" s="118">
        <f>S258+U258+W258+Y258</f>
        <v>0</v>
      </c>
      <c r="FK258" s="98" t="str">
        <f>IF(ISERROR((FJ258/FH258-1)*100),"NA",IF(((FJ258/FH258-1)*100)&gt;100,"NM",IF(((FJ258/FH258-1)*100)&lt;-50,"NM",(FJ258/FH258-1)*100)))</f>
        <v>NA</v>
      </c>
      <c r="FL258" s="118">
        <f>AA258+AC258+AE258+AG258</f>
        <v>0</v>
      </c>
      <c r="FM258" s="98" t="str">
        <f>IF(ISERROR((FL258/FJ258-1)*100),"NA",IF(((FL258/FJ258-1)*100)&gt;100,"NM",IF(((FL258/FJ258-1)*100)&lt;-50,"NM",(FL258/FJ258-1)*100)))</f>
        <v>NA</v>
      </c>
      <c r="FN258" s="118">
        <f>AI258+AK258+AM258+AO258</f>
        <v>0</v>
      </c>
      <c r="FO258" s="98" t="str">
        <f>IF(ISERROR((FN258/FL258-1)*100),"NA",IF(((FN258/FL258-1)*100)&gt;100,"NM",IF(((FN258/FL258-1)*100)&lt;-50,"NM",(FN258/FL258-1)*100)))</f>
        <v>NA</v>
      </c>
      <c r="FP258" s="118">
        <f>AQ258+AS258+AU258+AW258</f>
        <v>0</v>
      </c>
      <c r="FQ258" s="98" t="str">
        <f>IF(ISERROR((FP258/FN258-1)*100),"NA",IF(((FP258/FN258-1)*100)&gt;100,"NM",IF(((FP258/FN258-1)*100)&lt;-50,"NM",(FP258/FN258-1)*100)))</f>
        <v>NA</v>
      </c>
      <c r="FR258" s="176">
        <f>AY258+BA258+BC258+BE258</f>
        <v>0</v>
      </c>
      <c r="FS258" s="120" t="str">
        <f>IF(ISERROR((FR258/FP258-1)*100),"NA",IF(((FR258/FP258-1)*100)&gt;100,"NM",IF(((FR258/FP258-1)*100)&lt;-50,"NM",(FR258/FP258-1)*100)))</f>
        <v>NA</v>
      </c>
      <c r="FT258" s="176">
        <f>BG258+BI258+BK258+BM258</f>
        <v>0</v>
      </c>
      <c r="FU258" s="120" t="str">
        <f t="shared" si="1422"/>
        <v>NA</v>
      </c>
      <c r="FV258" s="177">
        <f>476+2</f>
        <v>478</v>
      </c>
      <c r="FW258" s="98" t="str">
        <f t="shared" si="1423"/>
        <v>NA</v>
      </c>
      <c r="FX258" s="485">
        <f>BW258+BY258+CA258+CC258</f>
        <v>0</v>
      </c>
      <c r="FY258" s="98" t="str">
        <f t="shared" si="1424"/>
        <v>NM</v>
      </c>
      <c r="FZ258" s="119">
        <f>CE258+CG258+CI258+CK258</f>
        <v>0</v>
      </c>
      <c r="GA258" s="98" t="str">
        <f t="shared" si="1425"/>
        <v>NA</v>
      </c>
      <c r="GB258" s="485">
        <f>CM258+CO258+CQ258+CS258</f>
        <v>0</v>
      </c>
      <c r="GC258" s="98" t="str">
        <f t="shared" si="1426"/>
        <v>NA</v>
      </c>
      <c r="GD258" s="119">
        <f>CU258+CW258+CY258+DA258</f>
        <v>0</v>
      </c>
      <c r="GE258" s="98" t="str">
        <f t="shared" si="1427"/>
        <v>NA</v>
      </c>
      <c r="GF258" s="119">
        <f>DC258+DE258+DG258+DI258</f>
        <v>0</v>
      </c>
      <c r="GG258" s="98" t="str">
        <f t="shared" si="1428"/>
        <v>NA</v>
      </c>
      <c r="GH258" s="119">
        <f>DK258+DM258+DO258+DQ258</f>
        <v>0</v>
      </c>
      <c r="GI258" s="98" t="str">
        <f t="shared" si="1429"/>
        <v>NA</v>
      </c>
      <c r="GJ258" s="119">
        <f>DS258+DU258+DW258+DY258</f>
        <v>923</v>
      </c>
      <c r="GK258" s="98" t="str">
        <f t="shared" si="1430"/>
        <v>NA</v>
      </c>
      <c r="GL258" s="119">
        <f>EA258+EC258+EE258+EG258</f>
        <v>912</v>
      </c>
      <c r="GM258" s="98">
        <f t="shared" si="1431"/>
        <v>-1.1917659804983716</v>
      </c>
      <c r="GN258" s="119">
        <f>EI258+EK258+EM258+EO258</f>
        <v>911</v>
      </c>
      <c r="GO258" s="98">
        <f t="shared" si="1431"/>
        <v>-0.10964912280702066</v>
      </c>
      <c r="GP258" s="119">
        <f>EQ258+ES258+EU258+EW258</f>
        <v>944.62578849263446</v>
      </c>
      <c r="GQ258" s="98">
        <f t="shared" si="1431"/>
        <v>3.6910854547348437</v>
      </c>
      <c r="GR258" s="1034">
        <f>GR207+GR231</f>
        <v>1001.3033358021926</v>
      </c>
      <c r="GS258" s="98">
        <f t="shared" si="1431"/>
        <v>6.0000000000000053</v>
      </c>
      <c r="GT258" s="1034">
        <f>GT207+GT231</f>
        <v>1061.3815359503242</v>
      </c>
      <c r="GU258" s="98">
        <f t="shared" si="1431"/>
        <v>6.0000000000000053</v>
      </c>
      <c r="GV258" s="1034">
        <f>GV207+GV231</f>
        <v>1114.4506127478405</v>
      </c>
      <c r="GW258" s="98">
        <f t="shared" si="1431"/>
        <v>5.0000000000000044</v>
      </c>
      <c r="GX258" s="1034">
        <f>GX207+GX231</f>
        <v>1170.1731433852326</v>
      </c>
      <c r="GY258" s="98">
        <f t="shared" si="1432"/>
        <v>5.0000000000000044</v>
      </c>
      <c r="GZ258" s="98">
        <f>IF(ISERROR(((GX258/GN258)^0.2-1)*100),"NA",IF((((GX258/GN258)^0.2-1)*100)&gt;100,"NM",IF((((GX258/GN258)^0.2-1)*100)&lt;-50,"NM",((GX258/GN258)^0.2-1)*100)))</f>
        <v>5.1347653856393283</v>
      </c>
      <c r="HA258" s="98"/>
      <c r="HB258" s="10"/>
      <c r="HC258"/>
      <c r="HD258"/>
      <c r="HE258"/>
      <c r="HF258"/>
      <c r="HG258"/>
      <c r="HH258"/>
      <c r="HI258" s="10"/>
    </row>
    <row r="259" spans="1:217" s="2" customFormat="1" ht="12.75" customHeight="1" x14ac:dyDescent="0.2">
      <c r="B259" s="179" t="s">
        <v>211</v>
      </c>
      <c r="C259" s="173"/>
      <c r="D259" s="156"/>
      <c r="E259" s="173"/>
      <c r="F259" s="156"/>
      <c r="G259" s="173"/>
      <c r="H259" s="156"/>
      <c r="I259" s="173"/>
      <c r="J259" s="156"/>
      <c r="K259" s="173"/>
      <c r="L259" s="156"/>
      <c r="M259" s="173"/>
      <c r="N259" s="156"/>
      <c r="O259" s="173"/>
      <c r="P259" s="156"/>
      <c r="Q259" s="173"/>
      <c r="R259" s="156"/>
      <c r="S259" s="173"/>
      <c r="T259" s="156"/>
      <c r="U259" s="173"/>
      <c r="V259" s="156"/>
      <c r="W259" s="173"/>
      <c r="X259" s="156"/>
      <c r="Y259" s="173"/>
      <c r="Z259" s="156"/>
      <c r="AA259" s="173"/>
      <c r="AB259" s="156"/>
      <c r="AC259" s="173"/>
      <c r="AD259" s="156"/>
      <c r="AE259" s="173"/>
      <c r="AF259" s="156"/>
      <c r="AG259" s="173"/>
      <c r="AH259" s="156"/>
      <c r="AI259" s="173"/>
      <c r="AJ259" s="156"/>
      <c r="AK259" s="173"/>
      <c r="AL259" s="156"/>
      <c r="AM259" s="173"/>
      <c r="AN259" s="156"/>
      <c r="AO259" s="173"/>
      <c r="AP259" s="156"/>
      <c r="AQ259" s="173"/>
      <c r="AR259" s="156"/>
      <c r="AS259" s="173"/>
      <c r="AT259" s="156"/>
      <c r="AU259" s="173"/>
      <c r="AV259" s="156"/>
      <c r="AW259" s="173"/>
      <c r="AX259" s="156"/>
      <c r="AY259" s="173"/>
      <c r="AZ259" s="156"/>
      <c r="BA259" s="173"/>
      <c r="BB259" s="156"/>
      <c r="BC259" s="173"/>
      <c r="BD259" s="156"/>
      <c r="BE259" s="173"/>
      <c r="BF259" s="156"/>
      <c r="BG259" s="173"/>
      <c r="BH259" s="156"/>
      <c r="BI259" s="173"/>
      <c r="BJ259" s="156"/>
      <c r="BK259" s="173"/>
      <c r="BL259" s="156"/>
      <c r="BM259" s="173"/>
      <c r="BN259" s="98"/>
      <c r="BO259" s="122"/>
      <c r="BP259" s="98"/>
      <c r="BQ259" s="122"/>
      <c r="BR259" s="98"/>
      <c r="BS259" s="122"/>
      <c r="BT259" s="98"/>
      <c r="BU259" s="122"/>
      <c r="BV259" s="98"/>
      <c r="BW259" s="122"/>
      <c r="BX259" s="98"/>
      <c r="BY259" s="122"/>
      <c r="BZ259" s="98"/>
      <c r="CA259" s="122"/>
      <c r="CB259" s="98"/>
      <c r="CC259" s="122"/>
      <c r="CD259" s="98"/>
      <c r="CE259" s="122"/>
      <c r="CF259" s="98"/>
      <c r="CG259" s="122"/>
      <c r="CH259" s="98"/>
      <c r="CI259" s="122"/>
      <c r="CJ259" s="98"/>
      <c r="CK259" s="122"/>
      <c r="CL259" s="98"/>
      <c r="CM259" s="122"/>
      <c r="CN259" s="98"/>
      <c r="CO259" s="122"/>
      <c r="CP259" s="98"/>
      <c r="CQ259" s="547"/>
      <c r="CR259" s="98"/>
      <c r="CS259" s="122"/>
      <c r="CT259" s="98"/>
      <c r="CU259" s="122"/>
      <c r="CV259" s="98"/>
      <c r="CW259" s="122"/>
      <c r="CX259" s="98"/>
      <c r="CY259" s="122"/>
      <c r="CZ259" s="98"/>
      <c r="DA259" s="122"/>
      <c r="DB259" s="98"/>
      <c r="DC259" s="122"/>
      <c r="DD259" s="98"/>
      <c r="DE259" s="122"/>
      <c r="DF259" s="98"/>
      <c r="DG259" s="122"/>
      <c r="DH259" s="98"/>
      <c r="DI259" s="122"/>
      <c r="DJ259" s="98"/>
      <c r="DK259" s="122"/>
      <c r="DL259" s="98"/>
      <c r="DM259" s="122"/>
      <c r="DN259" s="98"/>
      <c r="DO259" s="122"/>
      <c r="DP259" s="98"/>
      <c r="DQ259" s="122"/>
      <c r="DR259" s="98"/>
      <c r="DS259" s="122">
        <f>-96+101</f>
        <v>5</v>
      </c>
      <c r="DT259" s="98" t="str">
        <f t="shared" si="1403"/>
        <v>NA</v>
      </c>
      <c r="DU259" s="122">
        <f>-105+101</f>
        <v>-4</v>
      </c>
      <c r="DV259" s="98" t="str">
        <f t="shared" si="1404"/>
        <v>NA</v>
      </c>
      <c r="DW259" s="122">
        <f>-113+104</f>
        <v>-9</v>
      </c>
      <c r="DX259" s="98" t="str">
        <f t="shared" si="1405"/>
        <v>NA</v>
      </c>
      <c r="DY259" s="122">
        <f>-108+106</f>
        <v>-2</v>
      </c>
      <c r="DZ259" s="98" t="str">
        <f t="shared" si="1406"/>
        <v>NA</v>
      </c>
      <c r="EA259" s="122">
        <f>-98+104</f>
        <v>6</v>
      </c>
      <c r="EB259" s="98">
        <f t="shared" si="1407"/>
        <v>19.999999999999996</v>
      </c>
      <c r="EC259" s="122">
        <f>-107+103</f>
        <v>-4</v>
      </c>
      <c r="ED259" s="98">
        <f t="shared" si="1408"/>
        <v>0</v>
      </c>
      <c r="EE259" s="122">
        <f>103-108</f>
        <v>-5</v>
      </c>
      <c r="EF259" s="860">
        <f t="shared" si="1409"/>
        <v>-44.444444444444443</v>
      </c>
      <c r="EG259" s="122">
        <f>104-98</f>
        <v>6</v>
      </c>
      <c r="EH259" s="860" t="str">
        <f t="shared" si="1410"/>
        <v>NM</v>
      </c>
      <c r="EI259" s="122">
        <f>99-89</f>
        <v>10</v>
      </c>
      <c r="EJ259" s="860">
        <f t="shared" si="1411"/>
        <v>66.666666666666671</v>
      </c>
      <c r="EK259" s="122">
        <f>-101+100</f>
        <v>-1</v>
      </c>
      <c r="EL259" s="860" t="str">
        <f t="shared" si="1412"/>
        <v>NM</v>
      </c>
      <c r="EM259" s="122">
        <f>-106+102</f>
        <v>-4</v>
      </c>
      <c r="EN259" s="860">
        <f t="shared" si="1413"/>
        <v>-19.999999999999996</v>
      </c>
      <c r="EO259" s="122">
        <f>-100+102</f>
        <v>2</v>
      </c>
      <c r="EP259" s="98" t="str">
        <f t="shared" si="1414"/>
        <v>NM</v>
      </c>
      <c r="EQ259" s="1025">
        <f>EO259</f>
        <v>2</v>
      </c>
      <c r="ER259" s="98" t="str">
        <f t="shared" si="1415"/>
        <v>NM</v>
      </c>
      <c r="ES259" s="1025">
        <f t="shared" ref="ES259" si="1436">EQ259</f>
        <v>2</v>
      </c>
      <c r="ET259" s="98" t="str">
        <f t="shared" si="1417"/>
        <v>NM</v>
      </c>
      <c r="EU259" s="1025">
        <f t="shared" ref="EU259" si="1437">ES259</f>
        <v>2</v>
      </c>
      <c r="EV259" s="98" t="str">
        <f t="shared" si="1419"/>
        <v>NM</v>
      </c>
      <c r="EW259" s="1025">
        <f t="shared" ref="EW259" si="1438">EU259</f>
        <v>2</v>
      </c>
      <c r="EX259" s="98">
        <f t="shared" si="1421"/>
        <v>0</v>
      </c>
      <c r="EY259" s="176"/>
      <c r="EZ259" s="594"/>
      <c r="FA259" s="405"/>
      <c r="FB259" s="177"/>
      <c r="FC259" s="98"/>
      <c r="FD259" s="122"/>
      <c r="FE259" s="98"/>
      <c r="FF259" s="118"/>
      <c r="FG259" s="98"/>
      <c r="FH259" s="118"/>
      <c r="FI259" s="98"/>
      <c r="FJ259" s="118"/>
      <c r="FK259" s="98"/>
      <c r="FL259" s="118"/>
      <c r="FM259" s="98"/>
      <c r="FN259" s="118"/>
      <c r="FO259" s="98"/>
      <c r="FP259" s="118"/>
      <c r="FQ259" s="98"/>
      <c r="FR259" s="176"/>
      <c r="FS259" s="120"/>
      <c r="FT259" s="176"/>
      <c r="FU259" s="120"/>
      <c r="FV259" s="176">
        <f>-18+29</f>
        <v>11</v>
      </c>
      <c r="FW259" s="98" t="str">
        <f t="shared" si="1423"/>
        <v>NA</v>
      </c>
      <c r="FX259" s="485">
        <f>BW259+BY259+CA259+CC259</f>
        <v>0</v>
      </c>
      <c r="FY259" s="98" t="str">
        <f t="shared" si="1424"/>
        <v>NM</v>
      </c>
      <c r="FZ259" s="119">
        <f>CE259+CG259+CI259+CK259</f>
        <v>0</v>
      </c>
      <c r="GA259" s="98" t="str">
        <f t="shared" si="1425"/>
        <v>NA</v>
      </c>
      <c r="GB259" s="485">
        <f>CM259+CO259+CQ259+CS259</f>
        <v>0</v>
      </c>
      <c r="GC259" s="98" t="str">
        <f t="shared" si="1426"/>
        <v>NA</v>
      </c>
      <c r="GD259" s="119">
        <f>CU259+CW259+CY259+DA259</f>
        <v>0</v>
      </c>
      <c r="GE259" s="98" t="str">
        <f t="shared" si="1427"/>
        <v>NA</v>
      </c>
      <c r="GF259" s="119">
        <f>DC259+DE259+DG259+DI259</f>
        <v>0</v>
      </c>
      <c r="GG259" s="98" t="str">
        <f t="shared" si="1428"/>
        <v>NA</v>
      </c>
      <c r="GH259" s="119">
        <f>DK259+DM259+DO259+DQ259</f>
        <v>0</v>
      </c>
      <c r="GI259" s="98" t="str">
        <f t="shared" si="1429"/>
        <v>NA</v>
      </c>
      <c r="GJ259" s="119">
        <f>DS259+DU259+DW259+DY259</f>
        <v>-10</v>
      </c>
      <c r="GK259" s="98" t="str">
        <f t="shared" si="1430"/>
        <v>NA</v>
      </c>
      <c r="GL259" s="119">
        <f>EA259+EC259+EE259+EG259</f>
        <v>3</v>
      </c>
      <c r="GM259" s="98" t="str">
        <f t="shared" si="1431"/>
        <v>NM</v>
      </c>
      <c r="GN259" s="119">
        <f>EI259+EK259+EM259+EO259</f>
        <v>7</v>
      </c>
      <c r="GO259" s="98" t="str">
        <f t="shared" si="1431"/>
        <v>NM</v>
      </c>
      <c r="GP259" s="119">
        <f>EQ259+ES259+EU259+EW259</f>
        <v>8</v>
      </c>
      <c r="GQ259" s="98">
        <f t="shared" si="1431"/>
        <v>14.285714285714279</v>
      </c>
      <c r="GR259" s="1025">
        <f>GP259</f>
        <v>8</v>
      </c>
      <c r="GS259" s="98">
        <f t="shared" si="1431"/>
        <v>0</v>
      </c>
      <c r="GT259" s="1025">
        <f>GR259</f>
        <v>8</v>
      </c>
      <c r="GU259" s="98">
        <f t="shared" si="1431"/>
        <v>0</v>
      </c>
      <c r="GV259" s="1025">
        <f>GT259</f>
        <v>8</v>
      </c>
      <c r="GW259" s="98">
        <f t="shared" si="1431"/>
        <v>0</v>
      </c>
      <c r="GX259" s="1025">
        <f>GV259</f>
        <v>8</v>
      </c>
      <c r="GY259" s="98">
        <f t="shared" si="1432"/>
        <v>0</v>
      </c>
      <c r="GZ259" s="98">
        <f>IF(ISERROR(((GX259/GN259)^0.2-1)*100),"NA",IF((((GX259/GN259)^0.2-1)*100)&gt;100,"NM",IF((((GX259/GN259)^0.2-1)*100)&lt;-50,"NM",((GX259/GN259)^0.2-1)*100)))</f>
        <v>2.7066087089351765</v>
      </c>
      <c r="HA259" s="98"/>
      <c r="HB259" s="10"/>
      <c r="HC259"/>
      <c r="HD259"/>
      <c r="HE259"/>
      <c r="HF259"/>
      <c r="HG259"/>
      <c r="HH259"/>
      <c r="HI259" s="10"/>
    </row>
    <row r="260" spans="1:217" s="2" customFormat="1" ht="12.75" customHeight="1" x14ac:dyDescent="0.2">
      <c r="B260" s="131" t="s">
        <v>160</v>
      </c>
      <c r="C260" s="181">
        <f>+C258+C259</f>
        <v>120</v>
      </c>
      <c r="D260" s="156"/>
      <c r="E260" s="181">
        <f>+E258+E259</f>
        <v>136</v>
      </c>
      <c r="F260" s="156"/>
      <c r="G260" s="181">
        <f>+G258+G259</f>
        <v>173</v>
      </c>
      <c r="H260" s="156"/>
      <c r="I260" s="181">
        <f>+I258+I259</f>
        <v>153</v>
      </c>
      <c r="J260" s="156"/>
      <c r="K260" s="181"/>
      <c r="L260" s="156"/>
      <c r="M260" s="181"/>
      <c r="N260" s="156"/>
      <c r="O260" s="181"/>
      <c r="P260" s="156"/>
      <c r="Q260" s="181"/>
      <c r="R260" s="156"/>
      <c r="S260" s="181"/>
      <c r="T260" s="156"/>
      <c r="U260" s="181"/>
      <c r="V260" s="156"/>
      <c r="W260" s="181"/>
      <c r="X260" s="156"/>
      <c r="Y260" s="181"/>
      <c r="Z260" s="156"/>
      <c r="AA260" s="181"/>
      <c r="AB260" s="156"/>
      <c r="AC260" s="181"/>
      <c r="AD260" s="156"/>
      <c r="AE260" s="181"/>
      <c r="AF260" s="156"/>
      <c r="AG260" s="181"/>
      <c r="AH260" s="156"/>
      <c r="AI260" s="181"/>
      <c r="AJ260" s="156"/>
      <c r="AK260" s="181"/>
      <c r="AL260" s="156"/>
      <c r="AM260" s="181"/>
      <c r="AN260" s="156"/>
      <c r="AO260" s="181"/>
      <c r="AP260" s="156"/>
      <c r="AQ260" s="181"/>
      <c r="AR260" s="156"/>
      <c r="AS260" s="181"/>
      <c r="AT260" s="156"/>
      <c r="AU260" s="181"/>
      <c r="AV260" s="156"/>
      <c r="AW260" s="181"/>
      <c r="AX260" s="156"/>
      <c r="AY260" s="181"/>
      <c r="AZ260" s="156"/>
      <c r="BA260" s="181"/>
      <c r="BB260" s="156"/>
      <c r="BC260" s="181"/>
      <c r="BD260" s="156"/>
      <c r="BE260" s="181"/>
      <c r="BF260" s="156"/>
      <c r="BG260" s="181"/>
      <c r="BH260" s="156"/>
      <c r="BI260" s="181"/>
      <c r="BJ260" s="156"/>
      <c r="BK260" s="181"/>
      <c r="BL260" s="156"/>
      <c r="BM260" s="181"/>
      <c r="BN260" s="98"/>
      <c r="BO260" s="182"/>
      <c r="BP260" s="98"/>
      <c r="BQ260" s="182"/>
      <c r="BR260" s="98"/>
      <c r="BS260" s="182"/>
      <c r="BT260" s="98"/>
      <c r="BU260" s="182"/>
      <c r="BV260" s="98"/>
      <c r="BW260" s="182"/>
      <c r="BX260" s="98"/>
      <c r="BY260" s="182"/>
      <c r="BZ260" s="98"/>
      <c r="CA260" s="182"/>
      <c r="CB260" s="98"/>
      <c r="CC260" s="182"/>
      <c r="CD260" s="98"/>
      <c r="CE260" s="182"/>
      <c r="CF260" s="98"/>
      <c r="CG260" s="182"/>
      <c r="CH260" s="98"/>
      <c r="CI260" s="182"/>
      <c r="CJ260" s="98"/>
      <c r="CK260" s="182"/>
      <c r="CL260" s="98"/>
      <c r="CM260" s="182"/>
      <c r="CN260" s="98"/>
      <c r="CO260" s="182"/>
      <c r="CP260" s="98"/>
      <c r="CQ260" s="512"/>
      <c r="CR260" s="98"/>
      <c r="CS260" s="182"/>
      <c r="CT260" s="98"/>
      <c r="CU260" s="182"/>
      <c r="CV260" s="98"/>
      <c r="CW260" s="182"/>
      <c r="CX260" s="98"/>
      <c r="CY260" s="182"/>
      <c r="CZ260" s="98"/>
      <c r="DA260" s="182"/>
      <c r="DB260" s="98"/>
      <c r="DC260" s="182"/>
      <c r="DD260" s="98"/>
      <c r="DE260" s="182"/>
      <c r="DF260" s="98"/>
      <c r="DG260" s="182"/>
      <c r="DH260" s="98"/>
      <c r="DI260" s="182"/>
      <c r="DJ260" s="98"/>
      <c r="DK260" s="182"/>
      <c r="DL260" s="98"/>
      <c r="DM260" s="182"/>
      <c r="DN260" s="98"/>
      <c r="DO260" s="182"/>
      <c r="DP260" s="98"/>
      <c r="DQ260" s="182"/>
      <c r="DR260" s="98"/>
      <c r="DS260" s="182">
        <f>DS257+DS258+DS259</f>
        <v>809</v>
      </c>
      <c r="DT260" s="98" t="str">
        <f t="shared" si="1403"/>
        <v>NA</v>
      </c>
      <c r="DU260" s="182">
        <f>DU257+DU258+DU259</f>
        <v>854</v>
      </c>
      <c r="DV260" s="98" t="str">
        <f t="shared" si="1404"/>
        <v>NA</v>
      </c>
      <c r="DW260" s="182">
        <f>DW257+DW258+DW259</f>
        <v>824</v>
      </c>
      <c r="DX260" s="98" t="str">
        <f t="shared" si="1405"/>
        <v>NA</v>
      </c>
      <c r="DY260" s="182">
        <f>DY257+DY258+DY259</f>
        <v>860</v>
      </c>
      <c r="DZ260" s="98" t="str">
        <f t="shared" si="1406"/>
        <v>NA</v>
      </c>
      <c r="EA260" s="182">
        <f>EA257+EA258+EA259</f>
        <v>886</v>
      </c>
      <c r="EB260" s="98">
        <f t="shared" si="1407"/>
        <v>9.5179233621755177</v>
      </c>
      <c r="EC260" s="182">
        <f>EC257+EC258+EC259</f>
        <v>927</v>
      </c>
      <c r="ED260" s="98">
        <f t="shared" si="1408"/>
        <v>8.5480093676814981</v>
      </c>
      <c r="EE260" s="182">
        <f>EE257+EE258+EE259</f>
        <v>842</v>
      </c>
      <c r="EF260" s="860">
        <f t="shared" si="1409"/>
        <v>2.1844660194174859</v>
      </c>
      <c r="EG260" s="182">
        <f>EG257+EG258+EG259</f>
        <v>866</v>
      </c>
      <c r="EH260" s="860">
        <f t="shared" si="1410"/>
        <v>0.69767441860464352</v>
      </c>
      <c r="EI260" s="182">
        <f>EI257+EI258+EI259</f>
        <v>889</v>
      </c>
      <c r="EJ260" s="860">
        <f t="shared" si="1411"/>
        <v>0.33860045146727469</v>
      </c>
      <c r="EK260" s="182">
        <f>EK257+EK258+EK259</f>
        <v>902</v>
      </c>
      <c r="EL260" s="860">
        <f t="shared" si="1412"/>
        <v>-2.6968716289104688</v>
      </c>
      <c r="EM260" s="182">
        <f>EM257+EM258+EM259</f>
        <v>877</v>
      </c>
      <c r="EN260" s="860">
        <f t="shared" si="1413"/>
        <v>4.1567695961995277</v>
      </c>
      <c r="EO260" s="182">
        <f>EO257+EO258+EO259</f>
        <v>812</v>
      </c>
      <c r="EP260" s="98">
        <f t="shared" si="1414"/>
        <v>-6.2355658198614332</v>
      </c>
      <c r="EQ260" s="182">
        <f>EQ257+EQ258+EQ259</f>
        <v>881.68570999999986</v>
      </c>
      <c r="ER260" s="98">
        <f t="shared" si="1415"/>
        <v>-0.8227547806524349</v>
      </c>
      <c r="ES260" s="182">
        <f t="shared" ref="ES260" si="1439">ES257+ES258+ES259</f>
        <v>890.01950932249952</v>
      </c>
      <c r="ET260" s="98">
        <f t="shared" si="1417"/>
        <v>-1.3282140440687873</v>
      </c>
      <c r="EU260" s="182">
        <f t="shared" ref="EU260" si="1440">EU257+EU258+EU259</f>
        <v>888.32957267514462</v>
      </c>
      <c r="EV260" s="98">
        <f t="shared" si="1419"/>
        <v>1.291855493174987</v>
      </c>
      <c r="EW260" s="182">
        <f t="shared" ref="EW260" si="1441">EW257+EW258+EW259</f>
        <v>837.01658596440041</v>
      </c>
      <c r="EX260" s="98">
        <f t="shared" si="1421"/>
        <v>3.0808603404433921</v>
      </c>
      <c r="EY260" s="182"/>
      <c r="EZ260" s="594"/>
      <c r="FA260" s="405"/>
      <c r="FB260" s="197">
        <f>+FB258+FB259</f>
        <v>526</v>
      </c>
      <c r="FC260" s="98"/>
      <c r="FD260" s="197">
        <f>+FD258+FD259</f>
        <v>534</v>
      </c>
      <c r="FE260" s="98">
        <f>IF(ISERROR((FD260/FB260-1)*100),"NA",IF(((FD260/FB260-1)*100)&gt;100,"NM",IF(((FD260/FB260-1)*100)&lt;-50,"NM",(FD260/FB260-1)*100)))</f>
        <v>1.5209125475285079</v>
      </c>
      <c r="FF260" s="197">
        <f>+FF258+FF259</f>
        <v>582</v>
      </c>
      <c r="FG260" s="98">
        <f>IF(ISERROR((FF260/FD260-1)*100),"NA",IF(((FF260/FD260-1)*100)&gt;100,"NM",IF(((FF260/FD260-1)*100)&lt;-50,"NM",(FF260/FD260-1)*100)))</f>
        <v>8.9887640449438209</v>
      </c>
      <c r="FH260" s="197">
        <f>+FH258+FH259</f>
        <v>0</v>
      </c>
      <c r="FI260" s="98" t="str">
        <f>IF(ISERROR((FH260/FF260-1)*100),"NA",IF(((FH260/FF260-1)*100)&gt;100,"NM",IF(((FH260/FF260-1)*100)&lt;-50,"NM",(FH260/FF260-1)*100)))</f>
        <v>NM</v>
      </c>
      <c r="FJ260" s="197">
        <f>+FJ258+FJ259</f>
        <v>0</v>
      </c>
      <c r="FK260" s="98" t="str">
        <f>IF(ISERROR((FJ260/FH260-1)*100),"NA",IF(((FJ260/FH260-1)*100)&gt;100,"NM",IF(((FJ260/FH260-1)*100)&lt;-50,"NM",(FJ260/FH260-1)*100)))</f>
        <v>NA</v>
      </c>
      <c r="FL260" s="197">
        <f>+FL258+FL259</f>
        <v>0</v>
      </c>
      <c r="FM260" s="98" t="str">
        <f>IF(ISERROR((FL260/FJ260-1)*100),"NA",IF(((FL260/FJ260-1)*100)&gt;100,"NM",IF(((FL260/FJ260-1)*100)&lt;-50,"NM",(FL260/FJ260-1)*100)))</f>
        <v>NA</v>
      </c>
      <c r="FN260" s="197">
        <f>+FN258+FN259</f>
        <v>0</v>
      </c>
      <c r="FO260" s="98" t="str">
        <f>IF(ISERROR((FN260/FL260-1)*100),"NA",IF(((FN260/FL260-1)*100)&gt;100,"NM",IF(((FN260/FL260-1)*100)&lt;-50,"NM",(FN260/FL260-1)*100)))</f>
        <v>NA</v>
      </c>
      <c r="FP260" s="197">
        <f>+FP258+FP259</f>
        <v>0</v>
      </c>
      <c r="FQ260" s="98" t="str">
        <f>IF(ISERROR((FP260/FN260-1)*100),"NA",IF(((FP260/FN260-1)*100)&gt;100,"NM",IF(((FP260/FN260-1)*100)&lt;-50,"NM",(FP260/FN260-1)*100)))</f>
        <v>NA</v>
      </c>
      <c r="FR260" s="197">
        <f>+FR258+FR259</f>
        <v>0</v>
      </c>
      <c r="FS260" s="120" t="str">
        <f>IF(ISERROR((FR260/FP260-1)*100),"NA",IF(((FR260/FP260-1)*100)&gt;100,"NM",IF(((FR260/FP260-1)*100)&lt;-50,"NM",(FR260/FP260-1)*100)))</f>
        <v>NA</v>
      </c>
      <c r="FT260" s="197">
        <f>+FT258+FT259</f>
        <v>0</v>
      </c>
      <c r="FU260" s="120" t="str">
        <f t="shared" ref="FU260" si="1442">IF(ISERROR((FT260/FR260-1)*100),"NA",IF(((FT260/FR260-1)*100)&gt;100,"NM",IF(((FT260/FR260-1)*100)&lt;-50,"NM",(FT260/FR260-1)*100)))</f>
        <v>NA</v>
      </c>
      <c r="FV260" s="197">
        <f>+FV258+FV259+FV257</f>
        <v>5466</v>
      </c>
      <c r="FW260" s="98" t="str">
        <f t="shared" si="1423"/>
        <v>NA</v>
      </c>
      <c r="FX260" s="502">
        <f>+FX258+FX259</f>
        <v>0</v>
      </c>
      <c r="FY260" s="98" t="str">
        <f t="shared" si="1424"/>
        <v>NM</v>
      </c>
      <c r="FZ260" s="197">
        <f>+FZ258+FZ259</f>
        <v>0</v>
      </c>
      <c r="GA260" s="98" t="str">
        <f t="shared" si="1425"/>
        <v>NA</v>
      </c>
      <c r="GB260" s="502">
        <f>+GB258+GB259</f>
        <v>0</v>
      </c>
      <c r="GC260" s="98" t="str">
        <f t="shared" si="1426"/>
        <v>NA</v>
      </c>
      <c r="GD260" s="197">
        <f>+GD258+GD259</f>
        <v>0</v>
      </c>
      <c r="GE260" s="98" t="str">
        <f t="shared" si="1427"/>
        <v>NA</v>
      </c>
      <c r="GF260" s="197">
        <f>+GF258+GF259</f>
        <v>0</v>
      </c>
      <c r="GG260" s="98" t="str">
        <f t="shared" si="1428"/>
        <v>NA</v>
      </c>
      <c r="GH260" s="197">
        <f>+GH258+GH259</f>
        <v>0</v>
      </c>
      <c r="GI260" s="98" t="str">
        <f t="shared" si="1429"/>
        <v>NA</v>
      </c>
      <c r="GJ260" s="182">
        <f>GJ257+GJ258+GJ259</f>
        <v>3347</v>
      </c>
      <c r="GK260" s="98" t="str">
        <f t="shared" si="1430"/>
        <v>NA</v>
      </c>
      <c r="GL260" s="182">
        <f>GL257+GL258+GL259</f>
        <v>3521</v>
      </c>
      <c r="GM260" s="98">
        <f t="shared" si="1431"/>
        <v>5.1986853899014029</v>
      </c>
      <c r="GN260" s="182">
        <f>GN257+GN258+GN259</f>
        <v>3480</v>
      </c>
      <c r="GO260" s="98">
        <f t="shared" si="1431"/>
        <v>-1.1644419199091205</v>
      </c>
      <c r="GP260" s="182">
        <f>GP257+GP258+GP259</f>
        <v>3497.0513779620446</v>
      </c>
      <c r="GQ260" s="98">
        <f t="shared" si="1431"/>
        <v>0.48998212534610008</v>
      </c>
      <c r="GR260" s="182">
        <f>GR257+GR258+GR259</f>
        <v>3673.8073239759474</v>
      </c>
      <c r="GS260" s="98">
        <f t="shared" si="1431"/>
        <v>5.0544280569566613</v>
      </c>
      <c r="GT260" s="182">
        <f>GT257+GT258+GT259</f>
        <v>3880.3749050045831</v>
      </c>
      <c r="GU260" s="98">
        <f t="shared" si="1431"/>
        <v>5.6227113403726214</v>
      </c>
      <c r="GV260" s="182">
        <f>GV257+GV258+GV259</f>
        <v>4061.4250543761564</v>
      </c>
      <c r="GW260" s="98">
        <f t="shared" si="1431"/>
        <v>4.6657901312079364</v>
      </c>
      <c r="GX260" s="182">
        <f>GX257+GX258+GX259</f>
        <v>4258.1953485361901</v>
      </c>
      <c r="GY260" s="98">
        <f t="shared" si="1432"/>
        <v>4.8448584308607323</v>
      </c>
      <c r="GZ260" s="98">
        <f>IF(ISERROR(((GX260/GN260)^0.2-1)*100),"NA",IF((((GX260/GN260)^0.2-1)*100)&gt;100,"NM",IF((((GX260/GN260)^0.2-1)*100)&lt;-50,"NM",((GX260/GN260)^0.2-1)*100)))</f>
        <v>4.118827176936124</v>
      </c>
      <c r="HA260" s="98"/>
      <c r="HB260" s="10"/>
      <c r="HC260"/>
      <c r="HD260"/>
      <c r="HE260"/>
      <c r="HF260"/>
      <c r="HG260"/>
      <c r="HH260"/>
      <c r="HI260" s="10"/>
    </row>
    <row r="261" spans="1:217" s="2" customFormat="1" ht="12.75" customHeight="1" x14ac:dyDescent="0.2">
      <c r="B261" s="988"/>
      <c r="C261" s="276"/>
      <c r="D261" s="156"/>
      <c r="E261" s="276"/>
      <c r="F261" s="156"/>
      <c r="G261" s="276"/>
      <c r="H261" s="156"/>
      <c r="I261" s="276"/>
      <c r="J261" s="156"/>
      <c r="K261" s="276"/>
      <c r="L261" s="156"/>
      <c r="M261" s="276"/>
      <c r="N261" s="156"/>
      <c r="O261" s="276"/>
      <c r="P261" s="156"/>
      <c r="Q261" s="276"/>
      <c r="R261" s="156"/>
      <c r="S261" s="276"/>
      <c r="T261" s="156"/>
      <c r="U261" s="276"/>
      <c r="V261" s="156"/>
      <c r="W261" s="276"/>
      <c r="X261" s="156"/>
      <c r="Y261" s="276"/>
      <c r="Z261" s="156"/>
      <c r="AA261" s="276"/>
      <c r="AB261" s="156"/>
      <c r="AC261" s="276"/>
      <c r="AD261" s="156"/>
      <c r="AE261" s="276"/>
      <c r="AF261" s="156"/>
      <c r="AG261" s="276"/>
      <c r="AH261" s="156"/>
      <c r="AI261" s="276"/>
      <c r="AJ261" s="156"/>
      <c r="AK261" s="276"/>
      <c r="AL261" s="156"/>
      <c r="AM261" s="276"/>
      <c r="AN261" s="156"/>
      <c r="AO261" s="276"/>
      <c r="AP261" s="156"/>
      <c r="AQ261" s="276"/>
      <c r="AR261" s="156"/>
      <c r="AS261" s="276"/>
      <c r="AT261" s="156"/>
      <c r="AU261" s="276"/>
      <c r="AV261" s="156"/>
      <c r="AW261" s="276"/>
      <c r="AX261" s="156"/>
      <c r="AY261" s="166"/>
      <c r="AZ261" s="156"/>
      <c r="BA261" s="166"/>
      <c r="BB261" s="156"/>
      <c r="BC261" s="166"/>
      <c r="BD261" s="156"/>
      <c r="BE261" s="166"/>
      <c r="BF261" s="156"/>
      <c r="BG261" s="166"/>
      <c r="BH261" s="156"/>
      <c r="BI261" s="166"/>
      <c r="BJ261" s="156"/>
      <c r="BK261" s="166"/>
      <c r="BL261" s="156"/>
      <c r="BM261" s="166"/>
      <c r="BN261" s="98"/>
      <c r="BO261" s="137"/>
      <c r="BP261" s="98"/>
      <c r="BQ261" s="137"/>
      <c r="BR261" s="98"/>
      <c r="BS261" s="137"/>
      <c r="BT261" s="98"/>
      <c r="BU261" s="137"/>
      <c r="BV261" s="98"/>
      <c r="BW261" s="137"/>
      <c r="BX261" s="98"/>
      <c r="BY261" s="137"/>
      <c r="BZ261" s="98"/>
      <c r="CA261" s="137"/>
      <c r="CB261" s="98"/>
      <c r="CC261" s="137"/>
      <c r="CD261" s="98"/>
      <c r="CE261" s="137"/>
      <c r="CF261" s="98"/>
      <c r="CG261" s="137"/>
      <c r="CH261" s="98"/>
      <c r="CI261" s="137"/>
      <c r="CJ261" s="98"/>
      <c r="CK261" s="137"/>
      <c r="CL261" s="98"/>
      <c r="CM261" s="137"/>
      <c r="CN261" s="98"/>
      <c r="CO261" s="137"/>
      <c r="CP261" s="98"/>
      <c r="CQ261" s="137"/>
      <c r="CR261" s="98"/>
      <c r="CS261" s="137"/>
      <c r="CT261" s="98"/>
      <c r="CU261" s="137"/>
      <c r="CV261" s="98"/>
      <c r="CW261" s="137"/>
      <c r="CX261" s="98"/>
      <c r="CY261" s="137"/>
      <c r="CZ261" s="98"/>
      <c r="DA261" s="137"/>
      <c r="DB261" s="98"/>
      <c r="DC261" s="137"/>
      <c r="DD261" s="98"/>
      <c r="DE261" s="137"/>
      <c r="DF261" s="98"/>
      <c r="DG261" s="137"/>
      <c r="DH261" s="98"/>
      <c r="DI261" s="137"/>
      <c r="DJ261" s="98"/>
      <c r="DK261" s="137"/>
      <c r="DL261" s="98"/>
      <c r="DM261" s="137"/>
      <c r="DN261" s="98"/>
      <c r="DO261" s="137"/>
      <c r="DP261" s="98"/>
      <c r="DQ261" s="137"/>
      <c r="DR261" s="98"/>
      <c r="DS261" s="137"/>
      <c r="DT261" s="98"/>
      <c r="DU261" s="137"/>
      <c r="DV261" s="98"/>
      <c r="DW261" s="137"/>
      <c r="DX261" s="98"/>
      <c r="DY261" s="137"/>
      <c r="DZ261" s="98"/>
      <c r="EA261" s="137"/>
      <c r="EB261" s="98"/>
      <c r="EC261" s="137"/>
      <c r="ED261" s="98"/>
      <c r="EE261" s="137"/>
      <c r="EF261" s="860"/>
      <c r="EG261" s="137"/>
      <c r="EH261" s="860"/>
      <c r="EI261" s="137"/>
      <c r="EJ261" s="860"/>
      <c r="EK261" s="137"/>
      <c r="EL261" s="860"/>
      <c r="EM261" s="137"/>
      <c r="EN261" s="860"/>
      <c r="EO261" s="137"/>
      <c r="EP261" s="98"/>
      <c r="EQ261" s="1033"/>
      <c r="ER261" s="98"/>
      <c r="ES261" s="1033"/>
      <c r="ET261" s="98"/>
      <c r="EU261" s="1033"/>
      <c r="EV261" s="98"/>
      <c r="EW261" s="1033"/>
      <c r="EX261" s="98"/>
      <c r="EY261" s="137"/>
      <c r="EZ261" s="601"/>
      <c r="FA261" s="411"/>
      <c r="FB261" s="242"/>
      <c r="FC261" s="233"/>
      <c r="FD261" s="137"/>
      <c r="FE261" s="233"/>
      <c r="FF261" s="137"/>
      <c r="FG261" s="233"/>
      <c r="FH261" s="137"/>
      <c r="FI261" s="233"/>
      <c r="FJ261" s="137"/>
      <c r="FK261" s="233"/>
      <c r="FL261" s="137"/>
      <c r="FM261" s="233"/>
      <c r="FN261" s="137"/>
      <c r="FO261" s="233"/>
      <c r="FP261" s="137"/>
      <c r="FQ261" s="233"/>
      <c r="FR261" s="106"/>
      <c r="FS261" s="120"/>
      <c r="FT261" s="106"/>
      <c r="FU261" s="120"/>
      <c r="FV261" s="106"/>
      <c r="FW261" s="98"/>
      <c r="FX261" s="483"/>
      <c r="FY261" s="98"/>
      <c r="FZ261" s="106"/>
      <c r="GA261" s="98"/>
      <c r="GB261" s="483"/>
      <c r="GC261" s="98"/>
      <c r="GD261" s="106"/>
      <c r="GE261" s="98"/>
      <c r="GF261" s="106"/>
      <c r="GG261" s="98"/>
      <c r="GH261" s="106"/>
      <c r="GI261" s="98"/>
      <c r="GJ261" s="106"/>
      <c r="GK261" s="98"/>
      <c r="GL261" s="106"/>
      <c r="GM261" s="98"/>
      <c r="GN261" s="106"/>
      <c r="GO261" s="98"/>
      <c r="GP261" s="106"/>
      <c r="GQ261" s="98"/>
      <c r="GR261" s="137"/>
      <c r="GS261" s="98"/>
      <c r="GT261" s="137"/>
      <c r="GU261" s="98"/>
      <c r="GV261" s="137"/>
      <c r="GW261" s="98"/>
      <c r="GX261" s="137"/>
      <c r="GY261" s="98"/>
      <c r="GZ261" s="98"/>
      <c r="HA261" s="98"/>
      <c r="HB261" s="10"/>
      <c r="HC261"/>
      <c r="HD261"/>
      <c r="HE261"/>
      <c r="HF261"/>
      <c r="HG261"/>
      <c r="HH261"/>
      <c r="HI261" s="10"/>
    </row>
    <row r="262" spans="1:217" s="2" customFormat="1" ht="12.75" customHeight="1" x14ac:dyDescent="0.2">
      <c r="B262" s="988" t="s">
        <v>728</v>
      </c>
      <c r="C262" s="276"/>
      <c r="D262" s="156"/>
      <c r="E262" s="276"/>
      <c r="F262" s="156"/>
      <c r="G262" s="276"/>
      <c r="H262" s="156"/>
      <c r="I262" s="276"/>
      <c r="J262" s="156"/>
      <c r="K262" s="276"/>
      <c r="L262" s="156"/>
      <c r="M262" s="276"/>
      <c r="N262" s="156"/>
      <c r="O262" s="276"/>
      <c r="P262" s="156"/>
      <c r="Q262" s="276"/>
      <c r="R262" s="156"/>
      <c r="S262" s="276"/>
      <c r="T262" s="156"/>
      <c r="U262" s="276"/>
      <c r="V262" s="156"/>
      <c r="W262" s="276"/>
      <c r="X262" s="156"/>
      <c r="Y262" s="276"/>
      <c r="Z262" s="156"/>
      <c r="AA262" s="276"/>
      <c r="AB262" s="156"/>
      <c r="AC262" s="276"/>
      <c r="AD262" s="156"/>
      <c r="AE262" s="276"/>
      <c r="AF262" s="156"/>
      <c r="AG262" s="276"/>
      <c r="AH262" s="156"/>
      <c r="AI262" s="276"/>
      <c r="AJ262" s="156"/>
      <c r="AK262" s="276"/>
      <c r="AL262" s="156"/>
      <c r="AM262" s="276"/>
      <c r="AN262" s="156"/>
      <c r="AO262" s="276"/>
      <c r="AP262" s="156"/>
      <c r="AQ262" s="276"/>
      <c r="AR262" s="156"/>
      <c r="AS262" s="276"/>
      <c r="AT262" s="156"/>
      <c r="AU262" s="276"/>
      <c r="AV262" s="156"/>
      <c r="AW262" s="276"/>
      <c r="AX262" s="156"/>
      <c r="AY262" s="166"/>
      <c r="AZ262" s="156"/>
      <c r="BA262" s="166"/>
      <c r="BB262" s="156"/>
      <c r="BC262" s="166"/>
      <c r="BD262" s="156"/>
      <c r="BE262" s="166"/>
      <c r="BF262" s="156"/>
      <c r="BG262" s="166"/>
      <c r="BH262" s="156"/>
      <c r="BI262" s="166"/>
      <c r="BJ262" s="156"/>
      <c r="BK262" s="166"/>
      <c r="BL262" s="156"/>
      <c r="BM262" s="166"/>
      <c r="BN262" s="98"/>
      <c r="BO262" s="137"/>
      <c r="BP262" s="98"/>
      <c r="BQ262" s="137"/>
      <c r="BR262" s="98"/>
      <c r="BS262" s="137"/>
      <c r="BT262" s="98"/>
      <c r="BU262" s="137"/>
      <c r="BV262" s="98"/>
      <c r="BW262" s="137"/>
      <c r="BX262" s="98"/>
      <c r="BY262" s="137"/>
      <c r="BZ262" s="98"/>
      <c r="CA262" s="137"/>
      <c r="CB262" s="98"/>
      <c r="CC262" s="137"/>
      <c r="CD262" s="98"/>
      <c r="CE262" s="137"/>
      <c r="CF262" s="98"/>
      <c r="CG262" s="137"/>
      <c r="CH262" s="98"/>
      <c r="CI262" s="137"/>
      <c r="CJ262" s="98"/>
      <c r="CK262" s="137"/>
      <c r="CL262" s="98"/>
      <c r="CM262" s="137"/>
      <c r="CN262" s="98"/>
      <c r="CO262" s="137"/>
      <c r="CP262" s="98"/>
      <c r="CQ262" s="137"/>
      <c r="CR262" s="98"/>
      <c r="CS262" s="137"/>
      <c r="CT262" s="98"/>
      <c r="CU262" s="137"/>
      <c r="CV262" s="98"/>
      <c r="CW262" s="137"/>
      <c r="CX262" s="98"/>
      <c r="CY262" s="137"/>
      <c r="CZ262" s="98"/>
      <c r="DA262" s="137"/>
      <c r="DB262" s="98"/>
      <c r="DC262" s="137"/>
      <c r="DD262" s="98"/>
      <c r="DE262" s="137"/>
      <c r="DF262" s="98"/>
      <c r="DG262" s="137"/>
      <c r="DH262" s="98"/>
      <c r="DI262" s="137"/>
      <c r="DJ262" s="98"/>
      <c r="DK262" s="137"/>
      <c r="DL262" s="98"/>
      <c r="DM262" s="137"/>
      <c r="DN262" s="98"/>
      <c r="DO262" s="137"/>
      <c r="DP262" s="98"/>
      <c r="DQ262" s="137"/>
      <c r="DR262" s="98"/>
      <c r="DS262" s="137">
        <f>DS257/DS251*100</f>
        <v>69.112426035502963</v>
      </c>
      <c r="DT262" s="98"/>
      <c r="DU262" s="137">
        <f>DU257/DU251*100</f>
        <v>73.130841121495322</v>
      </c>
      <c r="DV262" s="98"/>
      <c r="DW262" s="137">
        <f>DW257/DW251*100</f>
        <v>68.396770472895042</v>
      </c>
      <c r="DX262" s="98"/>
      <c r="DY262" s="137">
        <f>DY257/DY251*100</f>
        <v>72.612197928653615</v>
      </c>
      <c r="DZ262" s="98"/>
      <c r="EA262" s="137">
        <f>EA257/EA251*100</f>
        <v>75.375722543352595</v>
      </c>
      <c r="EB262" s="98"/>
      <c r="EC262" s="137">
        <f>EC257/EC251*100</f>
        <v>80.760368663594477</v>
      </c>
      <c r="ED262" s="98"/>
      <c r="EE262" s="137">
        <f>EE257/EE251*100</f>
        <v>69.510807736063711</v>
      </c>
      <c r="EF262" s="860"/>
      <c r="EG262" s="137">
        <f>EG257/EG251*100</f>
        <v>72.789115646258509</v>
      </c>
      <c r="EH262" s="860"/>
      <c r="EI262" s="137">
        <f>EI257/EI251*100</f>
        <v>76.267281105990776</v>
      </c>
      <c r="EJ262" s="860"/>
      <c r="EK262" s="137">
        <f>EK257/EK251*100</f>
        <v>76.530612244897952</v>
      </c>
      <c r="EL262" s="860"/>
      <c r="EM262" s="137">
        <f>EM257/EM251*100</f>
        <v>72.067039106145245</v>
      </c>
      <c r="EN262" s="860"/>
      <c r="EO262" s="137">
        <f>EO257/EO251*100</f>
        <v>64.372918978912324</v>
      </c>
      <c r="EP262" s="98"/>
      <c r="EQ262" s="137">
        <f>EQ257/EQ251*100</f>
        <v>71.307622718873674</v>
      </c>
      <c r="ER262" s="98"/>
      <c r="ES262" s="137">
        <f t="shared" ref="ES262" si="1443">ES257/ES251*100</f>
        <v>71.866858732560075</v>
      </c>
      <c r="ET262" s="98"/>
      <c r="EU262" s="137">
        <f t="shared" ref="EU262" si="1444">EU257/EU251*100</f>
        <v>71.320280053378966</v>
      </c>
      <c r="EV262" s="98"/>
      <c r="EW262" s="137">
        <f t="shared" ref="EW262" si="1445">EW257/EW251*100</f>
        <v>65.349282928420791</v>
      </c>
      <c r="EX262" s="98"/>
      <c r="EY262" s="137"/>
      <c r="EZ262" s="601"/>
      <c r="FA262" s="411"/>
      <c r="FB262" s="242"/>
      <c r="FC262" s="233"/>
      <c r="FD262" s="137"/>
      <c r="FE262" s="233"/>
      <c r="FF262" s="137"/>
      <c r="FG262" s="233"/>
      <c r="FH262" s="137"/>
      <c r="FI262" s="233"/>
      <c r="FJ262" s="137"/>
      <c r="FK262" s="233"/>
      <c r="FL262" s="137"/>
      <c r="FM262" s="233"/>
      <c r="FN262" s="137"/>
      <c r="FO262" s="233"/>
      <c r="FP262" s="137"/>
      <c r="FQ262" s="233"/>
      <c r="FR262" s="106"/>
      <c r="FS262" s="120"/>
      <c r="FT262" s="106"/>
      <c r="FU262" s="120"/>
      <c r="FV262" s="106"/>
      <c r="FW262" s="98"/>
      <c r="FX262" s="106"/>
      <c r="FY262" s="98"/>
      <c r="FZ262" s="106"/>
      <c r="GA262" s="98"/>
      <c r="GB262" s="106"/>
      <c r="GC262" s="98"/>
      <c r="GD262" s="106"/>
      <c r="GE262" s="98"/>
      <c r="GF262" s="106"/>
      <c r="GG262" s="98"/>
      <c r="GH262" s="106"/>
      <c r="GI262" s="98"/>
      <c r="GJ262" s="137">
        <f>GJ257/GJ251*100</f>
        <v>70.817573465231305</v>
      </c>
      <c r="GK262" s="98"/>
      <c r="GL262" s="137">
        <f>GL257/GL251*100</f>
        <v>74.585002862049237</v>
      </c>
      <c r="GM262" s="98"/>
      <c r="GN262" s="137">
        <f>GN257/GN251*100</f>
        <v>72.250423011844333</v>
      </c>
      <c r="GO262" s="98"/>
      <c r="GP262" s="137">
        <f>GP257/GP251*100</f>
        <v>69.952518180311955</v>
      </c>
      <c r="GQ262" s="98"/>
      <c r="GR262" s="137">
        <f>GR257/GR251*100</f>
        <v>69.107328987804621</v>
      </c>
      <c r="GS262" s="98"/>
      <c r="GT262" s="137">
        <f>GT257/GT251*100</f>
        <v>68.779923584058281</v>
      </c>
      <c r="GU262" s="98"/>
      <c r="GV262" s="137">
        <f>GV257/GV251*100</f>
        <v>68.48703709956267</v>
      </c>
      <c r="GW262" s="98"/>
      <c r="GX262" s="137">
        <f>GX257/GX251*100</f>
        <v>68.356074938064154</v>
      </c>
      <c r="GY262" s="98"/>
      <c r="GZ262" s="98"/>
      <c r="HA262" s="98"/>
      <c r="HB262" s="10"/>
      <c r="HC262"/>
      <c r="HD262"/>
      <c r="HE262"/>
      <c r="HF262"/>
      <c r="HG262"/>
      <c r="HH262"/>
      <c r="HI262" s="10"/>
    </row>
    <row r="263" spans="1:217" s="2" customFormat="1" ht="12.75" customHeight="1" x14ac:dyDescent="0.2">
      <c r="B263" s="988" t="s">
        <v>719</v>
      </c>
      <c r="C263" s="276"/>
      <c r="D263" s="156"/>
      <c r="E263" s="276"/>
      <c r="F263" s="156"/>
      <c r="G263" s="276"/>
      <c r="H263" s="156"/>
      <c r="I263" s="276"/>
      <c r="J263" s="156"/>
      <c r="K263" s="276"/>
      <c r="L263" s="156"/>
      <c r="M263" s="276"/>
      <c r="N263" s="156"/>
      <c r="O263" s="276"/>
      <c r="P263" s="156"/>
      <c r="Q263" s="276"/>
      <c r="R263" s="156"/>
      <c r="S263" s="276"/>
      <c r="T263" s="156"/>
      <c r="U263" s="276"/>
      <c r="V263" s="156"/>
      <c r="W263" s="276"/>
      <c r="X263" s="156"/>
      <c r="Y263" s="276"/>
      <c r="Z263" s="156"/>
      <c r="AA263" s="276"/>
      <c r="AB263" s="156"/>
      <c r="AC263" s="276"/>
      <c r="AD263" s="156"/>
      <c r="AE263" s="276"/>
      <c r="AF263" s="156"/>
      <c r="AG263" s="276"/>
      <c r="AH263" s="156"/>
      <c r="AI263" s="276"/>
      <c r="AJ263" s="156"/>
      <c r="AK263" s="276"/>
      <c r="AL263" s="156"/>
      <c r="AM263" s="276"/>
      <c r="AN263" s="156"/>
      <c r="AO263" s="276"/>
      <c r="AP263" s="156"/>
      <c r="AQ263" s="276"/>
      <c r="AR263" s="156"/>
      <c r="AS263" s="276"/>
      <c r="AT263" s="156"/>
      <c r="AU263" s="276"/>
      <c r="AV263" s="156"/>
      <c r="AW263" s="276"/>
      <c r="AX263" s="156"/>
      <c r="AY263" s="166"/>
      <c r="AZ263" s="156"/>
      <c r="BA263" s="166"/>
      <c r="BB263" s="156"/>
      <c r="BC263" s="166"/>
      <c r="BD263" s="156"/>
      <c r="BE263" s="166"/>
      <c r="BF263" s="156"/>
      <c r="BG263" s="166"/>
      <c r="BH263" s="156"/>
      <c r="BI263" s="166"/>
      <c r="BJ263" s="156"/>
      <c r="BK263" s="166"/>
      <c r="BL263" s="156"/>
      <c r="BM263" s="166"/>
      <c r="BN263" s="98"/>
      <c r="BO263" s="137"/>
      <c r="BP263" s="98"/>
      <c r="BQ263" s="137"/>
      <c r="BR263" s="98"/>
      <c r="BS263" s="137"/>
      <c r="BT263" s="98"/>
      <c r="BU263" s="137"/>
      <c r="BV263" s="98"/>
      <c r="BW263" s="137"/>
      <c r="BX263" s="98"/>
      <c r="BY263" s="137"/>
      <c r="BZ263" s="98"/>
      <c r="CA263" s="137"/>
      <c r="CB263" s="98"/>
      <c r="CC263" s="137"/>
      <c r="CD263" s="98"/>
      <c r="CE263" s="137"/>
      <c r="CF263" s="98"/>
      <c r="CG263" s="137"/>
      <c r="CH263" s="98"/>
      <c r="CI263" s="137"/>
      <c r="CJ263" s="98"/>
      <c r="CK263" s="137"/>
      <c r="CL263" s="98"/>
      <c r="CM263" s="137"/>
      <c r="CN263" s="98"/>
      <c r="CO263" s="137"/>
      <c r="CP263" s="98"/>
      <c r="CQ263" s="137"/>
      <c r="CR263" s="98"/>
      <c r="CS263" s="137"/>
      <c r="CT263" s="98"/>
      <c r="CU263" s="137"/>
      <c r="CV263" s="98"/>
      <c r="CW263" s="137"/>
      <c r="CX263" s="98"/>
      <c r="CY263" s="137"/>
      <c r="CZ263" s="98"/>
      <c r="DA263" s="137"/>
      <c r="DB263" s="98"/>
      <c r="DC263" s="137"/>
      <c r="DD263" s="98"/>
      <c r="DE263" s="137"/>
      <c r="DF263" s="98"/>
      <c r="DG263" s="137"/>
      <c r="DH263" s="98"/>
      <c r="DI263" s="137"/>
      <c r="DJ263" s="98"/>
      <c r="DK263" s="137"/>
      <c r="DL263" s="98"/>
      <c r="DM263" s="137"/>
      <c r="DN263" s="98"/>
      <c r="DO263" s="137"/>
      <c r="DP263" s="98"/>
      <c r="DQ263" s="137"/>
      <c r="DR263" s="98"/>
      <c r="DS263" s="137">
        <f>DS258/DS251*100</f>
        <v>26.035502958579883</v>
      </c>
      <c r="DT263" s="98"/>
      <c r="DU263" s="137">
        <f>DU258/DU251*100</f>
        <v>27.102803738317753</v>
      </c>
      <c r="DV263" s="98"/>
      <c r="DW263" s="137">
        <f>DW258/DW251*100</f>
        <v>27.681660899653981</v>
      </c>
      <c r="DX263" s="98"/>
      <c r="DY263" s="137">
        <f>DY258/DY251*100</f>
        <v>26.582278481012654</v>
      </c>
      <c r="DZ263" s="98"/>
      <c r="EA263" s="137">
        <f>EA258/EA251*100</f>
        <v>26.358381502890172</v>
      </c>
      <c r="EB263" s="98"/>
      <c r="EC263" s="137">
        <f>EC258/EC251*100</f>
        <v>26.497695852534562</v>
      </c>
      <c r="ED263" s="98"/>
      <c r="EE263" s="137">
        <f>EE258/EE251*100</f>
        <v>26.84869169510808</v>
      </c>
      <c r="EF263" s="860"/>
      <c r="EG263" s="137">
        <f>EG258/EG251*100</f>
        <v>24.71655328798186</v>
      </c>
      <c r="EH263" s="860"/>
      <c r="EI263" s="137">
        <f>EI258/EI251*100</f>
        <v>25</v>
      </c>
      <c r="EJ263" s="860"/>
      <c r="EK263" s="137">
        <f>EK258/EK251*100</f>
        <v>25.850340136054424</v>
      </c>
      <c r="EL263" s="860"/>
      <c r="EM263" s="137">
        <f>EM258/EM251*100</f>
        <v>26.368715083798882</v>
      </c>
      <c r="EN263" s="860"/>
      <c r="EO263" s="137">
        <f>EO258/EO251*100</f>
        <v>25.527192008879023</v>
      </c>
      <c r="EP263" s="98"/>
      <c r="EQ263" s="137">
        <f>EQ258/EQ251*100</f>
        <v>25.967986770213741</v>
      </c>
      <c r="ER263" s="98"/>
      <c r="ES263" s="137">
        <f t="shared" ref="ES263" si="1446">ES258/ES251*100</f>
        <v>25.969381729496057</v>
      </c>
      <c r="ET263" s="98"/>
      <c r="EU263" s="137">
        <f t="shared" ref="EU263" si="1447">EU258/EU251*100</f>
        <v>25.970777550685636</v>
      </c>
      <c r="EV263" s="98"/>
      <c r="EW263" s="137">
        <f t="shared" ref="EW263" si="1448">EW258/EW251*100</f>
        <v>25.972174231809543</v>
      </c>
      <c r="EX263" s="98"/>
      <c r="EY263" s="137"/>
      <c r="EZ263" s="601"/>
      <c r="FA263" s="411"/>
      <c r="FB263" s="242"/>
      <c r="FC263" s="233"/>
      <c r="FD263" s="137"/>
      <c r="FE263" s="233"/>
      <c r="FF263" s="137"/>
      <c r="FG263" s="233"/>
      <c r="FH263" s="137"/>
      <c r="FI263" s="233"/>
      <c r="FJ263" s="137"/>
      <c r="FK263" s="233"/>
      <c r="FL263" s="137"/>
      <c r="FM263" s="233"/>
      <c r="FN263" s="137"/>
      <c r="FO263" s="233"/>
      <c r="FP263" s="137"/>
      <c r="FQ263" s="233"/>
      <c r="FR263" s="106"/>
      <c r="FS263" s="120"/>
      <c r="FT263" s="106"/>
      <c r="FU263" s="120"/>
      <c r="FV263" s="106"/>
      <c r="FW263" s="98"/>
      <c r="FX263" s="106"/>
      <c r="FY263" s="98"/>
      <c r="FZ263" s="106"/>
      <c r="GA263" s="98"/>
      <c r="GB263" s="106"/>
      <c r="GC263" s="98"/>
      <c r="GD263" s="106"/>
      <c r="GE263" s="98"/>
      <c r="GF263" s="106"/>
      <c r="GG263" s="98"/>
      <c r="GH263" s="106"/>
      <c r="GI263" s="98"/>
      <c r="GJ263" s="137">
        <f>GJ258/GJ251*100</f>
        <v>26.854815245853942</v>
      </c>
      <c r="GK263" s="98"/>
      <c r="GL263" s="137">
        <f>GL258/GL251*100</f>
        <v>26.101888952489983</v>
      </c>
      <c r="GM263" s="98"/>
      <c r="GN263" s="137">
        <f>GN258/GN251*100</f>
        <v>25.69091934574168</v>
      </c>
      <c r="GO263" s="98"/>
      <c r="GP263" s="137">
        <f>GP258/GP251*100</f>
        <v>25.970086496772733</v>
      </c>
      <c r="GQ263" s="98"/>
      <c r="GR263" s="137">
        <f>GR258/GR251*100</f>
        <v>25.970086496772733</v>
      </c>
      <c r="GS263" s="98"/>
      <c r="GT263" s="137">
        <f>GT258/GT251*100</f>
        <v>25.970086496772733</v>
      </c>
      <c r="GU263" s="98"/>
      <c r="GV263" s="137">
        <f>GV258/GV251*100</f>
        <v>25.970086496772737</v>
      </c>
      <c r="GW263" s="98"/>
      <c r="GX263" s="137">
        <f>GX258/GX251*100</f>
        <v>25.970086496772737</v>
      </c>
      <c r="GY263" s="98"/>
      <c r="GZ263" s="98"/>
      <c r="HA263" s="98"/>
      <c r="HB263" s="10"/>
      <c r="HC263"/>
      <c r="HD263"/>
      <c r="HE263"/>
      <c r="HF263"/>
      <c r="HG263"/>
      <c r="HH263"/>
      <c r="HI263" s="10"/>
    </row>
    <row r="264" spans="1:217" s="2" customFormat="1" ht="12.75" customHeight="1" x14ac:dyDescent="0.2">
      <c r="B264" s="989" t="s">
        <v>724</v>
      </c>
      <c r="C264" s="276"/>
      <c r="D264" s="156"/>
      <c r="E264" s="276"/>
      <c r="F264" s="156"/>
      <c r="G264" s="276"/>
      <c r="H264" s="156"/>
      <c r="I264" s="276"/>
      <c r="J264" s="156"/>
      <c r="K264" s="276"/>
      <c r="L264" s="156"/>
      <c r="M264" s="276"/>
      <c r="N264" s="156"/>
      <c r="O264" s="276"/>
      <c r="P264" s="156"/>
      <c r="Q264" s="276"/>
      <c r="R264" s="156"/>
      <c r="S264" s="276"/>
      <c r="T264" s="156"/>
      <c r="U264" s="276"/>
      <c r="V264" s="156"/>
      <c r="W264" s="276"/>
      <c r="X264" s="156"/>
      <c r="Y264" s="276"/>
      <c r="Z264" s="156"/>
      <c r="AA264" s="276"/>
      <c r="AB264" s="156"/>
      <c r="AC264" s="276"/>
      <c r="AD264" s="156"/>
      <c r="AE264" s="276"/>
      <c r="AF264" s="156"/>
      <c r="AG264" s="276"/>
      <c r="AH264" s="156"/>
      <c r="AI264" s="276"/>
      <c r="AJ264" s="156"/>
      <c r="AK264" s="276"/>
      <c r="AL264" s="156"/>
      <c r="AM264" s="276"/>
      <c r="AN264" s="156"/>
      <c r="AO264" s="276"/>
      <c r="AP264" s="156"/>
      <c r="AQ264" s="276"/>
      <c r="AR264" s="156"/>
      <c r="AS264" s="276"/>
      <c r="AT264" s="156"/>
      <c r="AU264" s="276"/>
      <c r="AV264" s="156"/>
      <c r="AW264" s="276"/>
      <c r="AX264" s="156"/>
      <c r="AY264" s="166"/>
      <c r="AZ264" s="156"/>
      <c r="BA264" s="166"/>
      <c r="BB264" s="156"/>
      <c r="BC264" s="166"/>
      <c r="BD264" s="156"/>
      <c r="BE264" s="166"/>
      <c r="BF264" s="156"/>
      <c r="BG264" s="166"/>
      <c r="BH264" s="156"/>
      <c r="BI264" s="166"/>
      <c r="BJ264" s="156"/>
      <c r="BK264" s="166"/>
      <c r="BL264" s="156"/>
      <c r="BM264" s="166"/>
      <c r="BN264" s="98"/>
      <c r="BO264" s="137"/>
      <c r="BP264" s="98"/>
      <c r="BQ264" s="137"/>
      <c r="BR264" s="98"/>
      <c r="BS264" s="137"/>
      <c r="BT264" s="98"/>
      <c r="BU264" s="137"/>
      <c r="BV264" s="98"/>
      <c r="BW264" s="137"/>
      <c r="BX264" s="98"/>
      <c r="BY264" s="137"/>
      <c r="BZ264" s="98"/>
      <c r="CA264" s="137"/>
      <c r="CB264" s="98"/>
      <c r="CC264" s="137"/>
      <c r="CD264" s="98"/>
      <c r="CE264" s="137"/>
      <c r="CF264" s="98"/>
      <c r="CG264" s="137"/>
      <c r="CH264" s="98"/>
      <c r="CI264" s="137"/>
      <c r="CJ264" s="98"/>
      <c r="CK264" s="137"/>
      <c r="CL264" s="98"/>
      <c r="CM264" s="137"/>
      <c r="CN264" s="98"/>
      <c r="CO264" s="137"/>
      <c r="CP264" s="98"/>
      <c r="CQ264" s="137"/>
      <c r="CR264" s="98"/>
      <c r="CS264" s="137"/>
      <c r="CT264" s="98"/>
      <c r="CU264" s="137"/>
      <c r="CV264" s="98"/>
      <c r="CW264" s="137"/>
      <c r="CX264" s="98"/>
      <c r="CY264" s="137"/>
      <c r="CZ264" s="98"/>
      <c r="DA264" s="137"/>
      <c r="DB264" s="98"/>
      <c r="DC264" s="137"/>
      <c r="DD264" s="98"/>
      <c r="DE264" s="137"/>
      <c r="DF264" s="98"/>
      <c r="DG264" s="137"/>
      <c r="DH264" s="98"/>
      <c r="DI264" s="137"/>
      <c r="DJ264" s="98"/>
      <c r="DK264" s="137"/>
      <c r="DL264" s="98"/>
      <c r="DM264" s="137"/>
      <c r="DN264" s="98"/>
      <c r="DO264" s="137"/>
      <c r="DP264" s="98"/>
      <c r="DQ264" s="137"/>
      <c r="DR264" s="98"/>
      <c r="DS264" s="137">
        <f>DS263+DS262</f>
        <v>95.147928994082847</v>
      </c>
      <c r="DT264" s="98"/>
      <c r="DU264" s="137">
        <f>DU263+DU262</f>
        <v>100.23364485981307</v>
      </c>
      <c r="DV264" s="98"/>
      <c r="DW264" s="137">
        <f>DW263+DW262</f>
        <v>96.078431372549019</v>
      </c>
      <c r="DX264" s="98"/>
      <c r="DY264" s="137">
        <f>DY263+DY262</f>
        <v>99.194476409666265</v>
      </c>
      <c r="DZ264" s="98"/>
      <c r="EA264" s="137">
        <f>EA263+EA262</f>
        <v>101.73410404624276</v>
      </c>
      <c r="EB264" s="98"/>
      <c r="EC264" s="137">
        <f>EC263+EC262</f>
        <v>107.25806451612904</v>
      </c>
      <c r="ED264" s="98"/>
      <c r="EE264" s="137">
        <f>EE263+EE262</f>
        <v>96.359499431171798</v>
      </c>
      <c r="EF264" s="860"/>
      <c r="EG264" s="137">
        <f>EG263+EG262</f>
        <v>97.505668934240362</v>
      </c>
      <c r="EH264" s="860"/>
      <c r="EI264" s="137">
        <f>EI263+EI262</f>
        <v>101.26728110599078</v>
      </c>
      <c r="EJ264" s="860"/>
      <c r="EK264" s="137">
        <f>EK263+EK262</f>
        <v>102.38095238095238</v>
      </c>
      <c r="EL264" s="860"/>
      <c r="EM264" s="137">
        <f>EM263+EM262</f>
        <v>98.435754189944134</v>
      </c>
      <c r="EN264" s="860"/>
      <c r="EO264" s="137">
        <f>EO263+EO262</f>
        <v>89.900110987791351</v>
      </c>
      <c r="EP264" s="98"/>
      <c r="EQ264" s="137">
        <f>EQ263+EQ262</f>
        <v>97.275609489087415</v>
      </c>
      <c r="ER264" s="98"/>
      <c r="ES264" s="137">
        <f t="shared" ref="ES264" si="1449">ES263+ES262</f>
        <v>97.836240462056139</v>
      </c>
      <c r="ET264" s="98"/>
      <c r="EU264" s="137">
        <f t="shared" ref="EU264" si="1450">EU263+EU262</f>
        <v>97.291057604064605</v>
      </c>
      <c r="EV264" s="98"/>
      <c r="EW264" s="137">
        <f t="shared" ref="EW264" si="1451">EW263+EW262</f>
        <v>91.321457160230338</v>
      </c>
      <c r="EX264" s="98"/>
      <c r="EY264" s="137"/>
      <c r="EZ264" s="601"/>
      <c r="FA264" s="411"/>
      <c r="FB264" s="242"/>
      <c r="FC264" s="233"/>
      <c r="FD264" s="137"/>
      <c r="FE264" s="233"/>
      <c r="FF264" s="137"/>
      <c r="FG264" s="233"/>
      <c r="FH264" s="137"/>
      <c r="FI264" s="233"/>
      <c r="FJ264" s="137"/>
      <c r="FK264" s="233"/>
      <c r="FL264" s="137"/>
      <c r="FM264" s="233"/>
      <c r="FN264" s="137"/>
      <c r="FO264" s="233"/>
      <c r="FP264" s="137"/>
      <c r="FQ264" s="233"/>
      <c r="FR264" s="106"/>
      <c r="FS264" s="120"/>
      <c r="FT264" s="106"/>
      <c r="FU264" s="120"/>
      <c r="FV264" s="106"/>
      <c r="FW264" s="98"/>
      <c r="FX264" s="106"/>
      <c r="FY264" s="98"/>
      <c r="FZ264" s="106"/>
      <c r="GA264" s="98"/>
      <c r="GB264" s="106"/>
      <c r="GC264" s="98"/>
      <c r="GD264" s="106"/>
      <c r="GE264" s="98"/>
      <c r="GF264" s="106"/>
      <c r="GG264" s="98"/>
      <c r="GH264" s="106"/>
      <c r="GI264" s="98"/>
      <c r="GJ264" s="137">
        <f>GJ263+GJ262</f>
        <v>97.672388711085247</v>
      </c>
      <c r="GK264" s="98"/>
      <c r="GL264" s="137">
        <f>GL263+GL262</f>
        <v>100.68689181453922</v>
      </c>
      <c r="GM264" s="98"/>
      <c r="GN264" s="137">
        <f>GN263+GN262</f>
        <v>97.941342357586009</v>
      </c>
      <c r="GO264" s="98"/>
      <c r="GP264" s="137">
        <f>GP263+GP262</f>
        <v>95.922604677084692</v>
      </c>
      <c r="GQ264" s="98"/>
      <c r="GR264" s="137">
        <f>GR263+GR262</f>
        <v>95.077415484577358</v>
      </c>
      <c r="GS264" s="98"/>
      <c r="GT264" s="137">
        <f>GT263+GT262</f>
        <v>94.750010080831018</v>
      </c>
      <c r="GU264" s="98"/>
      <c r="GV264" s="137">
        <f>GV263+GV262</f>
        <v>94.457123596335407</v>
      </c>
      <c r="GW264" s="98"/>
      <c r="GX264" s="137">
        <f>GX263+GX262</f>
        <v>94.326161434836891</v>
      </c>
      <c r="GY264" s="98"/>
      <c r="GZ264" s="98"/>
      <c r="HA264" s="98"/>
      <c r="HB264" s="10"/>
      <c r="HC264"/>
      <c r="HD264"/>
      <c r="HE264"/>
      <c r="HF264"/>
      <c r="HG264"/>
      <c r="HH264"/>
      <c r="HI264" s="10"/>
    </row>
    <row r="265" spans="1:217" s="2" customFormat="1" ht="12.75" customHeight="1" x14ac:dyDescent="0.2">
      <c r="B265" s="989"/>
      <c r="C265" s="276"/>
      <c r="D265" s="156"/>
      <c r="E265" s="276"/>
      <c r="F265" s="156"/>
      <c r="G265" s="276"/>
      <c r="H265" s="156"/>
      <c r="I265" s="276"/>
      <c r="J265" s="156"/>
      <c r="K265" s="276"/>
      <c r="L265" s="156"/>
      <c r="M265" s="276"/>
      <c r="N265" s="156"/>
      <c r="O265" s="276"/>
      <c r="P265" s="156"/>
      <c r="Q265" s="276"/>
      <c r="R265" s="156"/>
      <c r="S265" s="276"/>
      <c r="T265" s="156"/>
      <c r="U265" s="276"/>
      <c r="V265" s="156"/>
      <c r="W265" s="276"/>
      <c r="X265" s="156"/>
      <c r="Y265" s="276"/>
      <c r="Z265" s="156"/>
      <c r="AA265" s="276"/>
      <c r="AB265" s="156"/>
      <c r="AC265" s="276"/>
      <c r="AD265" s="156"/>
      <c r="AE265" s="276"/>
      <c r="AF265" s="156"/>
      <c r="AG265" s="276"/>
      <c r="AH265" s="156"/>
      <c r="AI265" s="276"/>
      <c r="AJ265" s="156"/>
      <c r="AK265" s="276"/>
      <c r="AL265" s="156"/>
      <c r="AM265" s="276"/>
      <c r="AN265" s="156"/>
      <c r="AO265" s="276"/>
      <c r="AP265" s="156"/>
      <c r="AQ265" s="276"/>
      <c r="AR265" s="156"/>
      <c r="AS265" s="276"/>
      <c r="AT265" s="156"/>
      <c r="AU265" s="276"/>
      <c r="AV265" s="156"/>
      <c r="AW265" s="276"/>
      <c r="AX265" s="156"/>
      <c r="AY265" s="166"/>
      <c r="AZ265" s="156"/>
      <c r="BA265" s="166"/>
      <c r="BB265" s="156"/>
      <c r="BC265" s="166"/>
      <c r="BD265" s="156"/>
      <c r="BE265" s="166"/>
      <c r="BF265" s="156"/>
      <c r="BG265" s="166"/>
      <c r="BH265" s="156"/>
      <c r="BI265" s="166"/>
      <c r="BJ265" s="156"/>
      <c r="BK265" s="166"/>
      <c r="BL265" s="156"/>
      <c r="BM265" s="166"/>
      <c r="BN265" s="98"/>
      <c r="BO265" s="137"/>
      <c r="BP265" s="98"/>
      <c r="BQ265" s="137"/>
      <c r="BR265" s="98"/>
      <c r="BS265" s="137"/>
      <c r="BT265" s="98"/>
      <c r="BU265" s="137"/>
      <c r="BV265" s="98"/>
      <c r="BW265" s="137"/>
      <c r="BX265" s="98"/>
      <c r="BY265" s="137"/>
      <c r="BZ265" s="98"/>
      <c r="CA265" s="137"/>
      <c r="CB265" s="98"/>
      <c r="CC265" s="137"/>
      <c r="CD265" s="98"/>
      <c r="CE265" s="137"/>
      <c r="CF265" s="98"/>
      <c r="CG265" s="137"/>
      <c r="CH265" s="98"/>
      <c r="CI265" s="137"/>
      <c r="CJ265" s="98"/>
      <c r="CK265" s="137"/>
      <c r="CL265" s="98"/>
      <c r="CM265" s="137"/>
      <c r="CN265" s="98"/>
      <c r="CO265" s="137"/>
      <c r="CP265" s="98"/>
      <c r="CQ265" s="137"/>
      <c r="CR265" s="98"/>
      <c r="CS265" s="137"/>
      <c r="CT265" s="98"/>
      <c r="CU265" s="137"/>
      <c r="CV265" s="98"/>
      <c r="CW265" s="137"/>
      <c r="CX265" s="98"/>
      <c r="CY265" s="137"/>
      <c r="CZ265" s="98"/>
      <c r="DA265" s="137"/>
      <c r="DB265" s="98"/>
      <c r="DC265" s="137"/>
      <c r="DD265" s="98"/>
      <c r="DE265" s="137"/>
      <c r="DF265" s="98"/>
      <c r="DG265" s="137"/>
      <c r="DH265" s="98"/>
      <c r="DI265" s="137"/>
      <c r="DJ265" s="98"/>
      <c r="DK265" s="137"/>
      <c r="DL265" s="98"/>
      <c r="DM265" s="137"/>
      <c r="DN265" s="98"/>
      <c r="DO265" s="137"/>
      <c r="DP265" s="98"/>
      <c r="DQ265" s="137"/>
      <c r="DR265" s="98"/>
      <c r="DS265" s="137"/>
      <c r="DT265" s="98"/>
      <c r="DU265" s="137"/>
      <c r="DV265" s="98"/>
      <c r="DW265" s="137"/>
      <c r="DX265" s="98"/>
      <c r="DY265" s="137"/>
      <c r="DZ265" s="98"/>
      <c r="EA265" s="137"/>
      <c r="EB265" s="98"/>
      <c r="EC265" s="137"/>
      <c r="ED265" s="98"/>
      <c r="EE265" s="137"/>
      <c r="EF265" s="860"/>
      <c r="EG265" s="137"/>
      <c r="EH265" s="860"/>
      <c r="EI265" s="137"/>
      <c r="EJ265" s="860"/>
      <c r="EK265" s="137"/>
      <c r="EL265" s="860"/>
      <c r="EM265" s="137"/>
      <c r="EN265" s="860"/>
      <c r="EO265" s="137"/>
      <c r="EP265" s="98"/>
      <c r="EQ265" s="1033"/>
      <c r="ER265" s="98"/>
      <c r="ES265" s="1033"/>
      <c r="ET265" s="98"/>
      <c r="EU265" s="1033"/>
      <c r="EV265" s="98"/>
      <c r="EW265" s="1033"/>
      <c r="EX265" s="98"/>
      <c r="EY265" s="137"/>
      <c r="EZ265" s="601"/>
      <c r="FA265" s="411"/>
      <c r="FB265" s="242"/>
      <c r="FC265" s="233"/>
      <c r="FD265" s="137"/>
      <c r="FE265" s="233"/>
      <c r="FF265" s="137"/>
      <c r="FG265" s="233"/>
      <c r="FH265" s="137"/>
      <c r="FI265" s="233"/>
      <c r="FJ265" s="137"/>
      <c r="FK265" s="233"/>
      <c r="FL265" s="137"/>
      <c r="FM265" s="233"/>
      <c r="FN265" s="137"/>
      <c r="FO265" s="233"/>
      <c r="FP265" s="137"/>
      <c r="FQ265" s="233"/>
      <c r="FR265" s="106"/>
      <c r="FS265" s="120"/>
      <c r="FT265" s="106"/>
      <c r="FU265" s="120"/>
      <c r="FV265" s="106"/>
      <c r="FW265" s="98"/>
      <c r="FX265" s="106"/>
      <c r="FY265" s="98"/>
      <c r="FZ265" s="106"/>
      <c r="GA265" s="98"/>
      <c r="GB265" s="106"/>
      <c r="GC265" s="98"/>
      <c r="GD265" s="106"/>
      <c r="GE265" s="98"/>
      <c r="GF265" s="106"/>
      <c r="GG265" s="98"/>
      <c r="GH265" s="106"/>
      <c r="GI265" s="98"/>
      <c r="GJ265" s="106"/>
      <c r="GK265" s="98"/>
      <c r="GL265" s="106"/>
      <c r="GM265" s="98"/>
      <c r="GN265" s="106"/>
      <c r="GO265" s="98"/>
      <c r="GP265" s="106"/>
      <c r="GQ265" s="98"/>
      <c r="GR265" s="137"/>
      <c r="GS265" s="98"/>
      <c r="GT265" s="137"/>
      <c r="GU265" s="98"/>
      <c r="GV265" s="137"/>
      <c r="GW265" s="98"/>
      <c r="GX265" s="137"/>
      <c r="GY265" s="98"/>
      <c r="GZ265" s="98"/>
      <c r="HA265" s="98"/>
      <c r="HB265" s="10"/>
      <c r="HC265"/>
      <c r="HD265"/>
      <c r="HE265"/>
      <c r="HF265"/>
      <c r="HG265"/>
      <c r="HH265"/>
      <c r="HI265" s="10"/>
    </row>
    <row r="266" spans="1:217" s="5" customFormat="1" ht="12.75" customHeight="1" x14ac:dyDescent="0.2">
      <c r="A266" s="2" t="s">
        <v>207</v>
      </c>
      <c r="B266" s="19" t="s">
        <v>477</v>
      </c>
      <c r="C266" s="269">
        <f>+C196</f>
        <v>5.2754982415005864</v>
      </c>
      <c r="D266" s="270"/>
      <c r="E266" s="269">
        <f>+E196</f>
        <v>4.9893842887473463</v>
      </c>
      <c r="F266" s="270"/>
      <c r="G266" s="269">
        <f>+G196</f>
        <v>6.2298603651987108</v>
      </c>
      <c r="H266" s="270"/>
      <c r="I266" s="269">
        <f>+I196</f>
        <v>7.2671443193449328</v>
      </c>
      <c r="J266" s="156"/>
      <c r="K266" s="269"/>
      <c r="L266" s="156"/>
      <c r="M266" s="269"/>
      <c r="N266" s="156"/>
      <c r="O266" s="269"/>
      <c r="P266" s="156"/>
      <c r="Q266" s="269"/>
      <c r="R266" s="156"/>
      <c r="S266" s="269"/>
      <c r="T266" s="156"/>
      <c r="U266" s="269"/>
      <c r="V266" s="156"/>
      <c r="W266" s="269"/>
      <c r="X266" s="156"/>
      <c r="Y266" s="269"/>
      <c r="Z266" s="156"/>
      <c r="AA266" s="269"/>
      <c r="AB266" s="156"/>
      <c r="AC266" s="269"/>
      <c r="AD266" s="156"/>
      <c r="AE266" s="269"/>
      <c r="AF266" s="156"/>
      <c r="AG266" s="269"/>
      <c r="AH266" s="156"/>
      <c r="AI266" s="269"/>
      <c r="AJ266" s="156"/>
      <c r="AK266" s="269"/>
      <c r="AL266" s="156"/>
      <c r="AM266" s="269"/>
      <c r="AN266" s="156"/>
      <c r="AO266" s="269"/>
      <c r="AP266" s="156"/>
      <c r="AQ266" s="269"/>
      <c r="AR266" s="156"/>
      <c r="AS266" s="269"/>
      <c r="AT266" s="156"/>
      <c r="AU266" s="269"/>
      <c r="AV266" s="156"/>
      <c r="AW266" s="269"/>
      <c r="AX266" s="156"/>
      <c r="AY266" s="269"/>
      <c r="AZ266" s="156"/>
      <c r="BA266" s="269"/>
      <c r="BB266" s="156"/>
      <c r="BC266" s="269"/>
      <c r="BD266" s="156"/>
      <c r="BE266" s="269"/>
      <c r="BF266" s="156"/>
      <c r="BG266" s="269"/>
      <c r="BH266" s="156"/>
      <c r="BI266" s="269"/>
      <c r="BJ266" s="156"/>
      <c r="BK266" s="269"/>
      <c r="BL266" s="156"/>
      <c r="BM266" s="269"/>
      <c r="BN266" s="98"/>
      <c r="BO266" s="271"/>
      <c r="BP266" s="98"/>
      <c r="BQ266" s="271"/>
      <c r="BR266" s="98"/>
      <c r="BS266" s="271"/>
      <c r="BT266" s="98"/>
      <c r="BU266" s="271"/>
      <c r="BV266" s="98"/>
      <c r="BW266" s="271"/>
      <c r="BX266" s="98"/>
      <c r="BY266" s="271"/>
      <c r="BZ266" s="98"/>
      <c r="CA266" s="271"/>
      <c r="CB266" s="98"/>
      <c r="CC266" s="271"/>
      <c r="CD266" s="98"/>
      <c r="CE266" s="271"/>
      <c r="CF266" s="98"/>
      <c r="CG266" s="271"/>
      <c r="CH266" s="98"/>
      <c r="CI266" s="271"/>
      <c r="CJ266" s="98"/>
      <c r="CK266" s="271"/>
      <c r="CL266" s="98"/>
      <c r="CM266" s="271"/>
      <c r="CN266" s="98"/>
      <c r="CO266" s="271"/>
      <c r="CP266" s="98"/>
      <c r="CQ266" s="560"/>
      <c r="CR266" s="98"/>
      <c r="CS266" s="271"/>
      <c r="CT266" s="98"/>
      <c r="CU266" s="271"/>
      <c r="CV266" s="98"/>
      <c r="CW266" s="271"/>
      <c r="CX266" s="98"/>
      <c r="CY266" s="271"/>
      <c r="CZ266" s="98"/>
      <c r="DA266" s="271"/>
      <c r="DB266" s="98"/>
      <c r="DC266" s="271"/>
      <c r="DD266" s="98"/>
      <c r="DE266" s="271"/>
      <c r="DF266" s="98"/>
      <c r="DG266" s="271"/>
      <c r="DH266" s="98"/>
      <c r="DI266" s="271"/>
      <c r="DJ266" s="98"/>
      <c r="DK266" s="271"/>
      <c r="DL266" s="98"/>
      <c r="DM266" s="271"/>
      <c r="DN266" s="98"/>
      <c r="DO266" s="271"/>
      <c r="DP266" s="98"/>
      <c r="DQ266" s="271"/>
      <c r="DR266" s="98"/>
      <c r="DS266" s="271">
        <f>DS254-DS260</f>
        <v>82</v>
      </c>
      <c r="DT266" s="98" t="str">
        <f t="shared" ref="DT266:DT272" si="1452">IF(ISERROR((DS266/DK266-1)*100),"NA",IF(((DS266/DK266-1)*100)&gt;100,"NM",IF(((DS266/DK266-1)*100)&lt;-50,"NM",(DS266/DK266-1)*100)))</f>
        <v>NA</v>
      </c>
      <c r="DU266" s="271">
        <f>DU254-DU260</f>
        <v>50</v>
      </c>
      <c r="DV266" s="98" t="str">
        <f t="shared" ref="DV266:DV272" si="1453">IF(ISERROR((DU266/DM266-1)*100),"NA",IF(((DU266/DM266-1)*100)&gt;100,"NM",IF(((DU266/DM266-1)*100)&lt;-50,"NM",(DU266/DM266-1)*100)))</f>
        <v>NA</v>
      </c>
      <c r="DW266" s="271">
        <f>DW254-DW260</f>
        <v>87</v>
      </c>
      <c r="DX266" s="98" t="str">
        <f t="shared" ref="DX266:DX272" si="1454">IF(ISERROR((DW266/DO266-1)*100),"NA",IF(((DW266/DO266-1)*100)&gt;100,"NM",IF(((DW266/DO266-1)*100)&lt;-50,"NM",(DW266/DO266-1)*100)))</f>
        <v>NA</v>
      </c>
      <c r="DY266" s="271">
        <f>DY254-DY260</f>
        <v>49</v>
      </c>
      <c r="DZ266" s="98" t="str">
        <f t="shared" ref="DZ266:DZ272" si="1455">IF(ISERROR((DY266/DQ266-1)*100),"NA",IF(((DY266/DQ266-1)*100)&gt;100,"NM",IF(((DY266/DQ266-1)*100)&lt;-50,"NM",(DY266/DQ266-1)*100)))</f>
        <v>NA</v>
      </c>
      <c r="EA266" s="271">
        <f>EA254-EA260</f>
        <v>16</v>
      </c>
      <c r="EB266" s="98" t="str">
        <f t="shared" ref="EB266:EB272" si="1456">IF(ISERROR((EA266/DS266-1)*100),"NA",IF(((EA266/DS266-1)*100)&gt;100,"NM",IF(((EA266/DS266-1)*100)&lt;-50,"NM",(EA266/DS266-1)*100)))</f>
        <v>NM</v>
      </c>
      <c r="EC266" s="271">
        <f>EC254-EC260</f>
        <v>-21</v>
      </c>
      <c r="ED266" s="98" t="str">
        <f t="shared" ref="ED266:ED272" si="1457">IF(ISERROR((EC266/DU266-1)*100),"NA",IF(((EC266/DU266-1)*100)&gt;100,"NM",IF(((EC266/DU266-1)*100)&lt;-50,"NM",(EC266/DU266-1)*100)))</f>
        <v>NM</v>
      </c>
      <c r="EE266" s="271">
        <f>EE254-EE260</f>
        <v>72</v>
      </c>
      <c r="EF266" s="860">
        <f t="shared" ref="EF266:EF272" si="1458">IF(ISERROR((EE266/DW266-1)*100),"NA",IF(((EE266/DW266-1)*100)&gt;100,"NM",IF(((EE266/DW266-1)*100)&lt;-50,"NM",(EE266/DW266-1)*100)))</f>
        <v>-17.241379310344829</v>
      </c>
      <c r="EG266" s="271">
        <f>EG254-EG260</f>
        <v>49</v>
      </c>
      <c r="EH266" s="860">
        <f t="shared" ref="EH266:EH272" si="1459">IF(ISERROR((EG266/DY266-1)*100),"NA",IF(((EG266/DY266-1)*100)&gt;100,"NM",IF(((EG266/DY266-1)*100)&lt;-50,"NM",(EG266/DY266-1)*100)))</f>
        <v>0</v>
      </c>
      <c r="EI266" s="271">
        <f>EI254-EI260</f>
        <v>28</v>
      </c>
      <c r="EJ266" s="860">
        <f t="shared" ref="EJ266:EJ272" si="1460">IF(ISERROR((EI266/EA266-1)*100),"NA",IF(((EI266/EA266-1)*100)&gt;100,"NM",IF(((EI266/EA266-1)*100)&lt;-50,"NM",(EI266/EA266-1)*100)))</f>
        <v>75</v>
      </c>
      <c r="EK266" s="271">
        <f>EK254-EK260</f>
        <v>26</v>
      </c>
      <c r="EL266" s="860" t="str">
        <f t="shared" ref="EL266:EL272" si="1461">IF(ISERROR((EK266/EC266-1)*100),"NA",IF(((EK266/EC266-1)*100)&gt;100,"NM",IF(((EK266/EC266-1)*100)&lt;-50,"NM",(EK266/EC266-1)*100)))</f>
        <v>NM</v>
      </c>
      <c r="EM266" s="271">
        <f>EM254-EM260</f>
        <v>63</v>
      </c>
      <c r="EN266" s="860">
        <f t="shared" ref="EN266:EN272" si="1462">IF(ISERROR((EM266/EE266-1)*100),"NA",IF(((EM266/EE266-1)*100)&gt;100,"NM",IF(((EM266/EE266-1)*100)&lt;-50,"NM",(EM266/EE266-1)*100)))</f>
        <v>-12.5</v>
      </c>
      <c r="EO266" s="271">
        <f>EO254-EO260</f>
        <v>133</v>
      </c>
      <c r="EP266" s="98" t="str">
        <f t="shared" ref="EP266:EP272" si="1463">IF(ISERROR((EO266/EG266-1)*100),"NA",IF(((EO266/EG266-1)*100)&gt;100,"NM",IF(((EO266/EG266-1)*100)&lt;-50,"NM",(EO266/EG266-1)*100)))</f>
        <v>NM</v>
      </c>
      <c r="EQ266" s="271">
        <f>EQ254-EQ260</f>
        <v>66.887290000000007</v>
      </c>
      <c r="ER266" s="98" t="str">
        <f t="shared" ref="ER266:ER272" si="1464">IF(ISERROR((EQ266/EI266-1)*100),"NA",IF(((EQ266/EI266-1)*100)&gt;100,"NM",IF(((EQ266/EI266-1)*100)&lt;-50,"NM",(EQ266/EI266-1)*100)))</f>
        <v>NM</v>
      </c>
      <c r="ES266" s="271">
        <f t="shared" ref="ES266" si="1465">ES254-ES260</f>
        <v>62.14110967750014</v>
      </c>
      <c r="ET266" s="98" t="str">
        <f t="shared" ref="ET266:ET272" si="1466">IF(ISERROR((ES266/EK266-1)*100),"NA",IF(((ES266/EK266-1)*100)&gt;100,"NM",IF(((ES266/EK266-1)*100)&lt;-50,"NM",(ES266/EK266-1)*100)))</f>
        <v>NM</v>
      </c>
      <c r="EU266" s="271">
        <f t="shared" ref="EU266" si="1467">EU254-EU260</f>
        <v>67.433349781854986</v>
      </c>
      <c r="EV266" s="98">
        <f t="shared" ref="EV266:EV272" si="1468">IF(ISERROR((EU266/EM266-1)*100),"NA",IF(((EU266/EM266-1)*100)&gt;100,"NM",IF(((EU266/EM266-1)*100)&lt;-50,"NM",(EU266/EM266-1)*100)))</f>
        <v>7.0370631458015698</v>
      </c>
      <c r="EW266" s="271">
        <f t="shared" ref="EW266" si="1469">EW254-EW260</f>
        <v>122.36339018897002</v>
      </c>
      <c r="EX266" s="98">
        <f t="shared" ref="EX266:EX272" si="1470">IF(ISERROR((EW266/EO266-1)*100),"NA",IF(((EW266/EO266-1)*100)&gt;100,"NM",IF(((EW266/EO266-1)*100)&lt;-50,"NM",(EW266/EO266-1)*100)))</f>
        <v>-7.9974509857368314</v>
      </c>
      <c r="EY266" s="272"/>
      <c r="EZ266" s="594"/>
      <c r="FA266" s="405"/>
      <c r="FB266" s="271">
        <f>FB254-FB260</f>
        <v>3072</v>
      </c>
      <c r="FC266" s="230"/>
      <c r="FD266" s="271">
        <f>FD254-FD260</f>
        <v>2875</v>
      </c>
      <c r="FE266" s="98">
        <f>IF(ISERROR((FD266/FB266-1)*100),"NA",IF(((FD266/FB266-1)*100)&gt;100,"NM",IF(((FD266/FB266-1)*100)&lt;-50,"NM",(FD266/FB266-1)*100)))</f>
        <v>-6.4127604166666625</v>
      </c>
      <c r="FF266" s="271">
        <f>FF254-FF260</f>
        <v>3121</v>
      </c>
      <c r="FG266" s="98">
        <f>IF(ISERROR((FF266/FD266-1)*100),"NA",IF(((FF266/FD266-1)*100)&gt;100,"NM",IF(((FF266/FD266-1)*100)&lt;-50,"NM",(FF266/FD266-1)*100)))</f>
        <v>8.5565217391304405</v>
      </c>
      <c r="FH266" s="271">
        <f>FH254-FH260</f>
        <v>0</v>
      </c>
      <c r="FI266" s="98" t="str">
        <f>IF(ISERROR((FH266/FF266-1)*100),"NA",IF(((FH266/FF266-1)*100)&gt;100,"NM",IF(((FH266/FF266-1)*100)&lt;-50,"NM",(FH266/FF266-1)*100)))</f>
        <v>NM</v>
      </c>
      <c r="FJ266" s="271">
        <f>FJ254-FJ260</f>
        <v>0</v>
      </c>
      <c r="FK266" s="98" t="str">
        <f>IF(ISERROR((FJ266/FH266-1)*100),"NA",IF(((FJ266/FH266-1)*100)&gt;100,"NM",IF(((FJ266/FH266-1)*100)&lt;-50,"NM",(FJ266/FH266-1)*100)))</f>
        <v>NA</v>
      </c>
      <c r="FL266" s="271">
        <f>FL254-FL260</f>
        <v>0</v>
      </c>
      <c r="FM266" s="98" t="str">
        <f>IF(ISERROR((FL266/FJ266-1)*100),"NA",IF(((FL266/FJ266-1)*100)&gt;100,"NM",IF(((FL266/FJ266-1)*100)&lt;-50,"NM",(FL266/FJ266-1)*100)))</f>
        <v>NA</v>
      </c>
      <c r="FN266" s="271">
        <f>FN254-FN260</f>
        <v>0</v>
      </c>
      <c r="FO266" s="98" t="str">
        <f>IF(ISERROR((FN266/FL266-1)*100),"NA",IF(((FN266/FL266-1)*100)&gt;100,"NM",IF(((FN266/FL266-1)*100)&lt;-50,"NM",(FN266/FL266-1)*100)))</f>
        <v>NA</v>
      </c>
      <c r="FP266" s="271">
        <f>FP254-FP260</f>
        <v>0</v>
      </c>
      <c r="FQ266" s="98" t="str">
        <f>IF(ISERROR((FP266/FN266-1)*100),"NA",IF(((FP266/FN266-1)*100)&gt;100,"NM",IF(((FP266/FN266-1)*100)&lt;-50,"NM",(FP266/FN266-1)*100)))</f>
        <v>NA</v>
      </c>
      <c r="FR266" s="271">
        <f>FR254-FR260</f>
        <v>0</v>
      </c>
      <c r="FS266" s="120" t="str">
        <f t="shared" ref="FS266:FS271" si="1471">IF(ISERROR((FR266/FP266-1)*100),"NA",IF(((FR266/FP266-1)*100)&gt;100,"NM",IF(((FR266/FP266-1)*100)&lt;-50,"NM",(FR266/FP266-1)*100)))</f>
        <v>NA</v>
      </c>
      <c r="FT266" s="271">
        <f>FT254-FT260</f>
        <v>0</v>
      </c>
      <c r="FU266" s="120" t="str">
        <f t="shared" ref="FU266:FU271" si="1472">IF(ISERROR((FT266/FR266-1)*100),"NA",IF(((FT266/FR266-1)*100)&gt;100,"NM",IF(((FT266/FR266-1)*100)&lt;-50,"NM",(FT266/FR266-1)*100)))</f>
        <v>NA</v>
      </c>
      <c r="FV266" s="271">
        <f>FV254-FV260</f>
        <v>3450</v>
      </c>
      <c r="FW266" s="98" t="str">
        <f t="shared" ref="FW266:FW271" si="1473">IF(ISERROR((FV266/FT266-1)*100),"NA",IF(((FV266/FT266-1)*100)&gt;100,"NM",IF(((FV266/FT266-1)*100)&lt;-50,"NM",(FV266/FT266-1)*100)))</f>
        <v>NA</v>
      </c>
      <c r="FX266" s="271">
        <f>FX254-FX260</f>
        <v>0</v>
      </c>
      <c r="FY266" s="98" t="str">
        <f t="shared" ref="FY266:FY271" si="1474">IF(ISERROR((FX266/FV266-1)*100),"NA",IF(((FX266/FV266-1)*100)&gt;100,"NM",IF(((FX266/FV266-1)*100)&lt;-50,"NM",(FX266/FV266-1)*100)))</f>
        <v>NM</v>
      </c>
      <c r="FZ266" s="271">
        <f>FZ254-FZ260</f>
        <v>0</v>
      </c>
      <c r="GA266" s="98" t="str">
        <f t="shared" ref="GA266:GA271" si="1475">IF(ISERROR((FZ266/FX266-1)*100),"NA",IF(((FZ266/FX266-1)*100)&gt;100,"NM",IF(((FZ266/FX266-1)*100)&lt;-50,"NM",(FZ266/FX266-1)*100)))</f>
        <v>NA</v>
      </c>
      <c r="GB266" s="271">
        <f>GB254-GB260</f>
        <v>0</v>
      </c>
      <c r="GC266" s="98" t="str">
        <f t="shared" ref="GC266:GC271" si="1476">IF(ISERROR((GB266/FZ266-1)*100),"NA",IF(((GB266/FZ266-1)*100)&gt;100,"NM",IF(((GB266/FZ266-1)*100)&lt;-50,"NM",(GB266/FZ266-1)*100)))</f>
        <v>NA</v>
      </c>
      <c r="GD266" s="271">
        <f>GD254-GD260</f>
        <v>0</v>
      </c>
      <c r="GE266" s="98" t="str">
        <f t="shared" ref="GE266:GE271" si="1477">IF(ISERROR((GD266/GB266-1)*100),"NA",IF(((GD266/GB266-1)*100)&gt;100,"NM",IF(((GD266/GB266-1)*100)&lt;-50,"NM",(GD266/GB266-1)*100)))</f>
        <v>NA</v>
      </c>
      <c r="GF266" s="273">
        <f>+GF196</f>
        <v>14.529339167508134</v>
      </c>
      <c r="GG266" s="98" t="str">
        <f t="shared" ref="GG266:GG271" si="1478">IF(ISERROR((GF266/GD266-1)*100),"NA",IF(((GF266/GD266-1)*100)&gt;100,"NM",IF(((GF266/GD266-1)*100)&lt;-50,"NM",(GF266/GD266-1)*100)))</f>
        <v>NA</v>
      </c>
      <c r="GH266" s="273">
        <f>+GH196</f>
        <v>16.265060240963855</v>
      </c>
      <c r="GI266" s="98">
        <f t="shared" ref="GI266:GI271" si="1479">IF(ISERROR((GH266/GF266-1)*100),"NA",IF(((GH266/GF266-1)*100)&gt;100,"NM",IF(((GH266/GF266-1)*100)&lt;-50,"NM",(GH266/GF266-1)*100)))</f>
        <v>11.946318090896412</v>
      </c>
      <c r="GJ266" s="271">
        <f>GJ254-GJ260</f>
        <v>268</v>
      </c>
      <c r="GK266" s="98" t="str">
        <f t="shared" ref="GK266:GK271" si="1480">IF(ISERROR((GJ266/GH266-1)*100),"NA",IF(((GJ266/GH266-1)*100)&gt;100,"NM",IF(((GJ266/GH266-1)*100)&lt;-50,"NM",(GJ266/GH266-1)*100)))</f>
        <v>NM</v>
      </c>
      <c r="GL266" s="271">
        <f>GL254-GL260</f>
        <v>116</v>
      </c>
      <c r="GM266" s="98" t="str">
        <f t="shared" ref="GM266:GW271" si="1481">IF(ISERROR((GL266/GJ266-1)*100),"NA",IF(((GL266/GJ266-1)*100)&gt;100,"NM",IF(((GL266/GJ266-1)*100)&lt;-50,"NM",(GL266/GJ266-1)*100)))</f>
        <v>NM</v>
      </c>
      <c r="GN266" s="271">
        <f>GN254-GN260</f>
        <v>250</v>
      </c>
      <c r="GO266" s="98" t="str">
        <f t="shared" si="1481"/>
        <v>NM</v>
      </c>
      <c r="GP266" s="271">
        <f>GP254-GP260</f>
        <v>318.82513964832515</v>
      </c>
      <c r="GQ266" s="98">
        <f t="shared" si="1481"/>
        <v>27.530055859330062</v>
      </c>
      <c r="GR266" s="271">
        <f>GR254-GR260</f>
        <v>362.83418790115684</v>
      </c>
      <c r="GS266" s="98">
        <f t="shared" si="1481"/>
        <v>13.803506304858871</v>
      </c>
      <c r="GT266" s="271">
        <f>GT254-GT260</f>
        <v>390.18086120932594</v>
      </c>
      <c r="GU266" s="98">
        <f t="shared" si="1481"/>
        <v>7.5369615708922311</v>
      </c>
      <c r="GV266" s="271">
        <f>GV254-GV260</f>
        <v>416.11223711925504</v>
      </c>
      <c r="GW266" s="98">
        <f t="shared" si="1481"/>
        <v>6.6459886908746491</v>
      </c>
      <c r="GX266" s="271">
        <f>GX254-GX260</f>
        <v>436.59909770987269</v>
      </c>
      <c r="GY266" s="98">
        <f t="shared" ref="GY266:GY271" si="1482">IF(ISERROR((GX266/GV266-1)*100),"NA",IF(((GX266/GV266-1)*100)&gt;100,"NM",IF(((GX266/GV266-1)*100)&lt;-50,"NM",(GX266/GV266-1)*100)))</f>
        <v>4.9233977670179119</v>
      </c>
      <c r="GZ266" s="98">
        <f t="shared" ref="GZ266:GZ272" si="1483">IF(ISERROR(((GX266/GN266)^0.2-1)*100),"NA",IF((((GX266/GN266)^0.2-1)*100)&gt;100,"NM",IF((((GX266/GN266)^0.2-1)*100)&lt;-50,"NM",((GX266/GN266)^0.2-1)*100)))</f>
        <v>11.796592073965861</v>
      </c>
      <c r="HA266" s="98"/>
      <c r="HB266" s="15"/>
      <c r="HC266"/>
      <c r="HD266"/>
      <c r="HE266"/>
      <c r="HF266"/>
      <c r="HG266"/>
      <c r="HH266"/>
      <c r="HI266" s="10"/>
    </row>
    <row r="267" spans="1:217" s="5" customFormat="1" ht="12.75" customHeight="1" x14ac:dyDescent="0.2">
      <c r="B267" s="2" t="s">
        <v>478</v>
      </c>
      <c r="C267" s="153">
        <v>24</v>
      </c>
      <c r="D267" s="270"/>
      <c r="E267" s="153">
        <v>24</v>
      </c>
      <c r="F267" s="270"/>
      <c r="G267" s="153">
        <v>25</v>
      </c>
      <c r="H267" s="270"/>
      <c r="I267" s="153">
        <v>29</v>
      </c>
      <c r="J267" s="156"/>
      <c r="K267" s="153"/>
      <c r="L267" s="156"/>
      <c r="M267" s="153"/>
      <c r="N267" s="156"/>
      <c r="O267" s="153"/>
      <c r="P267" s="156"/>
      <c r="Q267" s="153"/>
      <c r="R267" s="156"/>
      <c r="S267" s="153"/>
      <c r="T267" s="156"/>
      <c r="U267" s="153"/>
      <c r="V267" s="156"/>
      <c r="W267" s="153"/>
      <c r="X267" s="156"/>
      <c r="Y267" s="153"/>
      <c r="Z267" s="156"/>
      <c r="AA267" s="153"/>
      <c r="AB267" s="156"/>
      <c r="AC267" s="153"/>
      <c r="AD267" s="156"/>
      <c r="AE267" s="153"/>
      <c r="AF267" s="156"/>
      <c r="AG267" s="153"/>
      <c r="AH267" s="156"/>
      <c r="AI267" s="153"/>
      <c r="AJ267" s="156"/>
      <c r="AK267" s="153"/>
      <c r="AL267" s="156"/>
      <c r="AM267" s="153"/>
      <c r="AN267" s="156"/>
      <c r="AO267" s="153"/>
      <c r="AP267" s="156"/>
      <c r="AQ267" s="153"/>
      <c r="AR267" s="156"/>
      <c r="AS267" s="153"/>
      <c r="AT267" s="156"/>
      <c r="AU267" s="153"/>
      <c r="AV267" s="156"/>
      <c r="AW267" s="153"/>
      <c r="AX267" s="156"/>
      <c r="AY267" s="173"/>
      <c r="AZ267" s="156"/>
      <c r="BA267" s="173"/>
      <c r="BB267" s="156"/>
      <c r="BC267" s="173"/>
      <c r="BD267" s="156"/>
      <c r="BE267" s="173"/>
      <c r="BF267" s="156"/>
      <c r="BG267" s="173"/>
      <c r="BH267" s="156"/>
      <c r="BI267" s="173"/>
      <c r="BJ267" s="156"/>
      <c r="BK267" s="173"/>
      <c r="BL267" s="156"/>
      <c r="BM267" s="173"/>
      <c r="BN267" s="98"/>
      <c r="BO267" s="122"/>
      <c r="BP267" s="98"/>
      <c r="BQ267" s="122"/>
      <c r="BR267" s="98"/>
      <c r="BS267" s="122"/>
      <c r="BT267" s="98"/>
      <c r="BU267" s="122"/>
      <c r="BV267" s="98"/>
      <c r="BW267" s="122"/>
      <c r="BX267" s="98"/>
      <c r="BY267" s="122"/>
      <c r="BZ267" s="98"/>
      <c r="CA267" s="122"/>
      <c r="CB267" s="98"/>
      <c r="CC267" s="122"/>
      <c r="CD267" s="98"/>
      <c r="CE267" s="122"/>
      <c r="CF267" s="98"/>
      <c r="CG267" s="122"/>
      <c r="CH267" s="98"/>
      <c r="CI267" s="122"/>
      <c r="CJ267" s="98"/>
      <c r="CK267" s="122"/>
      <c r="CL267" s="98"/>
      <c r="CM267" s="122"/>
      <c r="CN267" s="98"/>
      <c r="CO267" s="122"/>
      <c r="CP267" s="98"/>
      <c r="CQ267" s="547"/>
      <c r="CR267" s="98"/>
      <c r="CS267" s="122"/>
      <c r="CT267" s="98"/>
      <c r="CU267" s="122"/>
      <c r="CV267" s="98"/>
      <c r="CW267" s="122"/>
      <c r="CX267" s="98"/>
      <c r="CY267" s="122"/>
      <c r="CZ267" s="98"/>
      <c r="DA267" s="122"/>
      <c r="DB267" s="98"/>
      <c r="DC267" s="122"/>
      <c r="DD267" s="98"/>
      <c r="DE267" s="122"/>
      <c r="DF267" s="98"/>
      <c r="DG267" s="122"/>
      <c r="DH267" s="98"/>
      <c r="DI267" s="122"/>
      <c r="DJ267" s="98"/>
      <c r="DK267" s="122"/>
      <c r="DL267" s="98"/>
      <c r="DM267" s="122"/>
      <c r="DN267" s="98"/>
      <c r="DO267" s="122"/>
      <c r="DP267" s="98"/>
      <c r="DQ267" s="122"/>
      <c r="DR267" s="98"/>
      <c r="DS267" s="122">
        <v>17</v>
      </c>
      <c r="DT267" s="98" t="str">
        <f t="shared" si="1452"/>
        <v>NA</v>
      </c>
      <c r="DU267" s="122">
        <v>3</v>
      </c>
      <c r="DV267" s="98" t="str">
        <f t="shared" si="1453"/>
        <v>NA</v>
      </c>
      <c r="DW267" s="122">
        <v>20</v>
      </c>
      <c r="DX267" s="98" t="str">
        <f t="shared" si="1454"/>
        <v>NA</v>
      </c>
      <c r="DY267" s="122">
        <v>5</v>
      </c>
      <c r="DZ267" s="98" t="str">
        <f t="shared" si="1455"/>
        <v>NA</v>
      </c>
      <c r="EA267" s="122">
        <v>-6</v>
      </c>
      <c r="EB267" s="98" t="str">
        <f t="shared" si="1456"/>
        <v>NM</v>
      </c>
      <c r="EC267" s="122">
        <v>-19</v>
      </c>
      <c r="ED267" s="98" t="str">
        <f t="shared" si="1457"/>
        <v>NM</v>
      </c>
      <c r="EE267" s="122">
        <v>14</v>
      </c>
      <c r="EF267" s="860">
        <f t="shared" si="1458"/>
        <v>-30.000000000000004</v>
      </c>
      <c r="EG267" s="122">
        <v>6</v>
      </c>
      <c r="EH267" s="860">
        <f t="shared" si="1459"/>
        <v>19.999999999999996</v>
      </c>
      <c r="EI267" s="122">
        <v>-1</v>
      </c>
      <c r="EJ267" s="860" t="str">
        <f t="shared" si="1460"/>
        <v>NM</v>
      </c>
      <c r="EK267" s="122">
        <v>-2</v>
      </c>
      <c r="EL267" s="860" t="str">
        <f t="shared" si="1461"/>
        <v>NM</v>
      </c>
      <c r="EM267" s="122">
        <v>12</v>
      </c>
      <c r="EN267" s="860">
        <f t="shared" si="1462"/>
        <v>-14.28571428571429</v>
      </c>
      <c r="EO267" s="122">
        <v>38</v>
      </c>
      <c r="EP267" s="98" t="str">
        <f t="shared" si="1463"/>
        <v>NM</v>
      </c>
      <c r="EQ267" s="878">
        <f t="shared" ref="EQ267" si="1484">+EQ266*EQ268/100</f>
        <v>11.370839300000002</v>
      </c>
      <c r="ER267" s="98" t="str">
        <f t="shared" si="1464"/>
        <v>NM</v>
      </c>
      <c r="ES267" s="878">
        <f t="shared" ref="ES267" si="1485">+ES266*ES268/100</f>
        <v>10.563988645175023</v>
      </c>
      <c r="ET267" s="98" t="str">
        <f t="shared" si="1466"/>
        <v>NM</v>
      </c>
      <c r="EU267" s="878">
        <f t="shared" ref="EU267" si="1486">+EU266*EU268/100</f>
        <v>11.463669462915348</v>
      </c>
      <c r="EV267" s="98">
        <f t="shared" si="1468"/>
        <v>-4.4694211423720986</v>
      </c>
      <c r="EW267" s="878">
        <f t="shared" ref="EW267" si="1487">+EW266*EW268/100</f>
        <v>20.801776332124902</v>
      </c>
      <c r="EX267" s="98">
        <f t="shared" si="1470"/>
        <v>-45.258483336513407</v>
      </c>
      <c r="EY267" s="160"/>
      <c r="EZ267" s="594"/>
      <c r="FA267" s="405"/>
      <c r="FB267" s="200" t="s">
        <v>494</v>
      </c>
      <c r="FC267" s="230"/>
      <c r="FD267" s="118">
        <f>28+58+39+14</f>
        <v>139</v>
      </c>
      <c r="FE267" s="98" t="str">
        <f>IF(ISERROR((FD267/FB267-1)*100),"NA",IF(((FD267/FB267-1)*100)&gt;100,"NM",IF(((FD267/FB267-1)*100)&lt;-50,"NM",(FD267/FB267-1)*100)))</f>
        <v>NA</v>
      </c>
      <c r="FF267" s="118">
        <f>C267+E267+G267+I267</f>
        <v>102</v>
      </c>
      <c r="FG267" s="98">
        <f>IF(ISERROR((FF267/FD267-1)*100),"NA",IF(((FF267/FD267-1)*100)&gt;100,"NM",IF(((FF267/FD267-1)*100)&lt;-50,"NM",(FF267/FD267-1)*100)))</f>
        <v>-26.618705035971225</v>
      </c>
      <c r="FH267" s="118">
        <f>K267+M267+O267+Q267</f>
        <v>0</v>
      </c>
      <c r="FI267" s="98" t="str">
        <f>IF(ISERROR((FH267/FF267-1)*100),"NA",IF(((FH267/FF267-1)*100)&gt;100,"NM",IF(((FH267/FF267-1)*100)&lt;-50,"NM",(FH267/FF267-1)*100)))</f>
        <v>NM</v>
      </c>
      <c r="FJ267" s="118">
        <f>S267+U267+W267+Y267</f>
        <v>0</v>
      </c>
      <c r="FK267" s="98" t="str">
        <f>IF(ISERROR((FJ267/FH267-1)*100),"NA",IF(((FJ267/FH267-1)*100)&gt;100,"NM",IF(((FJ267/FH267-1)*100)&lt;-50,"NM",(FJ267/FH267-1)*100)))</f>
        <v>NA</v>
      </c>
      <c r="FL267" s="118">
        <f>AA267+AC267+AE267+AG267</f>
        <v>0</v>
      </c>
      <c r="FM267" s="98" t="str">
        <f>IF(ISERROR((FL267/FJ267-1)*100),"NA",IF(((FL267/FJ267-1)*100)&gt;100,"NM",IF(((FL267/FJ267-1)*100)&lt;-50,"NM",(FL267/FJ267-1)*100)))</f>
        <v>NA</v>
      </c>
      <c r="FN267" s="118">
        <f>AI267+AK267+AM267+AO267</f>
        <v>0</v>
      </c>
      <c r="FO267" s="98" t="str">
        <f>IF(ISERROR((FN267/FL267-1)*100),"NA",IF(((FN267/FL267-1)*100)&gt;100,"NM",IF(((FN267/FL267-1)*100)&lt;-50,"NM",(FN267/FL267-1)*100)))</f>
        <v>NA</v>
      </c>
      <c r="FP267" s="118">
        <f>AQ267+AS267+AU267+AW267</f>
        <v>0</v>
      </c>
      <c r="FQ267" s="98" t="str">
        <f>IF(ISERROR((FP267/FN267-1)*100),"NA",IF(((FP267/FN267-1)*100)&gt;100,"NM",IF(((FP267/FN267-1)*100)&lt;-50,"NM",(FP267/FN267-1)*100)))</f>
        <v>NA</v>
      </c>
      <c r="FR267" s="160">
        <f>AY267+BA267+BC267+BE267</f>
        <v>0</v>
      </c>
      <c r="FS267" s="120" t="str">
        <f t="shared" si="1471"/>
        <v>NA</v>
      </c>
      <c r="FT267" s="160">
        <f>BG267+BI267+BK267+BM267</f>
        <v>0</v>
      </c>
      <c r="FU267" s="120" t="str">
        <f t="shared" si="1472"/>
        <v>NA</v>
      </c>
      <c r="FV267" s="112">
        <v>466</v>
      </c>
      <c r="FW267" s="98" t="str">
        <f t="shared" si="1473"/>
        <v>NA</v>
      </c>
      <c r="FX267" s="495">
        <f>BW267+BY267+CA267+CC267</f>
        <v>0</v>
      </c>
      <c r="FY267" s="98" t="str">
        <f t="shared" si="1474"/>
        <v>NM</v>
      </c>
      <c r="FZ267" s="160">
        <f>CE267+CG267+CI267+CK267</f>
        <v>0</v>
      </c>
      <c r="GA267" s="98" t="str">
        <f t="shared" si="1475"/>
        <v>NA</v>
      </c>
      <c r="GB267" s="495">
        <f>CM267+CO267+CQ267+CS267</f>
        <v>0</v>
      </c>
      <c r="GC267" s="98" t="str">
        <f t="shared" si="1476"/>
        <v>NA</v>
      </c>
      <c r="GD267" s="160">
        <f>CU267+CW267+CY267+DA267</f>
        <v>0</v>
      </c>
      <c r="GE267" s="98" t="str">
        <f t="shared" si="1477"/>
        <v>NA</v>
      </c>
      <c r="GF267" s="160">
        <f>DC267+DE267+DG267+DI267</f>
        <v>0</v>
      </c>
      <c r="GG267" s="98" t="str">
        <f t="shared" si="1478"/>
        <v>NA</v>
      </c>
      <c r="GH267" s="160">
        <f>DK267+DM267+DO267+DQ267</f>
        <v>0</v>
      </c>
      <c r="GI267" s="98" t="str">
        <f t="shared" si="1479"/>
        <v>NA</v>
      </c>
      <c r="GJ267" s="160">
        <f>DS267+DU267+DW267+DY267</f>
        <v>45</v>
      </c>
      <c r="GK267" s="98" t="str">
        <f t="shared" si="1480"/>
        <v>NA</v>
      </c>
      <c r="GL267" s="160">
        <f>EA267+EC267+EE267+EG267</f>
        <v>-5</v>
      </c>
      <c r="GM267" s="98" t="str">
        <f t="shared" si="1481"/>
        <v>NM</v>
      </c>
      <c r="GN267" s="160">
        <f>EI267+EK267+EM267+EO267</f>
        <v>47</v>
      </c>
      <c r="GO267" s="98" t="str">
        <f t="shared" si="1481"/>
        <v>NM</v>
      </c>
      <c r="GP267" s="160">
        <f>EQ267+ES267+EU267+EW267</f>
        <v>54.200273740215273</v>
      </c>
      <c r="GQ267" s="98">
        <f t="shared" si="1481"/>
        <v>15.319731362160161</v>
      </c>
      <c r="GR267" s="160">
        <f>+GR266*GR268/100</f>
        <v>61.681811943196664</v>
      </c>
      <c r="GS267" s="98">
        <f t="shared" si="1481"/>
        <v>13.803506304858892</v>
      </c>
      <c r="GT267" s="160">
        <f>+GT266*GT268/100</f>
        <v>66.330746405585415</v>
      </c>
      <c r="GU267" s="98">
        <f t="shared" si="1481"/>
        <v>7.5369615708922311</v>
      </c>
      <c r="GV267" s="160">
        <f>+GV266*GV268/100</f>
        <v>70.739080310273351</v>
      </c>
      <c r="GW267" s="98">
        <f t="shared" si="1481"/>
        <v>6.6459886908746268</v>
      </c>
      <c r="GX267" s="160">
        <f>+GX266*GX268/100</f>
        <v>74.221846610678355</v>
      </c>
      <c r="GY267" s="98">
        <f t="shared" si="1482"/>
        <v>4.9233977670179119</v>
      </c>
      <c r="GZ267" s="98">
        <f t="shared" si="1483"/>
        <v>9.5687682581701026</v>
      </c>
      <c r="HA267" s="98"/>
      <c r="HB267" s="15"/>
      <c r="HC267"/>
      <c r="HD267"/>
      <c r="HE267"/>
      <c r="HF267"/>
      <c r="HG267"/>
      <c r="HH267"/>
      <c r="HI267" s="10"/>
    </row>
    <row r="268" spans="1:217" s="5" customFormat="1" ht="12.75" customHeight="1" x14ac:dyDescent="0.2">
      <c r="B268" s="2" t="s">
        <v>170</v>
      </c>
      <c r="C268" s="201">
        <f>+C267/C266*100</f>
        <v>454.93333333333334</v>
      </c>
      <c r="D268" s="270"/>
      <c r="E268" s="201">
        <f>+E267/E266*100</f>
        <v>481.02127659574467</v>
      </c>
      <c r="F268" s="270"/>
      <c r="G268" s="201">
        <f>+G267/G266*100</f>
        <v>401.29310344827587</v>
      </c>
      <c r="H268" s="270"/>
      <c r="I268" s="201">
        <f>+I267/I266*100</f>
        <v>399.05633802816902</v>
      </c>
      <c r="J268" s="156"/>
      <c r="K268" s="201"/>
      <c r="L268" s="156"/>
      <c r="M268" s="201"/>
      <c r="N268" s="156"/>
      <c r="O268" s="201"/>
      <c r="P268" s="156"/>
      <c r="Q268" s="201"/>
      <c r="R268" s="156"/>
      <c r="S268" s="201"/>
      <c r="T268" s="156"/>
      <c r="U268" s="201"/>
      <c r="V268" s="156"/>
      <c r="W268" s="201"/>
      <c r="X268" s="156"/>
      <c r="Y268" s="201"/>
      <c r="Z268" s="156"/>
      <c r="AA268" s="201"/>
      <c r="AB268" s="156"/>
      <c r="AC268" s="201"/>
      <c r="AD268" s="156"/>
      <c r="AE268" s="201"/>
      <c r="AF268" s="156"/>
      <c r="AG268" s="201"/>
      <c r="AH268" s="156"/>
      <c r="AI268" s="201"/>
      <c r="AJ268" s="156"/>
      <c r="AK268" s="201"/>
      <c r="AL268" s="156"/>
      <c r="AM268" s="201"/>
      <c r="AN268" s="156"/>
      <c r="AO268" s="201"/>
      <c r="AP268" s="156"/>
      <c r="AQ268" s="201"/>
      <c r="AR268" s="156"/>
      <c r="AS268" s="201"/>
      <c r="AT268" s="156"/>
      <c r="AU268" s="201"/>
      <c r="AV268" s="156"/>
      <c r="AW268" s="201"/>
      <c r="AX268" s="156"/>
      <c r="AY268" s="196"/>
      <c r="AZ268" s="156"/>
      <c r="BA268" s="196"/>
      <c r="BB268" s="156"/>
      <c r="BC268" s="196"/>
      <c r="BD268" s="156"/>
      <c r="BE268" s="196"/>
      <c r="BF268" s="156"/>
      <c r="BG268" s="259"/>
      <c r="BH268" s="156"/>
      <c r="BI268" s="259"/>
      <c r="BJ268" s="156"/>
      <c r="BK268" s="259"/>
      <c r="BL268" s="156"/>
      <c r="BM268" s="259"/>
      <c r="BN268" s="98"/>
      <c r="BO268" s="260"/>
      <c r="BP268" s="98"/>
      <c r="BQ268" s="260"/>
      <c r="BR268" s="98"/>
      <c r="BS268" s="260"/>
      <c r="BT268" s="98"/>
      <c r="BU268" s="260"/>
      <c r="BV268" s="98"/>
      <c r="BW268" s="260"/>
      <c r="BX268" s="98"/>
      <c r="BY268" s="260"/>
      <c r="BZ268" s="98"/>
      <c r="CA268" s="260"/>
      <c r="CB268" s="98"/>
      <c r="CC268" s="260"/>
      <c r="CD268" s="98"/>
      <c r="CE268" s="260"/>
      <c r="CF268" s="98"/>
      <c r="CG268" s="260"/>
      <c r="CH268" s="98"/>
      <c r="CI268" s="260"/>
      <c r="CJ268" s="98"/>
      <c r="CK268" s="260"/>
      <c r="CL268" s="98"/>
      <c r="CM268" s="260"/>
      <c r="CN268" s="98"/>
      <c r="CO268" s="260"/>
      <c r="CP268" s="98"/>
      <c r="CQ268" s="559"/>
      <c r="CR268" s="98"/>
      <c r="CS268" s="260"/>
      <c r="CT268" s="98"/>
      <c r="CU268" s="260"/>
      <c r="CV268" s="98"/>
      <c r="CW268" s="260"/>
      <c r="CX268" s="98"/>
      <c r="CY268" s="260"/>
      <c r="CZ268" s="98"/>
      <c r="DA268" s="260"/>
      <c r="DB268" s="98"/>
      <c r="DC268" s="260"/>
      <c r="DD268" s="98"/>
      <c r="DE268" s="260"/>
      <c r="DF268" s="98"/>
      <c r="DG268" s="260"/>
      <c r="DH268" s="98"/>
      <c r="DI268" s="260"/>
      <c r="DJ268" s="98"/>
      <c r="DK268" s="260"/>
      <c r="DL268" s="98"/>
      <c r="DM268" s="260"/>
      <c r="DN268" s="98"/>
      <c r="DO268" s="260"/>
      <c r="DP268" s="98"/>
      <c r="DQ268" s="260"/>
      <c r="DR268" s="98"/>
      <c r="DS268" s="260">
        <f>+DS267/DS266*100</f>
        <v>20.73170731707317</v>
      </c>
      <c r="DT268" s="98" t="str">
        <f t="shared" si="1452"/>
        <v>NA</v>
      </c>
      <c r="DU268" s="260">
        <f>+DU267/DU266*100</f>
        <v>6</v>
      </c>
      <c r="DV268" s="98" t="str">
        <f t="shared" si="1453"/>
        <v>NA</v>
      </c>
      <c r="DW268" s="260">
        <f>+DW267/DW266*100</f>
        <v>22.988505747126435</v>
      </c>
      <c r="DX268" s="98" t="str">
        <f t="shared" si="1454"/>
        <v>NA</v>
      </c>
      <c r="DY268" s="260">
        <f>+DY267/DY266*100</f>
        <v>10.204081632653061</v>
      </c>
      <c r="DZ268" s="98" t="str">
        <f t="shared" si="1455"/>
        <v>NA</v>
      </c>
      <c r="EA268" s="260">
        <f>+EA267/EA266*100</f>
        <v>-37.5</v>
      </c>
      <c r="EB268" s="98" t="str">
        <f t="shared" si="1456"/>
        <v>NM</v>
      </c>
      <c r="EC268" s="260">
        <f>+EC267/EC266*100</f>
        <v>90.476190476190482</v>
      </c>
      <c r="ED268" s="98" t="str">
        <f t="shared" si="1457"/>
        <v>NM</v>
      </c>
      <c r="EE268" s="260">
        <f>+EE267/EE266*100</f>
        <v>19.444444444444446</v>
      </c>
      <c r="EF268" s="860">
        <f t="shared" si="1458"/>
        <v>-15.416666666666657</v>
      </c>
      <c r="EG268" s="260">
        <f>+EG267/EG266*100</f>
        <v>12.244897959183673</v>
      </c>
      <c r="EH268" s="860">
        <f t="shared" si="1459"/>
        <v>19.999999999999996</v>
      </c>
      <c r="EI268" s="260">
        <f>+EI267/EI266*100</f>
        <v>-3.5714285714285712</v>
      </c>
      <c r="EJ268" s="860" t="str">
        <f t="shared" si="1460"/>
        <v>NM</v>
      </c>
      <c r="EK268" s="260">
        <f>+EK267/EK266*100</f>
        <v>-7.6923076923076925</v>
      </c>
      <c r="EL268" s="860" t="str">
        <f t="shared" si="1461"/>
        <v>NM</v>
      </c>
      <c r="EM268" s="260">
        <f>+EM267/EM266*100</f>
        <v>19.047619047619047</v>
      </c>
      <c r="EN268" s="860">
        <f t="shared" si="1462"/>
        <v>-2.0408163265306256</v>
      </c>
      <c r="EO268" s="260">
        <f>+EO267/EO266*100</f>
        <v>28.571428571428569</v>
      </c>
      <c r="EP268" s="98" t="str">
        <f t="shared" si="1463"/>
        <v>NM</v>
      </c>
      <c r="EQ268" s="1026">
        <v>17</v>
      </c>
      <c r="ER268" s="98" t="str">
        <f t="shared" si="1464"/>
        <v>NM</v>
      </c>
      <c r="ES268" s="1026">
        <f t="shared" ref="ES268" si="1488">EQ268</f>
        <v>17</v>
      </c>
      <c r="ET268" s="98" t="str">
        <f t="shared" si="1466"/>
        <v>NM</v>
      </c>
      <c r="EU268" s="1026">
        <f t="shared" ref="EU268" si="1489">ES268</f>
        <v>17</v>
      </c>
      <c r="EV268" s="98">
        <f t="shared" si="1468"/>
        <v>-10.750000000000004</v>
      </c>
      <c r="EW268" s="1026">
        <f t="shared" ref="EW268" si="1490">EU268</f>
        <v>17</v>
      </c>
      <c r="EX268" s="98">
        <f t="shared" si="1470"/>
        <v>-40.499999999999993</v>
      </c>
      <c r="EY268" s="80"/>
      <c r="EZ268" s="594"/>
      <c r="FA268" s="405"/>
      <c r="FB268" s="200" t="s">
        <v>494</v>
      </c>
      <c r="FC268" s="230"/>
      <c r="FD268" s="125">
        <f>+FD267/FD266*100</f>
        <v>4.8347826086956518</v>
      </c>
      <c r="FE268" s="98" t="str">
        <f>IF(ISERROR((FD268/FB268-1)*100),"NA",IF(((FD268/FB268-1)*100)&gt;100,"NM",IF(((FD268/FB268-1)*100)&lt;-50,"NM",(FD268/FB268-1)*100)))</f>
        <v>NA</v>
      </c>
      <c r="FF268" s="125">
        <f>+FF267/FF266*100</f>
        <v>3.2681832745914767</v>
      </c>
      <c r="FG268" s="98">
        <f>IF(ISERROR((FF268/FD268-1)*100),"NA",IF(((FF268/FD268-1)*100)&gt;100,"NM",IF(((FF268/FD268-1)*100)&lt;-50,"NM",(FF268/FD268-1)*100)))</f>
        <v>-32.402684068701468</v>
      </c>
      <c r="FH268" s="125" t="e">
        <f>+FH267/FH266*100</f>
        <v>#DIV/0!</v>
      </c>
      <c r="FI268" s="98" t="str">
        <f>IF(ISERROR((FH268/FF268-1)*100),"NA",IF(((FH268/FF268-1)*100)&gt;100,"NM",IF(((FH268/FF268-1)*100)&lt;-50,"NM",(FH268/FF268-1)*100)))</f>
        <v>NA</v>
      </c>
      <c r="FJ268" s="125" t="e">
        <f>+FJ267/FJ266*100</f>
        <v>#DIV/0!</v>
      </c>
      <c r="FK268" s="98" t="str">
        <f>IF(ISERROR((FJ268/FH268-1)*100),"NA",IF(((FJ268/FH268-1)*100)&gt;100,"NM",IF(((FJ268/FH268-1)*100)&lt;-50,"NM",(FJ268/FH268-1)*100)))</f>
        <v>NA</v>
      </c>
      <c r="FL268" s="125" t="e">
        <f>+FL267/FL266*100</f>
        <v>#DIV/0!</v>
      </c>
      <c r="FM268" s="98" t="str">
        <f>IF(ISERROR((FL268/FJ268-1)*100),"NA",IF(((FL268/FJ268-1)*100)&gt;100,"NM",IF(((FL268/FJ268-1)*100)&lt;-50,"NM",(FL268/FJ268-1)*100)))</f>
        <v>NA</v>
      </c>
      <c r="FN268" s="125" t="e">
        <f>+FN267/FN266*100</f>
        <v>#DIV/0!</v>
      </c>
      <c r="FO268" s="98" t="str">
        <f>IF(ISERROR((FN268/FL268-1)*100),"NA",IF(((FN268/FL268-1)*100)&gt;100,"NM",IF(((FN268/FL268-1)*100)&lt;-50,"NM",(FN268/FL268-1)*100)))</f>
        <v>NA</v>
      </c>
      <c r="FP268" s="125" t="e">
        <f>+FP267/FP266*100</f>
        <v>#DIV/0!</v>
      </c>
      <c r="FQ268" s="98" t="str">
        <f>IF(ISERROR((FP268/FN268-1)*100),"NA",IF(((FP268/FN268-1)*100)&gt;100,"NM",IF(((FP268/FN268-1)*100)&lt;-50,"NM",(FP268/FN268-1)*100)))</f>
        <v>NA</v>
      </c>
      <c r="FR268" s="130" t="e">
        <f>+FR267/FR266*100</f>
        <v>#DIV/0!</v>
      </c>
      <c r="FS268" s="120" t="str">
        <f t="shared" si="1471"/>
        <v>NA</v>
      </c>
      <c r="FT268" s="130" t="e">
        <f>+FT267/FT266*100</f>
        <v>#DIV/0!</v>
      </c>
      <c r="FU268" s="120" t="str">
        <f t="shared" si="1472"/>
        <v>NA</v>
      </c>
      <c r="FV268" s="130">
        <f>+FV267/FV266*100</f>
        <v>13.507246376811594</v>
      </c>
      <c r="FW268" s="98" t="str">
        <f t="shared" si="1473"/>
        <v>NA</v>
      </c>
      <c r="FX268" s="487" t="e">
        <f>+FX267/FX266*100</f>
        <v>#DIV/0!</v>
      </c>
      <c r="FY268" s="98" t="str">
        <f t="shared" si="1474"/>
        <v>NA</v>
      </c>
      <c r="FZ268" s="130" t="e">
        <f>+FZ267/FZ266*100</f>
        <v>#DIV/0!</v>
      </c>
      <c r="GA268" s="98" t="str">
        <f t="shared" si="1475"/>
        <v>NA</v>
      </c>
      <c r="GB268" s="487" t="e">
        <f>+GB267/GB266*100</f>
        <v>#DIV/0!</v>
      </c>
      <c r="GC268" s="98" t="str">
        <f t="shared" si="1476"/>
        <v>NA</v>
      </c>
      <c r="GD268" s="130" t="e">
        <f>+GD267/GD266*100</f>
        <v>#DIV/0!</v>
      </c>
      <c r="GE268" s="98" t="str">
        <f t="shared" si="1477"/>
        <v>NA</v>
      </c>
      <c r="GF268" s="130">
        <f>+GF267/GF266*100</f>
        <v>0</v>
      </c>
      <c r="GG268" s="98" t="str">
        <f t="shared" si="1478"/>
        <v>NA</v>
      </c>
      <c r="GH268" s="130">
        <f>+GH267/GH266*100</f>
        <v>0</v>
      </c>
      <c r="GI268" s="98" t="str">
        <f t="shared" si="1479"/>
        <v>NA</v>
      </c>
      <c r="GJ268" s="130">
        <f>+GJ267/GJ266*100</f>
        <v>16.791044776119403</v>
      </c>
      <c r="GK268" s="98" t="str">
        <f t="shared" si="1480"/>
        <v>NA</v>
      </c>
      <c r="GL268" s="130">
        <f>+GL267/GL266*100</f>
        <v>-4.3103448275862073</v>
      </c>
      <c r="GM268" s="98" t="str">
        <f t="shared" si="1481"/>
        <v>NM</v>
      </c>
      <c r="GN268" s="130">
        <f>+GN267/GN266*100</f>
        <v>18.8</v>
      </c>
      <c r="GO268" s="98" t="str">
        <f t="shared" si="1481"/>
        <v>NM</v>
      </c>
      <c r="GP268" s="130">
        <f>+GP267/GP266*100</f>
        <v>17</v>
      </c>
      <c r="GQ268" s="98">
        <f t="shared" si="1481"/>
        <v>-9.5744680851063908</v>
      </c>
      <c r="GR268" s="80">
        <f>GP268</f>
        <v>17</v>
      </c>
      <c r="GS268" s="98">
        <f t="shared" si="1481"/>
        <v>0</v>
      </c>
      <c r="GT268" s="80">
        <f>GR268</f>
        <v>17</v>
      </c>
      <c r="GU268" s="98">
        <f t="shared" si="1481"/>
        <v>0</v>
      </c>
      <c r="GV268" s="80">
        <f>GT268</f>
        <v>17</v>
      </c>
      <c r="GW268" s="98">
        <f t="shared" si="1481"/>
        <v>0</v>
      </c>
      <c r="GX268" s="80">
        <f>GV268</f>
        <v>17</v>
      </c>
      <c r="GY268" s="98">
        <f t="shared" si="1482"/>
        <v>0</v>
      </c>
      <c r="GZ268" s="98">
        <f t="shared" si="1483"/>
        <v>-1.9927475198186717</v>
      </c>
      <c r="HA268" s="98"/>
      <c r="HB268" s="15"/>
      <c r="HC268"/>
      <c r="HD268"/>
      <c r="HE268"/>
      <c r="HF268"/>
      <c r="HG268"/>
      <c r="HH268"/>
      <c r="HI268" s="10"/>
    </row>
    <row r="269" spans="1:217" s="5" customFormat="1" ht="12.75" customHeight="1" x14ac:dyDescent="0.2">
      <c r="A269" s="2" t="s">
        <v>607</v>
      </c>
      <c r="B269" s="93" t="s">
        <v>28</v>
      </c>
      <c r="C269" s="203">
        <f>+C266-C267</f>
        <v>-18.724501758499414</v>
      </c>
      <c r="D269" s="270"/>
      <c r="E269" s="203">
        <f>+E266-E267</f>
        <v>-19.010615711252655</v>
      </c>
      <c r="F269" s="270"/>
      <c r="G269" s="203">
        <f>+G266-G267</f>
        <v>-18.770139634801289</v>
      </c>
      <c r="H269" s="270"/>
      <c r="I269" s="203">
        <f>+I266-I267</f>
        <v>-21.732855680655067</v>
      </c>
      <c r="J269" s="156"/>
      <c r="K269" s="203"/>
      <c r="L269" s="156"/>
      <c r="M269" s="203"/>
      <c r="N269" s="156"/>
      <c r="O269" s="203"/>
      <c r="P269" s="156"/>
      <c r="Q269" s="203"/>
      <c r="R269" s="156"/>
      <c r="S269" s="203"/>
      <c r="T269" s="156"/>
      <c r="U269" s="203"/>
      <c r="V269" s="156"/>
      <c r="W269" s="203"/>
      <c r="X269" s="156"/>
      <c r="Y269" s="203"/>
      <c r="Z269" s="156"/>
      <c r="AA269" s="203"/>
      <c r="AB269" s="156"/>
      <c r="AC269" s="203"/>
      <c r="AD269" s="156"/>
      <c r="AE269" s="203"/>
      <c r="AF269" s="156"/>
      <c r="AG269" s="203"/>
      <c r="AH269" s="156"/>
      <c r="AI269" s="203"/>
      <c r="AJ269" s="156"/>
      <c r="AK269" s="203"/>
      <c r="AL269" s="156"/>
      <c r="AM269" s="203"/>
      <c r="AN269" s="156"/>
      <c r="AO269" s="203"/>
      <c r="AP269" s="156"/>
      <c r="AQ269" s="203"/>
      <c r="AR269" s="156"/>
      <c r="AS269" s="203"/>
      <c r="AT269" s="156"/>
      <c r="AU269" s="203"/>
      <c r="AV269" s="156"/>
      <c r="AW269" s="203"/>
      <c r="AX269" s="156"/>
      <c r="AY269" s="269"/>
      <c r="AZ269" s="156"/>
      <c r="BA269" s="269"/>
      <c r="BB269" s="156"/>
      <c r="BC269" s="269"/>
      <c r="BD269" s="156"/>
      <c r="BE269" s="269"/>
      <c r="BF269" s="156"/>
      <c r="BG269" s="269"/>
      <c r="BH269" s="156"/>
      <c r="BI269" s="269"/>
      <c r="BJ269" s="156"/>
      <c r="BK269" s="269"/>
      <c r="BL269" s="156"/>
      <c r="BM269" s="269"/>
      <c r="BN269" s="98"/>
      <c r="BO269" s="271"/>
      <c r="BP269" s="98"/>
      <c r="BQ269" s="271"/>
      <c r="BR269" s="98"/>
      <c r="BS269" s="271"/>
      <c r="BT269" s="98"/>
      <c r="BU269" s="271"/>
      <c r="BV269" s="98"/>
      <c r="BW269" s="271"/>
      <c r="BX269" s="98"/>
      <c r="BY269" s="271"/>
      <c r="BZ269" s="98"/>
      <c r="CA269" s="271"/>
      <c r="CB269" s="98"/>
      <c r="CC269" s="271"/>
      <c r="CD269" s="98"/>
      <c r="CE269" s="271"/>
      <c r="CF269" s="98"/>
      <c r="CG269" s="271"/>
      <c r="CH269" s="98"/>
      <c r="CI269" s="271"/>
      <c r="CJ269" s="98"/>
      <c r="CK269" s="271"/>
      <c r="CL269" s="98"/>
      <c r="CM269" s="271"/>
      <c r="CN269" s="98"/>
      <c r="CO269" s="271"/>
      <c r="CP269" s="98"/>
      <c r="CQ269" s="560"/>
      <c r="CR269" s="98"/>
      <c r="CS269" s="271"/>
      <c r="CT269" s="98"/>
      <c r="CU269" s="271"/>
      <c r="CV269" s="98"/>
      <c r="CW269" s="271"/>
      <c r="CX269" s="98"/>
      <c r="CY269" s="271"/>
      <c r="CZ269" s="98"/>
      <c r="DA269" s="271"/>
      <c r="DB269" s="98"/>
      <c r="DC269" s="271"/>
      <c r="DD269" s="98"/>
      <c r="DE269" s="271"/>
      <c r="DF269" s="98"/>
      <c r="DG269" s="271"/>
      <c r="DH269" s="98"/>
      <c r="DI269" s="271"/>
      <c r="DJ269" s="98"/>
      <c r="DK269" s="271"/>
      <c r="DL269" s="98"/>
      <c r="DM269" s="271"/>
      <c r="DN269" s="98"/>
      <c r="DO269" s="271"/>
      <c r="DP269" s="98"/>
      <c r="DQ269" s="271"/>
      <c r="DR269" s="98"/>
      <c r="DS269" s="271">
        <f>+DS266-DS267</f>
        <v>65</v>
      </c>
      <c r="DT269" s="98" t="str">
        <f t="shared" si="1452"/>
        <v>NA</v>
      </c>
      <c r="DU269" s="271">
        <f>+DU266-DU267</f>
        <v>47</v>
      </c>
      <c r="DV269" s="98" t="str">
        <f t="shared" si="1453"/>
        <v>NA</v>
      </c>
      <c r="DW269" s="271">
        <f>+DW266-DW267</f>
        <v>67</v>
      </c>
      <c r="DX269" s="98" t="str">
        <f t="shared" si="1454"/>
        <v>NA</v>
      </c>
      <c r="DY269" s="271">
        <f>+DY266-DY267</f>
        <v>44</v>
      </c>
      <c r="DZ269" s="98" t="str">
        <f t="shared" si="1455"/>
        <v>NA</v>
      </c>
      <c r="EA269" s="271">
        <f>+EA266-EA267</f>
        <v>22</v>
      </c>
      <c r="EB269" s="98" t="str">
        <f t="shared" si="1456"/>
        <v>NM</v>
      </c>
      <c r="EC269" s="271">
        <f>+EC266-EC267</f>
        <v>-2</v>
      </c>
      <c r="ED269" s="98" t="str">
        <f t="shared" si="1457"/>
        <v>NM</v>
      </c>
      <c r="EE269" s="271">
        <f>+EE266-EE267</f>
        <v>58</v>
      </c>
      <c r="EF269" s="860">
        <f t="shared" si="1458"/>
        <v>-13.432835820895528</v>
      </c>
      <c r="EG269" s="271">
        <f>+EG266-EG267</f>
        <v>43</v>
      </c>
      <c r="EH269" s="860">
        <f t="shared" si="1459"/>
        <v>-2.2727272727272707</v>
      </c>
      <c r="EI269" s="271">
        <f>+EI266-EI267</f>
        <v>29</v>
      </c>
      <c r="EJ269" s="860">
        <f t="shared" si="1460"/>
        <v>31.818181818181813</v>
      </c>
      <c r="EK269" s="271">
        <f>+EK266-EK267</f>
        <v>28</v>
      </c>
      <c r="EL269" s="860" t="str">
        <f t="shared" si="1461"/>
        <v>NM</v>
      </c>
      <c r="EM269" s="271">
        <f>+EM266-EM267</f>
        <v>51</v>
      </c>
      <c r="EN269" s="860">
        <f t="shared" si="1462"/>
        <v>-12.068965517241381</v>
      </c>
      <c r="EO269" s="271">
        <f>+EO266-EO267</f>
        <v>95</v>
      </c>
      <c r="EP269" s="98" t="str">
        <f t="shared" si="1463"/>
        <v>NM</v>
      </c>
      <c r="EQ269" s="1028">
        <f t="shared" ref="EQ269" si="1491">+EQ266-EQ267</f>
        <v>55.516450700000007</v>
      </c>
      <c r="ER269" s="98">
        <f t="shared" si="1464"/>
        <v>91.436036896551755</v>
      </c>
      <c r="ES269" s="1028">
        <f t="shared" ref="ES269" si="1492">+ES266-ES267</f>
        <v>51.577121032325117</v>
      </c>
      <c r="ET269" s="98">
        <f t="shared" si="1466"/>
        <v>84.20400368687541</v>
      </c>
      <c r="EU269" s="1028">
        <f t="shared" ref="EU269" si="1493">+EU266-EU267</f>
        <v>55.969680318939638</v>
      </c>
      <c r="EV269" s="98">
        <f t="shared" si="1468"/>
        <v>9.744471213607131</v>
      </c>
      <c r="EW269" s="1028">
        <f t="shared" ref="EW269" si="1494">+EW266-EW267</f>
        <v>101.56161385684511</v>
      </c>
      <c r="EX269" s="98">
        <f t="shared" si="1470"/>
        <v>6.9069619545738092</v>
      </c>
      <c r="EY269" s="204"/>
      <c r="EZ269" s="594"/>
      <c r="FA269" s="405"/>
      <c r="FB269" s="200" t="s">
        <v>494</v>
      </c>
      <c r="FC269" s="230"/>
      <c r="FD269" s="183">
        <f>+FD266-FD267</f>
        <v>2736</v>
      </c>
      <c r="FE269" s="98" t="str">
        <f>IF(ISERROR((FD269/FB269-1)*100),"NA",IF(((FD269/FB269-1)*100)&gt;100,"NM",IF(((FD269/FB269-1)*100)&lt;-50,"NM",(FD269/FB269-1)*100)))</f>
        <v>NA</v>
      </c>
      <c r="FF269" s="183">
        <f>+FF266-FF267</f>
        <v>3019</v>
      </c>
      <c r="FG269" s="98">
        <f>IF(ISERROR((FF269/FD269-1)*100),"NA",IF(((FF269/FD269-1)*100)&gt;100,"NM",IF(((FF269/FD269-1)*100)&lt;-50,"NM",(FF269/FD269-1)*100)))</f>
        <v>10.343567251461995</v>
      </c>
      <c r="FH269" s="183">
        <f>+FH266-FH267</f>
        <v>0</v>
      </c>
      <c r="FI269" s="98" t="str">
        <f>IF(ISERROR((FH269/FF269-1)*100),"NA",IF(((FH269/FF269-1)*100)&gt;100,"NM",IF(((FH269/FF269-1)*100)&lt;-50,"NM",(FH269/FF269-1)*100)))</f>
        <v>NM</v>
      </c>
      <c r="FJ269" s="183">
        <f>+FJ266-FJ267</f>
        <v>0</v>
      </c>
      <c r="FK269" s="98" t="str">
        <f>IF(ISERROR((FJ269/FH269-1)*100),"NA",IF(((FJ269/FH269-1)*100)&gt;100,"NM",IF(((FJ269/FH269-1)*100)&lt;-50,"NM",(FJ269/FH269-1)*100)))</f>
        <v>NA</v>
      </c>
      <c r="FL269" s="183">
        <f>+FL266-FL267</f>
        <v>0</v>
      </c>
      <c r="FM269" s="98" t="str">
        <f>IF(ISERROR((FL269/FJ269-1)*100),"NA",IF(((FL269/FJ269-1)*100)&gt;100,"NM",IF(((FL269/FJ269-1)*100)&lt;-50,"NM",(FL269/FJ269-1)*100)))</f>
        <v>NA</v>
      </c>
      <c r="FN269" s="183">
        <f>+FN266-FN267</f>
        <v>0</v>
      </c>
      <c r="FO269" s="98" t="str">
        <f>IF(ISERROR((FN269/FL269-1)*100),"NA",IF(((FN269/FL269-1)*100)&gt;100,"NM",IF(((FN269/FL269-1)*100)&lt;-50,"NM",(FN269/FL269-1)*100)))</f>
        <v>NA</v>
      </c>
      <c r="FP269" s="183">
        <f>+FP266-FP267</f>
        <v>0</v>
      </c>
      <c r="FQ269" s="98" t="str">
        <f>IF(ISERROR((FP269/FN269-1)*100),"NA",IF(((FP269/FN269-1)*100)&gt;100,"NM",IF(((FP269/FN269-1)*100)&lt;-50,"NM",(FP269/FN269-1)*100)))</f>
        <v>NA</v>
      </c>
      <c r="FR269" s="205">
        <f>+FR266-FR267</f>
        <v>0</v>
      </c>
      <c r="FS269" s="120" t="str">
        <f t="shared" si="1471"/>
        <v>NA</v>
      </c>
      <c r="FT269" s="205">
        <f>+FT266-FT267</f>
        <v>0</v>
      </c>
      <c r="FU269" s="120" t="str">
        <f t="shared" si="1472"/>
        <v>NA</v>
      </c>
      <c r="FV269" s="205">
        <f>+FV266-FV267</f>
        <v>2984</v>
      </c>
      <c r="FW269" s="98" t="str">
        <f t="shared" si="1473"/>
        <v>NA</v>
      </c>
      <c r="FX269" s="503">
        <f>+FX266-FX267</f>
        <v>0</v>
      </c>
      <c r="FY269" s="98" t="str">
        <f t="shared" si="1474"/>
        <v>NM</v>
      </c>
      <c r="FZ269" s="205">
        <f>+FZ266-FZ267</f>
        <v>0</v>
      </c>
      <c r="GA269" s="98" t="str">
        <f t="shared" si="1475"/>
        <v>NA</v>
      </c>
      <c r="GB269" s="503">
        <f>+GB266-GB267</f>
        <v>0</v>
      </c>
      <c r="GC269" s="98" t="str">
        <f t="shared" si="1476"/>
        <v>NA</v>
      </c>
      <c r="GD269" s="205">
        <f>+GD266-GD267</f>
        <v>0</v>
      </c>
      <c r="GE269" s="98" t="str">
        <f t="shared" si="1477"/>
        <v>NA</v>
      </c>
      <c r="GF269" s="205">
        <f>+GF266-GF267</f>
        <v>14.529339167508134</v>
      </c>
      <c r="GG269" s="98" t="str">
        <f t="shared" si="1478"/>
        <v>NA</v>
      </c>
      <c r="GH269" s="205">
        <f>+GH266-GH267</f>
        <v>16.265060240963855</v>
      </c>
      <c r="GI269" s="98">
        <f t="shared" si="1479"/>
        <v>11.946318090896412</v>
      </c>
      <c r="GJ269" s="205">
        <f>+GJ266-GJ267</f>
        <v>223</v>
      </c>
      <c r="GK269" s="98" t="str">
        <f t="shared" si="1480"/>
        <v>NM</v>
      </c>
      <c r="GL269" s="205">
        <f>+GL266-GL267</f>
        <v>121</v>
      </c>
      <c r="GM269" s="98">
        <f t="shared" si="1481"/>
        <v>-45.739910313901348</v>
      </c>
      <c r="GN269" s="205">
        <f>+GN266-GN267</f>
        <v>203</v>
      </c>
      <c r="GO269" s="98">
        <f t="shared" si="1481"/>
        <v>67.768595041322314</v>
      </c>
      <c r="GP269" s="205">
        <f>+GP266-GP267</f>
        <v>264.62486590810988</v>
      </c>
      <c r="GQ269" s="98">
        <f t="shared" si="1481"/>
        <v>30.357076802024572</v>
      </c>
      <c r="GR269" s="204">
        <f>+GR266-GR267</f>
        <v>301.1523759579602</v>
      </c>
      <c r="GS269" s="98">
        <f t="shared" si="1481"/>
        <v>13.803506304858892</v>
      </c>
      <c r="GT269" s="204">
        <f>+GT266-GT267</f>
        <v>323.85011480374055</v>
      </c>
      <c r="GU269" s="98">
        <f t="shared" si="1481"/>
        <v>7.5369615708922311</v>
      </c>
      <c r="GV269" s="204">
        <f>+GV266-GV267</f>
        <v>345.37315680898166</v>
      </c>
      <c r="GW269" s="98">
        <f t="shared" si="1481"/>
        <v>6.6459886908746268</v>
      </c>
      <c r="GX269" s="204">
        <f>+GX266-GX267</f>
        <v>362.37725109919432</v>
      </c>
      <c r="GY269" s="98">
        <f t="shared" si="1482"/>
        <v>4.9233977670179119</v>
      </c>
      <c r="GZ269" s="98">
        <f t="shared" si="1483"/>
        <v>12.287904626837044</v>
      </c>
      <c r="HA269" s="98"/>
      <c r="HB269" s="15"/>
      <c r="HC269"/>
      <c r="HD269"/>
      <c r="HE269"/>
      <c r="HF269"/>
      <c r="HG269"/>
      <c r="HH269"/>
      <c r="HI269" s="10"/>
    </row>
    <row r="270" spans="1:217" s="10" customFormat="1" ht="12.75" customHeight="1" x14ac:dyDescent="0.2">
      <c r="B270" s="102" t="s">
        <v>514</v>
      </c>
      <c r="C270" s="206"/>
      <c r="D270" s="156"/>
      <c r="E270" s="206"/>
      <c r="F270" s="156"/>
      <c r="G270" s="206"/>
      <c r="H270" s="156"/>
      <c r="I270" s="206"/>
      <c r="J270" s="156"/>
      <c r="K270" s="206"/>
      <c r="L270" s="156"/>
      <c r="M270" s="206"/>
      <c r="N270" s="156"/>
      <c r="O270" s="206"/>
      <c r="P270" s="156"/>
      <c r="Q270" s="206"/>
      <c r="R270" s="156"/>
      <c r="S270" s="206"/>
      <c r="T270" s="156"/>
      <c r="U270" s="206"/>
      <c r="V270" s="156"/>
      <c r="W270" s="206"/>
      <c r="X270" s="156"/>
      <c r="Y270" s="206"/>
      <c r="Z270" s="156"/>
      <c r="AA270" s="206"/>
      <c r="AB270" s="156"/>
      <c r="AC270" s="206"/>
      <c r="AD270" s="156"/>
      <c r="AE270" s="206"/>
      <c r="AF270" s="156"/>
      <c r="AG270" s="206"/>
      <c r="AH270" s="156"/>
      <c r="AI270" s="206"/>
      <c r="AJ270" s="156"/>
      <c r="AK270" s="153"/>
      <c r="AL270" s="156"/>
      <c r="AM270" s="207"/>
      <c r="AN270" s="156"/>
      <c r="AO270" s="207"/>
      <c r="AP270" s="156"/>
      <c r="AQ270" s="207"/>
      <c r="AR270" s="156"/>
      <c r="AS270" s="207"/>
      <c r="AT270" s="156"/>
      <c r="AU270" s="207"/>
      <c r="AV270" s="156"/>
      <c r="AW270" s="207"/>
      <c r="AX270" s="156"/>
      <c r="AY270" s="173"/>
      <c r="AZ270" s="156"/>
      <c r="BA270" s="173"/>
      <c r="BB270" s="156"/>
      <c r="BC270" s="173"/>
      <c r="BD270" s="156"/>
      <c r="BE270" s="173"/>
      <c r="BF270" s="156"/>
      <c r="BG270" s="173"/>
      <c r="BH270" s="156"/>
      <c r="BI270" s="173"/>
      <c r="BJ270" s="156"/>
      <c r="BK270" s="173"/>
      <c r="BL270" s="156"/>
      <c r="BM270" s="173"/>
      <c r="BN270" s="98"/>
      <c r="BO270" s="122"/>
      <c r="BP270" s="98"/>
      <c r="BQ270" s="122"/>
      <c r="BR270" s="98"/>
      <c r="BS270" s="122"/>
      <c r="BT270" s="98"/>
      <c r="BU270" s="122"/>
      <c r="BV270" s="98"/>
      <c r="BW270" s="122"/>
      <c r="BX270" s="98"/>
      <c r="BY270" s="122"/>
      <c r="BZ270" s="98"/>
      <c r="CA270" s="122"/>
      <c r="CB270" s="98"/>
      <c r="CC270" s="122"/>
      <c r="CD270" s="98"/>
      <c r="CE270" s="122"/>
      <c r="CF270" s="98"/>
      <c r="CG270" s="122"/>
      <c r="CH270" s="98"/>
      <c r="CI270" s="122"/>
      <c r="CJ270" s="98"/>
      <c r="CK270" s="122"/>
      <c r="CL270" s="98"/>
      <c r="CM270" s="122"/>
      <c r="CN270" s="98"/>
      <c r="CO270" s="122"/>
      <c r="CP270" s="98"/>
      <c r="CQ270" s="547"/>
      <c r="CR270" s="98"/>
      <c r="CS270" s="122"/>
      <c r="CT270" s="98"/>
      <c r="CU270" s="122"/>
      <c r="CV270" s="98"/>
      <c r="CW270" s="122"/>
      <c r="CX270" s="98"/>
      <c r="CY270" s="122"/>
      <c r="CZ270" s="98"/>
      <c r="DA270" s="122"/>
      <c r="DB270" s="98"/>
      <c r="DC270" s="122"/>
      <c r="DD270" s="98"/>
      <c r="DE270" s="122"/>
      <c r="DF270" s="98"/>
      <c r="DG270" s="122"/>
      <c r="DH270" s="98"/>
      <c r="DI270" s="122"/>
      <c r="DJ270" s="98"/>
      <c r="DK270" s="122"/>
      <c r="DL270" s="98"/>
      <c r="DM270" s="122"/>
      <c r="DN270" s="98"/>
      <c r="DO270" s="122"/>
      <c r="DP270" s="98"/>
      <c r="DQ270" s="122"/>
      <c r="DR270" s="98"/>
      <c r="DS270" s="1003">
        <v>-16</v>
      </c>
      <c r="DT270" s="860"/>
      <c r="DU270" s="1003">
        <v>0</v>
      </c>
      <c r="DV270" s="860"/>
      <c r="DW270" s="1003">
        <f>-2+21</f>
        <v>19</v>
      </c>
      <c r="DX270" s="860"/>
      <c r="DY270" s="1003">
        <f>-3-9</f>
        <v>-12</v>
      </c>
      <c r="DZ270" s="860"/>
      <c r="EA270" s="1003">
        <f>-7-45</f>
        <v>-52</v>
      </c>
      <c r="EB270" s="860"/>
      <c r="EC270" s="1003">
        <v>-15</v>
      </c>
      <c r="ED270" s="98" t="str">
        <f t="shared" si="1457"/>
        <v>NA</v>
      </c>
      <c r="EE270" s="1003">
        <v>16.399999999999999</v>
      </c>
      <c r="EF270" s="860">
        <f t="shared" si="1458"/>
        <v>-13.684210526315798</v>
      </c>
      <c r="EG270" s="1003">
        <v>0</v>
      </c>
      <c r="EH270" s="860" t="str">
        <f t="shared" si="1459"/>
        <v>NM</v>
      </c>
      <c r="EI270" s="1003">
        <v>-43</v>
      </c>
      <c r="EJ270" s="860">
        <f t="shared" si="1460"/>
        <v>-17.307692307692314</v>
      </c>
      <c r="EK270" s="1003">
        <v>0</v>
      </c>
      <c r="EL270" s="860" t="str">
        <f t="shared" si="1461"/>
        <v>NM</v>
      </c>
      <c r="EM270" s="1003">
        <v>0</v>
      </c>
      <c r="EN270" s="860" t="str">
        <f t="shared" si="1462"/>
        <v>NM</v>
      </c>
      <c r="EO270" s="1003">
        <v>0</v>
      </c>
      <c r="EP270" s="98" t="str">
        <f t="shared" si="1463"/>
        <v>NA</v>
      </c>
      <c r="EQ270" s="1004">
        <v>0</v>
      </c>
      <c r="ER270" s="98" t="str">
        <f t="shared" si="1464"/>
        <v>NM</v>
      </c>
      <c r="ES270" s="1004">
        <v>0</v>
      </c>
      <c r="ET270" s="98" t="str">
        <f t="shared" si="1466"/>
        <v>NA</v>
      </c>
      <c r="EU270" s="1004">
        <v>0</v>
      </c>
      <c r="EV270" s="98" t="str">
        <f t="shared" si="1468"/>
        <v>NA</v>
      </c>
      <c r="EW270" s="1004">
        <v>0</v>
      </c>
      <c r="EX270" s="98" t="str">
        <f t="shared" si="1470"/>
        <v>NA</v>
      </c>
      <c r="EY270" s="221"/>
      <c r="EZ270" s="594"/>
      <c r="FA270" s="405"/>
      <c r="FB270" s="150"/>
      <c r="FC270" s="98"/>
      <c r="FD270" s="118"/>
      <c r="FE270" s="98"/>
      <c r="FF270" s="118"/>
      <c r="FG270" s="98"/>
      <c r="FH270" s="118"/>
      <c r="FI270" s="98"/>
      <c r="FJ270" s="118"/>
      <c r="FK270" s="98"/>
      <c r="FL270" s="118"/>
      <c r="FM270" s="98"/>
      <c r="FN270" s="118"/>
      <c r="FO270" s="98"/>
      <c r="FP270" s="118">
        <f>AQ270+AS270+AU270+AW270</f>
        <v>0</v>
      </c>
      <c r="FQ270" s="98" t="str">
        <f>IF(ISERROR((FP270/FH270-1)*100),"NA",IF(((FP270/FH270-1)*100)&gt;100,"NM",IF(((FP270/FH270-1)*100)&lt;-50,"NM",(FP270/FH270-1)*100)))</f>
        <v>NA</v>
      </c>
      <c r="FR270" s="232">
        <f>AY270+BA270+BC270+BE270</f>
        <v>0</v>
      </c>
      <c r="FS270" s="120" t="str">
        <f t="shared" si="1471"/>
        <v>NA</v>
      </c>
      <c r="FT270" s="232">
        <f>BG270+BI270+BK270+BM270</f>
        <v>0</v>
      </c>
      <c r="FU270" s="120" t="str">
        <f t="shared" si="1472"/>
        <v>NA</v>
      </c>
      <c r="FV270" s="232">
        <f>BO270+BQ270+BS270+BU270</f>
        <v>0</v>
      </c>
      <c r="FW270" s="98" t="str">
        <f t="shared" si="1473"/>
        <v>NA</v>
      </c>
      <c r="FX270" s="515">
        <f>BW270+BY270+CA270+CC270</f>
        <v>0</v>
      </c>
      <c r="FY270" s="98" t="str">
        <f t="shared" si="1474"/>
        <v>NA</v>
      </c>
      <c r="FZ270" s="160">
        <f>CE270+CG270+CI270+CK270</f>
        <v>0</v>
      </c>
      <c r="GA270" s="98" t="str">
        <f t="shared" si="1475"/>
        <v>NA</v>
      </c>
      <c r="GB270" s="495">
        <f>CM270+CO270+CQ270+CS270</f>
        <v>0</v>
      </c>
      <c r="GC270" s="98" t="str">
        <f t="shared" si="1476"/>
        <v>NA</v>
      </c>
      <c r="GD270" s="160">
        <f>CU270+CW270+CY270+DA270</f>
        <v>0</v>
      </c>
      <c r="GE270" s="98" t="str">
        <f t="shared" si="1477"/>
        <v>NA</v>
      </c>
      <c r="GF270" s="160">
        <f>DC270+DE270+DG270+DI270</f>
        <v>0</v>
      </c>
      <c r="GG270" s="98" t="str">
        <f t="shared" si="1478"/>
        <v>NA</v>
      </c>
      <c r="GH270" s="160">
        <f>DK270+DM270+DO270+DQ270</f>
        <v>0</v>
      </c>
      <c r="GI270" s="98" t="str">
        <f t="shared" si="1479"/>
        <v>NA</v>
      </c>
      <c r="GJ270" s="792">
        <f>DS270+DU270+DW270+DY270</f>
        <v>-9</v>
      </c>
      <c r="GK270" s="792" t="str">
        <f t="shared" si="1480"/>
        <v>NA</v>
      </c>
      <c r="GL270" s="792">
        <f>EA270+EC270+EE270+EG270</f>
        <v>-50.6</v>
      </c>
      <c r="GM270" s="98" t="str">
        <f t="shared" si="1481"/>
        <v>NM</v>
      </c>
      <c r="GN270" s="160">
        <f>EI270+EK270+EM270+EO270</f>
        <v>-43</v>
      </c>
      <c r="GO270" s="98">
        <f t="shared" si="1481"/>
        <v>-15.019762845849804</v>
      </c>
      <c r="GP270" s="160">
        <f>EQ270+ES270+EU270+EW270</f>
        <v>0</v>
      </c>
      <c r="GQ270" s="98" t="str">
        <f t="shared" si="1481"/>
        <v>NM</v>
      </c>
      <c r="GR270" s="221">
        <v>0</v>
      </c>
      <c r="GS270" s="98" t="str">
        <f t="shared" si="1481"/>
        <v>NA</v>
      </c>
      <c r="GT270" s="221">
        <v>0</v>
      </c>
      <c r="GU270" s="98" t="str">
        <f t="shared" si="1481"/>
        <v>NA</v>
      </c>
      <c r="GV270" s="221">
        <v>0</v>
      </c>
      <c r="GW270" s="98" t="str">
        <f t="shared" si="1481"/>
        <v>NA</v>
      </c>
      <c r="GX270" s="221">
        <v>0</v>
      </c>
      <c r="GY270" s="98" t="str">
        <f t="shared" si="1482"/>
        <v>NA</v>
      </c>
      <c r="GZ270" s="98" t="str">
        <f t="shared" si="1483"/>
        <v>NM</v>
      </c>
      <c r="HA270" s="98"/>
      <c r="HC270"/>
      <c r="HD270"/>
      <c r="HE270"/>
      <c r="HF270"/>
      <c r="HG270"/>
      <c r="HH270"/>
    </row>
    <row r="271" spans="1:217" s="10" customFormat="1" ht="12.75" customHeight="1" x14ac:dyDescent="0.2">
      <c r="B271" s="208" t="s">
        <v>570</v>
      </c>
      <c r="C271" s="203">
        <f>C269-C270</f>
        <v>-18.724501758499414</v>
      </c>
      <c r="D271" s="156"/>
      <c r="E271" s="203">
        <f>E269-E270</f>
        <v>-19.010615711252655</v>
      </c>
      <c r="F271" s="156"/>
      <c r="G271" s="203">
        <f>G269-G270</f>
        <v>-18.770139634801289</v>
      </c>
      <c r="H271" s="156"/>
      <c r="I271" s="203">
        <f>I269-I270</f>
        <v>-21.732855680655067</v>
      </c>
      <c r="J271" s="156"/>
      <c r="K271" s="203"/>
      <c r="L271" s="156"/>
      <c r="M271" s="203"/>
      <c r="N271" s="156"/>
      <c r="O271" s="203"/>
      <c r="P271" s="156"/>
      <c r="Q271" s="203"/>
      <c r="R271" s="156"/>
      <c r="S271" s="203"/>
      <c r="T271" s="156"/>
      <c r="U271" s="203"/>
      <c r="V271" s="156"/>
      <c r="W271" s="203"/>
      <c r="X271" s="156"/>
      <c r="Y271" s="203"/>
      <c r="Z271" s="156"/>
      <c r="AA271" s="203"/>
      <c r="AB271" s="156"/>
      <c r="AC271" s="203"/>
      <c r="AD271" s="156"/>
      <c r="AE271" s="203"/>
      <c r="AF271" s="156"/>
      <c r="AG271" s="203"/>
      <c r="AH271" s="156"/>
      <c r="AI271" s="203"/>
      <c r="AJ271" s="156"/>
      <c r="AK271" s="203"/>
      <c r="AL271" s="156"/>
      <c r="AM271" s="203"/>
      <c r="AN271" s="156"/>
      <c r="AO271" s="203"/>
      <c r="AP271" s="156"/>
      <c r="AQ271" s="203"/>
      <c r="AR271" s="156"/>
      <c r="AS271" s="203"/>
      <c r="AT271" s="156"/>
      <c r="AU271" s="203"/>
      <c r="AV271" s="156"/>
      <c r="AW271" s="203"/>
      <c r="AX271" s="156"/>
      <c r="AY271" s="269"/>
      <c r="AZ271" s="156"/>
      <c r="BA271" s="269"/>
      <c r="BB271" s="156"/>
      <c r="BC271" s="269"/>
      <c r="BD271" s="156"/>
      <c r="BE271" s="269"/>
      <c r="BF271" s="156"/>
      <c r="BG271" s="269"/>
      <c r="BH271" s="156"/>
      <c r="BI271" s="269"/>
      <c r="BJ271" s="156"/>
      <c r="BK271" s="269"/>
      <c r="BL271" s="156"/>
      <c r="BM271" s="269"/>
      <c r="BN271" s="98"/>
      <c r="BO271" s="271"/>
      <c r="BP271" s="98"/>
      <c r="BQ271" s="271"/>
      <c r="BR271" s="98"/>
      <c r="BS271" s="271"/>
      <c r="BT271" s="98"/>
      <c r="BU271" s="271"/>
      <c r="BV271" s="98"/>
      <c r="BW271" s="271"/>
      <c r="BX271" s="98"/>
      <c r="BY271" s="271"/>
      <c r="BZ271" s="98"/>
      <c r="CA271" s="271"/>
      <c r="CB271" s="98"/>
      <c r="CC271" s="271"/>
      <c r="CD271" s="98"/>
      <c r="CE271" s="271"/>
      <c r="CF271" s="98"/>
      <c r="CG271" s="271"/>
      <c r="CH271" s="98"/>
      <c r="CI271" s="271"/>
      <c r="CJ271" s="98"/>
      <c r="CK271" s="271"/>
      <c r="CL271" s="98"/>
      <c r="CM271" s="271"/>
      <c r="CN271" s="98"/>
      <c r="CO271" s="271"/>
      <c r="CP271" s="98"/>
      <c r="CQ271" s="560"/>
      <c r="CR271" s="98"/>
      <c r="CS271" s="271"/>
      <c r="CT271" s="98"/>
      <c r="CU271" s="271"/>
      <c r="CV271" s="98"/>
      <c r="CW271" s="271"/>
      <c r="CX271" s="98"/>
      <c r="CY271" s="271"/>
      <c r="CZ271" s="98"/>
      <c r="DA271" s="271"/>
      <c r="DB271" s="98"/>
      <c r="DC271" s="271"/>
      <c r="DD271" s="98"/>
      <c r="DE271" s="271"/>
      <c r="DF271" s="98"/>
      <c r="DG271" s="271"/>
      <c r="DH271" s="98"/>
      <c r="DI271" s="271"/>
      <c r="DJ271" s="98"/>
      <c r="DK271" s="271"/>
      <c r="DL271" s="98"/>
      <c r="DM271" s="271"/>
      <c r="DN271" s="98"/>
      <c r="DO271" s="271"/>
      <c r="DP271" s="98"/>
      <c r="DQ271" s="271"/>
      <c r="DR271" s="98"/>
      <c r="DS271" s="271">
        <f>DS269-DS270</f>
        <v>81</v>
      </c>
      <c r="DT271" s="98" t="str">
        <f t="shared" si="1452"/>
        <v>NA</v>
      </c>
      <c r="DU271" s="271">
        <f>DU269-DU270</f>
        <v>47</v>
      </c>
      <c r="DV271" s="98" t="str">
        <f t="shared" si="1453"/>
        <v>NA</v>
      </c>
      <c r="DW271" s="271">
        <f>DW269-DW270</f>
        <v>48</v>
      </c>
      <c r="DX271" s="98" t="str">
        <f t="shared" si="1454"/>
        <v>NA</v>
      </c>
      <c r="DY271" s="271">
        <f>DY269-DY270</f>
        <v>56</v>
      </c>
      <c r="DZ271" s="98" t="str">
        <f t="shared" si="1455"/>
        <v>NA</v>
      </c>
      <c r="EA271" s="271">
        <f>EA269-EA270</f>
        <v>74</v>
      </c>
      <c r="EB271" s="98">
        <f t="shared" si="1456"/>
        <v>-8.6419753086419799</v>
      </c>
      <c r="EC271" s="271">
        <f>EC269-EC270</f>
        <v>13</v>
      </c>
      <c r="ED271" s="98" t="str">
        <f t="shared" si="1457"/>
        <v>NM</v>
      </c>
      <c r="EE271" s="271">
        <f>EE269-EE270</f>
        <v>41.6</v>
      </c>
      <c r="EF271" s="860">
        <f t="shared" si="1458"/>
        <v>-13.33333333333333</v>
      </c>
      <c r="EG271" s="271">
        <f>EG269-EG270</f>
        <v>43</v>
      </c>
      <c r="EH271" s="860">
        <f t="shared" si="1459"/>
        <v>-23.214285714285708</v>
      </c>
      <c r="EI271" s="271">
        <f>EI269-EI270</f>
        <v>72</v>
      </c>
      <c r="EJ271" s="860">
        <f t="shared" si="1460"/>
        <v>-2.7027027027026973</v>
      </c>
      <c r="EK271" s="271">
        <f>EK269-EK270</f>
        <v>28</v>
      </c>
      <c r="EL271" s="860" t="str">
        <f t="shared" si="1461"/>
        <v>NM</v>
      </c>
      <c r="EM271" s="271">
        <f>EM269-EM270</f>
        <v>51</v>
      </c>
      <c r="EN271" s="860">
        <f t="shared" si="1462"/>
        <v>22.596153846153832</v>
      </c>
      <c r="EO271" s="271">
        <f>EO269-EO270</f>
        <v>95</v>
      </c>
      <c r="EP271" s="98" t="str">
        <f t="shared" si="1463"/>
        <v>NM</v>
      </c>
      <c r="EQ271" s="271">
        <f>EQ269-EQ270</f>
        <v>55.516450700000007</v>
      </c>
      <c r="ER271" s="98">
        <f t="shared" si="1464"/>
        <v>-22.893818472222215</v>
      </c>
      <c r="ES271" s="271">
        <f t="shared" ref="ES271" si="1495">ES269-ES270</f>
        <v>51.577121032325117</v>
      </c>
      <c r="ET271" s="98">
        <f t="shared" si="1466"/>
        <v>84.20400368687541</v>
      </c>
      <c r="EU271" s="271">
        <f t="shared" ref="EU271" si="1496">EU269-EU270</f>
        <v>55.969680318939638</v>
      </c>
      <c r="EV271" s="98">
        <f t="shared" si="1468"/>
        <v>9.744471213607131</v>
      </c>
      <c r="EW271" s="271">
        <f t="shared" ref="EW271" si="1497">EW269-EW270</f>
        <v>101.56161385684511</v>
      </c>
      <c r="EX271" s="98">
        <f t="shared" si="1470"/>
        <v>6.9069619545738092</v>
      </c>
      <c r="EY271" s="204"/>
      <c r="EZ271" s="594"/>
      <c r="FA271" s="405"/>
      <c r="FB271" s="150"/>
      <c r="FC271" s="98"/>
      <c r="FD271" s="204">
        <f>FD269-FD270</f>
        <v>2736</v>
      </c>
      <c r="FE271" s="98" t="str">
        <f>IF(ISERROR((FD271/FB271-1)*100),"NA",IF(((FD271/FB271-1)*100)&gt;100,"NM",IF(((FD271/FB271-1)*100)&lt;-50,"NM",(FD271/FB271-1)*100)))</f>
        <v>NA</v>
      </c>
      <c r="FF271" s="204">
        <f>FF269-FF270</f>
        <v>3019</v>
      </c>
      <c r="FG271" s="98">
        <f>IF(ISERROR((FF271/FD271-1)*100),"NA",IF(((FF271/FD271-1)*100)&gt;100,"NM",IF(((FF271/FD271-1)*100)&lt;-50,"NM",(FF271/FD271-1)*100)))</f>
        <v>10.343567251461995</v>
      </c>
      <c r="FH271" s="204">
        <f>FH269-FH270</f>
        <v>0</v>
      </c>
      <c r="FI271" s="98" t="str">
        <f>IF(ISERROR((FH271/FF271-1)*100),"NA",IF(((FH271/FF271-1)*100)&gt;100,"NM",IF(((FH271/FF271-1)*100)&lt;-50,"NM",(FH271/FF271-1)*100)))</f>
        <v>NM</v>
      </c>
      <c r="FJ271" s="204">
        <f>FJ269-FJ270</f>
        <v>0</v>
      </c>
      <c r="FK271" s="98" t="str">
        <f>IF(ISERROR((FJ271/FH271-1)*100),"NA",IF(((FJ271/FH271-1)*100)&gt;100,"NM",IF(((FJ271/FH271-1)*100)&lt;-50,"NM",(FJ271/FH271-1)*100)))</f>
        <v>NA</v>
      </c>
      <c r="FL271" s="204">
        <f>FL269-FL270</f>
        <v>0</v>
      </c>
      <c r="FM271" s="98" t="str">
        <f>IF(ISERROR((FL271/FJ271-1)*100),"NA",IF(((FL271/FJ271-1)*100)&gt;100,"NM",IF(((FL271/FJ271-1)*100)&lt;-50,"NM",(FL271/FJ271-1)*100)))</f>
        <v>NA</v>
      </c>
      <c r="FN271" s="204">
        <f>FN269-FN270</f>
        <v>0</v>
      </c>
      <c r="FO271" s="98" t="str">
        <f>IF(ISERROR((FN271/FL271-1)*100),"NA",IF(((FN271/FL271-1)*100)&gt;100,"NM",IF(((FN271/FL271-1)*100)&lt;-50,"NM",(FN271/FL271-1)*100)))</f>
        <v>NA</v>
      </c>
      <c r="FP271" s="204">
        <f>FP269-FP270</f>
        <v>0</v>
      </c>
      <c r="FQ271" s="98" t="str">
        <f>IF(ISERROR((FP271/FN271-1)*100),"NA",IF(((FP271/FN271-1)*100)&gt;100,"NM",IF(((FP271/FN271-1)*100)&lt;-50,"NM",(FP271/FN271-1)*100)))</f>
        <v>NA</v>
      </c>
      <c r="FR271" s="204">
        <f>FR269-FR270</f>
        <v>0</v>
      </c>
      <c r="FS271" s="120" t="str">
        <f t="shared" si="1471"/>
        <v>NA</v>
      </c>
      <c r="FT271" s="204">
        <f>FT269-FT270</f>
        <v>0</v>
      </c>
      <c r="FU271" s="120" t="str">
        <f t="shared" si="1472"/>
        <v>NA</v>
      </c>
      <c r="FV271" s="204">
        <f>FV269-FV270</f>
        <v>2984</v>
      </c>
      <c r="FW271" s="98" t="str">
        <f t="shared" si="1473"/>
        <v>NA</v>
      </c>
      <c r="FX271" s="505">
        <f>FX269-FX270</f>
        <v>0</v>
      </c>
      <c r="FY271" s="98" t="str">
        <f t="shared" si="1474"/>
        <v>NM</v>
      </c>
      <c r="FZ271" s="204">
        <f>FZ269-FZ270</f>
        <v>0</v>
      </c>
      <c r="GA271" s="98" t="str">
        <f t="shared" si="1475"/>
        <v>NA</v>
      </c>
      <c r="GB271" s="505">
        <f>GB269-GB270</f>
        <v>0</v>
      </c>
      <c r="GC271" s="98" t="str">
        <f t="shared" si="1476"/>
        <v>NA</v>
      </c>
      <c r="GD271" s="204">
        <f>GD269-GD270</f>
        <v>0</v>
      </c>
      <c r="GE271" s="98" t="str">
        <f t="shared" si="1477"/>
        <v>NA</v>
      </c>
      <c r="GF271" s="204">
        <f>GF269-GF270</f>
        <v>14.529339167508134</v>
      </c>
      <c r="GG271" s="98" t="str">
        <f t="shared" si="1478"/>
        <v>NA</v>
      </c>
      <c r="GH271" s="204">
        <f>GH269-GH270</f>
        <v>16.265060240963855</v>
      </c>
      <c r="GI271" s="98">
        <f t="shared" si="1479"/>
        <v>11.946318090896412</v>
      </c>
      <c r="GJ271" s="271">
        <f>GJ269-GJ270</f>
        <v>232</v>
      </c>
      <c r="GK271" s="98" t="str">
        <f t="shared" si="1480"/>
        <v>NM</v>
      </c>
      <c r="GL271" s="271">
        <f>GL269-GL270</f>
        <v>171.6</v>
      </c>
      <c r="GM271" s="98">
        <f t="shared" si="1481"/>
        <v>-26.03448275862069</v>
      </c>
      <c r="GN271" s="271">
        <f>GN269-GN270</f>
        <v>246</v>
      </c>
      <c r="GO271" s="98">
        <f t="shared" si="1481"/>
        <v>43.356643356643353</v>
      </c>
      <c r="GP271" s="271">
        <f>GP269-GP270</f>
        <v>264.62486590810988</v>
      </c>
      <c r="GQ271" s="98">
        <f t="shared" si="1481"/>
        <v>7.5710837024836941</v>
      </c>
      <c r="GR271" s="271">
        <f>GR269-GR270</f>
        <v>301.1523759579602</v>
      </c>
      <c r="GS271" s="98">
        <f t="shared" si="1481"/>
        <v>13.803506304858892</v>
      </c>
      <c r="GT271" s="271">
        <f>GT269-GT270</f>
        <v>323.85011480374055</v>
      </c>
      <c r="GU271" s="98">
        <f t="shared" si="1481"/>
        <v>7.5369615708922311</v>
      </c>
      <c r="GV271" s="271">
        <f>GV269-GV270</f>
        <v>345.37315680898166</v>
      </c>
      <c r="GW271" s="98">
        <f t="shared" si="1481"/>
        <v>6.6459886908746268</v>
      </c>
      <c r="GX271" s="271">
        <f>GX269-GX270</f>
        <v>362.37725109919432</v>
      </c>
      <c r="GY271" s="98">
        <f t="shared" si="1482"/>
        <v>4.9233977670179119</v>
      </c>
      <c r="GZ271" s="98">
        <f t="shared" si="1483"/>
        <v>8.0550736833038918</v>
      </c>
      <c r="HA271" s="98"/>
      <c r="HC271"/>
      <c r="HD271"/>
      <c r="HE271"/>
      <c r="HF271"/>
      <c r="HG271"/>
      <c r="HH271"/>
    </row>
    <row r="272" spans="1:217" s="210" customFormat="1" ht="12.75" customHeight="1" x14ac:dyDescent="0.2">
      <c r="B272" s="209" t="s">
        <v>138</v>
      </c>
      <c r="C272" s="155">
        <f>C266-(+C270)/0.65</f>
        <v>5.2754982415005864</v>
      </c>
      <c r="D272" s="156"/>
      <c r="E272" s="155">
        <f>E266-(+E270)/0.65</f>
        <v>4.9893842887473463</v>
      </c>
      <c r="F272" s="156"/>
      <c r="G272" s="155">
        <f>G266-(+G270)/0.65</f>
        <v>6.2298603651987108</v>
      </c>
      <c r="H272" s="156"/>
      <c r="I272" s="155">
        <f>I266-(+I270)/0.65</f>
        <v>7.2671443193449328</v>
      </c>
      <c r="J272" s="156"/>
      <c r="K272" s="155"/>
      <c r="L272" s="156"/>
      <c r="M272" s="155"/>
      <c r="N272" s="156"/>
      <c r="O272" s="155"/>
      <c r="P272" s="156"/>
      <c r="Q272" s="155"/>
      <c r="R272" s="156"/>
      <c r="S272" s="155"/>
      <c r="T272" s="156"/>
      <c r="U272" s="155"/>
      <c r="V272" s="156"/>
      <c r="W272" s="155"/>
      <c r="X272" s="156"/>
      <c r="Y272" s="155"/>
      <c r="Z272" s="156"/>
      <c r="AA272" s="155"/>
      <c r="AB272" s="156"/>
      <c r="AC272" s="155"/>
      <c r="AD272" s="156"/>
      <c r="AE272" s="155"/>
      <c r="AF272" s="156"/>
      <c r="AG272" s="155"/>
      <c r="AH272" s="156"/>
      <c r="AI272" s="155"/>
      <c r="AJ272" s="156"/>
      <c r="AK272" s="155"/>
      <c r="AL272" s="156"/>
      <c r="AM272" s="155"/>
      <c r="AN272" s="156"/>
      <c r="AO272" s="155"/>
      <c r="AP272" s="156"/>
      <c r="AQ272" s="155"/>
      <c r="AR272" s="156"/>
      <c r="AS272" s="155"/>
      <c r="AT272" s="156"/>
      <c r="AU272" s="155"/>
      <c r="AV272" s="156"/>
      <c r="AW272" s="155"/>
      <c r="AX272" s="156"/>
      <c r="AY272" s="155"/>
      <c r="AZ272" s="156"/>
      <c r="BA272" s="155"/>
      <c r="BB272" s="156"/>
      <c r="BC272" s="155"/>
      <c r="BD272" s="156"/>
      <c r="BE272" s="155"/>
      <c r="BF272" s="156"/>
      <c r="BG272" s="155"/>
      <c r="BH272" s="156"/>
      <c r="BI272" s="155"/>
      <c r="BJ272" s="156"/>
      <c r="BK272" s="155"/>
      <c r="BL272" s="156"/>
      <c r="BM272" s="155"/>
      <c r="BN272" s="98"/>
      <c r="BO272" s="117"/>
      <c r="BP272" s="98"/>
      <c r="BQ272" s="117"/>
      <c r="BR272" s="98"/>
      <c r="BS272" s="117"/>
      <c r="BT272" s="98"/>
      <c r="BU272" s="117"/>
      <c r="BV272" s="98"/>
      <c r="BW272" s="117"/>
      <c r="BX272" s="98"/>
      <c r="BY272" s="117"/>
      <c r="BZ272" s="98"/>
      <c r="CA272" s="117"/>
      <c r="CB272" s="98"/>
      <c r="CC272" s="117"/>
      <c r="CD272" s="98"/>
      <c r="CE272" s="117"/>
      <c r="CF272" s="98"/>
      <c r="CG272" s="117"/>
      <c r="CH272" s="98"/>
      <c r="CI272" s="117"/>
      <c r="CJ272" s="98"/>
      <c r="CK272" s="117"/>
      <c r="CL272" s="98"/>
      <c r="CM272" s="117"/>
      <c r="CN272" s="98"/>
      <c r="CO272" s="117"/>
      <c r="CP272" s="98"/>
      <c r="CQ272" s="486"/>
      <c r="CR272" s="98"/>
      <c r="CS272" s="117"/>
      <c r="CT272" s="98"/>
      <c r="CU272" s="117"/>
      <c r="CV272" s="98"/>
      <c r="CW272" s="117"/>
      <c r="CX272" s="98"/>
      <c r="CY272" s="117"/>
      <c r="CZ272" s="98"/>
      <c r="DA272" s="117"/>
      <c r="DB272" s="98"/>
      <c r="DC272" s="117"/>
      <c r="DD272" s="98"/>
      <c r="DE272" s="117"/>
      <c r="DF272" s="98"/>
      <c r="DG272" s="117"/>
      <c r="DH272" s="98"/>
      <c r="DI272" s="117"/>
      <c r="DJ272" s="98"/>
      <c r="DK272" s="117"/>
      <c r="DL272" s="98"/>
      <c r="DM272" s="117"/>
      <c r="DN272" s="98"/>
      <c r="DO272" s="117"/>
      <c r="DP272" s="98"/>
      <c r="DQ272" s="117"/>
      <c r="DR272" s="98"/>
      <c r="DS272" s="117">
        <f>DS266-(+DS270)/0.65</f>
        <v>106.61538461538461</v>
      </c>
      <c r="DT272" s="98" t="str">
        <f t="shared" si="1452"/>
        <v>NA</v>
      </c>
      <c r="DU272" s="117">
        <f>DU266-(+DU270)/0.65</f>
        <v>50</v>
      </c>
      <c r="DV272" s="98" t="str">
        <f t="shared" si="1453"/>
        <v>NA</v>
      </c>
      <c r="DW272" s="117">
        <f>DW266-(+DW270)/0.65</f>
        <v>57.769230769230774</v>
      </c>
      <c r="DX272" s="98" t="str">
        <f t="shared" si="1454"/>
        <v>NA</v>
      </c>
      <c r="DY272" s="117">
        <f>DY266-(+DY270)/0.65</f>
        <v>67.461538461538453</v>
      </c>
      <c r="DZ272" s="98" t="str">
        <f t="shared" si="1455"/>
        <v>NA</v>
      </c>
      <c r="EA272" s="117">
        <f>EA266-(+EA270)/0.65</f>
        <v>96</v>
      </c>
      <c r="EB272" s="98">
        <f t="shared" si="1456"/>
        <v>-9.9567099567099522</v>
      </c>
      <c r="EC272" s="117">
        <f>EC266-(+EC270)/0.65</f>
        <v>2.0769230769230766</v>
      </c>
      <c r="ED272" s="98" t="str">
        <f t="shared" si="1457"/>
        <v>NM</v>
      </c>
      <c r="EE272" s="117">
        <f>EE266-(+EE270)/0.65</f>
        <v>46.769230769230774</v>
      </c>
      <c r="EF272" s="860">
        <f t="shared" si="1458"/>
        <v>-19.041278295605856</v>
      </c>
      <c r="EG272" s="117">
        <f>EG266-(+EG270)/0.65</f>
        <v>49</v>
      </c>
      <c r="EH272" s="860">
        <f t="shared" si="1459"/>
        <v>-27.366020524515388</v>
      </c>
      <c r="EI272" s="117">
        <f>EI266-(+EI270)/0.65</f>
        <v>94.153846153846146</v>
      </c>
      <c r="EJ272" s="860">
        <f t="shared" si="1460"/>
        <v>-1.9230769230769273</v>
      </c>
      <c r="EK272" s="117">
        <f>EK266-(+EK270)/0.65</f>
        <v>26</v>
      </c>
      <c r="EL272" s="860" t="str">
        <f t="shared" si="1461"/>
        <v>NM</v>
      </c>
      <c r="EM272" s="117">
        <f>EM266-(+EM270)/0.65</f>
        <v>63</v>
      </c>
      <c r="EN272" s="860">
        <f t="shared" si="1462"/>
        <v>34.703947368421041</v>
      </c>
      <c r="EO272" s="117">
        <f>EO266-(+EO270)/0.65</f>
        <v>133</v>
      </c>
      <c r="EP272" s="98" t="str">
        <f t="shared" si="1463"/>
        <v>NM</v>
      </c>
      <c r="EQ272" s="117">
        <f>EQ266-(+EQ270)/0.65</f>
        <v>66.887290000000007</v>
      </c>
      <c r="ER272" s="98">
        <f t="shared" si="1464"/>
        <v>-28.959577614379072</v>
      </c>
      <c r="ES272" s="117">
        <f t="shared" ref="ES272" si="1498">ES266-(+ES270)/0.65</f>
        <v>62.14110967750014</v>
      </c>
      <c r="ET272" s="98" t="str">
        <f t="shared" si="1466"/>
        <v>NM</v>
      </c>
      <c r="EU272" s="117">
        <f t="shared" ref="EU272" si="1499">EU266-(+EU270)/0.65</f>
        <v>67.433349781854986</v>
      </c>
      <c r="EV272" s="98">
        <f t="shared" si="1468"/>
        <v>7.0370631458015698</v>
      </c>
      <c r="EW272" s="117">
        <f t="shared" ref="EW272" si="1500">EW266-(+EW270)/0.65</f>
        <v>122.36339018897002</v>
      </c>
      <c r="EX272" s="98">
        <f t="shared" si="1470"/>
        <v>-7.9974509857368314</v>
      </c>
      <c r="EY272" s="118"/>
      <c r="EZ272" s="598"/>
      <c r="FA272" s="409"/>
      <c r="FB272" s="118">
        <f>FB266-(+FB270)/0.65</f>
        <v>3072</v>
      </c>
      <c r="FC272" s="98"/>
      <c r="FD272" s="118">
        <f>FD266-(+FD270)/0.65</f>
        <v>2875</v>
      </c>
      <c r="FE272" s="98">
        <f>IF(ISERROR((FD272/FB272-1)*100),"NA",IF(((FD272/FB272-1)*100)&gt;100,"NM",IF(((FD272/FB272-1)*100)&lt;-50,"NM",(FD272/FB272-1)*100)))</f>
        <v>-6.4127604166666625</v>
      </c>
      <c r="FF272" s="118">
        <f>FF266-(+FF270)/0.65</f>
        <v>3121</v>
      </c>
      <c r="FG272" s="98">
        <f>IF(ISERROR((FF272/FD272-1)*100),"NA",IF(((FF272/FD272-1)*100)&gt;100,"NM",IF(((FF272/FD272-1)*100)&lt;-50,"NM",(FF272/FD272-1)*100)))</f>
        <v>8.5565217391304405</v>
      </c>
      <c r="FH272" s="118">
        <f>FH266-(+FH270)/0.65</f>
        <v>0</v>
      </c>
      <c r="FI272" s="98" t="str">
        <f>IF(ISERROR((FH272/FF272-1)*100),"NA",IF(((FH272/FF272-1)*100)&gt;100,"NM",IF(((FH272/FF272-1)*100)&lt;-50,"NM",(FH272/FF272-1)*100)))</f>
        <v>NM</v>
      </c>
      <c r="FJ272" s="118">
        <f>FJ266-(+FJ270)/0.65</f>
        <v>0</v>
      </c>
      <c r="FK272" s="98" t="str">
        <f>IF(ISERROR((FJ272/FH272-1)*100),"NA",IF(((FJ272/FH272-1)*100)&gt;100,"NM",IF(((FJ272/FH272-1)*100)&lt;-50,"NM",(FJ272/FH272-1)*100)))</f>
        <v>NA</v>
      </c>
      <c r="FL272" s="118">
        <f>FL266-(+FL270)/0.65</f>
        <v>0</v>
      </c>
      <c r="FM272" s="98" t="str">
        <f>IF(ISERROR((FL272/FJ272-1)*100),"NA",IF(((FL272/FJ272-1)*100)&gt;100,"NM",IF(((FL272/FJ272-1)*100)&lt;-50,"NM",(FL272/FJ272-1)*100)))</f>
        <v>NA</v>
      </c>
      <c r="FN272" s="118">
        <f>FN266-(+FN270)/0.65</f>
        <v>0</v>
      </c>
      <c r="FO272" s="98" t="str">
        <f>IF(ISERROR((FN272/FL272-1)*100),"NA",IF(((FN272/FL272-1)*100)&gt;100,"NM",IF(((FN272/FL272-1)*100)&lt;-50,"NM",(FN272/FL272-1)*100)))</f>
        <v>NA</v>
      </c>
      <c r="FP272" s="118">
        <f>FP266-(+FP270)/0.65</f>
        <v>0</v>
      </c>
      <c r="FQ272" s="98" t="str">
        <f>IF(ISERROR((FP272/FN272-1)*100),"NA",IF(((FP272/FN272-1)*100)&gt;100,"NM",IF(((FP272/FN272-1)*100)&lt;-50,"NM",(FP272/FN272-1)*100)))</f>
        <v>NA</v>
      </c>
      <c r="FR272" s="118">
        <f>FR266-(+FR270)/0.65</f>
        <v>0</v>
      </c>
      <c r="FS272" s="98" t="str">
        <f>IF(ISERROR((FR272/FP272-1)*100),"NA",IF(((FR272/FP272-1)*100)&gt;100,"NM",IF(((FR272/FP272-1)*100)&lt;-50,"NM",(FR272/FP272-1)*100)))</f>
        <v>NA</v>
      </c>
      <c r="FT272" s="118">
        <f>FT266-(+FT270)/0.65</f>
        <v>0</v>
      </c>
      <c r="FU272" s="98" t="str">
        <f>IF(ISERROR((FT272/FR272-1)*100),"NA",IF(((FT272/FR272-1)*100)&gt;100,"NM",IF(((FT272/FR272-1)*100)&lt;-50,"NM",(FT272/FR272-1)*100)))</f>
        <v>NA</v>
      </c>
      <c r="FV272" s="119">
        <f>FV266-(+FV270)/0.65</f>
        <v>3450</v>
      </c>
      <c r="FW272" s="98" t="str">
        <f>IF(ISERROR((FV272/FT272-1)*100),"NA",IF(((FV272/FT272-1)*100)&gt;100,"NM",IF(((FV272/FT272-1)*100)&lt;-50,"NM",(FV272/FT272-1)*100)))</f>
        <v>NA</v>
      </c>
      <c r="FX272" s="485">
        <f>FX266-(+FX270)/0.65</f>
        <v>0</v>
      </c>
      <c r="FY272" s="98" t="str">
        <f>IF(ISERROR((FX272/FV272-1)*100),"NA",IF(((FX272/FV272-1)*100)&gt;100,"NM",IF(((FX272/FV272-1)*100)&lt;-50,"NM",(FX272/FV272-1)*100)))</f>
        <v>NM</v>
      </c>
      <c r="FZ272" s="119">
        <f>FZ266-(+FZ270)/0.65</f>
        <v>0</v>
      </c>
      <c r="GA272" s="98" t="str">
        <f>IF(ISERROR((FZ272/FX272-1)*100),"NA",IF(((FZ272/FX272-1)*100)&gt;100,"NM",IF(((FZ272/FX272-1)*100)&lt;-50,"NM",(FZ272/FX272-1)*100)))</f>
        <v>NA</v>
      </c>
      <c r="GB272" s="485">
        <f>GB266-(+GB270)/0.65</f>
        <v>0</v>
      </c>
      <c r="GC272" s="98" t="str">
        <f>IF(ISERROR((GB272/FZ272-1)*100),"NA",IF(((GB272/FZ272-1)*100)&gt;100,"NM",IF(((GB272/FZ272-1)*100)&lt;-50,"NM",(GB272/FZ272-1)*100)))</f>
        <v>NA</v>
      </c>
      <c r="GD272" s="119">
        <f>GD266-(+GD270)/0.65</f>
        <v>0</v>
      </c>
      <c r="GE272" s="98" t="str">
        <f>IF(ISERROR((GD272/GB272-1)*100),"NA",IF(((GD272/GB272-1)*100)&gt;100,"NM",IF(((GD272/GB272-1)*100)&lt;-50,"NM",(GD272/GB272-1)*100)))</f>
        <v>NA</v>
      </c>
      <c r="GF272" s="119">
        <f>GF266-(+GF270)/0.65</f>
        <v>14.529339167508134</v>
      </c>
      <c r="GG272" s="98" t="str">
        <f>IF(ISERROR((GF272/GD272-1)*100),"NA",IF(((GF272/GD272-1)*100)&gt;100,"NM",IF(((GF272/GD272-1)*100)&lt;-50,"NM",(GF272/GD272-1)*100)))</f>
        <v>NA</v>
      </c>
      <c r="GH272" s="119">
        <f>GH266-(+GH270)/0.65</f>
        <v>16.265060240963855</v>
      </c>
      <c r="GI272" s="98">
        <f>IF(ISERROR((GH272/GF272-1)*100),"NA",IF(((GH272/GF272-1)*100)&gt;100,"NM",IF(((GH272/GF272-1)*100)&lt;-50,"NM",(GH272/GF272-1)*100)))</f>
        <v>11.946318090896412</v>
      </c>
      <c r="GJ272" s="117">
        <f>GJ266-(+GJ270)/0.65</f>
        <v>281.84615384615387</v>
      </c>
      <c r="GK272" s="98" t="str">
        <f>IF(ISERROR((GJ272/GH272-1)*100),"NA",IF(((GJ272/GH272-1)*100)&gt;100,"NM",IF(((GJ272/GH272-1)*100)&lt;-50,"NM",(GJ272/GH272-1)*100)))</f>
        <v>NM</v>
      </c>
      <c r="GL272" s="117">
        <f>GL266-(+GL270)/0.65</f>
        <v>193.84615384615384</v>
      </c>
      <c r="GM272" s="98">
        <f>IF(ISERROR((GL272/GJ272-1)*100),"NA",IF(((GL272/GJ272-1)*100)&gt;100,"NM",IF(((GL272/GJ272-1)*100)&lt;-50,"NM",(GL272/GJ272-1)*100)))</f>
        <v>-31.222707423580797</v>
      </c>
      <c r="GN272" s="117">
        <f>GN266-(+GN270)/0.65</f>
        <v>316.15384615384613</v>
      </c>
      <c r="GO272" s="98">
        <f>IF(ISERROR((GN272/GL272-1)*100),"NA",IF(((GN272/GL272-1)*100)&gt;100,"NM",IF(((GN272/GL272-1)*100)&lt;-50,"NM",(GN272/GL272-1)*100)))</f>
        <v>63.095238095238095</v>
      </c>
      <c r="GP272" s="117">
        <f>GP266-(+GP270)/0.65</f>
        <v>318.82513964832515</v>
      </c>
      <c r="GQ272" s="98">
        <f>IF(ISERROR((GP272/GN272-1)*100),"NA",IF(((GP272/GN272-1)*100)&gt;100,"NM",IF(((GP272/GN272-1)*100)&lt;-50,"NM",(GP272/GN272-1)*100)))</f>
        <v>0.84493468195199206</v>
      </c>
      <c r="GR272" s="117">
        <f>GR266-(+GR270)/0.65</f>
        <v>362.83418790115684</v>
      </c>
      <c r="GS272" s="98">
        <f>IF(ISERROR((GR272/GP272-1)*100),"NA",IF(((GR272/GP272-1)*100)&gt;100,"NM",IF(((GR272/GP272-1)*100)&lt;-50,"NM",(GR272/GP272-1)*100)))</f>
        <v>13.803506304858871</v>
      </c>
      <c r="GT272" s="117">
        <f>GT266-(+GT270)/0.65</f>
        <v>390.18086120932594</v>
      </c>
      <c r="GU272" s="98">
        <f>IF(ISERROR((GT272/GR272-1)*100),"NA",IF(((GT272/GR272-1)*100)&gt;100,"NM",IF(((GT272/GR272-1)*100)&lt;-50,"NM",(GT272/GR272-1)*100)))</f>
        <v>7.5369615708922311</v>
      </c>
      <c r="GV272" s="117">
        <f>GV266-(+GV270)/0.65</f>
        <v>416.11223711925504</v>
      </c>
      <c r="GW272" s="98">
        <f>IF(ISERROR((GV272/GT272-1)*100),"NA",IF(((GV272/GT272-1)*100)&gt;100,"NM",IF(((GV272/GT272-1)*100)&lt;-50,"NM",(GV272/GT272-1)*100)))</f>
        <v>6.6459886908746491</v>
      </c>
      <c r="GX272" s="117">
        <f>GX266-(+GX270)/0.65</f>
        <v>436.59909770987269</v>
      </c>
      <c r="GY272" s="98">
        <f>IF(ISERROR((GX272/GV272-1)*100),"NA",IF(((GX272/GV272-1)*100)&gt;100,"NM",IF(((GX272/GV272-1)*100)&lt;-50,"NM",(GX272/GV272-1)*100)))</f>
        <v>4.9233977670179119</v>
      </c>
      <c r="GZ272" s="98">
        <f t="shared" si="1483"/>
        <v>6.668668216503093</v>
      </c>
      <c r="HA272" s="98"/>
      <c r="HB272" s="240"/>
      <c r="HC272"/>
      <c r="HD272"/>
      <c r="HE272"/>
      <c r="HF272"/>
      <c r="HG272"/>
      <c r="HH272"/>
      <c r="HI272" s="10"/>
    </row>
    <row r="273" spans="2:217" s="5" customFormat="1" ht="12.75" customHeight="1" x14ac:dyDescent="0.2">
      <c r="B273" s="19"/>
      <c r="C273" s="269"/>
      <c r="D273" s="270"/>
      <c r="E273" s="269"/>
      <c r="F273" s="270"/>
      <c r="G273" s="269"/>
      <c r="H273" s="270"/>
      <c r="I273" s="269"/>
      <c r="J273" s="156"/>
      <c r="K273" s="269"/>
      <c r="L273" s="156"/>
      <c r="M273" s="269"/>
      <c r="N273" s="156"/>
      <c r="O273" s="269"/>
      <c r="P273" s="156"/>
      <c r="Q273" s="269"/>
      <c r="R273" s="156"/>
      <c r="S273" s="269"/>
      <c r="T273" s="156"/>
      <c r="U273" s="269"/>
      <c r="V273" s="156"/>
      <c r="W273" s="269"/>
      <c r="X273" s="156"/>
      <c r="Y273" s="269"/>
      <c r="Z273" s="156"/>
      <c r="AA273" s="269"/>
      <c r="AB273" s="156"/>
      <c r="AC273" s="269"/>
      <c r="AD273" s="156"/>
      <c r="AE273" s="269"/>
      <c r="AF273" s="156"/>
      <c r="AG273" s="269"/>
      <c r="AH273" s="156"/>
      <c r="AI273" s="269"/>
      <c r="AJ273" s="156"/>
      <c r="AK273" s="269"/>
      <c r="AL273" s="156"/>
      <c r="AM273" s="269"/>
      <c r="AN273" s="156"/>
      <c r="AO273" s="269"/>
      <c r="AP273" s="156"/>
      <c r="AQ273" s="269"/>
      <c r="AR273" s="156"/>
      <c r="AS273" s="269"/>
      <c r="AT273" s="156"/>
      <c r="AU273" s="269"/>
      <c r="AV273" s="156"/>
      <c r="AW273" s="269"/>
      <c r="AX273" s="156"/>
      <c r="AY273" s="269"/>
      <c r="AZ273" s="156"/>
      <c r="BA273" s="269"/>
      <c r="BB273" s="156"/>
      <c r="BC273" s="269"/>
      <c r="BD273" s="156"/>
      <c r="BE273" s="269"/>
      <c r="BF273" s="156"/>
      <c r="BG273" s="269"/>
      <c r="BH273" s="156"/>
      <c r="BI273" s="269"/>
      <c r="BJ273" s="156"/>
      <c r="BK273" s="269"/>
      <c r="BL273" s="156"/>
      <c r="BM273" s="269"/>
      <c r="BN273" s="98"/>
      <c r="BO273" s="271"/>
      <c r="BP273" s="98"/>
      <c r="BQ273" s="271"/>
      <c r="BR273" s="98"/>
      <c r="BS273" s="271"/>
      <c r="BT273" s="98"/>
      <c r="BU273" s="271"/>
      <c r="BV273" s="98"/>
      <c r="BW273" s="271"/>
      <c r="BX273" s="98"/>
      <c r="BY273" s="271"/>
      <c r="BZ273" s="98"/>
      <c r="CA273" s="271"/>
      <c r="CB273" s="98"/>
      <c r="CC273" s="271"/>
      <c r="CD273" s="98"/>
      <c r="CE273" s="271"/>
      <c r="CF273" s="98"/>
      <c r="CG273" s="271"/>
      <c r="CH273" s="98"/>
      <c r="CI273" s="271"/>
      <c r="CJ273" s="98"/>
      <c r="CK273" s="271"/>
      <c r="CL273" s="98"/>
      <c r="CM273" s="271"/>
      <c r="CN273" s="98"/>
      <c r="CO273" s="271"/>
      <c r="CP273" s="98"/>
      <c r="CQ273" s="560"/>
      <c r="CR273" s="98"/>
      <c r="CS273" s="271"/>
      <c r="CT273" s="98"/>
      <c r="CU273" s="271"/>
      <c r="CV273" s="98"/>
      <c r="CW273" s="271"/>
      <c r="CX273" s="98"/>
      <c r="CY273" s="271"/>
      <c r="CZ273" s="98"/>
      <c r="DA273" s="271"/>
      <c r="DB273" s="98"/>
      <c r="DC273" s="271"/>
      <c r="DD273" s="98"/>
      <c r="DE273" s="271"/>
      <c r="DF273" s="98"/>
      <c r="DG273" s="271"/>
      <c r="DH273" s="98"/>
      <c r="DI273" s="271"/>
      <c r="DJ273" s="98"/>
      <c r="DK273" s="271"/>
      <c r="DL273" s="98"/>
      <c r="DM273" s="271"/>
      <c r="DN273" s="98"/>
      <c r="DO273" s="271"/>
      <c r="DP273" s="98"/>
      <c r="DQ273" s="271"/>
      <c r="DR273" s="98"/>
      <c r="DS273" s="271"/>
      <c r="DT273" s="98"/>
      <c r="DU273" s="271"/>
      <c r="DV273" s="98"/>
      <c r="DW273" s="271"/>
      <c r="DX273" s="98"/>
      <c r="DY273" s="271"/>
      <c r="DZ273" s="98"/>
      <c r="EA273" s="271"/>
      <c r="EB273" s="98"/>
      <c r="EC273" s="271"/>
      <c r="ED273" s="98"/>
      <c r="EE273" s="271"/>
      <c r="EF273" s="860"/>
      <c r="EG273" s="271"/>
      <c r="EH273" s="860"/>
      <c r="EI273" s="271"/>
      <c r="EJ273" s="860"/>
      <c r="EK273" s="271"/>
      <c r="EL273" s="860"/>
      <c r="EM273" s="271"/>
      <c r="EN273" s="860"/>
      <c r="EO273" s="271"/>
      <c r="EP273" s="98"/>
      <c r="EQ273" s="1044"/>
      <c r="ER273" s="98"/>
      <c r="ES273" s="1044"/>
      <c r="ET273" s="98"/>
      <c r="EU273" s="1044"/>
      <c r="EV273" s="98"/>
      <c r="EW273" s="1044"/>
      <c r="EX273" s="98"/>
      <c r="EY273" s="272"/>
      <c r="EZ273" s="594"/>
      <c r="FA273" s="405"/>
      <c r="FB273" s="272"/>
      <c r="FC273" s="230"/>
      <c r="FD273" s="271"/>
      <c r="FE273" s="98"/>
      <c r="FF273" s="272"/>
      <c r="FG273" s="98"/>
      <c r="FH273" s="272"/>
      <c r="FI273" s="98"/>
      <c r="FJ273" s="272"/>
      <c r="FK273" s="98"/>
      <c r="FL273" s="272"/>
      <c r="FM273" s="98"/>
      <c r="FN273" s="272"/>
      <c r="FO273" s="98"/>
      <c r="FP273" s="275"/>
      <c r="FQ273" s="213"/>
      <c r="FR273" s="273"/>
      <c r="FS273" s="120"/>
      <c r="FT273" s="273"/>
      <c r="FU273" s="120"/>
      <c r="FV273" s="273"/>
      <c r="FW273" s="98"/>
      <c r="FX273" s="519"/>
      <c r="FY273" s="98"/>
      <c r="FZ273" s="273"/>
      <c r="GA273" s="98"/>
      <c r="GB273" s="519"/>
      <c r="GC273" s="98"/>
      <c r="GD273" s="273"/>
      <c r="GE273" s="98"/>
      <c r="GF273" s="273"/>
      <c r="GG273" s="98"/>
      <c r="GH273" s="273"/>
      <c r="GI273" s="98"/>
      <c r="GJ273" s="273"/>
      <c r="GK273" s="98"/>
      <c r="GL273" s="273"/>
      <c r="GM273" s="98"/>
      <c r="GN273" s="273"/>
      <c r="GO273" s="98"/>
      <c r="GP273" s="273"/>
      <c r="GQ273" s="98"/>
      <c r="GR273" s="272"/>
      <c r="GS273" s="98"/>
      <c r="GT273" s="272"/>
      <c r="GU273" s="98"/>
      <c r="GV273" s="272"/>
      <c r="GW273" s="98"/>
      <c r="GX273" s="272"/>
      <c r="GY273" s="98"/>
      <c r="GZ273" s="98"/>
      <c r="HA273" s="98"/>
      <c r="HB273" s="15"/>
      <c r="HC273"/>
      <c r="HD273"/>
      <c r="HE273"/>
      <c r="HF273"/>
      <c r="HG273"/>
      <c r="HH273"/>
      <c r="HI273" s="10"/>
    </row>
    <row r="274" spans="2:217" s="2" customFormat="1" ht="12.75" customHeight="1" x14ac:dyDescent="0.2">
      <c r="B274" s="91" t="s">
        <v>480</v>
      </c>
      <c r="C274" s="276">
        <f>+C266/C196*100</f>
        <v>100</v>
      </c>
      <c r="D274" s="156"/>
      <c r="E274" s="276">
        <f>+E266/E196*100</f>
        <v>100</v>
      </c>
      <c r="F274" s="156"/>
      <c r="G274" s="276">
        <f>+G266/G196*100</f>
        <v>100</v>
      </c>
      <c r="H274" s="156"/>
      <c r="I274" s="276">
        <f>+I266/I196*100</f>
        <v>100</v>
      </c>
      <c r="J274" s="156"/>
      <c r="K274" s="276"/>
      <c r="L274" s="156"/>
      <c r="M274" s="276"/>
      <c r="N274" s="156"/>
      <c r="O274" s="276"/>
      <c r="P274" s="156"/>
      <c r="Q274" s="276"/>
      <c r="R274" s="156"/>
      <c r="S274" s="276"/>
      <c r="T274" s="156"/>
      <c r="U274" s="276"/>
      <c r="V274" s="156"/>
      <c r="W274" s="276"/>
      <c r="X274" s="156"/>
      <c r="Y274" s="276"/>
      <c r="Z274" s="156"/>
      <c r="AA274" s="276"/>
      <c r="AB274" s="156"/>
      <c r="AC274" s="276"/>
      <c r="AD274" s="156"/>
      <c r="AE274" s="276"/>
      <c r="AF274" s="156"/>
      <c r="AG274" s="276"/>
      <c r="AH274" s="156"/>
      <c r="AI274" s="276"/>
      <c r="AJ274" s="156"/>
      <c r="AK274" s="276"/>
      <c r="AL274" s="156"/>
      <c r="AM274" s="276"/>
      <c r="AN274" s="156"/>
      <c r="AO274" s="276"/>
      <c r="AP274" s="156"/>
      <c r="AQ274" s="276"/>
      <c r="AR274" s="156"/>
      <c r="AS274" s="276"/>
      <c r="AT274" s="156"/>
      <c r="AU274" s="276"/>
      <c r="AV274" s="156"/>
      <c r="AW274" s="276"/>
      <c r="AX274" s="156"/>
      <c r="AY274" s="166"/>
      <c r="AZ274" s="156"/>
      <c r="BA274" s="166"/>
      <c r="BB274" s="156"/>
      <c r="BC274" s="166"/>
      <c r="BD274" s="156"/>
      <c r="BE274" s="166"/>
      <c r="BF274" s="156"/>
      <c r="BG274" s="166"/>
      <c r="BH274" s="156"/>
      <c r="BI274" s="166"/>
      <c r="BJ274" s="156"/>
      <c r="BK274" s="166"/>
      <c r="BL274" s="156"/>
      <c r="BM274" s="166"/>
      <c r="BN274" s="98"/>
      <c r="BO274" s="137"/>
      <c r="BP274" s="98"/>
      <c r="BQ274" s="137"/>
      <c r="BR274" s="98"/>
      <c r="BS274" s="137"/>
      <c r="BT274" s="98"/>
      <c r="BU274" s="137"/>
      <c r="BV274" s="98"/>
      <c r="BW274" s="137"/>
      <c r="BX274" s="98"/>
      <c r="BY274" s="137"/>
      <c r="BZ274" s="98"/>
      <c r="CA274" s="137"/>
      <c r="CB274" s="98"/>
      <c r="CC274" s="137"/>
      <c r="CD274" s="98"/>
      <c r="CE274" s="137"/>
      <c r="CF274" s="98"/>
      <c r="CG274" s="137"/>
      <c r="CH274" s="98"/>
      <c r="CI274" s="137"/>
      <c r="CJ274" s="98"/>
      <c r="CK274" s="137"/>
      <c r="CL274" s="98"/>
      <c r="CM274" s="137"/>
      <c r="CN274" s="98"/>
      <c r="CO274" s="137"/>
      <c r="CP274" s="98"/>
      <c r="CQ274" s="494"/>
      <c r="CR274" s="98"/>
      <c r="CS274" s="137"/>
      <c r="CT274" s="98"/>
      <c r="CU274" s="137"/>
      <c r="CV274" s="98"/>
      <c r="CW274" s="137"/>
      <c r="CX274" s="98"/>
      <c r="CY274" s="137"/>
      <c r="CZ274" s="98"/>
      <c r="DA274" s="137"/>
      <c r="DB274" s="98"/>
      <c r="DC274" s="137"/>
      <c r="DD274" s="98"/>
      <c r="DE274" s="137"/>
      <c r="DF274" s="98"/>
      <c r="DG274" s="137"/>
      <c r="DH274" s="98"/>
      <c r="DI274" s="137"/>
      <c r="DJ274" s="98"/>
      <c r="DK274" s="137"/>
      <c r="DL274" s="98"/>
      <c r="DM274" s="137"/>
      <c r="DN274" s="98"/>
      <c r="DO274" s="137"/>
      <c r="DP274" s="98"/>
      <c r="DQ274" s="137"/>
      <c r="DR274" s="98"/>
      <c r="DS274" s="137">
        <f>+DS266/DS254*100</f>
        <v>9.2031425364758697</v>
      </c>
      <c r="DT274" s="98" t="str">
        <f>IF(ISERROR((DS274/DK274-1)*100),"NA",IF(((DS274/DK274-1)*100)&gt;100,"NM",IF(((DS274/DK274-1)*100)&lt;-50,"NM",(DS274/DK274-1)*100)))</f>
        <v>NA</v>
      </c>
      <c r="DU274" s="137">
        <f>+DU266/DU254*100</f>
        <v>5.5309734513274336</v>
      </c>
      <c r="DV274" s="98" t="str">
        <f>IF(ISERROR((DU274/DM274-1)*100),"NA",IF(((DU274/DM274-1)*100)&gt;100,"NM",IF(((DU274/DM274-1)*100)&lt;-50,"NM",(DU274/DM274-1)*100)))</f>
        <v>NA</v>
      </c>
      <c r="DW274" s="137">
        <f>+DW266/DW254*100</f>
        <v>9.5499451152579589</v>
      </c>
      <c r="DX274" s="98" t="str">
        <f>IF(ISERROR((DW274/DO274-1)*100),"NA",IF(((DW274/DO274-1)*100)&gt;100,"NM",IF(((DW274/DO274-1)*100)&lt;-50,"NM",(DW274/DO274-1)*100)))</f>
        <v>NA</v>
      </c>
      <c r="DY274" s="137">
        <f>+DY266/DY254*100</f>
        <v>5.3905390539053899</v>
      </c>
      <c r="DZ274" s="98" t="str">
        <f>IF(ISERROR((DY274/DQ274-1)*100),"NA",IF(((DY274/DQ274-1)*100)&gt;100,"NM",IF(((DY274/DQ274-1)*100)&lt;-50,"NM",(DY274/DQ274-1)*100)))</f>
        <v>NA</v>
      </c>
      <c r="EA274" s="137">
        <f>+EA266/EA254*100</f>
        <v>1.7738359201773837</v>
      </c>
      <c r="EB274" s="98" t="str">
        <f>IF(ISERROR((EA274/DS274-1)*100),"NA",IF(((EA274/DS274-1)*100)&gt;100,"NM",IF(((EA274/DS274-1)*100)&lt;-50,"NM",(EA274/DS274-1)*100)))</f>
        <v>NM</v>
      </c>
      <c r="EC274" s="137">
        <f>+EC266/EC254*100</f>
        <v>-2.3178807947019866</v>
      </c>
      <c r="ED274" s="98" t="str">
        <f>IF(ISERROR((EC274/DU274-1)*100),"NA",IF(((EC274/DU274-1)*100)&gt;100,"NM",IF(((EC274/DU274-1)*100)&lt;-50,"NM",(EC274/DU274-1)*100)))</f>
        <v>NM</v>
      </c>
      <c r="EE274" s="137">
        <f>+EE266/EE254*100</f>
        <v>7.8774617067833699</v>
      </c>
      <c r="EF274" s="860">
        <f>IF(ISERROR((EE274/DW274-1)*100),"NA",IF(((EE274/DW274-1)*100)&gt;100,"NM",IF(((EE274/DW274-1)*100)&lt;-50,"NM",(EE274/DW274-1)*100)))</f>
        <v>-17.513015920923568</v>
      </c>
      <c r="EG274" s="137">
        <f>+EG266/EG254*100</f>
        <v>5.3551912568306017</v>
      </c>
      <c r="EH274" s="860">
        <f>IF(ISERROR((EG274/DY274-1)*100),"NA",IF(((EG274/DY274-1)*100)&gt;100,"NM",IF(((EG274/DY274-1)*100)&lt;-50,"NM",(EG274/DY274-1)*100)))</f>
        <v>-0.65573770491801353</v>
      </c>
      <c r="EI274" s="137">
        <f>+EI266/EI254*100</f>
        <v>3.0534351145038165</v>
      </c>
      <c r="EJ274" s="860">
        <f t="shared" ref="EJ274:EJ275" si="1501">IF(ISERROR((EI274/EA274-1)*100),"NA",IF(((EI274/EA274-1)*100)&gt;100,"NM",IF(((EI274/EA274-1)*100)&lt;-50,"NM",(EI274/EA274-1)*100)))</f>
        <v>72.137404580152648</v>
      </c>
      <c r="EK274" s="137">
        <f>+EK266/EK254*100</f>
        <v>2.8017241379310347</v>
      </c>
      <c r="EL274" s="860" t="str">
        <f t="shared" ref="EL274:EL275" si="1502">IF(ISERROR((EK274/EC274-1)*100),"NA",IF(((EK274/EC274-1)*100)&gt;100,"NM",IF(((EK274/EC274-1)*100)&lt;-50,"NM",(EK274/EC274-1)*100)))</f>
        <v>NM</v>
      </c>
      <c r="EM274" s="137">
        <f>+EM266/EM254*100</f>
        <v>6.7021276595744679</v>
      </c>
      <c r="EN274" s="860">
        <f t="shared" ref="EN274:EN275" si="1503">IF(ISERROR((EM274/EE274-1)*100),"NA",IF(((EM274/EE274-1)*100)&gt;100,"NM",IF(((EM274/EE274-1)*100)&lt;-50,"NM",(EM274/EE274-1)*100)))</f>
        <v>-14.920212765957451</v>
      </c>
      <c r="EO274" s="137">
        <f>+EO266/EO254*100</f>
        <v>14.074074074074074</v>
      </c>
      <c r="EP274" s="98" t="str">
        <f t="shared" ref="EP274:EP275" si="1504">IF(ISERROR((EO274/EG274-1)*100),"NA",IF(((EO274/EG274-1)*100)&gt;100,"NM",IF(((EO274/EG274-1)*100)&lt;-50,"NM",(EO274/EG274-1)*100)))</f>
        <v>NM</v>
      </c>
      <c r="EQ274" s="137">
        <f>+EQ266/EQ254*100</f>
        <v>7.0513592522663009</v>
      </c>
      <c r="ER274" s="98" t="str">
        <f t="shared" ref="ER274:ER275" si="1505">IF(ISERROR((EQ274/EI274-1)*100),"NA",IF(((EQ274/EI274-1)*100)&gt;100,"NM",IF(((EQ274/EI274-1)*100)&lt;-50,"NM",(EQ274/EI274-1)*100)))</f>
        <v>NM</v>
      </c>
      <c r="ES274" s="137">
        <f t="shared" ref="ES274" si="1506">+ES266/ES254*100</f>
        <v>6.5263263820723258</v>
      </c>
      <c r="ET274" s="98" t="str">
        <f t="shared" ref="ET274:ET275" si="1507">IF(ISERROR((ES274/EK274-1)*100),"NA",IF(((ES274/EK274-1)*100)&gt;100,"NM",IF(((ES274/EK274-1)*100)&lt;-50,"NM",(ES274/EK274-1)*100)))</f>
        <v>NM</v>
      </c>
      <c r="EU274" s="137">
        <f t="shared" ref="EU274" si="1508">+EU266/EU254*100</f>
        <v>7.0554473496944912</v>
      </c>
      <c r="EV274" s="98">
        <f t="shared" ref="EV274:EV275" si="1509">IF(ISERROR((EU274/EM274-1)*100),"NA",IF(((EU274/EM274-1)*100)&gt;100,"NM",IF(((EU274/EM274-1)*100)&lt;-50,"NM",(EU274/EM274-1)*100)))</f>
        <v>5.2717541065527396</v>
      </c>
      <c r="EW274" s="137">
        <f t="shared" ref="EW274" si="1510">+EW266/EW254*100</f>
        <v>12.754424027024774</v>
      </c>
      <c r="EX274" s="98">
        <f t="shared" ref="EX274:EX275" si="1511">IF(ISERROR((EW274/EO274-1)*100),"NA",IF(((EW274/EO274-1)*100)&gt;100,"NM",IF(((EW274/EO274-1)*100)&lt;-50,"NM",(EW274/EO274-1)*100)))</f>
        <v>-9.3764608606134558</v>
      </c>
      <c r="EY274" s="125"/>
      <c r="EZ274" s="601"/>
      <c r="FA274" s="411"/>
      <c r="FB274" s="125" t="e">
        <f>+FB266/FB196*100</f>
        <v>#VALUE!</v>
      </c>
      <c r="FC274" s="233"/>
      <c r="FD274" s="137">
        <f>+FD266/FD196*100</f>
        <v>38892.361111111109</v>
      </c>
      <c r="FE274" s="233" t="str">
        <f>IF(ISERROR((FD274/FB274-1)*100),"NA",IF(((FD274/FB274-1)*100)&gt;100,"NM",IF(((FD274/FB274-1)*100)&lt;-50,"NM",(FD274/FB274-1)*100)))</f>
        <v>NA</v>
      </c>
      <c r="FF274" s="125">
        <f>+FF266/FF196*100</f>
        <v>52294.402714932119</v>
      </c>
      <c r="FG274" s="233">
        <f>IF(ISERROR((FF274/FD274-1)*100),"NA",IF(((FF274/FD274-1)*100)&gt;100,"NM",IF(((FF274/FD274-1)*100)&lt;-50,"NM",(FF274/FD274-1)*100)))</f>
        <v>34.459315970899482</v>
      </c>
      <c r="FH274" s="125">
        <f>+FH266/FH196*100</f>
        <v>0</v>
      </c>
      <c r="FI274" s="233" t="str">
        <f>IF(ISERROR((FH274/FF274-1)*100),"NA",IF(((FH274/FF274-1)*100)&gt;100,"NM",IF(((FH274/FF274-1)*100)&lt;-50,"NM",(FH274/FF274-1)*100)))</f>
        <v>NM</v>
      </c>
      <c r="FJ274" s="125">
        <f>+FJ266/FJ196*100</f>
        <v>0</v>
      </c>
      <c r="FK274" s="233" t="str">
        <f>IF(ISERROR((FJ274/FH274-1)*100),"NA",IF(((FJ274/FH274-1)*100)&gt;100,"NM",IF(((FJ274/FH274-1)*100)&lt;-50,"NM",(FJ274/FH274-1)*100)))</f>
        <v>NA</v>
      </c>
      <c r="FL274" s="125">
        <f>+FL266/FL196*100</f>
        <v>0</v>
      </c>
      <c r="FM274" s="233" t="str">
        <f>IF(ISERROR((FL274/FJ274-1)*100),"NA",IF(((FL274/FJ274-1)*100)&gt;100,"NM",IF(((FL274/FJ274-1)*100)&lt;-50,"NM",(FL274/FJ274-1)*100)))</f>
        <v>NA</v>
      </c>
      <c r="FN274" s="125">
        <f>+FN266/FN196*100</f>
        <v>0</v>
      </c>
      <c r="FO274" s="233" t="str">
        <f>IF(ISERROR((FN274/FL274-1)*100),"NA",IF(((FN274/FL274-1)*100)&gt;100,"NM",IF(((FN274/FL274-1)*100)&lt;-50,"NM",(FN274/FL274-1)*100)))</f>
        <v>NA</v>
      </c>
      <c r="FP274" s="125">
        <f>+FP266/FP196*100</f>
        <v>0</v>
      </c>
      <c r="FQ274" s="233" t="str">
        <f>IF(ISERROR((FP274/FN274-1)*100),"NA",IF(((FP274/FN274-1)*100)&gt;100,"NM",IF(((FP274/FN274-1)*100)&lt;-50,"NM",(FP274/FN274-1)*100)))</f>
        <v>NA</v>
      </c>
      <c r="FR274" s="130">
        <f>+FR266/FR196*100</f>
        <v>0</v>
      </c>
      <c r="FS274" s="120" t="str">
        <f>IF(ISERROR((FR274/FP274-1)*100),"NA",IF(((FR274/FP274-1)*100)&gt;100,"NM",IF(((FR274/FP274-1)*100)&lt;-50,"NM",(FR274/FP274-1)*100)))</f>
        <v>NA</v>
      </c>
      <c r="FT274" s="130">
        <f>+FT266/FT196*100</f>
        <v>0</v>
      </c>
      <c r="FU274" s="120" t="str">
        <f>IF(ISERROR((FT274/FR274-1)*100),"NA",IF(((FT274/FR274-1)*100)&gt;100,"NM",IF(((FT274/FR274-1)*100)&lt;-50,"NM",(FT274/FR274-1)*100)))</f>
        <v>NA</v>
      </c>
      <c r="FV274" s="130">
        <f>+FV266/FV196*100</f>
        <v>34549.123767798468</v>
      </c>
      <c r="FW274" s="98" t="str">
        <f>IF(ISERROR((FV274/FT274-1)*100),"NA",IF(((FV274/FT274-1)*100)&gt;100,"NM",IF(((FV274/FT274-1)*100)&lt;-50,"NM",(FV274/FT274-1)*100)))</f>
        <v>NA</v>
      </c>
      <c r="FX274" s="487">
        <f>+FX266/FX196*100</f>
        <v>0</v>
      </c>
      <c r="FY274" s="98" t="str">
        <f>IF(ISERROR((FX274/FV274-1)*100),"NA",IF(((FX274/FV274-1)*100)&gt;100,"NM",IF(((FX274/FV274-1)*100)&lt;-50,"NM",(FX274/FV274-1)*100)))</f>
        <v>NM</v>
      </c>
      <c r="FZ274" s="130">
        <f>+FZ266/FZ196*100</f>
        <v>0</v>
      </c>
      <c r="GA274" s="98" t="str">
        <f>IF(ISERROR((FZ274/FX274-1)*100),"NA",IF(((FZ274/FX274-1)*100)&gt;100,"NM",IF(((FZ274/FX274-1)*100)&lt;-50,"NM",(FZ274/FX274-1)*100)))</f>
        <v>NA</v>
      </c>
      <c r="GB274" s="487">
        <f>+GB266/GB196*100</f>
        <v>0</v>
      </c>
      <c r="GC274" s="98" t="str">
        <f>IF(ISERROR((GB274/FZ274-1)*100),"NA",IF(((GB274/FZ274-1)*100)&gt;100,"NM",IF(((GB274/FZ274-1)*100)&lt;-50,"NM",(GB274/FZ274-1)*100)))</f>
        <v>NA</v>
      </c>
      <c r="GD274" s="130">
        <f>+GD266/GD196*100</f>
        <v>0</v>
      </c>
      <c r="GE274" s="98" t="str">
        <f>IF(ISERROR((GD274/GB274-1)*100),"NA",IF(((GD274/GB274-1)*100)&gt;100,"NM",IF(((GD274/GB274-1)*100)&lt;-50,"NM",(GD274/GB274-1)*100)))</f>
        <v>NA</v>
      </c>
      <c r="GF274" s="130">
        <f>+GF266/GF196*100</f>
        <v>100</v>
      </c>
      <c r="GG274" s="98" t="str">
        <f>IF(ISERROR((GF274/GD274-1)*100),"NA",IF(((GF274/GD274-1)*100)&gt;100,"NM",IF(((GF274/GD274-1)*100)&lt;-50,"NM",(GF274/GD274-1)*100)))</f>
        <v>NA</v>
      </c>
      <c r="GH274" s="130">
        <f>+GH266/GH196*100</f>
        <v>100</v>
      </c>
      <c r="GI274" s="98">
        <f>IF(ISERROR((GH274/GF274-1)*100),"NA",IF(((GH274/GF274-1)*100)&gt;100,"NM",IF(((GH274/GF274-1)*100)&lt;-50,"NM",(GH274/GF274-1)*100)))</f>
        <v>0</v>
      </c>
      <c r="GJ274" s="137">
        <f>+GJ266/GJ254*100</f>
        <v>7.4135546334716462</v>
      </c>
      <c r="GK274" s="98" t="str">
        <f>IF(ISERROR((GJ274/GH274-1)*100),"NA",IF(((GJ274/GH274-1)*100)&gt;100,"NM",IF(((GJ274/GH274-1)*100)&lt;-50,"NM",(GJ274/GH274-1)*100)))</f>
        <v>NM</v>
      </c>
      <c r="GL274" s="137">
        <f>+GL266/GL254*100</f>
        <v>3.1894418476766564</v>
      </c>
      <c r="GM274" s="98" t="str">
        <f>IF(ISERROR((GL274/GJ274-1)*100),"NA",IF(((GL274/GJ274-1)*100)&gt;100,"NM",IF(((GL274/GJ274-1)*100)&lt;-50,"NM",(GL274/GJ274-1)*100)))</f>
        <v>NM</v>
      </c>
      <c r="GN274" s="137">
        <f>+GN266/GN254*100</f>
        <v>6.7024128686327078</v>
      </c>
      <c r="GO274" s="98" t="str">
        <f>IF(ISERROR((GN274/GL274-1)*100),"NA",IF(((GN274/GL274-1)*100)&gt;100,"NM",IF(((GN274/GL274-1)*100)&lt;-50,"NM",(GN274/GL274-1)*100)))</f>
        <v>NM</v>
      </c>
      <c r="GP274" s="137">
        <f>+GP266/GP254*100</f>
        <v>8.3552268574975841</v>
      </c>
      <c r="GQ274" s="98">
        <f>IF(ISERROR((GP274/GN274-1)*100),"NA",IF(((GP274/GN274-1)*100)&gt;100,"NM",IF(((GP274/GN274-1)*100)&lt;-50,"NM",(GP274/GN274-1)*100)))</f>
        <v>24.659984713863949</v>
      </c>
      <c r="GR274" s="137">
        <f>+GR266/GR254*100</f>
        <v>8.9885164891056419</v>
      </c>
      <c r="GS274" s="98">
        <f>IF(ISERROR((GR274/GP274-1)*100),"NA",IF(((GR274/GP274-1)*100)&gt;100,"NM",IF(((GR274/GP274-1)*100)&lt;-50,"NM",(GR274/GP274-1)*100)))</f>
        <v>7.5795623794436384</v>
      </c>
      <c r="GT274" s="137">
        <f>+GT266/GT254*100</f>
        <v>9.136535911700399</v>
      </c>
      <c r="GU274" s="98">
        <f>IF(ISERROR((GT274/GR274-1)*100),"NA",IF(((GT274/GR274-1)*100)&gt;100,"NM",IF(((GT274/GR274-1)*100)&lt;-50,"NM",(GT274/GR274-1)*100)))</f>
        <v>1.6467614291430843</v>
      </c>
      <c r="GV274" s="137">
        <f>+GV266/GV254*100</f>
        <v>9.2933282299985382</v>
      </c>
      <c r="GW274" s="98">
        <f>IF(ISERROR((GV274/GT274-1)*100),"NA",IF(((GV274/GT274-1)*100)&gt;100,"NM",IF(((GV274/GT274-1)*100)&lt;-50,"NM",(GV274/GT274-1)*100)))</f>
        <v>1.7161024683036485</v>
      </c>
      <c r="GX274" s="137">
        <f>+GX266/GX254*100</f>
        <v>9.2996424595112028</v>
      </c>
      <c r="GY274" s="98">
        <f>IF(ISERROR((GX274/GV274-1)*100),"NA",IF(((GX274/GV274-1)*100)&gt;100,"NM",IF(((GX274/GV274-1)*100)&lt;-50,"NM",(GX274/GV274-1)*100)))</f>
        <v>6.7943683429616542E-2</v>
      </c>
      <c r="GZ274" s="98">
        <f>IF(ISERROR(((GX274/GN274)^0.2-1)*100),"NA",IF((((GX274/GN274)^0.2-1)*100)&gt;100,"NM",IF((((GX274/GN274)^0.2-1)*100)&lt;-50,"NM",((GX274/GN274)^0.2-1)*100)))</f>
        <v>6.7694523136550444</v>
      </c>
      <c r="HA274" s="98"/>
      <c r="HB274" s="10"/>
      <c r="HC274"/>
      <c r="HD274"/>
      <c r="HE274"/>
      <c r="HF274"/>
      <c r="HG274"/>
      <c r="HH274"/>
      <c r="HI274" s="10"/>
    </row>
    <row r="275" spans="2:217" s="2" customFormat="1" ht="12.75" customHeight="1" x14ac:dyDescent="0.2">
      <c r="B275" s="91" t="s">
        <v>105</v>
      </c>
      <c r="C275" s="276">
        <f>+C269/C196*100</f>
        <v>-354.93333333333334</v>
      </c>
      <c r="D275" s="156"/>
      <c r="E275" s="276">
        <f>+E269/E196*100</f>
        <v>-381.02127659574467</v>
      </c>
      <c r="F275" s="156"/>
      <c r="G275" s="276">
        <f>+G269/G196*100</f>
        <v>-301.29310344827587</v>
      </c>
      <c r="H275" s="156"/>
      <c r="I275" s="276">
        <f>+I269/I196*100</f>
        <v>-299.05633802816902</v>
      </c>
      <c r="J275" s="156"/>
      <c r="K275" s="276"/>
      <c r="L275" s="156"/>
      <c r="M275" s="276"/>
      <c r="N275" s="156"/>
      <c r="O275" s="276"/>
      <c r="P275" s="156"/>
      <c r="Q275" s="276"/>
      <c r="R275" s="156"/>
      <c r="S275" s="276"/>
      <c r="T275" s="156"/>
      <c r="U275" s="276"/>
      <c r="V275" s="156"/>
      <c r="W275" s="276"/>
      <c r="X275" s="156"/>
      <c r="Y275" s="276"/>
      <c r="Z275" s="156"/>
      <c r="AA275" s="276"/>
      <c r="AB275" s="156"/>
      <c r="AC275" s="276"/>
      <c r="AD275" s="156"/>
      <c r="AE275" s="276"/>
      <c r="AF275" s="156"/>
      <c r="AG275" s="276"/>
      <c r="AH275" s="156"/>
      <c r="AI275" s="276"/>
      <c r="AJ275" s="156"/>
      <c r="AK275" s="276"/>
      <c r="AL275" s="156"/>
      <c r="AM275" s="276"/>
      <c r="AN275" s="156"/>
      <c r="AO275" s="276"/>
      <c r="AP275" s="156"/>
      <c r="AQ275" s="276"/>
      <c r="AR275" s="156"/>
      <c r="AS275" s="276"/>
      <c r="AT275" s="156"/>
      <c r="AU275" s="276"/>
      <c r="AV275" s="156"/>
      <c r="AW275" s="276"/>
      <c r="AX275" s="156"/>
      <c r="AY275" s="166"/>
      <c r="AZ275" s="156"/>
      <c r="BA275" s="166"/>
      <c r="BB275" s="156"/>
      <c r="BC275" s="166"/>
      <c r="BD275" s="156"/>
      <c r="BE275" s="166"/>
      <c r="BF275" s="156"/>
      <c r="BG275" s="166"/>
      <c r="BH275" s="156"/>
      <c r="BI275" s="166"/>
      <c r="BJ275" s="156"/>
      <c r="BK275" s="166"/>
      <c r="BL275" s="156"/>
      <c r="BM275" s="166"/>
      <c r="BN275" s="98"/>
      <c r="BO275" s="137"/>
      <c r="BP275" s="98"/>
      <c r="BQ275" s="137"/>
      <c r="BR275" s="98"/>
      <c r="BS275" s="137"/>
      <c r="BT275" s="98"/>
      <c r="BU275" s="137"/>
      <c r="BV275" s="98"/>
      <c r="BW275" s="137"/>
      <c r="BX275" s="98"/>
      <c r="BY275" s="137"/>
      <c r="BZ275" s="98"/>
      <c r="CA275" s="137"/>
      <c r="CB275" s="98"/>
      <c r="CC275" s="137"/>
      <c r="CD275" s="98"/>
      <c r="CE275" s="137"/>
      <c r="CF275" s="98"/>
      <c r="CG275" s="137"/>
      <c r="CH275" s="98"/>
      <c r="CI275" s="137"/>
      <c r="CJ275" s="98"/>
      <c r="CK275" s="137"/>
      <c r="CL275" s="98"/>
      <c r="CM275" s="137"/>
      <c r="CN275" s="98"/>
      <c r="CO275" s="137"/>
      <c r="CP275" s="98"/>
      <c r="CQ275" s="494"/>
      <c r="CR275" s="98"/>
      <c r="CS275" s="137"/>
      <c r="CT275" s="98"/>
      <c r="CU275" s="137"/>
      <c r="CV275" s="98"/>
      <c r="CW275" s="137"/>
      <c r="CX275" s="98"/>
      <c r="CY275" s="137"/>
      <c r="CZ275" s="98"/>
      <c r="DA275" s="137"/>
      <c r="DB275" s="98"/>
      <c r="DC275" s="137"/>
      <c r="DD275" s="98"/>
      <c r="DE275" s="137"/>
      <c r="DF275" s="98"/>
      <c r="DG275" s="137"/>
      <c r="DH275" s="98"/>
      <c r="DI275" s="137"/>
      <c r="DJ275" s="98"/>
      <c r="DK275" s="137"/>
      <c r="DL275" s="98"/>
      <c r="DM275" s="137"/>
      <c r="DN275" s="98"/>
      <c r="DO275" s="137"/>
      <c r="DP275" s="98"/>
      <c r="DQ275" s="137"/>
      <c r="DR275" s="98"/>
      <c r="DS275" s="137">
        <f>+DS269/DS254*100</f>
        <v>7.2951739618406286</v>
      </c>
      <c r="DT275" s="98" t="str">
        <f>IF(ISERROR((DS275/DK275-1)*100),"NA",IF(((DS275/DK275-1)*100)&gt;100,"NM",IF(((DS275/DK275-1)*100)&lt;-50,"NM",(DS275/DK275-1)*100)))</f>
        <v>NA</v>
      </c>
      <c r="DU275" s="137">
        <f>+DU269/DU254*100</f>
        <v>5.1991150442477876</v>
      </c>
      <c r="DV275" s="98" t="str">
        <f>IF(ISERROR((DU275/DM275-1)*100),"NA",IF(((DU275/DM275-1)*100)&gt;100,"NM",IF(((DU275/DM275-1)*100)&lt;-50,"NM",(DU275/DM275-1)*100)))</f>
        <v>NA</v>
      </c>
      <c r="DW275" s="137">
        <f>+DW269/DW254*100</f>
        <v>7.3545554335894616</v>
      </c>
      <c r="DX275" s="98" t="str">
        <f>IF(ISERROR((DW275/DO275-1)*100),"NA",IF(((DW275/DO275-1)*100)&gt;100,"NM",IF(((DW275/DO275-1)*100)&lt;-50,"NM",(DW275/DO275-1)*100)))</f>
        <v>NA</v>
      </c>
      <c r="DY275" s="137">
        <f>+DY269/DY254*100</f>
        <v>4.8404840484048401</v>
      </c>
      <c r="DZ275" s="98" t="str">
        <f>IF(ISERROR((DY275/DQ275-1)*100),"NA",IF(((DY275/DQ275-1)*100)&gt;100,"NM",IF(((DY275/DQ275-1)*100)&lt;-50,"NM",(DY275/DQ275-1)*100)))</f>
        <v>NA</v>
      </c>
      <c r="EA275" s="137">
        <f>+EA269/EA254*100</f>
        <v>2.4390243902439024</v>
      </c>
      <c r="EB275" s="98" t="str">
        <f>IF(ISERROR((EA275/DS275-1)*100),"NA",IF(((EA275/DS275-1)*100)&gt;100,"NM",IF(((EA275/DS275-1)*100)&lt;-50,"NM",(EA275/DS275-1)*100)))</f>
        <v>NM</v>
      </c>
      <c r="EC275" s="137">
        <f>+EC269/EC254*100</f>
        <v>-0.22075055187637968</v>
      </c>
      <c r="ED275" s="98" t="str">
        <f>IF(ISERROR((EC275/DU275-1)*100),"NA",IF(((EC275/DU275-1)*100)&gt;100,"NM",IF(((EC275/DU275-1)*100)&lt;-50,"NM",(EC275/DU275-1)*100)))</f>
        <v>NM</v>
      </c>
      <c r="EE275" s="137">
        <f>+EE269/EE254*100</f>
        <v>6.3457330415754925</v>
      </c>
      <c r="EF275" s="860">
        <f>IF(ISERROR((EE275/DW275-1)*100),"NA",IF(((EE275/DW275-1)*100)&gt;100,"NM",IF(((EE275/DW275-1)*100)&lt;-50,"NM",(EE275/DW275-1)*100)))</f>
        <v>-13.716973121264564</v>
      </c>
      <c r="EG275" s="137">
        <f>+EG269/EG254*100</f>
        <v>4.6994535519125682</v>
      </c>
      <c r="EH275" s="860">
        <f>IF(ISERROR((EG275/DY275-1)*100),"NA",IF(((EG275/DY275-1)*100)&gt;100,"NM",IF(((EG275/DY275-1)*100)&lt;-50,"NM",(EG275/DY275-1)*100)))</f>
        <v>-2.9135618479880776</v>
      </c>
      <c r="EI275" s="137">
        <f>+EI269/EI254*100</f>
        <v>3.162486368593239</v>
      </c>
      <c r="EJ275" s="860">
        <f t="shared" si="1501"/>
        <v>29.661941112322808</v>
      </c>
      <c r="EK275" s="137">
        <f>+EK269/EK254*100</f>
        <v>3.0172413793103448</v>
      </c>
      <c r="EL275" s="860" t="str">
        <f t="shared" si="1502"/>
        <v>NM</v>
      </c>
      <c r="EM275" s="137">
        <f>+EM269/EM254*100</f>
        <v>5.4255319148936172</v>
      </c>
      <c r="EN275" s="860">
        <f t="shared" si="1503"/>
        <v>-14.501100513572995</v>
      </c>
      <c r="EO275" s="137">
        <f>+EO269/EO254*100</f>
        <v>10.052910052910052</v>
      </c>
      <c r="EP275" s="98" t="str">
        <f t="shared" si="1504"/>
        <v>NM</v>
      </c>
      <c r="EQ275" s="137">
        <f>+EQ269/EQ254*100</f>
        <v>5.8526281793810293</v>
      </c>
      <c r="ER275" s="98">
        <f t="shared" si="1505"/>
        <v>85.064139327324256</v>
      </c>
      <c r="ES275" s="137">
        <f t="shared" ref="ES275" si="1512">+ES269/ES254*100</f>
        <v>5.4168508971200309</v>
      </c>
      <c r="ET275" s="98">
        <f t="shared" si="1507"/>
        <v>79.529915447406751</v>
      </c>
      <c r="EU275" s="137">
        <f t="shared" ref="EU275" si="1513">+EU269/EU254*100</f>
        <v>5.856021300246427</v>
      </c>
      <c r="EV275" s="98">
        <f t="shared" si="1509"/>
        <v>7.9345102398361123</v>
      </c>
      <c r="EW275" s="137">
        <f t="shared" ref="EW275" si="1514">+EW269/EW254*100</f>
        <v>10.58617194243056</v>
      </c>
      <c r="EX275" s="98">
        <f t="shared" si="1511"/>
        <v>5.3045524799671728</v>
      </c>
      <c r="EY275" s="137"/>
      <c r="EZ275" s="601"/>
      <c r="FA275" s="411"/>
      <c r="FB275" s="242" t="s">
        <v>494</v>
      </c>
      <c r="FC275" s="233"/>
      <c r="FD275" s="137">
        <f>+FD269/FD196*100</f>
        <v>37012</v>
      </c>
      <c r="FE275" s="233" t="str">
        <f>IF(ISERROR((FD275/FB275-1)*100),"NA",IF(((FD275/FB275-1)*100)&gt;100,"NM",IF(((FD275/FB275-1)*100)&lt;-50,"NM",(FD275/FB275-1)*100)))</f>
        <v>NA</v>
      </c>
      <c r="FF275" s="137">
        <f>+FF269/FF196*100</f>
        <v>50585.325791855197</v>
      </c>
      <c r="FG275" s="233">
        <f>IF(ISERROR((FF275/FD275-1)*100),"NA",IF(((FF275/FD275-1)*100)&gt;100,"NM",IF(((FF275/FD275-1)*100)&lt;-50,"NM",(FF275/FD275-1)*100)))</f>
        <v>36.672770430820265</v>
      </c>
      <c r="FH275" s="137">
        <f>+FH269/FH196*100</f>
        <v>0</v>
      </c>
      <c r="FI275" s="233" t="str">
        <f>IF(ISERROR((FH275/FF275-1)*100),"NA",IF(((FH275/FF275-1)*100)&gt;100,"NM",IF(((FH275/FF275-1)*100)&lt;-50,"NM",(FH275/FF275-1)*100)))</f>
        <v>NM</v>
      </c>
      <c r="FJ275" s="137">
        <f>+FJ269/FJ196*100</f>
        <v>0</v>
      </c>
      <c r="FK275" s="233" t="str">
        <f>IF(ISERROR((FJ275/FH275-1)*100),"NA",IF(((FJ275/FH275-1)*100)&gt;100,"NM",IF(((FJ275/FH275-1)*100)&lt;-50,"NM",(FJ275/FH275-1)*100)))</f>
        <v>NA</v>
      </c>
      <c r="FL275" s="137">
        <f>+FL269/FL196*100</f>
        <v>0</v>
      </c>
      <c r="FM275" s="233" t="str">
        <f>IF(ISERROR((FL275/FJ275-1)*100),"NA",IF(((FL275/FJ275-1)*100)&gt;100,"NM",IF(((FL275/FJ275-1)*100)&lt;-50,"NM",(FL275/FJ275-1)*100)))</f>
        <v>NA</v>
      </c>
      <c r="FN275" s="137">
        <f>+FN269/FN196*100</f>
        <v>0</v>
      </c>
      <c r="FO275" s="233" t="str">
        <f>IF(ISERROR((FN275/FL275-1)*100),"NA",IF(((FN275/FL275-1)*100)&gt;100,"NM",IF(((FN275/FL275-1)*100)&lt;-50,"NM",(FN275/FL275-1)*100)))</f>
        <v>NA</v>
      </c>
      <c r="FP275" s="137">
        <f>+FP269/FP196*100</f>
        <v>0</v>
      </c>
      <c r="FQ275" s="233" t="str">
        <f>IF(ISERROR((FP275/FN275-1)*100),"NA",IF(((FP275/FN275-1)*100)&gt;100,"NM",IF(((FP275/FN275-1)*100)&lt;-50,"NM",(FP275/FN275-1)*100)))</f>
        <v>NA</v>
      </c>
      <c r="FR275" s="106">
        <f>+FR269/FR196*100</f>
        <v>0</v>
      </c>
      <c r="FS275" s="120" t="str">
        <f>IF(ISERROR((FR275/FP275-1)*100),"NA",IF(((FR275/FP275-1)*100)&gt;100,"NM",IF(((FR275/FP275-1)*100)&lt;-50,"NM",(FR275/FP275-1)*100)))</f>
        <v>NA</v>
      </c>
      <c r="FT275" s="106">
        <f>+FT269/FT196*100</f>
        <v>0</v>
      </c>
      <c r="FU275" s="120" t="str">
        <f>IF(ISERROR((FT275/FR275-1)*100),"NA",IF(((FT275/FR275-1)*100)&gt;100,"NM",IF(((FT275/FR275-1)*100)&lt;-50,"NM",(FT275/FR275-1)*100)))</f>
        <v>NA</v>
      </c>
      <c r="FV275" s="106">
        <f>+FV269/FV196*100</f>
        <v>29882.48849945236</v>
      </c>
      <c r="FW275" s="98" t="str">
        <f>IF(ISERROR((FV275/FT275-1)*100),"NA",IF(((FV275/FT275-1)*100)&gt;100,"NM",IF(((FV275/FT275-1)*100)&lt;-50,"NM",(FV275/FT275-1)*100)))</f>
        <v>NA</v>
      </c>
      <c r="FX275" s="483">
        <f>+FX269/FX196*100</f>
        <v>0</v>
      </c>
      <c r="FY275" s="98" t="str">
        <f>IF(ISERROR((FX275/FV275-1)*100),"NA",IF(((FX275/FV275-1)*100)&gt;100,"NM",IF(((FX275/FV275-1)*100)&lt;-50,"NM",(FX275/FV275-1)*100)))</f>
        <v>NM</v>
      </c>
      <c r="FZ275" s="106">
        <f>+FZ269/FZ196*100</f>
        <v>0</v>
      </c>
      <c r="GA275" s="98" t="str">
        <f>IF(ISERROR((FZ275/FX275-1)*100),"NA",IF(((FZ275/FX275-1)*100)&gt;100,"NM",IF(((FZ275/FX275-1)*100)&lt;-50,"NM",(FZ275/FX275-1)*100)))</f>
        <v>NA</v>
      </c>
      <c r="GB275" s="483">
        <f>+GB269/GB196*100</f>
        <v>0</v>
      </c>
      <c r="GC275" s="98" t="str">
        <f>IF(ISERROR((GB275/FZ275-1)*100),"NA",IF(((GB275/FZ275-1)*100)&gt;100,"NM",IF(((GB275/FZ275-1)*100)&lt;-50,"NM",(GB275/FZ275-1)*100)))</f>
        <v>NA</v>
      </c>
      <c r="GD275" s="106">
        <f>+GD269/GD196*100</f>
        <v>0</v>
      </c>
      <c r="GE275" s="98" t="str">
        <f>IF(ISERROR((GD275/GB275-1)*100),"NA",IF(((GD275/GB275-1)*100)&gt;100,"NM",IF(((GD275/GB275-1)*100)&lt;-50,"NM",(GD275/GB275-1)*100)))</f>
        <v>NA</v>
      </c>
      <c r="GF275" s="106">
        <f>+GF269/GF196*100</f>
        <v>100</v>
      </c>
      <c r="GG275" s="98" t="str">
        <f>IF(ISERROR((GF275/GD275-1)*100),"NA",IF(((GF275/GD275-1)*100)&gt;100,"NM",IF(((GF275/GD275-1)*100)&lt;-50,"NM",(GF275/GD275-1)*100)))</f>
        <v>NA</v>
      </c>
      <c r="GH275" s="106">
        <f>+GH269/GH196*100</f>
        <v>100</v>
      </c>
      <c r="GI275" s="98">
        <f>IF(ISERROR((GH275/GF275-1)*100),"NA",IF(((GH275/GF275-1)*100)&gt;100,"NM",IF(((GH275/GF275-1)*100)&lt;-50,"NM",(GH275/GF275-1)*100)))</f>
        <v>0</v>
      </c>
      <c r="GJ275" s="137">
        <f>+GJ269/GJ254*100</f>
        <v>6.1687413554633475</v>
      </c>
      <c r="GK275" s="98" t="str">
        <f>IF(ISERROR((GJ275/GH275-1)*100),"NA",IF(((GJ275/GH275-1)*100)&gt;100,"NM",IF(((GJ275/GH275-1)*100)&lt;-50,"NM",(GJ275/GH275-1)*100)))</f>
        <v>NM</v>
      </c>
      <c r="GL275" s="137">
        <f>+GL269/GL254*100</f>
        <v>3.3269177893868571</v>
      </c>
      <c r="GM275" s="98">
        <f>IF(ISERROR((GL275/GJ275-1)*100),"NA",IF(((GL275/GJ275-1)*100)&gt;100,"NM",IF(((GL275/GJ275-1)*100)&lt;-50,"NM",(GL275/GJ275-1)*100)))</f>
        <v>-46.06812641868391</v>
      </c>
      <c r="GN275" s="137">
        <f>+GN269/GN254*100</f>
        <v>5.4423592493297592</v>
      </c>
      <c r="GO275" s="98">
        <f>IF(ISERROR((GN275/GL275-1)*100),"NA",IF(((GN275/GL275-1)*100)&gt;100,"NM",IF(((GN275/GL275-1)*100)&lt;-50,"NM",(GN275/GL275-1)*100)))</f>
        <v>63.585624709192842</v>
      </c>
      <c r="GP275" s="137">
        <f>+GP269/GP254*100</f>
        <v>6.9348382917229943</v>
      </c>
      <c r="GQ275" s="98">
        <f>IF(ISERROR((GP275/GN275-1)*100),"NA",IF(((GP275/GN275-1)*100)&gt;100,"NM",IF(((GP275/GN275-1)*100)&lt;-50,"NM",(GP275/GN275-1)*100)))</f>
        <v>27.423383389787027</v>
      </c>
      <c r="GR275" s="137">
        <f>+GR269/GR254*100</f>
        <v>7.4604686859576841</v>
      </c>
      <c r="GS275" s="98">
        <f>IF(ISERROR((GR275/GP275-1)*100),"NA",IF(((GR275/GP275-1)*100)&gt;100,"NM",IF(((GR275/GP275-1)*100)&lt;-50,"NM",(GR275/GP275-1)*100)))</f>
        <v>7.5795623794436606</v>
      </c>
      <c r="GT275" s="137">
        <f>+GT269/GT254*100</f>
        <v>7.5833248067113317</v>
      </c>
      <c r="GU275" s="98">
        <f>IF(ISERROR((GT275/GR275-1)*100),"NA",IF(((GT275/GR275-1)*100)&gt;100,"NM",IF(((GT275/GR275-1)*100)&lt;-50,"NM",(GT275/GR275-1)*100)))</f>
        <v>1.6467614291430621</v>
      </c>
      <c r="GV275" s="137">
        <f>+GV269/GV254*100</f>
        <v>7.7134624308987858</v>
      </c>
      <c r="GW275" s="98">
        <f>IF(ISERROR((GV275/GT275-1)*100),"NA",IF(((GV275/GT275-1)*100)&gt;100,"NM",IF(((GV275/GT275-1)*100)&lt;-50,"NM",(GV275/GT275-1)*100)))</f>
        <v>1.7161024683036263</v>
      </c>
      <c r="GX275" s="137">
        <f>+GX269/GX254*100</f>
        <v>7.718703241394298</v>
      </c>
      <c r="GY275" s="98">
        <f>IF(ISERROR((GX275/GV275-1)*100),"NA",IF(((GX275/GV275-1)*100)&gt;100,"NM",IF(((GX275/GV275-1)*100)&lt;-50,"NM",(GX275/GV275-1)*100)))</f>
        <v>6.7943683429616542E-2</v>
      </c>
      <c r="GZ275" s="98">
        <f>IF(ISERROR(((GX275/GN275)^0.2-1)*100),"NA",IF((((GX275/GN275)^0.2-1)*100)&gt;100,"NM",IF((((GX275/GN275)^0.2-1)*100)&lt;-50,"NM",((GX275/GN275)^0.2-1)*100)))</f>
        <v>7.2386720922881231</v>
      </c>
      <c r="HA275" s="98"/>
      <c r="HB275" s="10"/>
      <c r="HC275"/>
      <c r="HD275"/>
      <c r="HE275"/>
      <c r="HF275"/>
      <c r="HG275"/>
      <c r="HH275"/>
      <c r="HI275" s="10"/>
    </row>
    <row r="276" spans="2:217" s="2" customFormat="1" ht="12.75" customHeight="1" x14ac:dyDescent="0.2">
      <c r="B276" s="91"/>
      <c r="C276" s="276"/>
      <c r="D276" s="156"/>
      <c r="E276" s="276"/>
      <c r="F276" s="156"/>
      <c r="G276" s="276"/>
      <c r="H276" s="156"/>
      <c r="I276" s="276"/>
      <c r="J276" s="156"/>
      <c r="K276" s="276"/>
      <c r="L276" s="156"/>
      <c r="M276" s="276"/>
      <c r="N276" s="156"/>
      <c r="O276" s="276"/>
      <c r="P276" s="156"/>
      <c r="Q276" s="276"/>
      <c r="R276" s="156"/>
      <c r="S276" s="276"/>
      <c r="T276" s="156"/>
      <c r="U276" s="276"/>
      <c r="V276" s="156"/>
      <c r="W276" s="276"/>
      <c r="X276" s="156"/>
      <c r="Y276" s="276"/>
      <c r="Z276" s="156"/>
      <c r="AA276" s="276"/>
      <c r="AB276" s="156"/>
      <c r="AC276" s="276"/>
      <c r="AD276" s="156"/>
      <c r="AE276" s="276"/>
      <c r="AF276" s="156"/>
      <c r="AG276" s="276"/>
      <c r="AH276" s="156"/>
      <c r="AI276" s="276"/>
      <c r="AJ276" s="156"/>
      <c r="AK276" s="276"/>
      <c r="AL276" s="156"/>
      <c r="AM276" s="276"/>
      <c r="AN276" s="156"/>
      <c r="AO276" s="276"/>
      <c r="AP276" s="156"/>
      <c r="AQ276" s="276"/>
      <c r="AR276" s="156"/>
      <c r="AS276" s="276"/>
      <c r="AT276" s="156"/>
      <c r="AU276" s="276"/>
      <c r="AV276" s="156"/>
      <c r="AW276" s="276"/>
      <c r="AX276" s="156"/>
      <c r="AY276" s="166"/>
      <c r="AZ276" s="156"/>
      <c r="BA276" s="166"/>
      <c r="BB276" s="156"/>
      <c r="BC276" s="166"/>
      <c r="BD276" s="156"/>
      <c r="BE276" s="166"/>
      <c r="BF276" s="156"/>
      <c r="BG276" s="166"/>
      <c r="BH276" s="156"/>
      <c r="BI276" s="166"/>
      <c r="BJ276" s="156"/>
      <c r="BK276" s="166"/>
      <c r="BL276" s="156"/>
      <c r="BM276" s="166"/>
      <c r="BN276" s="98"/>
      <c r="BO276" s="137"/>
      <c r="BP276" s="98"/>
      <c r="BQ276" s="137"/>
      <c r="BR276" s="98"/>
      <c r="BS276" s="137"/>
      <c r="BT276" s="98"/>
      <c r="BU276" s="137"/>
      <c r="BV276" s="98"/>
      <c r="BW276" s="137"/>
      <c r="BX276" s="98"/>
      <c r="BY276" s="137"/>
      <c r="BZ276" s="98"/>
      <c r="CA276" s="137"/>
      <c r="CB276" s="98"/>
      <c r="CC276" s="137"/>
      <c r="CD276" s="98"/>
      <c r="CE276" s="137"/>
      <c r="CF276" s="98"/>
      <c r="CG276" s="137"/>
      <c r="CH276" s="98"/>
      <c r="CI276" s="137"/>
      <c r="CJ276" s="98"/>
      <c r="CK276" s="137"/>
      <c r="CL276" s="98"/>
      <c r="CM276" s="137"/>
      <c r="CN276" s="98"/>
      <c r="CO276" s="137"/>
      <c r="CP276" s="98"/>
      <c r="CQ276" s="137"/>
      <c r="CR276" s="98"/>
      <c r="CS276" s="137"/>
      <c r="CT276" s="98"/>
      <c r="CU276" s="137"/>
      <c r="CV276" s="98"/>
      <c r="CW276" s="137"/>
      <c r="CX276" s="98"/>
      <c r="CY276" s="137"/>
      <c r="CZ276" s="98"/>
      <c r="DA276" s="137"/>
      <c r="DB276" s="98"/>
      <c r="DC276" s="137"/>
      <c r="DD276" s="98"/>
      <c r="DE276" s="137"/>
      <c r="DF276" s="98"/>
      <c r="DG276" s="137"/>
      <c r="DH276" s="98"/>
      <c r="DI276" s="137"/>
      <c r="DJ276" s="98"/>
      <c r="DK276" s="137"/>
      <c r="DL276" s="98"/>
      <c r="DM276" s="137"/>
      <c r="DN276" s="98"/>
      <c r="DO276" s="137"/>
      <c r="DP276" s="98"/>
      <c r="DQ276" s="137"/>
      <c r="DR276" s="98"/>
      <c r="DS276" s="137"/>
      <c r="DT276" s="98"/>
      <c r="DU276" s="137"/>
      <c r="DV276" s="98"/>
      <c r="DW276" s="137"/>
      <c r="DX276" s="98"/>
      <c r="DY276" s="137"/>
      <c r="DZ276" s="98"/>
      <c r="EA276" s="137"/>
      <c r="EB276" s="98"/>
      <c r="EC276" s="137"/>
      <c r="ED276" s="98"/>
      <c r="EE276" s="137"/>
      <c r="EF276" s="860"/>
      <c r="EG276" s="137"/>
      <c r="EH276" s="860"/>
      <c r="EI276" s="137"/>
      <c r="EJ276" s="860"/>
      <c r="EK276" s="137"/>
      <c r="EL276" s="860"/>
      <c r="EM276" s="137"/>
      <c r="EN276" s="860"/>
      <c r="EO276" s="137"/>
      <c r="EP276" s="98"/>
      <c r="EQ276" s="1033"/>
      <c r="ER276" s="98"/>
      <c r="ES276" s="1033"/>
      <c r="ET276" s="98"/>
      <c r="EU276" s="1033"/>
      <c r="EV276" s="98"/>
      <c r="EW276" s="1033"/>
      <c r="EX276" s="98"/>
      <c r="EY276" s="137"/>
      <c r="EZ276" s="601"/>
      <c r="FA276" s="411"/>
      <c r="FB276" s="242"/>
      <c r="FC276" s="233"/>
      <c r="FD276" s="137"/>
      <c r="FE276" s="233"/>
      <c r="FF276" s="137"/>
      <c r="FG276" s="233"/>
      <c r="FH276" s="137"/>
      <c r="FI276" s="233"/>
      <c r="FJ276" s="137"/>
      <c r="FK276" s="233"/>
      <c r="FL276" s="137"/>
      <c r="FM276" s="233"/>
      <c r="FN276" s="137"/>
      <c r="FO276" s="233"/>
      <c r="FP276" s="137"/>
      <c r="FQ276" s="233"/>
      <c r="FR276" s="106"/>
      <c r="FS276" s="120"/>
      <c r="FT276" s="106"/>
      <c r="FU276" s="120"/>
      <c r="FV276" s="106"/>
      <c r="FW276" s="98"/>
      <c r="FX276" s="483"/>
      <c r="FY276" s="98"/>
      <c r="FZ276" s="106"/>
      <c r="GA276" s="98"/>
      <c r="GB276" s="483"/>
      <c r="GC276" s="98"/>
      <c r="GD276" s="106"/>
      <c r="GE276" s="98"/>
      <c r="GF276" s="106"/>
      <c r="GG276" s="98"/>
      <c r="GH276" s="106"/>
      <c r="GI276" s="98"/>
      <c r="GJ276" s="106"/>
      <c r="GK276" s="98"/>
      <c r="GL276" s="106"/>
      <c r="GM276" s="98"/>
      <c r="GN276" s="106"/>
      <c r="GO276" s="98"/>
      <c r="GP276" s="106"/>
      <c r="GQ276" s="98"/>
      <c r="GR276" s="137"/>
      <c r="GS276" s="98"/>
      <c r="GT276" s="137"/>
      <c r="GU276" s="98"/>
      <c r="GV276" s="137"/>
      <c r="GW276" s="98"/>
      <c r="GX276" s="137"/>
      <c r="GY276" s="98"/>
      <c r="GZ276" s="98"/>
      <c r="HA276" s="98"/>
      <c r="HB276" s="10"/>
      <c r="HC276"/>
      <c r="HD276"/>
      <c r="HE276"/>
      <c r="HF276"/>
      <c r="HG276"/>
      <c r="HH276"/>
      <c r="HI276" s="10"/>
    </row>
    <row r="277" spans="2:217" s="708" customFormat="1" ht="12.75" customHeight="1" collapsed="1" x14ac:dyDescent="0.2">
      <c r="B277" s="709" t="s">
        <v>697</v>
      </c>
      <c r="C277" s="710"/>
      <c r="D277" s="710"/>
      <c r="E277" s="710"/>
      <c r="F277" s="710"/>
      <c r="G277" s="710"/>
      <c r="H277" s="710"/>
      <c r="I277" s="710"/>
      <c r="J277" s="710"/>
      <c r="K277" s="710"/>
      <c r="L277" s="710"/>
      <c r="M277" s="710"/>
      <c r="N277" s="710"/>
      <c r="O277" s="710"/>
      <c r="P277" s="710"/>
      <c r="Q277" s="710"/>
      <c r="R277" s="710"/>
      <c r="S277" s="710"/>
      <c r="T277" s="710"/>
      <c r="U277" s="710"/>
      <c r="V277" s="710"/>
      <c r="W277" s="710"/>
      <c r="X277" s="710"/>
      <c r="Y277" s="710"/>
      <c r="Z277" s="710"/>
      <c r="AA277" s="710"/>
      <c r="AB277" s="710"/>
      <c r="AC277" s="710"/>
      <c r="AD277" s="710"/>
      <c r="AE277" s="710"/>
      <c r="AF277" s="710"/>
      <c r="AG277" s="710"/>
      <c r="AH277" s="710"/>
      <c r="AI277" s="710"/>
      <c r="AJ277" s="710"/>
      <c r="AK277" s="710"/>
      <c r="AL277" s="710"/>
      <c r="AM277" s="710"/>
      <c r="AN277" s="710"/>
      <c r="AO277" s="710"/>
      <c r="AP277" s="710"/>
      <c r="AQ277" s="710"/>
      <c r="AR277" s="710"/>
      <c r="AS277" s="710"/>
      <c r="AT277" s="710"/>
      <c r="AU277" s="710"/>
      <c r="AV277" s="710"/>
      <c r="AW277" s="710"/>
      <c r="AX277" s="710"/>
      <c r="AY277" s="710"/>
      <c r="AZ277" s="710"/>
      <c r="BA277" s="710"/>
      <c r="BB277" s="710"/>
      <c r="BC277" s="710"/>
      <c r="BD277" s="710"/>
      <c r="BE277" s="710"/>
      <c r="BF277" s="710"/>
      <c r="BG277" s="710"/>
      <c r="BH277" s="710"/>
      <c r="BI277" s="710"/>
      <c r="BJ277" s="710"/>
      <c r="BK277" s="710"/>
      <c r="BL277" s="710"/>
      <c r="BM277" s="710"/>
      <c r="BN277" s="710"/>
      <c r="BO277" s="710"/>
      <c r="BP277" s="710"/>
      <c r="BQ277" s="710"/>
      <c r="BR277" s="710"/>
      <c r="BS277" s="711"/>
      <c r="BT277" s="710"/>
      <c r="BU277" s="711"/>
      <c r="BV277" s="710"/>
      <c r="BW277" s="711"/>
      <c r="BX277" s="710"/>
      <c r="BY277" s="711"/>
      <c r="BZ277" s="710"/>
      <c r="CA277" s="711"/>
      <c r="CB277" s="710"/>
      <c r="CC277" s="711"/>
      <c r="CD277" s="710"/>
      <c r="CE277" s="711"/>
      <c r="CF277" s="710"/>
      <c r="CG277" s="711"/>
      <c r="CH277" s="710"/>
      <c r="CI277" s="711"/>
      <c r="CJ277" s="710"/>
      <c r="CK277" s="711"/>
      <c r="CL277" s="710"/>
      <c r="CM277" s="711"/>
      <c r="CN277" s="710"/>
      <c r="CO277" s="711"/>
      <c r="CP277" s="710"/>
      <c r="CQ277" s="711"/>
      <c r="CR277" s="710"/>
      <c r="CS277" s="711"/>
      <c r="CT277" s="710"/>
      <c r="CU277" s="711"/>
      <c r="CV277" s="710"/>
      <c r="CW277" s="711"/>
      <c r="CX277" s="710"/>
      <c r="CY277" s="711"/>
      <c r="CZ277" s="710"/>
      <c r="DA277" s="711"/>
      <c r="DB277" s="710"/>
      <c r="DC277" s="711"/>
      <c r="DD277" s="710"/>
      <c r="DE277" s="711"/>
      <c r="DF277" s="710"/>
      <c r="DG277" s="711"/>
      <c r="DH277" s="710"/>
      <c r="DI277" s="711"/>
      <c r="DJ277" s="710"/>
      <c r="DK277" s="711"/>
      <c r="DL277" s="710"/>
      <c r="DM277" s="711"/>
      <c r="DN277" s="710"/>
      <c r="DO277" s="711"/>
      <c r="DP277" s="710"/>
      <c r="DQ277" s="711"/>
      <c r="DR277" s="710"/>
      <c r="DS277" s="711"/>
      <c r="DT277" s="710"/>
      <c r="DU277" s="711"/>
      <c r="DV277" s="710"/>
      <c r="DW277" s="711"/>
      <c r="DX277" s="710"/>
      <c r="DY277" s="711"/>
      <c r="DZ277" s="710"/>
      <c r="EA277" s="711"/>
      <c r="EB277" s="710"/>
      <c r="EC277" s="711"/>
      <c r="ED277" s="711"/>
      <c r="EE277" s="711"/>
      <c r="EF277" s="711"/>
      <c r="EG277" s="711"/>
      <c r="EH277" s="711"/>
      <c r="EI277" s="711"/>
      <c r="EJ277" s="711"/>
      <c r="EK277" s="711"/>
      <c r="EL277" s="711"/>
      <c r="EM277" s="711"/>
      <c r="EN277" s="711"/>
      <c r="EO277" s="711"/>
      <c r="EP277" s="710"/>
      <c r="EQ277" s="711"/>
      <c r="ER277" s="710"/>
      <c r="ES277" s="711"/>
      <c r="ET277" s="710"/>
      <c r="EU277" s="711"/>
      <c r="EV277" s="710"/>
      <c r="EW277" s="711"/>
      <c r="EX277" s="710"/>
      <c r="EY277" s="712"/>
      <c r="EZ277" s="713"/>
      <c r="FA277" s="714"/>
      <c r="FB277" s="711"/>
      <c r="FC277" s="710"/>
      <c r="FD277" s="711"/>
      <c r="FE277" s="710"/>
      <c r="FF277" s="712"/>
      <c r="FG277" s="710"/>
      <c r="FH277" s="712"/>
      <c r="FI277" s="710"/>
      <c r="FJ277" s="712"/>
      <c r="FK277" s="710"/>
      <c r="FL277" s="712"/>
      <c r="FM277" s="710"/>
      <c r="FN277" s="712"/>
      <c r="FO277" s="710"/>
      <c r="FP277" s="712"/>
      <c r="FQ277" s="710"/>
      <c r="FR277" s="712"/>
      <c r="FS277" s="715"/>
      <c r="FT277" s="712"/>
      <c r="FU277" s="715"/>
      <c r="FV277" s="712"/>
      <c r="FW277" s="710"/>
      <c r="FX277" s="716"/>
      <c r="FY277" s="710"/>
      <c r="FZ277" s="712"/>
      <c r="GA277" s="710"/>
      <c r="GB277" s="716"/>
      <c r="GC277" s="710"/>
      <c r="GD277" s="712"/>
      <c r="GE277" s="710"/>
      <c r="GF277" s="712"/>
      <c r="GG277" s="710"/>
      <c r="GH277" s="712"/>
      <c r="GI277" s="710"/>
      <c r="GJ277" s="712"/>
      <c r="GK277" s="710"/>
      <c r="GL277" s="712"/>
      <c r="GM277" s="710"/>
      <c r="GN277" s="712"/>
      <c r="GO277" s="710"/>
      <c r="GP277" s="712"/>
      <c r="GQ277" s="710"/>
      <c r="GR277" s="712"/>
      <c r="GS277" s="710"/>
      <c r="GT277" s="712"/>
      <c r="GU277" s="710"/>
      <c r="GV277" s="712"/>
      <c r="GW277" s="710"/>
      <c r="GX277" s="712"/>
      <c r="GY277" s="710"/>
      <c r="GZ277" s="710"/>
      <c r="HA277" s="710"/>
      <c r="HC277"/>
      <c r="HD277"/>
      <c r="HE277"/>
      <c r="HF277"/>
      <c r="HG277"/>
      <c r="HH277"/>
    </row>
    <row r="278" spans="2:217" s="2" customFormat="1" ht="12.75" customHeight="1" x14ac:dyDescent="0.2">
      <c r="C278" s="293"/>
      <c r="D278" s="98"/>
      <c r="E278" s="293"/>
      <c r="F278" s="98"/>
      <c r="G278" s="293"/>
      <c r="H278" s="98"/>
      <c r="I278" s="293"/>
      <c r="J278" s="233"/>
      <c r="K278" s="293"/>
      <c r="L278" s="233"/>
      <c r="M278" s="293"/>
      <c r="N278" s="233"/>
      <c r="O278" s="293"/>
      <c r="P278" s="233"/>
      <c r="Q278" s="293"/>
      <c r="R278" s="233"/>
      <c r="S278" s="293"/>
      <c r="T278" s="233"/>
      <c r="U278" s="293"/>
      <c r="V278" s="233"/>
      <c r="W278" s="293"/>
      <c r="X278" s="233"/>
      <c r="Y278" s="293"/>
      <c r="Z278" s="233"/>
      <c r="AA278" s="293"/>
      <c r="AB278" s="233"/>
      <c r="AC278" s="293"/>
      <c r="AD278" s="233"/>
      <c r="AE278" s="293"/>
      <c r="AF278" s="233"/>
      <c r="AG278" s="124"/>
      <c r="AH278" s="233"/>
      <c r="AI278" s="124"/>
      <c r="AJ278" s="233"/>
      <c r="AK278" s="124"/>
      <c r="AL278" s="233"/>
      <c r="AM278" s="124"/>
      <c r="AN278" s="233"/>
      <c r="AO278" s="124"/>
      <c r="AP278" s="233"/>
      <c r="AQ278" s="124"/>
      <c r="AR278" s="233"/>
      <c r="AS278" s="124"/>
      <c r="AT278" s="233"/>
      <c r="AU278" s="124"/>
      <c r="AV278" s="233"/>
      <c r="AW278" s="124"/>
      <c r="AX278" s="233"/>
      <c r="AY278" s="137"/>
      <c r="AZ278" s="233"/>
      <c r="BA278" s="137"/>
      <c r="BB278" s="233"/>
      <c r="BC278" s="137"/>
      <c r="BD278" s="233"/>
      <c r="BE278" s="137"/>
      <c r="BF278" s="233"/>
      <c r="BG278" s="137"/>
      <c r="BH278" s="233"/>
      <c r="BI278" s="137"/>
      <c r="BJ278" s="233"/>
      <c r="BK278" s="137"/>
      <c r="BL278" s="233"/>
      <c r="BM278" s="137"/>
      <c r="BN278" s="233"/>
      <c r="BO278" s="137"/>
      <c r="BP278" s="233"/>
      <c r="BQ278" s="137"/>
      <c r="BR278" s="233"/>
      <c r="BS278" s="137"/>
      <c r="BT278" s="233"/>
      <c r="BU278" s="137"/>
      <c r="BV278" s="233"/>
      <c r="BW278" s="137"/>
      <c r="BX278" s="233"/>
      <c r="BY278" s="137"/>
      <c r="BZ278" s="233"/>
      <c r="CA278" s="137"/>
      <c r="CB278" s="233"/>
      <c r="CC278" s="137"/>
      <c r="CD278" s="233"/>
      <c r="CE278" s="137"/>
      <c r="CF278" s="233"/>
      <c r="CG278" s="137"/>
      <c r="CH278" s="233"/>
      <c r="CI278" s="137"/>
      <c r="CJ278" s="233"/>
      <c r="CK278" s="137"/>
      <c r="CL278" s="233"/>
      <c r="CM278" s="137"/>
      <c r="CN278" s="233"/>
      <c r="CO278" s="137"/>
      <c r="CP278" s="233"/>
      <c r="CQ278" s="494"/>
      <c r="CR278" s="233"/>
      <c r="CS278" s="137"/>
      <c r="CT278" s="233"/>
      <c r="CU278" s="137"/>
      <c r="CV278" s="233"/>
      <c r="CW278" s="137"/>
      <c r="CX278" s="233"/>
      <c r="CY278" s="137"/>
      <c r="CZ278" s="233"/>
      <c r="DA278" s="137"/>
      <c r="DB278" s="233"/>
      <c r="DC278" s="137"/>
      <c r="DD278" s="233"/>
      <c r="DE278" s="137"/>
      <c r="DF278" s="233"/>
      <c r="DG278" s="137"/>
      <c r="DH278" s="233"/>
      <c r="DI278" s="137"/>
      <c r="DJ278" s="233"/>
      <c r="DK278" s="137"/>
      <c r="DL278" s="233"/>
      <c r="DM278" s="137"/>
      <c r="DN278" s="233"/>
      <c r="DO278" s="137"/>
      <c r="DP278" s="233"/>
      <c r="DQ278" s="137"/>
      <c r="DR278" s="233"/>
      <c r="DS278" s="137"/>
      <c r="DT278" s="233"/>
      <c r="DU278" s="137"/>
      <c r="DV278" s="233"/>
      <c r="DW278" s="137"/>
      <c r="DX278" s="233"/>
      <c r="DY278" s="137"/>
      <c r="DZ278" s="233"/>
      <c r="EA278" s="137"/>
      <c r="EB278" s="233"/>
      <c r="EC278" s="137"/>
      <c r="ED278" s="137"/>
      <c r="EE278" s="137"/>
      <c r="EF278" s="137"/>
      <c r="EG278" s="137"/>
      <c r="EH278" s="137"/>
      <c r="EI278" s="137"/>
      <c r="EJ278" s="137"/>
      <c r="EK278" s="137"/>
      <c r="EL278" s="137"/>
      <c r="EM278" s="137"/>
      <c r="EN278" s="137"/>
      <c r="EO278" s="137"/>
      <c r="EP278" s="233"/>
      <c r="EQ278" s="137"/>
      <c r="ER278" s="233"/>
      <c r="ES278" s="137"/>
      <c r="ET278" s="233"/>
      <c r="EU278" s="137"/>
      <c r="EV278" s="233"/>
      <c r="EW278" s="137"/>
      <c r="EX278" s="233"/>
      <c r="EY278" s="291"/>
      <c r="EZ278" s="601"/>
      <c r="FA278" s="411"/>
      <c r="FB278" s="242"/>
      <c r="FC278" s="233"/>
      <c r="FD278" s="291"/>
      <c r="FE278" s="233"/>
      <c r="FF278" s="291"/>
      <c r="FG278" s="233"/>
      <c r="FH278" s="291"/>
      <c r="FI278" s="233"/>
      <c r="FJ278" s="291"/>
      <c r="FK278" s="233"/>
      <c r="FL278" s="291"/>
      <c r="FM278" s="233"/>
      <c r="FN278" s="291"/>
      <c r="FO278" s="233"/>
      <c r="FP278" s="291"/>
      <c r="FQ278" s="233"/>
      <c r="FR278" s="292"/>
      <c r="FS278" s="120"/>
      <c r="FT278" s="292"/>
      <c r="FU278" s="120"/>
      <c r="FV278" s="292"/>
      <c r="FW278" s="233"/>
      <c r="FX278" s="483"/>
      <c r="FY278" s="233"/>
      <c r="FZ278" s="292"/>
      <c r="GA278" s="233"/>
      <c r="GB278" s="483"/>
      <c r="GC278" s="233"/>
      <c r="GD278" s="292"/>
      <c r="GE278" s="233"/>
      <c r="GF278" s="292"/>
      <c r="GG278" s="233"/>
      <c r="GH278" s="292"/>
      <c r="GI278" s="233"/>
      <c r="GJ278" s="292"/>
      <c r="GK278" s="233"/>
      <c r="GL278" s="292"/>
      <c r="GM278" s="233"/>
      <c r="GN278" s="292"/>
      <c r="GO278" s="233"/>
      <c r="GP278" s="292"/>
      <c r="GQ278" s="233"/>
      <c r="GR278" s="291"/>
      <c r="GS278" s="233"/>
      <c r="GT278" s="291"/>
      <c r="GU278" s="233"/>
      <c r="GV278" s="291"/>
      <c r="GW278" s="233"/>
      <c r="GX278" s="291"/>
      <c r="GY278" s="233"/>
      <c r="GZ278" s="233"/>
      <c r="HA278" s="233"/>
      <c r="HB278" s="10"/>
      <c r="HC278"/>
      <c r="HD278"/>
      <c r="HE278"/>
      <c r="HF278"/>
      <c r="HG278"/>
      <c r="HH278"/>
      <c r="HI278" s="10"/>
    </row>
    <row r="279" spans="2:217" s="2" customFormat="1" ht="12.75" customHeight="1" x14ac:dyDescent="0.2">
      <c r="B279" s="93" t="s">
        <v>161</v>
      </c>
      <c r="C279" s="293"/>
      <c r="D279" s="98"/>
      <c r="E279" s="293"/>
      <c r="F279" s="98"/>
      <c r="G279" s="293"/>
      <c r="H279" s="98"/>
      <c r="I279" s="293"/>
      <c r="J279" s="233"/>
      <c r="K279" s="293"/>
      <c r="L279" s="233"/>
      <c r="M279" s="293"/>
      <c r="N279" s="233"/>
      <c r="O279" s="293"/>
      <c r="P279" s="233"/>
      <c r="Q279" s="293"/>
      <c r="R279" s="233"/>
      <c r="S279" s="293"/>
      <c r="T279" s="233"/>
      <c r="U279" s="293"/>
      <c r="V279" s="233"/>
      <c r="W279" s="293"/>
      <c r="X279" s="233"/>
      <c r="Y279" s="293"/>
      <c r="Z279" s="233"/>
      <c r="AA279" s="293"/>
      <c r="AB279" s="233"/>
      <c r="AC279" s="293"/>
      <c r="AD279" s="233"/>
      <c r="AE279" s="293"/>
      <c r="AF279" s="233"/>
      <c r="AG279" s="124"/>
      <c r="AH279" s="233"/>
      <c r="AI279" s="124"/>
      <c r="AJ279" s="233"/>
      <c r="AK279" s="124"/>
      <c r="AL279" s="233"/>
      <c r="AM279" s="124"/>
      <c r="AN279" s="233"/>
      <c r="AO279" s="124"/>
      <c r="AP279" s="233"/>
      <c r="AQ279" s="124"/>
      <c r="AR279" s="233"/>
      <c r="AS279" s="124"/>
      <c r="AT279" s="233"/>
      <c r="AU279" s="124"/>
      <c r="AV279" s="233"/>
      <c r="AW279" s="124"/>
      <c r="AX279" s="233"/>
      <c r="AY279" s="137"/>
      <c r="AZ279" s="233"/>
      <c r="BA279" s="137"/>
      <c r="BB279" s="233"/>
      <c r="BC279" s="137"/>
      <c r="BD279" s="233"/>
      <c r="BE279" s="137"/>
      <c r="BF279" s="233"/>
      <c r="BG279" s="137"/>
      <c r="BH279" s="233"/>
      <c r="BI279" s="137"/>
      <c r="BJ279" s="233"/>
      <c r="BK279" s="137"/>
      <c r="BL279" s="233"/>
      <c r="BM279" s="137"/>
      <c r="BN279" s="233"/>
      <c r="BO279" s="137"/>
      <c r="BP279" s="233"/>
      <c r="BQ279" s="137"/>
      <c r="BR279" s="233"/>
      <c r="BS279" s="137"/>
      <c r="BT279" s="233"/>
      <c r="BU279" s="137"/>
      <c r="BV279" s="233"/>
      <c r="BW279" s="137"/>
      <c r="BX279" s="233"/>
      <c r="BY279" s="137"/>
      <c r="BZ279" s="233"/>
      <c r="CA279" s="137"/>
      <c r="CB279" s="233"/>
      <c r="CC279" s="137"/>
      <c r="CD279" s="233"/>
      <c r="CE279" s="137"/>
      <c r="CF279" s="233"/>
      <c r="CG279" s="137"/>
      <c r="CH279" s="233"/>
      <c r="CI279" s="137"/>
      <c r="CJ279" s="233"/>
      <c r="CK279" s="137"/>
      <c r="CL279" s="233"/>
      <c r="CM279" s="137"/>
      <c r="CN279" s="233"/>
      <c r="CO279" s="137"/>
      <c r="CP279" s="233"/>
      <c r="CQ279" s="494"/>
      <c r="CR279" s="233"/>
      <c r="CS279" s="137"/>
      <c r="CT279" s="233"/>
      <c r="CU279" s="137"/>
      <c r="CV279" s="233"/>
      <c r="CW279" s="137"/>
      <c r="CX279" s="233"/>
      <c r="CY279" s="137"/>
      <c r="CZ279" s="233"/>
      <c r="DA279" s="137"/>
      <c r="DB279" s="233"/>
      <c r="DC279" s="137"/>
      <c r="DD279" s="233"/>
      <c r="DE279" s="137"/>
      <c r="DF279" s="233"/>
      <c r="DG279" s="137"/>
      <c r="DH279" s="233"/>
      <c r="DI279" s="137"/>
      <c r="DJ279" s="233"/>
      <c r="DK279" s="137"/>
      <c r="DL279" s="233"/>
      <c r="DM279" s="137"/>
      <c r="DN279" s="233"/>
      <c r="DO279" s="137"/>
      <c r="DP279" s="233"/>
      <c r="DQ279" s="137"/>
      <c r="DR279" s="233"/>
      <c r="DS279" s="137"/>
      <c r="DT279" s="233"/>
      <c r="DU279" s="137"/>
      <c r="DV279" s="233"/>
      <c r="DW279" s="137"/>
      <c r="DX279" s="233"/>
      <c r="DY279" s="137"/>
      <c r="DZ279" s="233"/>
      <c r="EA279" s="137"/>
      <c r="EB279" s="233"/>
      <c r="EC279" s="137"/>
      <c r="ED279" s="233"/>
      <c r="EE279" s="137"/>
      <c r="EF279" s="872"/>
      <c r="EG279" s="137"/>
      <c r="EH279" s="872"/>
      <c r="EI279" s="137"/>
      <c r="EJ279" s="872"/>
      <c r="EK279" s="137"/>
      <c r="EL279" s="872"/>
      <c r="EM279" s="137"/>
      <c r="EN279" s="872"/>
      <c r="EO279" s="137"/>
      <c r="EP279" s="233"/>
      <c r="EQ279" s="1045"/>
      <c r="ER279" s="233"/>
      <c r="ES279" s="1045"/>
      <c r="ET279" s="233"/>
      <c r="EU279" s="1045"/>
      <c r="EV279" s="233"/>
      <c r="EW279" s="1045"/>
      <c r="EX279" s="233"/>
      <c r="EY279" s="291"/>
      <c r="EZ279" s="601"/>
      <c r="FA279" s="411"/>
      <c r="FB279" s="242"/>
      <c r="FC279" s="233"/>
      <c r="FD279" s="291"/>
      <c r="FE279" s="233"/>
      <c r="FF279" s="291"/>
      <c r="FG279" s="233"/>
      <c r="FH279" s="291"/>
      <c r="FI279" s="233"/>
      <c r="FJ279" s="291"/>
      <c r="FK279" s="233"/>
      <c r="FL279" s="291"/>
      <c r="FM279" s="233"/>
      <c r="FN279" s="291"/>
      <c r="FO279" s="233"/>
      <c r="FP279" s="291"/>
      <c r="FQ279" s="233"/>
      <c r="FR279" s="292"/>
      <c r="FS279" s="120"/>
      <c r="FT279" s="292"/>
      <c r="FU279" s="120"/>
      <c r="FV279" s="292"/>
      <c r="FW279" s="233"/>
      <c r="FX279" s="483"/>
      <c r="FY279" s="233"/>
      <c r="FZ279" s="292"/>
      <c r="GA279" s="233"/>
      <c r="GB279" s="483"/>
      <c r="GC279" s="233"/>
      <c r="GD279" s="292"/>
      <c r="GE279" s="233"/>
      <c r="GF279" s="458"/>
      <c r="GG279" s="233"/>
      <c r="GH279" s="458"/>
      <c r="GI279" s="98"/>
      <c r="GJ279" s="458"/>
      <c r="GK279" s="98"/>
      <c r="GL279" s="458"/>
      <c r="GM279" s="98"/>
      <c r="GN279" s="458"/>
      <c r="GO279" s="98"/>
      <c r="GP279" s="458"/>
      <c r="GQ279" s="98"/>
      <c r="GR279" s="291"/>
      <c r="GS279" s="98"/>
      <c r="GT279" s="291"/>
      <c r="GU279" s="98"/>
      <c r="GV279" s="291"/>
      <c r="GW279" s="98"/>
      <c r="GX279" s="291"/>
      <c r="GY279" s="98"/>
      <c r="GZ279" s="233"/>
      <c r="HA279" s="233"/>
      <c r="HB279" s="10"/>
      <c r="HC279"/>
      <c r="HD279"/>
      <c r="HE279"/>
      <c r="HF279"/>
      <c r="HG279"/>
      <c r="HH279"/>
      <c r="HI279" s="10"/>
    </row>
    <row r="280" spans="2:217" s="2" customFormat="1" ht="12.75" customHeight="1" x14ac:dyDescent="0.2">
      <c r="B280" s="91" t="s">
        <v>493</v>
      </c>
      <c r="C280" s="293"/>
      <c r="D280" s="98"/>
      <c r="E280" s="293"/>
      <c r="F280" s="98"/>
      <c r="G280" s="293"/>
      <c r="H280" s="98"/>
      <c r="I280" s="293"/>
      <c r="J280" s="233"/>
      <c r="K280" s="293"/>
      <c r="L280" s="233"/>
      <c r="M280" s="293"/>
      <c r="N280" s="233"/>
      <c r="O280" s="293"/>
      <c r="P280" s="233"/>
      <c r="Q280" s="293"/>
      <c r="R280" s="233"/>
      <c r="S280" s="293"/>
      <c r="T280" s="233"/>
      <c r="U280" s="293"/>
      <c r="V280" s="233"/>
      <c r="W280" s="293"/>
      <c r="X280" s="233"/>
      <c r="Y280" s="293"/>
      <c r="Z280" s="233"/>
      <c r="AA280" s="293"/>
      <c r="AB280" s="233"/>
      <c r="AC280" s="293"/>
      <c r="AD280" s="233"/>
      <c r="AE280" s="293"/>
      <c r="AF280" s="233"/>
      <c r="AG280" s="124"/>
      <c r="AH280" s="233"/>
      <c r="AI280" s="124"/>
      <c r="AJ280" s="233"/>
      <c r="AK280" s="124"/>
      <c r="AL280" s="233"/>
      <c r="AM280" s="124"/>
      <c r="AN280" s="233"/>
      <c r="AO280" s="124"/>
      <c r="AP280" s="233"/>
      <c r="AQ280" s="124"/>
      <c r="AR280" s="233"/>
      <c r="AS280" s="124"/>
      <c r="AT280" s="233"/>
      <c r="AU280" s="124"/>
      <c r="AV280" s="233"/>
      <c r="AW280" s="124"/>
      <c r="AX280" s="233"/>
      <c r="AY280" s="137"/>
      <c r="AZ280" s="233"/>
      <c r="BA280" s="137"/>
      <c r="BB280" s="233"/>
      <c r="BC280" s="137"/>
      <c r="BD280" s="233"/>
      <c r="BE280" s="137"/>
      <c r="BF280" s="233"/>
      <c r="BG280" s="137"/>
      <c r="BH280" s="233"/>
      <c r="BI280" s="137"/>
      <c r="BJ280" s="233"/>
      <c r="BK280" s="137"/>
      <c r="BL280" s="233"/>
      <c r="BM280" s="137"/>
      <c r="BN280" s="233"/>
      <c r="BO280" s="137"/>
      <c r="BP280" s="233"/>
      <c r="BQ280" s="137"/>
      <c r="BR280" s="233"/>
      <c r="BS280" s="137"/>
      <c r="BT280" s="233"/>
      <c r="BU280" s="137"/>
      <c r="BV280" s="233"/>
      <c r="BW280" s="137"/>
      <c r="BX280" s="233"/>
      <c r="BY280" s="137"/>
      <c r="BZ280" s="233"/>
      <c r="CA280" s="137"/>
      <c r="CB280" s="233"/>
      <c r="CC280" s="137"/>
      <c r="CD280" s="233"/>
      <c r="CE280" s="137"/>
      <c r="CF280" s="233"/>
      <c r="CG280" s="137"/>
      <c r="CH280" s="233"/>
      <c r="CI280" s="137"/>
      <c r="CJ280" s="233"/>
      <c r="CK280" s="101">
        <v>499</v>
      </c>
      <c r="CL280" s="98" t="str">
        <f>IF(ISERROR((CK280/CC280-1)*100),"NA",IF(((CK280/CC280-1)*100)&gt;100,"NM",IF(((CK280/CC280-1)*100)&lt;-50,"NM",(CK280/CC280-1)*100)))</f>
        <v>NA</v>
      </c>
      <c r="CM280" s="101">
        <v>1803</v>
      </c>
      <c r="CN280" s="98" t="str">
        <f>IF(ISERROR((CM280/CE280-1)*100),"NA",IF(((CM280/CE280-1)*100)&gt;100,"NM",IF(((CM280/CE280-1)*100)&lt;-50,"NM",(CM280/CE280-1)*100)))</f>
        <v>NA</v>
      </c>
      <c r="CO280" s="101">
        <v>1884</v>
      </c>
      <c r="CP280" s="98" t="str">
        <f>IF(ISERROR((CO280/CG280-1)*100),"NA",IF(((CO280/CG280-1)*100)&gt;100,"NM",IF(((CO280/CG280-1)*100)&lt;-50,"NM",(CO280/CG280-1)*100)))</f>
        <v>NA</v>
      </c>
      <c r="CQ280" s="542">
        <v>1967</v>
      </c>
      <c r="CR280" s="98" t="str">
        <f>IF(ISERROR((CQ280/CI280-1)*100),"NA",IF(((CQ280/CI280-1)*100)&gt;100,"NM",IF(((CQ280/CI280-1)*100)&lt;-50,"NM",(CQ280/CI280-1)*100)))</f>
        <v>NA</v>
      </c>
      <c r="CS280" s="101">
        <v>1942</v>
      </c>
      <c r="CT280" s="98" t="str">
        <f>IF(ISERROR((CS280/CK280-1)*100),"NA",IF(((CS280/CK280-1)*100)&gt;100,"NM",IF(((CS280/CK280-1)*100)&lt;-50,"NM",(CS280/CK280-1)*100)))</f>
        <v>NM</v>
      </c>
      <c r="CU280" s="101">
        <v>2039</v>
      </c>
      <c r="CV280" s="98">
        <f>IF(ISERROR((CU280/CM280-1)*100),"NA",IF(((CU280/CM280-1)*100)&gt;100,"NM",IF(((CU280/CM280-1)*100)&lt;-50,"NM",(CU280/CM280-1)*100)))</f>
        <v>13.089295618413765</v>
      </c>
      <c r="CW280" s="101">
        <v>2064</v>
      </c>
      <c r="CX280" s="98">
        <f>IF(ISERROR((CW280/CO280-1)*100),"NA",IF(((CW280/CO280-1)*100)&gt;100,"NM",IF(((CW280/CO280-1)*100)&lt;-50,"NM",(CW280/CO280-1)*100)))</f>
        <v>9.554140127388532</v>
      </c>
      <c r="CY280" s="101">
        <v>2112</v>
      </c>
      <c r="CZ280" s="98">
        <f>IF(ISERROR((CY280/CQ280-1)*100),"NA",IF(((CY280/CQ280-1)*100)&gt;100,"NM",IF(((CY280/CQ280-1)*100)&lt;-50,"NM",(CY280/CQ280-1)*100)))</f>
        <v>7.371631926792066</v>
      </c>
      <c r="DA280" s="101">
        <v>2129</v>
      </c>
      <c r="DB280" s="98">
        <f>IF(ISERROR((DA280/CS280-1)*100),"NA",IF(((DA280/CS280-1)*100)&gt;100,"NM",IF(((DA280/CS280-1)*100)&lt;-50,"NM",(DA280/CS280-1)*100)))</f>
        <v>9.629248197734297</v>
      </c>
      <c r="DC280" s="101">
        <v>1998</v>
      </c>
      <c r="DD280" s="98">
        <f>IF(ISERROR((DC280/CU280-1)*100),"NA",IF(((DC280/CU280-1)*100)&gt;100,"NM",IF(((DC280/CU280-1)*100)&lt;-50,"NM",(DC280/CU280-1)*100)))</f>
        <v>-2.0107896027464434</v>
      </c>
      <c r="DE280" s="101">
        <v>1980</v>
      </c>
      <c r="DF280" s="98">
        <f>IF(ISERROR((DE280/CW280-1)*100),"NA",IF(((DE280/CW280-1)*100)&gt;100,"NM",IF(((DE280/CW280-1)*100)&lt;-50,"NM",(DE280/CW280-1)*100)))</f>
        <v>-4.0697674418604617</v>
      </c>
      <c r="DG280" s="101">
        <v>1922</v>
      </c>
      <c r="DH280" s="98">
        <f>IF(ISERROR((DG280/CY280-1)*100),"NA",IF(((DG280/CY280-1)*100)&gt;100,"NM",IF(((DG280/CY280-1)*100)&lt;-50,"NM",(DG280/CY280-1)*100)))</f>
        <v>-8.9962121212121211</v>
      </c>
      <c r="DI280" s="101">
        <v>1901</v>
      </c>
      <c r="DJ280" s="98">
        <f>IF(ISERROR((DI280/DA280-1)*100),"NA",IF(((DI280/DA280-1)*100)&gt;100,"NM",IF(((DI280/DA280-1)*100)&lt;-50,"NM",(DI280/DA280-1)*100)))</f>
        <v>-10.709253170502587</v>
      </c>
      <c r="DK280" s="101">
        <v>1890</v>
      </c>
      <c r="DL280" s="98">
        <f>IF(ISERROR((DK280/DC280-1)*100),"NA",IF(((DK280/DC280-1)*100)&gt;100,"NM",IF(((DK280/DC280-1)*100)&lt;-50,"NM",(DK280/DC280-1)*100)))</f>
        <v>-5.4054054054054053</v>
      </c>
      <c r="DM280" s="101">
        <v>1913</v>
      </c>
      <c r="DN280" s="98">
        <f>IF(ISERROR((DM280/DE280-1)*100),"NA",IF(((DM280/DE280-1)*100)&gt;100,"NM",IF(((DM280/DE280-1)*100)&lt;-50,"NM",(DM280/DE280-1)*100)))</f>
        <v>-3.383838383838389</v>
      </c>
      <c r="DO280" s="101">
        <v>1939</v>
      </c>
      <c r="DP280" s="98">
        <f>IF(ISERROR((DO280/DG280-1)*100),"NA",IF(((DO280/DG280-1)*100)&gt;100,"NM",IF(((DO280/DG280-1)*100)&lt;-50,"NM",(DO280/DG280-1)*100)))</f>
        <v>0.88449531737773146</v>
      </c>
      <c r="DQ280" s="101">
        <v>1824</v>
      </c>
      <c r="DR280" s="98">
        <f>IF(ISERROR((DQ280/DI280-1)*100),"NA",IF(((DQ280/DI280-1)*100)&gt;100,"NM",IF(((DQ280/DI280-1)*100)&lt;-50,"NM",(DQ280/DI280-1)*100)))</f>
        <v>-4.0504997369805391</v>
      </c>
      <c r="DS280" s="101">
        <v>1752</v>
      </c>
      <c r="DT280" s="98">
        <f>IF(ISERROR((DS280/DK280-1)*100),"NA",IF(((DS280/DK280-1)*100)&gt;100,"NM",IF(((DS280/DK280-1)*100)&lt;-50,"NM",(DS280/DK280-1)*100)))</f>
        <v>-7.3015873015872979</v>
      </c>
      <c r="DU280" s="101">
        <v>1809</v>
      </c>
      <c r="DV280" s="98">
        <f>IF(ISERROR((DU280/DM280-1)*100),"NA",IF(((DU280/DM280-1)*100)&gt;100,"NM",IF(((DU280/DM280-1)*100)&lt;-50,"NM",(DU280/DM280-1)*100)))</f>
        <v>-5.4364871928907483</v>
      </c>
      <c r="DW280" s="101">
        <v>1736</v>
      </c>
      <c r="DX280" s="98">
        <f>IF(ISERROR((DW280/DO280-1)*100),"NA",IF(((DW280/DO280-1)*100)&gt;100,"NM",IF(((DW280/DO280-1)*100)&lt;-50,"NM",(DW280/DO280-1)*100)))</f>
        <v>-10.469314079422388</v>
      </c>
      <c r="DY280" s="101">
        <v>1640</v>
      </c>
      <c r="DZ280" s="98">
        <f>IF(ISERROR((DY280/DQ280-1)*100),"NA",IF(((DY280/DQ280-1)*100)&gt;100,"NM",IF(((DY280/DQ280-1)*100)&lt;-50,"NM",(DY280/DQ280-1)*100)))</f>
        <v>-10.087719298245613</v>
      </c>
      <c r="EA280" s="101">
        <v>1658</v>
      </c>
      <c r="EB280" s="98">
        <f>IF(ISERROR((EA280/DS280-1)*100),"NA",IF(((EA280/DS280-1)*100)&gt;100,"NM",IF(((EA280/DS280-1)*100)&lt;-50,"NM",(EA280/DS280-1)*100)))</f>
        <v>-5.3652968036529636</v>
      </c>
      <c r="EC280" s="101">
        <v>1681</v>
      </c>
      <c r="ED280" s="98">
        <f>IF(ISERROR((EC280/DU280-1)*100),"NA",IF(((EC280/DU280-1)*100)&gt;100,"NM",IF(((EC280/DU280-1)*100)&lt;-50,"NM",(EC280/DU280-1)*100)))</f>
        <v>-7.0757324488667788</v>
      </c>
      <c r="EE280" s="101">
        <v>1822</v>
      </c>
      <c r="EF280" s="860">
        <f>IF(ISERROR((EE280/DW280-1)*100),"NA",IF(((EE280/DW280-1)*100)&gt;100,"NM",IF(((EE280/DW280-1)*100)&lt;-50,"NM",(EE280/DW280-1)*100)))</f>
        <v>4.9539170506912367</v>
      </c>
      <c r="EG280" s="101">
        <v>1741</v>
      </c>
      <c r="EH280" s="860">
        <f>IF(ISERROR((EG280/DY280-1)*100),"NA",IF(((EG280/DY280-1)*100)&gt;100,"NM",IF(((EG280/DY280-1)*100)&lt;-50,"NM",(EG280/DY280-1)*100)))</f>
        <v>6.158536585365848</v>
      </c>
      <c r="EI280" s="101">
        <v>1708</v>
      </c>
      <c r="EJ280" s="860">
        <f t="shared" ref="EJ280:EJ284" si="1515">IF(ISERROR((EI280/EA280-1)*100),"NA",IF(((EI280/EA280-1)*100)&gt;100,"NM",IF(((EI280/EA280-1)*100)&lt;-50,"NM",(EI280/EA280-1)*100)))</f>
        <v>3.0156815440289586</v>
      </c>
      <c r="EK280" s="101">
        <v>1659</v>
      </c>
      <c r="EL280" s="860">
        <f t="shared" ref="EL280:EL284" si="1516">IF(ISERROR((EK280/EC280-1)*100),"NA",IF(((EK280/EC280-1)*100)&gt;100,"NM",IF(((EK280/EC280-1)*100)&lt;-50,"NM",(EK280/EC280-1)*100)))</f>
        <v>-1.3087447947650155</v>
      </c>
      <c r="EM280" s="101">
        <v>1696</v>
      </c>
      <c r="EN280" s="860">
        <f t="shared" ref="EN280:EN284" si="1517">IF(ISERROR((EM280/EE280-1)*100),"NA",IF(((EM280/EE280-1)*100)&gt;100,"NM",IF(((EM280/EE280-1)*100)&lt;-50,"NM",(EM280/EE280-1)*100)))</f>
        <v>-6.915477497255762</v>
      </c>
      <c r="EO280" s="101">
        <v>1692</v>
      </c>
      <c r="EP280" s="98">
        <f t="shared" ref="EP280:EP284" si="1518">IF(ISERROR((EO280/EG280-1)*100),"NA",IF(((EO280/EG280-1)*100)&gt;100,"NM",IF(((EO280/EG280-1)*100)&lt;-50,"NM",(EO280/EG280-1)*100)))</f>
        <v>-2.8144744399770216</v>
      </c>
      <c r="EQ280" s="952">
        <f>EO280*1.015</f>
        <v>1717.3799999999999</v>
      </c>
      <c r="ER280" s="98">
        <f t="shared" ref="ER280:ER284" si="1519">IF(ISERROR((EQ280/EI280-1)*100),"NA",IF(((EQ280/EI280-1)*100)&gt;100,"NM",IF(((EQ280/EI280-1)*100)&lt;-50,"NM",(EQ280/EI280-1)*100)))</f>
        <v>0.54918032786883675</v>
      </c>
      <c r="ES280" s="952">
        <f t="shared" ref="ES280" si="1520">EQ280*1.015</f>
        <v>1743.1406999999997</v>
      </c>
      <c r="ET280" s="98">
        <f t="shared" ref="ET280:ET284" si="1521">IF(ISERROR((ES280/EK280-1)*100),"NA",IF(((ES280/EK280-1)*100)&gt;100,"NM",IF(((ES280/EK280-1)*100)&lt;-50,"NM",(ES280/EK280-1)*100)))</f>
        <v>5.0717721518987124</v>
      </c>
      <c r="EU280" s="952">
        <f t="shared" ref="EU280" si="1522">ES280*1.015</f>
        <v>1769.2878104999995</v>
      </c>
      <c r="EV280" s="98">
        <f t="shared" ref="EV280:EV284" si="1523">IF(ISERROR((EU280/EM280-1)*100),"NA",IF(((EU280/EM280-1)*100)&gt;100,"NM",IF(((EU280/EM280-1)*100)&lt;-50,"NM",(EU280/EM280-1)*100)))</f>
        <v>4.3212152417452465</v>
      </c>
      <c r="EW280" s="952">
        <f t="shared" ref="EW280" si="1524">EU280*1.015</f>
        <v>1795.8271276574994</v>
      </c>
      <c r="EX280" s="98">
        <f t="shared" ref="EX280:EX284" si="1525">IF(ISERROR((EW280/EO280-1)*100),"NA",IF(((EW280/EO280-1)*100)&gt;100,"NM",IF(((EW280/EO280-1)*100)&lt;-50,"NM",(EW280/EO280-1)*100)))</f>
        <v>6.1363550624999652</v>
      </c>
      <c r="EY280" s="294"/>
      <c r="EZ280" s="601"/>
      <c r="FA280" s="411"/>
      <c r="FB280" s="242"/>
      <c r="FC280" s="233"/>
      <c r="FD280" s="291"/>
      <c r="FE280" s="233"/>
      <c r="FF280" s="291"/>
      <c r="FG280" s="233"/>
      <c r="FH280" s="291"/>
      <c r="FI280" s="233"/>
      <c r="FJ280" s="291"/>
      <c r="FK280" s="233"/>
      <c r="FL280" s="291"/>
      <c r="FM280" s="233"/>
      <c r="FN280" s="291"/>
      <c r="FO280" s="233"/>
      <c r="FP280" s="291"/>
      <c r="FQ280" s="233"/>
      <c r="FR280" s="292"/>
      <c r="FS280" s="120"/>
      <c r="FT280" s="292"/>
      <c r="FU280" s="120"/>
      <c r="FV280" s="292"/>
      <c r="FW280" s="233"/>
      <c r="FX280" s="483"/>
      <c r="FY280" s="233"/>
      <c r="FZ280" s="160">
        <f>CE280+CG280+CI280+CK280</f>
        <v>499</v>
      </c>
      <c r="GA280" s="98" t="str">
        <f>IF(ISERROR((FZ280/FX280-1)*100),"NA",IF(((FZ280/FX280-1)*100)&gt;100,"NM",IF(((FZ280/FX280-1)*100)&lt;-50,"NM",(FZ280/FX280-1)*100)))</f>
        <v>NA</v>
      </c>
      <c r="GB280" s="542">
        <v>7716</v>
      </c>
      <c r="GC280" s="98" t="str">
        <f>IF(ISERROR((GB280/FZ280-1)*100),"NA",IF(((GB280/FZ280-1)*100)&gt;100,"NM",IF(((GB280/FZ280-1)*100)&lt;-50,"NM",(GB280/FZ280-1)*100)))</f>
        <v>NM</v>
      </c>
      <c r="GD280" s="160">
        <f>CU280+CW280+CY280+DA280</f>
        <v>8344</v>
      </c>
      <c r="GE280" s="98">
        <f>IF(ISERROR((GD280/GB280-1)*100),"NA",IF(((GD280/GB280-1)*100)&gt;100,"NM",IF(((GD280/GB280-1)*100)&lt;-50,"NM",(GD280/GB280-1)*100)))</f>
        <v>8.1389320891653618</v>
      </c>
      <c r="GF280" s="160">
        <f>DC280+DE280+DG280+DI280</f>
        <v>7801</v>
      </c>
      <c r="GG280" s="98">
        <f>IF(ISERROR((GF280/GD280-1)*100),"NA",IF(((GF280/GD280-1)*100)&gt;100,"NM",IF(((GF280/GD280-1)*100)&lt;-50,"NM",(GF280/GD280-1)*100)))</f>
        <v>-6.5076701821668248</v>
      </c>
      <c r="GH280" s="160">
        <f>DK280+DM280+DO280+DQ280</f>
        <v>7566</v>
      </c>
      <c r="GI280" s="98">
        <f>IF(ISERROR((GH280/GF280-1)*100),"NA",IF(((GH280/GF280-1)*100)&gt;100,"NM",IF(((GH280/GF280-1)*100)&lt;-50,"NM",(GH280/GF280-1)*100)))</f>
        <v>-3.0124343032944534</v>
      </c>
      <c r="GJ280" s="160">
        <f>DS280+DU280+DW280+DY280</f>
        <v>6937</v>
      </c>
      <c r="GK280" s="98">
        <f>IF(ISERROR((GJ280/GH280-1)*100),"NA",IF(((GJ280/GH280-1)*100)&gt;100,"NM",IF(((GJ280/GH280-1)*100)&lt;-50,"NM",(GJ280/GH280-1)*100)))</f>
        <v>-8.3135077980438847</v>
      </c>
      <c r="GL280" s="160">
        <f>EA280+EC280+EE280+EG280</f>
        <v>6902</v>
      </c>
      <c r="GM280" s="98">
        <f>IF(ISERROR((GL280/GJ280-1)*100),"NA",IF(((GL280/GJ280-1)*100)&gt;100,"NM",IF(((GL280/GJ280-1)*100)&lt;-50,"NM",(GL280/GJ280-1)*100)))</f>
        <v>-0.50454086781028806</v>
      </c>
      <c r="GN280" s="160">
        <f>EI280+EK280+EM280+EO280</f>
        <v>6755</v>
      </c>
      <c r="GO280" s="98">
        <f>IF(ISERROR((GN280/GL280-1)*100),"NA",IF(((GN280/GL280-1)*100)&gt;100,"NM",IF(((GN280/GL280-1)*100)&lt;-50,"NM",(GN280/GL280-1)*100)))</f>
        <v>-2.1298174442190621</v>
      </c>
      <c r="GP280" s="160">
        <f>EQ280+ES280+EU280+EW280</f>
        <v>7025.6356381574988</v>
      </c>
      <c r="GQ280" s="98">
        <f>IF(ISERROR((GP280/GN280-1)*100),"NA",IF(((GP280/GN280-1)*100)&gt;100,"NM",IF(((GP280/GN280-1)*100)&lt;-50,"NM",(GP280/GN280-1)*100)))</f>
        <v>4.0064491215025644</v>
      </c>
      <c r="GR280" s="121">
        <f>GP280*1.05</f>
        <v>7376.9174200653742</v>
      </c>
      <c r="GS280" s="98">
        <f>IF(ISERROR((GR280/GP280-1)*100),"NA",IF(((GR280/GP280-1)*100)&gt;100,"NM",IF(((GR280/GP280-1)*100)&lt;-50,"NM",(GR280/GP280-1)*100)))</f>
        <v>5.0000000000000044</v>
      </c>
      <c r="GT280" s="121">
        <f>GR280*1.05</f>
        <v>7745.7632910686434</v>
      </c>
      <c r="GU280" s="98">
        <f>IF(ISERROR((GT280/GR280-1)*100),"NA",IF(((GT280/GR280-1)*100)&gt;100,"NM",IF(((GT280/GR280-1)*100)&lt;-50,"NM",(GT280/GR280-1)*100)))</f>
        <v>5.0000000000000044</v>
      </c>
      <c r="GV280" s="121">
        <f>GT280*1.05</f>
        <v>8133.051455622076</v>
      </c>
      <c r="GW280" s="98">
        <f>IF(ISERROR((GV280/GT280-1)*100),"NA",IF(((GV280/GT280-1)*100)&gt;100,"NM",IF(((GV280/GT280-1)*100)&lt;-50,"NM",(GV280/GT280-1)*100)))</f>
        <v>5.0000000000000044</v>
      </c>
      <c r="GX280" s="121">
        <f>GV280*1.05</f>
        <v>8539.7040284031809</v>
      </c>
      <c r="GY280" s="98">
        <f>IF(ISERROR((GX280/GV280-1)*100),"NA",IF(((GX280/GV280-1)*100)&gt;100,"NM",IF(((GX280/GV280-1)*100)&lt;-50,"NM",(GX280/GV280-1)*100)))</f>
        <v>5.0000000000000044</v>
      </c>
      <c r="GZ280" s="98">
        <f>IF(ISERROR(((GX280/GN280)^0.2-1)*100),"NA",IF((((GX280/GN280)^0.2-1)*100)&gt;100,"NM",IF((((GX280/GN280)^0.2-1)*100)&lt;-50,"NM",((GX280/GN280)^0.2-1)*100)))</f>
        <v>4.8005334165443836</v>
      </c>
      <c r="HA280" s="98"/>
      <c r="HB280" s="10"/>
      <c r="HC280"/>
      <c r="HD280"/>
      <c r="HE280"/>
      <c r="HF280"/>
      <c r="HG280"/>
      <c r="HH280"/>
      <c r="HI280" s="10"/>
    </row>
    <row r="281" spans="2:217" s="2" customFormat="1" ht="12.75" customHeight="1" x14ac:dyDescent="0.2">
      <c r="B281" s="91" t="s">
        <v>560</v>
      </c>
      <c r="C281" s="293"/>
      <c r="D281" s="98"/>
      <c r="E281" s="293"/>
      <c r="F281" s="98"/>
      <c r="G281" s="293"/>
      <c r="H281" s="98"/>
      <c r="I281" s="293"/>
      <c r="J281" s="233"/>
      <c r="K281" s="293"/>
      <c r="L281" s="233"/>
      <c r="M281" s="293"/>
      <c r="N281" s="233"/>
      <c r="O281" s="293"/>
      <c r="P281" s="233"/>
      <c r="Q281" s="293"/>
      <c r="R281" s="233"/>
      <c r="S281" s="293"/>
      <c r="T281" s="233"/>
      <c r="U281" s="293"/>
      <c r="V281" s="233"/>
      <c r="W281" s="293"/>
      <c r="X281" s="233"/>
      <c r="Y281" s="293"/>
      <c r="Z281" s="233"/>
      <c r="AA281" s="293"/>
      <c r="AB281" s="233"/>
      <c r="AC281" s="293"/>
      <c r="AD281" s="233"/>
      <c r="AE281" s="293"/>
      <c r="AF281" s="233"/>
      <c r="AG281" s="124"/>
      <c r="AH281" s="233"/>
      <c r="AI281" s="124"/>
      <c r="AJ281" s="233"/>
      <c r="AK281" s="124"/>
      <c r="AL281" s="233"/>
      <c r="AM281" s="124"/>
      <c r="AN281" s="233"/>
      <c r="AO281" s="124"/>
      <c r="AP281" s="233"/>
      <c r="AQ281" s="124"/>
      <c r="AR281" s="233"/>
      <c r="AS281" s="124"/>
      <c r="AT281" s="233"/>
      <c r="AU281" s="124"/>
      <c r="AV281" s="233"/>
      <c r="AW281" s="124"/>
      <c r="AX281" s="233"/>
      <c r="AY281" s="137"/>
      <c r="AZ281" s="233"/>
      <c r="BA281" s="137"/>
      <c r="BB281" s="233"/>
      <c r="BC281" s="137"/>
      <c r="BD281" s="233"/>
      <c r="BE281" s="137"/>
      <c r="BF281" s="233"/>
      <c r="BG281" s="137"/>
      <c r="BH281" s="233"/>
      <c r="BI281" s="137"/>
      <c r="BJ281" s="233"/>
      <c r="BK281" s="137"/>
      <c r="BL281" s="233"/>
      <c r="BM281" s="137"/>
      <c r="BN281" s="233"/>
      <c r="BO281" s="137"/>
      <c r="BP281" s="233"/>
      <c r="BQ281" s="137"/>
      <c r="BR281" s="233"/>
      <c r="BS281" s="137"/>
      <c r="BT281" s="233"/>
      <c r="BU281" s="137"/>
      <c r="BV281" s="233"/>
      <c r="BW281" s="137"/>
      <c r="BX281" s="233"/>
      <c r="BY281" s="137"/>
      <c r="BZ281" s="233"/>
      <c r="CA281" s="137"/>
      <c r="CB281" s="233"/>
      <c r="CC281" s="137"/>
      <c r="CD281" s="233"/>
      <c r="CE281" s="137"/>
      <c r="CF281" s="233"/>
      <c r="CG281" s="137"/>
      <c r="CH281" s="233"/>
      <c r="CI281" s="137"/>
      <c r="CJ281" s="233"/>
      <c r="CK281" s="101">
        <v>55</v>
      </c>
      <c r="CL281" s="98" t="str">
        <f>IF(ISERROR((CK281/CC281-1)*100),"NA",IF(((CK281/CC281-1)*100)&gt;100,"NM",IF(((CK281/CC281-1)*100)&lt;-50,"NM",(CK281/CC281-1)*100)))</f>
        <v>NA</v>
      </c>
      <c r="CM281" s="101">
        <v>297</v>
      </c>
      <c r="CN281" s="98" t="str">
        <f>IF(ISERROR((CM281/CE281-1)*100),"NA",IF(((CM281/CE281-1)*100)&gt;100,"NM",IF(((CM281/CE281-1)*100)&lt;-50,"NM",(CM281/CE281-1)*100)))</f>
        <v>NA</v>
      </c>
      <c r="CO281" s="101">
        <v>296</v>
      </c>
      <c r="CP281" s="98" t="str">
        <f>IF(ISERROR((CO281/CG281-1)*100),"NA",IF(((CO281/CG281-1)*100)&gt;100,"NM",IF(((CO281/CG281-1)*100)&lt;-50,"NM",(CO281/CG281-1)*100)))</f>
        <v>NA</v>
      </c>
      <c r="CQ281" s="542">
        <v>357</v>
      </c>
      <c r="CR281" s="98" t="str">
        <f>IF(ISERROR((CQ281/CI281-1)*100),"NA",IF(((CQ281/CI281-1)*100)&gt;100,"NM",IF(((CQ281/CI281-1)*100)&lt;-50,"NM",(CQ281/CI281-1)*100)))</f>
        <v>NA</v>
      </c>
      <c r="CS281" s="101">
        <v>323</v>
      </c>
      <c r="CT281" s="98" t="str">
        <f>IF(ISERROR((CS281/CK281-1)*100),"NA",IF(((CS281/CK281-1)*100)&gt;100,"NM",IF(((CS281/CK281-1)*100)&lt;-50,"NM",(CS281/CK281-1)*100)))</f>
        <v>NM</v>
      </c>
      <c r="CU281" s="101">
        <v>362</v>
      </c>
      <c r="CV281" s="98">
        <f>IF(ISERROR((CU281/CM281-1)*100),"NA",IF(((CU281/CM281-1)*100)&gt;100,"NM",IF(((CU281/CM281-1)*100)&lt;-50,"NM",(CU281/CM281-1)*100)))</f>
        <v>21.885521885521886</v>
      </c>
      <c r="CW281" s="101">
        <v>352</v>
      </c>
      <c r="CX281" s="98">
        <f>IF(ISERROR((CW281/CO281-1)*100),"NA",IF(((CW281/CO281-1)*100)&gt;100,"NM",IF(((CW281/CO281-1)*100)&lt;-50,"NM",(CW281/CO281-1)*100)))</f>
        <v>18.918918918918926</v>
      </c>
      <c r="CY281" s="101">
        <v>388</v>
      </c>
      <c r="CZ281" s="98">
        <f>IF(ISERROR((CY281/CQ281-1)*100),"NA",IF(((CY281/CQ281-1)*100)&gt;100,"NM",IF(((CY281/CQ281-1)*100)&lt;-50,"NM",(CY281/CQ281-1)*100)))</f>
        <v>8.6834733893557328</v>
      </c>
      <c r="DA281" s="101">
        <v>389</v>
      </c>
      <c r="DB281" s="98">
        <f>IF(ISERROR((DA281/CS281-1)*100),"NA",IF(((DA281/CS281-1)*100)&gt;100,"NM",IF(((DA281/CS281-1)*100)&lt;-50,"NM",(DA281/CS281-1)*100)))</f>
        <v>20.433436532507731</v>
      </c>
      <c r="DC281" s="101">
        <v>444</v>
      </c>
      <c r="DD281" s="98">
        <f>IF(ISERROR((DC281/CU281-1)*100),"NA",IF(((DC281/CU281-1)*100)&gt;100,"NM",IF(((DC281/CU281-1)*100)&lt;-50,"NM",(DC281/CU281-1)*100)))</f>
        <v>22.651933701657455</v>
      </c>
      <c r="DE281" s="101">
        <v>442</v>
      </c>
      <c r="DF281" s="98">
        <f>IF(ISERROR((DE281/CW281-1)*100),"NA",IF(((DE281/CW281-1)*100)&gt;100,"NM",IF(((DE281/CW281-1)*100)&lt;-50,"NM",(DE281/CW281-1)*100)))</f>
        <v>25.568181818181813</v>
      </c>
      <c r="DG281" s="101">
        <v>438</v>
      </c>
      <c r="DH281" s="98">
        <f>IF(ISERROR((DG281/CY281-1)*100),"NA",IF(((DG281/CY281-1)*100)&gt;100,"NM",IF(((DG281/CY281-1)*100)&lt;-50,"NM",(DG281/CY281-1)*100)))</f>
        <v>12.886597938144329</v>
      </c>
      <c r="DI281" s="101">
        <v>398</v>
      </c>
      <c r="DJ281" s="98">
        <f>IF(ISERROR((DI281/DA281-1)*100),"NA",IF(((DI281/DA281-1)*100)&gt;100,"NM",IF(((DI281/DA281-1)*100)&lt;-50,"NM",(DI281/DA281-1)*100)))</f>
        <v>2.3136246786632286</v>
      </c>
      <c r="DK281" s="101">
        <v>389</v>
      </c>
      <c r="DL281" s="98">
        <f>IF(ISERROR((DK281/DC281-1)*100),"NA",IF(((DK281/DC281-1)*100)&gt;100,"NM",IF(((DK281/DC281-1)*100)&lt;-50,"NM",(DK281/DC281-1)*100)))</f>
        <v>-12.387387387387383</v>
      </c>
      <c r="DM281" s="101">
        <v>400</v>
      </c>
      <c r="DN281" s="98">
        <f>IF(ISERROR((DM281/DE281-1)*100),"NA",IF(((DM281/DE281-1)*100)&gt;100,"NM",IF(((DM281/DE281-1)*100)&lt;-50,"NM",(DM281/DE281-1)*100)))</f>
        <v>-9.502262443438914</v>
      </c>
      <c r="DO281" s="101">
        <v>487</v>
      </c>
      <c r="DP281" s="98">
        <f>IF(ISERROR((DO281/DG281-1)*100),"NA",IF(((DO281/DG281-1)*100)&gt;100,"NM",IF(((DO281/DG281-1)*100)&lt;-50,"NM",(DO281/DG281-1)*100)))</f>
        <v>11.187214611872154</v>
      </c>
      <c r="DQ281" s="101">
        <v>417</v>
      </c>
      <c r="DR281" s="98">
        <f>IF(ISERROR((DQ281/DI281-1)*100),"NA",IF(((DQ281/DI281-1)*100)&gt;100,"NM",IF(((DQ281/DI281-1)*100)&lt;-50,"NM",(DQ281/DI281-1)*100)))</f>
        <v>4.7738693467336724</v>
      </c>
      <c r="DS281" s="101">
        <v>397</v>
      </c>
      <c r="DT281" s="98">
        <f>IF(ISERROR((DS281/DK281-1)*100),"NA",IF(((DS281/DK281-1)*100)&gt;100,"NM",IF(((DS281/DK281-1)*100)&lt;-50,"NM",(DS281/DK281-1)*100)))</f>
        <v>2.0565552699228773</v>
      </c>
      <c r="DU281" s="101">
        <v>400</v>
      </c>
      <c r="DV281" s="98">
        <f>IF(ISERROR((DU281/DM281-1)*100),"NA",IF(((DU281/DM281-1)*100)&gt;100,"NM",IF(((DU281/DM281-1)*100)&lt;-50,"NM",(DU281/DM281-1)*100)))</f>
        <v>0</v>
      </c>
      <c r="DW281" s="101">
        <v>382</v>
      </c>
      <c r="DX281" s="98">
        <f>IF(ISERROR((DW281/DO281-1)*100),"NA",IF(((DW281/DO281-1)*100)&gt;100,"NM",IF(((DW281/DO281-1)*100)&lt;-50,"NM",(DW281/DO281-1)*100)))</f>
        <v>-21.560574948665302</v>
      </c>
      <c r="DY281" s="101">
        <v>363</v>
      </c>
      <c r="DZ281" s="98">
        <f>IF(ISERROR((DY281/DQ281-1)*100),"NA",IF(((DY281/DQ281-1)*100)&gt;100,"NM",IF(((DY281/DQ281-1)*100)&lt;-50,"NM",(DY281/DQ281-1)*100)))</f>
        <v>-12.949640287769782</v>
      </c>
      <c r="EA281" s="101">
        <v>350</v>
      </c>
      <c r="EB281" s="98">
        <f>IF(ISERROR((EA281/DS281-1)*100),"NA",IF(((EA281/DS281-1)*100)&gt;100,"NM",IF(((EA281/DS281-1)*100)&lt;-50,"NM",(EA281/DS281-1)*100)))</f>
        <v>-11.838790931989928</v>
      </c>
      <c r="EC281" s="101">
        <v>370</v>
      </c>
      <c r="ED281" s="98">
        <f>IF(ISERROR((EC281/DU281-1)*100),"NA",IF(((EC281/DU281-1)*100)&gt;100,"NM",IF(((EC281/DU281-1)*100)&lt;-50,"NM",(EC281/DU281-1)*100)))</f>
        <v>-7.4999999999999956</v>
      </c>
      <c r="EE281" s="101">
        <v>394</v>
      </c>
      <c r="EF281" s="860">
        <f>IF(ISERROR((EE281/DW281-1)*100),"NA",IF(((EE281/DW281-1)*100)&gt;100,"NM",IF(((EE281/DW281-1)*100)&lt;-50,"NM",(EE281/DW281-1)*100)))</f>
        <v>3.1413612565444948</v>
      </c>
      <c r="EG281" s="101">
        <v>373</v>
      </c>
      <c r="EH281" s="860">
        <f>IF(ISERROR((EG281/DY281-1)*100),"NA",IF(((EG281/DY281-1)*100)&gt;100,"NM",IF(((EG281/DY281-1)*100)&lt;-50,"NM",(EG281/DY281-1)*100)))</f>
        <v>2.7548209366391241</v>
      </c>
      <c r="EI281" s="101">
        <v>366</v>
      </c>
      <c r="EJ281" s="860">
        <f t="shared" si="1515"/>
        <v>4.5714285714285818</v>
      </c>
      <c r="EK281" s="101">
        <v>375</v>
      </c>
      <c r="EL281" s="860">
        <f t="shared" si="1516"/>
        <v>1.3513513513513598</v>
      </c>
      <c r="EM281" s="101">
        <v>458</v>
      </c>
      <c r="EN281" s="860">
        <f t="shared" si="1517"/>
        <v>16.243654822335031</v>
      </c>
      <c r="EO281" s="101">
        <v>385</v>
      </c>
      <c r="EP281" s="98">
        <f t="shared" si="1518"/>
        <v>3.2171581769437019</v>
      </c>
      <c r="EQ281" s="952">
        <f t="shared" ref="EQ281:EQ283" si="1526">EO281*1.01</f>
        <v>388.85</v>
      </c>
      <c r="ER281" s="98">
        <f t="shared" si="1519"/>
        <v>6.2431693989071002</v>
      </c>
      <c r="ES281" s="952">
        <f t="shared" ref="ES281:ES283" si="1527">EQ281*1.01</f>
        <v>392.73850000000004</v>
      </c>
      <c r="ET281" s="98">
        <f t="shared" si="1521"/>
        <v>4.7302666666666715</v>
      </c>
      <c r="EU281" s="952">
        <f t="shared" ref="EU281:EU283" si="1528">ES281*1.01</f>
        <v>396.66588500000006</v>
      </c>
      <c r="EV281" s="98">
        <f t="shared" si="1523"/>
        <v>-13.391728165938854</v>
      </c>
      <c r="EW281" s="952">
        <f t="shared" ref="EW281:EW283" si="1529">EU281*1.01</f>
        <v>400.63254385000005</v>
      </c>
      <c r="EX281" s="98">
        <f t="shared" si="1525"/>
        <v>4.0604010000000024</v>
      </c>
      <c r="EY281" s="294"/>
      <c r="EZ281" s="601"/>
      <c r="FA281" s="411"/>
      <c r="FB281" s="242"/>
      <c r="FC281" s="233"/>
      <c r="FD281" s="291"/>
      <c r="FE281" s="233"/>
      <c r="FF281" s="291"/>
      <c r="FG281" s="233"/>
      <c r="FH281" s="291"/>
      <c r="FI281" s="233"/>
      <c r="FJ281" s="291"/>
      <c r="FK281" s="233"/>
      <c r="FL281" s="291"/>
      <c r="FM281" s="233"/>
      <c r="FN281" s="291"/>
      <c r="FO281" s="233"/>
      <c r="FP281" s="291"/>
      <c r="FQ281" s="233"/>
      <c r="FR281" s="292"/>
      <c r="FS281" s="120"/>
      <c r="FT281" s="292"/>
      <c r="FU281" s="120"/>
      <c r="FV281" s="292"/>
      <c r="FW281" s="233"/>
      <c r="FX281" s="483"/>
      <c r="FY281" s="233"/>
      <c r="FZ281" s="160">
        <f>CE281+CG281+CI281+CK281</f>
        <v>55</v>
      </c>
      <c r="GA281" s="98" t="str">
        <f>IF(ISERROR((FZ281/FX281-1)*100),"NA",IF(((FZ281/FX281-1)*100)&gt;100,"NM",IF(((FZ281/FX281-1)*100)&lt;-50,"NM",(FZ281/FX281-1)*100)))</f>
        <v>NA</v>
      </c>
      <c r="GB281" s="542">
        <v>1343</v>
      </c>
      <c r="GC281" s="98" t="str">
        <f>IF(ISERROR((GB281/FZ281-1)*100),"NA",IF(((GB281/FZ281-1)*100)&gt;100,"NM",IF(((GB281/FZ281-1)*100)&lt;-50,"NM",(GB281/FZ281-1)*100)))</f>
        <v>NM</v>
      </c>
      <c r="GD281" s="160">
        <f>CU281+CW281+CY281+DA281</f>
        <v>1491</v>
      </c>
      <c r="GE281" s="98">
        <f>IF(ISERROR((GD281/GB281-1)*100),"NA",IF(((GD281/GB281-1)*100)&gt;100,"NM",IF(((GD281/GB281-1)*100)&lt;-50,"NM",(GD281/GB281-1)*100)))</f>
        <v>11.020104244229344</v>
      </c>
      <c r="GF281" s="160">
        <f>DC281+DE281+DG281+DI281</f>
        <v>1722</v>
      </c>
      <c r="GG281" s="98">
        <f>IF(ISERROR((GF281/GD281-1)*100),"NA",IF(((GF281/GD281-1)*100)&gt;100,"NM",IF(((GF281/GD281-1)*100)&lt;-50,"NM",(GF281/GD281-1)*100)))</f>
        <v>15.492957746478876</v>
      </c>
      <c r="GH281" s="160">
        <f>DK281+DM281+DO281+DQ281</f>
        <v>1693</v>
      </c>
      <c r="GI281" s="98">
        <f>IF(ISERROR((GH281/GF281-1)*100),"NA",IF(((GH281/GF281-1)*100)&gt;100,"NM",IF(((GH281/GF281-1)*100)&lt;-50,"NM",(GH281/GF281-1)*100)))</f>
        <v>-1.6840882694541204</v>
      </c>
      <c r="GJ281" s="160">
        <f>DS281+DU281+DW281+DY281</f>
        <v>1542</v>
      </c>
      <c r="GK281" s="98">
        <f>IF(ISERROR((GJ281/GH281-1)*100),"NA",IF(((GJ281/GH281-1)*100)&gt;100,"NM",IF(((GJ281/GH281-1)*100)&lt;-50,"NM",(GJ281/GH281-1)*100)))</f>
        <v>-8.9190785587714103</v>
      </c>
      <c r="GL281" s="160">
        <f>EA281+EC281+EE281+EG281</f>
        <v>1487</v>
      </c>
      <c r="GM281" s="98">
        <f>IF(ISERROR((GL281/GJ281-1)*100),"NA",IF(((GL281/GJ281-1)*100)&gt;100,"NM",IF(((GL281/GJ281-1)*100)&lt;-50,"NM",(GL281/GJ281-1)*100)))</f>
        <v>-3.566796368352787</v>
      </c>
      <c r="GN281" s="160">
        <f>EI281+EK281+EM281+EO281</f>
        <v>1584</v>
      </c>
      <c r="GO281" s="98">
        <f>IF(ISERROR((GN281/GL281-1)*100),"NA",IF(((GN281/GL281-1)*100)&gt;100,"NM",IF(((GN281/GL281-1)*100)&lt;-50,"NM",(GN281/GL281-1)*100)))</f>
        <v>6.5232010759919357</v>
      </c>
      <c r="GP281" s="160">
        <f>EQ281+ES281+EU281+EW281</f>
        <v>1578.8869288500002</v>
      </c>
      <c r="GQ281" s="98">
        <f>IF(ISERROR((GP281/GN281-1)*100),"NA",IF(((GP281/GN281-1)*100)&gt;100,"NM",IF(((GP281/GN281-1)*100)&lt;-50,"NM",(GP281/GN281-1)*100)))</f>
        <v>-0.32279489583332266</v>
      </c>
      <c r="GR281" s="121">
        <f>GP281*1.05</f>
        <v>1657.8312752925003</v>
      </c>
      <c r="GS281" s="98">
        <f>IF(ISERROR((GR281/GP281-1)*100),"NA",IF(((GR281/GP281-1)*100)&gt;100,"NM",IF(((GR281/GP281-1)*100)&lt;-50,"NM",(GR281/GP281-1)*100)))</f>
        <v>5.0000000000000044</v>
      </c>
      <c r="GT281" s="121">
        <f>GR281*1.05</f>
        <v>1740.7228390571254</v>
      </c>
      <c r="GU281" s="98">
        <f>IF(ISERROR((GT281/GR281-1)*100),"NA",IF(((GT281/GR281-1)*100)&gt;100,"NM",IF(((GT281/GR281-1)*100)&lt;-50,"NM",(GT281/GR281-1)*100)))</f>
        <v>5.0000000000000044</v>
      </c>
      <c r="GV281" s="121">
        <f>GT281*1.05</f>
        <v>1827.7589810099817</v>
      </c>
      <c r="GW281" s="98">
        <f>IF(ISERROR((GV281/GT281-1)*100),"NA",IF(((GV281/GT281-1)*100)&gt;100,"NM",IF(((GV281/GT281-1)*100)&lt;-50,"NM",(GV281/GT281-1)*100)))</f>
        <v>5.0000000000000044</v>
      </c>
      <c r="GX281" s="121">
        <f>GV281*1.05</f>
        <v>1919.1469300604808</v>
      </c>
      <c r="GY281" s="98">
        <f>IF(ISERROR((GX281/GV281-1)*100),"NA",IF(((GX281/GV281-1)*100)&gt;100,"NM",IF(((GX281/GV281-1)*100)&lt;-50,"NM",(GX281/GV281-1)*100)))</f>
        <v>5.0000000000000044</v>
      </c>
      <c r="GZ281" s="98">
        <f>IF(ISERROR(((GX281/GN281)^0.2-1)*100),"NA",IF((((GX281/GN281)^0.2-1)*100)&gt;100,"NM",IF((((GX281/GN281)^0.2-1)*100)&lt;-50,"NM",((GX281/GN281)^0.2-1)*100)))</f>
        <v>3.9131738188006304</v>
      </c>
      <c r="HA281" s="98"/>
      <c r="HB281" s="10"/>
      <c r="HC281"/>
      <c r="HD281"/>
      <c r="HE281"/>
      <c r="HF281"/>
      <c r="HG281"/>
      <c r="HH281"/>
      <c r="HI281" s="10"/>
    </row>
    <row r="282" spans="2:217" s="2" customFormat="1" ht="12.75" customHeight="1" x14ac:dyDescent="0.2">
      <c r="B282" s="91" t="s">
        <v>534</v>
      </c>
      <c r="C282" s="293"/>
      <c r="D282" s="98"/>
      <c r="E282" s="293"/>
      <c r="F282" s="98"/>
      <c r="G282" s="293"/>
      <c r="H282" s="98"/>
      <c r="I282" s="293"/>
      <c r="J282" s="233"/>
      <c r="K282" s="293"/>
      <c r="L282" s="233"/>
      <c r="M282" s="293"/>
      <c r="N282" s="233"/>
      <c r="O282" s="293"/>
      <c r="P282" s="233"/>
      <c r="Q282" s="293"/>
      <c r="R282" s="233"/>
      <c r="S282" s="293"/>
      <c r="T282" s="233"/>
      <c r="U282" s="293"/>
      <c r="V282" s="233"/>
      <c r="W282" s="293"/>
      <c r="X282" s="233"/>
      <c r="Y282" s="293"/>
      <c r="Z282" s="233"/>
      <c r="AA282" s="293"/>
      <c r="AB282" s="233"/>
      <c r="AC282" s="293"/>
      <c r="AD282" s="233"/>
      <c r="AE282" s="293"/>
      <c r="AF282" s="233"/>
      <c r="AG282" s="124"/>
      <c r="AH282" s="233"/>
      <c r="AI282" s="124"/>
      <c r="AJ282" s="233"/>
      <c r="AK282" s="124"/>
      <c r="AL282" s="233"/>
      <c r="AM282" s="124"/>
      <c r="AN282" s="233"/>
      <c r="AO282" s="124"/>
      <c r="AP282" s="233"/>
      <c r="AQ282" s="124"/>
      <c r="AR282" s="233"/>
      <c r="AS282" s="124"/>
      <c r="AT282" s="233"/>
      <c r="AU282" s="124"/>
      <c r="AV282" s="233"/>
      <c r="AW282" s="124"/>
      <c r="AX282" s="233"/>
      <c r="AY282" s="137"/>
      <c r="AZ282" s="233"/>
      <c r="BA282" s="137"/>
      <c r="BB282" s="233"/>
      <c r="BC282" s="137"/>
      <c r="BD282" s="233"/>
      <c r="BE282" s="137"/>
      <c r="BF282" s="233"/>
      <c r="BG282" s="137"/>
      <c r="BH282" s="233"/>
      <c r="BI282" s="137"/>
      <c r="BJ282" s="233"/>
      <c r="BK282" s="137"/>
      <c r="BL282" s="233"/>
      <c r="BM282" s="137"/>
      <c r="BN282" s="233"/>
      <c r="BO282" s="137"/>
      <c r="BP282" s="233"/>
      <c r="BQ282" s="137"/>
      <c r="BR282" s="233"/>
      <c r="BS282" s="137"/>
      <c r="BT282" s="233"/>
      <c r="BU282" s="137"/>
      <c r="BV282" s="233"/>
      <c r="BW282" s="137"/>
      <c r="BX282" s="233"/>
      <c r="BY282" s="137"/>
      <c r="BZ282" s="233"/>
      <c r="CA282" s="137"/>
      <c r="CB282" s="233"/>
      <c r="CC282" s="137"/>
      <c r="CD282" s="233"/>
      <c r="CE282" s="137"/>
      <c r="CF282" s="233"/>
      <c r="CG282" s="137"/>
      <c r="CH282" s="233"/>
      <c r="CI282" s="137"/>
      <c r="CJ282" s="233"/>
      <c r="CK282" s="101">
        <v>145</v>
      </c>
      <c r="CL282" s="98" t="str">
        <f>IF(ISERROR((CK282/CC282-1)*100),"NA",IF(((CK282/CC282-1)*100)&gt;100,"NM",IF(((CK282/CC282-1)*100)&lt;-50,"NM",(CK282/CC282-1)*100)))</f>
        <v>NA</v>
      </c>
      <c r="CM282" s="101">
        <v>513</v>
      </c>
      <c r="CN282" s="98" t="str">
        <f>IF(ISERROR((CM282/CE282-1)*100),"NA",IF(((CM282/CE282-1)*100)&gt;100,"NM",IF(((CM282/CE282-1)*100)&lt;-50,"NM",(CM282/CE282-1)*100)))</f>
        <v>NA</v>
      </c>
      <c r="CO282" s="101">
        <v>596</v>
      </c>
      <c r="CP282" s="98" t="str">
        <f>IF(ISERROR((CO282/CG282-1)*100),"NA",IF(((CO282/CG282-1)*100)&gt;100,"NM",IF(((CO282/CG282-1)*100)&lt;-50,"NM",(CO282/CG282-1)*100)))</f>
        <v>NA</v>
      </c>
      <c r="CQ282" s="542">
        <v>643</v>
      </c>
      <c r="CR282" s="98" t="str">
        <f>IF(ISERROR((CQ282/CI282-1)*100),"NA",IF(((CQ282/CI282-1)*100)&gt;100,"NM",IF(((CQ282/CI282-1)*100)&lt;-50,"NM",(CQ282/CI282-1)*100)))</f>
        <v>NA</v>
      </c>
      <c r="CS282" s="101">
        <v>676</v>
      </c>
      <c r="CT282" s="98" t="str">
        <f>IF(ISERROR((CS282/CK282-1)*100),"NA",IF(((CS282/CK282-1)*100)&gt;100,"NM",IF(((CS282/CK282-1)*100)&lt;-50,"NM",(CS282/CK282-1)*100)))</f>
        <v>NM</v>
      </c>
      <c r="CU282" s="101">
        <v>681</v>
      </c>
      <c r="CV282" s="98">
        <f>IF(ISERROR((CU282/CM282-1)*100),"NA",IF(((CU282/CM282-1)*100)&gt;100,"NM",IF(((CU282/CM282-1)*100)&lt;-50,"NM",(CU282/CM282-1)*100)))</f>
        <v>32.748538011695906</v>
      </c>
      <c r="CW282" s="101">
        <v>760</v>
      </c>
      <c r="CX282" s="98">
        <f>IF(ISERROR((CW282/CO282-1)*100),"NA",IF(((CW282/CO282-1)*100)&gt;100,"NM",IF(((CW282/CO282-1)*100)&lt;-50,"NM",(CW282/CO282-1)*100)))</f>
        <v>27.516778523489926</v>
      </c>
      <c r="CY282" s="101">
        <v>709</v>
      </c>
      <c r="CZ282" s="98">
        <f>IF(ISERROR((CY282/CQ282-1)*100),"NA",IF(((CY282/CQ282-1)*100)&gt;100,"NM",IF(((CY282/CQ282-1)*100)&lt;-50,"NM",(CY282/CQ282-1)*100)))</f>
        <v>10.264385692068423</v>
      </c>
      <c r="DA282" s="101">
        <v>745</v>
      </c>
      <c r="DB282" s="98">
        <f>IF(ISERROR((DA282/CS282-1)*100),"NA",IF(((DA282/CS282-1)*100)&gt;100,"NM",IF(((DA282/CS282-1)*100)&lt;-50,"NM",(DA282/CS282-1)*100)))</f>
        <v>10.207100591715967</v>
      </c>
      <c r="DC282" s="101">
        <v>732</v>
      </c>
      <c r="DD282" s="98">
        <f>IF(ISERROR((DC282/CU282-1)*100),"NA",IF(((DC282/CU282-1)*100)&gt;100,"NM",IF(((DC282/CU282-1)*100)&lt;-50,"NM",(DC282/CU282-1)*100)))</f>
        <v>7.4889867841409608</v>
      </c>
      <c r="DE282" s="101">
        <v>723</v>
      </c>
      <c r="DF282" s="98">
        <f>IF(ISERROR((DE282/CW282-1)*100),"NA",IF(((DE282/CW282-1)*100)&gt;100,"NM",IF(((DE282/CW282-1)*100)&lt;-50,"NM",(DE282/CW282-1)*100)))</f>
        <v>-4.868421052631577</v>
      </c>
      <c r="DG282" s="101">
        <v>696</v>
      </c>
      <c r="DH282" s="98">
        <f>IF(ISERROR((DG282/CY282-1)*100),"NA",IF(((DG282/CY282-1)*100)&gt;100,"NM",IF(((DG282/CY282-1)*100)&lt;-50,"NM",(DG282/CY282-1)*100)))</f>
        <v>-1.833568406205921</v>
      </c>
      <c r="DI282" s="101">
        <v>764</v>
      </c>
      <c r="DJ282" s="98">
        <f>IF(ISERROR((DI282/DA282-1)*100),"NA",IF(((DI282/DA282-1)*100)&gt;100,"NM",IF(((DI282/DA282-1)*100)&lt;-50,"NM",(DI282/DA282-1)*100)))</f>
        <v>2.5503355704697972</v>
      </c>
      <c r="DK282" s="101">
        <v>700</v>
      </c>
      <c r="DL282" s="98">
        <f>IF(ISERROR((DK282/DC282-1)*100),"NA",IF(((DK282/DC282-1)*100)&gt;100,"NM",IF(((DK282/DC282-1)*100)&lt;-50,"NM",(DK282/DC282-1)*100)))</f>
        <v>-4.3715846994535568</v>
      </c>
      <c r="DM282" s="101">
        <v>724</v>
      </c>
      <c r="DN282" s="98">
        <f>IF(ISERROR((DM282/DE282-1)*100),"NA",IF(((DM282/DE282-1)*100)&gt;100,"NM",IF(((DM282/DE282-1)*100)&lt;-50,"NM",(DM282/DE282-1)*100)))</f>
        <v>0.13831258644536604</v>
      </c>
      <c r="DO282" s="101">
        <v>738</v>
      </c>
      <c r="DP282" s="98">
        <f>IF(ISERROR((DO282/DG282-1)*100),"NA",IF(((DO282/DG282-1)*100)&gt;100,"NM",IF(((DO282/DG282-1)*100)&lt;-50,"NM",(DO282/DG282-1)*100)))</f>
        <v>6.0344827586206851</v>
      </c>
      <c r="DQ282" s="101">
        <v>724</v>
      </c>
      <c r="DR282" s="98">
        <f>IF(ISERROR((DQ282/DI282-1)*100),"NA",IF(((DQ282/DI282-1)*100)&gt;100,"NM",IF(((DQ282/DI282-1)*100)&lt;-50,"NM",(DQ282/DI282-1)*100)))</f>
        <v>-5.2356020942408428</v>
      </c>
      <c r="DS282" s="101">
        <v>684</v>
      </c>
      <c r="DT282" s="98">
        <f>IF(ISERROR((DS282/DK282-1)*100),"NA",IF(((DS282/DK282-1)*100)&gt;100,"NM",IF(((DS282/DK282-1)*100)&lt;-50,"NM",(DS282/DK282-1)*100)))</f>
        <v>-2.2857142857142909</v>
      </c>
      <c r="DU282" s="101">
        <v>679</v>
      </c>
      <c r="DV282" s="98">
        <f>IF(ISERROR((DU282/DM282-1)*100),"NA",IF(((DU282/DM282-1)*100)&gt;100,"NM",IF(((DU282/DM282-1)*100)&lt;-50,"NM",(DU282/DM282-1)*100)))</f>
        <v>-6.2154696132596721</v>
      </c>
      <c r="DW282" s="101">
        <v>670</v>
      </c>
      <c r="DX282" s="98">
        <f>IF(ISERROR((DW282/DO282-1)*100),"NA",IF(((DW282/DO282-1)*100)&gt;100,"NM",IF(((DW282/DO282-1)*100)&lt;-50,"NM",(DW282/DO282-1)*100)))</f>
        <v>-9.2140921409214034</v>
      </c>
      <c r="DY282" s="101">
        <v>642</v>
      </c>
      <c r="DZ282" s="98">
        <f>IF(ISERROR((DY282/DQ282-1)*100),"NA",IF(((DY282/DQ282-1)*100)&gt;100,"NM",IF(((DY282/DQ282-1)*100)&lt;-50,"NM",(DY282/DQ282-1)*100)))</f>
        <v>-11.325966850828728</v>
      </c>
      <c r="EA282" s="101">
        <v>618</v>
      </c>
      <c r="EB282" s="98">
        <f>IF(ISERROR((EA282/DS282-1)*100),"NA",IF(((EA282/DS282-1)*100)&gt;100,"NM",IF(((EA282/DS282-1)*100)&lt;-50,"NM",(EA282/DS282-1)*100)))</f>
        <v>-9.649122807017541</v>
      </c>
      <c r="EC282" s="101">
        <v>678</v>
      </c>
      <c r="ED282" s="98">
        <f>IF(ISERROR((EC282/DU282-1)*100),"NA",IF(((EC282/DU282-1)*100)&gt;100,"NM",IF(((EC282/DU282-1)*100)&lt;-50,"NM",(EC282/DU282-1)*100)))</f>
        <v>-0.14727540500736325</v>
      </c>
      <c r="EE282" s="101">
        <v>707</v>
      </c>
      <c r="EF282" s="860">
        <f>IF(ISERROR((EE282/DW282-1)*100),"NA",IF(((EE282/DW282-1)*100)&gt;100,"NM",IF(((EE282/DW282-1)*100)&lt;-50,"NM",(EE282/DW282-1)*100)))</f>
        <v>5.5223880597014885</v>
      </c>
      <c r="EG282" s="101">
        <v>704</v>
      </c>
      <c r="EH282" s="860">
        <f>IF(ISERROR((EG282/DY282-1)*100),"NA",IF(((EG282/DY282-1)*100)&gt;100,"NM",IF(((EG282/DY282-1)*100)&lt;-50,"NM",(EG282/DY282-1)*100)))</f>
        <v>9.6573208722741342</v>
      </c>
      <c r="EI282" s="101">
        <v>702</v>
      </c>
      <c r="EJ282" s="860">
        <f t="shared" si="1515"/>
        <v>13.592233009708732</v>
      </c>
      <c r="EK282" s="101">
        <v>729</v>
      </c>
      <c r="EL282" s="860">
        <f t="shared" si="1516"/>
        <v>7.5221238938053103</v>
      </c>
      <c r="EM282" s="101">
        <v>762</v>
      </c>
      <c r="EN282" s="860">
        <f t="shared" si="1517"/>
        <v>7.7793493635077704</v>
      </c>
      <c r="EO282" s="101">
        <v>792</v>
      </c>
      <c r="EP282" s="98">
        <f t="shared" si="1518"/>
        <v>12.5</v>
      </c>
      <c r="EQ282" s="952">
        <f>EO282*0.95</f>
        <v>752.4</v>
      </c>
      <c r="ER282" s="98">
        <f t="shared" si="1519"/>
        <v>7.1794871794871762</v>
      </c>
      <c r="ES282" s="952">
        <f t="shared" si="1527"/>
        <v>759.92399999999998</v>
      </c>
      <c r="ET282" s="98">
        <f t="shared" si="1521"/>
        <v>4.2419753086419654</v>
      </c>
      <c r="EU282" s="952">
        <f t="shared" si="1528"/>
        <v>767.52323999999999</v>
      </c>
      <c r="EV282" s="98">
        <f t="shared" si="1523"/>
        <v>0.72483464566928113</v>
      </c>
      <c r="EW282" s="952">
        <f t="shared" si="1529"/>
        <v>775.19847240000001</v>
      </c>
      <c r="EX282" s="98">
        <f t="shared" si="1525"/>
        <v>-2.1214049999999984</v>
      </c>
      <c r="EY282" s="291"/>
      <c r="EZ282" s="601"/>
      <c r="FA282" s="411"/>
      <c r="FB282" s="242"/>
      <c r="FC282" s="233"/>
      <c r="FD282" s="291"/>
      <c r="FE282" s="233"/>
      <c r="FF282" s="291"/>
      <c r="FG282" s="233"/>
      <c r="FH282" s="291"/>
      <c r="FI282" s="233"/>
      <c r="FJ282" s="291"/>
      <c r="FK282" s="233"/>
      <c r="FL282" s="291"/>
      <c r="FM282" s="233"/>
      <c r="FN282" s="291"/>
      <c r="FO282" s="233"/>
      <c r="FP282" s="291"/>
      <c r="FQ282" s="233"/>
      <c r="FR282" s="292"/>
      <c r="FS282" s="120"/>
      <c r="FT282" s="292"/>
      <c r="FU282" s="120"/>
      <c r="FV282" s="292"/>
      <c r="FW282" s="233"/>
      <c r="FX282" s="483"/>
      <c r="FY282" s="233"/>
      <c r="FZ282" s="160">
        <f>CE282+CG282+CI282+CK282</f>
        <v>145</v>
      </c>
      <c r="GA282" s="98" t="str">
        <f>IF(ISERROR((FZ282/FX282-1)*100),"NA",IF(((FZ282/FX282-1)*100)&gt;100,"NM",IF(((FZ282/FX282-1)*100)&lt;-50,"NM",(FZ282/FX282-1)*100)))</f>
        <v>NA</v>
      </c>
      <c r="GB282" s="542">
        <v>2475</v>
      </c>
      <c r="GC282" s="98" t="str">
        <f>IF(ISERROR((GB282/FZ282-1)*100),"NA",IF(((GB282/FZ282-1)*100)&gt;100,"NM",IF(((GB282/FZ282-1)*100)&lt;-50,"NM",(GB282/FZ282-1)*100)))</f>
        <v>NM</v>
      </c>
      <c r="GD282" s="160">
        <f>CU282+CW282+CY282+DA282</f>
        <v>2895</v>
      </c>
      <c r="GE282" s="98">
        <f>IF(ISERROR((GD282/GB282-1)*100),"NA",IF(((GD282/GB282-1)*100)&gt;100,"NM",IF(((GD282/GB282-1)*100)&lt;-50,"NM",(GD282/GB282-1)*100)))</f>
        <v>16.969696969696969</v>
      </c>
      <c r="GF282" s="160">
        <f>DC282+DE282+DG282+DI282</f>
        <v>2915</v>
      </c>
      <c r="GG282" s="98">
        <f>IF(ISERROR((GF282/GD282-1)*100),"NA",IF(((GF282/GD282-1)*100)&gt;100,"NM",IF(((GF282/GD282-1)*100)&lt;-50,"NM",(GF282/GD282-1)*100)))</f>
        <v>0.69084628670121884</v>
      </c>
      <c r="GH282" s="160">
        <f>DK282+DM282+DO282+DQ282</f>
        <v>2886</v>
      </c>
      <c r="GI282" s="98">
        <f>IF(ISERROR((GH282/GF282-1)*100),"NA",IF(((GH282/GF282-1)*100)&gt;100,"NM",IF(((GH282/GF282-1)*100)&lt;-50,"NM",(GH282/GF282-1)*100)))</f>
        <v>-0.99485420240137401</v>
      </c>
      <c r="GJ282" s="160">
        <f>DS282+DU282+DW282+DY282</f>
        <v>2675</v>
      </c>
      <c r="GK282" s="98">
        <f>IF(ISERROR((GJ282/GH282-1)*100),"NA",IF(((GJ282/GH282-1)*100)&gt;100,"NM",IF(((GJ282/GH282-1)*100)&lt;-50,"NM",(GJ282/GH282-1)*100)))</f>
        <v>-7.3111573111573129</v>
      </c>
      <c r="GL282" s="160">
        <f>EA282+EC282+EE282+EG282</f>
        <v>2707</v>
      </c>
      <c r="GM282" s="98">
        <f>IF(ISERROR((GL282/GJ282-1)*100),"NA",IF(((GL282/GJ282-1)*100)&gt;100,"NM",IF(((GL282/GJ282-1)*100)&lt;-50,"NM",(GL282/GJ282-1)*100)))</f>
        <v>1.1962616822429828</v>
      </c>
      <c r="GN282" s="160">
        <f>EI282+EK282+EM282+EO282</f>
        <v>2985</v>
      </c>
      <c r="GO282" s="98">
        <f>IF(ISERROR((GN282/GL282-1)*100),"NA",IF(((GN282/GL282-1)*100)&gt;100,"NM",IF(((GN282/GL282-1)*100)&lt;-50,"NM",(GN282/GL282-1)*100)))</f>
        <v>10.269671222755816</v>
      </c>
      <c r="GP282" s="160">
        <f>EQ282+ES282+EU282+EW282</f>
        <v>3055.0457124</v>
      </c>
      <c r="GQ282" s="98">
        <f>IF(ISERROR((GP282/GN282-1)*100),"NA",IF(((GP282/GN282-1)*100)&gt;100,"NM",IF(((GP282/GN282-1)*100)&lt;-50,"NM",(GP282/GN282-1)*100)))</f>
        <v>2.3465900301507414</v>
      </c>
      <c r="GR282" s="121">
        <f>GP282*1.05</f>
        <v>3207.7979980200003</v>
      </c>
      <c r="GS282" s="98">
        <f>IF(ISERROR((GR282/GP282-1)*100),"NA",IF(((GR282/GP282-1)*100)&gt;100,"NM",IF(((GR282/GP282-1)*100)&lt;-50,"NM",(GR282/GP282-1)*100)))</f>
        <v>5.0000000000000044</v>
      </c>
      <c r="GT282" s="121">
        <f>GR282*1.05</f>
        <v>3368.1878979210005</v>
      </c>
      <c r="GU282" s="98">
        <f>IF(ISERROR((GT282/GR282-1)*100),"NA",IF(((GT282/GR282-1)*100)&gt;100,"NM",IF(((GT282/GR282-1)*100)&lt;-50,"NM",(GT282/GR282-1)*100)))</f>
        <v>5.0000000000000044</v>
      </c>
      <c r="GV282" s="121">
        <f>GT282*1.05</f>
        <v>3536.5972928170509</v>
      </c>
      <c r="GW282" s="98">
        <f>IF(ISERROR((GV282/GT282-1)*100),"NA",IF(((GV282/GT282-1)*100)&gt;100,"NM",IF(((GV282/GT282-1)*100)&lt;-50,"NM",(GV282/GT282-1)*100)))</f>
        <v>5.0000000000000044</v>
      </c>
      <c r="GX282" s="121">
        <f>GV282*1.05</f>
        <v>3713.4271574579034</v>
      </c>
      <c r="GY282" s="98">
        <f>IF(ISERROR((GX282/GV282-1)*100),"NA",IF(((GX282/GV282-1)*100)&gt;100,"NM",IF(((GX282/GV282-1)*100)&lt;-50,"NM",(GX282/GV282-1)*100)))</f>
        <v>5.0000000000000044</v>
      </c>
      <c r="GZ282" s="98">
        <f>IF(ISERROR(((GX282/GN282)^0.2-1)*100),"NA",IF((((GX282/GN282)^0.2-1)*100)&gt;100,"NM",IF((((GX282/GN282)^0.2-1)*100)&lt;-50,"NM",((GX282/GN282)^0.2-1)*100)))</f>
        <v>4.463870949562887</v>
      </c>
      <c r="HA282" s="98"/>
      <c r="HB282" s="10"/>
      <c r="HC282"/>
      <c r="HD282"/>
      <c r="HE282"/>
      <c r="HF282"/>
      <c r="HG282"/>
      <c r="HH282"/>
      <c r="HI282" s="10"/>
    </row>
    <row r="283" spans="2:217" s="2" customFormat="1" ht="12.75" customHeight="1" x14ac:dyDescent="0.2">
      <c r="B283" s="91" t="s">
        <v>537</v>
      </c>
      <c r="C283" s="293"/>
      <c r="D283" s="98"/>
      <c r="E283" s="293"/>
      <c r="F283" s="98"/>
      <c r="G283" s="293"/>
      <c r="H283" s="98"/>
      <c r="I283" s="293"/>
      <c r="J283" s="233"/>
      <c r="K283" s="293"/>
      <c r="L283" s="233"/>
      <c r="M283" s="293"/>
      <c r="N283" s="233"/>
      <c r="O283" s="293"/>
      <c r="P283" s="233"/>
      <c r="Q283" s="293"/>
      <c r="R283" s="233"/>
      <c r="S283" s="293"/>
      <c r="T283" s="233"/>
      <c r="U283" s="293"/>
      <c r="V283" s="233"/>
      <c r="W283" s="293"/>
      <c r="X283" s="233"/>
      <c r="Y283" s="293"/>
      <c r="Z283" s="233"/>
      <c r="AA283" s="293"/>
      <c r="AB283" s="233"/>
      <c r="AC283" s="293"/>
      <c r="AD283" s="233"/>
      <c r="AE283" s="293"/>
      <c r="AF283" s="233"/>
      <c r="AG283" s="124"/>
      <c r="AH283" s="233"/>
      <c r="AI283" s="124"/>
      <c r="AJ283" s="233"/>
      <c r="AK283" s="124"/>
      <c r="AL283" s="233"/>
      <c r="AM283" s="124"/>
      <c r="AN283" s="233"/>
      <c r="AO283" s="124"/>
      <c r="AP283" s="233"/>
      <c r="AQ283" s="124"/>
      <c r="AR283" s="233"/>
      <c r="AS283" s="124"/>
      <c r="AT283" s="233"/>
      <c r="AU283" s="124"/>
      <c r="AV283" s="233"/>
      <c r="AW283" s="124"/>
      <c r="AX283" s="233"/>
      <c r="AY283" s="137"/>
      <c r="AZ283" s="233"/>
      <c r="BA283" s="137"/>
      <c r="BB283" s="233"/>
      <c r="BC283" s="137"/>
      <c r="BD283" s="233"/>
      <c r="BE283" s="137"/>
      <c r="BF283" s="233"/>
      <c r="BG283" s="137"/>
      <c r="BH283" s="233"/>
      <c r="BI283" s="137"/>
      <c r="BJ283" s="233"/>
      <c r="BK283" s="137"/>
      <c r="BL283" s="233"/>
      <c r="BM283" s="137"/>
      <c r="BN283" s="233"/>
      <c r="BO283" s="137"/>
      <c r="BP283" s="233"/>
      <c r="BQ283" s="137"/>
      <c r="BR283" s="233"/>
      <c r="BS283" s="137"/>
      <c r="BT283" s="233"/>
      <c r="BU283" s="137"/>
      <c r="BV283" s="233"/>
      <c r="BW283" s="137"/>
      <c r="BX283" s="233"/>
      <c r="BY283" s="137"/>
      <c r="BZ283" s="233"/>
      <c r="CA283" s="137"/>
      <c r="CB283" s="233"/>
      <c r="CC283" s="137"/>
      <c r="CD283" s="233"/>
      <c r="CE283" s="137"/>
      <c r="CF283" s="233"/>
      <c r="CG283" s="137"/>
      <c r="CH283" s="233"/>
      <c r="CI283" s="137"/>
      <c r="CJ283" s="233"/>
      <c r="CK283" s="101">
        <v>7</v>
      </c>
      <c r="CL283" s="98" t="str">
        <f>IF(ISERROR((CK283/CC283-1)*100),"NA",IF(((CK283/CC283-1)*100)&gt;100,"NM",IF(((CK283/CC283-1)*100)&lt;-50,"NM",(CK283/CC283-1)*100)))</f>
        <v>NA</v>
      </c>
      <c r="CM283" s="101">
        <v>12</v>
      </c>
      <c r="CN283" s="98" t="str">
        <f>IF(ISERROR((CM283/CE283-1)*100),"NA",IF(((CM283/CE283-1)*100)&gt;100,"NM",IF(((CM283/CE283-1)*100)&lt;-50,"NM",(CM283/CE283-1)*100)))</f>
        <v>NA</v>
      </c>
      <c r="CO283" s="101">
        <v>8</v>
      </c>
      <c r="CP283" s="98" t="str">
        <f>IF(ISERROR((CO283/CG283-1)*100),"NA",IF(((CO283/CG283-1)*100)&gt;100,"NM",IF(((CO283/CG283-1)*100)&lt;-50,"NM",(CO283/CG283-1)*100)))</f>
        <v>NA</v>
      </c>
      <c r="CQ283" s="542">
        <v>8</v>
      </c>
      <c r="CR283" s="98" t="str">
        <f>IF(ISERROR((CQ283/CI283-1)*100),"NA",IF(((CQ283/CI283-1)*100)&gt;100,"NM",IF(((CQ283/CI283-1)*100)&lt;-50,"NM",(CQ283/CI283-1)*100)))</f>
        <v>NA</v>
      </c>
      <c r="CS283" s="101">
        <v>8</v>
      </c>
      <c r="CT283" s="98">
        <f>IF(ISERROR((CS283/CK283-1)*100),"NA",IF(((CS283/CK283-1)*100)&gt;100,"NM",IF(((CS283/CK283-1)*100)&lt;-50,"NM",(CS283/CK283-1)*100)))</f>
        <v>14.285714285714279</v>
      </c>
      <c r="CU283" s="101">
        <v>16</v>
      </c>
      <c r="CV283" s="98">
        <f>IF(ISERROR((CU283/CM283-1)*100),"NA",IF(((CU283/CM283-1)*100)&gt;100,"NM",IF(((CU283/CM283-1)*100)&lt;-50,"NM",(CU283/CM283-1)*100)))</f>
        <v>33.333333333333329</v>
      </c>
      <c r="CW283" s="101">
        <v>-3</v>
      </c>
      <c r="CX283" s="98" t="str">
        <f>IF(ISERROR((CW283/CO283-1)*100),"NA",IF(((CW283/CO283-1)*100)&gt;100,"NM",IF(((CW283/CO283-1)*100)&lt;-50,"NM",(CW283/CO283-1)*100)))</f>
        <v>NM</v>
      </c>
      <c r="CY283" s="101">
        <v>4</v>
      </c>
      <c r="CZ283" s="98">
        <f>IF(ISERROR((CY283/CQ283-1)*100),"NA",IF(((CY283/CQ283-1)*100)&gt;100,"NM",IF(((CY283/CQ283-1)*100)&lt;-50,"NM",(CY283/CQ283-1)*100)))</f>
        <v>-50</v>
      </c>
      <c r="DA283" s="101">
        <v>9</v>
      </c>
      <c r="DB283" s="98">
        <f>IF(ISERROR((DA283/CS283-1)*100),"NA",IF(((DA283/CS283-1)*100)&gt;100,"NM",IF(((DA283/CS283-1)*100)&lt;-50,"NM",(DA283/CS283-1)*100)))</f>
        <v>12.5</v>
      </c>
      <c r="DC283" s="101">
        <v>13</v>
      </c>
      <c r="DD283" s="98">
        <f>IF(ISERROR((DC283/CU283-1)*100),"NA",IF(((DC283/CU283-1)*100)&gt;100,"NM",IF(((DC283/CU283-1)*100)&lt;-50,"NM",(DC283/CU283-1)*100)))</f>
        <v>-18.75</v>
      </c>
      <c r="DE283" s="101">
        <v>28</v>
      </c>
      <c r="DF283" s="98" t="str">
        <f>IF(ISERROR((DE283/CW283-1)*100),"NA",IF(((DE283/CW283-1)*100)&gt;100,"NM",IF(((DE283/CW283-1)*100)&lt;-50,"NM",(DE283/CW283-1)*100)))</f>
        <v>NM</v>
      </c>
      <c r="DG283" s="101">
        <v>22</v>
      </c>
      <c r="DH283" s="98" t="str">
        <f>IF(ISERROR((DG283/CY283-1)*100),"NA",IF(((DG283/CY283-1)*100)&gt;100,"NM",IF(((DG283/CY283-1)*100)&lt;-50,"NM",(DG283/CY283-1)*100)))</f>
        <v>NM</v>
      </c>
      <c r="DI283" s="101">
        <v>29</v>
      </c>
      <c r="DJ283" s="98" t="str">
        <f>IF(ISERROR((DI283/DA283-1)*100),"NA",IF(((DI283/DA283-1)*100)&gt;100,"NM",IF(((DI283/DA283-1)*100)&lt;-50,"NM",(DI283/DA283-1)*100)))</f>
        <v>NM</v>
      </c>
      <c r="DK283" s="101">
        <v>27</v>
      </c>
      <c r="DL283" s="98" t="str">
        <f>IF(ISERROR((DK283/DC283-1)*100),"NA",IF(((DK283/DC283-1)*100)&gt;100,"NM",IF(((DK283/DC283-1)*100)&lt;-50,"NM",(DK283/DC283-1)*100)))</f>
        <v>NM</v>
      </c>
      <c r="DM283" s="101">
        <v>24</v>
      </c>
      <c r="DN283" s="98">
        <f>IF(ISERROR((DM283/DE283-1)*100),"NA",IF(((DM283/DE283-1)*100)&gt;100,"NM",IF(((DM283/DE283-1)*100)&lt;-50,"NM",(DM283/DE283-1)*100)))</f>
        <v>-14.28571428571429</v>
      </c>
      <c r="DO283" s="101">
        <v>27</v>
      </c>
      <c r="DP283" s="98">
        <f>IF(ISERROR((DO283/DG283-1)*100),"NA",IF(((DO283/DG283-1)*100)&gt;100,"NM",IF(((DO283/DG283-1)*100)&lt;-50,"NM",(DO283/DG283-1)*100)))</f>
        <v>22.72727272727273</v>
      </c>
      <c r="DQ283" s="101">
        <v>28</v>
      </c>
      <c r="DR283" s="98">
        <f>IF(ISERROR((DQ283/DI283-1)*100),"NA",IF(((DQ283/DI283-1)*100)&gt;100,"NM",IF(((DQ283/DI283-1)*100)&lt;-50,"NM",(DQ283/DI283-1)*100)))</f>
        <v>-3.4482758620689613</v>
      </c>
      <c r="DS283" s="101">
        <v>28</v>
      </c>
      <c r="DT283" s="98">
        <f>IF(ISERROR((DS283/DK283-1)*100),"NA",IF(((DS283/DK283-1)*100)&gt;100,"NM",IF(((DS283/DK283-1)*100)&lt;-50,"NM",(DS283/DK283-1)*100)))</f>
        <v>3.7037037037036979</v>
      </c>
      <c r="DU283" s="101">
        <v>28</v>
      </c>
      <c r="DV283" s="98">
        <f>IF(ISERROR((DU283/DM283-1)*100),"NA",IF(((DU283/DM283-1)*100)&gt;100,"NM",IF(((DU283/DM283-1)*100)&lt;-50,"NM",(DU283/DM283-1)*100)))</f>
        <v>16.666666666666675</v>
      </c>
      <c r="DW283" s="101">
        <v>26</v>
      </c>
      <c r="DX283" s="98">
        <f>IF(ISERROR((DW283/DO283-1)*100),"NA",IF(((DW283/DO283-1)*100)&gt;100,"NM",IF(((DW283/DO283-1)*100)&lt;-50,"NM",(DW283/DO283-1)*100)))</f>
        <v>-3.703703703703709</v>
      </c>
      <c r="DY283" s="101">
        <v>23</v>
      </c>
      <c r="DZ283" s="98">
        <f>IF(ISERROR((DY283/DQ283-1)*100),"NA",IF(((DY283/DQ283-1)*100)&gt;100,"NM",IF(((DY283/DQ283-1)*100)&lt;-50,"NM",(DY283/DQ283-1)*100)))</f>
        <v>-17.857142857142861</v>
      </c>
      <c r="EA283" s="101">
        <v>17</v>
      </c>
      <c r="EB283" s="98">
        <f>IF(ISERROR((EA283/DS283-1)*100),"NA",IF(((EA283/DS283-1)*100)&gt;100,"NM",IF(((EA283/DS283-1)*100)&lt;-50,"NM",(EA283/DS283-1)*100)))</f>
        <v>-39.285714285714292</v>
      </c>
      <c r="EC283" s="101">
        <v>16</v>
      </c>
      <c r="ED283" s="98">
        <f>IF(ISERROR((EC283/DU283-1)*100),"NA",IF(((EC283/DU283-1)*100)&gt;100,"NM",IF(((EC283/DU283-1)*100)&lt;-50,"NM",(EC283/DU283-1)*100)))</f>
        <v>-42.857142857142861</v>
      </c>
      <c r="EE283" s="101">
        <v>12</v>
      </c>
      <c r="EF283" s="860" t="str">
        <f>IF(ISERROR((EE283/DW283-1)*100),"NA",IF(((EE283/DW283-1)*100)&gt;100,"NM",IF(((EE283/DW283-1)*100)&lt;-50,"NM",(EE283/DW283-1)*100)))</f>
        <v>NM</v>
      </c>
      <c r="EG283" s="101">
        <v>16</v>
      </c>
      <c r="EH283" s="860">
        <f>IF(ISERROR((EG283/DY283-1)*100),"NA",IF(((EG283/DY283-1)*100)&gt;100,"NM",IF(((EG283/DY283-1)*100)&lt;-50,"NM",(EG283/DY283-1)*100)))</f>
        <v>-30.434782608695656</v>
      </c>
      <c r="EI283" s="101">
        <v>10</v>
      </c>
      <c r="EJ283" s="860">
        <f t="shared" si="1515"/>
        <v>-41.17647058823529</v>
      </c>
      <c r="EK283" s="101">
        <v>11</v>
      </c>
      <c r="EL283" s="860">
        <f t="shared" si="1516"/>
        <v>-31.25</v>
      </c>
      <c r="EM283" s="101">
        <v>11</v>
      </c>
      <c r="EN283" s="860">
        <f t="shared" si="1517"/>
        <v>-8.3333333333333375</v>
      </c>
      <c r="EO283" s="101">
        <v>11</v>
      </c>
      <c r="EP283" s="98">
        <f t="shared" si="1518"/>
        <v>-31.25</v>
      </c>
      <c r="EQ283" s="952">
        <f t="shared" si="1526"/>
        <v>11.11</v>
      </c>
      <c r="ER283" s="98">
        <f t="shared" si="1519"/>
        <v>11.099999999999998</v>
      </c>
      <c r="ES283" s="952">
        <f t="shared" si="1527"/>
        <v>11.2211</v>
      </c>
      <c r="ET283" s="98">
        <f t="shared" si="1521"/>
        <v>2.0100000000000007</v>
      </c>
      <c r="EU283" s="952">
        <f t="shared" si="1528"/>
        <v>11.333311</v>
      </c>
      <c r="EV283" s="98">
        <f t="shared" si="1523"/>
        <v>3.0300999999999911</v>
      </c>
      <c r="EW283" s="952">
        <f t="shared" si="1529"/>
        <v>11.446644109999999</v>
      </c>
      <c r="EX283" s="98">
        <f t="shared" si="1525"/>
        <v>4.0604010000000024</v>
      </c>
      <c r="EY283" s="295"/>
      <c r="EZ283" s="601"/>
      <c r="FA283" s="411"/>
      <c r="FB283" s="242"/>
      <c r="FC283" s="233"/>
      <c r="FD283" s="291"/>
      <c r="FE283" s="233"/>
      <c r="FF283" s="291"/>
      <c r="FG283" s="233"/>
      <c r="FH283" s="291"/>
      <c r="FI283" s="233"/>
      <c r="FJ283" s="291"/>
      <c r="FK283" s="233"/>
      <c r="FL283" s="291"/>
      <c r="FM283" s="233"/>
      <c r="FN283" s="291"/>
      <c r="FO283" s="233"/>
      <c r="FP283" s="291"/>
      <c r="FQ283" s="233"/>
      <c r="FR283" s="292"/>
      <c r="FS283" s="120"/>
      <c r="FT283" s="292"/>
      <c r="FU283" s="120"/>
      <c r="FV283" s="292"/>
      <c r="FW283" s="233"/>
      <c r="FX283" s="483"/>
      <c r="FY283" s="233"/>
      <c r="FZ283" s="160">
        <f>CE283+CG283+CI283+CK283</f>
        <v>7</v>
      </c>
      <c r="GA283" s="98" t="str">
        <f>IF(ISERROR((FZ283/FX283-1)*100),"NA",IF(((FZ283/FX283-1)*100)&gt;100,"NM",IF(((FZ283/FX283-1)*100)&lt;-50,"NM",(FZ283/FX283-1)*100)))</f>
        <v>NA</v>
      </c>
      <c r="GB283" s="495">
        <f>CM283+CO283+CQ283+CS283</f>
        <v>36</v>
      </c>
      <c r="GC283" s="98" t="str">
        <f>IF(ISERROR((GB283/FZ283-1)*100),"NA",IF(((GB283/FZ283-1)*100)&gt;100,"NM",IF(((GB283/FZ283-1)*100)&lt;-50,"NM",(GB283/FZ283-1)*100)))</f>
        <v>NM</v>
      </c>
      <c r="GD283" s="160">
        <f>CU283+CW283+CY283+DA283</f>
        <v>26</v>
      </c>
      <c r="GE283" s="98">
        <f>IF(ISERROR((GD283/GB283-1)*100),"NA",IF(((GD283/GB283-1)*100)&gt;100,"NM",IF(((GD283/GB283-1)*100)&lt;-50,"NM",(GD283/GB283-1)*100)))</f>
        <v>-27.777777777777779</v>
      </c>
      <c r="GF283" s="160">
        <f>DC283+DE283+DG283+DI283</f>
        <v>92</v>
      </c>
      <c r="GG283" s="98" t="str">
        <f>IF(ISERROR((GF283/GD283-1)*100),"NA",IF(((GF283/GD283-1)*100)&gt;100,"NM",IF(((GF283/GD283-1)*100)&lt;-50,"NM",(GF283/GD283-1)*100)))</f>
        <v>NM</v>
      </c>
      <c r="GH283" s="160">
        <f>DK283+DM283+DO283+DQ283</f>
        <v>106</v>
      </c>
      <c r="GI283" s="98">
        <f>IF(ISERROR((GH283/GF283-1)*100),"NA",IF(((GH283/GF283-1)*100)&gt;100,"NM",IF(((GH283/GF283-1)*100)&lt;-50,"NM",(GH283/GF283-1)*100)))</f>
        <v>15.217391304347828</v>
      </c>
      <c r="GJ283" s="160">
        <f>DS283+DU283+DW283+DY283</f>
        <v>105</v>
      </c>
      <c r="GK283" s="98">
        <f>IF(ISERROR((GJ283/GH283-1)*100),"NA",IF(((GJ283/GH283-1)*100)&gt;100,"NM",IF(((GJ283/GH283-1)*100)&lt;-50,"NM",(GJ283/GH283-1)*100)))</f>
        <v>-0.94339622641509413</v>
      </c>
      <c r="GL283" s="160">
        <f>EA283+EC283+EE283+EG283</f>
        <v>61</v>
      </c>
      <c r="GM283" s="98">
        <f>IF(ISERROR((GL283/GJ283-1)*100),"NA",IF(((GL283/GJ283-1)*100)&gt;100,"NM",IF(((GL283/GJ283-1)*100)&lt;-50,"NM",(GL283/GJ283-1)*100)))</f>
        <v>-41.904761904761898</v>
      </c>
      <c r="GN283" s="160">
        <f>EI283+EK283+EM283+EO283</f>
        <v>43</v>
      </c>
      <c r="GO283" s="98">
        <f>IF(ISERROR((GN283/GL283-1)*100),"NA",IF(((GN283/GL283-1)*100)&gt;100,"NM",IF(((GN283/GL283-1)*100)&lt;-50,"NM",(GN283/GL283-1)*100)))</f>
        <v>-29.508196721311474</v>
      </c>
      <c r="GP283" s="160">
        <f>EQ283+ES283+EU283+EW283</f>
        <v>45.111055110000002</v>
      </c>
      <c r="GQ283" s="98">
        <f>IF(ISERROR((GP283/GN283-1)*100),"NA",IF(((GP283/GN283-1)*100)&gt;100,"NM",IF(((GP283/GN283-1)*100)&lt;-50,"NM",(GP283/GN283-1)*100)))</f>
        <v>4.9094304883720907</v>
      </c>
      <c r="GR283" s="121">
        <f>GP283*1.05</f>
        <v>47.366607865500008</v>
      </c>
      <c r="GS283" s="98">
        <f>IF(ISERROR((GR283/GP283-1)*100),"NA",IF(((GR283/GP283-1)*100)&gt;100,"NM",IF(((GR283/GP283-1)*100)&lt;-50,"NM",(GR283/GP283-1)*100)))</f>
        <v>5.0000000000000044</v>
      </c>
      <c r="GT283" s="121">
        <f>GR283*1.05</f>
        <v>49.73493825877501</v>
      </c>
      <c r="GU283" s="98">
        <f>IF(ISERROR((GT283/GR283-1)*100),"NA",IF(((GT283/GR283-1)*100)&gt;100,"NM",IF(((GT283/GR283-1)*100)&lt;-50,"NM",(GT283/GR283-1)*100)))</f>
        <v>5.0000000000000044</v>
      </c>
      <c r="GV283" s="121">
        <f>GT283*1.05</f>
        <v>52.221685171713766</v>
      </c>
      <c r="GW283" s="98">
        <f>IF(ISERROR((GV283/GT283-1)*100),"NA",IF(((GV283/GT283-1)*100)&gt;100,"NM",IF(((GV283/GT283-1)*100)&lt;-50,"NM",(GV283/GT283-1)*100)))</f>
        <v>5.0000000000000044</v>
      </c>
      <c r="GX283" s="121">
        <f>GV283*1.05</f>
        <v>54.832769430299457</v>
      </c>
      <c r="GY283" s="98">
        <f>IF(ISERROR((GX283/GV283-1)*100),"NA",IF(((GX283/GV283-1)*100)&gt;100,"NM",IF(((GX283/GV283-1)*100)&lt;-50,"NM",(GX283/GV283-1)*100)))</f>
        <v>5.0000000000000044</v>
      </c>
      <c r="GZ283" s="98">
        <f>IF(ISERROR(((GX283/GN283)^0.2-1)*100),"NA",IF((((GX283/GN283)^0.2-1)*100)&gt;100,"NM",IF((((GX283/GN283)^0.2-1)*100)&lt;-50,"NM",((GX283/GN283)^0.2-1)*100)))</f>
        <v>4.9818798446578105</v>
      </c>
      <c r="HA283" s="98"/>
      <c r="HB283" s="10"/>
      <c r="HC283"/>
      <c r="HD283"/>
      <c r="HE283"/>
      <c r="HF283"/>
      <c r="HG283"/>
      <c r="HH283"/>
      <c r="HI283" s="10"/>
    </row>
    <row r="284" spans="2:217" s="2" customFormat="1" ht="12.75" customHeight="1" x14ac:dyDescent="0.2">
      <c r="B284" s="131" t="s">
        <v>513</v>
      </c>
      <c r="C284" s="293"/>
      <c r="D284" s="98"/>
      <c r="E284" s="293"/>
      <c r="F284" s="98"/>
      <c r="G284" s="293"/>
      <c r="H284" s="98"/>
      <c r="I284" s="293"/>
      <c r="J284" s="233"/>
      <c r="K284" s="293"/>
      <c r="L284" s="233"/>
      <c r="M284" s="293"/>
      <c r="N284" s="233"/>
      <c r="O284" s="293"/>
      <c r="P284" s="233"/>
      <c r="Q284" s="293"/>
      <c r="R284" s="233"/>
      <c r="S284" s="293"/>
      <c r="T284" s="233"/>
      <c r="U284" s="293"/>
      <c r="V284" s="233"/>
      <c r="W284" s="293"/>
      <c r="X284" s="233"/>
      <c r="Y284" s="293"/>
      <c r="Z284" s="233"/>
      <c r="AA284" s="293"/>
      <c r="AB284" s="233"/>
      <c r="AC284" s="293"/>
      <c r="AD284" s="233"/>
      <c r="AE284" s="293"/>
      <c r="AF284" s="233"/>
      <c r="AG284" s="124"/>
      <c r="AH284" s="233"/>
      <c r="AI284" s="124"/>
      <c r="AJ284" s="233"/>
      <c r="AK284" s="124"/>
      <c r="AL284" s="233"/>
      <c r="AM284" s="124"/>
      <c r="AN284" s="233"/>
      <c r="AO284" s="124"/>
      <c r="AP284" s="233"/>
      <c r="AQ284" s="124"/>
      <c r="AR284" s="233"/>
      <c r="AS284" s="124"/>
      <c r="AT284" s="233"/>
      <c r="AU284" s="124"/>
      <c r="AV284" s="233"/>
      <c r="AW284" s="124"/>
      <c r="AX284" s="233"/>
      <c r="AY284" s="137"/>
      <c r="AZ284" s="233"/>
      <c r="BA284" s="137"/>
      <c r="BB284" s="233"/>
      <c r="BC284" s="137"/>
      <c r="BD284" s="233"/>
      <c r="BE284" s="137"/>
      <c r="BF284" s="233"/>
      <c r="BG284" s="137"/>
      <c r="BH284" s="233"/>
      <c r="BI284" s="137"/>
      <c r="BJ284" s="233"/>
      <c r="BK284" s="137"/>
      <c r="BL284" s="233"/>
      <c r="BM284" s="137"/>
      <c r="BN284" s="233"/>
      <c r="BO284" s="137"/>
      <c r="BP284" s="233"/>
      <c r="BQ284" s="137"/>
      <c r="BR284" s="233"/>
      <c r="BS284" s="137"/>
      <c r="BT284" s="233"/>
      <c r="BU284" s="137"/>
      <c r="BV284" s="233"/>
      <c r="BW284" s="137"/>
      <c r="BX284" s="233"/>
      <c r="BY284" s="137"/>
      <c r="BZ284" s="233"/>
      <c r="CA284" s="137"/>
      <c r="CB284" s="233"/>
      <c r="CC284" s="137"/>
      <c r="CD284" s="233"/>
      <c r="CE284" s="137"/>
      <c r="CF284" s="233"/>
      <c r="CG284" s="137"/>
      <c r="CH284" s="233"/>
      <c r="CI284" s="137"/>
      <c r="CJ284" s="233"/>
      <c r="CK284" s="182">
        <f>+CK283+CK282+CK281+CK280</f>
        <v>706</v>
      </c>
      <c r="CL284" s="98" t="str">
        <f>IF(ISERROR((CK284/CC284-1)*100),"NA",IF(((CK284/CC284-1)*100)&gt;100,"NM",IF(((CK284/CC284-1)*100)&lt;-50,"NM",(CK284/CC284-1)*100)))</f>
        <v>NA</v>
      </c>
      <c r="CM284" s="182">
        <f>+CM283+CM282+CM281+CM280</f>
        <v>2625</v>
      </c>
      <c r="CN284" s="98" t="str">
        <f>IF(ISERROR((CM284/CE284-1)*100),"NA",IF(((CM284/CE284-1)*100)&gt;100,"NM",IF(((CM284/CE284-1)*100)&lt;-50,"NM",(CM284/CE284-1)*100)))</f>
        <v>NA</v>
      </c>
      <c r="CO284" s="182">
        <f>+CO283+CO282+CO281+CO280</f>
        <v>2784</v>
      </c>
      <c r="CP284" s="98" t="str">
        <f>IF(ISERROR((CO284/CG284-1)*100),"NA",IF(((CO284/CG284-1)*100)&gt;100,"NM",IF(((CO284/CG284-1)*100)&lt;-50,"NM",(CO284/CG284-1)*100)))</f>
        <v>NA</v>
      </c>
      <c r="CQ284" s="512">
        <f>+CQ283+CQ282+CQ281+CQ280</f>
        <v>2975</v>
      </c>
      <c r="CR284" s="98" t="str">
        <f>IF(ISERROR((CQ284/CI284-1)*100),"NA",IF(((CQ284/CI284-1)*100)&gt;100,"NM",IF(((CQ284/CI284-1)*100)&lt;-50,"NM",(CQ284/CI284-1)*100)))</f>
        <v>NA</v>
      </c>
      <c r="CS284" s="182">
        <f>+CS283+CS282+CS281+CS280</f>
        <v>2949</v>
      </c>
      <c r="CT284" s="98" t="str">
        <f>IF(ISERROR((CS284/CK284-1)*100),"NA",IF(((CS284/CK284-1)*100)&gt;100,"NM",IF(((CS284/CK284-1)*100)&lt;-50,"NM",(CS284/CK284-1)*100)))</f>
        <v>NM</v>
      </c>
      <c r="CU284" s="182">
        <f>+CU283+CU282+CU281+CU280</f>
        <v>3098</v>
      </c>
      <c r="CV284" s="98">
        <f>IF(ISERROR((CU284/CM284-1)*100),"NA",IF(((CU284/CM284-1)*100)&gt;100,"NM",IF(((CU284/CM284-1)*100)&lt;-50,"NM",(CU284/CM284-1)*100)))</f>
        <v>18.019047619047623</v>
      </c>
      <c r="CW284" s="182">
        <f>+CW283+CW282+CW281+CW280</f>
        <v>3173</v>
      </c>
      <c r="CX284" s="98">
        <f>IF(ISERROR((CW284/CO284-1)*100),"NA",IF(((CW284/CO284-1)*100)&gt;100,"NM",IF(((CW284/CO284-1)*100)&lt;-50,"NM",(CW284/CO284-1)*100)))</f>
        <v>13.972701149425282</v>
      </c>
      <c r="CY284" s="182">
        <f>+CY283+CY282+CY281+CY280</f>
        <v>3213</v>
      </c>
      <c r="CZ284" s="98">
        <f>IF(ISERROR((CY284/CQ284-1)*100),"NA",IF(((CY284/CQ284-1)*100)&gt;100,"NM",IF(((CY284/CQ284-1)*100)&lt;-50,"NM",(CY284/CQ284-1)*100)))</f>
        <v>8.0000000000000071</v>
      </c>
      <c r="DA284" s="182">
        <f>+DA283+DA282+DA281+DA280</f>
        <v>3272</v>
      </c>
      <c r="DB284" s="98">
        <f>IF(ISERROR((DA284/CS284-1)*100),"NA",IF(((DA284/CS284-1)*100)&gt;100,"NM",IF(((DA284/CS284-1)*100)&lt;-50,"NM",(DA284/CS284-1)*100)))</f>
        <v>10.952865378094279</v>
      </c>
      <c r="DC284" s="182">
        <f>+DC283+DC282+DC281+DC280</f>
        <v>3187</v>
      </c>
      <c r="DD284" s="98">
        <f>IF(ISERROR((DC284/CU284-1)*100),"NA",IF(((DC284/CU284-1)*100)&gt;100,"NM",IF(((DC284/CU284-1)*100)&lt;-50,"NM",(DC284/CU284-1)*100)))</f>
        <v>2.8728211749515786</v>
      </c>
      <c r="DE284" s="182">
        <f>+DE283+DE282+DE281+DE280</f>
        <v>3173</v>
      </c>
      <c r="DF284" s="98">
        <f>IF(ISERROR((DE284/CW284-1)*100),"NA",IF(((DE284/CW284-1)*100)&gt;100,"NM",IF(((DE284/CW284-1)*100)&lt;-50,"NM",(DE284/CW284-1)*100)))</f>
        <v>0</v>
      </c>
      <c r="DG284" s="182">
        <f>+DG283+DG282+DG281+DG280</f>
        <v>3078</v>
      </c>
      <c r="DH284" s="98">
        <f>IF(ISERROR((DG284/CY284-1)*100),"NA",IF(((DG284/CY284-1)*100)&gt;100,"NM",IF(((DG284/CY284-1)*100)&lt;-50,"NM",(DG284/CY284-1)*100)))</f>
        <v>-4.2016806722689033</v>
      </c>
      <c r="DI284" s="182">
        <f>+DI283+DI282+DI281+DI280</f>
        <v>3092</v>
      </c>
      <c r="DJ284" s="98">
        <f>IF(ISERROR((DI284/DA284-1)*100),"NA",IF(((DI284/DA284-1)*100)&gt;100,"NM",IF(((DI284/DA284-1)*100)&lt;-50,"NM",(DI284/DA284-1)*100)))</f>
        <v>-5.5012224938875249</v>
      </c>
      <c r="DK284" s="182">
        <f>+DK283+DK282+DK281+DK280</f>
        <v>3006</v>
      </c>
      <c r="DL284" s="98">
        <f>IF(ISERROR((DK284/DC284-1)*100),"NA",IF(((DK284/DC284-1)*100)&gt;100,"NM",IF(((DK284/DC284-1)*100)&lt;-50,"NM",(DK284/DC284-1)*100)))</f>
        <v>-5.6793222466269171</v>
      </c>
      <c r="DM284" s="182">
        <f>+DM283+DM282+DM281+DM280</f>
        <v>3061</v>
      </c>
      <c r="DN284" s="98">
        <f>IF(ISERROR((DM284/DE284-1)*100),"NA",IF(((DM284/DE284-1)*100)&gt;100,"NM",IF(((DM284/DE284-1)*100)&lt;-50,"NM",(DM284/DE284-1)*100)))</f>
        <v>-3.5297825401827909</v>
      </c>
      <c r="DO284" s="182">
        <f>+DO283+DO282+DO281+DO280</f>
        <v>3191</v>
      </c>
      <c r="DP284" s="98">
        <f>IF(ISERROR((DO284/DG284-1)*100),"NA",IF(((DO284/DG284-1)*100)&gt;100,"NM",IF(((DO284/DG284-1)*100)&lt;-50,"NM",(DO284/DG284-1)*100)))</f>
        <v>3.6712150747238548</v>
      </c>
      <c r="DQ284" s="182">
        <f>+DQ283+DQ282+DQ281+DQ280</f>
        <v>2993</v>
      </c>
      <c r="DR284" s="98">
        <f>IF(ISERROR((DQ284/DI284-1)*100),"NA",IF(((DQ284/DI284-1)*100)&gt;100,"NM",IF(((DQ284/DI284-1)*100)&lt;-50,"NM",(DQ284/DI284-1)*100)))</f>
        <v>-3.2018111254851211</v>
      </c>
      <c r="DS284" s="182">
        <f>+DS283+DS282+DS281+DS280</f>
        <v>2861</v>
      </c>
      <c r="DT284" s="98">
        <f>IF(ISERROR((DS284/DK284-1)*100),"NA",IF(((DS284/DK284-1)*100)&gt;100,"NM",IF(((DS284/DK284-1)*100)&lt;-50,"NM",(DS284/DK284-1)*100)))</f>
        <v>-4.8236859614105176</v>
      </c>
      <c r="DU284" s="182">
        <f>+DU283+DU282+DU281+DU280</f>
        <v>2916</v>
      </c>
      <c r="DV284" s="98">
        <f>IF(ISERROR((DU284/DM284-1)*100),"NA",IF(((DU284/DM284-1)*100)&gt;100,"NM",IF(((DU284/DM284-1)*100)&lt;-50,"NM",(DU284/DM284-1)*100)))</f>
        <v>-4.7370140476968299</v>
      </c>
      <c r="DW284" s="182">
        <f>+DW283+DW282+DW281+DW280</f>
        <v>2814</v>
      </c>
      <c r="DX284" s="98">
        <f>IF(ISERROR((DW284/DO284-1)*100),"NA",IF(((DW284/DO284-1)*100)&gt;100,"NM",IF(((DW284/DO284-1)*100)&lt;-50,"NM",(DW284/DO284-1)*100)))</f>
        <v>-11.814478219993729</v>
      </c>
      <c r="DY284" s="182">
        <f>+DY283+DY282+DY281+DY280</f>
        <v>2668</v>
      </c>
      <c r="DZ284" s="98">
        <f>IF(ISERROR((DY284/DQ284-1)*100),"NA",IF(((DY284/DQ284-1)*100)&gt;100,"NM",IF(((DY284/DQ284-1)*100)&lt;-50,"NM",(DY284/DQ284-1)*100)))</f>
        <v>-10.858670230537925</v>
      </c>
      <c r="EA284" s="182">
        <f>+EA283+EA282+EA281+EA280</f>
        <v>2643</v>
      </c>
      <c r="EB284" s="98">
        <f>IF(ISERROR((EA284/DS284-1)*100),"NA",IF(((EA284/DS284-1)*100)&gt;100,"NM",IF(((EA284/DS284-1)*100)&lt;-50,"NM",(EA284/DS284-1)*100)))</f>
        <v>-7.6197133869276517</v>
      </c>
      <c r="EC284" s="182">
        <f>+EC283+EC282+EC281+EC280</f>
        <v>2745</v>
      </c>
      <c r="ED284" s="98">
        <f>IF(ISERROR((EC284/DU284-1)*100),"NA",IF(((EC284/DU284-1)*100)&gt;100,"NM",IF(((EC284/DU284-1)*100)&lt;-50,"NM",(EC284/DU284-1)*100)))</f>
        <v>-5.8641975308642014</v>
      </c>
      <c r="EE284" s="182">
        <f>+EE283+EE282+EE281+EE280</f>
        <v>2935</v>
      </c>
      <c r="EF284" s="860">
        <f>IF(ISERROR((EE284/DW284-1)*100),"NA",IF(((EE284/DW284-1)*100)&gt;100,"NM",IF(((EE284/DW284-1)*100)&lt;-50,"NM",(EE284/DW284-1)*100)))</f>
        <v>4.299928926794605</v>
      </c>
      <c r="EG284" s="182">
        <f>+EG283+EG282+EG281+EG280</f>
        <v>2834</v>
      </c>
      <c r="EH284" s="860">
        <f>IF(ISERROR((EG284/DY284-1)*100),"NA",IF(((EG284/DY284-1)*100)&gt;100,"NM",IF(((EG284/DY284-1)*100)&lt;-50,"NM",(EG284/DY284-1)*100)))</f>
        <v>6.2218890554722739</v>
      </c>
      <c r="EI284" s="182">
        <f>+EI283+EI282+EI281+EI280</f>
        <v>2786</v>
      </c>
      <c r="EJ284" s="860">
        <f t="shared" si="1515"/>
        <v>5.410518350359439</v>
      </c>
      <c r="EK284" s="182">
        <f>+EK283+EK282+EK281+EK280</f>
        <v>2774</v>
      </c>
      <c r="EL284" s="860">
        <f t="shared" si="1516"/>
        <v>1.056466302367931</v>
      </c>
      <c r="EM284" s="182">
        <f>+EM283+EM282+EM281+EM280</f>
        <v>2927</v>
      </c>
      <c r="EN284" s="860">
        <f t="shared" si="1517"/>
        <v>-0.27257240204429101</v>
      </c>
      <c r="EO284" s="182">
        <f>+EO283+EO282+EO281+EO280</f>
        <v>2880</v>
      </c>
      <c r="EP284" s="98">
        <f t="shared" si="1518"/>
        <v>1.6231474947071334</v>
      </c>
      <c r="EQ284" s="795">
        <f t="shared" ref="EQ284" si="1530">+EQ283+EQ282+EQ281+EQ280</f>
        <v>2869.74</v>
      </c>
      <c r="ER284" s="98">
        <f t="shared" si="1519"/>
        <v>3.0057430007178754</v>
      </c>
      <c r="ES284" s="795">
        <f t="shared" ref="ES284" si="1531">+ES283+ES282+ES281+ES280</f>
        <v>2907.0243</v>
      </c>
      <c r="ET284" s="98">
        <f t="shared" si="1521"/>
        <v>4.7953965392934395</v>
      </c>
      <c r="EU284" s="795">
        <f t="shared" ref="EU284" si="1532">+EU283+EU282+EU281+EU280</f>
        <v>2944.8102464999993</v>
      </c>
      <c r="EV284" s="98">
        <f t="shared" si="1523"/>
        <v>0.60848126067643005</v>
      </c>
      <c r="EW284" s="795">
        <f t="shared" ref="EW284" si="1533">+EW283+EW282+EW281+EW280</f>
        <v>2983.1047880174992</v>
      </c>
      <c r="EX284" s="98">
        <f t="shared" si="1525"/>
        <v>3.5800273617187184</v>
      </c>
      <c r="EY284" s="295"/>
      <c r="EZ284" s="601"/>
      <c r="FA284" s="411"/>
      <c r="FB284" s="242"/>
      <c r="FC284" s="233"/>
      <c r="FD284" s="291"/>
      <c r="FE284" s="233"/>
      <c r="FF284" s="291"/>
      <c r="FG284" s="233"/>
      <c r="FH284" s="291"/>
      <c r="FI284" s="233"/>
      <c r="FJ284" s="291"/>
      <c r="FK284" s="233"/>
      <c r="FL284" s="291"/>
      <c r="FM284" s="233"/>
      <c r="FN284" s="291"/>
      <c r="FO284" s="233"/>
      <c r="FP284" s="291"/>
      <c r="FQ284" s="233"/>
      <c r="FR284" s="292"/>
      <c r="FS284" s="120"/>
      <c r="FT284" s="292"/>
      <c r="FU284" s="120"/>
      <c r="FV284" s="292"/>
      <c r="FW284" s="233"/>
      <c r="FX284" s="483"/>
      <c r="FY284" s="233"/>
      <c r="FZ284" s="184">
        <f>+FZ283+FZ282+FZ281+FZ280</f>
        <v>706</v>
      </c>
      <c r="GA284" s="98" t="str">
        <f>IF(ISERROR((FZ284/FX284-1)*100),"NA",IF(((FZ284/FX284-1)*100)&gt;100,"NM",IF(((FZ284/FX284-1)*100)&lt;-50,"NM",(FZ284/FX284-1)*100)))</f>
        <v>NA</v>
      </c>
      <c r="GB284" s="498">
        <f>+GB283+GB282+GB281+GB280</f>
        <v>11570</v>
      </c>
      <c r="GC284" s="98" t="str">
        <f>IF(ISERROR((GB284/FZ284-1)*100),"NA",IF(((GB284/FZ284-1)*100)&gt;100,"NM",IF(((GB284/FZ284-1)*100)&lt;-50,"NM",(GB284/FZ284-1)*100)))</f>
        <v>NM</v>
      </c>
      <c r="GD284" s="184">
        <f>+GD283+GD282+GD281+GD280</f>
        <v>12756</v>
      </c>
      <c r="GE284" s="98">
        <f>IF(ISERROR((GD284/GB284-1)*100),"NA",IF(((GD284/GB284-1)*100)&gt;100,"NM",IF(((GD284/GB284-1)*100)&lt;-50,"NM",(GD284/GB284-1)*100)))</f>
        <v>10.250648228176317</v>
      </c>
      <c r="GF284" s="184">
        <f>+GF283+GF282+GF281+GF280</f>
        <v>12530</v>
      </c>
      <c r="GG284" s="98">
        <f>IF(ISERROR((GF284/GD284-1)*100),"NA",IF(((GF284/GD284-1)*100)&gt;100,"NM",IF(((GF284/GD284-1)*100)&lt;-50,"NM",(GF284/GD284-1)*100)))</f>
        <v>-1.7717152712449002</v>
      </c>
      <c r="GH284" s="184">
        <f>+GH283+GH282+GH281+GH280</f>
        <v>12251</v>
      </c>
      <c r="GI284" s="98">
        <f>IF(ISERROR((GH284/GF284-1)*100),"NA",IF(((GH284/GF284-1)*100)&gt;100,"NM",IF(((GH284/GF284-1)*100)&lt;-50,"NM",(GH284/GF284-1)*100)))</f>
        <v>-2.2266560255387091</v>
      </c>
      <c r="GJ284" s="184">
        <f>+GJ283+GJ282+GJ281+GJ280</f>
        <v>11259</v>
      </c>
      <c r="GK284" s="98">
        <f>IF(ISERROR((GJ284/GH284-1)*100),"NA",IF(((GJ284/GH284-1)*100)&gt;100,"NM",IF(((GJ284/GH284-1)*100)&lt;-50,"NM",(GJ284/GH284-1)*100)))</f>
        <v>-8.0972981797404309</v>
      </c>
      <c r="GL284" s="184">
        <f>+GL283+GL282+GL281+GL280</f>
        <v>11157</v>
      </c>
      <c r="GM284" s="98">
        <f>IF(ISERROR((GL284/GJ284-1)*100),"NA",IF(((GL284/GJ284-1)*100)&gt;100,"NM",IF(((GL284/GJ284-1)*100)&lt;-50,"NM",(GL284/GJ284-1)*100)))</f>
        <v>-0.90594191313615458</v>
      </c>
      <c r="GN284" s="184">
        <f>+GN283+GN282+GN281+GN280</f>
        <v>11367</v>
      </c>
      <c r="GO284" s="98">
        <f>IF(ISERROR((GN284/GL284-1)*100),"NA",IF(((GN284/GL284-1)*100)&gt;100,"NM",IF(((GN284/GL284-1)*100)&lt;-50,"NM",(GN284/GL284-1)*100)))</f>
        <v>1.8822264049475734</v>
      </c>
      <c r="GP284" s="184">
        <f>+GP283+GP282+GP281+GP280</f>
        <v>11704.679334517499</v>
      </c>
      <c r="GQ284" s="98">
        <f>IF(ISERROR((GP284/GN284-1)*100),"NA",IF(((GP284/GN284-1)*100)&gt;100,"NM",IF(((GP284/GN284-1)*100)&lt;-50,"NM",(GP284/GN284-1)*100)))</f>
        <v>2.9706988169041937</v>
      </c>
      <c r="GR284" s="183">
        <f>+GR283+GR282+GR281+GR280</f>
        <v>12289.913301243374</v>
      </c>
      <c r="GS284" s="98">
        <f>IF(ISERROR((GR284/GP284-1)*100),"NA",IF(((GR284/GP284-1)*100)&gt;100,"NM",IF(((GR284/GP284-1)*100)&lt;-50,"NM",(GR284/GP284-1)*100)))</f>
        <v>5.0000000000000044</v>
      </c>
      <c r="GT284" s="183">
        <f>+GT283+GT282+GT281+GT280</f>
        <v>12904.408966305546</v>
      </c>
      <c r="GU284" s="98">
        <f>IF(ISERROR((GT284/GR284-1)*100),"NA",IF(((GT284/GR284-1)*100)&gt;100,"NM",IF(((GT284/GR284-1)*100)&lt;-50,"NM",(GT284/GR284-1)*100)))</f>
        <v>5.0000000000000266</v>
      </c>
      <c r="GV284" s="183">
        <f>+GV283+GV282+GV281+GV280</f>
        <v>13549.629414620824</v>
      </c>
      <c r="GW284" s="98">
        <f>IF(ISERROR((GV284/GT284-1)*100),"NA",IF(((GV284/GT284-1)*100)&gt;100,"NM",IF(((GV284/GT284-1)*100)&lt;-50,"NM",(GV284/GT284-1)*100)))</f>
        <v>5.0000000000000044</v>
      </c>
      <c r="GX284" s="183">
        <f>+GX283+GX282+GX281+GX280</f>
        <v>14227.110885351864</v>
      </c>
      <c r="GY284" s="98">
        <f>IF(ISERROR((GX284/GV284-1)*100),"NA",IF(((GX284/GV284-1)*100)&gt;100,"NM",IF(((GX284/GV284-1)*100)&lt;-50,"NM",(GX284/GV284-1)*100)))</f>
        <v>4.9999999999999822</v>
      </c>
      <c r="GZ284" s="98">
        <f>IF(ISERROR(((GX284/GN284)^0.2-1)*100),"NA",IF((((GX284/GN284)^0.2-1)*100)&gt;100,"NM",IF((((GX284/GN284)^0.2-1)*100)&lt;-50,"NM",((GX284/GN284)^0.2-1)*100)))</f>
        <v>4.5909653084812208</v>
      </c>
      <c r="HA284" s="98"/>
      <c r="HB284" s="10"/>
      <c r="HC284"/>
      <c r="HD284"/>
      <c r="HE284"/>
      <c r="HF284"/>
      <c r="HG284"/>
      <c r="HH284"/>
      <c r="HI284" s="10"/>
    </row>
    <row r="285" spans="2:217" s="2" customFormat="1" ht="12.75" customHeight="1" x14ac:dyDescent="0.2">
      <c r="B285" s="179"/>
      <c r="C285" s="293"/>
      <c r="D285" s="98"/>
      <c r="E285" s="293"/>
      <c r="F285" s="98"/>
      <c r="G285" s="293"/>
      <c r="H285" s="98"/>
      <c r="I285" s="293"/>
      <c r="J285" s="233"/>
      <c r="K285" s="293"/>
      <c r="L285" s="233"/>
      <c r="M285" s="293"/>
      <c r="N285" s="233"/>
      <c r="O285" s="293"/>
      <c r="P285" s="233"/>
      <c r="Q285" s="293"/>
      <c r="R285" s="233"/>
      <c r="S285" s="293"/>
      <c r="T285" s="233"/>
      <c r="U285" s="293"/>
      <c r="V285" s="233"/>
      <c r="W285" s="293"/>
      <c r="X285" s="233"/>
      <c r="Y285" s="293"/>
      <c r="Z285" s="233"/>
      <c r="AA285" s="293"/>
      <c r="AB285" s="233"/>
      <c r="AC285" s="293"/>
      <c r="AD285" s="233"/>
      <c r="AE285" s="293"/>
      <c r="AF285" s="233"/>
      <c r="AG285" s="124"/>
      <c r="AH285" s="233"/>
      <c r="AI285" s="124"/>
      <c r="AJ285" s="233"/>
      <c r="AK285" s="124"/>
      <c r="AL285" s="233"/>
      <c r="AM285" s="124"/>
      <c r="AN285" s="233"/>
      <c r="AO285" s="124"/>
      <c r="AP285" s="233"/>
      <c r="AQ285" s="124"/>
      <c r="AR285" s="233"/>
      <c r="AS285" s="124"/>
      <c r="AT285" s="233"/>
      <c r="AU285" s="124"/>
      <c r="AV285" s="233"/>
      <c r="AW285" s="124"/>
      <c r="AX285" s="233"/>
      <c r="AY285" s="137"/>
      <c r="AZ285" s="233"/>
      <c r="BA285" s="137"/>
      <c r="BB285" s="233"/>
      <c r="BC285" s="137"/>
      <c r="BD285" s="233"/>
      <c r="BE285" s="137"/>
      <c r="BF285" s="233"/>
      <c r="BG285" s="137"/>
      <c r="BH285" s="233"/>
      <c r="BI285" s="137"/>
      <c r="BJ285" s="233"/>
      <c r="BK285" s="137"/>
      <c r="BL285" s="233"/>
      <c r="BM285" s="137"/>
      <c r="BN285" s="233"/>
      <c r="BO285" s="137"/>
      <c r="BP285" s="233"/>
      <c r="BQ285" s="137"/>
      <c r="BR285" s="233"/>
      <c r="BS285" s="137"/>
      <c r="BT285" s="233"/>
      <c r="BU285" s="137"/>
      <c r="BV285" s="233"/>
      <c r="BW285" s="137"/>
      <c r="BX285" s="233"/>
      <c r="BY285" s="137"/>
      <c r="BZ285" s="233"/>
      <c r="CA285" s="137"/>
      <c r="CB285" s="233"/>
      <c r="CC285" s="137"/>
      <c r="CD285" s="233"/>
      <c r="CE285" s="137"/>
      <c r="CF285" s="233"/>
      <c r="CG285" s="137"/>
      <c r="CH285" s="233"/>
      <c r="CI285" s="137"/>
      <c r="CJ285" s="233"/>
      <c r="CK285" s="94"/>
      <c r="CL285" s="113"/>
      <c r="CM285" s="94"/>
      <c r="CN285" s="113"/>
      <c r="CO285" s="94"/>
      <c r="CP285" s="113"/>
      <c r="CQ285" s="533"/>
      <c r="CR285" s="113"/>
      <c r="CS285" s="94"/>
      <c r="CT285" s="113"/>
      <c r="CU285" s="94"/>
      <c r="CV285" s="113"/>
      <c r="CW285" s="94"/>
      <c r="CX285" s="113"/>
      <c r="CY285" s="94"/>
      <c r="CZ285" s="113"/>
      <c r="DA285" s="94"/>
      <c r="DB285" s="113"/>
      <c r="DC285" s="94"/>
      <c r="DD285" s="113"/>
      <c r="DE285" s="94"/>
      <c r="DF285" s="113"/>
      <c r="DG285" s="94"/>
      <c r="DH285" s="113"/>
      <c r="DI285" s="94"/>
      <c r="DJ285" s="113"/>
      <c r="DK285" s="94"/>
      <c r="DL285" s="113"/>
      <c r="DM285" s="94"/>
      <c r="DN285" s="113"/>
      <c r="DO285" s="94"/>
      <c r="DP285" s="113"/>
      <c r="DQ285" s="94"/>
      <c r="DR285" s="113"/>
      <c r="DS285" s="94"/>
      <c r="DT285" s="113"/>
      <c r="DU285" s="94"/>
      <c r="DV285" s="113"/>
      <c r="DW285" s="94"/>
      <c r="DX285" s="113"/>
      <c r="DY285" s="94"/>
      <c r="DZ285" s="113"/>
      <c r="EA285" s="94"/>
      <c r="EB285" s="113"/>
      <c r="EC285" s="94"/>
      <c r="ED285" s="113"/>
      <c r="EE285" s="94"/>
      <c r="EF285" s="859"/>
      <c r="EG285" s="94"/>
      <c r="EH285" s="859"/>
      <c r="EI285" s="94"/>
      <c r="EJ285" s="859"/>
      <c r="EK285" s="94"/>
      <c r="EL285" s="859"/>
      <c r="EM285" s="94"/>
      <c r="EN285" s="859"/>
      <c r="EO285" s="94"/>
      <c r="EP285" s="113"/>
      <c r="EQ285" s="789"/>
      <c r="ER285" s="113"/>
      <c r="ES285" s="789"/>
      <c r="ET285" s="113"/>
      <c r="EU285" s="789"/>
      <c r="EV285" s="113"/>
      <c r="EW285" s="789"/>
      <c r="EX285" s="113"/>
      <c r="EY285" s="295"/>
      <c r="EZ285" s="601"/>
      <c r="FA285" s="411"/>
      <c r="FB285" s="242"/>
      <c r="FC285" s="233"/>
      <c r="FD285" s="291"/>
      <c r="FE285" s="233"/>
      <c r="FF285" s="291"/>
      <c r="FG285" s="233"/>
      <c r="FH285" s="291"/>
      <c r="FI285" s="233"/>
      <c r="FJ285" s="291"/>
      <c r="FK285" s="233"/>
      <c r="FL285" s="291"/>
      <c r="FM285" s="233"/>
      <c r="FN285" s="291"/>
      <c r="FO285" s="233"/>
      <c r="FP285" s="291"/>
      <c r="FQ285" s="233"/>
      <c r="FR285" s="292"/>
      <c r="FS285" s="120"/>
      <c r="FT285" s="292"/>
      <c r="FU285" s="120"/>
      <c r="FV285" s="292"/>
      <c r="FW285" s="233"/>
      <c r="FX285" s="483"/>
      <c r="FY285" s="233"/>
      <c r="FZ285" s="96"/>
      <c r="GA285" s="113"/>
      <c r="GB285" s="480"/>
      <c r="GC285" s="113"/>
      <c r="GD285" s="96"/>
      <c r="GE285" s="113"/>
      <c r="GF285" s="96"/>
      <c r="GG285" s="98"/>
      <c r="GH285" s="96"/>
      <c r="GI285" s="98"/>
      <c r="GJ285" s="96"/>
      <c r="GK285" s="98"/>
      <c r="GL285" s="96"/>
      <c r="GM285" s="98"/>
      <c r="GN285" s="96"/>
      <c r="GO285" s="98"/>
      <c r="GP285" s="96"/>
      <c r="GQ285" s="98"/>
      <c r="GR285" s="95"/>
      <c r="GS285" s="98"/>
      <c r="GT285" s="95"/>
      <c r="GU285" s="98"/>
      <c r="GV285" s="95"/>
      <c r="GW285" s="98"/>
      <c r="GX285" s="95"/>
      <c r="GY285" s="98"/>
      <c r="GZ285" s="233"/>
      <c r="HA285" s="233"/>
      <c r="HB285" s="10"/>
      <c r="HC285"/>
      <c r="HD285"/>
      <c r="HE285"/>
      <c r="HF285"/>
      <c r="HG285"/>
      <c r="HH285"/>
      <c r="HI285" s="10"/>
    </row>
    <row r="286" spans="2:217" s="2" customFormat="1" ht="12.75" customHeight="1" x14ac:dyDescent="0.2">
      <c r="B286" s="131" t="s">
        <v>553</v>
      </c>
      <c r="C286" s="293"/>
      <c r="D286" s="98"/>
      <c r="E286" s="293"/>
      <c r="F286" s="98"/>
      <c r="G286" s="293"/>
      <c r="H286" s="98"/>
      <c r="I286" s="293"/>
      <c r="J286" s="233"/>
      <c r="K286" s="293"/>
      <c r="L286" s="233"/>
      <c r="M286" s="293"/>
      <c r="N286" s="233"/>
      <c r="O286" s="293"/>
      <c r="P286" s="233"/>
      <c r="Q286" s="293"/>
      <c r="R286" s="233"/>
      <c r="S286" s="293"/>
      <c r="T286" s="233"/>
      <c r="U286" s="293"/>
      <c r="V286" s="233"/>
      <c r="W286" s="293"/>
      <c r="X286" s="233"/>
      <c r="Y286" s="293"/>
      <c r="Z286" s="233"/>
      <c r="AA286" s="293"/>
      <c r="AB286" s="233"/>
      <c r="AC286" s="293"/>
      <c r="AD286" s="233"/>
      <c r="AE286" s="293"/>
      <c r="AF286" s="233"/>
      <c r="AG286" s="124"/>
      <c r="AH286" s="233"/>
      <c r="AI286" s="124"/>
      <c r="AJ286" s="233"/>
      <c r="AK286" s="124"/>
      <c r="AL286" s="233"/>
      <c r="AM286" s="124"/>
      <c r="AN286" s="233"/>
      <c r="AO286" s="124"/>
      <c r="AP286" s="233"/>
      <c r="AQ286" s="124"/>
      <c r="AR286" s="233"/>
      <c r="AS286" s="124"/>
      <c r="AT286" s="233"/>
      <c r="AU286" s="124"/>
      <c r="AV286" s="233"/>
      <c r="AW286" s="124"/>
      <c r="AX286" s="233"/>
      <c r="AY286" s="137"/>
      <c r="AZ286" s="233"/>
      <c r="BA286" s="137"/>
      <c r="BB286" s="233"/>
      <c r="BC286" s="137"/>
      <c r="BD286" s="233"/>
      <c r="BE286" s="137"/>
      <c r="BF286" s="233"/>
      <c r="BG286" s="137"/>
      <c r="BH286" s="233"/>
      <c r="BI286" s="137"/>
      <c r="BJ286" s="233"/>
      <c r="BK286" s="137"/>
      <c r="BL286" s="233"/>
      <c r="BM286" s="137"/>
      <c r="BN286" s="233"/>
      <c r="BO286" s="137"/>
      <c r="BP286" s="233"/>
      <c r="BQ286" s="137"/>
      <c r="BR286" s="233"/>
      <c r="BS286" s="137"/>
      <c r="BT286" s="233"/>
      <c r="BU286" s="137"/>
      <c r="BV286" s="233"/>
      <c r="BW286" s="137"/>
      <c r="BX286" s="233"/>
      <c r="BY286" s="137"/>
      <c r="BZ286" s="233"/>
      <c r="CA286" s="137"/>
      <c r="CB286" s="233"/>
      <c r="CC286" s="137"/>
      <c r="CD286" s="233"/>
      <c r="CE286" s="137"/>
      <c r="CF286" s="233"/>
      <c r="CG286" s="137"/>
      <c r="CH286" s="233"/>
      <c r="CI286" s="137"/>
      <c r="CJ286" s="233"/>
      <c r="CK286" s="94"/>
      <c r="CL286" s="113"/>
      <c r="CM286" s="94"/>
      <c r="CN286" s="113"/>
      <c r="CO286" s="94"/>
      <c r="CP286" s="113"/>
      <c r="CQ286" s="533"/>
      <c r="CR286" s="113"/>
      <c r="CS286" s="94"/>
      <c r="CT286" s="113"/>
      <c r="CU286" s="94"/>
      <c r="CV286" s="113"/>
      <c r="CW286" s="94"/>
      <c r="CX286" s="113"/>
      <c r="CY286" s="94"/>
      <c r="CZ286" s="113"/>
      <c r="DA286" s="94"/>
      <c r="DB286" s="113"/>
      <c r="DC286" s="94"/>
      <c r="DD286" s="113"/>
      <c r="DE286" s="94"/>
      <c r="DF286" s="113"/>
      <c r="DG286" s="94"/>
      <c r="DH286" s="113"/>
      <c r="DI286" s="94"/>
      <c r="DJ286" s="113"/>
      <c r="DK286" s="94"/>
      <c r="DL286" s="113"/>
      <c r="DM286" s="94"/>
      <c r="DN286" s="113"/>
      <c r="DO286" s="94"/>
      <c r="DP286" s="113"/>
      <c r="DQ286" s="94"/>
      <c r="DR286" s="113"/>
      <c r="DS286" s="94"/>
      <c r="DT286" s="113"/>
      <c r="DU286" s="94"/>
      <c r="DV286" s="113"/>
      <c r="DW286" s="94"/>
      <c r="DX286" s="113"/>
      <c r="DY286" s="94"/>
      <c r="DZ286" s="113"/>
      <c r="EA286" s="94"/>
      <c r="EB286" s="113"/>
      <c r="EC286" s="94"/>
      <c r="ED286" s="113"/>
      <c r="EE286" s="94"/>
      <c r="EF286" s="859"/>
      <c r="EG286" s="94"/>
      <c r="EH286" s="859"/>
      <c r="EI286" s="94"/>
      <c r="EJ286" s="859"/>
      <c r="EK286" s="94"/>
      <c r="EL286" s="859"/>
      <c r="EM286" s="94"/>
      <c r="EN286" s="859"/>
      <c r="EO286" s="94"/>
      <c r="EP286" s="113"/>
      <c r="EQ286" s="789"/>
      <c r="ER286" s="113"/>
      <c r="ES286" s="789"/>
      <c r="ET286" s="113"/>
      <c r="EU286" s="789"/>
      <c r="EV286" s="113"/>
      <c r="EW286" s="789"/>
      <c r="EX286" s="113"/>
      <c r="EY286" s="295"/>
      <c r="EZ286" s="601"/>
      <c r="FA286" s="411"/>
      <c r="FB286" s="242"/>
      <c r="FC286" s="233"/>
      <c r="FD286" s="291"/>
      <c r="FE286" s="233"/>
      <c r="FF286" s="291"/>
      <c r="FG286" s="233"/>
      <c r="FH286" s="291"/>
      <c r="FI286" s="233"/>
      <c r="FJ286" s="291"/>
      <c r="FK286" s="233"/>
      <c r="FL286" s="291"/>
      <c r="FM286" s="233"/>
      <c r="FN286" s="291"/>
      <c r="FO286" s="233"/>
      <c r="FP286" s="291"/>
      <c r="FQ286" s="233"/>
      <c r="FR286" s="292"/>
      <c r="FS286" s="120"/>
      <c r="FT286" s="292"/>
      <c r="FU286" s="120"/>
      <c r="FV286" s="292"/>
      <c r="FW286" s="233"/>
      <c r="FX286" s="483"/>
      <c r="FY286" s="233"/>
      <c r="FZ286" s="96"/>
      <c r="GA286" s="113"/>
      <c r="GB286" s="480"/>
      <c r="GC286" s="113"/>
      <c r="GD286" s="96"/>
      <c r="GE286" s="113"/>
      <c r="GF286" s="96"/>
      <c r="GG286" s="113"/>
      <c r="GH286" s="96"/>
      <c r="GI286" s="113"/>
      <c r="GJ286" s="96"/>
      <c r="GK286" s="113"/>
      <c r="GL286" s="96"/>
      <c r="GM286" s="113"/>
      <c r="GN286" s="96"/>
      <c r="GO286" s="113"/>
      <c r="GP286" s="96"/>
      <c r="GQ286" s="113"/>
      <c r="GR286" s="95"/>
      <c r="GS286" s="113"/>
      <c r="GT286" s="95"/>
      <c r="GU286" s="113"/>
      <c r="GV286" s="95"/>
      <c r="GW286" s="113"/>
      <c r="GX286" s="95"/>
      <c r="GY286" s="113"/>
      <c r="GZ286" s="233"/>
      <c r="HA286" s="233"/>
      <c r="HB286" s="10"/>
      <c r="HC286"/>
      <c r="HD286"/>
      <c r="HE286"/>
      <c r="HF286"/>
      <c r="HG286"/>
      <c r="HH286"/>
      <c r="HI286" s="10"/>
    </row>
    <row r="287" spans="2:217" s="2" customFormat="1" ht="12.75" customHeight="1" x14ac:dyDescent="0.2">
      <c r="B287" s="179" t="s">
        <v>540</v>
      </c>
      <c r="C287" s="293"/>
      <c r="D287" s="98"/>
      <c r="E287" s="293"/>
      <c r="F287" s="98"/>
      <c r="G287" s="293"/>
      <c r="H287" s="98"/>
      <c r="I287" s="293"/>
      <c r="J287" s="233"/>
      <c r="K287" s="293"/>
      <c r="L287" s="233"/>
      <c r="M287" s="293"/>
      <c r="N287" s="233"/>
      <c r="O287" s="293"/>
      <c r="P287" s="233"/>
      <c r="Q287" s="293"/>
      <c r="R287" s="233"/>
      <c r="S287" s="293"/>
      <c r="T287" s="233"/>
      <c r="U287" s="293"/>
      <c r="V287" s="233"/>
      <c r="W287" s="293"/>
      <c r="X287" s="233"/>
      <c r="Y287" s="293"/>
      <c r="Z287" s="233"/>
      <c r="AA287" s="293"/>
      <c r="AB287" s="233"/>
      <c r="AC287" s="293"/>
      <c r="AD287" s="233"/>
      <c r="AE287" s="293"/>
      <c r="AF287" s="233"/>
      <c r="AG287" s="124"/>
      <c r="AH287" s="233"/>
      <c r="AI287" s="124"/>
      <c r="AJ287" s="233"/>
      <c r="AK287" s="124"/>
      <c r="AL287" s="233"/>
      <c r="AM287" s="124"/>
      <c r="AN287" s="233"/>
      <c r="AO287" s="124"/>
      <c r="AP287" s="233"/>
      <c r="AQ287" s="124"/>
      <c r="AR287" s="233"/>
      <c r="AS287" s="124"/>
      <c r="AT287" s="233"/>
      <c r="AU287" s="124"/>
      <c r="AV287" s="233"/>
      <c r="AW287" s="124"/>
      <c r="AX287" s="233"/>
      <c r="AY287" s="137"/>
      <c r="AZ287" s="233"/>
      <c r="BA287" s="137"/>
      <c r="BB287" s="233"/>
      <c r="BC287" s="137"/>
      <c r="BD287" s="233"/>
      <c r="BE287" s="137"/>
      <c r="BF287" s="233"/>
      <c r="BG287" s="137"/>
      <c r="BH287" s="233"/>
      <c r="BI287" s="137"/>
      <c r="BJ287" s="233"/>
      <c r="BK287" s="137"/>
      <c r="BL287" s="233"/>
      <c r="BM287" s="137"/>
      <c r="BN287" s="233"/>
      <c r="BO287" s="137"/>
      <c r="BP287" s="233"/>
      <c r="BQ287" s="137"/>
      <c r="BR287" s="233"/>
      <c r="BS287" s="137"/>
      <c r="BT287" s="233"/>
      <c r="BU287" s="137"/>
      <c r="BV287" s="233"/>
      <c r="BW287" s="137"/>
      <c r="BX287" s="233"/>
      <c r="BY287" s="137"/>
      <c r="BZ287" s="233"/>
      <c r="CA287" s="137"/>
      <c r="CB287" s="233"/>
      <c r="CC287" s="137"/>
      <c r="CD287" s="233"/>
      <c r="CE287" s="137"/>
      <c r="CF287" s="233"/>
      <c r="CG287" s="137"/>
      <c r="CH287" s="233"/>
      <c r="CI287" s="137"/>
      <c r="CJ287" s="233"/>
      <c r="CK287" s="101">
        <v>309</v>
      </c>
      <c r="CL287" s="98" t="str">
        <f>IF(ISERROR((CK287/CC287-1)*100),"NA",IF(((CK287/CC287-1)*100)&gt;100,"NM",IF(((CK287/CC287-1)*100)&lt;-50,"NM",(CK287/CC287-1)*100)))</f>
        <v>NA</v>
      </c>
      <c r="CM287" s="101">
        <v>1198</v>
      </c>
      <c r="CN287" s="98" t="str">
        <f>IF(ISERROR((CM287/CE287-1)*100),"NA",IF(((CM287/CE287-1)*100)&gt;100,"NM",IF(((CM287/CE287-1)*100)&lt;-50,"NM",(CM287/CE287-1)*100)))</f>
        <v>NA</v>
      </c>
      <c r="CO287" s="101">
        <v>1272</v>
      </c>
      <c r="CP287" s="98" t="str">
        <f>IF(ISERROR((CO287/CG287-1)*100),"NA",IF(((CO287/CG287-1)*100)&gt;100,"NM",IF(((CO287/CG287-1)*100)&lt;-50,"NM",(CO287/CG287-1)*100)))</f>
        <v>NA</v>
      </c>
      <c r="CQ287" s="542">
        <v>1325</v>
      </c>
      <c r="CR287" s="98" t="str">
        <f>IF(ISERROR((CQ287/CI287-1)*100),"NA",IF(((CQ287/CI287-1)*100)&gt;100,"NM",IF(((CQ287/CI287-1)*100)&lt;-50,"NM",(CQ287/CI287-1)*100)))</f>
        <v>NA</v>
      </c>
      <c r="CS287" s="101">
        <v>1308</v>
      </c>
      <c r="CT287" s="98" t="str">
        <f>IF(ISERROR((CS287/CK287-1)*100),"NA",IF(((CS287/CK287-1)*100)&gt;100,"NM",IF(((CS287/CK287-1)*100)&lt;-50,"NM",(CS287/CK287-1)*100)))</f>
        <v>NM</v>
      </c>
      <c r="CU287" s="101">
        <v>1360</v>
      </c>
      <c r="CV287" s="98">
        <f>IF(ISERROR((CU287/CM287-1)*100),"NA",IF(((CU287/CM287-1)*100)&gt;100,"NM",IF(((CU287/CM287-1)*100)&lt;-50,"NM",(CU287/CM287-1)*100)))</f>
        <v>13.522537562604331</v>
      </c>
      <c r="CW287" s="101">
        <v>1435</v>
      </c>
      <c r="CX287" s="98">
        <f>IF(ISERROR((CW287/CO287-1)*100),"NA",IF(((CW287/CO287-1)*100)&gt;100,"NM",IF(((CW287/CO287-1)*100)&lt;-50,"NM",(CW287/CO287-1)*100)))</f>
        <v>12.814465408805042</v>
      </c>
      <c r="CY287" s="101">
        <v>1455</v>
      </c>
      <c r="CZ287" s="98">
        <f>IF(ISERROR((CY287/CQ287-1)*100),"NA",IF(((CY287/CQ287-1)*100)&gt;100,"NM",IF(((CY287/CQ287-1)*100)&lt;-50,"NM",(CY287/CQ287-1)*100)))</f>
        <v>9.811320754716979</v>
      </c>
      <c r="DA287" s="101">
        <v>1569</v>
      </c>
      <c r="DB287" s="98">
        <f>IF(ISERROR((DA287/CS287-1)*100),"NA",IF(((DA287/CS287-1)*100)&gt;100,"NM",IF(((DA287/CS287-1)*100)&lt;-50,"NM",(DA287/CS287-1)*100)))</f>
        <v>19.954128440366969</v>
      </c>
      <c r="DC287" s="101">
        <v>1415</v>
      </c>
      <c r="DD287" s="98">
        <f>IF(ISERROR((DC287/CU287-1)*100),"NA",IF(((DC287/CU287-1)*100)&gt;100,"NM",IF(((DC287/CU287-1)*100)&lt;-50,"NM",(DC287/CU287-1)*100)))</f>
        <v>4.0441176470588314</v>
      </c>
      <c r="DE287" s="101">
        <v>1433</v>
      </c>
      <c r="DF287" s="98">
        <f>IF(ISERROR((DE287/CW287-1)*100),"NA",IF(((DE287/CW287-1)*100)&gt;100,"NM",IF(((DE287/CW287-1)*100)&lt;-50,"NM",(DE287/CW287-1)*100)))</f>
        <v>-0.13937282229965486</v>
      </c>
      <c r="DG287" s="101">
        <v>1506</v>
      </c>
      <c r="DH287" s="98">
        <f>IF(ISERROR((DG287/CY287-1)*100),"NA",IF(((DG287/CY287-1)*100)&gt;100,"NM",IF(((DG287/CY287-1)*100)&lt;-50,"NM",(DG287/CY287-1)*100)))</f>
        <v>3.5051546391752675</v>
      </c>
      <c r="DI287" s="101">
        <v>1401</v>
      </c>
      <c r="DJ287" s="98">
        <f>IF(ISERROR((DI287/DA287-1)*100),"NA",IF(((DI287/DA287-1)*100)&gt;100,"NM",IF(((DI287/DA287-1)*100)&lt;-50,"NM",(DI287/DA287-1)*100)))</f>
        <v>-10.7074569789675</v>
      </c>
      <c r="DK287" s="101">
        <v>1397</v>
      </c>
      <c r="DL287" s="98">
        <f>IF(ISERROR((DK287/DC287-1)*100),"NA",IF(((DK287/DC287-1)*100)&gt;100,"NM",IF(((DK287/DC287-1)*100)&lt;-50,"NM",(DK287/DC287-1)*100)))</f>
        <v>-1.272084805653706</v>
      </c>
      <c r="DM287" s="101">
        <v>1425</v>
      </c>
      <c r="DN287" s="98">
        <f>IF(ISERROR((DM287/DE287-1)*100),"NA",IF(((DM287/DE287-1)*100)&gt;100,"NM",IF(((DM287/DE287-1)*100)&lt;-50,"NM",(DM287/DE287-1)*100)))</f>
        <v>-0.55826936496859991</v>
      </c>
      <c r="DO287" s="101">
        <v>1535</v>
      </c>
      <c r="DP287" s="98">
        <f>IF(ISERROR((DO287/DG287-1)*100),"NA",IF(((DO287/DG287-1)*100)&gt;100,"NM",IF(((DO287/DG287-1)*100)&lt;-50,"NM",(DO287/DG287-1)*100)))</f>
        <v>1.9256308100929598</v>
      </c>
      <c r="DQ287" s="101">
        <v>1367</v>
      </c>
      <c r="DR287" s="98">
        <f>IF(ISERROR((DQ287/DI287-1)*100),"NA",IF(((DQ287/DI287-1)*100)&gt;100,"NM",IF(((DQ287/DI287-1)*100)&lt;-50,"NM",(DQ287/DI287-1)*100)))</f>
        <v>-2.4268379728765166</v>
      </c>
      <c r="DS287" s="101">
        <v>1340</v>
      </c>
      <c r="DT287" s="98">
        <f>IF(ISERROR((DS287/DK287-1)*100),"NA",IF(((DS287/DK287-1)*100)&gt;100,"NM",IF(((DS287/DK287-1)*100)&lt;-50,"NM",(DS287/DK287-1)*100)))</f>
        <v>-4.0801717967072326</v>
      </c>
      <c r="DU287" s="101">
        <v>1375</v>
      </c>
      <c r="DV287" s="98">
        <f>IF(ISERROR((DU287/DM287-1)*100),"NA",IF(((DU287/DM287-1)*100)&gt;100,"NM",IF(((DU287/DM287-1)*100)&lt;-50,"NM",(DU287/DM287-1)*100)))</f>
        <v>-3.5087719298245612</v>
      </c>
      <c r="DW287" s="101">
        <v>1331</v>
      </c>
      <c r="DX287" s="98">
        <f>IF(ISERROR((DW287/DO287-1)*100),"NA",IF(((DW287/DO287-1)*100)&gt;100,"NM",IF(((DW287/DO287-1)*100)&lt;-50,"NM",(DW287/DO287-1)*100)))</f>
        <v>-13.289902280130296</v>
      </c>
      <c r="DY287" s="101">
        <v>1229</v>
      </c>
      <c r="DZ287" s="98">
        <f>IF(ISERROR((DY287/DQ287-1)*100),"NA",IF(((DY287/DQ287-1)*100)&gt;100,"NM",IF(((DY287/DQ287-1)*100)&lt;-50,"NM",(DY287/DQ287-1)*100)))</f>
        <v>-10.095098756400878</v>
      </c>
      <c r="EA287" s="101">
        <v>1236</v>
      </c>
      <c r="EB287" s="98">
        <f>IF(ISERROR((EA287/DS287-1)*100),"NA",IF(((EA287/DS287-1)*100)&gt;100,"NM",IF(((EA287/DS287-1)*100)&lt;-50,"NM",(EA287/DS287-1)*100)))</f>
        <v>-7.7611940298507491</v>
      </c>
      <c r="EC287" s="101">
        <v>1324</v>
      </c>
      <c r="ED287" s="98">
        <f>IF(ISERROR((EC287/DU287-1)*100),"NA",IF(((EC287/DU287-1)*100)&gt;100,"NM",IF(((EC287/DU287-1)*100)&lt;-50,"NM",(EC287/DU287-1)*100)))</f>
        <v>-3.7090909090909063</v>
      </c>
      <c r="EE287" s="101">
        <v>1363</v>
      </c>
      <c r="EF287" s="860">
        <f>IF(ISERROR((EE287/DW287-1)*100),"NA",IF(((EE287/DW287-1)*100)&gt;100,"NM",IF(((EE287/DW287-1)*100)&lt;-50,"NM",(EE287/DW287-1)*100)))</f>
        <v>2.4042073628850469</v>
      </c>
      <c r="EG287" s="101">
        <v>1268</v>
      </c>
      <c r="EH287" s="860">
        <f>IF(ISERROR((EG287/DY287-1)*100),"NA",IF(((EG287/DY287-1)*100)&gt;100,"NM",IF(((EG287/DY287-1)*100)&lt;-50,"NM",(EG287/DY287-1)*100)))</f>
        <v>3.173311635476006</v>
      </c>
      <c r="EI287" s="101">
        <v>1315</v>
      </c>
      <c r="EJ287" s="860">
        <f t="shared" ref="EJ287:EJ291" si="1534">IF(ISERROR((EI287/EA287-1)*100),"NA",IF(((EI287/EA287-1)*100)&gt;100,"NM",IF(((EI287/EA287-1)*100)&lt;-50,"NM",(EI287/EA287-1)*100)))</f>
        <v>6.3915857605177928</v>
      </c>
      <c r="EK287" s="101">
        <v>1247</v>
      </c>
      <c r="EL287" s="860">
        <f t="shared" ref="EL287:EL291" si="1535">IF(ISERROR((EK287/EC287-1)*100),"NA",IF(((EK287/EC287-1)*100)&gt;100,"NM",IF(((EK287/EC287-1)*100)&lt;-50,"NM",(EK287/EC287-1)*100)))</f>
        <v>-5.815709969788518</v>
      </c>
      <c r="EM287" s="101">
        <v>1223</v>
      </c>
      <c r="EN287" s="860">
        <f t="shared" ref="EN287:EN291" si="1536">IF(ISERROR((EM287/EE287-1)*100),"NA",IF(((EM287/EE287-1)*100)&gt;100,"NM",IF(((EM287/EE287-1)*100)&lt;-50,"NM",(EM287/EE287-1)*100)))</f>
        <v>-10.271460014673517</v>
      </c>
      <c r="EO287" s="101">
        <v>1290</v>
      </c>
      <c r="EP287" s="98">
        <f t="shared" ref="EP287:EP291" si="1537">IF(ISERROR((EO287/EG287-1)*100),"NA",IF(((EO287/EG287-1)*100)&gt;100,"NM",IF(((EO287/EG287-1)*100)&lt;-50,"NM",(EO287/EG287-1)*100)))</f>
        <v>1.7350157728706517</v>
      </c>
      <c r="EQ287" s="1023">
        <f t="shared" ref="EQ287" si="1538">EQ294/100*EQ280</f>
        <v>1305.2087999999999</v>
      </c>
      <c r="ER287" s="98">
        <f t="shared" ref="ER287:ER291" si="1539">IF(ISERROR((EQ287/EI287-1)*100),"NA",IF(((EQ287/EI287-1)*100)&gt;100,"NM",IF(((EQ287/EI287-1)*100)&lt;-50,"NM",(EQ287/EI287-1)*100)))</f>
        <v>-0.74457794676806577</v>
      </c>
      <c r="ES287" s="1023">
        <f t="shared" ref="ES287" si="1540">ES294/100*ES280</f>
        <v>1320.4290802499997</v>
      </c>
      <c r="ET287" s="98">
        <f t="shared" ref="ET287:ET291" si="1541">IF(ISERROR((ES287/EK287-1)*100),"NA",IF(((ES287/EK287-1)*100)&gt;100,"NM",IF(((ES287/EK287-1)*100)&lt;-50,"NM",(ES287/EK287-1)*100)))</f>
        <v>5.8884587209302008</v>
      </c>
      <c r="EU287" s="1023">
        <f t="shared" ref="EU287" si="1542">EU294/100*EU280</f>
        <v>1335.8122969274996</v>
      </c>
      <c r="EV287" s="98">
        <f t="shared" ref="EV287:EV291" si="1543">IF(ISERROR((EU287/EM287-1)*100),"NA",IF(((EU287/EM287-1)*100)&gt;100,"NM",IF(((EU287/EM287-1)*100)&lt;-50,"NM",(EU287/EM287-1)*100)))</f>
        <v>9.224227058667168</v>
      </c>
      <c r="EW287" s="1023">
        <f t="shared" ref="EW287" si="1544">EW294/100*EW280</f>
        <v>1355.849481381412</v>
      </c>
      <c r="EX287" s="98">
        <f t="shared" ref="EX287:EX291" si="1545">IF(ISERROR((EW287/EO287-1)*100),"NA",IF(((EW287/EO287-1)*100)&gt;100,"NM",IF(((EW287/EO287-1)*100)&lt;-50,"NM",(EW287/EO287-1)*100)))</f>
        <v>5.1046109597993716</v>
      </c>
      <c r="EY287" s="295"/>
      <c r="EZ287" s="601"/>
      <c r="FA287" s="411"/>
      <c r="FB287" s="242"/>
      <c r="FC287" s="233"/>
      <c r="FD287" s="291"/>
      <c r="FE287" s="233"/>
      <c r="FF287" s="291"/>
      <c r="FG287" s="233"/>
      <c r="FH287" s="291"/>
      <c r="FI287" s="233"/>
      <c r="FJ287" s="291"/>
      <c r="FK287" s="233"/>
      <c r="FL287" s="291"/>
      <c r="FM287" s="233"/>
      <c r="FN287" s="291"/>
      <c r="FO287" s="233"/>
      <c r="FP287" s="291"/>
      <c r="FQ287" s="233"/>
      <c r="FR287" s="292"/>
      <c r="FS287" s="120"/>
      <c r="FT287" s="292"/>
      <c r="FU287" s="120"/>
      <c r="FV287" s="292"/>
      <c r="FW287" s="233"/>
      <c r="FX287" s="483"/>
      <c r="FY287" s="233"/>
      <c r="FZ287" s="160">
        <f>CE287+CG287+CI287+CK287</f>
        <v>309</v>
      </c>
      <c r="GA287" s="98" t="str">
        <f>IF(ISERROR((FZ287/FX287-1)*100),"NA",IF(((FZ287/FX287-1)*100)&gt;100,"NM",IF(((FZ287/FX287-1)*100)&lt;-50,"NM",(FZ287/FX287-1)*100)))</f>
        <v>NA</v>
      </c>
      <c r="GB287" s="542">
        <v>5239</v>
      </c>
      <c r="GC287" s="98" t="str">
        <f>IF(ISERROR((GB287/FZ287-1)*100),"NA",IF(((GB287/FZ287-1)*100)&gt;100,"NM",IF(((GB287/FZ287-1)*100)&lt;-50,"NM",(GB287/FZ287-1)*100)))</f>
        <v>NM</v>
      </c>
      <c r="GD287" s="160">
        <f>CU287+CW287+CY287+DA287</f>
        <v>5819</v>
      </c>
      <c r="GE287" s="98">
        <f>IF(ISERROR((GD287/GB287-1)*100),"NA",IF(((GD287/GB287-1)*100)&gt;100,"NM",IF(((GD287/GB287-1)*100)&lt;-50,"NM",(GD287/GB287-1)*100)))</f>
        <v>11.070815041038372</v>
      </c>
      <c r="GF287" s="160">
        <f>DC287+DE287+DG287+DI287</f>
        <v>5755</v>
      </c>
      <c r="GG287" s="98">
        <f>IF(ISERROR((GF287/GD287-1)*100),"NA",IF(((GF287/GD287-1)*100)&gt;100,"NM",IF(((GF287/GD287-1)*100)&lt;-50,"NM",(GF287/GD287-1)*100)))</f>
        <v>-1.0998453342498715</v>
      </c>
      <c r="GH287" s="160">
        <f>DK287+DM287+DO287+DQ287</f>
        <v>5724</v>
      </c>
      <c r="GI287" s="98">
        <f>IF(ISERROR((GH287/GF287-1)*100),"NA",IF(((GH287/GF287-1)*100)&gt;100,"NM",IF(((GH287/GF287-1)*100)&lt;-50,"NM",(GH287/GF287-1)*100)))</f>
        <v>-0.53866203301476956</v>
      </c>
      <c r="GJ287" s="160">
        <f>DS287+DU287+DW287+DY287</f>
        <v>5275</v>
      </c>
      <c r="GK287" s="98">
        <f>IF(ISERROR((GJ287/GH287-1)*100),"NA",IF(((GJ287/GH287-1)*100)&gt;100,"NM",IF(((GJ287/GH287-1)*100)&lt;-50,"NM",(GJ287/GH287-1)*100)))</f>
        <v>-7.8441649196366203</v>
      </c>
      <c r="GL287" s="160">
        <f>EA287+EC287+EE287+EG287</f>
        <v>5191</v>
      </c>
      <c r="GM287" s="98">
        <f>IF(ISERROR((GL287/GJ287-1)*100),"NA",IF(((GL287/GJ287-1)*100)&gt;100,"NM",IF(((GL287/GJ287-1)*100)&lt;-50,"NM",(GL287/GJ287-1)*100)))</f>
        <v>-1.5924170616113731</v>
      </c>
      <c r="GN287" s="160">
        <f>EI287+EK287+EM287+EO287</f>
        <v>5075</v>
      </c>
      <c r="GO287" s="98">
        <f>IF(ISERROR((GN287/GL287-1)*100),"NA",IF(((GN287/GL287-1)*100)&gt;100,"NM",IF(((GN287/GL287-1)*100)&lt;-50,"NM",(GN287/GL287-1)*100)))</f>
        <v>-2.2346368715083775</v>
      </c>
      <c r="GP287" s="160">
        <f>EQ287+ES287+EU287+EW287</f>
        <v>5317.2996585589108</v>
      </c>
      <c r="GQ287" s="98">
        <f>IF(ISERROR((GP287/GN287-1)*100),"NA",IF(((GP287/GN287-1)*100)&gt;100,"NM",IF(((GP287/GN287-1)*100)&lt;-50,"NM",(GP287/GN287-1)*100)))</f>
        <v>4.7743775085499651</v>
      </c>
      <c r="GR287" s="119">
        <f>GR294/100*GR280</f>
        <v>5583.1646414868574</v>
      </c>
      <c r="GS287" s="98">
        <f>IF(ISERROR((GR287/GP287-1)*100),"NA",IF(((GR287/GP287-1)*100)&gt;100,"NM",IF(((GR287/GP287-1)*100)&lt;-50,"NM",(GR287/GP287-1)*100)))</f>
        <v>5.0000000000000266</v>
      </c>
      <c r="GT287" s="119">
        <f>GT294/100*GT280</f>
        <v>5862.3228735612001</v>
      </c>
      <c r="GU287" s="98">
        <f>IF(ISERROR((GT287/GR287-1)*100),"NA",IF(((GT287/GR287-1)*100)&gt;100,"NM",IF(((GT287/GR287-1)*100)&lt;-50,"NM",(GT287/GR287-1)*100)))</f>
        <v>5.0000000000000044</v>
      </c>
      <c r="GV287" s="119">
        <f>GV294/100*GV280</f>
        <v>6155.4390172392605</v>
      </c>
      <c r="GW287" s="98">
        <f>IF(ISERROR((GV287/GT287-1)*100),"NA",IF(((GV287/GT287-1)*100)&gt;100,"NM",IF(((GV287/GT287-1)*100)&lt;-50,"NM",(GV287/GT287-1)*100)))</f>
        <v>5.0000000000000044</v>
      </c>
      <c r="GX287" s="119">
        <f>GX294/100*GX280</f>
        <v>6488.8300801864343</v>
      </c>
      <c r="GY287" s="98">
        <f>IF(ISERROR((GX287/GV287-1)*100),"NA",IF(((GX287/GV287-1)*100)&gt;100,"NM",IF(((GX287/GV287-1)*100)&lt;-50,"NM",(GX287/GV287-1)*100)))</f>
        <v>5.416202841315787</v>
      </c>
      <c r="GZ287" s="98">
        <f>IF(ISERROR(((GX287/GN287)^0.2-1)*100),"NA",IF((((GX287/GN287)^0.2-1)*100)&gt;100,"NM",IF((((GX287/GN287)^0.2-1)*100)&lt;-50,"NM",((GX287/GN287)^0.2-1)*100)))</f>
        <v>5.0379098195808991</v>
      </c>
      <c r="HA287" s="98"/>
      <c r="HB287" s="10"/>
      <c r="HC287"/>
      <c r="HD287"/>
      <c r="HE287"/>
      <c r="HF287"/>
      <c r="HG287"/>
      <c r="HH287"/>
      <c r="HI287" s="10"/>
    </row>
    <row r="288" spans="2:217" s="2" customFormat="1" ht="12.75" customHeight="1" x14ac:dyDescent="0.2">
      <c r="B288" s="179" t="s">
        <v>306</v>
      </c>
      <c r="C288" s="293"/>
      <c r="D288" s="98"/>
      <c r="E288" s="293"/>
      <c r="F288" s="98"/>
      <c r="G288" s="293"/>
      <c r="H288" s="98"/>
      <c r="I288" s="293"/>
      <c r="J288" s="233"/>
      <c r="K288" s="293"/>
      <c r="L288" s="233"/>
      <c r="M288" s="293"/>
      <c r="N288" s="233"/>
      <c r="O288" s="293"/>
      <c r="P288" s="233"/>
      <c r="Q288" s="293"/>
      <c r="R288" s="233"/>
      <c r="S288" s="293"/>
      <c r="T288" s="233"/>
      <c r="U288" s="293"/>
      <c r="V288" s="233"/>
      <c r="W288" s="293"/>
      <c r="X288" s="233"/>
      <c r="Y288" s="293"/>
      <c r="Z288" s="233"/>
      <c r="AA288" s="293"/>
      <c r="AB288" s="233"/>
      <c r="AC288" s="293"/>
      <c r="AD288" s="233"/>
      <c r="AE288" s="293"/>
      <c r="AF288" s="233"/>
      <c r="AG288" s="124"/>
      <c r="AH288" s="233"/>
      <c r="AI288" s="124"/>
      <c r="AJ288" s="233"/>
      <c r="AK288" s="124"/>
      <c r="AL288" s="233"/>
      <c r="AM288" s="124"/>
      <c r="AN288" s="233"/>
      <c r="AO288" s="124"/>
      <c r="AP288" s="233"/>
      <c r="AQ288" s="124"/>
      <c r="AR288" s="233"/>
      <c r="AS288" s="124"/>
      <c r="AT288" s="233"/>
      <c r="AU288" s="124"/>
      <c r="AV288" s="233"/>
      <c r="AW288" s="124"/>
      <c r="AX288" s="233"/>
      <c r="AY288" s="137"/>
      <c r="AZ288" s="233"/>
      <c r="BA288" s="137"/>
      <c r="BB288" s="233"/>
      <c r="BC288" s="137"/>
      <c r="BD288" s="233"/>
      <c r="BE288" s="137"/>
      <c r="BF288" s="233"/>
      <c r="BG288" s="137"/>
      <c r="BH288" s="233"/>
      <c r="BI288" s="137"/>
      <c r="BJ288" s="233"/>
      <c r="BK288" s="137"/>
      <c r="BL288" s="233"/>
      <c r="BM288" s="137"/>
      <c r="BN288" s="233"/>
      <c r="BO288" s="137"/>
      <c r="BP288" s="233"/>
      <c r="BQ288" s="137"/>
      <c r="BR288" s="233"/>
      <c r="BS288" s="137"/>
      <c r="BT288" s="233"/>
      <c r="BU288" s="137"/>
      <c r="BV288" s="233"/>
      <c r="BW288" s="137"/>
      <c r="BX288" s="233"/>
      <c r="BY288" s="137"/>
      <c r="BZ288" s="233"/>
      <c r="CA288" s="137"/>
      <c r="CB288" s="233"/>
      <c r="CC288" s="137"/>
      <c r="CD288" s="233"/>
      <c r="CE288" s="137"/>
      <c r="CF288" s="233"/>
      <c r="CG288" s="137"/>
      <c r="CH288" s="233"/>
      <c r="CI288" s="137"/>
      <c r="CJ288" s="233"/>
      <c r="CK288" s="101">
        <v>123</v>
      </c>
      <c r="CL288" s="98" t="str">
        <f>IF(ISERROR((CK288/CC288-1)*100),"NA",IF(((CK288/CC288-1)*100)&gt;100,"NM",IF(((CK288/CC288-1)*100)&lt;-50,"NM",(CK288/CC288-1)*100)))</f>
        <v>NA</v>
      </c>
      <c r="CM288" s="101">
        <v>380</v>
      </c>
      <c r="CN288" s="98" t="str">
        <f>IF(ISERROR((CM288/CE288-1)*100),"NA",IF(((CM288/CE288-1)*100)&gt;100,"NM",IF(((CM288/CE288-1)*100)&lt;-50,"NM",(CM288/CE288-1)*100)))</f>
        <v>NA</v>
      </c>
      <c r="CO288" s="101">
        <v>398</v>
      </c>
      <c r="CP288" s="98" t="str">
        <f>IF(ISERROR((CO288/CG288-1)*100),"NA",IF(((CO288/CG288-1)*100)&gt;100,"NM",IF(((CO288/CG288-1)*100)&lt;-50,"NM",(CO288/CG288-1)*100)))</f>
        <v>NA</v>
      </c>
      <c r="CQ288" s="542">
        <v>414</v>
      </c>
      <c r="CR288" s="98" t="str">
        <f>IF(ISERROR((CQ288/CI288-1)*100),"NA",IF(((CQ288/CI288-1)*100)&gt;100,"NM",IF(((CQ288/CI288-1)*100)&lt;-50,"NM",(CQ288/CI288-1)*100)))</f>
        <v>NA</v>
      </c>
      <c r="CS288" s="101">
        <v>414</v>
      </c>
      <c r="CT288" s="98" t="str">
        <f>IF(ISERROR((CS288/CK288-1)*100),"NA",IF(((CS288/CK288-1)*100)&gt;100,"NM",IF(((CS288/CK288-1)*100)&lt;-50,"NM",(CS288/CK288-1)*100)))</f>
        <v>NM</v>
      </c>
      <c r="CU288" s="101">
        <v>429</v>
      </c>
      <c r="CV288" s="98">
        <f>IF(ISERROR((CU288/CM288-1)*100),"NA",IF(((CU288/CM288-1)*100)&gt;100,"NM",IF(((CU288/CM288-1)*100)&lt;-50,"NM",(CU288/CM288-1)*100)))</f>
        <v>12.894736842105271</v>
      </c>
      <c r="CW288" s="101">
        <v>426</v>
      </c>
      <c r="CX288" s="98">
        <f>IF(ISERROR((CW288/CO288-1)*100),"NA",IF(((CW288/CO288-1)*100)&gt;100,"NM",IF(((CW288/CO288-1)*100)&lt;-50,"NM",(CW288/CO288-1)*100)))</f>
        <v>7.0351758793969932</v>
      </c>
      <c r="CY288" s="101">
        <v>468</v>
      </c>
      <c r="CZ288" s="98">
        <f>IF(ISERROR((CY288/CQ288-1)*100),"NA",IF(((CY288/CQ288-1)*100)&gt;100,"NM",IF(((CY288/CQ288-1)*100)&lt;-50,"NM",(CY288/CQ288-1)*100)))</f>
        <v>13.043478260869556</v>
      </c>
      <c r="DA288" s="101">
        <v>461</v>
      </c>
      <c r="DB288" s="98">
        <f>IF(ISERROR((DA288/CS288-1)*100),"NA",IF(((DA288/CS288-1)*100)&gt;100,"NM",IF(((DA288/CS288-1)*100)&lt;-50,"NM",(DA288/CS288-1)*100)))</f>
        <v>11.352657004830924</v>
      </c>
      <c r="DC288" s="101">
        <v>442</v>
      </c>
      <c r="DD288" s="98">
        <f>IF(ISERROR((DC288/CU288-1)*100),"NA",IF(((DC288/CU288-1)*100)&gt;100,"NM",IF(((DC288/CU288-1)*100)&lt;-50,"NM",(DC288/CU288-1)*100)))</f>
        <v>3.0303030303030276</v>
      </c>
      <c r="DE288" s="101">
        <v>437</v>
      </c>
      <c r="DF288" s="98">
        <f>IF(ISERROR((DE288/CW288-1)*100),"NA",IF(((DE288/CW288-1)*100)&gt;100,"NM",IF(((DE288/CW288-1)*100)&lt;-50,"NM",(DE288/CW288-1)*100)))</f>
        <v>2.5821596244131495</v>
      </c>
      <c r="DG288" s="101">
        <v>407</v>
      </c>
      <c r="DH288" s="98">
        <f>IF(ISERROR((DG288/CY288-1)*100),"NA",IF(((DG288/CY288-1)*100)&gt;100,"NM",IF(((DG288/CY288-1)*100)&lt;-50,"NM",(DG288/CY288-1)*100)))</f>
        <v>-13.034188034188032</v>
      </c>
      <c r="DI288" s="101">
        <v>404</v>
      </c>
      <c r="DJ288" s="98">
        <f>IF(ISERROR((DI288/DA288-1)*100),"NA",IF(((DI288/DA288-1)*100)&gt;100,"NM",IF(((DI288/DA288-1)*100)&lt;-50,"NM",(DI288/DA288-1)*100)))</f>
        <v>-12.364425162689807</v>
      </c>
      <c r="DK288" s="101">
        <v>387</v>
      </c>
      <c r="DL288" s="98">
        <f>IF(ISERROR((DK288/DC288-1)*100),"NA",IF(((DK288/DC288-1)*100)&gt;100,"NM",IF(((DK288/DC288-1)*100)&lt;-50,"NM",(DK288/DC288-1)*100)))</f>
        <v>-12.44343891402715</v>
      </c>
      <c r="DM288" s="101">
        <v>394</v>
      </c>
      <c r="DN288" s="98">
        <f>IF(ISERROR((DM288/DE288-1)*100),"NA",IF(((DM288/DE288-1)*100)&gt;100,"NM",IF(((DM288/DE288-1)*100)&lt;-50,"NM",(DM288/DE288-1)*100)))</f>
        <v>-9.8398169336384456</v>
      </c>
      <c r="DO288" s="101">
        <v>394</v>
      </c>
      <c r="DP288" s="98">
        <f>IF(ISERROR((DO288/DG288-1)*100),"NA",IF(((DO288/DG288-1)*100)&gt;100,"NM",IF(((DO288/DG288-1)*100)&lt;-50,"NM",(DO288/DG288-1)*100)))</f>
        <v>-3.1941031941031928</v>
      </c>
      <c r="DQ288" s="101">
        <v>369</v>
      </c>
      <c r="DR288" s="98">
        <f>IF(ISERROR((DQ288/DI288-1)*100),"NA",IF(((DQ288/DI288-1)*100)&gt;100,"NM",IF(((DQ288/DI288-1)*100)&lt;-50,"NM",(DQ288/DI288-1)*100)))</f>
        <v>-8.6633663366336595</v>
      </c>
      <c r="DS288" s="101">
        <v>337</v>
      </c>
      <c r="DT288" s="98">
        <f>IF(ISERROR((DS288/DK288-1)*100),"NA",IF(((DS288/DK288-1)*100)&gt;100,"NM",IF(((DS288/DK288-1)*100)&lt;-50,"NM",(DS288/DK288-1)*100)))</f>
        <v>-12.919896640826877</v>
      </c>
      <c r="DU288" s="101">
        <v>328</v>
      </c>
      <c r="DV288" s="98">
        <f>IF(ISERROR((DU288/DM288-1)*100),"NA",IF(((DU288/DM288-1)*100)&gt;100,"NM",IF(((DU288/DM288-1)*100)&lt;-50,"NM",(DU288/DM288-1)*100)))</f>
        <v>-16.751269035532989</v>
      </c>
      <c r="DW288" s="101">
        <v>327</v>
      </c>
      <c r="DX288" s="98">
        <f>IF(ISERROR((DW288/DO288-1)*100),"NA",IF(((DW288/DO288-1)*100)&gt;100,"NM",IF(((DW288/DO288-1)*100)&lt;-50,"NM",(DW288/DO288-1)*100)))</f>
        <v>-17.00507614213198</v>
      </c>
      <c r="DY288" s="101">
        <v>317</v>
      </c>
      <c r="DZ288" s="98">
        <f>IF(ISERROR((DY288/DQ288-1)*100),"NA",IF(((DY288/DQ288-1)*100)&gt;100,"NM",IF(((DY288/DQ288-1)*100)&lt;-50,"NM",(DY288/DQ288-1)*100)))</f>
        <v>-14.092140921409213</v>
      </c>
      <c r="EA288" s="101">
        <v>319</v>
      </c>
      <c r="EB288" s="98">
        <f>IF(ISERROR((EA288/DS288-1)*100),"NA",IF(((EA288/DS288-1)*100)&gt;100,"NM",IF(((EA288/DS288-1)*100)&lt;-50,"NM",(EA288/DS288-1)*100)))</f>
        <v>-5.3412462908011822</v>
      </c>
      <c r="EC288" s="101">
        <v>324</v>
      </c>
      <c r="ED288" s="98">
        <f>IF(ISERROR((EC288/DU288-1)*100),"NA",IF(((EC288/DU288-1)*100)&gt;100,"NM",IF(((EC288/DU288-1)*100)&lt;-50,"NM",(EC288/DU288-1)*100)))</f>
        <v>-1.2195121951219523</v>
      </c>
      <c r="EE288" s="101">
        <v>331</v>
      </c>
      <c r="EF288" s="860">
        <f>IF(ISERROR((EE288/DW288-1)*100),"NA",IF(((EE288/DW288-1)*100)&gt;100,"NM",IF(((EE288/DW288-1)*100)&lt;-50,"NM",(EE288/DW288-1)*100)))</f>
        <v>1.2232415902140747</v>
      </c>
      <c r="EG288" s="101">
        <v>324</v>
      </c>
      <c r="EH288" s="860">
        <f>IF(ISERROR((EG288/DY288-1)*100),"NA",IF(((EG288/DY288-1)*100)&gt;100,"NM",IF(((EG288/DY288-1)*100)&lt;-50,"NM",(EG288/DY288-1)*100)))</f>
        <v>2.208201892744488</v>
      </c>
      <c r="EI288" s="101">
        <v>321</v>
      </c>
      <c r="EJ288" s="860">
        <f t="shared" si="1534"/>
        <v>0.62695924764890609</v>
      </c>
      <c r="EK288" s="101">
        <v>333</v>
      </c>
      <c r="EL288" s="860">
        <f t="shared" si="1535"/>
        <v>2.7777777777777679</v>
      </c>
      <c r="EM288" s="101">
        <v>349</v>
      </c>
      <c r="EN288" s="860">
        <f t="shared" si="1536"/>
        <v>5.4380664652567967</v>
      </c>
      <c r="EO288" s="101">
        <v>348</v>
      </c>
      <c r="EP288" s="98">
        <f t="shared" si="1537"/>
        <v>7.4074074074074181</v>
      </c>
      <c r="EQ288" s="1023">
        <f t="shared" ref="EQ288" si="1546">EO288/EO282*EQ282</f>
        <v>330.59999999999997</v>
      </c>
      <c r="ER288" s="98">
        <f t="shared" si="1539"/>
        <v>2.9906542056074681</v>
      </c>
      <c r="ES288" s="1023">
        <f t="shared" ref="ES288" si="1547">EQ288/EQ282*ES282</f>
        <v>333.90599999999995</v>
      </c>
      <c r="ET288" s="98">
        <f t="shared" si="1541"/>
        <v>0.27207207207204931</v>
      </c>
      <c r="EU288" s="1023">
        <f t="shared" ref="EU288" si="1548">ES288/ES282*EU282</f>
        <v>337.24505999999997</v>
      </c>
      <c r="EV288" s="98">
        <f t="shared" si="1543"/>
        <v>-3.3681776504298044</v>
      </c>
      <c r="EW288" s="1023">
        <f t="shared" ref="EW288" si="1549">EU288/EU282*EW282</f>
        <v>340.61751059999995</v>
      </c>
      <c r="EX288" s="98">
        <f t="shared" si="1545"/>
        <v>-2.1214050000000206</v>
      </c>
      <c r="EY288" s="296"/>
      <c r="EZ288" s="601"/>
      <c r="FA288" s="411"/>
      <c r="FB288" s="242"/>
      <c r="FC288" s="233"/>
      <c r="FD288" s="291"/>
      <c r="FE288" s="233"/>
      <c r="FF288" s="291"/>
      <c r="FG288" s="233"/>
      <c r="FH288" s="291"/>
      <c r="FI288" s="233"/>
      <c r="FJ288" s="291"/>
      <c r="FK288" s="233"/>
      <c r="FL288" s="291"/>
      <c r="FM288" s="233"/>
      <c r="FN288" s="291"/>
      <c r="FO288" s="233"/>
      <c r="FP288" s="291"/>
      <c r="FQ288" s="233"/>
      <c r="FR288" s="292"/>
      <c r="FS288" s="120"/>
      <c r="FT288" s="292"/>
      <c r="FU288" s="120"/>
      <c r="FV288" s="292"/>
      <c r="FW288" s="233"/>
      <c r="FX288" s="483"/>
      <c r="FY288" s="233"/>
      <c r="FZ288" s="160">
        <f>CE288+CG288+CI288+CK288</f>
        <v>123</v>
      </c>
      <c r="GA288" s="98" t="str">
        <f>IF(ISERROR((FZ288/FX288-1)*100),"NA",IF(((FZ288/FX288-1)*100)&gt;100,"NM",IF(((FZ288/FX288-1)*100)&lt;-50,"NM",(FZ288/FX288-1)*100)))</f>
        <v>NA</v>
      </c>
      <c r="GB288" s="542">
        <v>1607</v>
      </c>
      <c r="GC288" s="98" t="str">
        <f>IF(ISERROR((GB288/FZ288-1)*100),"NA",IF(((GB288/FZ288-1)*100)&gt;100,"NM",IF(((GB288/FZ288-1)*100)&lt;-50,"NM",(GB288/FZ288-1)*100)))</f>
        <v>NM</v>
      </c>
      <c r="GD288" s="160">
        <f>CU288+CW288+CY288+DA288</f>
        <v>1784</v>
      </c>
      <c r="GE288" s="98">
        <f>IF(ISERROR((GD288/GB288-1)*100),"NA",IF(((GD288/GB288-1)*100)&gt;100,"NM",IF(((GD288/GB288-1)*100)&lt;-50,"NM",(GD288/GB288-1)*100)))</f>
        <v>11.014312383322956</v>
      </c>
      <c r="GF288" s="160">
        <f>DC288+DE288+DG288+DI288</f>
        <v>1690</v>
      </c>
      <c r="GG288" s="98">
        <f>IF(ISERROR((GF288/GD288-1)*100),"NA",IF(((GF288/GD288-1)*100)&gt;100,"NM",IF(((GF288/GD288-1)*100)&lt;-50,"NM",(GF288/GD288-1)*100)))</f>
        <v>-5.2690582959641237</v>
      </c>
      <c r="GH288" s="160">
        <f>DK288+DM288+DO288+DQ288</f>
        <v>1544</v>
      </c>
      <c r="GI288" s="98">
        <f>IF(ISERROR((GH288/GF288-1)*100),"NA",IF(((GH288/GF288-1)*100)&gt;100,"NM",IF(((GH288/GF288-1)*100)&lt;-50,"NM",(GH288/GF288-1)*100)))</f>
        <v>-8.6390532544378669</v>
      </c>
      <c r="GJ288" s="160">
        <f>DS288+DU288+DW288+DY288</f>
        <v>1309</v>
      </c>
      <c r="GK288" s="98">
        <f>IF(ISERROR((GJ288/GH288-1)*100),"NA",IF(((GJ288/GH288-1)*100)&gt;100,"NM",IF(((GJ288/GH288-1)*100)&lt;-50,"NM",(GJ288/GH288-1)*100)))</f>
        <v>-15.220207253886009</v>
      </c>
      <c r="GL288" s="160">
        <f>EA288+EC288+EE288+EG288</f>
        <v>1298</v>
      </c>
      <c r="GM288" s="98">
        <f>IF(ISERROR((GL288/GJ288-1)*100),"NA",IF(((GL288/GJ288-1)*100)&gt;100,"NM",IF(((GL288/GJ288-1)*100)&lt;-50,"NM",(GL288/GJ288-1)*100)))</f>
        <v>-0.84033613445377853</v>
      </c>
      <c r="GN288" s="160">
        <f>EI288+EK288+EM288+EO288</f>
        <v>1351</v>
      </c>
      <c r="GO288" s="98">
        <f>IF(ISERROR((GN288/GL288-1)*100),"NA",IF(((GN288/GL288-1)*100)&gt;100,"NM",IF(((GN288/GL288-1)*100)&lt;-50,"NM",(GN288/GL288-1)*100)))</f>
        <v>4.0832049306625651</v>
      </c>
      <c r="GP288" s="160">
        <f>EQ288+ES288+EU288+EW288</f>
        <v>1342.3685705999997</v>
      </c>
      <c r="GQ288" s="98">
        <f>IF(ISERROR((GP288/GN288-1)*100),"NA",IF(((GP288/GN288-1)*100)&gt;100,"NM",IF(((GP288/GN288-1)*100)&lt;-50,"NM",(GP288/GN288-1)*100)))</f>
        <v>-0.63889188749077785</v>
      </c>
      <c r="GR288" s="121">
        <f>GP288/GP282*GR282</f>
        <v>1409.4869991299997</v>
      </c>
      <c r="GS288" s="98">
        <f>IF(ISERROR((GR288/GP288-1)*100),"NA",IF(((GR288/GP288-1)*100)&gt;100,"NM",IF(((GR288/GP288-1)*100)&lt;-50,"NM",(GR288/GP288-1)*100)))</f>
        <v>5.0000000000000044</v>
      </c>
      <c r="GT288" s="121">
        <f>GR288/GR282*GT282</f>
        <v>1479.9613490864999</v>
      </c>
      <c r="GU288" s="98">
        <f>IF(ISERROR((GT288/GR288-1)*100),"NA",IF(((GT288/GR288-1)*100)&gt;100,"NM",IF(((GT288/GR288-1)*100)&lt;-50,"NM",(GT288/GR288-1)*100)))</f>
        <v>5.0000000000000044</v>
      </c>
      <c r="GV288" s="121">
        <f>GT288/GT282*GV282</f>
        <v>1553.959416540825</v>
      </c>
      <c r="GW288" s="98">
        <f>IF(ISERROR((GV288/GT288-1)*100),"NA",IF(((GV288/GT288-1)*100)&gt;100,"NM",IF(((GV288/GT288-1)*100)&lt;-50,"NM",(GV288/GT288-1)*100)))</f>
        <v>5.0000000000000044</v>
      </c>
      <c r="GX288" s="121">
        <f>GV288/GV282*GX282</f>
        <v>1631.6573873678662</v>
      </c>
      <c r="GY288" s="98">
        <f>IF(ISERROR((GX288/GV288-1)*100),"NA",IF(((GX288/GV288-1)*100)&gt;100,"NM",IF(((GX288/GV288-1)*100)&lt;-50,"NM",(GX288/GV288-1)*100)))</f>
        <v>5.0000000000000044</v>
      </c>
      <c r="GZ288" s="98">
        <f>IF(ISERROR(((GX288/GN288)^0.2-1)*100),"NA",IF((((GX288/GN288)^0.2-1)*100)&gt;100,"NM",IF((((GX288/GN288)^0.2-1)*100)&lt;-50,"NM",((GX288/GN288)^0.2-1)*100)))</f>
        <v>3.84718403417601</v>
      </c>
      <c r="HA288" s="98"/>
      <c r="HB288" s="10"/>
      <c r="HC288"/>
      <c r="HD288"/>
      <c r="HE288"/>
      <c r="HF288"/>
      <c r="HG288"/>
      <c r="HH288"/>
      <c r="HI288" s="10"/>
    </row>
    <row r="289" spans="2:217" s="2" customFormat="1" ht="12.75" customHeight="1" x14ac:dyDescent="0.2">
      <c r="B289" s="179" t="s">
        <v>120</v>
      </c>
      <c r="C289" s="293"/>
      <c r="D289" s="98"/>
      <c r="E289" s="293"/>
      <c r="F289" s="98"/>
      <c r="G289" s="293"/>
      <c r="H289" s="98"/>
      <c r="I289" s="293"/>
      <c r="J289" s="233"/>
      <c r="K289" s="293"/>
      <c r="L289" s="233"/>
      <c r="M289" s="293"/>
      <c r="N289" s="233"/>
      <c r="O289" s="293"/>
      <c r="P289" s="233"/>
      <c r="Q289" s="293"/>
      <c r="R289" s="233"/>
      <c r="S289" s="293"/>
      <c r="T289" s="233"/>
      <c r="U289" s="293"/>
      <c r="V289" s="233"/>
      <c r="W289" s="293"/>
      <c r="X289" s="233"/>
      <c r="Y289" s="293"/>
      <c r="Z289" s="233"/>
      <c r="AA289" s="293"/>
      <c r="AB289" s="233"/>
      <c r="AC289" s="293"/>
      <c r="AD289" s="233"/>
      <c r="AE289" s="293"/>
      <c r="AF289" s="233"/>
      <c r="AG289" s="124"/>
      <c r="AH289" s="233"/>
      <c r="AI289" s="124"/>
      <c r="AJ289" s="233"/>
      <c r="AK289" s="124"/>
      <c r="AL289" s="233"/>
      <c r="AM289" s="124"/>
      <c r="AN289" s="233"/>
      <c r="AO289" s="124"/>
      <c r="AP289" s="233"/>
      <c r="AQ289" s="124"/>
      <c r="AR289" s="233"/>
      <c r="AS289" s="124"/>
      <c r="AT289" s="233"/>
      <c r="AU289" s="124"/>
      <c r="AV289" s="233"/>
      <c r="AW289" s="124"/>
      <c r="AX289" s="233"/>
      <c r="AY289" s="137"/>
      <c r="AZ289" s="233"/>
      <c r="BA289" s="137"/>
      <c r="BB289" s="233"/>
      <c r="BC289" s="137"/>
      <c r="BD289" s="233"/>
      <c r="BE289" s="137"/>
      <c r="BF289" s="233"/>
      <c r="BG289" s="137"/>
      <c r="BH289" s="233"/>
      <c r="BI289" s="137"/>
      <c r="BJ289" s="233"/>
      <c r="BK289" s="137"/>
      <c r="BL289" s="233"/>
      <c r="BM289" s="137"/>
      <c r="BN289" s="233"/>
      <c r="BO289" s="137"/>
      <c r="BP289" s="233"/>
      <c r="BQ289" s="137"/>
      <c r="BR289" s="233"/>
      <c r="BS289" s="137"/>
      <c r="BT289" s="233"/>
      <c r="BU289" s="137"/>
      <c r="BV289" s="233"/>
      <c r="BW289" s="137"/>
      <c r="BX289" s="233"/>
      <c r="BY289" s="137"/>
      <c r="BZ289" s="233"/>
      <c r="CA289" s="137"/>
      <c r="CB289" s="233"/>
      <c r="CC289" s="137"/>
      <c r="CD289" s="233"/>
      <c r="CE289" s="137"/>
      <c r="CF289" s="233"/>
      <c r="CG289" s="137"/>
      <c r="CH289" s="233"/>
      <c r="CI289" s="137"/>
      <c r="CJ289" s="233"/>
      <c r="CK289" s="101">
        <f>-149+82-49</f>
        <v>-116</v>
      </c>
      <c r="CL289" s="98" t="str">
        <f>IF(ISERROR((CK289/CC289-1)*100),"NA",IF(((CK289/CC289-1)*100)&gt;100,"NM",IF(((CK289/CC289-1)*100)&lt;-50,"NM",(CK289/CC289-1)*100)))</f>
        <v>NA</v>
      </c>
      <c r="CM289" s="101">
        <f>-451+329-146</f>
        <v>-268</v>
      </c>
      <c r="CN289" s="98" t="str">
        <f>IF(ISERROR((CM289/CE289-1)*100),"NA",IF(((CM289/CE289-1)*100)&gt;100,"NM",IF(((CM289/CE289-1)*100)&lt;-50,"NM",(CM289/CE289-1)*100)))</f>
        <v>NA</v>
      </c>
      <c r="CO289" s="101">
        <f>-467+401-141</f>
        <v>-207</v>
      </c>
      <c r="CP289" s="98" t="str">
        <f>IF(ISERROR((CO289/CG289-1)*100),"NA",IF(((CO289/CG289-1)*100)&gt;100,"NM",IF(((CO289/CG289-1)*100)&lt;-50,"NM",(CO289/CG289-1)*100)))</f>
        <v>NA</v>
      </c>
      <c r="CQ289" s="542">
        <f>+-576+407-137</f>
        <v>-306</v>
      </c>
      <c r="CR289" s="98" t="str">
        <f>IF(ISERROR((CQ289/CI289-1)*100),"NA",IF(((CQ289/CI289-1)*100)&gt;100,"NM",IF(((CQ289/CI289-1)*100)&lt;-50,"NM",(CQ289/CI289-1)*100)))</f>
        <v>NA</v>
      </c>
      <c r="CS289" s="101">
        <f>-515+323-134</f>
        <v>-326</v>
      </c>
      <c r="CT289" s="98" t="str">
        <f>IF(ISERROR((CS289/CK289-1)*100),"NA",IF(((CS289/CK289-1)*100)&gt;100,"NM",IF(((CS289/CK289-1)*100)&lt;-50,"NM",(CS289/CK289-1)*100)))</f>
        <v>NM</v>
      </c>
      <c r="CU289" s="101">
        <f>-587+373-131</f>
        <v>-345</v>
      </c>
      <c r="CV289" s="98">
        <f>IF(ISERROR((CU289/CM289-1)*100),"NA",IF(((CU289/CM289-1)*100)&gt;100,"NM",IF(((CU289/CM289-1)*100)&lt;-50,"NM",(CU289/CM289-1)*100)))</f>
        <v>28.731343283582088</v>
      </c>
      <c r="CW289" s="101">
        <f>-555+419-128</f>
        <v>-264</v>
      </c>
      <c r="CX289" s="98">
        <f>IF(ISERROR((CW289/CO289-1)*100),"NA",IF(((CW289/CO289-1)*100)&gt;100,"NM",IF(((CW289/CO289-1)*100)&lt;-50,"NM",(CW289/CO289-1)*100)))</f>
        <v>27.536231884057962</v>
      </c>
      <c r="CY289" s="101">
        <f>-579+396-128</f>
        <v>-311</v>
      </c>
      <c r="CZ289" s="98">
        <f>IF(ISERROR((CY289/CQ289-1)*100),"NA",IF(((CY289/CQ289-1)*100)&gt;100,"NM",IF(((CY289/CQ289-1)*100)&lt;-50,"NM",(CY289/CQ289-1)*100)))</f>
        <v>1.6339869281045694</v>
      </c>
      <c r="DA289" s="101">
        <f>-567+375-69</f>
        <v>-261</v>
      </c>
      <c r="DB289" s="98">
        <f>IF(ISERROR((DA289/CS289-1)*100),"NA",IF(((DA289/CS289-1)*100)&gt;100,"NM",IF(((DA289/CS289-1)*100)&lt;-50,"NM",(DA289/CS289-1)*100)))</f>
        <v>-19.938650306748464</v>
      </c>
      <c r="DC289" s="101">
        <f>-546+401-113</f>
        <v>-258</v>
      </c>
      <c r="DD289" s="98">
        <f>IF(ISERROR((DC289/CU289-1)*100),"NA",IF(((DC289/CU289-1)*100)&gt;100,"NM",IF(((DC289/CU289-1)*100)&lt;-50,"NM",(DC289/CU289-1)*100)))</f>
        <v>-25.217391304347824</v>
      </c>
      <c r="DE289" s="101">
        <f>-522+392-113</f>
        <v>-243</v>
      </c>
      <c r="DF289" s="98">
        <f>IF(ISERROR((DE289/CW289-1)*100),"NA",IF(((DE289/CW289-1)*100)&gt;100,"NM",IF(((DE289/CW289-1)*100)&lt;-50,"NM",(DE289/CW289-1)*100)))</f>
        <v>-7.9545454545454586</v>
      </c>
      <c r="DG289" s="101">
        <f>-515+393-99</f>
        <v>-221</v>
      </c>
      <c r="DH289" s="98">
        <f>IF(ISERROR((DG289/CY289-1)*100),"NA",IF(((DG289/CY289-1)*100)&gt;100,"NM",IF(((DG289/CY289-1)*100)&lt;-50,"NM",(DG289/CY289-1)*100)))</f>
        <v>-28.938906752411576</v>
      </c>
      <c r="DI289" s="101">
        <f>-560+356-102</f>
        <v>-306</v>
      </c>
      <c r="DJ289" s="98">
        <f>IF(ISERROR((DI289/DA289-1)*100),"NA",IF(((DI289/DA289-1)*100)&gt;100,"NM",IF(((DI289/DA289-1)*100)&lt;-50,"NM",(DI289/DA289-1)*100)))</f>
        <v>17.241379310344819</v>
      </c>
      <c r="DK289" s="101">
        <f>-494+338-94</f>
        <v>-250</v>
      </c>
      <c r="DL289" s="98">
        <f>IF(ISERROR((DK289/DC289-1)*100),"NA",IF(((DK289/DC289-1)*100)&gt;100,"NM",IF(((DK289/DC289-1)*100)&lt;-50,"NM",(DK289/DC289-1)*100)))</f>
        <v>-3.1007751937984551</v>
      </c>
      <c r="DM289" s="101">
        <f>-457+362-92</f>
        <v>-187</v>
      </c>
      <c r="DN289" s="98">
        <f>IF(ISERROR((DM289/DE289-1)*100),"NA",IF(((DM289/DE289-1)*100)&gt;100,"NM",IF(((DM289/DE289-1)*100)&lt;-50,"NM",(DM289/DE289-1)*100)))</f>
        <v>-23.045267489711929</v>
      </c>
      <c r="DO289" s="101">
        <f>-507+367-89</f>
        <v>-229</v>
      </c>
      <c r="DP289" s="98">
        <f>IF(ISERROR((DO289/DG289-1)*100),"NA",IF(((DO289/DG289-1)*100)&gt;100,"NM",IF(((DO289/DG289-1)*100)&lt;-50,"NM",(DO289/DG289-1)*100)))</f>
        <v>3.6199095022624528</v>
      </c>
      <c r="DQ289" s="101">
        <f>-456+330-89</f>
        <v>-215</v>
      </c>
      <c r="DR289" s="98">
        <f>IF(ISERROR((DQ289/DI289-1)*100),"NA",IF(((DQ289/DI289-1)*100)&gt;100,"NM",IF(((DQ289/DI289-1)*100)&lt;-50,"NM",(DQ289/DI289-1)*100)))</f>
        <v>-29.738562091503272</v>
      </c>
      <c r="DS289" s="101">
        <f>-435+326-86</f>
        <v>-195</v>
      </c>
      <c r="DT289" s="98">
        <f>IF(ISERROR((DS289/DK289-1)*100),"NA",IF(((DS289/DK289-1)*100)&gt;100,"NM",IF(((DS289/DK289-1)*100)&lt;-50,"NM",(DS289/DK289-1)*100)))</f>
        <v>-21.999999999999996</v>
      </c>
      <c r="DU289" s="101">
        <f>-398+336-78</f>
        <v>-140</v>
      </c>
      <c r="DV289" s="98">
        <f>IF(ISERROR((DU289/DM289-1)*100),"NA",IF(((DU289/DM289-1)*100)&gt;100,"NM",IF(((DU289/DM289-1)*100)&lt;-50,"NM",(DU289/DM289-1)*100)))</f>
        <v>-25.133689839572192</v>
      </c>
      <c r="DW289" s="101">
        <f>-435+309-77</f>
        <v>-203</v>
      </c>
      <c r="DX289" s="98">
        <f>IF(ISERROR((DW289/DO289-1)*100),"NA",IF(((DW289/DO289-1)*100)&gt;100,"NM",IF(((DW289/DO289-1)*100)&lt;-50,"NM",(DW289/DO289-1)*100)))</f>
        <v>-11.353711790393017</v>
      </c>
      <c r="DY289" s="101">
        <f>-452+285-68</f>
        <v>-235</v>
      </c>
      <c r="DZ289" s="98">
        <f>IF(ISERROR((DY289/DQ289-1)*100),"NA",IF(((DY289/DQ289-1)*100)&gt;100,"NM",IF(((DY289/DQ289-1)*100)&lt;-50,"NM",(DY289/DQ289-1)*100)))</f>
        <v>9.302325581395344</v>
      </c>
      <c r="EA289" s="101">
        <f>-385+286-64</f>
        <v>-163</v>
      </c>
      <c r="EB289" s="98">
        <f>IF(ISERROR((EA289/DS289-1)*100),"NA",IF(((EA289/DS289-1)*100)&gt;100,"NM",IF(((EA289/DS289-1)*100)&lt;-50,"NM",(EA289/DS289-1)*100)))</f>
        <v>-16.410256410256409</v>
      </c>
      <c r="EC289" s="101">
        <f>-426+304-57</f>
        <v>-179</v>
      </c>
      <c r="ED289" s="98">
        <f>IF(ISERROR((EC289/DU289-1)*100),"NA",IF(((EC289/DU289-1)*100)&gt;100,"NM",IF(((EC289/DU289-1)*100)&lt;-50,"NM",(EC289/DU289-1)*100)))</f>
        <v>27.857142857142847</v>
      </c>
      <c r="EE289" s="101">
        <f>-440+331-46</f>
        <v>-155</v>
      </c>
      <c r="EF289" s="860">
        <f>IF(ISERROR((EE289/DW289-1)*100),"NA",IF(((EE289/DW289-1)*100)&gt;100,"NM",IF(((EE289/DW289-1)*100)&lt;-50,"NM",(EE289/DW289-1)*100)))</f>
        <v>-23.645320197044338</v>
      </c>
      <c r="EG289" s="101">
        <f>-417+303-41</f>
        <v>-155</v>
      </c>
      <c r="EH289" s="860">
        <f>IF(ISERROR((EG289/DY289-1)*100),"NA",IF(((EG289/DY289-1)*100)&gt;100,"NM",IF(((EG289/DY289-1)*100)&lt;-50,"NM",(EG289/DY289-1)*100)))</f>
        <v>-34.042553191489368</v>
      </c>
      <c r="EI289" s="101">
        <f>-420+291-37</f>
        <v>-166</v>
      </c>
      <c r="EJ289" s="860">
        <f t="shared" si="1534"/>
        <v>1.8404907975460016</v>
      </c>
      <c r="EK289" s="101">
        <f>-428+290-30</f>
        <v>-168</v>
      </c>
      <c r="EL289" s="860">
        <f t="shared" si="1535"/>
        <v>-6.1452513966480442</v>
      </c>
      <c r="EM289" s="101">
        <f>-420+424-24</f>
        <v>-20</v>
      </c>
      <c r="EN289" s="860" t="str">
        <f t="shared" si="1536"/>
        <v>NM</v>
      </c>
      <c r="EO289" s="101">
        <f>-442+295-20</f>
        <v>-167</v>
      </c>
      <c r="EP289" s="98">
        <f t="shared" si="1537"/>
        <v>7.7419354838709653</v>
      </c>
      <c r="EQ289" s="952">
        <f>EO289*1.01</f>
        <v>-168.67</v>
      </c>
      <c r="ER289" s="98">
        <f t="shared" si="1539"/>
        <v>1.6084337349397515</v>
      </c>
      <c r="ES289" s="952">
        <f t="shared" ref="ES289" si="1550">EQ289*1.01</f>
        <v>-170.35669999999999</v>
      </c>
      <c r="ET289" s="98">
        <f t="shared" si="1541"/>
        <v>1.4027976190476021</v>
      </c>
      <c r="EU289" s="952">
        <f t="shared" ref="EU289" si="1551">ES289*1.01</f>
        <v>-172.06026699999998</v>
      </c>
      <c r="EV289" s="98" t="str">
        <f t="shared" si="1543"/>
        <v>NM</v>
      </c>
      <c r="EW289" s="952">
        <f t="shared" ref="EW289" si="1552">EU289*1.01</f>
        <v>-173.78086966999999</v>
      </c>
      <c r="EX289" s="98">
        <f t="shared" si="1545"/>
        <v>4.0604010000000024</v>
      </c>
      <c r="EY289" s="296"/>
      <c r="EZ289" s="601"/>
      <c r="FA289" s="411"/>
      <c r="FB289" s="242"/>
      <c r="FC289" s="233"/>
      <c r="FD289" s="291"/>
      <c r="FE289" s="233"/>
      <c r="FF289" s="291"/>
      <c r="FG289" s="233"/>
      <c r="FH289" s="291"/>
      <c r="FI289" s="233"/>
      <c r="FJ289" s="291"/>
      <c r="FK289" s="233"/>
      <c r="FL289" s="291"/>
      <c r="FM289" s="233"/>
      <c r="FN289" s="291"/>
      <c r="FO289" s="233"/>
      <c r="FP289" s="291"/>
      <c r="FQ289" s="233"/>
      <c r="FR289" s="292"/>
      <c r="FS289" s="120"/>
      <c r="FT289" s="292"/>
      <c r="FU289" s="120"/>
      <c r="FV289" s="292"/>
      <c r="FW289" s="233"/>
      <c r="FX289" s="483"/>
      <c r="FY289" s="233"/>
      <c r="FZ289" s="119">
        <f>CE289+CG289+CI289+CK289</f>
        <v>-116</v>
      </c>
      <c r="GA289" s="98" t="str">
        <f>IF(ISERROR((FZ289/FX289-1)*100),"NA",IF(((FZ289/FX289-1)*100)&gt;100,"NM",IF(((FZ289/FX289-1)*100)&lt;-50,"NM",(FZ289/FX289-1)*100)))</f>
        <v>NA</v>
      </c>
      <c r="GB289" s="542">
        <f>-2045+1486-560</f>
        <v>-1119</v>
      </c>
      <c r="GC289" s="98" t="str">
        <f>IF(ISERROR((GB289/FZ289-1)*100),"NA",IF(((GB289/FZ289-1)*100)&gt;100,"NM",IF(((GB289/FZ289-1)*100)&lt;-50,"NM",(GB289/FZ289-1)*100)))</f>
        <v>NM</v>
      </c>
      <c r="GD289" s="119">
        <f>CU289+CW289+CY289+DA289</f>
        <v>-1181</v>
      </c>
      <c r="GE289" s="98">
        <f>IF(ISERROR((GD289/GB289-1)*100),"NA",IF(((GD289/GB289-1)*100)&gt;100,"NM",IF(((GD289/GB289-1)*100)&lt;-50,"NM",(GD289/GB289-1)*100)))</f>
        <v>5.5406613047363829</v>
      </c>
      <c r="GF289" s="119">
        <f>DC289+DE289+DG289+DI289</f>
        <v>-1028</v>
      </c>
      <c r="GG289" s="98">
        <f>IF(ISERROR((GF289/GD289-1)*100),"NA",IF(((GF289/GD289-1)*100)&gt;100,"NM",IF(((GF289/GD289-1)*100)&lt;-50,"NM",(GF289/GD289-1)*100)))</f>
        <v>-12.95512277730737</v>
      </c>
      <c r="GH289" s="119">
        <f>DK289+DM289+DO289+DQ289</f>
        <v>-881</v>
      </c>
      <c r="GI289" s="98">
        <f>IF(ISERROR((GH289/GF289-1)*100),"NA",IF(((GH289/GF289-1)*100)&gt;100,"NM",IF(((GH289/GF289-1)*100)&lt;-50,"NM",(GH289/GF289-1)*100)))</f>
        <v>-14.299610894941639</v>
      </c>
      <c r="GJ289" s="119">
        <f>DS289+DU289+DW289+DY289</f>
        <v>-773</v>
      </c>
      <c r="GK289" s="98">
        <f>IF(ISERROR((GJ289/GH289-1)*100),"NA",IF(((GJ289/GH289-1)*100)&gt;100,"NM",IF(((GJ289/GH289-1)*100)&lt;-50,"NM",(GJ289/GH289-1)*100)))</f>
        <v>-12.258796821793416</v>
      </c>
      <c r="GL289" s="119">
        <f>EA289+EC289+EE289+EG289</f>
        <v>-652</v>
      </c>
      <c r="GM289" s="98">
        <f>IF(ISERROR((GL289/GJ289-1)*100),"NA",IF(((GL289/GJ289-1)*100)&gt;100,"NM",IF(((GL289/GJ289-1)*100)&lt;-50,"NM",(GL289/GJ289-1)*100)))</f>
        <v>-15.653298835705042</v>
      </c>
      <c r="GN289" s="119">
        <f>EI289+EK289+EM289+EO289</f>
        <v>-521</v>
      </c>
      <c r="GO289" s="98">
        <f>IF(ISERROR((GN289/GL289-1)*100),"NA",IF(((GN289/GL289-1)*100)&gt;100,"NM",IF(((GN289/GL289-1)*100)&lt;-50,"NM",(GN289/GL289-1)*100)))</f>
        <v>-20.092024539877297</v>
      </c>
      <c r="GP289" s="119">
        <f>EQ289+ES289+EU289+EW289</f>
        <v>-684.86783666999997</v>
      </c>
      <c r="GQ289" s="98">
        <f>IF(ISERROR((GP289/GN289-1)*100),"NA",IF(((GP289/GN289-1)*100)&gt;100,"NM",IF(((GP289/GN289-1)*100)&lt;-50,"NM",(GP289/GN289-1)*100)))</f>
        <v>31.452559821497104</v>
      </c>
      <c r="GR289" s="121">
        <f>GP289*1.05</f>
        <v>-719.1112285035</v>
      </c>
      <c r="GS289" s="98">
        <f>IF(ISERROR((GR289/GP289-1)*100),"NA",IF(((GR289/GP289-1)*100)&gt;100,"NM",IF(((GR289/GP289-1)*100)&lt;-50,"NM",(GR289/GP289-1)*100)))</f>
        <v>5.0000000000000044</v>
      </c>
      <c r="GT289" s="121">
        <f>GR289*1.05</f>
        <v>-755.06678992867501</v>
      </c>
      <c r="GU289" s="98">
        <f>IF(ISERROR((GT289/GR289-1)*100),"NA",IF(((GT289/GR289-1)*100)&gt;100,"NM",IF(((GT289/GR289-1)*100)&lt;-50,"NM",(GT289/GR289-1)*100)))</f>
        <v>5.0000000000000044</v>
      </c>
      <c r="GV289" s="121">
        <f>GT289*1.05</f>
        <v>-792.8201294251088</v>
      </c>
      <c r="GW289" s="98">
        <f>IF(ISERROR((GV289/GT289-1)*100),"NA",IF(((GV289/GT289-1)*100)&gt;100,"NM",IF(((GV289/GT289-1)*100)&lt;-50,"NM",(GV289/GT289-1)*100)))</f>
        <v>5.0000000000000044</v>
      </c>
      <c r="GX289" s="121">
        <f>GV289*1.05</f>
        <v>-832.46113589636423</v>
      </c>
      <c r="GY289" s="98">
        <f>IF(ISERROR((GX289/GV289-1)*100),"NA",IF(((GX289/GV289-1)*100)&gt;100,"NM",IF(((GX289/GV289-1)*100)&lt;-50,"NM",(GX289/GV289-1)*100)))</f>
        <v>5.0000000000000044</v>
      </c>
      <c r="GZ289" s="98">
        <f>IF(ISERROR(((GX289/GN289)^0.2-1)*100),"NA",IF((((GX289/GN289)^0.2-1)*100)&gt;100,"NM",IF((((GX289/GN289)^0.2-1)*100)&lt;-50,"NM",((GX289/GN289)^0.2-1)*100)))</f>
        <v>9.8260208508486269</v>
      </c>
      <c r="HA289" s="98"/>
      <c r="HB289" s="10"/>
      <c r="HC289"/>
      <c r="HD289"/>
      <c r="HE289"/>
      <c r="HF289"/>
      <c r="HG289"/>
      <c r="HH289"/>
      <c r="HI289" s="10"/>
    </row>
    <row r="290" spans="2:217" s="2" customFormat="1" ht="12.75" customHeight="1" x14ac:dyDescent="0.2">
      <c r="B290" s="179" t="s">
        <v>266</v>
      </c>
      <c r="C290" s="293"/>
      <c r="D290" s="98"/>
      <c r="E290" s="293"/>
      <c r="F290" s="98"/>
      <c r="G290" s="293"/>
      <c r="H290" s="98"/>
      <c r="I290" s="293"/>
      <c r="J290" s="233"/>
      <c r="K290" s="293"/>
      <c r="L290" s="233"/>
      <c r="M290" s="293"/>
      <c r="N290" s="233"/>
      <c r="O290" s="293"/>
      <c r="P290" s="233"/>
      <c r="Q290" s="293"/>
      <c r="R290" s="233"/>
      <c r="S290" s="293"/>
      <c r="T290" s="233"/>
      <c r="U290" s="293"/>
      <c r="V290" s="233"/>
      <c r="W290" s="293"/>
      <c r="X290" s="233"/>
      <c r="Y290" s="293"/>
      <c r="Z290" s="233"/>
      <c r="AA290" s="293"/>
      <c r="AB290" s="233"/>
      <c r="AC290" s="293"/>
      <c r="AD290" s="233"/>
      <c r="AE290" s="293"/>
      <c r="AF290" s="233"/>
      <c r="AG290" s="124"/>
      <c r="AH290" s="233"/>
      <c r="AI290" s="124"/>
      <c r="AJ290" s="233"/>
      <c r="AK290" s="124"/>
      <c r="AL290" s="233"/>
      <c r="AM290" s="124"/>
      <c r="AN290" s="233"/>
      <c r="AO290" s="124"/>
      <c r="AP290" s="233"/>
      <c r="AQ290" s="124"/>
      <c r="AR290" s="233"/>
      <c r="AS290" s="124"/>
      <c r="AT290" s="233"/>
      <c r="AU290" s="124"/>
      <c r="AV290" s="233"/>
      <c r="AW290" s="124"/>
      <c r="AX290" s="233"/>
      <c r="AY290" s="137"/>
      <c r="AZ290" s="233"/>
      <c r="BA290" s="137"/>
      <c r="BB290" s="233"/>
      <c r="BC290" s="137"/>
      <c r="BD290" s="233"/>
      <c r="BE290" s="137"/>
      <c r="BF290" s="233"/>
      <c r="BG290" s="137"/>
      <c r="BH290" s="233"/>
      <c r="BI290" s="137"/>
      <c r="BJ290" s="233"/>
      <c r="BK290" s="137"/>
      <c r="BL290" s="233"/>
      <c r="BM290" s="137"/>
      <c r="BN290" s="233"/>
      <c r="BO290" s="137"/>
      <c r="BP290" s="233"/>
      <c r="BQ290" s="137"/>
      <c r="BR290" s="233"/>
      <c r="BS290" s="137"/>
      <c r="BT290" s="233"/>
      <c r="BU290" s="137"/>
      <c r="BV290" s="233"/>
      <c r="BW290" s="137"/>
      <c r="BX290" s="233"/>
      <c r="BY290" s="137"/>
      <c r="BZ290" s="233"/>
      <c r="CA290" s="137"/>
      <c r="CB290" s="233"/>
      <c r="CC290" s="137"/>
      <c r="CD290" s="233"/>
      <c r="CE290" s="137"/>
      <c r="CF290" s="233"/>
      <c r="CG290" s="137"/>
      <c r="CH290" s="233"/>
      <c r="CI290" s="137"/>
      <c r="CJ290" s="233"/>
      <c r="CK290" s="101">
        <v>244</v>
      </c>
      <c r="CL290" s="98" t="str">
        <f>IF(ISERROR((CK290/CC290-1)*100),"NA",IF(((CK290/CC290-1)*100)&gt;100,"NM",IF(((CK290/CC290-1)*100)&lt;-50,"NM",(CK290/CC290-1)*100)))</f>
        <v>NA</v>
      </c>
      <c r="CM290" s="101">
        <f>1+990</f>
        <v>991</v>
      </c>
      <c r="CN290" s="98" t="str">
        <f>IF(ISERROR((CM290/CE290-1)*100),"NA",IF(((CM290/CE290-1)*100)&gt;100,"NM",IF(((CM290/CE290-1)*100)&lt;-50,"NM",(CM290/CE290-1)*100)))</f>
        <v>NA</v>
      </c>
      <c r="CO290" s="101">
        <f>-1+1063</f>
        <v>1062</v>
      </c>
      <c r="CP290" s="98" t="str">
        <f>IF(ISERROR((CO290/CG290-1)*100),"NA",IF(((CO290/CG290-1)*100)&gt;100,"NM",IF(((CO290/CG290-1)*100)&lt;-50,"NM",(CO290/CG290-1)*100)))</f>
        <v>NA</v>
      </c>
      <c r="CQ290" s="542">
        <v>1213</v>
      </c>
      <c r="CR290" s="98" t="str">
        <f>IF(ISERROR((CQ290/CI290-1)*100),"NA",IF(((CQ290/CI290-1)*100)&gt;100,"NM",IF(((CQ290/CI290-1)*100)&lt;-50,"NM",(CQ290/CI290-1)*100)))</f>
        <v>NA</v>
      </c>
      <c r="CS290" s="101">
        <v>1151</v>
      </c>
      <c r="CT290" s="98" t="str">
        <f>IF(ISERROR((CS290/CK290-1)*100),"NA",IF(((CS290/CK290-1)*100)&gt;100,"NM",IF(((CS290/CK290-1)*100)&lt;-50,"NM",(CS290/CK290-1)*100)))</f>
        <v>NM</v>
      </c>
      <c r="CU290" s="101">
        <f>1+1191</f>
        <v>1192</v>
      </c>
      <c r="CV290" s="98">
        <f>IF(ISERROR((CU290/CM290-1)*100),"NA",IF(((CU290/CM290-1)*100)&gt;100,"NM",IF(((CU290/CM290-1)*100)&lt;-50,"NM",(CU290/CM290-1)*100)))</f>
        <v>20.282542885973754</v>
      </c>
      <c r="CW290" s="101">
        <f>4+1153</f>
        <v>1157</v>
      </c>
      <c r="CX290" s="98">
        <f>IF(ISERROR((CW290/CO290-1)*100),"NA",IF(((CW290/CO290-1)*100)&gt;100,"NM",IF(((CW290/CO290-1)*100)&lt;-50,"NM",(CW290/CO290-1)*100)))</f>
        <v>8.9453860640301244</v>
      </c>
      <c r="CY290" s="101">
        <v>1206</v>
      </c>
      <c r="CZ290" s="98">
        <f>IF(ISERROR((CY290/CQ290-1)*100),"NA",IF(((CY290/CQ290-1)*100)&gt;100,"NM",IF(((CY290/CQ290-1)*100)&lt;-50,"NM",(CY290/CQ290-1)*100)))</f>
        <v>-0.57708161582852302</v>
      </c>
      <c r="DA290" s="101">
        <v>1188</v>
      </c>
      <c r="DB290" s="98">
        <f>IF(ISERROR((DA290/CS290-1)*100),"NA",IF(((DA290/CS290-1)*100)&gt;100,"NM",IF(((DA290/CS290-1)*100)&lt;-50,"NM",(DA290/CS290-1)*100)))</f>
        <v>3.2145960034752452</v>
      </c>
      <c r="DC290" s="101">
        <v>1094</v>
      </c>
      <c r="DD290" s="98">
        <f>IF(ISERROR((DC290/CU290-1)*100),"NA",IF(((DC290/CU290-1)*100)&gt;100,"NM",IF(((DC290/CU290-1)*100)&lt;-50,"NM",(DC290/CU290-1)*100)))</f>
        <v>-8.2214765100671165</v>
      </c>
      <c r="DE290" s="101">
        <v>1054</v>
      </c>
      <c r="DF290" s="98">
        <f>IF(ISERROR((DE290/CW290-1)*100),"NA",IF(((DE290/CW290-1)*100)&gt;100,"NM",IF(((DE290/CW290-1)*100)&lt;-50,"NM",(DE290/CW290-1)*100)))</f>
        <v>-8.9023336214347442</v>
      </c>
      <c r="DG290" s="101">
        <v>1040</v>
      </c>
      <c r="DH290" s="98">
        <f>IF(ISERROR((DG290/CY290-1)*100),"NA",IF(((DG290/CY290-1)*100)&gt;100,"NM",IF(((DG290/CY290-1)*100)&lt;-50,"NM",(DG290/CY290-1)*100)))</f>
        <v>-13.764510779436156</v>
      </c>
      <c r="DI290" s="101">
        <v>1124</v>
      </c>
      <c r="DJ290" s="98">
        <f>IF(ISERROR((DI290/DA290-1)*100),"NA",IF(((DI290/DA290-1)*100)&gt;100,"NM",IF(((DI290/DA290-1)*100)&lt;-50,"NM",(DI290/DA290-1)*100)))</f>
        <v>-5.3872053872053849</v>
      </c>
      <c r="DK290" s="101">
        <v>991</v>
      </c>
      <c r="DL290" s="98">
        <f>IF(ISERROR((DK290/DC290-1)*100),"NA",IF(((DK290/DC290-1)*100)&gt;100,"NM",IF(((DK290/DC290-1)*100)&lt;-50,"NM",(DK290/DC290-1)*100)))</f>
        <v>-9.4149908592321747</v>
      </c>
      <c r="DM290" s="101">
        <v>977</v>
      </c>
      <c r="DN290" s="98">
        <f>IF(ISERROR((DM290/DE290-1)*100),"NA",IF(((DM290/DE290-1)*100)&gt;100,"NM",IF(((DM290/DE290-1)*100)&lt;-50,"NM",(DM290/DE290-1)*100)))</f>
        <v>-7.3055028462998051</v>
      </c>
      <c r="DO290" s="101">
        <v>1027</v>
      </c>
      <c r="DP290" s="98">
        <f>IF(ISERROR((DO290/DG290-1)*100),"NA",IF(((DO290/DG290-1)*100)&gt;100,"NM",IF(((DO290/DG290-1)*100)&lt;-50,"NM",(DO290/DG290-1)*100)))</f>
        <v>-1.2499999999999956</v>
      </c>
      <c r="DQ290" s="101">
        <v>980</v>
      </c>
      <c r="DR290" s="98">
        <f>IF(ISERROR((DQ290/DI290-1)*100),"NA",IF(((DQ290/DI290-1)*100)&gt;100,"NM",IF(((DQ290/DI290-1)*100)&lt;-50,"NM",(DQ290/DI290-1)*100)))</f>
        <v>-12.811387900355875</v>
      </c>
      <c r="DS290" s="101">
        <v>904</v>
      </c>
      <c r="DT290" s="98">
        <f>IF(ISERROR((DS290/DK290-1)*100),"NA",IF(((DS290/DK290-1)*100)&gt;100,"NM",IF(((DS290/DK290-1)*100)&lt;-50,"NM",(DS290/DK290-1)*100)))</f>
        <v>-8.7790110998990922</v>
      </c>
      <c r="DU290" s="101">
        <v>869</v>
      </c>
      <c r="DV290" s="98">
        <f>IF(ISERROR((DU290/DM290-1)*100),"NA",IF(((DU290/DM290-1)*100)&gt;100,"NM",IF(((DU290/DM290-1)*100)&lt;-50,"NM",(DU290/DM290-1)*100)))</f>
        <v>-11.054247697031727</v>
      </c>
      <c r="DW290" s="101">
        <v>896</v>
      </c>
      <c r="DX290" s="98">
        <f>IF(ISERROR((DW290/DO290-1)*100),"NA",IF(((DW290/DO290-1)*100)&gt;100,"NM",IF(((DW290/DO290-1)*100)&lt;-50,"NM",(DW290/DO290-1)*100)))</f>
        <v>-12.755598831548198</v>
      </c>
      <c r="DY290" s="101">
        <v>942</v>
      </c>
      <c r="DZ290" s="98">
        <f>IF(ISERROR((DY290/DQ290-1)*100),"NA",IF(((DY290/DQ290-1)*100)&gt;100,"NM",IF(((DY290/DQ290-1)*100)&lt;-50,"NM",(DY290/DQ290-1)*100)))</f>
        <v>-3.8775510204081653</v>
      </c>
      <c r="EA290" s="101">
        <v>851</v>
      </c>
      <c r="EB290" s="98">
        <f>IF(ISERROR((EA290/DS290-1)*100),"NA",IF(((EA290/DS290-1)*100)&gt;100,"NM",IF(((EA290/DS290-1)*100)&lt;-50,"NM",(EA290/DS290-1)*100)))</f>
        <v>-5.8628318584070804</v>
      </c>
      <c r="EC290" s="101">
        <v>877</v>
      </c>
      <c r="ED290" s="98">
        <f>IF(ISERROR((EC290/DU290-1)*100),"NA",IF(((EC290/DU290-1)*100)&gt;100,"NM",IF(((EC290/DU290-1)*100)&lt;-50,"NM",(EC290/DU290-1)*100)))</f>
        <v>0.9205983889528202</v>
      </c>
      <c r="EE290" s="101">
        <v>930</v>
      </c>
      <c r="EF290" s="860">
        <f>IF(ISERROR((EE290/DW290-1)*100),"NA",IF(((EE290/DW290-1)*100)&gt;100,"NM",IF(((EE290/DW290-1)*100)&lt;-50,"NM",(EE290/DW290-1)*100)))</f>
        <v>3.7946428571428603</v>
      </c>
      <c r="EG290" s="101">
        <v>928</v>
      </c>
      <c r="EH290" s="860">
        <f>IF(ISERROR((EG290/DY290-1)*100),"NA",IF(((EG290/DY290-1)*100)&gt;100,"NM",IF(((EG290/DY290-1)*100)&lt;-50,"NM",(EG290/DY290-1)*100)))</f>
        <v>-1.4861995753715496</v>
      </c>
      <c r="EI290" s="101">
        <v>875</v>
      </c>
      <c r="EJ290" s="860">
        <f t="shared" si="1534"/>
        <v>2.8202115158636909</v>
      </c>
      <c r="EK290" s="101">
        <v>895</v>
      </c>
      <c r="EL290" s="860">
        <f t="shared" si="1535"/>
        <v>2.0524515393386622</v>
      </c>
      <c r="EM290" s="101">
        <v>905</v>
      </c>
      <c r="EN290" s="860">
        <f t="shared" si="1536"/>
        <v>-2.6881720430107503</v>
      </c>
      <c r="EO290" s="101">
        <v>938</v>
      </c>
      <c r="EP290" s="98">
        <f t="shared" si="1537"/>
        <v>1.0775862068965525</v>
      </c>
      <c r="EQ290" s="1023">
        <f t="shared" ref="EQ290" si="1553">EQ284*EQ296/100</f>
        <v>912.57731999999987</v>
      </c>
      <c r="ER290" s="98">
        <f t="shared" si="1539"/>
        <v>4.2945508571428315</v>
      </c>
      <c r="ES290" s="1023">
        <f t="shared" ref="ES290" si="1554">ES284*ES296/100</f>
        <v>924.43372740000007</v>
      </c>
      <c r="ET290" s="98">
        <f t="shared" si="1541"/>
        <v>3.2886846256983349</v>
      </c>
      <c r="EU290" s="1023">
        <f t="shared" ref="EU290" si="1555">EU284*EU296/100</f>
        <v>936.44965838699977</v>
      </c>
      <c r="EV290" s="98">
        <f t="shared" si="1543"/>
        <v>3.4751003742541142</v>
      </c>
      <c r="EW290" s="1023">
        <f t="shared" ref="EW290" si="1556">EW284*EW296/100</f>
        <v>948.62732258956476</v>
      </c>
      <c r="EX290" s="98">
        <f t="shared" si="1545"/>
        <v>1.1329768219152214</v>
      </c>
      <c r="EY290" s="296"/>
      <c r="EZ290" s="601"/>
      <c r="FA290" s="411"/>
      <c r="FB290" s="242"/>
      <c r="FC290" s="233"/>
      <c r="FD290" s="291"/>
      <c r="FE290" s="233"/>
      <c r="FF290" s="291"/>
      <c r="FG290" s="233"/>
      <c r="FH290" s="291"/>
      <c r="FI290" s="233"/>
      <c r="FJ290" s="291"/>
      <c r="FK290" s="233"/>
      <c r="FL290" s="291"/>
      <c r="FM290" s="233"/>
      <c r="FN290" s="291"/>
      <c r="FO290" s="233"/>
      <c r="FP290" s="291"/>
      <c r="FQ290" s="233"/>
      <c r="FR290" s="292"/>
      <c r="FS290" s="120"/>
      <c r="FT290" s="292"/>
      <c r="FU290" s="120"/>
      <c r="FV290" s="292"/>
      <c r="FW290" s="233"/>
      <c r="FX290" s="483"/>
      <c r="FY290" s="233"/>
      <c r="FZ290" s="119">
        <f>CE290+CG290+CI290+CK290</f>
        <v>244</v>
      </c>
      <c r="GA290" s="98" t="str">
        <f>IF(ISERROR((FZ290/FX290-1)*100),"NA",IF(((FZ290/FX290-1)*100)&gt;100,"NM",IF(((FZ290/FX290-1)*100)&lt;-50,"NM",(FZ290/FX290-1)*100)))</f>
        <v>NA</v>
      </c>
      <c r="GB290" s="542">
        <v>4522</v>
      </c>
      <c r="GC290" s="98" t="str">
        <f>IF(ISERROR((GB290/FZ290-1)*100),"NA",IF(((GB290/FZ290-1)*100)&gt;100,"NM",IF(((GB290/FZ290-1)*100)&lt;-50,"NM",(GB290/FZ290-1)*100)))</f>
        <v>NM</v>
      </c>
      <c r="GD290" s="160">
        <f>CU290+CW290+CY290+DA290</f>
        <v>4743</v>
      </c>
      <c r="GE290" s="98">
        <f>IF(ISERROR((GD290/GB290-1)*100),"NA",IF(((GD290/GB290-1)*100)&gt;100,"NM",IF(((GD290/GB290-1)*100)&lt;-50,"NM",(GD290/GB290-1)*100)))</f>
        <v>4.8872180451127845</v>
      </c>
      <c r="GF290" s="160">
        <f>DC290+DE290+DG290+DI290</f>
        <v>4312</v>
      </c>
      <c r="GG290" s="98">
        <f>IF(ISERROR((GF290/GD290-1)*100),"NA",IF(((GF290/GD290-1)*100)&gt;100,"NM",IF(((GF290/GD290-1)*100)&lt;-50,"NM",(GF290/GD290-1)*100)))</f>
        <v>-9.087075690491254</v>
      </c>
      <c r="GH290" s="160">
        <f>DK290+DM290+DO290+DQ290</f>
        <v>3975</v>
      </c>
      <c r="GI290" s="98">
        <f>IF(ISERROR((GH290/GF290-1)*100),"NA",IF(((GH290/GF290-1)*100)&gt;100,"NM",IF(((GH290/GF290-1)*100)&lt;-50,"NM",(GH290/GF290-1)*100)))</f>
        <v>-7.8153988868274631</v>
      </c>
      <c r="GJ290" s="160">
        <f>DS290+DU290+DW290+DY290</f>
        <v>3611</v>
      </c>
      <c r="GK290" s="98">
        <f>IF(ISERROR((GJ290/GH290-1)*100),"NA",IF(((GJ290/GH290-1)*100)&gt;100,"NM",IF(((GJ290/GH290-1)*100)&lt;-50,"NM",(GJ290/GH290-1)*100)))</f>
        <v>-9.1572327044025172</v>
      </c>
      <c r="GL290" s="160">
        <f>EA290+EC290+EE290+EG290</f>
        <v>3586</v>
      </c>
      <c r="GM290" s="98">
        <f>IF(ISERROR((GL290/GJ290-1)*100),"NA",IF(((GL290/GJ290-1)*100)&gt;100,"NM",IF(((GL290/GJ290-1)*100)&lt;-50,"NM",(GL290/GJ290-1)*100)))</f>
        <v>-0.69232899473830045</v>
      </c>
      <c r="GN290" s="160">
        <f>EI290+EK290+EM290+EO290</f>
        <v>3613</v>
      </c>
      <c r="GO290" s="98">
        <f>IF(ISERROR((GN290/GL290-1)*100),"NA",IF(((GN290/GL290-1)*100)&gt;100,"NM",IF(((GN290/GL290-1)*100)&lt;-50,"NM",(GN290/GL290-1)*100)))</f>
        <v>0.75292805354154613</v>
      </c>
      <c r="GP290" s="160">
        <f>EQ290+ES290+EU290+EW290</f>
        <v>3722.0880283765646</v>
      </c>
      <c r="GQ290" s="98">
        <f>IF(ISERROR((GP290/GN290-1)*100),"NA",IF(((GP290/GN290-1)*100)&gt;100,"NM",IF(((GP290/GN290-1)*100)&lt;-50,"NM",(GP290/GN290-1)*100)))</f>
        <v>3.0193199107823032</v>
      </c>
      <c r="GR290" s="119">
        <f>GR284*GR296/100</f>
        <v>3876.2386552121602</v>
      </c>
      <c r="GS290" s="98">
        <f>IF(ISERROR((GR290/GP290-1)*100),"NA",IF(((GR290/GP290-1)*100)&gt;100,"NM",IF(((GR290/GP290-1)*100)&lt;-50,"NM",(GR290/GP290-1)*100)))</f>
        <v>4.141509433962276</v>
      </c>
      <c r="GT290" s="119">
        <f>GT284*GT296/100</f>
        <v>4070.0505879727689</v>
      </c>
      <c r="GU290" s="98">
        <f>IF(ISERROR((GT290/GR290-1)*100),"NA",IF(((GT290/GR290-1)*100)&gt;100,"NM",IF(((GT290/GR290-1)*100)&lt;-50,"NM",(GT290/GR290-1)*100)))</f>
        <v>5.0000000000000266</v>
      </c>
      <c r="GV290" s="119">
        <f>GV284*GV296/100</f>
        <v>4260.0034879567866</v>
      </c>
      <c r="GW290" s="98">
        <f>IF(ISERROR((GV290/GT290-1)*100),"NA",IF(((GV290/GT290-1)*100)&gt;100,"NM",IF(((GV290/GT290-1)*100)&lt;-50,"NM",(GV290/GT290-1)*100)))</f>
        <v>4.6670894102726734</v>
      </c>
      <c r="GX290" s="119">
        <f>GX284*GX296/100</f>
        <v>4458.7765514692737</v>
      </c>
      <c r="GY290" s="98">
        <f>IF(ISERROR((GX290/GV290-1)*100),"NA",IF(((GX290/GV290-1)*100)&gt;100,"NM",IF(((GX290/GV290-1)*100)&lt;-50,"NM",(GX290/GV290-1)*100)))</f>
        <v>4.6660305343511288</v>
      </c>
      <c r="GZ290" s="98">
        <f>IF(ISERROR(((GX290/GN290)^0.2-1)*100),"NA",IF((((GX290/GN290)^0.2-1)*100)&gt;100,"NM",IF((((GX290/GN290)^0.2-1)*100)&lt;-50,"NM",((GX290/GN290)^0.2-1)*100)))</f>
        <v>4.296455535864907</v>
      </c>
      <c r="HA290" s="98"/>
      <c r="HB290" s="10"/>
      <c r="HC290"/>
      <c r="HD290"/>
      <c r="HE290"/>
      <c r="HF290"/>
      <c r="HG290"/>
      <c r="HH290"/>
      <c r="HI290" s="10"/>
    </row>
    <row r="291" spans="2:217" s="2" customFormat="1" ht="12.75" customHeight="1" x14ac:dyDescent="0.2">
      <c r="B291" s="131" t="s">
        <v>548</v>
      </c>
      <c r="C291" s="293"/>
      <c r="D291" s="98"/>
      <c r="E291" s="293"/>
      <c r="F291" s="98"/>
      <c r="G291" s="293"/>
      <c r="H291" s="98"/>
      <c r="I291" s="293"/>
      <c r="J291" s="233"/>
      <c r="K291" s="293"/>
      <c r="L291" s="233"/>
      <c r="M291" s="293"/>
      <c r="N291" s="233"/>
      <c r="O291" s="293"/>
      <c r="P291" s="233"/>
      <c r="Q291" s="293"/>
      <c r="R291" s="233"/>
      <c r="S291" s="293"/>
      <c r="T291" s="233"/>
      <c r="U291" s="293"/>
      <c r="V291" s="233"/>
      <c r="W291" s="293"/>
      <c r="X291" s="233"/>
      <c r="Y291" s="293"/>
      <c r="Z291" s="233"/>
      <c r="AA291" s="293"/>
      <c r="AB291" s="233"/>
      <c r="AC291" s="293"/>
      <c r="AD291" s="233"/>
      <c r="AE291" s="293"/>
      <c r="AF291" s="233"/>
      <c r="AG291" s="124"/>
      <c r="AH291" s="233"/>
      <c r="AI291" s="124"/>
      <c r="AJ291" s="233"/>
      <c r="AK291" s="124"/>
      <c r="AL291" s="233"/>
      <c r="AM291" s="124"/>
      <c r="AN291" s="233"/>
      <c r="AO291" s="124"/>
      <c r="AP291" s="233"/>
      <c r="AQ291" s="124"/>
      <c r="AR291" s="233"/>
      <c r="AS291" s="124"/>
      <c r="AT291" s="233"/>
      <c r="AU291" s="124"/>
      <c r="AV291" s="233"/>
      <c r="AW291" s="124"/>
      <c r="AX291" s="233"/>
      <c r="AY291" s="137"/>
      <c r="AZ291" s="233"/>
      <c r="BA291" s="137"/>
      <c r="BB291" s="233"/>
      <c r="BC291" s="137"/>
      <c r="BD291" s="233"/>
      <c r="BE291" s="137"/>
      <c r="BF291" s="233"/>
      <c r="BG291" s="137"/>
      <c r="BH291" s="233"/>
      <c r="BI291" s="137"/>
      <c r="BJ291" s="233"/>
      <c r="BK291" s="137"/>
      <c r="BL291" s="233"/>
      <c r="BM291" s="137"/>
      <c r="BN291" s="233"/>
      <c r="BO291" s="137"/>
      <c r="BP291" s="233"/>
      <c r="BQ291" s="137"/>
      <c r="BR291" s="233"/>
      <c r="BS291" s="137"/>
      <c r="BT291" s="233"/>
      <c r="BU291" s="137"/>
      <c r="BV291" s="233"/>
      <c r="BW291" s="137"/>
      <c r="BX291" s="233"/>
      <c r="BY291" s="137"/>
      <c r="BZ291" s="233"/>
      <c r="CA291" s="137"/>
      <c r="CB291" s="233"/>
      <c r="CC291" s="137"/>
      <c r="CD291" s="233"/>
      <c r="CE291" s="137"/>
      <c r="CF291" s="233"/>
      <c r="CG291" s="137"/>
      <c r="CH291" s="233"/>
      <c r="CI291" s="137"/>
      <c r="CJ291" s="233"/>
      <c r="CK291" s="182">
        <f>CK289+CK290+CK287+CK288</f>
        <v>560</v>
      </c>
      <c r="CL291" s="98" t="str">
        <f>IF(ISERROR((CK291/CC291-1)*100),"NA",IF(((CK291/CC291-1)*100)&gt;100,"NM",IF(((CK291/CC291-1)*100)&lt;-50,"NM",(CK291/CC291-1)*100)))</f>
        <v>NA</v>
      </c>
      <c r="CM291" s="182">
        <f>CM289+CM290+CM287+CM288</f>
        <v>2301</v>
      </c>
      <c r="CN291" s="98" t="str">
        <f>IF(ISERROR((CM291/CE291-1)*100),"NA",IF(((CM291/CE291-1)*100)&gt;100,"NM",IF(((CM291/CE291-1)*100)&lt;-50,"NM",(CM291/CE291-1)*100)))</f>
        <v>NA</v>
      </c>
      <c r="CO291" s="182">
        <f>CO289+CO290+CO287+CO288</f>
        <v>2525</v>
      </c>
      <c r="CP291" s="98" t="str">
        <f>IF(ISERROR((CO291/CG291-1)*100),"NA",IF(((CO291/CG291-1)*100)&gt;100,"NM",IF(((CO291/CG291-1)*100)&lt;-50,"NM",(CO291/CG291-1)*100)))</f>
        <v>NA</v>
      </c>
      <c r="CQ291" s="512">
        <f>CQ289+CQ290+CQ287+CQ288</f>
        <v>2646</v>
      </c>
      <c r="CR291" s="98" t="str">
        <f>IF(ISERROR((CQ291/CI291-1)*100),"NA",IF(((CQ291/CI291-1)*100)&gt;100,"NM",IF(((CQ291/CI291-1)*100)&lt;-50,"NM",(CQ291/CI291-1)*100)))</f>
        <v>NA</v>
      </c>
      <c r="CS291" s="182">
        <f>CS289+CS290+CS287+CS288</f>
        <v>2547</v>
      </c>
      <c r="CT291" s="98" t="str">
        <f>IF(ISERROR((CS291/CK291-1)*100),"NA",IF(((CS291/CK291-1)*100)&gt;100,"NM",IF(((CS291/CK291-1)*100)&lt;-50,"NM",(CS291/CK291-1)*100)))</f>
        <v>NM</v>
      </c>
      <c r="CU291" s="182">
        <f>CU289+CU290+CU287+CU288</f>
        <v>2636</v>
      </c>
      <c r="CV291" s="98">
        <f>IF(ISERROR((CU291/CM291-1)*100),"NA",IF(((CU291/CM291-1)*100)&gt;100,"NM",IF(((CU291/CM291-1)*100)&lt;-50,"NM",(CU291/CM291-1)*100)))</f>
        <v>14.558887440243362</v>
      </c>
      <c r="CW291" s="182">
        <f>CW289+CW290+CW287+CW288</f>
        <v>2754</v>
      </c>
      <c r="CX291" s="98">
        <f>IF(ISERROR((CW291/CO291-1)*100),"NA",IF(((CW291/CO291-1)*100)&gt;100,"NM",IF(((CW291/CO291-1)*100)&lt;-50,"NM",(CW291/CO291-1)*100)))</f>
        <v>9.0693069306930774</v>
      </c>
      <c r="CY291" s="182">
        <f>CY289+CY290+CY287+CY288</f>
        <v>2818</v>
      </c>
      <c r="CZ291" s="98">
        <f>IF(ISERROR((CY291/CQ291-1)*100),"NA",IF(((CY291/CQ291-1)*100)&gt;100,"NM",IF(((CY291/CQ291-1)*100)&lt;-50,"NM",(CY291/CQ291-1)*100)))</f>
        <v>6.5003779289493524</v>
      </c>
      <c r="DA291" s="182">
        <f>DA289+DA290+DA287+DA288</f>
        <v>2957</v>
      </c>
      <c r="DB291" s="98">
        <f>IF(ISERROR((DA291/CS291-1)*100),"NA",IF(((DA291/CS291-1)*100)&gt;100,"NM",IF(((DA291/CS291-1)*100)&lt;-50,"NM",(DA291/CS291-1)*100)))</f>
        <v>16.097369454259926</v>
      </c>
      <c r="DC291" s="182">
        <f>DC289+DC290+DC287+DC288</f>
        <v>2693</v>
      </c>
      <c r="DD291" s="98">
        <f>IF(ISERROR((DC291/CU291-1)*100),"NA",IF(((DC291/CU291-1)*100)&gt;100,"NM",IF(((DC291/CU291-1)*100)&lt;-50,"NM",(DC291/CU291-1)*100)))</f>
        <v>2.1623672230652424</v>
      </c>
      <c r="DE291" s="182">
        <f>DE289+DE290+DE287+DE288</f>
        <v>2681</v>
      </c>
      <c r="DF291" s="98">
        <f>IF(ISERROR((DE291/CW291-1)*100),"NA",IF(((DE291/CW291-1)*100)&gt;100,"NM",IF(((DE291/CW291-1)*100)&lt;-50,"NM",(DE291/CW291-1)*100)))</f>
        <v>-2.6506899055918631</v>
      </c>
      <c r="DG291" s="182">
        <f>DG289+DG290+DG287+DG288</f>
        <v>2732</v>
      </c>
      <c r="DH291" s="98">
        <f>IF(ISERROR((DG291/CY291-1)*100),"NA",IF(((DG291/CY291-1)*100)&gt;100,"NM",IF(((DG291/CY291-1)*100)&lt;-50,"NM",(DG291/CY291-1)*100)))</f>
        <v>-3.0518097941802713</v>
      </c>
      <c r="DI291" s="182">
        <f>DI289+DI290+DI287+DI288</f>
        <v>2623</v>
      </c>
      <c r="DJ291" s="98">
        <f>IF(ISERROR((DI291/DA291-1)*100),"NA",IF(((DI291/DA291-1)*100)&gt;100,"NM",IF(((DI291/DA291-1)*100)&lt;-50,"NM",(DI291/DA291-1)*100)))</f>
        <v>-11.295231653703075</v>
      </c>
      <c r="DK291" s="182">
        <f>DK289+DK290+DK287+DK288</f>
        <v>2525</v>
      </c>
      <c r="DL291" s="98">
        <f>IF(ISERROR((DK291/DC291-1)*100),"NA",IF(((DK291/DC291-1)*100)&gt;100,"NM",IF(((DK291/DC291-1)*100)&lt;-50,"NM",(DK291/DC291-1)*100)))</f>
        <v>-6.238395841069444</v>
      </c>
      <c r="DM291" s="182">
        <f>DM289+DM290+DM287+DM288</f>
        <v>2609</v>
      </c>
      <c r="DN291" s="98">
        <f>IF(ISERROR((DM291/DE291-1)*100),"NA",IF(((DM291/DE291-1)*100)&gt;100,"NM",IF(((DM291/DE291-1)*100)&lt;-50,"NM",(DM291/DE291-1)*100)))</f>
        <v>-2.6855650876538628</v>
      </c>
      <c r="DO291" s="182">
        <f>DO289+DO290+DO287+DO288</f>
        <v>2727</v>
      </c>
      <c r="DP291" s="98">
        <f>IF(ISERROR((DO291/DG291-1)*100),"NA",IF(((DO291/DG291-1)*100)&gt;100,"NM",IF(((DO291/DG291-1)*100)&lt;-50,"NM",(DO291/DG291-1)*100)))</f>
        <v>-0.18301610541727742</v>
      </c>
      <c r="DQ291" s="182">
        <f>DQ289+DQ290+DQ287+DQ288</f>
        <v>2501</v>
      </c>
      <c r="DR291" s="98">
        <f>IF(ISERROR((DQ291/DI291-1)*100),"NA",IF(((DQ291/DI291-1)*100)&gt;100,"NM",IF(((DQ291/DI291-1)*100)&lt;-50,"NM",(DQ291/DI291-1)*100)))</f>
        <v>-4.651162790697672</v>
      </c>
      <c r="DS291" s="182">
        <f>DS289+DS290+DS287+DS288</f>
        <v>2386</v>
      </c>
      <c r="DT291" s="98">
        <f>IF(ISERROR((DS291/DK291-1)*100),"NA",IF(((DS291/DK291-1)*100)&gt;100,"NM",IF(((DS291/DK291-1)*100)&lt;-50,"NM",(DS291/DK291-1)*100)))</f>
        <v>-5.5049504950495098</v>
      </c>
      <c r="DU291" s="182">
        <f>DU289+DU290+DU287+DU288</f>
        <v>2432</v>
      </c>
      <c r="DV291" s="98">
        <f>IF(ISERROR((DU291/DM291-1)*100),"NA",IF(((DU291/DM291-1)*100)&gt;100,"NM",IF(((DU291/DM291-1)*100)&lt;-50,"NM",(DU291/DM291-1)*100)))</f>
        <v>-6.7842085090072839</v>
      </c>
      <c r="DW291" s="182">
        <f>DW289+DW290+DW287+DW288</f>
        <v>2351</v>
      </c>
      <c r="DX291" s="98">
        <f>IF(ISERROR((DW291/DO291-1)*100),"NA",IF(((DW291/DO291-1)*100)&gt;100,"NM",IF(((DW291/DO291-1)*100)&lt;-50,"NM",(DW291/DO291-1)*100)))</f>
        <v>-13.788045471213783</v>
      </c>
      <c r="DY291" s="182">
        <f>DY289+DY290+DY287+DY288</f>
        <v>2253</v>
      </c>
      <c r="DZ291" s="98">
        <f>IF(ISERROR((DY291/DQ291-1)*100),"NA",IF(((DY291/DQ291-1)*100)&gt;100,"NM",IF(((DY291/DQ291-1)*100)&lt;-50,"NM",(DY291/DQ291-1)*100)))</f>
        <v>-9.9160335865653764</v>
      </c>
      <c r="EA291" s="182">
        <f>EA289+EA290+EA287+EA288</f>
        <v>2243</v>
      </c>
      <c r="EB291" s="98">
        <f>IF(ISERROR((EA291/DS291-1)*100),"NA",IF(((EA291/DS291-1)*100)&gt;100,"NM",IF(((EA291/DS291-1)*100)&lt;-50,"NM",(EA291/DS291-1)*100)))</f>
        <v>-5.9932942162615248</v>
      </c>
      <c r="EC291" s="182">
        <f>EC289+EC290+EC287+EC288</f>
        <v>2346</v>
      </c>
      <c r="ED291" s="98">
        <f>IF(ISERROR((EC291/DU291-1)*100),"NA",IF(((EC291/DU291-1)*100)&gt;100,"NM",IF(((EC291/DU291-1)*100)&lt;-50,"NM",(EC291/DU291-1)*100)))</f>
        <v>-3.5361842105263164</v>
      </c>
      <c r="EE291" s="182">
        <f>EE289+EE290+EE287+EE288</f>
        <v>2469</v>
      </c>
      <c r="EF291" s="860">
        <f>IF(ISERROR((EE291/DW291-1)*100),"NA",IF(((EE291/DW291-1)*100)&gt;100,"NM",IF(((EE291/DW291-1)*100)&lt;-50,"NM",(EE291/DW291-1)*100)))</f>
        <v>5.0191407911527097</v>
      </c>
      <c r="EG291" s="182">
        <f>EG289+EG290+EG287+EG288</f>
        <v>2365</v>
      </c>
      <c r="EH291" s="860">
        <f>IF(ISERROR((EG291/DY291-1)*100),"NA",IF(((EG291/DY291-1)*100)&gt;100,"NM",IF(((EG291/DY291-1)*100)&lt;-50,"NM",(EG291/DY291-1)*100)))</f>
        <v>4.971149578339995</v>
      </c>
      <c r="EI291" s="182">
        <f>EI289+EI290+EI287+EI288</f>
        <v>2345</v>
      </c>
      <c r="EJ291" s="860">
        <f t="shared" si="1534"/>
        <v>4.5474810521622722</v>
      </c>
      <c r="EK291" s="182">
        <f>EK289+EK290+EK287+EK288</f>
        <v>2307</v>
      </c>
      <c r="EL291" s="860">
        <f t="shared" si="1535"/>
        <v>-1.6624040920716121</v>
      </c>
      <c r="EM291" s="182">
        <f>EM289+EM290+EM287+EM288</f>
        <v>2457</v>
      </c>
      <c r="EN291" s="860">
        <f t="shared" si="1536"/>
        <v>-0.4860267314702349</v>
      </c>
      <c r="EO291" s="182">
        <f>EO289+EO290+EO287+EO288</f>
        <v>2409</v>
      </c>
      <c r="EP291" s="98">
        <f t="shared" si="1537"/>
        <v>1.8604651162790642</v>
      </c>
      <c r="EQ291" s="1021">
        <f t="shared" ref="EQ291" si="1557">EQ289+EQ290+EQ287+EQ288</f>
        <v>2379.7161199999996</v>
      </c>
      <c r="ER291" s="98">
        <f t="shared" si="1539"/>
        <v>1.48043155650317</v>
      </c>
      <c r="ES291" s="1021">
        <f t="shared" ref="ES291" si="1558">ES289+ES290+ES287+ES288</f>
        <v>2408.4121076499996</v>
      </c>
      <c r="ET291" s="98">
        <f t="shared" si="1541"/>
        <v>4.3958434178586803</v>
      </c>
      <c r="EU291" s="1021">
        <f t="shared" ref="EU291" si="1559">EU289+EU290+EU287+EU288</f>
        <v>2437.446748314499</v>
      </c>
      <c r="EV291" s="98">
        <f t="shared" si="1543"/>
        <v>-0.79581813941802526</v>
      </c>
      <c r="EW291" s="1021">
        <f t="shared" ref="EW291" si="1560">EW289+EW290+EW287+EW288</f>
        <v>2471.3134449009767</v>
      </c>
      <c r="EX291" s="98">
        <f t="shared" si="1545"/>
        <v>2.5866934371513883</v>
      </c>
      <c r="EY291" s="291"/>
      <c r="EZ291" s="601"/>
      <c r="FA291" s="411"/>
      <c r="FB291" s="242"/>
      <c r="FC291" s="233"/>
      <c r="FD291" s="291"/>
      <c r="FE291" s="233"/>
      <c r="FF291" s="291"/>
      <c r="FG291" s="233"/>
      <c r="FH291" s="291"/>
      <c r="FI291" s="233"/>
      <c r="FJ291" s="291"/>
      <c r="FK291" s="233"/>
      <c r="FL291" s="291"/>
      <c r="FM291" s="233"/>
      <c r="FN291" s="291"/>
      <c r="FO291" s="233"/>
      <c r="FP291" s="291"/>
      <c r="FQ291" s="233"/>
      <c r="FR291" s="292"/>
      <c r="FS291" s="120"/>
      <c r="FT291" s="292"/>
      <c r="FU291" s="120"/>
      <c r="FV291" s="292"/>
      <c r="FW291" s="233"/>
      <c r="FX291" s="483"/>
      <c r="FY291" s="233"/>
      <c r="FZ291" s="182">
        <f>FZ289+FZ290+FZ287+FZ288</f>
        <v>560</v>
      </c>
      <c r="GA291" s="98" t="str">
        <f>IF(ISERROR((FZ291/FX291-1)*100),"NA",IF(((FZ291/FX291-1)*100)&gt;100,"NM",IF(((FZ291/FX291-1)*100)&lt;-50,"NM",(FZ291/FX291-1)*100)))</f>
        <v>NA</v>
      </c>
      <c r="GB291" s="512">
        <f>GB289+GB290+GB287+GB288</f>
        <v>10249</v>
      </c>
      <c r="GC291" s="98" t="str">
        <f>IF(ISERROR((GB291/FZ291-1)*100),"NA",IF(((GB291/FZ291-1)*100)&gt;100,"NM",IF(((GB291/FZ291-1)*100)&lt;-50,"NM",(GB291/FZ291-1)*100)))</f>
        <v>NM</v>
      </c>
      <c r="GD291" s="182">
        <f>GD289+GD290+GD287+GD288</f>
        <v>11165</v>
      </c>
      <c r="GE291" s="98">
        <f>IF(ISERROR((GD291/GB291-1)*100),"NA",IF(((GD291/GB291-1)*100)&gt;100,"NM",IF(((GD291/GB291-1)*100)&lt;-50,"NM",(GD291/GB291-1)*100)))</f>
        <v>8.937457312908581</v>
      </c>
      <c r="GF291" s="182">
        <f>GF289+GF290+GF287+GF288</f>
        <v>10729</v>
      </c>
      <c r="GG291" s="98">
        <f>IF(ISERROR((GF291/GD291-1)*100),"NA",IF(((GF291/GD291-1)*100)&gt;100,"NM",IF(((GF291/GD291-1)*100)&lt;-50,"NM",(GF291/GD291-1)*100)))</f>
        <v>-3.9050604567845926</v>
      </c>
      <c r="GH291" s="182">
        <f>GH289+GH290+GH287+GH288</f>
        <v>10362</v>
      </c>
      <c r="GI291" s="98">
        <f>IF(ISERROR((GH291/GF291-1)*100),"NA",IF(((GH291/GF291-1)*100)&gt;100,"NM",IF(((GH291/GF291-1)*100)&lt;-50,"NM",(GH291/GF291-1)*100)))</f>
        <v>-3.4206356603597721</v>
      </c>
      <c r="GJ291" s="182">
        <f>GJ289+GJ290+GJ287+GJ288</f>
        <v>9422</v>
      </c>
      <c r="GK291" s="98">
        <f>IF(ISERROR((GJ291/GH291-1)*100),"NA",IF(((GJ291/GH291-1)*100)&gt;100,"NM",IF(((GJ291/GH291-1)*100)&lt;-50,"NM",(GJ291/GH291-1)*100)))</f>
        <v>-9.0716077977224465</v>
      </c>
      <c r="GL291" s="182">
        <f>GL289+GL290+GL287+GL288</f>
        <v>9423</v>
      </c>
      <c r="GM291" s="98">
        <f>IF(ISERROR((GL291/GJ291-1)*100),"NA",IF(((GL291/GJ291-1)*100)&gt;100,"NM",IF(((GL291/GJ291-1)*100)&lt;-50,"NM",(GL291/GJ291-1)*100)))</f>
        <v>1.061345786457224E-2</v>
      </c>
      <c r="GN291" s="182">
        <f>GN289+GN290+GN287+GN288</f>
        <v>9518</v>
      </c>
      <c r="GO291" s="98">
        <f>IF(ISERROR((GN291/GL291-1)*100),"NA",IF(((GN291/GL291-1)*100)&gt;100,"NM",IF(((GN291/GL291-1)*100)&lt;-50,"NM",(GN291/GL291-1)*100)))</f>
        <v>1.0081714952775211</v>
      </c>
      <c r="GP291" s="182">
        <f>GP289+GP290+GP287+GP288</f>
        <v>9696.8884208654745</v>
      </c>
      <c r="GQ291" s="98">
        <f>IF(ISERROR((GP291/GN291-1)*100),"NA",IF(((GP291/GN291-1)*100)&gt;100,"NM",IF(((GP291/GN291-1)*100)&lt;-50,"NM",(GP291/GN291-1)*100)))</f>
        <v>1.8794748987757348</v>
      </c>
      <c r="GR291" s="182">
        <f>GR289+GR290+GR287+GR288</f>
        <v>10149.779067325519</v>
      </c>
      <c r="GS291" s="98">
        <f>IF(ISERROR((GR291/GP291-1)*100),"NA",IF(((GR291/GP291-1)*100)&gt;100,"NM",IF(((GR291/GP291-1)*100)&lt;-50,"NM",(GR291/GP291-1)*100)))</f>
        <v>4.6704739376553839</v>
      </c>
      <c r="GT291" s="182">
        <f>GT289+GT290+GT287+GT288</f>
        <v>10657.268020691794</v>
      </c>
      <c r="GU291" s="98">
        <f>IF(ISERROR((GT291/GR291-1)*100),"NA",IF(((GT291/GR291-1)*100)&gt;100,"NM",IF(((GT291/GR291-1)*100)&lt;-50,"NM",(GT291/GR291-1)*100)))</f>
        <v>5.0000000000000044</v>
      </c>
      <c r="GV291" s="182">
        <f>GV289+GV290+GV287+GV288</f>
        <v>11176.581792311763</v>
      </c>
      <c r="GW291" s="98">
        <f>IF(ISERROR((GV291/GT291-1)*100),"NA",IF(((GV291/GT291-1)*100)&gt;100,"NM",IF(((GV291/GT291-1)*100)&lt;-50,"NM",(GV291/GT291-1)*100)))</f>
        <v>4.8728601984268982</v>
      </c>
      <c r="GX291" s="182">
        <f>GX289+GX290+GX287+GX288</f>
        <v>11746.802883127209</v>
      </c>
      <c r="GY291" s="98">
        <f>IF(ISERROR((GX291/GV291-1)*100),"NA",IF(((GX291/GV291-1)*100)&gt;100,"NM",IF(((GX291/GV291-1)*100)&lt;-50,"NM",(GX291/GV291-1)*100)))</f>
        <v>5.1019274176268725</v>
      </c>
      <c r="GZ291" s="98">
        <f>IF(ISERROR(((GX291/GN291)^0.2-1)*100),"NA",IF((((GX291/GN291)^0.2-1)*100)&gt;100,"NM",IF((((GX291/GN291)^0.2-1)*100)&lt;-50,"NM",((GX291/GN291)^0.2-1)*100)))</f>
        <v>4.2977155571475079</v>
      </c>
      <c r="HA291" s="98"/>
      <c r="HB291" s="10"/>
      <c r="HC291"/>
      <c r="HD291"/>
      <c r="HE291"/>
      <c r="HF291"/>
      <c r="HG291"/>
      <c r="HH291"/>
      <c r="HI291" s="10"/>
    </row>
    <row r="292" spans="2:217" s="2" customFormat="1" ht="12.75" customHeight="1" x14ac:dyDescent="0.2">
      <c r="B292" s="179"/>
      <c r="C292" s="293"/>
      <c r="D292" s="98"/>
      <c r="E292" s="293"/>
      <c r="F292" s="98"/>
      <c r="G292" s="293"/>
      <c r="H292" s="98"/>
      <c r="I292" s="293"/>
      <c r="J292" s="233"/>
      <c r="K292" s="293"/>
      <c r="L292" s="233"/>
      <c r="M292" s="293"/>
      <c r="N292" s="233"/>
      <c r="O292" s="293"/>
      <c r="P292" s="233"/>
      <c r="Q292" s="293"/>
      <c r="R292" s="233"/>
      <c r="S292" s="293"/>
      <c r="T292" s="233"/>
      <c r="U292" s="293"/>
      <c r="V292" s="233"/>
      <c r="W292" s="293"/>
      <c r="X292" s="233"/>
      <c r="Y292" s="293"/>
      <c r="Z292" s="233"/>
      <c r="AA292" s="293"/>
      <c r="AB292" s="233"/>
      <c r="AC292" s="293"/>
      <c r="AD292" s="233"/>
      <c r="AE292" s="293"/>
      <c r="AF292" s="233"/>
      <c r="AG292" s="124"/>
      <c r="AH292" s="233"/>
      <c r="AI292" s="124"/>
      <c r="AJ292" s="233"/>
      <c r="AK292" s="124"/>
      <c r="AL292" s="233"/>
      <c r="AM292" s="124"/>
      <c r="AN292" s="233"/>
      <c r="AO292" s="124"/>
      <c r="AP292" s="233"/>
      <c r="AQ292" s="124"/>
      <c r="AR292" s="233"/>
      <c r="AS292" s="124"/>
      <c r="AT292" s="233"/>
      <c r="AU292" s="124"/>
      <c r="AV292" s="233"/>
      <c r="AW292" s="124"/>
      <c r="AX292" s="233"/>
      <c r="AY292" s="137"/>
      <c r="AZ292" s="233"/>
      <c r="BA292" s="137"/>
      <c r="BB292" s="233"/>
      <c r="BC292" s="137"/>
      <c r="BD292" s="233"/>
      <c r="BE292" s="137"/>
      <c r="BF292" s="233"/>
      <c r="BG292" s="137"/>
      <c r="BH292" s="233"/>
      <c r="BI292" s="137"/>
      <c r="BJ292" s="233"/>
      <c r="BK292" s="137"/>
      <c r="BL292" s="233"/>
      <c r="BM292" s="137"/>
      <c r="BN292" s="233"/>
      <c r="BO292" s="137"/>
      <c r="BP292" s="233"/>
      <c r="BQ292" s="137"/>
      <c r="BR292" s="233"/>
      <c r="BS292" s="137"/>
      <c r="BT292" s="233"/>
      <c r="BU292" s="137"/>
      <c r="BV292" s="233"/>
      <c r="BW292" s="137"/>
      <c r="BX292" s="233"/>
      <c r="BY292" s="137"/>
      <c r="BZ292" s="233"/>
      <c r="CA292" s="137"/>
      <c r="CB292" s="233"/>
      <c r="CC292" s="137"/>
      <c r="CD292" s="233"/>
      <c r="CE292" s="137"/>
      <c r="CF292" s="233"/>
      <c r="CG292" s="137"/>
      <c r="CH292" s="233"/>
      <c r="CI292" s="137"/>
      <c r="CJ292" s="233"/>
      <c r="CK292" s="101"/>
      <c r="CL292" s="98"/>
      <c r="CM292" s="101"/>
      <c r="CN292" s="98"/>
      <c r="CO292" s="101"/>
      <c r="CP292" s="98"/>
      <c r="CQ292" s="542"/>
      <c r="CR292" s="98"/>
      <c r="CS292" s="101"/>
      <c r="CT292" s="98"/>
      <c r="CU292" s="101"/>
      <c r="CV292" s="98"/>
      <c r="CW292" s="101"/>
      <c r="CX292" s="98"/>
      <c r="CY292" s="101"/>
      <c r="CZ292" s="98"/>
      <c r="DA292" s="101"/>
      <c r="DB292" s="98"/>
      <c r="DC292" s="101"/>
      <c r="DD292" s="98"/>
      <c r="DE292" s="101"/>
      <c r="DF292" s="98"/>
      <c r="DG292" s="101"/>
      <c r="DH292" s="98"/>
      <c r="DI292" s="101"/>
      <c r="DJ292" s="98"/>
      <c r="DK292" s="101"/>
      <c r="DL292" s="98"/>
      <c r="DM292" s="101"/>
      <c r="DN292" s="98"/>
      <c r="DO292" s="101"/>
      <c r="DP292" s="98"/>
      <c r="DQ292" s="101"/>
      <c r="DR292" s="98"/>
      <c r="DS292" s="101"/>
      <c r="DT292" s="98"/>
      <c r="DU292" s="101"/>
      <c r="DV292" s="98"/>
      <c r="DW292" s="101"/>
      <c r="DX292" s="98"/>
      <c r="DY292" s="101"/>
      <c r="DZ292" s="98"/>
      <c r="EA292" s="101"/>
      <c r="EB292" s="98"/>
      <c r="EC292" s="101"/>
      <c r="ED292" s="98"/>
      <c r="EE292" s="101"/>
      <c r="EF292" s="860"/>
      <c r="EG292" s="101"/>
      <c r="EH292" s="860"/>
      <c r="EI292" s="101"/>
      <c r="EJ292" s="860"/>
      <c r="EK292" s="101"/>
      <c r="EL292" s="860"/>
      <c r="EM292" s="101"/>
      <c r="EN292" s="860"/>
      <c r="EO292" s="101"/>
      <c r="EP292" s="98"/>
      <c r="EQ292" s="1023"/>
      <c r="ER292" s="98"/>
      <c r="ES292" s="1023"/>
      <c r="ET292" s="98"/>
      <c r="EU292" s="1023"/>
      <c r="EV292" s="98"/>
      <c r="EW292" s="1023"/>
      <c r="EX292" s="98"/>
      <c r="EY292" s="295"/>
      <c r="EZ292" s="601"/>
      <c r="FA292" s="411"/>
      <c r="FB292" s="242"/>
      <c r="FC292" s="233"/>
      <c r="FD292" s="291"/>
      <c r="FE292" s="233"/>
      <c r="FF292" s="291"/>
      <c r="FG292" s="233"/>
      <c r="FH292" s="291"/>
      <c r="FI292" s="233"/>
      <c r="FJ292" s="291"/>
      <c r="FK292" s="233"/>
      <c r="FL292" s="291"/>
      <c r="FM292" s="233"/>
      <c r="FN292" s="291"/>
      <c r="FO292" s="233"/>
      <c r="FP292" s="291"/>
      <c r="FQ292" s="233"/>
      <c r="FR292" s="292"/>
      <c r="FS292" s="120"/>
      <c r="FT292" s="292"/>
      <c r="FU292" s="120"/>
      <c r="FV292" s="292"/>
      <c r="FW292" s="233"/>
      <c r="FX292" s="483"/>
      <c r="FY292" s="233"/>
      <c r="FZ292" s="119"/>
      <c r="GA292" s="98"/>
      <c r="GB292" s="485"/>
      <c r="GC292" s="98"/>
      <c r="GD292" s="119"/>
      <c r="GE292" s="98"/>
      <c r="GF292" s="119"/>
      <c r="GG292" s="98"/>
      <c r="GH292" s="119"/>
      <c r="GI292" s="98"/>
      <c r="GJ292" s="119"/>
      <c r="GK292" s="98"/>
      <c r="GL292" s="119"/>
      <c r="GM292" s="98"/>
      <c r="GN292" s="119"/>
      <c r="GO292" s="98"/>
      <c r="GP292" s="119"/>
      <c r="GQ292" s="98"/>
      <c r="GR292" s="119"/>
      <c r="GS292" s="98"/>
      <c r="GT292" s="119"/>
      <c r="GU292" s="98"/>
      <c r="GV292" s="119"/>
      <c r="GW292" s="98"/>
      <c r="GX292" s="119"/>
      <c r="GY292" s="98"/>
      <c r="GZ292" s="233"/>
      <c r="HA292" s="233"/>
      <c r="HB292" s="10"/>
      <c r="HC292"/>
      <c r="HD292"/>
      <c r="HE292"/>
      <c r="HF292"/>
      <c r="HG292"/>
      <c r="HH292"/>
      <c r="HI292" s="10"/>
    </row>
    <row r="293" spans="2:217" s="2" customFormat="1" ht="12.75" customHeight="1" x14ac:dyDescent="0.2">
      <c r="B293" s="91" t="s">
        <v>6</v>
      </c>
      <c r="C293" s="293"/>
      <c r="D293" s="98"/>
      <c r="E293" s="293"/>
      <c r="F293" s="98"/>
      <c r="G293" s="293"/>
      <c r="H293" s="98"/>
      <c r="I293" s="293"/>
      <c r="J293" s="233"/>
      <c r="K293" s="293"/>
      <c r="L293" s="233"/>
      <c r="M293" s="293"/>
      <c r="N293" s="233"/>
      <c r="O293" s="293"/>
      <c r="P293" s="233"/>
      <c r="Q293" s="293"/>
      <c r="R293" s="233"/>
      <c r="S293" s="293"/>
      <c r="T293" s="233"/>
      <c r="U293" s="293"/>
      <c r="V293" s="233"/>
      <c r="W293" s="293"/>
      <c r="X293" s="233"/>
      <c r="Y293" s="293"/>
      <c r="Z293" s="233"/>
      <c r="AA293" s="293"/>
      <c r="AB293" s="233"/>
      <c r="AC293" s="293"/>
      <c r="AD293" s="233"/>
      <c r="AE293" s="293"/>
      <c r="AF293" s="233"/>
      <c r="AG293" s="124"/>
      <c r="AH293" s="233"/>
      <c r="AI293" s="124"/>
      <c r="AJ293" s="233"/>
      <c r="AK293" s="124"/>
      <c r="AL293" s="233"/>
      <c r="AM293" s="124"/>
      <c r="AN293" s="233"/>
      <c r="AO293" s="124"/>
      <c r="AP293" s="233"/>
      <c r="AQ293" s="124"/>
      <c r="AR293" s="233"/>
      <c r="AS293" s="124"/>
      <c r="AT293" s="233"/>
      <c r="AU293" s="124"/>
      <c r="AV293" s="233"/>
      <c r="AW293" s="124"/>
      <c r="AX293" s="233"/>
      <c r="AY293" s="137"/>
      <c r="AZ293" s="233"/>
      <c r="BA293" s="137"/>
      <c r="BB293" s="233"/>
      <c r="BC293" s="137"/>
      <c r="BD293" s="233"/>
      <c r="BE293" s="137"/>
      <c r="BF293" s="233"/>
      <c r="BG293" s="137"/>
      <c r="BH293" s="233"/>
      <c r="BI293" s="137"/>
      <c r="BJ293" s="233"/>
      <c r="BK293" s="137"/>
      <c r="BL293" s="233"/>
      <c r="BM293" s="137"/>
      <c r="BN293" s="233"/>
      <c r="BO293" s="137"/>
      <c r="BP293" s="233"/>
      <c r="BQ293" s="137"/>
      <c r="BR293" s="233"/>
      <c r="BS293" s="137"/>
      <c r="BT293" s="233"/>
      <c r="BU293" s="137"/>
      <c r="BV293" s="233"/>
      <c r="BW293" s="137"/>
      <c r="BX293" s="233"/>
      <c r="BY293" s="137"/>
      <c r="BZ293" s="233"/>
      <c r="CA293" s="137"/>
      <c r="CB293" s="233"/>
      <c r="CC293" s="137"/>
      <c r="CD293" s="233"/>
      <c r="CE293" s="137"/>
      <c r="CF293" s="233"/>
      <c r="CG293" s="137"/>
      <c r="CH293" s="233"/>
      <c r="CI293" s="137"/>
      <c r="CJ293" s="233"/>
      <c r="CK293" s="137">
        <f>+CK287/CK280*100</f>
        <v>61.923847695390776</v>
      </c>
      <c r="CL293" s="98" t="str">
        <f>IF(ISERROR((CK293/CC293-1)*100),"NA",IF(((CK293/CC293-1)*100)&gt;100,"NM",IF(((CK293/CC293-1)*100)&lt;-50,"NM",(CK293/CC293-1)*100)))</f>
        <v>NA</v>
      </c>
      <c r="CM293" s="137">
        <f>+CM287/CM280*100</f>
        <v>66.44481419855795</v>
      </c>
      <c r="CN293" s="98" t="str">
        <f>IF(ISERROR((CM293/CE293-1)*100),"NA",IF(((CM293/CE293-1)*100)&gt;100,"NM",IF(((CM293/CE293-1)*100)&lt;-50,"NM",(CM293/CE293-1)*100)))</f>
        <v>NA</v>
      </c>
      <c r="CO293" s="137">
        <f>+CO287/CO280*100</f>
        <v>67.515923566878982</v>
      </c>
      <c r="CP293" s="98" t="str">
        <f>IF(ISERROR((CO293/CG293-1)*100),"NA",IF(((CO293/CG293-1)*100)&gt;100,"NM",IF(((CO293/CG293-1)*100)&lt;-50,"NM",(CO293/CG293-1)*100)))</f>
        <v>NA</v>
      </c>
      <c r="CQ293" s="494">
        <f>+CQ287/CQ280*100</f>
        <v>67.361464158617181</v>
      </c>
      <c r="CR293" s="98" t="str">
        <f>IF(ISERROR((CQ293/CI293-1)*100),"NA",IF(((CQ293/CI293-1)*100)&gt;100,"NM",IF(((CQ293/CI293-1)*100)&lt;-50,"NM",(CQ293/CI293-1)*100)))</f>
        <v>NA</v>
      </c>
      <c r="CS293" s="137">
        <f>+CS287/CS280*100</f>
        <v>67.353244078269825</v>
      </c>
      <c r="CT293" s="98">
        <f>IF(ISERROR((CS293/CK293-1)*100),"NA",IF(((CS293/CK293-1)*100)&gt;100,"NM",IF(((CS293/CK293-1)*100)&lt;-50,"NM",(CS293/CK293-1)*100)))</f>
        <v>8.767860178176857</v>
      </c>
      <c r="CU293" s="137">
        <f>+CU287/CU280*100</f>
        <v>66.699362432564982</v>
      </c>
      <c r="CV293" s="98">
        <f>IF(ISERROR((CU293/CM293-1)*100),"NA",IF(((CU293/CM293-1)*100)&gt;100,"NM",IF(((CU293/CM293-1)*100)&lt;-50,"NM",(CU293/CM293-1)*100)))</f>
        <v>0.38309721695715115</v>
      </c>
      <c r="CW293" s="137">
        <f>+CW287/CW280*100</f>
        <v>69.525193798449607</v>
      </c>
      <c r="CX293" s="98">
        <f>IF(ISERROR((CW293/CO293-1)*100),"NA",IF(((CW293/CO293-1)*100)&gt;100,"NM",IF(((CW293/CO293-1)*100)&lt;-50,"NM",(CW293/CO293-1)*100)))</f>
        <v>2.9759945882696925</v>
      </c>
      <c r="CY293" s="137">
        <f>+CY287/CY280*100</f>
        <v>68.892045454545453</v>
      </c>
      <c r="CZ293" s="98">
        <f>IF(ISERROR((CY293/CQ293-1)*100),"NA",IF(((CY293/CQ293-1)*100)&gt;100,"NM",IF(((CY293/CQ293-1)*100)&lt;-50,"NM",(CY293/CQ293-1)*100)))</f>
        <v>2.2721912521440846</v>
      </c>
      <c r="DA293" s="137">
        <f>+DA287/DA280*100</f>
        <v>73.696571160169086</v>
      </c>
      <c r="DB293" s="98">
        <f>IF(ISERROR((DA293/CS293-1)*100),"NA",IF(((DA293/CS293-1)*100)&gt;100,"NM",IF(((DA293/CS293-1)*100)&lt;-50,"NM",(DA293/CS293-1)*100)))</f>
        <v>9.4179978540125155</v>
      </c>
      <c r="DC293" s="137">
        <f>+DC287/DC280*100</f>
        <v>70.820820820820813</v>
      </c>
      <c r="DD293" s="98">
        <f>IF(ISERROR((DC293/CU293-1)*100),"NA",IF(((DC293/CU293-1)*100)&gt;100,"NM",IF(((DC293/CU293-1)*100)&lt;-50,"NM",(DC293/CU293-1)*100)))</f>
        <v>6.1791570982747457</v>
      </c>
      <c r="DE293" s="137">
        <f>+DE287/DE280*100</f>
        <v>72.373737373737384</v>
      </c>
      <c r="DF293" s="98">
        <f>IF(ISERROR((DE293/CW293-1)*100),"NA",IF(((DE293/CW293-1)*100)&gt;100,"NM",IF(((DE293/CW293-1)*100)&lt;-50,"NM",(DE293/CW293-1)*100)))</f>
        <v>4.097138633724029</v>
      </c>
      <c r="DG293" s="137">
        <f>+DG287/DG280*100</f>
        <v>78.355879292403742</v>
      </c>
      <c r="DH293" s="98">
        <f>IF(ISERROR((DG293/CY293-1)*100),"NA",IF(((DG293/CY293-1)*100)&gt;100,"NM",IF(((DG293/CY293-1)*100)&lt;-50,"NM",(DG293/CY293-1)*100)))</f>
        <v>13.73719385948915</v>
      </c>
      <c r="DI293" s="137">
        <f>+DI287/DI280*100</f>
        <v>73.69805365597054</v>
      </c>
      <c r="DJ293" s="98">
        <f>IF(ISERROR((DI293/DA293-1)*100),"NA",IF(((DI293/DA293-1)*100)&gt;100,"NM",IF(((DI293/DA293-1)*100)&lt;-50,"NM",(DI293/DA293-1)*100)))</f>
        <v>2.0116211353116142E-3</v>
      </c>
      <c r="DK293" s="137">
        <f>+DK287/DK280*100</f>
        <v>73.915343915343911</v>
      </c>
      <c r="DL293" s="98">
        <f>IF(ISERROR((DK293/DC293-1)*100),"NA",IF(((DK293/DC293-1)*100)&gt;100,"NM",IF(((DK293/DC293-1)*100)&lt;-50,"NM",(DK293/DC293-1)*100)))</f>
        <v>4.369510348308947</v>
      </c>
      <c r="DM293" s="137">
        <f>+DM287/DM280*100</f>
        <v>74.490329325666494</v>
      </c>
      <c r="DN293" s="98">
        <f>IF(ISERROR((DM293/DE293-1)*100),"NA",IF(((DM293/DE293-1)*100)&gt;100,"NM",IF(((DM293/DE293-1)*100)&lt;-50,"NM",(DM293/DE293-1)*100)))</f>
        <v>2.924530401130232</v>
      </c>
      <c r="DO293" s="137">
        <f>+DO287/DO280*100</f>
        <v>79.164517792676634</v>
      </c>
      <c r="DP293" s="98">
        <f>IF(ISERROR((DO293/DG293-1)*100),"NA",IF(((DO293/DG293-1)*100)&gt;100,"NM",IF(((DO293/DG293-1)*100)&lt;-50,"NM",(DO293/DG293-1)*100)))</f>
        <v>1.0320074352752284</v>
      </c>
      <c r="DQ293" s="137">
        <f>+DQ287/DQ280*100</f>
        <v>74.945175438596493</v>
      </c>
      <c r="DR293" s="98">
        <f>IF(ISERROR((DQ293/DI293-1)*100),"NA",IF(((DQ293/DI293-1)*100)&gt;100,"NM",IF(((DQ293/DI293-1)*100)&lt;-50,"NM",(DQ293/DI293-1)*100)))</f>
        <v>1.6922045030492106</v>
      </c>
      <c r="DS293" s="137">
        <f>+DS287/DS280*100</f>
        <v>76.484018264840188</v>
      </c>
      <c r="DT293" s="98">
        <f>IF(ISERROR((DS293/DK293-1)*100),"NA",IF(((DS293/DK293-1)*100)&gt;100,"NM",IF(((DS293/DK293-1)*100)&lt;-50,"NM",(DS293/DK293-1)*100)))</f>
        <v>3.4751571371137935</v>
      </c>
      <c r="DU293" s="137">
        <f>+DU287/DU280*100</f>
        <v>76.008844665561085</v>
      </c>
      <c r="DV293" s="98">
        <f>IF(ISERROR((DU293/DM293-1)*100),"NA",IF(((DU293/DM293-1)*100)&gt;100,"NM",IF(((DU293/DM293-1)*100)&lt;-50,"NM",(DU293/DM293-1)*100)))</f>
        <v>2.0385402422584908</v>
      </c>
      <c r="DW293" s="137">
        <f>+DW287/DW280*100</f>
        <v>76.670506912442391</v>
      </c>
      <c r="DX293" s="98">
        <f>IF(ISERROR((DW293/DO293-1)*100),"NA",IF(((DW293/DO293-1)*100)&gt;100,"NM",IF(((DW293/DO293-1)*100)&lt;-50,"NM",(DW293/DO293-1)*100)))</f>
        <v>-3.1504150467584369</v>
      </c>
      <c r="DY293" s="137">
        <f>+DY287/DY280*100</f>
        <v>74.939024390243901</v>
      </c>
      <c r="DZ293" s="98">
        <f>IF(ISERROR((DY293/DQ293-1)*100),"NA",IF(((DY293/DQ293-1)*100)&gt;100,"NM",IF(((DY293/DQ293-1)*100)&lt;-50,"NM",(DY293/DQ293-1)*100)))</f>
        <v>-8.2073973629359642E-3</v>
      </c>
      <c r="EA293" s="137">
        <f>+EA287/EA280*100</f>
        <v>74.547647768395649</v>
      </c>
      <c r="EB293" s="98">
        <f>IF(ISERROR((EA293/DS293-1)*100),"NA",IF(((EA293/DS293-1)*100)&gt;100,"NM",IF(((EA293/DS293-1)*100)&lt;-50,"NM",(EA293/DS293-1)*100)))</f>
        <v>-2.5317321714707686</v>
      </c>
      <c r="EC293" s="137">
        <f>+EC287/EC280*100</f>
        <v>78.762641284949424</v>
      </c>
      <c r="ED293" s="98">
        <f>IF(ISERROR((EC293/DU293-1)*100),"NA",IF(((EC293/DU293-1)*100)&gt;100,"NM",IF(((EC293/DU293-1)*100)&lt;-50,"NM",(EC293/DU293-1)*100)))</f>
        <v>3.6229949705261832</v>
      </c>
      <c r="EE293" s="137">
        <f>+EE287/EE280*100</f>
        <v>74.807903402854009</v>
      </c>
      <c r="EF293" s="860">
        <f>IF(ISERROR((EE293/DW293-1)*100),"NA",IF(((EE293/DW293-1)*100)&gt;100,"NM",IF(((EE293/DW293-1)*100)&lt;-50,"NM",(EE293/DW293-1)*100)))</f>
        <v>-2.4293611514991986</v>
      </c>
      <c r="EG293" s="137">
        <f>+EG287/EG280*100</f>
        <v>72.831705916140152</v>
      </c>
      <c r="EH293" s="860">
        <f>IF(ISERROR((EG293/DY293-1)*100),"NA",IF(((EG293/DY293-1)*100)&gt;100,"NM",IF(((EG293/DY293-1)*100)&lt;-50,"NM",(EG293/DY293-1)*100)))</f>
        <v>-2.8120441802523599</v>
      </c>
      <c r="EI293" s="137">
        <f>+EI287/EI280*100</f>
        <v>76.99063231850117</v>
      </c>
      <c r="EJ293" s="860">
        <f t="shared" ref="EJ293" si="1561">IF(ISERROR((EI293/EA293-1)*100),"NA",IF(((EI293/EA293-1)*100)&gt;100,"NM",IF(((EI293/EA293-1)*100)&lt;-50,"NM",(EI293/EA293-1)*100)))</f>
        <v>3.2770779806431616</v>
      </c>
      <c r="EK293" s="137">
        <f>+EK287/EK280*100</f>
        <v>75.165762507534666</v>
      </c>
      <c r="EL293" s="860">
        <f t="shared" ref="EL293" si="1562">IF(ISERROR((EK293/EC293-1)*100),"NA",IF(((EK293/EC293-1)*100)&gt;100,"NM",IF(((EK293/EC293-1)*100)&lt;-50,"NM",(EK293/EC293-1)*100)))</f>
        <v>-4.5667320429261355</v>
      </c>
      <c r="EM293" s="137">
        <f>+EM287/EM280*100</f>
        <v>72.110849056603783</v>
      </c>
      <c r="EN293" s="860">
        <f t="shared" ref="EN293" si="1563">IF(ISERROR((EM293/EE293-1)*100),"NA",IF(((EM293/EE293-1)*100)&gt;100,"NM",IF(((EM293/EE293-1)*100)&lt;-50,"NM",(EM293/EE293-1)*100)))</f>
        <v>-3.6053066902919428</v>
      </c>
      <c r="EO293" s="137">
        <f>+EO287/EO280*100</f>
        <v>76.24113475177306</v>
      </c>
      <c r="EP293" s="98">
        <f t="shared" ref="EP293" si="1564">IF(ISERROR((EO293/EG293-1)*100),"NA",IF(((EO293/EG293-1)*100)&gt;100,"NM",IF(((EO293/EG293-1)*100)&lt;-50,"NM",(EO293/EG293-1)*100)))</f>
        <v>4.6812425889880771</v>
      </c>
      <c r="EQ293" s="1026">
        <v>76</v>
      </c>
      <c r="ER293" s="98">
        <f t="shared" ref="ER293" si="1565">IF(ISERROR((EQ293/EI293-1)*100),"NA",IF(((EQ293/EI293-1)*100)&gt;100,"NM",IF(((EQ293/EI293-1)*100)&lt;-50,"NM",(EQ293/EI293-1)*100)))</f>
        <v>-1.2866920152091232</v>
      </c>
      <c r="ES293" s="1026">
        <f>EQ293-0.25</f>
        <v>75.75</v>
      </c>
      <c r="ET293" s="98">
        <f t="shared" ref="ET293" si="1566">IF(ISERROR((ES293/EK293-1)*100),"NA",IF(((ES293/EK293-1)*100)&gt;100,"NM",IF(((ES293/EK293-1)*100)&lt;-50,"NM",(ES293/EK293-1)*100)))</f>
        <v>0.77726543704890183</v>
      </c>
      <c r="EU293" s="1026">
        <f>ES293-0.25</f>
        <v>75.5</v>
      </c>
      <c r="EV293" s="98">
        <f t="shared" ref="EV293" si="1567">IF(ISERROR((EU293/EM293-1)*100),"NA",IF(((EU293/EM293-1)*100)&gt;100,"NM",IF(((EU293/EM293-1)*100)&lt;-50,"NM",(EU293/EM293-1)*100)))</f>
        <v>4.6999182338511636</v>
      </c>
      <c r="EW293" s="1026">
        <f t="shared" ref="EW293" si="1568">EU293</f>
        <v>75.5</v>
      </c>
      <c r="EX293" s="98">
        <f t="shared" ref="EX293" si="1569">IF(ISERROR((EW293/EO293-1)*100),"NA",IF(((EW293/EO293-1)*100)&gt;100,"NM",IF(((EW293/EO293-1)*100)&lt;-50,"NM",(EW293/EO293-1)*100)))</f>
        <v>-0.97209302325582669</v>
      </c>
      <c r="EY293" s="291"/>
      <c r="EZ293" s="601"/>
      <c r="FA293" s="411"/>
      <c r="FB293" s="242"/>
      <c r="FC293" s="233"/>
      <c r="FD293" s="291"/>
      <c r="FE293" s="233"/>
      <c r="FF293" s="291"/>
      <c r="FG293" s="233"/>
      <c r="FH293" s="291"/>
      <c r="FI293" s="233"/>
      <c r="FJ293" s="291"/>
      <c r="FK293" s="233"/>
      <c r="FL293" s="291"/>
      <c r="FM293" s="233"/>
      <c r="FN293" s="291"/>
      <c r="FO293" s="233"/>
      <c r="FP293" s="291"/>
      <c r="FQ293" s="233"/>
      <c r="FR293" s="292"/>
      <c r="FS293" s="120"/>
      <c r="FT293" s="292"/>
      <c r="FU293" s="120"/>
      <c r="FV293" s="292"/>
      <c r="FW293" s="233"/>
      <c r="FX293" s="483"/>
      <c r="FY293" s="233"/>
      <c r="FZ293" s="130">
        <f>+FZ287/FZ280*100</f>
        <v>61.923847695390776</v>
      </c>
      <c r="GA293" s="98" t="str">
        <f>IF(ISERROR((FZ293/FX293-1)*100),"NA",IF(((FZ293/FX293-1)*100)&gt;100,"NM",IF(((FZ293/FX293-1)*100)&lt;-50,"NM",(FZ293/FX293-1)*100)))</f>
        <v>NA</v>
      </c>
      <c r="GB293" s="487">
        <f>+GB287/GB280*100</f>
        <v>67.897874546397091</v>
      </c>
      <c r="GC293" s="98">
        <f>IF(ISERROR((GB293/FZ293-1)*100),"NA",IF(((GB293/FZ293-1)*100)&gt;100,"NM",IF(((GB293/FZ293-1)*100)&lt;-50,"NM",(GB293/FZ293-1)*100)))</f>
        <v>9.6473766946671535</v>
      </c>
      <c r="GD293" s="130">
        <f>+GD287/GD280*100</f>
        <v>69.738734419942475</v>
      </c>
      <c r="GE293" s="98">
        <f>IF(ISERROR((GD293/GB293-1)*100),"NA",IF(((GD293/GB293-1)*100)&gt;100,"NM",IF(((GD293/GB293-1)*100)&lt;-50,"NM",(GD293/GB293-1)*100)))</f>
        <v>2.7112187028585977</v>
      </c>
      <c r="GF293" s="130">
        <f>+GF287/GF280*100</f>
        <v>73.772593257274707</v>
      </c>
      <c r="GG293" s="98">
        <f>IF(ISERROR((GF293/GD293-1)*100),"NA",IF(((GF293/GD293-1)*100)&gt;100,"NM",IF(((GF293/GD293-1)*100)&lt;-50,"NM",(GF293/GD293-1)*100)))</f>
        <v>5.7842443957209388</v>
      </c>
      <c r="GH293" s="130">
        <f>+GH287/GH280*100</f>
        <v>75.654242664551944</v>
      </c>
      <c r="GI293" s="98">
        <f>IF(ISERROR((GH293/GF293-1)*100),"NA",IF(((GH293/GF293-1)*100)&gt;100,"NM",IF(((GH293/GF293-1)*100)&lt;-50,"NM",(GH293/GF293-1)*100)))</f>
        <v>2.5506076500729336</v>
      </c>
      <c r="GJ293" s="130">
        <f>+GJ287/GJ280*100</f>
        <v>76.041516505694105</v>
      </c>
      <c r="GK293" s="98">
        <f>IF(ISERROR((GJ293/GH293-1)*100),"NA",IF(((GJ293/GH293-1)*100)&gt;100,"NM",IF(((GJ293/GH293-1)*100)&lt;-50,"NM",(GJ293/GH293-1)*100)))</f>
        <v>0.51189969987448514</v>
      </c>
      <c r="GL293" s="130">
        <f>+GL287/GL280*100</f>
        <v>75.210084033613441</v>
      </c>
      <c r="GM293" s="98">
        <f>IF(ISERROR((GL293/GJ293-1)*100),"NA",IF(((GL293/GJ293-1)*100)&gt;100,"NM",IF(((GL293/GJ293-1)*100)&lt;-50,"NM",(GL293/GJ293-1)*100)))</f>
        <v>-1.0933928073599164</v>
      </c>
      <c r="GN293" s="130">
        <f>+GN287/GN280*100</f>
        <v>75.129533678756474</v>
      </c>
      <c r="GO293" s="98">
        <f>IF(ISERROR((GN293/GL293-1)*100),"NA",IF(((GN293/GL293-1)*100)&gt;100,"NM",IF(((GN293/GL293-1)*100)&lt;-50,"NM",(GN293/GL293-1)*100)))</f>
        <v>-0.1071004718209978</v>
      </c>
      <c r="GP293" s="130">
        <f>+GP287/GP280*100</f>
        <v>75.684250257438549</v>
      </c>
      <c r="GQ293" s="98">
        <f>IF(ISERROR((GP293/GN293-1)*100),"NA",IF(((GP293/GN293-1)*100)&gt;100,"NM",IF(((GP293/GN293-1)*100)&lt;-50,"NM",(GP293/GN293-1)*100)))</f>
        <v>0.73834689438372347</v>
      </c>
      <c r="GR293" s="80">
        <f>GP293</f>
        <v>75.684250257438549</v>
      </c>
      <c r="GS293" s="98">
        <f>IF(ISERROR((GR293/GP293-1)*100),"NA",IF(((GR293/GP293-1)*100)&gt;100,"NM",IF(((GR293/GP293-1)*100)&lt;-50,"NM",(GR293/GP293-1)*100)))</f>
        <v>0</v>
      </c>
      <c r="GT293" s="80">
        <f>GR293</f>
        <v>75.684250257438549</v>
      </c>
      <c r="GU293" s="98">
        <f>IF(ISERROR((GT293/GR293-1)*100),"NA",IF(((GT293/GR293-1)*100)&gt;100,"NM",IF(((GT293/GR293-1)*100)&lt;-50,"NM",(GT293/GR293-1)*100)))</f>
        <v>0</v>
      </c>
      <c r="GV293" s="80">
        <f>GT293</f>
        <v>75.684250257438549</v>
      </c>
      <c r="GW293" s="98">
        <f>IF(ISERROR((GV293/GT293-1)*100),"NA",IF(((GV293/GT293-1)*100)&gt;100,"NM",IF(((GV293/GT293-1)*100)&lt;-50,"NM",(GV293/GT293-1)*100)))</f>
        <v>0</v>
      </c>
      <c r="GX293" s="80">
        <f>GV293+0.3</f>
        <v>75.984250257438546</v>
      </c>
      <c r="GY293" s="98">
        <f>IF(ISERROR((GX293/GV293-1)*100),"NA",IF(((GX293/GV293-1)*100)&gt;100,"NM",IF(((GX293/GV293-1)*100)&lt;-50,"NM",(GX293/GV293-1)*100)))</f>
        <v>0.39638365839596013</v>
      </c>
      <c r="GZ293" s="98">
        <f>IF(ISERROR(((GX293/GN293)^0.2-1)*100),"NA",IF((((GX293/GN293)^0.2-1)*100)&gt;100,"NM",IF((((GX293/GN293)^0.2-1)*100)&lt;-50,"NM",((GX293/GN293)^0.2-1)*100)))</f>
        <v>0.22650304850362346</v>
      </c>
      <c r="HA293" s="98"/>
      <c r="HB293" s="10"/>
      <c r="HC293"/>
      <c r="HD293"/>
      <c r="HE293"/>
      <c r="HF293"/>
      <c r="HG293"/>
      <c r="HH293"/>
      <c r="HI293" s="10"/>
    </row>
    <row r="294" spans="2:217" s="143" customFormat="1" ht="12.75" hidden="1" customHeight="1" outlineLevel="1" x14ac:dyDescent="0.2">
      <c r="B294" s="140" t="s">
        <v>169</v>
      </c>
      <c r="C294" s="297"/>
      <c r="D294" s="104"/>
      <c r="E294" s="297"/>
      <c r="F294" s="104"/>
      <c r="G294" s="297"/>
      <c r="H294" s="104"/>
      <c r="I294" s="297"/>
      <c r="J294" s="298"/>
      <c r="K294" s="297"/>
      <c r="L294" s="298"/>
      <c r="M294" s="297"/>
      <c r="N294" s="298"/>
      <c r="O294" s="297"/>
      <c r="P294" s="298"/>
      <c r="Q294" s="297"/>
      <c r="R294" s="298"/>
      <c r="S294" s="297"/>
      <c r="T294" s="298"/>
      <c r="U294" s="297"/>
      <c r="V294" s="298"/>
      <c r="W294" s="297"/>
      <c r="X294" s="298"/>
      <c r="Y294" s="297"/>
      <c r="Z294" s="298"/>
      <c r="AA294" s="297"/>
      <c r="AB294" s="298"/>
      <c r="AC294" s="297"/>
      <c r="AD294" s="298"/>
      <c r="AE294" s="297"/>
      <c r="AF294" s="298"/>
      <c r="AG294" s="103"/>
      <c r="AH294" s="298"/>
      <c r="AI294" s="103"/>
      <c r="AJ294" s="298"/>
      <c r="AK294" s="103"/>
      <c r="AL294" s="298"/>
      <c r="AM294" s="103"/>
      <c r="AN294" s="298"/>
      <c r="AO294" s="103"/>
      <c r="AP294" s="298"/>
      <c r="AQ294" s="103"/>
      <c r="AR294" s="298"/>
      <c r="AS294" s="103"/>
      <c r="AT294" s="298"/>
      <c r="AU294" s="103"/>
      <c r="AV294" s="298"/>
      <c r="AW294" s="103"/>
      <c r="AX294" s="298"/>
      <c r="AY294" s="105"/>
      <c r="AZ294" s="298"/>
      <c r="BA294" s="105"/>
      <c r="BB294" s="298"/>
      <c r="BC294" s="105"/>
      <c r="BD294" s="298"/>
      <c r="BE294" s="105"/>
      <c r="BF294" s="298"/>
      <c r="BG294" s="105"/>
      <c r="BH294" s="298"/>
      <c r="BI294" s="105"/>
      <c r="BJ294" s="298"/>
      <c r="BK294" s="105"/>
      <c r="BL294" s="298"/>
      <c r="BM294" s="105"/>
      <c r="BN294" s="298"/>
      <c r="BO294" s="105"/>
      <c r="BP294" s="298"/>
      <c r="BQ294" s="105"/>
      <c r="BR294" s="298"/>
      <c r="BS294" s="105"/>
      <c r="BT294" s="298"/>
      <c r="BU294" s="105"/>
      <c r="BV294" s="298"/>
      <c r="BW294" s="105"/>
      <c r="BX294" s="298"/>
      <c r="BY294" s="105"/>
      <c r="BZ294" s="298"/>
      <c r="CA294" s="105"/>
      <c r="CB294" s="298"/>
      <c r="CC294" s="105"/>
      <c r="CD294" s="298"/>
      <c r="CE294" s="105"/>
      <c r="CF294" s="298"/>
      <c r="CG294" s="105"/>
      <c r="CH294" s="298"/>
      <c r="CI294" s="105"/>
      <c r="CJ294" s="298"/>
      <c r="CK294" s="105"/>
      <c r="CL294" s="109"/>
      <c r="CM294" s="105"/>
      <c r="CN294" s="109"/>
      <c r="CO294" s="105"/>
      <c r="CP294" s="109"/>
      <c r="CQ294" s="522"/>
      <c r="CR294" s="109"/>
      <c r="CS294" s="105"/>
      <c r="CT294" s="109"/>
      <c r="CU294" s="105"/>
      <c r="CV294" s="109"/>
      <c r="CW294" s="105"/>
      <c r="CX294" s="109"/>
      <c r="CY294" s="105"/>
      <c r="CZ294" s="109"/>
      <c r="DA294" s="105"/>
      <c r="DB294" s="109"/>
      <c r="DC294" s="105"/>
      <c r="DD294" s="109"/>
      <c r="DE294" s="105"/>
      <c r="DF294" s="109"/>
      <c r="DG294" s="105"/>
      <c r="DH294" s="109"/>
      <c r="DI294" s="105"/>
      <c r="DJ294" s="109"/>
      <c r="DK294" s="105"/>
      <c r="DL294" s="109"/>
      <c r="DM294" s="105"/>
      <c r="DN294" s="109"/>
      <c r="DO294" s="105"/>
      <c r="DP294" s="109"/>
      <c r="DQ294" s="105"/>
      <c r="DR294" s="109"/>
      <c r="DS294" s="105"/>
      <c r="DT294" s="109"/>
      <c r="DU294" s="105"/>
      <c r="DV294" s="109"/>
      <c r="DW294" s="105"/>
      <c r="DX294" s="109"/>
      <c r="DY294" s="105"/>
      <c r="DZ294" s="109"/>
      <c r="EA294" s="105"/>
      <c r="EB294" s="109"/>
      <c r="EC294" s="105"/>
      <c r="ED294" s="109"/>
      <c r="EE294" s="105"/>
      <c r="EF294" s="1027"/>
      <c r="EG294" s="105"/>
      <c r="EH294" s="1027"/>
      <c r="EI294" s="105"/>
      <c r="EJ294" s="1027"/>
      <c r="EK294" s="105"/>
      <c r="EL294" s="1027"/>
      <c r="EM294" s="105"/>
      <c r="EN294" s="1027"/>
      <c r="EO294" s="105"/>
      <c r="EP294" s="109"/>
      <c r="EQ294" s="1018">
        <f>IF($B$6=1,EQ293,IF($B$6=2,EQ293+#REF!,IF($B$6=3,EQ293+#REF!)))</f>
        <v>76</v>
      </c>
      <c r="ER294" s="109"/>
      <c r="ES294" s="1018">
        <f>IF($B$6=1,ES293,IF($B$6=2,ES293+#REF!,IF($B$6=3,ES293+#REF!)))</f>
        <v>75.75</v>
      </c>
      <c r="ET294" s="109"/>
      <c r="EU294" s="1018">
        <f>IF($B$6=1,EU293,IF($B$6=2,EU293+#REF!,IF($B$6=3,EU293+#REF!)))</f>
        <v>75.5</v>
      </c>
      <c r="EV294" s="109"/>
      <c r="EW294" s="1018">
        <f>IF($B$6=1,EW293,IF($B$6=2,EW293+#REF!,IF($B$6=3,EW293+#REF!)))</f>
        <v>75.5</v>
      </c>
      <c r="EX294" s="109"/>
      <c r="EY294" s="225"/>
      <c r="EZ294" s="603"/>
      <c r="FA294" s="412"/>
      <c r="FB294" s="299"/>
      <c r="FC294" s="298"/>
      <c r="FD294" s="225"/>
      <c r="FE294" s="298"/>
      <c r="FF294" s="225"/>
      <c r="FG294" s="298"/>
      <c r="FH294" s="225"/>
      <c r="FI294" s="298"/>
      <c r="FJ294" s="225"/>
      <c r="FK294" s="298"/>
      <c r="FL294" s="225"/>
      <c r="FM294" s="298"/>
      <c r="FN294" s="225"/>
      <c r="FO294" s="298"/>
      <c r="FP294" s="225"/>
      <c r="FQ294" s="298"/>
      <c r="FR294" s="225"/>
      <c r="FS294" s="109"/>
      <c r="FT294" s="225"/>
      <c r="FU294" s="109"/>
      <c r="FV294" s="225"/>
      <c r="FW294" s="298"/>
      <c r="FX294" s="522"/>
      <c r="FY294" s="298"/>
      <c r="FZ294" s="141"/>
      <c r="GA294" s="109"/>
      <c r="GB294" s="491"/>
      <c r="GC294" s="109"/>
      <c r="GD294" s="141"/>
      <c r="GE294" s="109"/>
      <c r="GF294" s="141"/>
      <c r="GG294" s="109"/>
      <c r="GH294" s="141"/>
      <c r="GI294" s="109"/>
      <c r="GJ294" s="141"/>
      <c r="GK294" s="109"/>
      <c r="GL294" s="141"/>
      <c r="GM294" s="109"/>
      <c r="GN294" s="141"/>
      <c r="GO294" s="109"/>
      <c r="GP294" s="141"/>
      <c r="GQ294" s="109"/>
      <c r="GR294" s="141">
        <f>IF($B$6=1,GR293,IF($B$6=2,GR293+#REF!,IF($B$6=3,GR293+#REF!)))</f>
        <v>75.684250257438549</v>
      </c>
      <c r="GS294" s="109"/>
      <c r="GT294" s="141">
        <f>IF($B$6=1,GT293,IF($B$6=2,GT293+#REF!,IF($B$6=3,GT293+#REF!)))</f>
        <v>75.684250257438549</v>
      </c>
      <c r="GU294" s="109"/>
      <c r="GV294" s="141">
        <f>IF($B$6=1,GV293,IF($B$6=2,GV293+#REF!,IF($B$6=3,GV293+#REF!)))</f>
        <v>75.684250257438549</v>
      </c>
      <c r="GW294" s="109"/>
      <c r="GX294" s="141">
        <f>IF($B$6=1,GX293,IF($B$6=2,GX293+#REF!,IF($B$6=3,GX293+#REF!)))</f>
        <v>75.984250257438546</v>
      </c>
      <c r="GY294" s="109"/>
      <c r="GZ294" s="104"/>
      <c r="HA294" s="104"/>
      <c r="HB294" s="111"/>
      <c r="HC294"/>
      <c r="HD294"/>
      <c r="HE294"/>
      <c r="HF294"/>
      <c r="HG294"/>
      <c r="HH294"/>
      <c r="HI294" s="111"/>
    </row>
    <row r="295" spans="2:217" s="2" customFormat="1" ht="12.75" customHeight="1" collapsed="1" x14ac:dyDescent="0.2">
      <c r="B295" s="91" t="s">
        <v>314</v>
      </c>
      <c r="C295" s="293"/>
      <c r="D295" s="98"/>
      <c r="E295" s="293"/>
      <c r="F295" s="98"/>
      <c r="G295" s="293"/>
      <c r="H295" s="98"/>
      <c r="I295" s="293"/>
      <c r="J295" s="233"/>
      <c r="K295" s="293"/>
      <c r="L295" s="233"/>
      <c r="M295" s="293"/>
      <c r="N295" s="233"/>
      <c r="O295" s="293"/>
      <c r="P295" s="233"/>
      <c r="Q295" s="293"/>
      <c r="R295" s="233"/>
      <c r="S295" s="293"/>
      <c r="T295" s="233"/>
      <c r="U295" s="293"/>
      <c r="V295" s="233"/>
      <c r="W295" s="293"/>
      <c r="X295" s="233"/>
      <c r="Y295" s="293"/>
      <c r="Z295" s="233"/>
      <c r="AA295" s="293"/>
      <c r="AB295" s="233"/>
      <c r="AC295" s="293"/>
      <c r="AD295" s="233"/>
      <c r="AE295" s="293"/>
      <c r="AF295" s="233"/>
      <c r="AG295" s="124"/>
      <c r="AH295" s="233"/>
      <c r="AI295" s="124"/>
      <c r="AJ295" s="233"/>
      <c r="AK295" s="124"/>
      <c r="AL295" s="233"/>
      <c r="AM295" s="124"/>
      <c r="AN295" s="233"/>
      <c r="AO295" s="124"/>
      <c r="AP295" s="233"/>
      <c r="AQ295" s="124"/>
      <c r="AR295" s="233"/>
      <c r="AS295" s="124"/>
      <c r="AT295" s="233"/>
      <c r="AU295" s="124"/>
      <c r="AV295" s="233"/>
      <c r="AW295" s="124"/>
      <c r="AX295" s="233"/>
      <c r="AY295" s="137"/>
      <c r="AZ295" s="233"/>
      <c r="BA295" s="137"/>
      <c r="BB295" s="233"/>
      <c r="BC295" s="137"/>
      <c r="BD295" s="233"/>
      <c r="BE295" s="137"/>
      <c r="BF295" s="233"/>
      <c r="BG295" s="137"/>
      <c r="BH295" s="233"/>
      <c r="BI295" s="137"/>
      <c r="BJ295" s="233"/>
      <c r="BK295" s="137"/>
      <c r="BL295" s="233"/>
      <c r="BM295" s="137"/>
      <c r="BN295" s="233"/>
      <c r="BO295" s="137"/>
      <c r="BP295" s="233"/>
      <c r="BQ295" s="137"/>
      <c r="BR295" s="233"/>
      <c r="BS295" s="137"/>
      <c r="BT295" s="233"/>
      <c r="BU295" s="137"/>
      <c r="BV295" s="233"/>
      <c r="BW295" s="137"/>
      <c r="BX295" s="233"/>
      <c r="BY295" s="137"/>
      <c r="BZ295" s="233"/>
      <c r="CA295" s="137"/>
      <c r="CB295" s="233"/>
      <c r="CC295" s="137"/>
      <c r="CD295" s="233"/>
      <c r="CE295" s="137"/>
      <c r="CF295" s="233"/>
      <c r="CG295" s="137"/>
      <c r="CH295" s="233"/>
      <c r="CI295" s="137"/>
      <c r="CJ295" s="233"/>
      <c r="CK295" s="137">
        <f>+CK290/CK284*100</f>
        <v>34.560906515580733</v>
      </c>
      <c r="CL295" s="98" t="str">
        <f>IF(ISERROR((CK295/CC295-1)*100),"NA",IF(((CK295/CC295-1)*100)&gt;100,"NM",IF(((CK295/CC295-1)*100)&lt;-50,"NM",(CK295/CC295-1)*100)))</f>
        <v>NA</v>
      </c>
      <c r="CM295" s="137">
        <f>+CM290/CM284*100</f>
        <v>37.752380952380953</v>
      </c>
      <c r="CN295" s="98" t="str">
        <f>IF(ISERROR((CM295/CE295-1)*100),"NA",IF(((CM295/CE295-1)*100)&gt;100,"NM",IF(((CM295/CE295-1)*100)&lt;-50,"NM",(CM295/CE295-1)*100)))</f>
        <v>NA</v>
      </c>
      <c r="CO295" s="137">
        <f>+CO290/CO284*100</f>
        <v>38.146551724137936</v>
      </c>
      <c r="CP295" s="98" t="str">
        <f>IF(ISERROR((CO295/CG295-1)*100),"NA",IF(((CO295/CG295-1)*100)&gt;100,"NM",IF(((CO295/CG295-1)*100)&lt;-50,"NM",(CO295/CG295-1)*100)))</f>
        <v>NA</v>
      </c>
      <c r="CQ295" s="494">
        <f>+CQ290/CQ284*100</f>
        <v>40.773109243697483</v>
      </c>
      <c r="CR295" s="98" t="str">
        <f>IF(ISERROR((CQ295/CI295-1)*100),"NA",IF(((CQ295/CI295-1)*100)&gt;100,"NM",IF(((CQ295/CI295-1)*100)&lt;-50,"NM",(CQ295/CI295-1)*100)))</f>
        <v>NA</v>
      </c>
      <c r="CS295" s="137">
        <f>+CS290/CS284*100</f>
        <v>39.030179721939639</v>
      </c>
      <c r="CT295" s="98">
        <f>IF(ISERROR((CS295/CK295-1)*100),"NA",IF(((CS295/CK295-1)*100)&gt;100,"NM",IF(((CS295/CK295-1)*100)&lt;-50,"NM",(CS295/CK295-1)*100)))</f>
        <v>12.931585588890936</v>
      </c>
      <c r="CU295" s="137">
        <f>+CU290/CU284*100</f>
        <v>38.476436410587475</v>
      </c>
      <c r="CV295" s="98">
        <f>IF(ISERROR((CU295/CM295-1)*100),"NA",IF(((CU295/CM295-1)*100)&gt;100,"NM",IF(((CU295/CM295-1)*100)&lt;-50,"NM",(CU295/CM295-1)*100)))</f>
        <v>1.9179067384380577</v>
      </c>
      <c r="CW295" s="137">
        <f>+CW290/CW284*100</f>
        <v>36.463914276709737</v>
      </c>
      <c r="CX295" s="98">
        <f>IF(ISERROR((CW295/CO295-1)*100),"NA",IF(((CW295/CO295-1)*100)&gt;100,"NM",IF(((CW295/CO295-1)*100)&lt;-50,"NM",(CW295/CO295-1)*100)))</f>
        <v>-4.4109817830886078</v>
      </c>
      <c r="CY295" s="137">
        <f>+CY290/CY284*100</f>
        <v>37.535014005602243</v>
      </c>
      <c r="CZ295" s="98">
        <f>IF(ISERROR((CY295/CQ295-1)*100),"NA",IF(((CY295/CQ295-1)*100)&gt;100,"NM",IF(((CY295/CQ295-1)*100)&lt;-50,"NM",(CY295/CQ295-1)*100)))</f>
        <v>-7.9417422368782686</v>
      </c>
      <c r="DA295" s="137">
        <f>+DA290/DA284*100</f>
        <v>36.308068459657697</v>
      </c>
      <c r="DB295" s="98">
        <f>IF(ISERROR((DA295/CS295-1)*100),"NA",IF(((DA295/CS295-1)*100)&gt;100,"NM",IF(((DA295/CS295-1)*100)&lt;-50,"NM",(DA295/CS295-1)*100)))</f>
        <v>-6.9743754235181976</v>
      </c>
      <c r="DC295" s="137">
        <f>+DC290/DC284*100</f>
        <v>34.326953247568248</v>
      </c>
      <c r="DD295" s="98">
        <f>IF(ISERROR((DC295/CU295-1)*100),"NA",IF(((DC295/CU295-1)*100)&gt;100,"NM",IF(((DC295/CU295-1)*100)&lt;-50,"NM",(DC295/CU295-1)*100)))</f>
        <v>-10.784478891806682</v>
      </c>
      <c r="DE295" s="137">
        <f>+DE290/DE284*100</f>
        <v>33.21777497636306</v>
      </c>
      <c r="DF295" s="98">
        <f>IF(ISERROR((DE295/CW295-1)*100),"NA",IF(((DE295/CW295-1)*100)&gt;100,"NM",IF(((DE295/CW295-1)*100)&lt;-50,"NM",(DE295/CW295-1)*100)))</f>
        <v>-8.9023336214347548</v>
      </c>
      <c r="DG295" s="137">
        <f>+DG290/DG284*100</f>
        <v>33.788174139051328</v>
      </c>
      <c r="DH295" s="98">
        <f>IF(ISERROR((DG295/CY295-1)*100),"NA",IF(((DG295/CY295-1)*100)&gt;100,"NM",IF(((DG295/CY295-1)*100)&lt;-50,"NM",(DG295/CY295-1)*100)))</f>
        <v>-9.9822524802886328</v>
      </c>
      <c r="DI295" s="137">
        <f>+DI290/DI284*100</f>
        <v>36.351875808538168</v>
      </c>
      <c r="DJ295" s="98">
        <f>IF(ISERROR((DI295/DA295-1)*100),"NA",IF(((DI295/DA295-1)*100)&gt;100,"NM",IF(((DI295/DA295-1)*100)&lt;-50,"NM",(DI295/DA295-1)*100)))</f>
        <v>0.12065458378527349</v>
      </c>
      <c r="DK295" s="137">
        <f>+DK290/DK284*100</f>
        <v>32.967398536260809</v>
      </c>
      <c r="DL295" s="98">
        <f>IF(ISERROR((DK295/DC295-1)*100),"NA",IF(((DK295/DC295-1)*100)&gt;100,"NM",IF(((DK295/DC295-1)*100)&lt;-50,"NM",(DK295/DC295-1)*100)))</f>
        <v>-3.9606040812950716</v>
      </c>
      <c r="DM295" s="137">
        <f>+DM290/DM284*100</f>
        <v>31.91767396275727</v>
      </c>
      <c r="DN295" s="98">
        <f>IF(ISERROR((DM295/DE295-1)*100),"NA",IF(((DM295/DE295-1)*100)&gt;100,"NM",IF(((DM295/DE295-1)*100)&lt;-50,"NM",(DM295/DE295-1)*100)))</f>
        <v>-3.9138714574679101</v>
      </c>
      <c r="DO295" s="137">
        <f>+DO290/DO284*100</f>
        <v>32.184268254465685</v>
      </c>
      <c r="DP295" s="98">
        <f>IF(ISERROR((DO295/DG295-1)*100),"NA",IF(((DO295/DG295-1)*100)&gt;100,"NM",IF(((DO295/DG295-1)*100)&lt;-50,"NM",(DO295/DG295-1)*100)))</f>
        <v>-4.7469445314948118</v>
      </c>
      <c r="DQ295" s="137">
        <f>+DQ290/DQ284*100</f>
        <v>32.743067156698963</v>
      </c>
      <c r="DR295" s="98">
        <f>IF(ISERROR((DQ295/DI295-1)*100),"NA",IF(((DQ295/DI295-1)*100)&gt;100,"NM",IF(((DQ295/DI295-1)*100)&lt;-50,"NM",(DQ295/DI295-1)*100)))</f>
        <v>-9.9274344764117561</v>
      </c>
      <c r="DS295" s="137">
        <f>+DS290/DS284*100</f>
        <v>31.597343586158686</v>
      </c>
      <c r="DT295" s="98">
        <f>IF(ISERROR((DS295/DK295-1)*100),"NA",IF(((DS295/DK295-1)*100)&gt;100,"NM",IF(((DS295/DK295-1)*100)&lt;-50,"NM",(DS295/DK295-1)*100)))</f>
        <v>-4.1557872653955386</v>
      </c>
      <c r="DU295" s="137">
        <f>+DU290/DU284*100</f>
        <v>29.801097393689986</v>
      </c>
      <c r="DV295" s="98">
        <f>IF(ISERROR((DU295/DM295-1)*100),"NA",IF(((DU295/DM295-1)*100)&gt;100,"NM",IF(((DU295/DM295-1)*100)&lt;-50,"NM",(DU295/DM295-1)*100)))</f>
        <v>-6.6313622087154078</v>
      </c>
      <c r="DW295" s="137">
        <f>+DW290/DW284*100</f>
        <v>31.840796019900498</v>
      </c>
      <c r="DX295" s="98">
        <f>IF(ISERROR((DW295/DO295-1)*100),"NA",IF(((DW295/DO295-1)*100)&gt;100,"NM",IF(((DW295/DO295-1)*100)&lt;-50,"NM",(DW295/DO295-1)*100)))</f>
        <v>-1.0672053558885231</v>
      </c>
      <c r="DY295" s="137">
        <f>+DY290/DY284*100</f>
        <v>35.30734632683658</v>
      </c>
      <c r="DZ295" s="98">
        <f>IF(ISERROR((DY295/DQ295-1)*100),"NA",IF(((DY295/DQ295-1)*100)&gt;100,"NM",IF(((DY295/DQ295-1)*100)&lt;-50,"NM",(DY295/DQ295-1)*100)))</f>
        <v>7.8315179145121316</v>
      </c>
      <c r="EA295" s="137">
        <f>+EA290/EA284*100</f>
        <v>32.198259553537646</v>
      </c>
      <c r="EB295" s="98">
        <f>IF(ISERROR((EA295/DS295-1)*100),"NA",IF(((EA295/DS295-1)*100)&gt;100,"NM",IF(((EA295/DS295-1)*100)&lt;-50,"NM",(EA295/DS295-1)*100)))</f>
        <v>1.9017926799460128</v>
      </c>
      <c r="EC295" s="137">
        <f>+EC290/EC284*100</f>
        <v>31.948998178506375</v>
      </c>
      <c r="ED295" s="98">
        <f>IF(ISERROR((EC295/DU295-1)*100),"NA",IF(((EC295/DU295-1)*100)&gt;100,"NM",IF(((EC295/DU295-1)*100)&lt;-50,"NM",(EC295/DU295-1)*100)))</f>
        <v>7.2074553377728279</v>
      </c>
      <c r="EE295" s="137">
        <f>+EE290/EE284*100</f>
        <v>31.686541737649065</v>
      </c>
      <c r="EF295" s="860">
        <f>IF(ISERROR((EE295/DW295-1)*100),"NA",IF(((EE295/DW295-1)*100)&gt;100,"NM",IF(((EE295/DW295-1)*100)&lt;-50,"NM",(EE295/DW295-1)*100)))</f>
        <v>-0.48445485519590381</v>
      </c>
      <c r="EG295" s="137">
        <f>+EG290/EG284*100</f>
        <v>32.745236414961184</v>
      </c>
      <c r="EH295" s="860">
        <f>IF(ISERROR((EG295/DY295-1)*100),"NA",IF(((EG295/DY295-1)*100)&gt;100,"NM",IF(((EG295/DY295-1)*100)&lt;-50,"NM",(EG295/DY295-1)*100)))</f>
        <v>-7.2565915550780851</v>
      </c>
      <c r="EI295" s="137">
        <f>+EI290/EI284*100</f>
        <v>31.4070351758794</v>
      </c>
      <c r="EJ295" s="860">
        <f t="shared" ref="EJ295" si="1570">IF(ISERROR((EI295/EA295-1)*100),"NA",IF(((EI295/EA295-1)*100)&gt;100,"NM",IF(((EI295/EA295-1)*100)&lt;-50,"NM",(EI295/EA295-1)*100)))</f>
        <v>-2.457351386781137</v>
      </c>
      <c r="EK295" s="137">
        <f>+EK290/EK284*100</f>
        <v>32.263878875270372</v>
      </c>
      <c r="EL295" s="860">
        <f t="shared" ref="EL295" si="1571">IF(ISERROR((EK295/EC295-1)*100),"NA",IF(((EK295/EC295-1)*100)&gt;100,"NM",IF(((EK295/EC295-1)*100)&lt;-50,"NM",(EK295/EC295-1)*100)))</f>
        <v>0.9855729904414634</v>
      </c>
      <c r="EM295" s="137">
        <f>+EM290/EM284*100</f>
        <v>30.919029723266146</v>
      </c>
      <c r="EN295" s="860">
        <f t="shared" ref="EN295" si="1572">IF(ISERROR((EM295/EE295-1)*100),"NA",IF(((EM295/EE295-1)*100)&gt;100,"NM",IF(((EM295/EE295-1)*100)&lt;-50,"NM",(EM295/EE295-1)*100)))</f>
        <v>-2.4222018948536261</v>
      </c>
      <c r="EO295" s="137">
        <f>+EO290/EO284*100</f>
        <v>32.569444444444443</v>
      </c>
      <c r="EP295" s="98">
        <f t="shared" ref="EP295" si="1573">IF(ISERROR((EO295/EG295-1)*100),"NA",IF(((EO295/EG295-1)*100)&gt;100,"NM",IF(((EO295/EG295-1)*100)&lt;-50,"NM",(EO295/EG295-1)*100)))</f>
        <v>-0.53684746168581876</v>
      </c>
      <c r="EQ295" s="1026">
        <v>31.8</v>
      </c>
      <c r="ER295" s="98">
        <f t="shared" ref="ER295" si="1574">IF(ISERROR((EQ295/EI295-1)*100),"NA",IF(((EQ295/EI295-1)*100)&gt;100,"NM",IF(((EQ295/EI295-1)*100)&lt;-50,"NM",(EQ295/EI295-1)*100)))</f>
        <v>1.2511999999999857</v>
      </c>
      <c r="ES295" s="1026">
        <f t="shared" ref="ES295" si="1575">EQ295</f>
        <v>31.8</v>
      </c>
      <c r="ET295" s="98">
        <f t="shared" ref="ET295" si="1576">IF(ISERROR((ES295/EK295-1)*100),"NA",IF(((ES295/EK295-1)*100)&gt;100,"NM",IF(((ES295/EK295-1)*100)&lt;-50,"NM",(ES295/EK295-1)*100)))</f>
        <v>-1.437765363128507</v>
      </c>
      <c r="EU295" s="1026">
        <f t="shared" ref="EU295" si="1577">ES295</f>
        <v>31.8</v>
      </c>
      <c r="EV295" s="98">
        <f t="shared" ref="EV295" si="1578">IF(ISERROR((EU295/EM295-1)*100),"NA",IF(((EU295/EM295-1)*100)&gt;100,"NM",IF(((EU295/EM295-1)*100)&lt;-50,"NM",(EU295/EM295-1)*100)))</f>
        <v>2.8492817679558025</v>
      </c>
      <c r="EW295" s="1026">
        <f t="shared" ref="EW295" si="1579">EU295</f>
        <v>31.8</v>
      </c>
      <c r="EX295" s="98">
        <f t="shared" ref="EX295" si="1580">IF(ISERROR((EW295/EO295-1)*100),"NA",IF(((EW295/EO295-1)*100)&gt;100,"NM",IF(((EW295/EO295-1)*100)&lt;-50,"NM",(EW295/EO295-1)*100)))</f>
        <v>-2.3624733475479665</v>
      </c>
      <c r="EY295" s="300"/>
      <c r="EZ295" s="601"/>
      <c r="FA295" s="411"/>
      <c r="FB295" s="242"/>
      <c r="FC295" s="233"/>
      <c r="FD295" s="291"/>
      <c r="FE295" s="233"/>
      <c r="FF295" s="291"/>
      <c r="FG295" s="233"/>
      <c r="FH295" s="291"/>
      <c r="FI295" s="233"/>
      <c r="FJ295" s="291"/>
      <c r="FK295" s="233"/>
      <c r="FL295" s="291"/>
      <c r="FM295" s="233"/>
      <c r="FN295" s="291"/>
      <c r="FO295" s="233"/>
      <c r="FP295" s="291"/>
      <c r="FQ295" s="233"/>
      <c r="FR295" s="292"/>
      <c r="FS295" s="120"/>
      <c r="FT295" s="292"/>
      <c r="FU295" s="120"/>
      <c r="FV295" s="292"/>
      <c r="FW295" s="233"/>
      <c r="FX295" s="483"/>
      <c r="FY295" s="233"/>
      <c r="FZ295" s="130">
        <f>+FZ290/FZ284*100</f>
        <v>34.560906515580733</v>
      </c>
      <c r="GA295" s="98" t="str">
        <f>IF(ISERROR((FZ295/FX295-1)*100),"NA",IF(((FZ295/FX295-1)*100)&gt;100,"NM",IF(((FZ295/FX295-1)*100)&lt;-50,"NM",(FZ295/FX295-1)*100)))</f>
        <v>NA</v>
      </c>
      <c r="GB295" s="487">
        <f>+GB290/GB284*100</f>
        <v>39.083837510803804</v>
      </c>
      <c r="GC295" s="98">
        <f>IF(ISERROR((GB295/FZ295-1)*100),"NA",IF(((GB295/FZ295-1)*100)&gt;100,"NM",IF(((GB295/FZ295-1)*100)&lt;-50,"NM",(GB295/FZ295-1)*100)))</f>
        <v>13.086841322243803</v>
      </c>
      <c r="GD295" s="130">
        <f>+GD290/GD284*100</f>
        <v>37.18250235183443</v>
      </c>
      <c r="GE295" s="98">
        <f>IF(ISERROR((GD295/GB295-1)*100),"NA",IF(((GD295/GB295-1)*100)&gt;100,"NM",IF(((GD295/GB295-1)*100)&lt;-50,"NM",(GD295/GB295-1)*100)))</f>
        <v>-4.8647606787429627</v>
      </c>
      <c r="GF295" s="130">
        <f>+GF290/GF284*100</f>
        <v>34.41340782122905</v>
      </c>
      <c r="GG295" s="98">
        <f>IF(ISERROR((GF295/GD295-1)*100),"NA",IF(((GF295/GD295-1)*100)&gt;100,"NM",IF(((GF295/GD295-1)*100)&lt;-50,"NM",(GF295/GD295-1)*100)))</f>
        <v>-7.4473054675104784</v>
      </c>
      <c r="GH295" s="130">
        <f>+GH290/GH284*100</f>
        <v>32.446330911762303</v>
      </c>
      <c r="GI295" s="98">
        <f>IF(ISERROR((GH295/GF295-1)*100),"NA",IF(((GH295/GF295-1)*100)&gt;100,"NM",IF(((GH295/GF295-1)*100)&lt;-50,"NM",(GH295/GF295-1)*100)))</f>
        <v>-5.7160189414699358</v>
      </c>
      <c r="GJ295" s="130">
        <f>+GJ290/GJ284*100</f>
        <v>32.072120081712406</v>
      </c>
      <c r="GK295" s="98">
        <f>IF(ISERROR((GJ295/GH295-1)*100),"NA",IF(((GJ295/GH295-1)*100)&gt;100,"NM",IF(((GJ295/GH295-1)*100)&lt;-50,"NM",(GJ295/GH295-1)*100)))</f>
        <v>-1.1533224852682489</v>
      </c>
      <c r="GL295" s="130">
        <f>+GL290/GL284*100</f>
        <v>32.141256610199875</v>
      </c>
      <c r="GM295" s="98">
        <f>IF(ISERROR((GL295/GJ295-1)*100),"NA",IF(((GL295/GJ295-1)*100)&gt;100,"NM",IF(((GL295/GJ295-1)*100)&lt;-50,"NM",(GL295/GJ295-1)*100)))</f>
        <v>0.21556581950716858</v>
      </c>
      <c r="GN295" s="130">
        <f>+GN290/GN284*100</f>
        <v>31.784991642473827</v>
      </c>
      <c r="GO295" s="98">
        <f>IF(ISERROR((GN295/GL295-1)*100),"NA",IF(((GN295/GL295-1)*100)&gt;100,"NM",IF(((GN295/GL295-1)*100)&lt;-50,"NM",(GN295/GL295-1)*100)))</f>
        <v>-1.1084350933964093</v>
      </c>
      <c r="GP295" s="130">
        <f>+GP290/GP284*100</f>
        <v>31.8</v>
      </c>
      <c r="GQ295" s="98">
        <f>IF(ISERROR((GP295/GN295-1)*100),"NA",IF(((GP295/GN295-1)*100)&gt;100,"NM",IF(((GP295/GN295-1)*100)&lt;-50,"NM",(GP295/GN295-1)*100)))</f>
        <v>4.7218378079172396E-2</v>
      </c>
      <c r="GR295" s="80">
        <v>31.54</v>
      </c>
      <c r="GS295" s="98">
        <f>IF(ISERROR((GR295/GP295-1)*100),"NA",IF(((GR295/GP295-1)*100)&gt;100,"NM",IF(((GR295/GP295-1)*100)&lt;-50,"NM",(GR295/GP295-1)*100)))</f>
        <v>-0.81761006289308158</v>
      </c>
      <c r="GT295" s="80">
        <f>GR295</f>
        <v>31.54</v>
      </c>
      <c r="GU295" s="98">
        <f>IF(ISERROR((GT295/GR295-1)*100),"NA",IF(((GT295/GR295-1)*100)&gt;100,"NM",IF(((GT295/GR295-1)*100)&lt;-50,"NM",(GT295/GR295-1)*100)))</f>
        <v>0</v>
      </c>
      <c r="GV295" s="80">
        <f>GT295-0.1</f>
        <v>31.439999999999998</v>
      </c>
      <c r="GW295" s="98">
        <f>IF(ISERROR((GV295/GT295-1)*100),"NA",IF(((GV295/GT295-1)*100)&gt;100,"NM",IF(((GV295/GT295-1)*100)&lt;-50,"NM",(GV295/GT295-1)*100)))</f>
        <v>-0.31705770450222159</v>
      </c>
      <c r="GX295" s="80">
        <f>GV295-0.1</f>
        <v>31.339999999999996</v>
      </c>
      <c r="GY295" s="98">
        <f>IF(ISERROR((GX295/GV295-1)*100),"NA",IF(((GX295/GV295-1)*100)&gt;100,"NM",IF(((GX295/GV295-1)*100)&lt;-50,"NM",(GX295/GV295-1)*100)))</f>
        <v>-0.31806615776082126</v>
      </c>
      <c r="GZ295" s="98">
        <f>IF(ISERROR(((GX295/GN295)^0.2-1)*100),"NA",IF((((GX295/GN295)^0.2-1)*100)&gt;100,"NM",IF((((GX295/GN295)^0.2-1)*100)&lt;-50,"NM",((GX295/GN295)^0.2-1)*100)))</f>
        <v>-0.28158242133791145</v>
      </c>
      <c r="HA295" s="98"/>
      <c r="HB295" s="10"/>
      <c r="HC295"/>
      <c r="HD295"/>
      <c r="HE295"/>
      <c r="HF295"/>
      <c r="HG295"/>
      <c r="HH295"/>
      <c r="HI295" s="10"/>
    </row>
    <row r="296" spans="2:217" s="143" customFormat="1" ht="12.75" hidden="1" customHeight="1" outlineLevel="1" x14ac:dyDescent="0.2">
      <c r="B296" s="140" t="s">
        <v>203</v>
      </c>
      <c r="C296" s="297"/>
      <c r="D296" s="104"/>
      <c r="E296" s="297"/>
      <c r="F296" s="104"/>
      <c r="G296" s="297"/>
      <c r="H296" s="104"/>
      <c r="I296" s="297"/>
      <c r="J296" s="298"/>
      <c r="K296" s="297"/>
      <c r="L296" s="298"/>
      <c r="M296" s="297"/>
      <c r="N296" s="298"/>
      <c r="O296" s="297"/>
      <c r="P296" s="298"/>
      <c r="Q296" s="297"/>
      <c r="R296" s="298"/>
      <c r="S296" s="297"/>
      <c r="T296" s="298"/>
      <c r="U296" s="297"/>
      <c r="V296" s="298"/>
      <c r="W296" s="297"/>
      <c r="X296" s="298"/>
      <c r="Y296" s="297"/>
      <c r="Z296" s="298"/>
      <c r="AA296" s="297"/>
      <c r="AB296" s="298"/>
      <c r="AC296" s="297"/>
      <c r="AD296" s="298"/>
      <c r="AE296" s="297"/>
      <c r="AF296" s="298"/>
      <c r="AG296" s="103"/>
      <c r="AH296" s="298"/>
      <c r="AI296" s="103"/>
      <c r="AJ296" s="298"/>
      <c r="AK296" s="103"/>
      <c r="AL296" s="298"/>
      <c r="AM296" s="103"/>
      <c r="AN296" s="298"/>
      <c r="AO296" s="103"/>
      <c r="AP296" s="298"/>
      <c r="AQ296" s="103"/>
      <c r="AR296" s="298"/>
      <c r="AS296" s="103"/>
      <c r="AT296" s="298"/>
      <c r="AU296" s="103"/>
      <c r="AV296" s="298"/>
      <c r="AW296" s="103"/>
      <c r="AX296" s="298"/>
      <c r="AY296" s="105"/>
      <c r="AZ296" s="298"/>
      <c r="BA296" s="105"/>
      <c r="BB296" s="298"/>
      <c r="BC296" s="105"/>
      <c r="BD296" s="298"/>
      <c r="BE296" s="105"/>
      <c r="BF296" s="298"/>
      <c r="BG296" s="105"/>
      <c r="BH296" s="298"/>
      <c r="BI296" s="105"/>
      <c r="BJ296" s="298"/>
      <c r="BK296" s="105"/>
      <c r="BL296" s="298"/>
      <c r="BM296" s="105"/>
      <c r="BN296" s="298"/>
      <c r="BO296" s="105"/>
      <c r="BP296" s="298"/>
      <c r="BQ296" s="105"/>
      <c r="BR296" s="298"/>
      <c r="BS296" s="105"/>
      <c r="BT296" s="298"/>
      <c r="BU296" s="105"/>
      <c r="BV296" s="298"/>
      <c r="BW296" s="105"/>
      <c r="BX296" s="298"/>
      <c r="BY296" s="105"/>
      <c r="BZ296" s="298"/>
      <c r="CA296" s="105"/>
      <c r="CB296" s="298"/>
      <c r="CC296" s="105"/>
      <c r="CD296" s="298"/>
      <c r="CE296" s="105"/>
      <c r="CF296" s="298"/>
      <c r="CG296" s="105"/>
      <c r="CH296" s="298"/>
      <c r="CI296" s="105"/>
      <c r="CJ296" s="298"/>
      <c r="CK296" s="227"/>
      <c r="CL296" s="109"/>
      <c r="CM296" s="227"/>
      <c r="CN296" s="109"/>
      <c r="CO296" s="227"/>
      <c r="CP296" s="109"/>
      <c r="CQ296" s="555"/>
      <c r="CR296" s="109"/>
      <c r="CS296" s="227"/>
      <c r="CT296" s="109"/>
      <c r="CU296" s="227"/>
      <c r="CV296" s="109"/>
      <c r="CW296" s="227"/>
      <c r="CX296" s="109"/>
      <c r="CY296" s="227"/>
      <c r="CZ296" s="109"/>
      <c r="DA296" s="227"/>
      <c r="DB296" s="109"/>
      <c r="DC296" s="227"/>
      <c r="DD296" s="109"/>
      <c r="DE296" s="227"/>
      <c r="DF296" s="109"/>
      <c r="DG296" s="227"/>
      <c r="DH296" s="109"/>
      <c r="DI296" s="227"/>
      <c r="DJ296" s="109"/>
      <c r="DK296" s="227"/>
      <c r="DL296" s="109"/>
      <c r="DM296" s="227"/>
      <c r="DN296" s="109"/>
      <c r="DO296" s="227"/>
      <c r="DP296" s="109"/>
      <c r="DQ296" s="227"/>
      <c r="DR296" s="109"/>
      <c r="DS296" s="227"/>
      <c r="DT296" s="109"/>
      <c r="DU296" s="227"/>
      <c r="DV296" s="109"/>
      <c r="DW296" s="227"/>
      <c r="DX296" s="109"/>
      <c r="DY296" s="227"/>
      <c r="DZ296" s="109"/>
      <c r="EA296" s="227"/>
      <c r="EB296" s="109"/>
      <c r="EC296" s="227"/>
      <c r="ED296" s="109"/>
      <c r="EE296" s="227"/>
      <c r="EF296" s="1027"/>
      <c r="EG296" s="227"/>
      <c r="EH296" s="1027"/>
      <c r="EI296" s="227"/>
      <c r="EJ296" s="1027"/>
      <c r="EK296" s="227"/>
      <c r="EL296" s="1027"/>
      <c r="EM296" s="227"/>
      <c r="EN296" s="1027"/>
      <c r="EO296" s="227"/>
      <c r="EP296" s="109"/>
      <c r="EQ296" s="1018">
        <f>IF($B$6=1,EQ295,IF($B$6=2,EQ295+#REF!,IF($B$6=3,EQ295+#REF!)))</f>
        <v>31.8</v>
      </c>
      <c r="ER296" s="109"/>
      <c r="ES296" s="1018">
        <f>IF($B$6=1,ES295,IF($B$6=2,ES295+#REF!,IF($B$6=3,ES295+#REF!)))</f>
        <v>31.8</v>
      </c>
      <c r="ET296" s="109"/>
      <c r="EU296" s="1018">
        <f>IF($B$6=1,EU295,IF($B$6=2,EU295+#REF!,IF($B$6=3,EU295+#REF!)))</f>
        <v>31.8</v>
      </c>
      <c r="EV296" s="109"/>
      <c r="EW296" s="1018">
        <f>IF($B$6=1,EW295,IF($B$6=2,EW295+#REF!,IF($B$6=3,EW295+#REF!)))</f>
        <v>31.8</v>
      </c>
      <c r="EX296" s="109"/>
      <c r="EY296" s="225"/>
      <c r="EZ296" s="603"/>
      <c r="FA296" s="412"/>
      <c r="FB296" s="299"/>
      <c r="FC296" s="298"/>
      <c r="FD296" s="225"/>
      <c r="FE296" s="298"/>
      <c r="FF296" s="225"/>
      <c r="FG296" s="298"/>
      <c r="FH296" s="225"/>
      <c r="FI296" s="298"/>
      <c r="FJ296" s="225"/>
      <c r="FK296" s="298"/>
      <c r="FL296" s="225"/>
      <c r="FM296" s="298"/>
      <c r="FN296" s="225"/>
      <c r="FO296" s="298"/>
      <c r="FP296" s="225"/>
      <c r="FQ296" s="298"/>
      <c r="FR296" s="225"/>
      <c r="FS296" s="109"/>
      <c r="FT296" s="225"/>
      <c r="FU296" s="109"/>
      <c r="FV296" s="225"/>
      <c r="FW296" s="298"/>
      <c r="FX296" s="522"/>
      <c r="FY296" s="298"/>
      <c r="FZ296" s="141"/>
      <c r="GA296" s="109"/>
      <c r="GB296" s="491"/>
      <c r="GC296" s="109"/>
      <c r="GD296" s="141"/>
      <c r="GE296" s="109"/>
      <c r="GF296" s="141"/>
      <c r="GG296" s="109"/>
      <c r="GH296" s="141"/>
      <c r="GI296" s="109"/>
      <c r="GJ296" s="141"/>
      <c r="GK296" s="109"/>
      <c r="GL296" s="141"/>
      <c r="GM296" s="109"/>
      <c r="GN296" s="141"/>
      <c r="GO296" s="109"/>
      <c r="GP296" s="141"/>
      <c r="GQ296" s="109"/>
      <c r="GR296" s="141">
        <f>IF($B$6=1,GR295,IF($B$6=2,GR295+#REF!,IF($B$6=3,GR295+#REF!)))</f>
        <v>31.54</v>
      </c>
      <c r="GS296" s="109"/>
      <c r="GT296" s="141">
        <f>IF($B$6=1,GT295,IF($B$6=2,GT295+#REF!,IF($B$6=3,GT295+#REF!)))</f>
        <v>31.54</v>
      </c>
      <c r="GU296" s="109"/>
      <c r="GV296" s="141">
        <f>IF($B$6=1,GV295,IF($B$6=2,GV295+#REF!,IF($B$6=3,GV295+#REF!)))</f>
        <v>31.439999999999998</v>
      </c>
      <c r="GW296" s="109"/>
      <c r="GX296" s="141">
        <f>IF($B$6=1,GX295,IF($B$6=2,GX295+#REF!,IF($B$6=3,GX295+#REF!)))</f>
        <v>31.339999999999996</v>
      </c>
      <c r="GY296" s="109"/>
      <c r="GZ296" s="298"/>
      <c r="HA296" s="298"/>
      <c r="HB296" s="111"/>
      <c r="HC296"/>
      <c r="HD296"/>
      <c r="HE296"/>
      <c r="HF296"/>
      <c r="HG296"/>
      <c r="HH296"/>
      <c r="HI296" s="111"/>
    </row>
    <row r="297" spans="2:217" s="2" customFormat="1" ht="12.75" customHeight="1" collapsed="1" x14ac:dyDescent="0.2">
      <c r="B297" s="179"/>
      <c r="C297" s="293"/>
      <c r="D297" s="98"/>
      <c r="E297" s="293"/>
      <c r="F297" s="98"/>
      <c r="G297" s="293"/>
      <c r="H297" s="98"/>
      <c r="I297" s="293"/>
      <c r="J297" s="233"/>
      <c r="K297" s="293"/>
      <c r="L297" s="233"/>
      <c r="M297" s="293"/>
      <c r="N297" s="233"/>
      <c r="O297" s="293"/>
      <c r="P297" s="233"/>
      <c r="Q297" s="293"/>
      <c r="R297" s="233"/>
      <c r="S297" s="293"/>
      <c r="T297" s="233"/>
      <c r="U297" s="293"/>
      <c r="V297" s="233"/>
      <c r="W297" s="293"/>
      <c r="X297" s="233"/>
      <c r="Y297" s="293"/>
      <c r="Z297" s="233"/>
      <c r="AA297" s="293"/>
      <c r="AB297" s="233"/>
      <c r="AC297" s="293"/>
      <c r="AD297" s="233"/>
      <c r="AE297" s="293"/>
      <c r="AF297" s="233"/>
      <c r="AG297" s="124"/>
      <c r="AH297" s="233"/>
      <c r="AI297" s="124"/>
      <c r="AJ297" s="233"/>
      <c r="AK297" s="124"/>
      <c r="AL297" s="233"/>
      <c r="AM297" s="124"/>
      <c r="AN297" s="233"/>
      <c r="AO297" s="124"/>
      <c r="AP297" s="233"/>
      <c r="AQ297" s="124"/>
      <c r="AR297" s="233"/>
      <c r="AS297" s="124"/>
      <c r="AT297" s="233"/>
      <c r="AU297" s="124"/>
      <c r="AV297" s="233"/>
      <c r="AW297" s="124"/>
      <c r="AX297" s="233"/>
      <c r="AY297" s="137"/>
      <c r="AZ297" s="233"/>
      <c r="BA297" s="137"/>
      <c r="BB297" s="233"/>
      <c r="BC297" s="137"/>
      <c r="BD297" s="233"/>
      <c r="BE297" s="137"/>
      <c r="BF297" s="233"/>
      <c r="BG297" s="137"/>
      <c r="BH297" s="233"/>
      <c r="BI297" s="137"/>
      <c r="BJ297" s="233"/>
      <c r="BK297" s="137"/>
      <c r="BL297" s="233"/>
      <c r="BM297" s="137"/>
      <c r="BN297" s="233"/>
      <c r="BO297" s="137"/>
      <c r="BP297" s="233"/>
      <c r="BQ297" s="137"/>
      <c r="BR297" s="233"/>
      <c r="BS297" s="137"/>
      <c r="BT297" s="233"/>
      <c r="BU297" s="137"/>
      <c r="BV297" s="233"/>
      <c r="BW297" s="137"/>
      <c r="BX297" s="233"/>
      <c r="BY297" s="137"/>
      <c r="BZ297" s="233"/>
      <c r="CA297" s="137"/>
      <c r="CB297" s="233"/>
      <c r="CC297" s="137"/>
      <c r="CD297" s="233"/>
      <c r="CE297" s="137"/>
      <c r="CF297" s="233"/>
      <c r="CG297" s="137"/>
      <c r="CH297" s="233"/>
      <c r="CI297" s="137"/>
      <c r="CJ297" s="233"/>
      <c r="CK297" s="94"/>
      <c r="CL297" s="113"/>
      <c r="CM297" s="94"/>
      <c r="CN297" s="113"/>
      <c r="CO297" s="94"/>
      <c r="CP297" s="113"/>
      <c r="CQ297" s="533"/>
      <c r="CR297" s="113"/>
      <c r="CS297" s="94"/>
      <c r="CT297" s="113"/>
      <c r="CU297" s="94"/>
      <c r="CV297" s="113"/>
      <c r="CW297" s="94"/>
      <c r="CX297" s="113"/>
      <c r="CY297" s="94"/>
      <c r="CZ297" s="113"/>
      <c r="DA297" s="94"/>
      <c r="DB297" s="113"/>
      <c r="DC297" s="94"/>
      <c r="DD297" s="113"/>
      <c r="DE297" s="94"/>
      <c r="DF297" s="113"/>
      <c r="DG297" s="94"/>
      <c r="DH297" s="113"/>
      <c r="DI297" s="94"/>
      <c r="DJ297" s="113"/>
      <c r="DK297" s="94"/>
      <c r="DL297" s="113"/>
      <c r="DM297" s="94"/>
      <c r="DN297" s="113"/>
      <c r="DO297" s="94"/>
      <c r="DP297" s="113"/>
      <c r="DQ297" s="94"/>
      <c r="DR297" s="113"/>
      <c r="DS297" s="94"/>
      <c r="DT297" s="113"/>
      <c r="DU297" s="94"/>
      <c r="DV297" s="113"/>
      <c r="DW297" s="94"/>
      <c r="DX297" s="113"/>
      <c r="DY297" s="94"/>
      <c r="DZ297" s="113"/>
      <c r="EA297" s="94"/>
      <c r="EB297" s="113"/>
      <c r="EC297" s="94"/>
      <c r="ED297" s="113"/>
      <c r="EE297" s="94"/>
      <c r="EF297" s="859"/>
      <c r="EG297" s="94"/>
      <c r="EH297" s="859"/>
      <c r="EI297" s="94"/>
      <c r="EJ297" s="859"/>
      <c r="EK297" s="94"/>
      <c r="EL297" s="859"/>
      <c r="EM297" s="94"/>
      <c r="EN297" s="859"/>
      <c r="EO297" s="94"/>
      <c r="EP297" s="113"/>
      <c r="EQ297" s="789"/>
      <c r="ER297" s="113"/>
      <c r="ES297" s="789"/>
      <c r="ET297" s="113"/>
      <c r="EU297" s="789"/>
      <c r="EV297" s="113"/>
      <c r="EW297" s="789"/>
      <c r="EX297" s="113"/>
      <c r="EY297" s="296"/>
      <c r="EZ297" s="601"/>
      <c r="FA297" s="411"/>
      <c r="FB297" s="242"/>
      <c r="FC297" s="233"/>
      <c r="FD297" s="291"/>
      <c r="FE297" s="233"/>
      <c r="FF297" s="291"/>
      <c r="FG297" s="233"/>
      <c r="FH297" s="291"/>
      <c r="FI297" s="233"/>
      <c r="FJ297" s="291"/>
      <c r="FK297" s="233"/>
      <c r="FL297" s="291"/>
      <c r="FM297" s="233"/>
      <c r="FN297" s="291"/>
      <c r="FO297" s="233"/>
      <c r="FP297" s="291"/>
      <c r="FQ297" s="233"/>
      <c r="FR297" s="292"/>
      <c r="FS297" s="120"/>
      <c r="FT297" s="292"/>
      <c r="FU297" s="120"/>
      <c r="FV297" s="292"/>
      <c r="FW297" s="233"/>
      <c r="FX297" s="483"/>
      <c r="FY297" s="233"/>
      <c r="FZ297" s="96"/>
      <c r="GA297" s="113"/>
      <c r="GB297" s="480"/>
      <c r="GC297" s="113"/>
      <c r="GD297" s="96"/>
      <c r="GE297" s="113"/>
      <c r="GF297" s="96"/>
      <c r="GG297" s="113"/>
      <c r="GH297" s="96"/>
      <c r="GI297" s="113"/>
      <c r="GJ297" s="96"/>
      <c r="GK297" s="113"/>
      <c r="GL297" s="96"/>
      <c r="GM297" s="113"/>
      <c r="GN297" s="96"/>
      <c r="GO297" s="113"/>
      <c r="GP297" s="96"/>
      <c r="GQ297" s="113"/>
      <c r="GR297" s="95"/>
      <c r="GS297" s="113"/>
      <c r="GT297" s="95"/>
      <c r="GU297" s="113"/>
      <c r="GV297" s="95"/>
      <c r="GW297" s="113"/>
      <c r="GX297" s="95"/>
      <c r="GY297" s="113"/>
      <c r="GZ297" s="233"/>
      <c r="HA297" s="233"/>
      <c r="HB297" s="10"/>
      <c r="HC297"/>
      <c r="HD297"/>
      <c r="HE297"/>
      <c r="HF297"/>
      <c r="HG297"/>
      <c r="HH297"/>
      <c r="HI297" s="10"/>
    </row>
    <row r="298" spans="2:217" s="2" customFormat="1" ht="12.75" customHeight="1" x14ac:dyDescent="0.2">
      <c r="B298" s="19" t="s">
        <v>477</v>
      </c>
      <c r="C298" s="293"/>
      <c r="D298" s="98"/>
      <c r="E298" s="293"/>
      <c r="F298" s="98"/>
      <c r="G298" s="293"/>
      <c r="H298" s="98"/>
      <c r="I298" s="293"/>
      <c r="J298" s="233"/>
      <c r="K298" s="293"/>
      <c r="L298" s="233"/>
      <c r="M298" s="293"/>
      <c r="N298" s="233"/>
      <c r="O298" s="293"/>
      <c r="P298" s="233"/>
      <c r="Q298" s="293"/>
      <c r="R298" s="233"/>
      <c r="S298" s="293"/>
      <c r="T298" s="233"/>
      <c r="U298" s="293"/>
      <c r="V298" s="233"/>
      <c r="W298" s="293"/>
      <c r="X298" s="233"/>
      <c r="Y298" s="293"/>
      <c r="Z298" s="233"/>
      <c r="AA298" s="293"/>
      <c r="AB298" s="233"/>
      <c r="AC298" s="293"/>
      <c r="AD298" s="233"/>
      <c r="AE298" s="293"/>
      <c r="AF298" s="233"/>
      <c r="AG298" s="124"/>
      <c r="AH298" s="233"/>
      <c r="AI298" s="124"/>
      <c r="AJ298" s="233"/>
      <c r="AK298" s="124"/>
      <c r="AL298" s="233"/>
      <c r="AM298" s="124"/>
      <c r="AN298" s="233"/>
      <c r="AO298" s="124"/>
      <c r="AP298" s="233"/>
      <c r="AQ298" s="124"/>
      <c r="AR298" s="233"/>
      <c r="AS298" s="124"/>
      <c r="AT298" s="233"/>
      <c r="AU298" s="124"/>
      <c r="AV298" s="233"/>
      <c r="AW298" s="124"/>
      <c r="AX298" s="233"/>
      <c r="AY298" s="137"/>
      <c r="AZ298" s="233"/>
      <c r="BA298" s="137"/>
      <c r="BB298" s="233"/>
      <c r="BC298" s="137"/>
      <c r="BD298" s="233"/>
      <c r="BE298" s="137"/>
      <c r="BF298" s="233"/>
      <c r="BG298" s="137"/>
      <c r="BH298" s="233"/>
      <c r="BI298" s="137"/>
      <c r="BJ298" s="233"/>
      <c r="BK298" s="137"/>
      <c r="BL298" s="233"/>
      <c r="BM298" s="137"/>
      <c r="BN298" s="233"/>
      <c r="BO298" s="137"/>
      <c r="BP298" s="233"/>
      <c r="BQ298" s="137"/>
      <c r="BR298" s="233"/>
      <c r="BS298" s="137"/>
      <c r="BT298" s="233"/>
      <c r="BU298" s="137"/>
      <c r="BV298" s="233"/>
      <c r="BW298" s="137"/>
      <c r="BX298" s="233"/>
      <c r="BY298" s="137"/>
      <c r="BZ298" s="233"/>
      <c r="CA298" s="137"/>
      <c r="CB298" s="233"/>
      <c r="CC298" s="137"/>
      <c r="CD298" s="233"/>
      <c r="CE298" s="137"/>
      <c r="CF298" s="233"/>
      <c r="CG298" s="137"/>
      <c r="CH298" s="233"/>
      <c r="CI298" s="137"/>
      <c r="CJ298" s="233"/>
      <c r="CK298" s="182">
        <f>+CK284-CK291</f>
        <v>146</v>
      </c>
      <c r="CL298" s="98" t="str">
        <f>IF(ISERROR((CK298/CC298-1)*100),"NA",IF(((CK298/CC298-1)*100)&gt;100,"NM",IF(((CK298/CC298-1)*100)&lt;-50,"NM",(CK298/CC298-1)*100)))</f>
        <v>NA</v>
      </c>
      <c r="CM298" s="182">
        <f>+CM284-CM291</f>
        <v>324</v>
      </c>
      <c r="CN298" s="98" t="str">
        <f>IF(ISERROR((CM298/CE298-1)*100),"NA",IF(((CM298/CE298-1)*100)&gt;100,"NM",IF(((CM298/CE298-1)*100)&lt;-50,"NM",(CM298/CE298-1)*100)))</f>
        <v>NA</v>
      </c>
      <c r="CO298" s="182">
        <f>+CO284-CO291</f>
        <v>259</v>
      </c>
      <c r="CP298" s="98" t="str">
        <f>IF(ISERROR((CO298/CG298-1)*100),"NA",IF(((CO298/CG298-1)*100)&gt;100,"NM",IF(((CO298/CG298-1)*100)&lt;-50,"NM",(CO298/CG298-1)*100)))</f>
        <v>NA</v>
      </c>
      <c r="CQ298" s="512">
        <f>+CQ284-CQ291</f>
        <v>329</v>
      </c>
      <c r="CR298" s="98" t="str">
        <f>IF(ISERROR((CQ298/CI298-1)*100),"NA",IF(((CQ298/CI298-1)*100)&gt;100,"NM",IF(((CQ298/CI298-1)*100)&lt;-50,"NM",(CQ298/CI298-1)*100)))</f>
        <v>NA</v>
      </c>
      <c r="CS298" s="182">
        <f>+CS284-CS291</f>
        <v>402</v>
      </c>
      <c r="CT298" s="98" t="str">
        <f>IF(ISERROR((CS298/CK298-1)*100),"NA",IF(((CS298/CK298-1)*100)&gt;100,"NM",IF(((CS298/CK298-1)*100)&lt;-50,"NM",(CS298/CK298-1)*100)))</f>
        <v>NM</v>
      </c>
      <c r="CU298" s="182">
        <f>+CU284-CU291</f>
        <v>462</v>
      </c>
      <c r="CV298" s="98">
        <f>IF(ISERROR((CU298/CM298-1)*100),"NA",IF(((CU298/CM298-1)*100)&gt;100,"NM",IF(((CU298/CM298-1)*100)&lt;-50,"NM",(CU298/CM298-1)*100)))</f>
        <v>42.592592592592581</v>
      </c>
      <c r="CW298" s="182">
        <f>+CW284-CW291</f>
        <v>419</v>
      </c>
      <c r="CX298" s="98">
        <f>IF(ISERROR((CW298/CO298-1)*100),"NA",IF(((CW298/CO298-1)*100)&gt;100,"NM",IF(((CW298/CO298-1)*100)&lt;-50,"NM",(CW298/CO298-1)*100)))</f>
        <v>61.776061776061788</v>
      </c>
      <c r="CY298" s="182">
        <f>+CY284-CY291</f>
        <v>395</v>
      </c>
      <c r="CZ298" s="98">
        <f>IF(ISERROR((CY298/CQ298-1)*100),"NA",IF(((CY298/CQ298-1)*100)&gt;100,"NM",IF(((CY298/CQ298-1)*100)&lt;-50,"NM",(CY298/CQ298-1)*100)))</f>
        <v>20.060790273556229</v>
      </c>
      <c r="DA298" s="182">
        <f>+DA284-DA291</f>
        <v>315</v>
      </c>
      <c r="DB298" s="98">
        <f>IF(ISERROR((DA298/CS298-1)*100),"NA",IF(((DA298/CS298-1)*100)&gt;100,"NM",IF(((DA298/CS298-1)*100)&lt;-50,"NM",(DA298/CS298-1)*100)))</f>
        <v>-21.641791044776117</v>
      </c>
      <c r="DC298" s="182">
        <f>+DC284-DC291</f>
        <v>494</v>
      </c>
      <c r="DD298" s="98">
        <f>IF(ISERROR((DC298/CU298-1)*100),"NA",IF(((DC298/CU298-1)*100)&gt;100,"NM",IF(((DC298/CU298-1)*100)&lt;-50,"NM",(DC298/CU298-1)*100)))</f>
        <v>6.9264069264069361</v>
      </c>
      <c r="DE298" s="182">
        <f>+DE284-DE291</f>
        <v>492</v>
      </c>
      <c r="DF298" s="98">
        <f>IF(ISERROR((DE298/CW298-1)*100),"NA",IF(((DE298/CW298-1)*100)&gt;100,"NM",IF(((DE298/CW298-1)*100)&lt;-50,"NM",(DE298/CW298-1)*100)))</f>
        <v>17.422434367541761</v>
      </c>
      <c r="DG298" s="182">
        <f>+DG284-DG291</f>
        <v>346</v>
      </c>
      <c r="DH298" s="98">
        <f>IF(ISERROR((DG298/CY298-1)*100),"NA",IF(((DG298/CY298-1)*100)&gt;100,"NM",IF(((DG298/CY298-1)*100)&lt;-50,"NM",(DG298/CY298-1)*100)))</f>
        <v>-12.405063291139239</v>
      </c>
      <c r="DI298" s="182">
        <f>+DI284-DI291</f>
        <v>469</v>
      </c>
      <c r="DJ298" s="98">
        <f>IF(ISERROR((DI298/DA298-1)*100),"NA",IF(((DI298/DA298-1)*100)&gt;100,"NM",IF(((DI298/DA298-1)*100)&lt;-50,"NM",(DI298/DA298-1)*100)))</f>
        <v>48.888888888888893</v>
      </c>
      <c r="DK298" s="182">
        <f>+DK284-DK291</f>
        <v>481</v>
      </c>
      <c r="DL298" s="98">
        <f>IF(ISERROR((DK298/DC298-1)*100),"NA",IF(((DK298/DC298-1)*100)&gt;100,"NM",IF(((DK298/DC298-1)*100)&lt;-50,"NM",(DK298/DC298-1)*100)))</f>
        <v>-2.6315789473684181</v>
      </c>
      <c r="DM298" s="182">
        <f>+DM284-DM291</f>
        <v>452</v>
      </c>
      <c r="DN298" s="98">
        <f>IF(ISERROR((DM298/DE298-1)*100),"NA",IF(((DM298/DE298-1)*100)&gt;100,"NM",IF(((DM298/DE298-1)*100)&lt;-50,"NM",(DM298/DE298-1)*100)))</f>
        <v>-8.1300813008130071</v>
      </c>
      <c r="DO298" s="182">
        <f>+DO284-DO291</f>
        <v>464</v>
      </c>
      <c r="DP298" s="98">
        <f>IF(ISERROR((DO298/DG298-1)*100),"NA",IF(((DO298/DG298-1)*100)&gt;100,"NM",IF(((DO298/DG298-1)*100)&lt;-50,"NM",(DO298/DG298-1)*100)))</f>
        <v>34.104046242774565</v>
      </c>
      <c r="DQ298" s="182">
        <f>+DQ284-DQ291</f>
        <v>492</v>
      </c>
      <c r="DR298" s="98">
        <f>IF(ISERROR((DQ298/DI298-1)*100),"NA",IF(((DQ298/DI298-1)*100)&gt;100,"NM",IF(((DQ298/DI298-1)*100)&lt;-50,"NM",(DQ298/DI298-1)*100)))</f>
        <v>4.9040511727078906</v>
      </c>
      <c r="DS298" s="182">
        <f>+DS284-DS291</f>
        <v>475</v>
      </c>
      <c r="DT298" s="98">
        <f>IF(ISERROR((DS298/DK298-1)*100),"NA",IF(((DS298/DK298-1)*100)&gt;100,"NM",IF(((DS298/DK298-1)*100)&lt;-50,"NM",(DS298/DK298-1)*100)))</f>
        <v>-1.2474012474012475</v>
      </c>
      <c r="DU298" s="182">
        <f>+DU284-DU291</f>
        <v>484</v>
      </c>
      <c r="DV298" s="98">
        <f>IF(ISERROR((DU298/DM298-1)*100),"NA",IF(((DU298/DM298-1)*100)&gt;100,"NM",IF(((DU298/DM298-1)*100)&lt;-50,"NM",(DU298/DM298-1)*100)))</f>
        <v>7.079646017699126</v>
      </c>
      <c r="DW298" s="182">
        <f>+DW284-DW291</f>
        <v>463</v>
      </c>
      <c r="DX298" s="98">
        <f>IF(ISERROR((DW298/DO298-1)*100),"NA",IF(((DW298/DO298-1)*100)&gt;100,"NM",IF(((DW298/DO298-1)*100)&lt;-50,"NM",(DW298/DO298-1)*100)))</f>
        <v>-0.21551724137931494</v>
      </c>
      <c r="DY298" s="182">
        <f>+DY284-DY291</f>
        <v>415</v>
      </c>
      <c r="DZ298" s="98">
        <f>IF(ISERROR((DY298/DQ298-1)*100),"NA",IF(((DY298/DQ298-1)*100)&gt;100,"NM",IF(((DY298/DQ298-1)*100)&lt;-50,"NM",(DY298/DQ298-1)*100)))</f>
        <v>-15.650406504065039</v>
      </c>
      <c r="EA298" s="182">
        <f>+EA284-EA291</f>
        <v>400</v>
      </c>
      <c r="EB298" s="98">
        <f>IF(ISERROR((EA298/DS298-1)*100),"NA",IF(((EA298/DS298-1)*100)&gt;100,"NM",IF(((EA298/DS298-1)*100)&lt;-50,"NM",(EA298/DS298-1)*100)))</f>
        <v>-15.789473684210531</v>
      </c>
      <c r="EC298" s="182">
        <f>+EC284-EC291</f>
        <v>399</v>
      </c>
      <c r="ED298" s="98">
        <f>IF(ISERROR((EC298/DU298-1)*100),"NA",IF(((EC298/DU298-1)*100)&gt;100,"NM",IF(((EC298/DU298-1)*100)&lt;-50,"NM",(EC298/DU298-1)*100)))</f>
        <v>-17.561983471074385</v>
      </c>
      <c r="EE298" s="182">
        <f>+EE284-EE291</f>
        <v>466</v>
      </c>
      <c r="EF298" s="860">
        <f>IF(ISERROR((EE298/DW298-1)*100),"NA",IF(((EE298/DW298-1)*100)&gt;100,"NM",IF(((EE298/DW298-1)*100)&lt;-50,"NM",(EE298/DW298-1)*100)))</f>
        <v>0.64794816414686096</v>
      </c>
      <c r="EG298" s="182">
        <f>+EG284-EG291</f>
        <v>469</v>
      </c>
      <c r="EH298" s="860">
        <f>IF(ISERROR((EG298/DY298-1)*100),"NA",IF(((EG298/DY298-1)*100)&gt;100,"NM",IF(((EG298/DY298-1)*100)&lt;-50,"NM",(EG298/DY298-1)*100)))</f>
        <v>13.012048192771086</v>
      </c>
      <c r="EI298" s="182">
        <f>+EI284-EI291</f>
        <v>441</v>
      </c>
      <c r="EJ298" s="860">
        <f t="shared" ref="EJ298:EJ301" si="1581">IF(ISERROR((EI298/EA298-1)*100),"NA",IF(((EI298/EA298-1)*100)&gt;100,"NM",IF(((EI298/EA298-1)*100)&lt;-50,"NM",(EI298/EA298-1)*100)))</f>
        <v>10.250000000000004</v>
      </c>
      <c r="EK298" s="182">
        <f>+EK284-EK291</f>
        <v>467</v>
      </c>
      <c r="EL298" s="860">
        <f t="shared" ref="EL298:EL301" si="1582">IF(ISERROR((EK298/EC298-1)*100),"NA",IF(((EK298/EC298-1)*100)&gt;100,"NM",IF(((EK298/EC298-1)*100)&lt;-50,"NM",(EK298/EC298-1)*100)))</f>
        <v>17.042606516290725</v>
      </c>
      <c r="EM298" s="182">
        <f>+EM284-EM291</f>
        <v>470</v>
      </c>
      <c r="EN298" s="860">
        <f t="shared" ref="EN298:EN301" si="1583">IF(ISERROR((EM298/EE298-1)*100),"NA",IF(((EM298/EE298-1)*100)&gt;100,"NM",IF(((EM298/EE298-1)*100)&lt;-50,"NM",(EM298/EE298-1)*100)))</f>
        <v>0.85836909871244149</v>
      </c>
      <c r="EO298" s="182">
        <f>+EO284-EO291</f>
        <v>471</v>
      </c>
      <c r="EP298" s="98">
        <f t="shared" ref="EP298:EP301" si="1584">IF(ISERROR((EO298/EG298-1)*100),"NA",IF(((EO298/EG298-1)*100)&gt;100,"NM",IF(((EO298/EG298-1)*100)&lt;-50,"NM",(EO298/EG298-1)*100)))</f>
        <v>0.42643923240939241</v>
      </c>
      <c r="EQ298" s="1021">
        <f t="shared" ref="EQ298" si="1585">+EQ284-EQ291</f>
        <v>490.02388000000019</v>
      </c>
      <c r="ER298" s="98">
        <f t="shared" ref="ER298:ER301" si="1586">IF(ISERROR((EQ298/EI298-1)*100),"NA",IF(((EQ298/EI298-1)*100)&gt;100,"NM",IF(((EQ298/EI298-1)*100)&lt;-50,"NM",(EQ298/EI298-1)*100)))</f>
        <v>11.116526077097543</v>
      </c>
      <c r="ES298" s="1021">
        <f t="shared" ref="ES298" si="1587">+ES284-ES291</f>
        <v>498.61219235000044</v>
      </c>
      <c r="ET298" s="98">
        <f t="shared" ref="ET298:ET301" si="1588">IF(ISERROR((ES298/EK298-1)*100),"NA",IF(((ES298/EK298-1)*100)&gt;100,"NM",IF(((ES298/EK298-1)*100)&lt;-50,"NM",(ES298/EK298-1)*100)))</f>
        <v>6.7692060706639134</v>
      </c>
      <c r="EU298" s="1021">
        <f t="shared" ref="EU298" si="1589">+EU284-EU291</f>
        <v>507.36349818550025</v>
      </c>
      <c r="EV298" s="98">
        <f t="shared" ref="EV298:EV301" si="1590">IF(ISERROR((EU298/EM298-1)*100),"NA",IF(((EU298/EM298-1)*100)&gt;100,"NM",IF(((EU298/EM298-1)*100)&lt;-50,"NM",(EU298/EM298-1)*100)))</f>
        <v>7.9496804650000419</v>
      </c>
      <c r="EW298" s="1021">
        <f t="shared" ref="EW298" si="1591">+EW284-EW291</f>
        <v>511.79134311652251</v>
      </c>
      <c r="EX298" s="98">
        <f t="shared" ref="EX298:EX301" si="1592">IF(ISERROR((EW298/EO298-1)*100),"NA",IF(((EW298/EO298-1)*100)&gt;100,"NM",IF(((EW298/EO298-1)*100)&lt;-50,"NM",(EW298/EO298-1)*100)))</f>
        <v>8.6605824026587008</v>
      </c>
      <c r="EY298" s="294"/>
      <c r="EZ298" s="601"/>
      <c r="FA298" s="411"/>
      <c r="FB298" s="242"/>
      <c r="FC298" s="233"/>
      <c r="FD298" s="291"/>
      <c r="FE298" s="233"/>
      <c r="FF298" s="291"/>
      <c r="FG298" s="233"/>
      <c r="FH298" s="291"/>
      <c r="FI298" s="233"/>
      <c r="FJ298" s="291"/>
      <c r="FK298" s="233"/>
      <c r="FL298" s="291"/>
      <c r="FM298" s="233"/>
      <c r="FN298" s="291"/>
      <c r="FO298" s="233"/>
      <c r="FP298" s="291"/>
      <c r="FQ298" s="233"/>
      <c r="FR298" s="292"/>
      <c r="FS298" s="120"/>
      <c r="FT298" s="292"/>
      <c r="FU298" s="120"/>
      <c r="FV298" s="292"/>
      <c r="FW298" s="233"/>
      <c r="FX298" s="483"/>
      <c r="FY298" s="233"/>
      <c r="FZ298" s="197">
        <f>+FZ284-FZ291</f>
        <v>146</v>
      </c>
      <c r="GA298" s="98" t="str">
        <f>IF(ISERROR((FZ298/FX298-1)*100),"NA",IF(((FZ298/FX298-1)*100)&gt;100,"NM",IF(((FZ298/FX298-1)*100)&lt;-50,"NM",(FZ298/FX298-1)*100)))</f>
        <v>NA</v>
      </c>
      <c r="GB298" s="502">
        <f>+GB284-GB291</f>
        <v>1321</v>
      </c>
      <c r="GC298" s="98" t="str">
        <f>IF(ISERROR((GB298/FZ298-1)*100),"NA",IF(((GB298/FZ298-1)*100)&gt;100,"NM",IF(((GB298/FZ298-1)*100)&lt;-50,"NM",(GB298/FZ298-1)*100)))</f>
        <v>NM</v>
      </c>
      <c r="GD298" s="197">
        <f>+GD284-GD291</f>
        <v>1591</v>
      </c>
      <c r="GE298" s="98">
        <f>IF(ISERROR((GD298/GB298-1)*100),"NA",IF(((GD298/GB298-1)*100)&gt;100,"NM",IF(((GD298/GB298-1)*100)&lt;-50,"NM",(GD298/GB298-1)*100)))</f>
        <v>20.43906131718396</v>
      </c>
      <c r="GF298" s="197">
        <f>+GF284-GF291</f>
        <v>1801</v>
      </c>
      <c r="GG298" s="98">
        <f>IF(ISERROR((GF298/GD298-1)*100),"NA",IF(((GF298/GD298-1)*100)&gt;100,"NM",IF(((GF298/GD298-1)*100)&lt;-50,"NM",(GF298/GD298-1)*100)))</f>
        <v>13.199245757385292</v>
      </c>
      <c r="GH298" s="197">
        <f>+GH284-GH291</f>
        <v>1889</v>
      </c>
      <c r="GI298" s="98">
        <f>IF(ISERROR((GH298/GF298-1)*100),"NA",IF(((GH298/GF298-1)*100)&gt;100,"NM",IF(((GH298/GF298-1)*100)&lt;-50,"NM",(GH298/GF298-1)*100)))</f>
        <v>4.8861743475846708</v>
      </c>
      <c r="GJ298" s="197">
        <f>+GJ284-GJ291</f>
        <v>1837</v>
      </c>
      <c r="GK298" s="98">
        <f>IF(ISERROR((GJ298/GH298-1)*100),"NA",IF(((GJ298/GH298-1)*100)&gt;100,"NM",IF(((GJ298/GH298-1)*100)&lt;-50,"NM",(GJ298/GH298-1)*100)))</f>
        <v>-2.7527792482795133</v>
      </c>
      <c r="GL298" s="197">
        <f>+GL284-GL291</f>
        <v>1734</v>
      </c>
      <c r="GM298" s="98">
        <f>IF(ISERROR((GL298/GJ298-1)*100),"NA",IF(((GL298/GJ298-1)*100)&gt;100,"NM",IF(((GL298/GJ298-1)*100)&lt;-50,"NM",(GL298/GJ298-1)*100)))</f>
        <v>-5.6069678824169795</v>
      </c>
      <c r="GN298" s="197">
        <f>+GN284-GN291</f>
        <v>1849</v>
      </c>
      <c r="GO298" s="98">
        <f>IF(ISERROR((GN298/GL298-1)*100),"NA",IF(((GN298/GL298-1)*100)&gt;100,"NM",IF(((GN298/GL298-1)*100)&lt;-50,"NM",(GN298/GL298-1)*100)))</f>
        <v>6.6320645905421083</v>
      </c>
      <c r="GP298" s="197">
        <f>+GP284-GP291</f>
        <v>2007.7909136520248</v>
      </c>
      <c r="GQ298" s="98">
        <f>IF(ISERROR((GP298/GN298-1)*100),"NA",IF(((GP298/GN298-1)*100)&gt;100,"NM",IF(((GP298/GN298-1)*100)&lt;-50,"NM",(GP298/GN298-1)*100)))</f>
        <v>8.5879347567347164</v>
      </c>
      <c r="GR298" s="182">
        <f>+GR284-GR291</f>
        <v>2140.1342339178555</v>
      </c>
      <c r="GS298" s="98">
        <f>IF(ISERROR((GR298/GP298-1)*100),"NA",IF(((GR298/GP298-1)*100)&gt;100,"NM",IF(((GR298/GP298-1)*100)&lt;-50,"NM",(GR298/GP298-1)*100)))</f>
        <v>6.5914891518812579</v>
      </c>
      <c r="GT298" s="182">
        <f>+GT284-GT291</f>
        <v>2247.1409456137517</v>
      </c>
      <c r="GU298" s="98">
        <f>IF(ISERROR((GT298/GR298-1)*100),"NA",IF(((GT298/GR298-1)*100)&gt;100,"NM",IF(((GT298/GR298-1)*100)&lt;-50,"NM",(GT298/GR298-1)*100)))</f>
        <v>5.0000000000001599</v>
      </c>
      <c r="GV298" s="182">
        <f>+GV284-GV291</f>
        <v>2373.0476223090609</v>
      </c>
      <c r="GW298" s="98">
        <f>IF(ISERROR((GV298/GT298-1)*100),"NA",IF(((GV298/GT298-1)*100)&gt;100,"NM",IF(((GV298/GT298-1)*100)&lt;-50,"NM",(GV298/GT298-1)*100)))</f>
        <v>5.6029719426843094</v>
      </c>
      <c r="GX298" s="182">
        <f>+GX284-GX291</f>
        <v>2480.308002224654</v>
      </c>
      <c r="GY298" s="98">
        <f>IF(ISERROR((GX298/GV298-1)*100),"NA",IF(((GX298/GV298-1)*100)&gt;100,"NM",IF(((GX298/GV298-1)*100)&lt;-50,"NM",(GX298/GV298-1)*100)))</f>
        <v>4.5199421582287957</v>
      </c>
      <c r="GZ298" s="98">
        <f t="shared" ref="GZ298:GZ305" si="1593">IF(ISERROR(((GX298/GN298)^0.2-1)*100),"NA",IF((((GX298/GN298)^0.2-1)*100)&gt;100,"NM",IF((((GX298/GN298)^0.2-1)*100)&lt;-50,"NM",((GX298/GN298)^0.2-1)*100)))</f>
        <v>6.0507491269679248</v>
      </c>
      <c r="HA298" s="98"/>
      <c r="HB298" s="10"/>
      <c r="HC298"/>
      <c r="HD298"/>
      <c r="HE298"/>
      <c r="HF298"/>
      <c r="HG298"/>
      <c r="HH298"/>
      <c r="HI298" s="10"/>
    </row>
    <row r="299" spans="2:217" s="2" customFormat="1" ht="12.75" customHeight="1" x14ac:dyDescent="0.2">
      <c r="B299" s="2" t="s">
        <v>478</v>
      </c>
      <c r="C299" s="293"/>
      <c r="D299" s="98"/>
      <c r="E299" s="293"/>
      <c r="F299" s="98"/>
      <c r="G299" s="293"/>
      <c r="H299" s="98"/>
      <c r="I299" s="293"/>
      <c r="J299" s="233"/>
      <c r="K299" s="293"/>
      <c r="L299" s="233"/>
      <c r="M299" s="293"/>
      <c r="N299" s="233"/>
      <c r="O299" s="293"/>
      <c r="P299" s="233"/>
      <c r="Q299" s="293"/>
      <c r="R299" s="233"/>
      <c r="S299" s="293"/>
      <c r="T299" s="233"/>
      <c r="U299" s="293"/>
      <c r="V299" s="233"/>
      <c r="W299" s="293"/>
      <c r="X299" s="233"/>
      <c r="Y299" s="293"/>
      <c r="Z299" s="233"/>
      <c r="AA299" s="293"/>
      <c r="AB299" s="233"/>
      <c r="AC299" s="293"/>
      <c r="AD299" s="233"/>
      <c r="AE299" s="293"/>
      <c r="AF299" s="233"/>
      <c r="AG299" s="124"/>
      <c r="AH299" s="233"/>
      <c r="AI299" s="124"/>
      <c r="AJ299" s="233"/>
      <c r="AK299" s="124"/>
      <c r="AL299" s="233"/>
      <c r="AM299" s="124"/>
      <c r="AN299" s="233"/>
      <c r="AO299" s="124"/>
      <c r="AP299" s="233"/>
      <c r="AQ299" s="124"/>
      <c r="AR299" s="233"/>
      <c r="AS299" s="124"/>
      <c r="AT299" s="233"/>
      <c r="AU299" s="124"/>
      <c r="AV299" s="233"/>
      <c r="AW299" s="124"/>
      <c r="AX299" s="233"/>
      <c r="AY299" s="137"/>
      <c r="AZ299" s="233"/>
      <c r="BA299" s="137"/>
      <c r="BB299" s="233"/>
      <c r="BC299" s="137"/>
      <c r="BD299" s="233"/>
      <c r="BE299" s="137"/>
      <c r="BF299" s="233"/>
      <c r="BG299" s="137"/>
      <c r="BH299" s="233"/>
      <c r="BI299" s="137"/>
      <c r="BJ299" s="233"/>
      <c r="BK299" s="137"/>
      <c r="BL299" s="233"/>
      <c r="BM299" s="137"/>
      <c r="BN299" s="233"/>
      <c r="BO299" s="137"/>
      <c r="BP299" s="233"/>
      <c r="BQ299" s="137"/>
      <c r="BR299" s="233"/>
      <c r="BS299" s="137"/>
      <c r="BT299" s="233"/>
      <c r="BU299" s="137"/>
      <c r="BV299" s="233"/>
      <c r="BW299" s="137"/>
      <c r="BX299" s="233"/>
      <c r="BY299" s="137"/>
      <c r="BZ299" s="233"/>
      <c r="CA299" s="137"/>
      <c r="CB299" s="233"/>
      <c r="CC299" s="137"/>
      <c r="CD299" s="233"/>
      <c r="CE299" s="137"/>
      <c r="CF299" s="233"/>
      <c r="CG299" s="137"/>
      <c r="CH299" s="233"/>
      <c r="CI299" s="137"/>
      <c r="CJ299" s="233"/>
      <c r="CK299" s="112">
        <v>52</v>
      </c>
      <c r="CL299" s="98" t="str">
        <f>IF(ISERROR((CK299/CC299-1)*100),"NA",IF(((CK299/CC299-1)*100)&gt;100,"NM",IF(((CK299/CC299-1)*100)&lt;-50,"NM",(CK299/CC299-1)*100)))</f>
        <v>NA</v>
      </c>
      <c r="CM299" s="112">
        <v>100</v>
      </c>
      <c r="CN299" s="98" t="str">
        <f>IF(ISERROR((CM299/CE299-1)*100),"NA",IF(((CM299/CE299-1)*100)&gt;100,"NM",IF(((CM299/CE299-1)*100)&lt;-50,"NM",(CM299/CE299-1)*100)))</f>
        <v>NA</v>
      </c>
      <c r="CO299" s="112">
        <v>88</v>
      </c>
      <c r="CP299" s="98" t="str">
        <f>IF(ISERROR((CO299/CG299-1)*100),"NA",IF(((CO299/CG299-1)*100)&gt;100,"NM",IF(((CO299/CG299-1)*100)&lt;-50,"NM",(CO299/CG299-1)*100)))</f>
        <v>NA</v>
      </c>
      <c r="CQ299" s="543">
        <v>107</v>
      </c>
      <c r="CR299" s="98" t="str">
        <f>IF(ISERROR((CQ299/CI299-1)*100),"NA",IF(((CQ299/CI299-1)*100)&gt;100,"NM",IF(((CQ299/CI299-1)*100)&lt;-50,"NM",(CQ299/CI299-1)*100)))</f>
        <v>NA</v>
      </c>
      <c r="CS299" s="112">
        <v>143</v>
      </c>
      <c r="CT299" s="98" t="str">
        <f>IF(ISERROR((CS299/CK299-1)*100),"NA",IF(((CS299/CK299-1)*100)&gt;100,"NM",IF(((CS299/CK299-1)*100)&lt;-50,"NM",(CS299/CK299-1)*100)))</f>
        <v>NM</v>
      </c>
      <c r="CU299" s="112">
        <v>161</v>
      </c>
      <c r="CV299" s="98">
        <f>IF(ISERROR((CU299/CM299-1)*100),"NA",IF(((CU299/CM299-1)*100)&gt;100,"NM",IF(((CU299/CM299-1)*100)&lt;-50,"NM",(CU299/CM299-1)*100)))</f>
        <v>61.000000000000007</v>
      </c>
      <c r="CW299" s="112">
        <v>140</v>
      </c>
      <c r="CX299" s="98">
        <f>IF(ISERROR((CW299/CO299-1)*100),"NA",IF(((CW299/CO299-1)*100)&gt;100,"NM",IF(((CW299/CO299-1)*100)&lt;-50,"NM",(CW299/CO299-1)*100)))</f>
        <v>59.090909090909079</v>
      </c>
      <c r="CY299" s="112">
        <v>136</v>
      </c>
      <c r="CZ299" s="98">
        <f>IF(ISERROR((CY299/CQ299-1)*100),"NA",IF(((CY299/CQ299-1)*100)&gt;100,"NM",IF(((CY299/CQ299-1)*100)&lt;-50,"NM",(CY299/CQ299-1)*100)))</f>
        <v>27.10280373831775</v>
      </c>
      <c r="DA299" s="112">
        <v>117</v>
      </c>
      <c r="DB299" s="98">
        <f>IF(ISERROR((DA299/CS299-1)*100),"NA",IF(((DA299/CS299-1)*100)&gt;100,"NM",IF(((DA299/CS299-1)*100)&lt;-50,"NM",(DA299/CS299-1)*100)))</f>
        <v>-18.181818181818176</v>
      </c>
      <c r="DC299" s="112">
        <v>161</v>
      </c>
      <c r="DD299" s="98">
        <f>IF(ISERROR((DC299/CU299-1)*100),"NA",IF(((DC299/CU299-1)*100)&gt;100,"NM",IF(((DC299/CU299-1)*100)&lt;-50,"NM",(DC299/CU299-1)*100)))</f>
        <v>0</v>
      </c>
      <c r="DE299" s="112">
        <v>162</v>
      </c>
      <c r="DF299" s="98">
        <f>IF(ISERROR((DE299/CW299-1)*100),"NA",IF(((DE299/CW299-1)*100)&gt;100,"NM",IF(((DE299/CW299-1)*100)&lt;-50,"NM",(DE299/CW299-1)*100)))</f>
        <v>15.714285714285726</v>
      </c>
      <c r="DG299" s="112">
        <v>89</v>
      </c>
      <c r="DH299" s="98">
        <f>IF(ISERROR((DG299/CY299-1)*100),"NA",IF(((DG299/CY299-1)*100)&gt;100,"NM",IF(((DG299/CY299-1)*100)&lt;-50,"NM",(DG299/CY299-1)*100)))</f>
        <v>-34.558823529411761</v>
      </c>
      <c r="DI299" s="112">
        <v>145</v>
      </c>
      <c r="DJ299" s="98">
        <f>IF(ISERROR((DI299/DA299-1)*100),"NA",IF(((DI299/DA299-1)*100)&gt;100,"NM",IF(((DI299/DA299-1)*100)&lt;-50,"NM",(DI299/DA299-1)*100)))</f>
        <v>23.931623931623935</v>
      </c>
      <c r="DK299" s="112">
        <v>148</v>
      </c>
      <c r="DL299" s="98">
        <f>IF(ISERROR((DK299/DC299-1)*100),"NA",IF(((DK299/DC299-1)*100)&gt;100,"NM",IF(((DK299/DC299-1)*100)&lt;-50,"NM",(DK299/DC299-1)*100)))</f>
        <v>-8.0745341614906874</v>
      </c>
      <c r="DM299" s="112">
        <v>128</v>
      </c>
      <c r="DN299" s="98">
        <f>IF(ISERROR((DM299/DE299-1)*100),"NA",IF(((DM299/DE299-1)*100)&gt;100,"NM",IF(((DM299/DE299-1)*100)&lt;-50,"NM",(DM299/DE299-1)*100)))</f>
        <v>-20.987654320987659</v>
      </c>
      <c r="DO299" s="112">
        <v>154</v>
      </c>
      <c r="DP299" s="98">
        <f>IF(ISERROR((DO299/DG299-1)*100),"NA",IF(((DO299/DG299-1)*100)&gt;100,"NM",IF(((DO299/DG299-1)*100)&lt;-50,"NM",(DO299/DG299-1)*100)))</f>
        <v>73.033707865168537</v>
      </c>
      <c r="DQ299" s="112">
        <v>152</v>
      </c>
      <c r="DR299" s="98">
        <f>IF(ISERROR((DQ299/DI299-1)*100),"NA",IF(((DQ299/DI299-1)*100)&gt;100,"NM",IF(((DQ299/DI299-1)*100)&lt;-50,"NM",(DQ299/DI299-1)*100)))</f>
        <v>4.8275862068965614</v>
      </c>
      <c r="DS299" s="112">
        <v>148</v>
      </c>
      <c r="DT299" s="98">
        <f>IF(ISERROR((DS299/DK299-1)*100),"NA",IF(((DS299/DK299-1)*100)&gt;100,"NM",IF(((DS299/DK299-1)*100)&lt;-50,"NM",(DS299/DK299-1)*100)))</f>
        <v>0</v>
      </c>
      <c r="DU299" s="112">
        <v>59</v>
      </c>
      <c r="DV299" s="98" t="str">
        <f>IF(ISERROR((DU299/DM299-1)*100),"NA",IF(((DU299/DM299-1)*100)&gt;100,"NM",IF(((DU299/DM299-1)*100)&lt;-50,"NM",(DU299/DM299-1)*100)))</f>
        <v>NM</v>
      </c>
      <c r="DW299" s="112">
        <v>125</v>
      </c>
      <c r="DX299" s="98">
        <f>IF(ISERROR((DW299/DO299-1)*100),"NA",IF(((DW299/DO299-1)*100)&gt;100,"NM",IF(((DW299/DO299-1)*100)&lt;-50,"NM",(DW299/DO299-1)*100)))</f>
        <v>-18.831168831168831</v>
      </c>
      <c r="DY299" s="112">
        <v>125</v>
      </c>
      <c r="DZ299" s="98">
        <f>IF(ISERROR((DY299/DQ299-1)*100),"NA",IF(((DY299/DQ299-1)*100)&gt;100,"NM",IF(((DY299/DQ299-1)*100)&lt;-50,"NM",(DY299/DQ299-1)*100)))</f>
        <v>-17.763157894736846</v>
      </c>
      <c r="EA299" s="112">
        <v>95</v>
      </c>
      <c r="EB299" s="98">
        <f>IF(ISERROR((EA299/DS299-1)*100),"NA",IF(((EA299/DS299-1)*100)&gt;100,"NM",IF(((EA299/DS299-1)*100)&lt;-50,"NM",(EA299/DS299-1)*100)))</f>
        <v>-35.810810810810814</v>
      </c>
      <c r="EC299" s="112">
        <v>140</v>
      </c>
      <c r="ED299" s="98" t="str">
        <f>IF(ISERROR((EC299/DU299-1)*100),"NA",IF(((EC299/DU299-1)*100)&gt;100,"NM",IF(((EC299/DU299-1)*100)&lt;-50,"NM",(EC299/DU299-1)*100)))</f>
        <v>NM</v>
      </c>
      <c r="EE299" s="112">
        <v>142</v>
      </c>
      <c r="EF299" s="860">
        <f>IF(ISERROR((EE299/DW299-1)*100),"NA",IF(((EE299/DW299-1)*100)&gt;100,"NM",IF(((EE299/DW299-1)*100)&lt;-50,"NM",(EE299/DW299-1)*100)))</f>
        <v>13.599999999999991</v>
      </c>
      <c r="EG299" s="112">
        <v>115</v>
      </c>
      <c r="EH299" s="860">
        <f>IF(ISERROR((EG299/DY299-1)*100),"NA",IF(((EG299/DY299-1)*100)&gt;100,"NM",IF(((EG299/DY299-1)*100)&lt;-50,"NM",(EG299/DY299-1)*100)))</f>
        <v>-7.9999999999999964</v>
      </c>
      <c r="EI299" s="112">
        <v>146</v>
      </c>
      <c r="EJ299" s="860">
        <f t="shared" si="1581"/>
        <v>53.68421052631578</v>
      </c>
      <c r="EK299" s="112">
        <v>157</v>
      </c>
      <c r="EL299" s="860">
        <f t="shared" si="1582"/>
        <v>12.142857142857144</v>
      </c>
      <c r="EM299" s="112">
        <v>156</v>
      </c>
      <c r="EN299" s="860">
        <f t="shared" si="1583"/>
        <v>9.8591549295774747</v>
      </c>
      <c r="EO299" s="112">
        <v>161</v>
      </c>
      <c r="EP299" s="98">
        <f t="shared" si="1584"/>
        <v>39.999999999999993</v>
      </c>
      <c r="EQ299" s="878">
        <f t="shared" ref="EQ299" si="1594">+EQ298*EQ300/100</f>
        <v>164.15799980000008</v>
      </c>
      <c r="ER299" s="98">
        <f t="shared" si="1586"/>
        <v>12.436986164383622</v>
      </c>
      <c r="ES299" s="878">
        <f t="shared" ref="ES299" si="1595">+ES298*ES300/100</f>
        <v>167.03508443725016</v>
      </c>
      <c r="ET299" s="98">
        <f t="shared" si="1588"/>
        <v>6.3917735269109377</v>
      </c>
      <c r="EU299" s="878">
        <f t="shared" ref="EU299" si="1596">+EU298*EU300/100</f>
        <v>169.96677189214256</v>
      </c>
      <c r="EV299" s="98">
        <f t="shared" si="1590"/>
        <v>8.9530589052195797</v>
      </c>
      <c r="EW299" s="878">
        <f t="shared" ref="EW299" si="1597">+EW298*EW300/100</f>
        <v>171.45009994403503</v>
      </c>
      <c r="EX299" s="98">
        <f t="shared" si="1592"/>
        <v>6.490745306854051</v>
      </c>
      <c r="EY299" s="301"/>
      <c r="EZ299" s="601"/>
      <c r="FA299" s="411"/>
      <c r="FB299" s="242"/>
      <c r="FC299" s="233"/>
      <c r="FD299" s="291"/>
      <c r="FE299" s="233"/>
      <c r="FF299" s="291"/>
      <c r="FG299" s="233"/>
      <c r="FH299" s="291"/>
      <c r="FI299" s="233"/>
      <c r="FJ299" s="291"/>
      <c r="FK299" s="233"/>
      <c r="FL299" s="291"/>
      <c r="FM299" s="233"/>
      <c r="FN299" s="291"/>
      <c r="FO299" s="233"/>
      <c r="FP299" s="291"/>
      <c r="FQ299" s="233"/>
      <c r="FR299" s="292"/>
      <c r="FS299" s="120"/>
      <c r="FT299" s="292"/>
      <c r="FU299" s="120"/>
      <c r="FV299" s="292"/>
      <c r="FW299" s="233"/>
      <c r="FX299" s="483"/>
      <c r="FY299" s="233"/>
      <c r="FZ299" s="160">
        <f>CE299+CG299+CI299+CK299</f>
        <v>52</v>
      </c>
      <c r="GA299" s="98" t="str">
        <f>IF(ISERROR((FZ299/FX299-1)*100),"NA",IF(((FZ299/FX299-1)*100)&gt;100,"NM",IF(((FZ299/FX299-1)*100)&lt;-50,"NM",(FZ299/FX299-1)*100)))</f>
        <v>NA</v>
      </c>
      <c r="GB299" s="542">
        <v>441</v>
      </c>
      <c r="GC299" s="98" t="str">
        <f>IF(ISERROR((GB299/FZ299-1)*100),"NA",IF(((GB299/FZ299-1)*100)&gt;100,"NM",IF(((GB299/FZ299-1)*100)&lt;-50,"NM",(GB299/FZ299-1)*100)))</f>
        <v>NM</v>
      </c>
      <c r="GD299" s="160">
        <f>CU299+CW299+CY299+DA299</f>
        <v>554</v>
      </c>
      <c r="GE299" s="98">
        <f>IF(ISERROR((GD299/GB299-1)*100),"NA",IF(((GD299/GB299-1)*100)&gt;100,"NM",IF(((GD299/GB299-1)*100)&lt;-50,"NM",(GD299/GB299-1)*100)))</f>
        <v>25.623582766439903</v>
      </c>
      <c r="GF299" s="160">
        <f>DC299+DE299+DG299+DI299</f>
        <v>557</v>
      </c>
      <c r="GG299" s="98">
        <f>IF(ISERROR((GF299/GD299-1)*100),"NA",IF(((GF299/GD299-1)*100)&gt;100,"NM",IF(((GF299/GD299-1)*100)&lt;-50,"NM",(GF299/GD299-1)*100)))</f>
        <v>0.54151624548737232</v>
      </c>
      <c r="GH299" s="160">
        <f>DK299+DM299+DO299+DQ299</f>
        <v>582</v>
      </c>
      <c r="GI299" s="98">
        <f>IF(ISERROR((GH299/GF299-1)*100),"NA",IF(((GH299/GF299-1)*100)&gt;100,"NM",IF(((GH299/GF299-1)*100)&lt;-50,"NM",(GH299/GF299-1)*100)))</f>
        <v>4.4883303411131115</v>
      </c>
      <c r="GJ299" s="160">
        <f>DS299+DU299+DW299+DY299</f>
        <v>457</v>
      </c>
      <c r="GK299" s="98">
        <f>IF(ISERROR((GJ299/GH299-1)*100),"NA",IF(((GJ299/GH299-1)*100)&gt;100,"NM",IF(((GJ299/GH299-1)*100)&lt;-50,"NM",(GJ299/GH299-1)*100)))</f>
        <v>-21.477663230240552</v>
      </c>
      <c r="GL299" s="160">
        <f>EA299+EC299+EE299+EG299</f>
        <v>492</v>
      </c>
      <c r="GM299" s="98">
        <f>IF(ISERROR((GL299/GJ299-1)*100),"NA",IF(((GL299/GJ299-1)*100)&gt;100,"NM",IF(((GL299/GJ299-1)*100)&lt;-50,"NM",(GL299/GJ299-1)*100)))</f>
        <v>7.6586433260393827</v>
      </c>
      <c r="GN299" s="160">
        <f>EI299+EK299+EM299+EO299</f>
        <v>620</v>
      </c>
      <c r="GO299" s="98">
        <f>IF(ISERROR((GN299/GL299-1)*100),"NA",IF(((GN299/GL299-1)*100)&gt;100,"NM",IF(((GN299/GL299-1)*100)&lt;-50,"NM",(GN299/GL299-1)*100)))</f>
        <v>26.016260162601633</v>
      </c>
      <c r="GP299" s="160">
        <f>EQ299+ES299+EU299+EW299</f>
        <v>672.60995607342784</v>
      </c>
      <c r="GQ299" s="98">
        <f>IF(ISERROR((GP299/GN299-1)*100),"NA",IF(((GP299/GN299-1)*100)&gt;100,"NM",IF(((GP299/GN299-1)*100)&lt;-50,"NM",(GP299/GN299-1)*100)))</f>
        <v>8.4854767860367488</v>
      </c>
      <c r="GR299" s="160">
        <f>+GR298*GR300/100</f>
        <v>716.94496836248118</v>
      </c>
      <c r="GS299" s="98">
        <f>IF(ISERROR((GR299/GP299-1)*100),"NA",IF(((GR299/GP299-1)*100)&gt;100,"NM",IF(((GR299/GP299-1)*100)&lt;-50,"NM",(GR299/GP299-1)*100)))</f>
        <v>6.5914891518812579</v>
      </c>
      <c r="GT299" s="160">
        <f>+GT298*GT300/100</f>
        <v>752.7922167806064</v>
      </c>
      <c r="GU299" s="98">
        <f>IF(ISERROR((GT299/GR299-1)*100),"NA",IF(((GT299/GR299-1)*100)&gt;100,"NM",IF(((GT299/GR299-1)*100)&lt;-50,"NM",(GT299/GR299-1)*100)))</f>
        <v>5.0000000000001599</v>
      </c>
      <c r="GV299" s="160">
        <f>+GV298*GV300/100</f>
        <v>794.97095347353491</v>
      </c>
      <c r="GW299" s="98">
        <f>IF(ISERROR((GV299/GT299-1)*100),"NA",IF(((GV299/GT299-1)*100)&gt;100,"NM",IF(((GV299/GT299-1)*100)&lt;-50,"NM",(GV299/GT299-1)*100)))</f>
        <v>5.6029719426842872</v>
      </c>
      <c r="GX299" s="160">
        <f>+GX298*GX300/100</f>
        <v>830.90318074525862</v>
      </c>
      <c r="GY299" s="98">
        <f>IF(ISERROR((GX299/GV299-1)*100),"NA",IF(((GX299/GV299-1)*100)&gt;100,"NM",IF(((GX299/GV299-1)*100)&lt;-50,"NM",(GX299/GV299-1)*100)))</f>
        <v>4.5199421582287957</v>
      </c>
      <c r="GZ299" s="98">
        <f t="shared" si="1593"/>
        <v>6.0307287668120768</v>
      </c>
      <c r="HA299" s="98"/>
      <c r="HB299" s="10"/>
      <c r="HC299"/>
      <c r="HD299"/>
      <c r="HE299"/>
      <c r="HF299"/>
      <c r="HG299"/>
      <c r="HH299"/>
      <c r="HI299" s="10"/>
    </row>
    <row r="300" spans="2:217" s="2" customFormat="1" ht="12.75" customHeight="1" x14ac:dyDescent="0.2">
      <c r="B300" s="2" t="s">
        <v>170</v>
      </c>
      <c r="C300" s="293"/>
      <c r="D300" s="98"/>
      <c r="E300" s="293"/>
      <c r="F300" s="98"/>
      <c r="G300" s="293"/>
      <c r="H300" s="98"/>
      <c r="I300" s="293"/>
      <c r="J300" s="233"/>
      <c r="K300" s="293"/>
      <c r="L300" s="233"/>
      <c r="M300" s="293"/>
      <c r="N300" s="233"/>
      <c r="O300" s="293"/>
      <c r="P300" s="233"/>
      <c r="Q300" s="293"/>
      <c r="R300" s="233"/>
      <c r="S300" s="293"/>
      <c r="T300" s="233"/>
      <c r="U300" s="293"/>
      <c r="V300" s="233"/>
      <c r="W300" s="293"/>
      <c r="X300" s="233"/>
      <c r="Y300" s="293"/>
      <c r="Z300" s="233"/>
      <c r="AA300" s="293"/>
      <c r="AB300" s="233"/>
      <c r="AC300" s="293"/>
      <c r="AD300" s="233"/>
      <c r="AE300" s="293"/>
      <c r="AF300" s="233"/>
      <c r="AG300" s="124"/>
      <c r="AH300" s="233"/>
      <c r="AI300" s="124"/>
      <c r="AJ300" s="233"/>
      <c r="AK300" s="124"/>
      <c r="AL300" s="233"/>
      <c r="AM300" s="124"/>
      <c r="AN300" s="233"/>
      <c r="AO300" s="124"/>
      <c r="AP300" s="233"/>
      <c r="AQ300" s="124"/>
      <c r="AR300" s="233"/>
      <c r="AS300" s="124"/>
      <c r="AT300" s="233"/>
      <c r="AU300" s="124"/>
      <c r="AV300" s="233"/>
      <c r="AW300" s="124"/>
      <c r="AX300" s="233"/>
      <c r="AY300" s="137"/>
      <c r="AZ300" s="233"/>
      <c r="BA300" s="137"/>
      <c r="BB300" s="233"/>
      <c r="BC300" s="137"/>
      <c r="BD300" s="233"/>
      <c r="BE300" s="137"/>
      <c r="BF300" s="233"/>
      <c r="BG300" s="137"/>
      <c r="BH300" s="233"/>
      <c r="BI300" s="137"/>
      <c r="BJ300" s="233"/>
      <c r="BK300" s="137"/>
      <c r="BL300" s="233"/>
      <c r="BM300" s="137"/>
      <c r="BN300" s="233"/>
      <c r="BO300" s="137"/>
      <c r="BP300" s="233"/>
      <c r="BQ300" s="137"/>
      <c r="BR300" s="233"/>
      <c r="BS300" s="137"/>
      <c r="BT300" s="233"/>
      <c r="BU300" s="137"/>
      <c r="BV300" s="233"/>
      <c r="BW300" s="137"/>
      <c r="BX300" s="233"/>
      <c r="BY300" s="137"/>
      <c r="BZ300" s="233"/>
      <c r="CA300" s="137"/>
      <c r="CB300" s="233"/>
      <c r="CC300" s="137"/>
      <c r="CD300" s="233"/>
      <c r="CE300" s="137"/>
      <c r="CF300" s="233"/>
      <c r="CG300" s="137"/>
      <c r="CH300" s="233"/>
      <c r="CI300" s="137"/>
      <c r="CJ300" s="233"/>
      <c r="CK300" s="202">
        <f>+CK299/CK298*100</f>
        <v>35.61643835616438</v>
      </c>
      <c r="CL300" s="98" t="str">
        <f>IF(ISERROR((CK300/CC300-1)*100),"NA",IF(((CK300/CC300-1)*100)&gt;100,"NM",IF(((CK300/CC300-1)*100)&lt;-50,"NM",(CK300/CC300-1)*100)))</f>
        <v>NA</v>
      </c>
      <c r="CM300" s="202">
        <f>+CM299/CM298*100</f>
        <v>30.864197530864196</v>
      </c>
      <c r="CN300" s="98" t="str">
        <f>IF(ISERROR((CM300/CE300-1)*100),"NA",IF(((CM300/CE300-1)*100)&gt;100,"NM",IF(((CM300/CE300-1)*100)&lt;-50,"NM",(CM300/CE300-1)*100)))</f>
        <v>NA</v>
      </c>
      <c r="CO300" s="202">
        <f>+CO299/CO298*100</f>
        <v>33.976833976833973</v>
      </c>
      <c r="CP300" s="98" t="str">
        <f>IF(ISERROR((CO300/CG300-1)*100),"NA",IF(((CO300/CG300-1)*100)&gt;100,"NM",IF(((CO300/CG300-1)*100)&lt;-50,"NM",(CO300/CG300-1)*100)))</f>
        <v>NA</v>
      </c>
      <c r="CQ300" s="551">
        <f>+CQ299/CQ298*100</f>
        <v>32.52279635258359</v>
      </c>
      <c r="CR300" s="98" t="str">
        <f>IF(ISERROR((CQ300/CI300-1)*100),"NA",IF(((CQ300/CI300-1)*100)&gt;100,"NM",IF(((CQ300/CI300-1)*100)&lt;-50,"NM",(CQ300/CI300-1)*100)))</f>
        <v>NA</v>
      </c>
      <c r="CS300" s="202">
        <f>+CS299/CS298*100</f>
        <v>35.572139303482587</v>
      </c>
      <c r="CT300" s="98">
        <f>IF(ISERROR((CS300/CK300-1)*100),"NA",IF(((CS300/CK300-1)*100)&gt;100,"NM",IF(((CS300/CK300-1)*100)&lt;-50,"NM",(CS300/CK300-1)*100)))</f>
        <v>-0.12437810945272743</v>
      </c>
      <c r="CU300" s="202">
        <f>+CU299/CU298*100</f>
        <v>34.848484848484851</v>
      </c>
      <c r="CV300" s="98">
        <f>IF(ISERROR((CU300/CM300-1)*100),"NA",IF(((CU300/CM300-1)*100)&gt;100,"NM",IF(((CU300/CM300-1)*100)&lt;-50,"NM",(CU300/CM300-1)*100)))</f>
        <v>12.909090909090914</v>
      </c>
      <c r="CW300" s="202">
        <f>+CW299/CW298*100</f>
        <v>33.41288782816229</v>
      </c>
      <c r="CX300" s="98">
        <f>IF(ISERROR((CW300/CO300-1)*100),"NA",IF(((CW300/CO300-1)*100)&gt;100,"NM",IF(((CW300/CO300-1)*100)&lt;-50,"NM",(CW300/CO300-1)*100)))</f>
        <v>-1.6597960512041543</v>
      </c>
      <c r="CY300" s="202">
        <f>+CY299/CY298*100</f>
        <v>34.430379746835442</v>
      </c>
      <c r="CZ300" s="98">
        <f>IF(ISERROR((CY300/CQ300-1)*100),"NA",IF(((CY300/CQ300-1)*100)&gt;100,"NM",IF(((CY300/CQ300-1)*100)&lt;-50,"NM",(CY300/CQ300-1)*100)))</f>
        <v>5.8653732402697001</v>
      </c>
      <c r="DA300" s="202">
        <f>+DA299/DA298*100</f>
        <v>37.142857142857146</v>
      </c>
      <c r="DB300" s="98">
        <f>IF(ISERROR((DA300/CS300-1)*100),"NA",IF(((DA300/CS300-1)*100)&gt;100,"NM",IF(((DA300/CS300-1)*100)&lt;-50,"NM",(DA300/CS300-1)*100)))</f>
        <v>4.4155844155844282</v>
      </c>
      <c r="DC300" s="202">
        <f>+DC299/DC298*100</f>
        <v>32.59109311740891</v>
      </c>
      <c r="DD300" s="98">
        <f>IF(ISERROR((DC300/CU300-1)*100),"NA",IF(((DC300/CU300-1)*100)&gt;100,"NM",IF(((DC300/CU300-1)*100)&lt;-50,"NM",(DC300/CU300-1)*100)))</f>
        <v>-6.4777327935222617</v>
      </c>
      <c r="DE300" s="202">
        <f>+DE299/DE298*100</f>
        <v>32.926829268292686</v>
      </c>
      <c r="DF300" s="98">
        <f>IF(ISERROR((DE300/CW300-1)*100),"NA",IF(((DE300/CW300-1)*100)&gt;100,"NM",IF(((DE300/CW300-1)*100)&lt;-50,"NM",(DE300/CW300-1)*100)))</f>
        <v>-1.4547038327526018</v>
      </c>
      <c r="DG300" s="202">
        <f>+DG299/DG298*100</f>
        <v>25.722543352601157</v>
      </c>
      <c r="DH300" s="98">
        <f>IF(ISERROR((DG300/CY300-1)*100),"NA",IF(((DG300/CY300-1)*100)&gt;100,"NM",IF(((DG300/CY300-1)*100)&lt;-50,"NM",(DG300/CY300-1)*100)))</f>
        <v>-25.291142468548109</v>
      </c>
      <c r="DI300" s="202">
        <f>+DI299/DI298*100</f>
        <v>30.916844349680172</v>
      </c>
      <c r="DJ300" s="98">
        <f>IF(ISERROR((DI300/DA300-1)*100),"NA",IF(((DI300/DA300-1)*100)&gt;100,"NM",IF(((DI300/DA300-1)*100)&lt;-50,"NM",(DI300/DA300-1)*100)))</f>
        <v>-16.762342135476473</v>
      </c>
      <c r="DK300" s="202">
        <f>+DK299/DK298*100</f>
        <v>30.76923076923077</v>
      </c>
      <c r="DL300" s="98">
        <f>IF(ISERROR((DK300/DC300-1)*100),"NA",IF(((DK300/DC300-1)*100)&gt;100,"NM",IF(((DK300/DC300-1)*100)&lt;-50,"NM",(DK300/DC300-1)*100)))</f>
        <v>-5.5900621118012523</v>
      </c>
      <c r="DM300" s="202">
        <f>+DM299/DM298*100</f>
        <v>28.318584070796462</v>
      </c>
      <c r="DN300" s="98">
        <f>IF(ISERROR((DM300/DE300-1)*100),"NA",IF(((DM300/DE300-1)*100)&gt;100,"NM",IF(((DM300/DE300-1)*100)&lt;-50,"NM",(DM300/DE300-1)*100)))</f>
        <v>-13.995411340544084</v>
      </c>
      <c r="DO300" s="202">
        <f>+DO299/DO298*100</f>
        <v>33.189655172413794</v>
      </c>
      <c r="DP300" s="98">
        <f>IF(ISERROR((DO300/DG300-1)*100),"NA",IF(((DO300/DG300-1)*100)&gt;100,"NM",IF(((DO300/DG300-1)*100)&lt;-50,"NM",(DO300/DG300-1)*100)))</f>
        <v>29.02944595118171</v>
      </c>
      <c r="DQ300" s="202">
        <f>+DQ299/DQ298*100</f>
        <v>30.894308943089431</v>
      </c>
      <c r="DR300" s="98">
        <f>IF(ISERROR((DQ300/DI300-1)*100),"NA",IF(((DQ300/DI300-1)*100)&gt;100,"NM",IF(((DQ300/DI300-1)*100)&lt;-50,"NM",(DQ300/DI300-1)*100)))</f>
        <v>-7.2890384076262915E-2</v>
      </c>
      <c r="DS300" s="202">
        <f>+DS299/DS298*100</f>
        <v>31.157894736842106</v>
      </c>
      <c r="DT300" s="98">
        <f>IF(ISERROR((DS300/DK300-1)*100),"NA",IF(((DS300/DK300-1)*100)&gt;100,"NM",IF(((DS300/DK300-1)*100)&lt;-50,"NM",(DS300/DK300-1)*100)))</f>
        <v>1.2631578947368327</v>
      </c>
      <c r="DU300" s="202">
        <f>+DU299/DU298*100</f>
        <v>12.190082644628099</v>
      </c>
      <c r="DV300" s="98" t="str">
        <f>IF(ISERROR((DU300/DM300-1)*100),"NA",IF(((DU300/DM300-1)*100)&gt;100,"NM",IF(((DU300/DM300-1)*100)&lt;-50,"NM",(DU300/DM300-1)*100)))</f>
        <v>NM</v>
      </c>
      <c r="DW300" s="202">
        <f>+DW299/DW298*100</f>
        <v>26.997840172786177</v>
      </c>
      <c r="DX300" s="98">
        <f>IF(ISERROR((DW300/DO300-1)*100),"NA",IF(((DW300/DO300-1)*100)&gt;100,"NM",IF(((DW300/DO300-1)*100)&lt;-50,"NM",(DW300/DO300-1)*100)))</f>
        <v>-18.655858180696193</v>
      </c>
      <c r="DY300" s="202">
        <f>+DY299/DY298*100</f>
        <v>30.120481927710845</v>
      </c>
      <c r="DZ300" s="98">
        <f>IF(ISERROR((DY300/DQ300-1)*100),"NA",IF(((DY300/DQ300-1)*100)&gt;100,"NM",IF(((DY300/DQ300-1)*100)&lt;-50,"NM",(DY300/DQ300-1)*100)))</f>
        <v>-2.5047558655675317</v>
      </c>
      <c r="EA300" s="202">
        <f>+EA299/EA298*100</f>
        <v>23.75</v>
      </c>
      <c r="EB300" s="98">
        <f>IF(ISERROR((EA300/DS300-1)*100),"NA",IF(((EA300/DS300-1)*100)&gt;100,"NM",IF(((EA300/DS300-1)*100)&lt;-50,"NM",(EA300/DS300-1)*100)))</f>
        <v>-23.775337837837839</v>
      </c>
      <c r="EC300" s="202">
        <f>+EC299/EC298*100</f>
        <v>35.087719298245609</v>
      </c>
      <c r="ED300" s="98" t="str">
        <f>IF(ISERROR((EC300/DU300-1)*100),"NA",IF(((EC300/DU300-1)*100)&gt;100,"NM",IF(((EC300/DU300-1)*100)&lt;-50,"NM",(EC300/DU300-1)*100)))</f>
        <v>NM</v>
      </c>
      <c r="EE300" s="202">
        <f>+EE299/EE298*100</f>
        <v>30.472103004291846</v>
      </c>
      <c r="EF300" s="860">
        <f>IF(ISERROR((EE300/DW300-1)*100),"NA",IF(((EE300/DW300-1)*100)&gt;100,"NM",IF(((EE300/DW300-1)*100)&lt;-50,"NM",(EE300/DW300-1)*100)))</f>
        <v>12.868669527897003</v>
      </c>
      <c r="EG300" s="202">
        <f>+EG299/EG298*100</f>
        <v>24.520255863539443</v>
      </c>
      <c r="EH300" s="860">
        <f>IF(ISERROR((EG300/DY300-1)*100),"NA",IF(((EG300/DY300-1)*100)&gt;100,"NM",IF(((EG300/DY300-1)*100)&lt;-50,"NM",(EG300/DY300-1)*100)))</f>
        <v>-18.592750533049053</v>
      </c>
      <c r="EI300" s="202">
        <f>+EI299/EI298*100</f>
        <v>33.106575963718818</v>
      </c>
      <c r="EJ300" s="860">
        <f t="shared" si="1581"/>
        <v>39.396109320921347</v>
      </c>
      <c r="EK300" s="202">
        <f>+EK299/EK298*100</f>
        <v>33.618843683083512</v>
      </c>
      <c r="EL300" s="860">
        <f t="shared" si="1582"/>
        <v>-4.1862955032119782</v>
      </c>
      <c r="EM300" s="202">
        <f>+EM299/EM298*100</f>
        <v>33.191489361702125</v>
      </c>
      <c r="EN300" s="860">
        <f t="shared" si="1583"/>
        <v>8.9241833982619099</v>
      </c>
      <c r="EO300" s="202">
        <f>+EO299/EO298*100</f>
        <v>34.182590233545646</v>
      </c>
      <c r="EP300" s="98">
        <f t="shared" si="1584"/>
        <v>39.405520169851393</v>
      </c>
      <c r="EQ300" s="1026">
        <v>33.5</v>
      </c>
      <c r="ER300" s="98">
        <f t="shared" si="1586"/>
        <v>1.1883561643835749</v>
      </c>
      <c r="ES300" s="1026">
        <f t="shared" ref="ES300" si="1598">+EQ300</f>
        <v>33.5</v>
      </c>
      <c r="ET300" s="98">
        <f t="shared" si="1588"/>
        <v>-0.35350318471337738</v>
      </c>
      <c r="EU300" s="1026">
        <f t="shared" ref="EU300" si="1599">+ES300</f>
        <v>33.5</v>
      </c>
      <c r="EV300" s="98">
        <f t="shared" si="1590"/>
        <v>0.92948717948719839</v>
      </c>
      <c r="EW300" s="1026">
        <f t="shared" ref="EW300" si="1600">+EU300</f>
        <v>33.5</v>
      </c>
      <c r="EX300" s="98">
        <f t="shared" si="1592"/>
        <v>-1.9968944099378882</v>
      </c>
      <c r="EY300" s="294"/>
      <c r="EZ300" s="601"/>
      <c r="FA300" s="411"/>
      <c r="FB300" s="242"/>
      <c r="FC300" s="233"/>
      <c r="FD300" s="291"/>
      <c r="FE300" s="233"/>
      <c r="FF300" s="291"/>
      <c r="FG300" s="233"/>
      <c r="FH300" s="291"/>
      <c r="FI300" s="233"/>
      <c r="FJ300" s="291"/>
      <c r="FK300" s="233"/>
      <c r="FL300" s="291"/>
      <c r="FM300" s="233"/>
      <c r="FN300" s="291"/>
      <c r="FO300" s="233"/>
      <c r="FP300" s="291"/>
      <c r="FQ300" s="233"/>
      <c r="FR300" s="292"/>
      <c r="FS300" s="120"/>
      <c r="FT300" s="292"/>
      <c r="FU300" s="120"/>
      <c r="FV300" s="292"/>
      <c r="FW300" s="233"/>
      <c r="FX300" s="483"/>
      <c r="FY300" s="233"/>
      <c r="FZ300" s="130">
        <f>+FZ299/FZ298*100</f>
        <v>35.61643835616438</v>
      </c>
      <c r="GA300" s="98" t="str">
        <f>IF(ISERROR((FZ300/FX300-1)*100),"NA",IF(((FZ300/FX300-1)*100)&gt;100,"NM",IF(((FZ300/FX300-1)*100)&lt;-50,"NM",(FZ300/FX300-1)*100)))</f>
        <v>NA</v>
      </c>
      <c r="GB300" s="487">
        <f>+GB299/GB298*100</f>
        <v>33.383800151400457</v>
      </c>
      <c r="GC300" s="98">
        <f>IF(ISERROR((GB300/FZ300-1)*100),"NA",IF(((GB300/FZ300-1)*100)&gt;100,"NM",IF(((GB300/FZ300-1)*100)&lt;-50,"NM",(GB300/FZ300-1)*100)))</f>
        <v>-6.2685611133756254</v>
      </c>
      <c r="GD300" s="130">
        <f>+GD299/GD298*100</f>
        <v>34.820867379006913</v>
      </c>
      <c r="GE300" s="98">
        <f>IF(ISERROR((GD300/GB300-1)*100),"NA",IF(((GD300/GB300-1)*100)&gt;100,"NM",IF(((GD300/GB300-1)*100)&lt;-50,"NM",(GD300/GB300-1)*100)))</f>
        <v>4.3046843711295413</v>
      </c>
      <c r="GF300" s="130">
        <f>+GF299/GF298*100</f>
        <v>30.927262631871184</v>
      </c>
      <c r="GG300" s="98">
        <f>IF(ISERROR((GF300/GD300-1)*100),"NA",IF(((GF300/GD300-1)*100)&gt;100,"NM",IF(((GF300/GD300-1)*100)&lt;-50,"NM",(GF300/GD300-1)*100)))</f>
        <v>-11.18181435504142</v>
      </c>
      <c r="GH300" s="130">
        <f>+GH299/GH298*100</f>
        <v>30.809952355743782</v>
      </c>
      <c r="GI300" s="98">
        <f>IF(ISERROR((GH300/GF300-1)*100),"NA",IF(((GH300/GF300-1)*100)&gt;100,"NM",IF(((GH300/GF300-1)*100)&lt;-50,"NM",(GH300/GF300-1)*100)))</f>
        <v>-0.37931024650889045</v>
      </c>
      <c r="GJ300" s="130">
        <f>+GJ299/GJ298*100</f>
        <v>24.877517691888951</v>
      </c>
      <c r="GK300" s="98">
        <f>IF(ISERROR((GJ300/GH300-1)*100),"NA",IF(((GJ300/GH300-1)*100)&gt;100,"NM",IF(((GJ300/GH300-1)*100)&lt;-50,"NM",(GJ300/GH300-1)*100)))</f>
        <v>-19.254929690759059</v>
      </c>
      <c r="GL300" s="130">
        <f>+GL299/GL298*100</f>
        <v>28.373702422145332</v>
      </c>
      <c r="GM300" s="98">
        <f>IF(ISERROR((GL300/GJ300-1)*100),"NA",IF(((GL300/GJ300-1)*100)&gt;100,"NM",IF(((GL300/GJ300-1)*100)&lt;-50,"NM",(GL300/GJ300-1)*100)))</f>
        <v>14.053591574356616</v>
      </c>
      <c r="GN300" s="130">
        <f>+GN299/GN298*100</f>
        <v>33.531638723634401</v>
      </c>
      <c r="GO300" s="98">
        <f>IF(ISERROR((GN300/GL300-1)*100),"NA",IF(((GN300/GL300-1)*100)&gt;100,"NM",IF(((GN300/GL300-1)*100)&lt;-50,"NM",(GN300/GL300-1)*100)))</f>
        <v>18.178580379638309</v>
      </c>
      <c r="GP300" s="130">
        <f>+GP299/GP298*100</f>
        <v>33.499999999999979</v>
      </c>
      <c r="GQ300" s="98">
        <f>IF(ISERROR((GP300/GN300-1)*100),"NA",IF(((GP300/GN300-1)*100)&gt;100,"NM",IF(((GP300/GN300-1)*100)&lt;-50,"NM",(GP300/GN300-1)*100)))</f>
        <v>-9.4354838709753697E-2</v>
      </c>
      <c r="GR300" s="80">
        <f>GP300</f>
        <v>33.499999999999979</v>
      </c>
      <c r="GS300" s="98">
        <f>IF(ISERROR((GR300/GP300-1)*100),"NA",IF(((GR300/GP300-1)*100)&gt;100,"NM",IF(((GR300/GP300-1)*100)&lt;-50,"NM",(GR300/GP300-1)*100)))</f>
        <v>0</v>
      </c>
      <c r="GT300" s="80">
        <f>GR300</f>
        <v>33.499999999999979</v>
      </c>
      <c r="GU300" s="98">
        <f>IF(ISERROR((GT300/GR300-1)*100),"NA",IF(((GT300/GR300-1)*100)&gt;100,"NM",IF(((GT300/GR300-1)*100)&lt;-50,"NM",(GT300/GR300-1)*100)))</f>
        <v>0</v>
      </c>
      <c r="GV300" s="80">
        <f>GT300</f>
        <v>33.499999999999979</v>
      </c>
      <c r="GW300" s="98">
        <f>IF(ISERROR((GV300/GT300-1)*100),"NA",IF(((GV300/GT300-1)*100)&gt;100,"NM",IF(((GV300/GT300-1)*100)&lt;-50,"NM",(GV300/GT300-1)*100)))</f>
        <v>0</v>
      </c>
      <c r="GX300" s="80">
        <f>GV300</f>
        <v>33.499999999999979</v>
      </c>
      <c r="GY300" s="98">
        <f>IF(ISERROR((GX300/GV300-1)*100),"NA",IF(((GX300/GV300-1)*100)&gt;100,"NM",IF(((GX300/GV300-1)*100)&lt;-50,"NM",(GX300/GV300-1)*100)))</f>
        <v>0</v>
      </c>
      <c r="GZ300" s="98">
        <f t="shared" si="1593"/>
        <v>-1.8878094045204907E-2</v>
      </c>
      <c r="HA300" s="98"/>
      <c r="HB300" s="10"/>
      <c r="HC300"/>
      <c r="HD300"/>
      <c r="HE300"/>
      <c r="HF300"/>
      <c r="HG300"/>
      <c r="HH300"/>
      <c r="HI300" s="10"/>
    </row>
    <row r="301" spans="2:217" s="2" customFormat="1" ht="12.75" customHeight="1" x14ac:dyDescent="0.2">
      <c r="B301" s="93" t="s">
        <v>28</v>
      </c>
      <c r="C301" s="293"/>
      <c r="D301" s="98"/>
      <c r="E301" s="293"/>
      <c r="F301" s="98"/>
      <c r="G301" s="293"/>
      <c r="H301" s="98"/>
      <c r="I301" s="293"/>
      <c r="J301" s="233"/>
      <c r="K301" s="293"/>
      <c r="L301" s="233"/>
      <c r="M301" s="293"/>
      <c r="N301" s="233"/>
      <c r="O301" s="293"/>
      <c r="P301" s="233"/>
      <c r="Q301" s="293"/>
      <c r="R301" s="233"/>
      <c r="S301" s="293"/>
      <c r="T301" s="233"/>
      <c r="U301" s="293"/>
      <c r="V301" s="233"/>
      <c r="W301" s="293"/>
      <c r="X301" s="233"/>
      <c r="Y301" s="293"/>
      <c r="Z301" s="233"/>
      <c r="AA301" s="293"/>
      <c r="AB301" s="233"/>
      <c r="AC301" s="293"/>
      <c r="AD301" s="233"/>
      <c r="AE301" s="293"/>
      <c r="AF301" s="233"/>
      <c r="AG301" s="124"/>
      <c r="AH301" s="233"/>
      <c r="AI301" s="124"/>
      <c r="AJ301" s="233"/>
      <c r="AK301" s="124"/>
      <c r="AL301" s="233"/>
      <c r="AM301" s="124"/>
      <c r="AN301" s="233"/>
      <c r="AO301" s="124"/>
      <c r="AP301" s="233"/>
      <c r="AQ301" s="124"/>
      <c r="AR301" s="233"/>
      <c r="AS301" s="124"/>
      <c r="AT301" s="233"/>
      <c r="AU301" s="124"/>
      <c r="AV301" s="233"/>
      <c r="AW301" s="124"/>
      <c r="AX301" s="233"/>
      <c r="AY301" s="137"/>
      <c r="AZ301" s="233"/>
      <c r="BA301" s="137"/>
      <c r="BB301" s="233"/>
      <c r="BC301" s="137"/>
      <c r="BD301" s="233"/>
      <c r="BE301" s="137"/>
      <c r="BF301" s="233"/>
      <c r="BG301" s="137"/>
      <c r="BH301" s="233"/>
      <c r="BI301" s="137"/>
      <c r="BJ301" s="233"/>
      <c r="BK301" s="137"/>
      <c r="BL301" s="233"/>
      <c r="BM301" s="137"/>
      <c r="BN301" s="233"/>
      <c r="BO301" s="137"/>
      <c r="BP301" s="233"/>
      <c r="BQ301" s="137"/>
      <c r="BR301" s="233"/>
      <c r="BS301" s="137"/>
      <c r="BT301" s="233"/>
      <c r="BU301" s="137"/>
      <c r="BV301" s="233"/>
      <c r="BW301" s="137"/>
      <c r="BX301" s="233"/>
      <c r="BY301" s="137"/>
      <c r="BZ301" s="233"/>
      <c r="CA301" s="137"/>
      <c r="CB301" s="233"/>
      <c r="CC301" s="137"/>
      <c r="CD301" s="233"/>
      <c r="CE301" s="137"/>
      <c r="CF301" s="233"/>
      <c r="CG301" s="137"/>
      <c r="CH301" s="233"/>
      <c r="CI301" s="137"/>
      <c r="CJ301" s="233"/>
      <c r="CK301" s="204">
        <f>+CK298-CK299</f>
        <v>94</v>
      </c>
      <c r="CL301" s="98" t="str">
        <f>IF(ISERROR((CK301/CC301-1)*100),"NA",IF(((CK301/CC301-1)*100)&gt;100,"NM",IF(((CK301/CC301-1)*100)&lt;-50,"NM",(CK301/CC301-1)*100)))</f>
        <v>NA</v>
      </c>
      <c r="CM301" s="204">
        <f>+CM298-CM299</f>
        <v>224</v>
      </c>
      <c r="CN301" s="98" t="str">
        <f>IF(ISERROR((CM301/CE301-1)*100),"NA",IF(((CM301/CE301-1)*100)&gt;100,"NM",IF(((CM301/CE301-1)*100)&lt;-50,"NM",(CM301/CE301-1)*100)))</f>
        <v>NA</v>
      </c>
      <c r="CO301" s="204">
        <f>+CO298-CO299</f>
        <v>171</v>
      </c>
      <c r="CP301" s="98" t="str">
        <f>IF(ISERROR((CO301/CG301-1)*100),"NA",IF(((CO301/CG301-1)*100)&gt;100,"NM",IF(((CO301/CG301-1)*100)&lt;-50,"NM",(CO301/CG301-1)*100)))</f>
        <v>NA</v>
      </c>
      <c r="CQ301" s="505">
        <f>+CQ298-CQ299</f>
        <v>222</v>
      </c>
      <c r="CR301" s="98" t="str">
        <f>IF(ISERROR((CQ301/CI301-1)*100),"NA",IF(((CQ301/CI301-1)*100)&gt;100,"NM",IF(((CQ301/CI301-1)*100)&lt;-50,"NM",(CQ301/CI301-1)*100)))</f>
        <v>NA</v>
      </c>
      <c r="CS301" s="204">
        <f>+CS298-CS299</f>
        <v>259</v>
      </c>
      <c r="CT301" s="98" t="str">
        <f>IF(ISERROR((CS301/CK301-1)*100),"NA",IF(((CS301/CK301-1)*100)&gt;100,"NM",IF(((CS301/CK301-1)*100)&lt;-50,"NM",(CS301/CK301-1)*100)))</f>
        <v>NM</v>
      </c>
      <c r="CU301" s="204">
        <f>+CU298-CU299</f>
        <v>301</v>
      </c>
      <c r="CV301" s="98">
        <f>IF(ISERROR((CU301/CM301-1)*100),"NA",IF(((CU301/CM301-1)*100)&gt;100,"NM",IF(((CU301/CM301-1)*100)&lt;-50,"NM",(CU301/CM301-1)*100)))</f>
        <v>34.375</v>
      </c>
      <c r="CW301" s="204">
        <f>+CW298-CW299</f>
        <v>279</v>
      </c>
      <c r="CX301" s="98">
        <f>IF(ISERROR((CW301/CO301-1)*100),"NA",IF(((CW301/CO301-1)*100)&gt;100,"NM",IF(((CW301/CO301-1)*100)&lt;-50,"NM",(CW301/CO301-1)*100)))</f>
        <v>63.157894736842103</v>
      </c>
      <c r="CY301" s="204">
        <f>+CY298-CY299</f>
        <v>259</v>
      </c>
      <c r="CZ301" s="98">
        <f>IF(ISERROR((CY301/CQ301-1)*100),"NA",IF(((CY301/CQ301-1)*100)&gt;100,"NM",IF(((CY301/CQ301-1)*100)&lt;-50,"NM",(CY301/CQ301-1)*100)))</f>
        <v>16.666666666666675</v>
      </c>
      <c r="DA301" s="204">
        <f>+DA298-DA299</f>
        <v>198</v>
      </c>
      <c r="DB301" s="98">
        <f>IF(ISERROR((DA301/CS301-1)*100),"NA",IF(((DA301/CS301-1)*100)&gt;100,"NM",IF(((DA301/CS301-1)*100)&lt;-50,"NM",(DA301/CS301-1)*100)))</f>
        <v>-23.55212355212355</v>
      </c>
      <c r="DC301" s="204">
        <f>+DC298-DC299</f>
        <v>333</v>
      </c>
      <c r="DD301" s="98">
        <f>IF(ISERROR((DC301/CU301-1)*100),"NA",IF(((DC301/CU301-1)*100)&gt;100,"NM",IF(((DC301/CU301-1)*100)&lt;-50,"NM",(DC301/CU301-1)*100)))</f>
        <v>10.631229235880401</v>
      </c>
      <c r="DE301" s="204">
        <f>+DE298-DE299</f>
        <v>330</v>
      </c>
      <c r="DF301" s="98">
        <f>IF(ISERROR((DE301/CW301-1)*100),"NA",IF(((DE301/CW301-1)*100)&gt;100,"NM",IF(((DE301/CW301-1)*100)&lt;-50,"NM",(DE301/CW301-1)*100)))</f>
        <v>18.279569892473123</v>
      </c>
      <c r="DG301" s="204">
        <f>+DG298-DG299</f>
        <v>257</v>
      </c>
      <c r="DH301" s="98">
        <f>IF(ISERROR((DG301/CY301-1)*100),"NA",IF(((DG301/CY301-1)*100)&gt;100,"NM",IF(((DG301/CY301-1)*100)&lt;-50,"NM",(DG301/CY301-1)*100)))</f>
        <v>-0.77220077220077066</v>
      </c>
      <c r="DI301" s="204">
        <f>+DI298-DI299</f>
        <v>324</v>
      </c>
      <c r="DJ301" s="98">
        <f>IF(ISERROR((DI301/DA301-1)*100),"NA",IF(((DI301/DA301-1)*100)&gt;100,"NM",IF(((DI301/DA301-1)*100)&lt;-50,"NM",(DI301/DA301-1)*100)))</f>
        <v>63.636363636363647</v>
      </c>
      <c r="DK301" s="204">
        <f>+DK298-DK299</f>
        <v>333</v>
      </c>
      <c r="DL301" s="98">
        <f>IF(ISERROR((DK301/DC301-1)*100),"NA",IF(((DK301/DC301-1)*100)&gt;100,"NM",IF(((DK301/DC301-1)*100)&lt;-50,"NM",(DK301/DC301-1)*100)))</f>
        <v>0</v>
      </c>
      <c r="DM301" s="204">
        <f>+DM298-DM299</f>
        <v>324</v>
      </c>
      <c r="DN301" s="98">
        <f>IF(ISERROR((DM301/DE301-1)*100),"NA",IF(((DM301/DE301-1)*100)&gt;100,"NM",IF(((DM301/DE301-1)*100)&lt;-50,"NM",(DM301/DE301-1)*100)))</f>
        <v>-1.8181818181818188</v>
      </c>
      <c r="DO301" s="204">
        <f>+DO298-DO299</f>
        <v>310</v>
      </c>
      <c r="DP301" s="98">
        <f>IF(ISERROR((DO301/DG301-1)*100),"NA",IF(((DO301/DG301-1)*100)&gt;100,"NM",IF(((DO301/DG301-1)*100)&lt;-50,"NM",(DO301/DG301-1)*100)))</f>
        <v>20.622568093385208</v>
      </c>
      <c r="DQ301" s="204">
        <f>+DQ298-DQ299</f>
        <v>340</v>
      </c>
      <c r="DR301" s="98">
        <f>IF(ISERROR((DQ301/DI301-1)*100),"NA",IF(((DQ301/DI301-1)*100)&gt;100,"NM",IF(((DQ301/DI301-1)*100)&lt;-50,"NM",(DQ301/DI301-1)*100)))</f>
        <v>4.9382716049382713</v>
      </c>
      <c r="DS301" s="204">
        <f>+DS298-DS299</f>
        <v>327</v>
      </c>
      <c r="DT301" s="98">
        <f>IF(ISERROR((DS301/DK301-1)*100),"NA",IF(((DS301/DK301-1)*100)&gt;100,"NM",IF(((DS301/DK301-1)*100)&lt;-50,"NM",(DS301/DK301-1)*100)))</f>
        <v>-1.8018018018018056</v>
      </c>
      <c r="DU301" s="204">
        <f>+DU298-DU299</f>
        <v>425</v>
      </c>
      <c r="DV301" s="98">
        <f>IF(ISERROR((DU301/DM301-1)*100),"NA",IF(((DU301/DM301-1)*100)&gt;100,"NM",IF(((DU301/DM301-1)*100)&lt;-50,"NM",(DU301/DM301-1)*100)))</f>
        <v>31.172839506172846</v>
      </c>
      <c r="DW301" s="204">
        <f>+DW298-DW299</f>
        <v>338</v>
      </c>
      <c r="DX301" s="98">
        <f>IF(ISERROR((DW301/DO301-1)*100),"NA",IF(((DW301/DO301-1)*100)&gt;100,"NM",IF(((DW301/DO301-1)*100)&lt;-50,"NM",(DW301/DO301-1)*100)))</f>
        <v>9.0322580645161299</v>
      </c>
      <c r="DY301" s="204">
        <f>+DY298-DY299</f>
        <v>290</v>
      </c>
      <c r="DZ301" s="98">
        <f>IF(ISERROR((DY301/DQ301-1)*100),"NA",IF(((DY301/DQ301-1)*100)&gt;100,"NM",IF(((DY301/DQ301-1)*100)&lt;-50,"NM",(DY301/DQ301-1)*100)))</f>
        <v>-14.705882352941179</v>
      </c>
      <c r="EA301" s="204">
        <f>+EA298-EA299</f>
        <v>305</v>
      </c>
      <c r="EB301" s="98">
        <f>IF(ISERROR((EA301/DS301-1)*100),"NA",IF(((EA301/DS301-1)*100)&gt;100,"NM",IF(((EA301/DS301-1)*100)&lt;-50,"NM",(EA301/DS301-1)*100)))</f>
        <v>-6.7278287461773667</v>
      </c>
      <c r="EC301" s="204">
        <f>+EC298-EC299</f>
        <v>259</v>
      </c>
      <c r="ED301" s="98">
        <f>IF(ISERROR((EC301/DU301-1)*100),"NA",IF(((EC301/DU301-1)*100)&gt;100,"NM",IF(((EC301/DU301-1)*100)&lt;-50,"NM",(EC301/DU301-1)*100)))</f>
        <v>-39.058823529411768</v>
      </c>
      <c r="EE301" s="204">
        <f>+EE298-EE299</f>
        <v>324</v>
      </c>
      <c r="EF301" s="860">
        <f>IF(ISERROR((EE301/DW301-1)*100),"NA",IF(((EE301/DW301-1)*100)&gt;100,"NM",IF(((EE301/DW301-1)*100)&lt;-50,"NM",(EE301/DW301-1)*100)))</f>
        <v>-4.1420118343195256</v>
      </c>
      <c r="EG301" s="204">
        <f>+EG298-EG299</f>
        <v>354</v>
      </c>
      <c r="EH301" s="860">
        <f>IF(ISERROR((EG301/DY301-1)*100),"NA",IF(((EG301/DY301-1)*100)&gt;100,"NM",IF(((EG301/DY301-1)*100)&lt;-50,"NM",(EG301/DY301-1)*100)))</f>
        <v>22.068965517241381</v>
      </c>
      <c r="EI301" s="204">
        <f>+EI298-EI299</f>
        <v>295</v>
      </c>
      <c r="EJ301" s="860">
        <f t="shared" si="1581"/>
        <v>-3.2786885245901676</v>
      </c>
      <c r="EK301" s="204">
        <f>+EK298-EK299</f>
        <v>310</v>
      </c>
      <c r="EL301" s="860">
        <f t="shared" si="1582"/>
        <v>19.691119691119695</v>
      </c>
      <c r="EM301" s="204">
        <f>+EM298-EM299</f>
        <v>314</v>
      </c>
      <c r="EN301" s="860">
        <f t="shared" si="1583"/>
        <v>-3.0864197530864224</v>
      </c>
      <c r="EO301" s="204">
        <f>+EO298-EO299</f>
        <v>310</v>
      </c>
      <c r="EP301" s="98">
        <f t="shared" si="1584"/>
        <v>-12.429378531073443</v>
      </c>
      <c r="EQ301" s="1028">
        <f t="shared" ref="EQ301" si="1601">+EQ298-EQ299</f>
        <v>325.86588020000011</v>
      </c>
      <c r="ER301" s="98">
        <f t="shared" si="1586"/>
        <v>10.463010237288174</v>
      </c>
      <c r="ES301" s="1028">
        <f t="shared" ref="ES301" si="1602">+ES298-ES299</f>
        <v>331.57710791275031</v>
      </c>
      <c r="ET301" s="98">
        <f t="shared" si="1588"/>
        <v>6.9603573912097705</v>
      </c>
      <c r="EU301" s="1028">
        <f t="shared" ref="EU301" si="1603">+EU298-EU299</f>
        <v>337.39672629335769</v>
      </c>
      <c r="EV301" s="98">
        <f t="shared" si="1590"/>
        <v>7.4511867176298319</v>
      </c>
      <c r="EW301" s="1028">
        <f t="shared" ref="EW301" si="1604">+EW298-EW299</f>
        <v>340.34124317248745</v>
      </c>
      <c r="EX301" s="98">
        <f t="shared" si="1592"/>
        <v>9.7874977975765951</v>
      </c>
      <c r="EY301" s="301"/>
      <c r="EZ301" s="601"/>
      <c r="FA301" s="411"/>
      <c r="FB301" s="242"/>
      <c r="FC301" s="233"/>
      <c r="FD301" s="291"/>
      <c r="FE301" s="233"/>
      <c r="FF301" s="291"/>
      <c r="FG301" s="233"/>
      <c r="FH301" s="291"/>
      <c r="FI301" s="233"/>
      <c r="FJ301" s="291"/>
      <c r="FK301" s="233"/>
      <c r="FL301" s="291"/>
      <c r="FM301" s="233"/>
      <c r="FN301" s="291"/>
      <c r="FO301" s="233"/>
      <c r="FP301" s="291"/>
      <c r="FQ301" s="233"/>
      <c r="FR301" s="292"/>
      <c r="FS301" s="120"/>
      <c r="FT301" s="292"/>
      <c r="FU301" s="120"/>
      <c r="FV301" s="292"/>
      <c r="FW301" s="233"/>
      <c r="FX301" s="483"/>
      <c r="FY301" s="233"/>
      <c r="FZ301" s="205">
        <f>+FZ298-FZ299</f>
        <v>94</v>
      </c>
      <c r="GA301" s="98" t="str">
        <f>IF(ISERROR((FZ301/FX301-1)*100),"NA",IF(((FZ301/FX301-1)*100)&gt;100,"NM",IF(((FZ301/FX301-1)*100)&lt;-50,"NM",(FZ301/FX301-1)*100)))</f>
        <v>NA</v>
      </c>
      <c r="GB301" s="503">
        <f>+GB298-GB299</f>
        <v>880</v>
      </c>
      <c r="GC301" s="98" t="str">
        <f>IF(ISERROR((GB301/FZ301-1)*100),"NA",IF(((GB301/FZ301-1)*100)&gt;100,"NM",IF(((GB301/FZ301-1)*100)&lt;-50,"NM",(GB301/FZ301-1)*100)))</f>
        <v>NM</v>
      </c>
      <c r="GD301" s="205">
        <f>+GD298-GD299</f>
        <v>1037</v>
      </c>
      <c r="GE301" s="98">
        <f>IF(ISERROR((GD301/GB301-1)*100),"NA",IF(((GD301/GB301-1)*100)&gt;100,"NM",IF(((GD301/GB301-1)*100)&lt;-50,"NM",(GD301/GB301-1)*100)))</f>
        <v>17.840909090909097</v>
      </c>
      <c r="GF301" s="205">
        <f>+GF298-GF299</f>
        <v>1244</v>
      </c>
      <c r="GG301" s="98">
        <f>IF(ISERROR((GF301/GD301-1)*100),"NA",IF(((GF301/GD301-1)*100)&gt;100,"NM",IF(((GF301/GD301-1)*100)&lt;-50,"NM",(GF301/GD301-1)*100)))</f>
        <v>19.961427193828342</v>
      </c>
      <c r="GH301" s="205">
        <f>+GH298-GH299</f>
        <v>1307</v>
      </c>
      <c r="GI301" s="98">
        <f>IF(ISERROR((GH301/GF301-1)*100),"NA",IF(((GH301/GF301-1)*100)&gt;100,"NM",IF(((GH301/GF301-1)*100)&lt;-50,"NM",(GH301/GF301-1)*100)))</f>
        <v>5.0643086816720251</v>
      </c>
      <c r="GJ301" s="205">
        <f>+GJ298-GJ299</f>
        <v>1380</v>
      </c>
      <c r="GK301" s="98">
        <f>IF(ISERROR((GJ301/GH301-1)*100),"NA",IF(((GJ301/GH301-1)*100)&gt;100,"NM",IF(((GJ301/GH301-1)*100)&lt;-50,"NM",(GJ301/GH301-1)*100)))</f>
        <v>5.5853098699311321</v>
      </c>
      <c r="GL301" s="205">
        <f>+GL298-GL299</f>
        <v>1242</v>
      </c>
      <c r="GM301" s="98">
        <f>IF(ISERROR((GL301/GJ301-1)*100),"NA",IF(((GL301/GJ301-1)*100)&gt;100,"NM",IF(((GL301/GJ301-1)*100)&lt;-50,"NM",(GL301/GJ301-1)*100)))</f>
        <v>-9.9999999999999982</v>
      </c>
      <c r="GN301" s="205">
        <f>+GN298-GN299</f>
        <v>1229</v>
      </c>
      <c r="GO301" s="98">
        <f>IF(ISERROR((GN301/GL301-1)*100),"NA",IF(((GN301/GL301-1)*100)&gt;100,"NM",IF(((GN301/GL301-1)*100)&lt;-50,"NM",(GN301/GL301-1)*100)))</f>
        <v>-1.046698872785834</v>
      </c>
      <c r="GP301" s="205">
        <f>+GP298-GP299</f>
        <v>1335.1809575785969</v>
      </c>
      <c r="GQ301" s="98">
        <f>IF(ISERROR((GP301/GN301-1)*100),"NA",IF(((GP301/GN301-1)*100)&gt;100,"NM",IF(((GP301/GN301-1)*100)&lt;-50,"NM",(GP301/GN301-1)*100)))</f>
        <v>8.6396222602601149</v>
      </c>
      <c r="GR301" s="204">
        <f>+GR298-GR299</f>
        <v>1423.1892655553743</v>
      </c>
      <c r="GS301" s="98">
        <f>IF(ISERROR((GR301/GP301-1)*100),"NA",IF(((GR301/GP301-1)*100)&gt;100,"NM",IF(((GR301/GP301-1)*100)&lt;-50,"NM",(GR301/GP301-1)*100)))</f>
        <v>6.5914891518812357</v>
      </c>
      <c r="GT301" s="204">
        <f>+GT298-GT299</f>
        <v>1494.3487288331453</v>
      </c>
      <c r="GU301" s="98">
        <f>IF(ISERROR((GT301/GR301-1)*100),"NA",IF(((GT301/GR301-1)*100)&gt;100,"NM",IF(((GT301/GR301-1)*100)&lt;-50,"NM",(GT301/GR301-1)*100)))</f>
        <v>5.0000000000001599</v>
      </c>
      <c r="GV301" s="204">
        <f>+GV298-GV299</f>
        <v>1578.0766688355261</v>
      </c>
      <c r="GW301" s="98">
        <f>IF(ISERROR((GV301/GT301-1)*100),"NA",IF(((GV301/GT301-1)*100)&gt;100,"NM",IF(((GV301/GT301-1)*100)&lt;-50,"NM",(GV301/GT301-1)*100)))</f>
        <v>5.6029719426843094</v>
      </c>
      <c r="GX301" s="204">
        <f>+GX298-GX299</f>
        <v>1649.4048214793954</v>
      </c>
      <c r="GY301" s="98">
        <f>IF(ISERROR((GX301/GV301-1)*100),"NA",IF(((GX301/GV301-1)*100)&gt;100,"NM",IF(((GX301/GV301-1)*100)&lt;-50,"NM",(GX301/GV301-1)*100)))</f>
        <v>4.5199421582287735</v>
      </c>
      <c r="GZ301" s="98">
        <f t="shared" si="1593"/>
        <v>6.0608431675433172</v>
      </c>
      <c r="HA301" s="98"/>
      <c r="HB301" s="10"/>
      <c r="HC301"/>
      <c r="HD301"/>
      <c r="HE301"/>
      <c r="HF301"/>
      <c r="HG301"/>
      <c r="HH301"/>
      <c r="HI301" s="10"/>
    </row>
    <row r="302" spans="2:217" s="210" customFormat="1" ht="12.75" hidden="1" customHeight="1" outlineLevel="1" x14ac:dyDescent="0.2">
      <c r="B302" s="102" t="s">
        <v>341</v>
      </c>
      <c r="C302" s="117"/>
      <c r="D302" s="98"/>
      <c r="E302" s="117"/>
      <c r="F302" s="98"/>
      <c r="G302" s="117"/>
      <c r="H302" s="98"/>
      <c r="I302" s="117"/>
      <c r="J302" s="98"/>
      <c r="K302" s="117"/>
      <c r="L302" s="98"/>
      <c r="M302" s="117"/>
      <c r="N302" s="98"/>
      <c r="O302" s="117"/>
      <c r="P302" s="98"/>
      <c r="Q302" s="117"/>
      <c r="R302" s="98"/>
      <c r="S302" s="117"/>
      <c r="T302" s="98"/>
      <c r="U302" s="117"/>
      <c r="V302" s="98"/>
      <c r="W302" s="117"/>
      <c r="X302" s="98"/>
      <c r="Y302" s="117"/>
      <c r="Z302" s="98"/>
      <c r="AA302" s="117"/>
      <c r="AB302" s="98"/>
      <c r="AC302" s="117"/>
      <c r="AD302" s="98"/>
      <c r="AE302" s="117"/>
      <c r="AF302" s="98"/>
      <c r="AG302" s="117"/>
      <c r="AH302" s="98"/>
      <c r="AI302" s="117"/>
      <c r="AJ302" s="98"/>
      <c r="AK302" s="117"/>
      <c r="AL302" s="98"/>
      <c r="AM302" s="117"/>
      <c r="AN302" s="98"/>
      <c r="AO302" s="117"/>
      <c r="AP302" s="98"/>
      <c r="AQ302" s="117"/>
      <c r="AR302" s="98"/>
      <c r="AS302" s="117"/>
      <c r="AT302" s="98"/>
      <c r="AU302" s="117"/>
      <c r="AV302" s="98"/>
      <c r="AW302" s="117"/>
      <c r="AX302" s="98"/>
      <c r="AY302" s="117"/>
      <c r="AZ302" s="98"/>
      <c r="BA302" s="117"/>
      <c r="BB302" s="98"/>
      <c r="BC302" s="117"/>
      <c r="BD302" s="98"/>
      <c r="BE302" s="117"/>
      <c r="BF302" s="98"/>
      <c r="BG302" s="117"/>
      <c r="BH302" s="98"/>
      <c r="BI302" s="117"/>
      <c r="BJ302" s="98"/>
      <c r="BK302" s="117"/>
      <c r="BL302" s="98"/>
      <c r="BM302" s="117"/>
      <c r="BN302" s="98"/>
      <c r="BO302" s="117"/>
      <c r="BP302" s="98"/>
      <c r="BQ302" s="117"/>
      <c r="BR302" s="98"/>
      <c r="BS302" s="117"/>
      <c r="BT302" s="98"/>
      <c r="BU302" s="117"/>
      <c r="BV302" s="98"/>
      <c r="BW302" s="117"/>
      <c r="BX302" s="98"/>
      <c r="BY302" s="117"/>
      <c r="BZ302" s="98"/>
      <c r="CA302" s="118"/>
      <c r="CB302" s="98"/>
      <c r="CC302" s="118"/>
      <c r="CD302" s="98"/>
      <c r="CE302" s="118"/>
      <c r="CF302" s="98"/>
      <c r="CG302" s="118"/>
      <c r="CH302" s="98"/>
      <c r="CI302" s="118"/>
      <c r="CJ302" s="98"/>
      <c r="CK302" s="221">
        <v>0</v>
      </c>
      <c r="CL302" s="98" t="str">
        <f>IF(ISERROR((CK302/#REF!-1)*100),"NA",IF(((CK302/#REF!-1)*100)&gt;100,"NM",IF(((CK302/#REF!-1)*100)&lt;-50,"NM",(CK302/#REF!-1)*100)))</f>
        <v>NA</v>
      </c>
      <c r="CM302" s="221">
        <v>0</v>
      </c>
      <c r="CN302" s="98" t="str">
        <f>IF(ISERROR((CM302/#REF!-1)*100),"NA",IF(((CM302/#REF!-1)*100)&gt;100,"NM",IF(((CM302/#REF!-1)*100)&lt;-50,"NM",(CM302/#REF!-1)*100)))</f>
        <v>NA</v>
      </c>
      <c r="CO302" s="221">
        <v>0</v>
      </c>
      <c r="CP302" s="98" t="str">
        <f>IF(ISERROR((CO302/#REF!-1)*100),"NA",IF(((CO302/#REF!-1)*100)&gt;100,"NM",IF(((CO302/#REF!-1)*100)&lt;-50,"NM",(CO302/#REF!-1)*100)))</f>
        <v>NA</v>
      </c>
      <c r="CQ302" s="556">
        <v>0</v>
      </c>
      <c r="CR302" s="98" t="str">
        <f>IF(ISERROR((CQ302/#REF!-1)*100),"NA",IF(((CQ302/#REF!-1)*100)&gt;100,"NM",IF(((CQ302/#REF!-1)*100)&lt;-50,"NM",(CQ302/#REF!-1)*100)))</f>
        <v>NA</v>
      </c>
      <c r="CS302" s="221">
        <v>0</v>
      </c>
      <c r="CT302" s="98" t="str">
        <f>IF(ISERROR((CS302/#REF!-1)*100),"NA",IF(((CS302/#REF!-1)*100)&gt;100,"NM",IF(((CS302/#REF!-1)*100)&lt;-50,"NM",(CS302/#REF!-1)*100)))</f>
        <v>NA</v>
      </c>
      <c r="CU302" s="221">
        <v>0</v>
      </c>
      <c r="CV302" s="98" t="str">
        <f>IF(ISERROR((CU302/#REF!-1)*100),"NA",IF(((CU302/#REF!-1)*100)&gt;100,"NM",IF(((CU302/#REF!-1)*100)&lt;-50,"NM",(CU302/#REF!-1)*100)))</f>
        <v>NA</v>
      </c>
      <c r="CW302" s="221">
        <v>0</v>
      </c>
      <c r="CX302" s="98" t="str">
        <f>IF(ISERROR((CW302/#REF!-1)*100),"NA",IF(((CW302/#REF!-1)*100)&gt;100,"NM",IF(((CW302/#REF!-1)*100)&lt;-50,"NM",(CW302/#REF!-1)*100)))</f>
        <v>NA</v>
      </c>
      <c r="CY302" s="221">
        <v>0</v>
      </c>
      <c r="CZ302" s="98" t="str">
        <f>IF(ISERROR((CY302/#REF!-1)*100),"NA",IF(((CY302/#REF!-1)*100)&gt;100,"NM",IF(((CY302/#REF!-1)*100)&lt;-50,"NM",(CY302/#REF!-1)*100)))</f>
        <v>NA</v>
      </c>
      <c r="DA302" s="221">
        <v>0</v>
      </c>
      <c r="DB302" s="98" t="str">
        <f>IF(ISERROR((DA302/#REF!-1)*100),"NA",IF(((DA302/#REF!-1)*100)&gt;100,"NM",IF(((DA302/#REF!-1)*100)&lt;-50,"NM",(DA302/#REF!-1)*100)))</f>
        <v>NA</v>
      </c>
      <c r="DC302" s="221">
        <v>0</v>
      </c>
      <c r="DD302" s="98" t="str">
        <f>IF(ISERROR((DC302/#REF!-1)*100),"NA",IF(((DC302/#REF!-1)*100)&gt;100,"NM",IF(((DC302/#REF!-1)*100)&lt;-50,"NM",(DC302/#REF!-1)*100)))</f>
        <v>NA</v>
      </c>
      <c r="DE302" s="221">
        <v>0</v>
      </c>
      <c r="DF302" s="98" t="str">
        <f>IF(ISERROR((DE302/#REF!-1)*100),"NA",IF(((DE302/#REF!-1)*100)&gt;100,"NM",IF(((DE302/#REF!-1)*100)&lt;-50,"NM",(DE302/#REF!-1)*100)))</f>
        <v>NA</v>
      </c>
      <c r="DG302" s="221">
        <v>0</v>
      </c>
      <c r="DH302" s="98" t="str">
        <f>IF(ISERROR((DG302/#REF!-1)*100),"NA",IF(((DG302/#REF!-1)*100)&gt;100,"NM",IF(((DG302/#REF!-1)*100)&lt;-50,"NM",(DG302/#REF!-1)*100)))</f>
        <v>NA</v>
      </c>
      <c r="DI302" s="221">
        <v>0</v>
      </c>
      <c r="DJ302" s="98" t="str">
        <f>IF(ISERROR((DI302/#REF!-1)*100),"NA",IF(((DI302/#REF!-1)*100)&gt;100,"NM",IF(((DI302/#REF!-1)*100)&lt;-50,"NM",(DI302/#REF!-1)*100)))</f>
        <v>NA</v>
      </c>
      <c r="DK302" s="221">
        <v>0</v>
      </c>
      <c r="DL302" s="98" t="str">
        <f>IF(ISERROR((DK302/#REF!-1)*100),"NA",IF(((DK302/#REF!-1)*100)&gt;100,"NM",IF(((DK302/#REF!-1)*100)&lt;-50,"NM",(DK302/#REF!-1)*100)))</f>
        <v>NA</v>
      </c>
      <c r="DM302" s="221">
        <v>0</v>
      </c>
      <c r="DN302" s="98" t="str">
        <f>IF(ISERROR((DM302/#REF!-1)*100),"NA",IF(((DM302/#REF!-1)*100)&gt;100,"NM",IF(((DM302/#REF!-1)*100)&lt;-50,"NM",(DM302/#REF!-1)*100)))</f>
        <v>NA</v>
      </c>
      <c r="DO302" s="221">
        <v>0</v>
      </c>
      <c r="DP302" s="98" t="str">
        <f>IF(ISERROR((DO302/#REF!-1)*100),"NA",IF(((DO302/#REF!-1)*100)&gt;100,"NM",IF(((DO302/#REF!-1)*100)&lt;-50,"NM",(DO302/#REF!-1)*100)))</f>
        <v>NA</v>
      </c>
      <c r="DQ302" s="221">
        <v>0</v>
      </c>
      <c r="DR302" s="98" t="str">
        <f>IF(ISERROR((DQ302/#REF!-1)*100),"NA",IF(((DQ302/#REF!-1)*100)&gt;100,"NM",IF(((DQ302/#REF!-1)*100)&lt;-50,"NM",(DQ302/#REF!-1)*100)))</f>
        <v>NA</v>
      </c>
      <c r="DS302" s="221">
        <v>0</v>
      </c>
      <c r="DT302" s="98" t="str">
        <f>IF(ISERROR((DS302/#REF!-1)*100),"NA",IF(((DS302/#REF!-1)*100)&gt;100,"NM",IF(((DS302/#REF!-1)*100)&lt;-50,"NM",(DS302/#REF!-1)*100)))</f>
        <v>NA</v>
      </c>
      <c r="DU302" s="221">
        <v>0</v>
      </c>
      <c r="DV302" s="98" t="str">
        <f>IF(ISERROR((DU302/#REF!-1)*100),"NA",IF(((DU302/#REF!-1)*100)&gt;100,"NM",IF(((DU302/#REF!-1)*100)&lt;-50,"NM",(DU302/#REF!-1)*100)))</f>
        <v>NA</v>
      </c>
      <c r="DW302" s="221">
        <v>0</v>
      </c>
      <c r="DX302" s="98" t="str">
        <f>IF(ISERROR((DW302/#REF!-1)*100),"NA",IF(((DW302/#REF!-1)*100)&gt;100,"NM",IF(((DW302/#REF!-1)*100)&lt;-50,"NM",(DW302/#REF!-1)*100)))</f>
        <v>NA</v>
      </c>
      <c r="DY302" s="221">
        <v>0</v>
      </c>
      <c r="DZ302" s="98" t="str">
        <f>IF(ISERROR((DY302/#REF!-1)*100),"NA",IF(((DY302/#REF!-1)*100)&gt;100,"NM",IF(((DY302/#REF!-1)*100)&lt;-50,"NM",(DY302/#REF!-1)*100)))</f>
        <v>NA</v>
      </c>
      <c r="EA302" s="221">
        <v>0</v>
      </c>
      <c r="EB302" s="98" t="str">
        <f>IF(ISERROR((EA302/#REF!-1)*100),"NA",IF(((EA302/#REF!-1)*100)&gt;100,"NM",IF(((EA302/#REF!-1)*100)&lt;-50,"NM",(EA302/#REF!-1)*100)))</f>
        <v>NA</v>
      </c>
      <c r="EC302" s="221">
        <v>0</v>
      </c>
      <c r="ED302" s="98" t="str">
        <f>IF(ISERROR((EC302/#REF!-1)*100),"NA",IF(((EC302/#REF!-1)*100)&gt;100,"NM",IF(((EC302/#REF!-1)*100)&lt;-50,"NM",(EC302/#REF!-1)*100)))</f>
        <v>NA</v>
      </c>
      <c r="EE302" s="221">
        <v>0</v>
      </c>
      <c r="EF302" s="860" t="str">
        <f>IF(ISERROR((EE302/#REF!-1)*100),"NA",IF(((EE302/#REF!-1)*100)&gt;100,"NM",IF(((EE302/#REF!-1)*100)&lt;-50,"NM",(EE302/#REF!-1)*100)))</f>
        <v>NA</v>
      </c>
      <c r="EG302" s="221">
        <v>0</v>
      </c>
      <c r="EH302" s="860" t="str">
        <f>IF(ISERROR((EG302/#REF!-1)*100),"NA",IF(((EG302/#REF!-1)*100)&gt;100,"NM",IF(((EG302/#REF!-1)*100)&lt;-50,"NM",(EG302/#REF!-1)*100)))</f>
        <v>NA</v>
      </c>
      <c r="EI302" s="221">
        <v>0</v>
      </c>
      <c r="EJ302" s="860" t="str">
        <f>IF(ISERROR((EI302/#REF!-1)*100),"NA",IF(((EI302/#REF!-1)*100)&gt;100,"NM",IF(((EI302/#REF!-1)*100)&lt;-50,"NM",(EI302/#REF!-1)*100)))</f>
        <v>NA</v>
      </c>
      <c r="EK302" s="221">
        <v>0</v>
      </c>
      <c r="EL302" s="860" t="str">
        <f>IF(ISERROR((EK302/#REF!-1)*100),"NA",IF(((EK302/#REF!-1)*100)&gt;100,"NM",IF(((EK302/#REF!-1)*100)&lt;-50,"NM",(EK302/#REF!-1)*100)))</f>
        <v>NA</v>
      </c>
      <c r="EM302" s="221">
        <v>0</v>
      </c>
      <c r="EN302" s="860" t="str">
        <f>IF(ISERROR((EM302/#REF!-1)*100),"NA",IF(((EM302/#REF!-1)*100)&gt;100,"NM",IF(((EM302/#REF!-1)*100)&lt;-50,"NM",(EM302/#REF!-1)*100)))</f>
        <v>NA</v>
      </c>
      <c r="EO302" s="221">
        <v>0</v>
      </c>
      <c r="EP302" s="98" t="str">
        <f>IF(ISERROR((EO302/#REF!-1)*100),"NA",IF(((EO302/#REF!-1)*100)&gt;100,"NM",IF(((EO302/#REF!-1)*100)&lt;-50,"NM",(EO302/#REF!-1)*100)))</f>
        <v>NA</v>
      </c>
      <c r="EQ302" s="952">
        <v>0</v>
      </c>
      <c r="ER302" s="98" t="str">
        <f>IF(ISERROR((EQ302/#REF!-1)*100),"NA",IF(((EQ302/#REF!-1)*100)&gt;100,"NM",IF(((EQ302/#REF!-1)*100)&lt;-50,"NM",(EQ302/#REF!-1)*100)))</f>
        <v>NA</v>
      </c>
      <c r="ES302" s="952">
        <v>0</v>
      </c>
      <c r="ET302" s="98" t="str">
        <f>IF(ISERROR((ES302/#REF!-1)*100),"NA",IF(((ES302/#REF!-1)*100)&gt;100,"NM",IF(((ES302/#REF!-1)*100)&lt;-50,"NM",(ES302/#REF!-1)*100)))</f>
        <v>NA</v>
      </c>
      <c r="EU302" s="952">
        <v>0</v>
      </c>
      <c r="EV302" s="98" t="str">
        <f>IF(ISERROR((EU302/#REF!-1)*100),"NA",IF(((EU302/#REF!-1)*100)&gt;100,"NM",IF(((EU302/#REF!-1)*100)&lt;-50,"NM",(EU302/#REF!-1)*100)))</f>
        <v>NA</v>
      </c>
      <c r="EW302" s="952">
        <v>0</v>
      </c>
      <c r="EX302" s="98" t="str">
        <f>IF(ISERROR((EW302/#REF!-1)*100),"NA",IF(((EW302/#REF!-1)*100)&gt;100,"NM",IF(((EW302/#REF!-1)*100)&lt;-50,"NM",(EW302/#REF!-1)*100)))</f>
        <v>NA</v>
      </c>
      <c r="EY302" s="118"/>
      <c r="EZ302" s="598"/>
      <c r="FA302" s="409"/>
      <c r="FB302" s="117"/>
      <c r="FC302" s="98"/>
      <c r="FD302" s="117"/>
      <c r="FE302" s="98"/>
      <c r="FF302" s="118"/>
      <c r="FG302" s="98"/>
      <c r="FH302" s="118"/>
      <c r="FI302" s="98"/>
      <c r="FJ302" s="118"/>
      <c r="FK302" s="98"/>
      <c r="FL302" s="118"/>
      <c r="FM302" s="98"/>
      <c r="FN302" s="118"/>
      <c r="FO302" s="98"/>
      <c r="FP302" s="118"/>
      <c r="FQ302" s="98"/>
      <c r="FR302" s="119"/>
      <c r="FS302" s="120"/>
      <c r="FT302" s="119"/>
      <c r="FU302" s="120"/>
      <c r="FV302" s="118"/>
      <c r="FW302" s="98"/>
      <c r="FX302" s="510"/>
      <c r="FY302" s="98"/>
      <c r="FZ302" s="160">
        <f>CE302+CG302+CI302+CK302</f>
        <v>0</v>
      </c>
      <c r="GA302" s="98" t="str">
        <f>IF(ISERROR((FZ302/#REF!-1)*100),"NA",IF(((FZ302/#REF!-1)*100)&gt;100,"NM",IF(((FZ302/#REF!-1)*100)&lt;-50,"NM",(FZ302/#REF!-1)*100)))</f>
        <v>NA</v>
      </c>
      <c r="GB302" s="485">
        <f>CM302+CO302+CQ302+CS302</f>
        <v>0</v>
      </c>
      <c r="GC302" s="98" t="str">
        <f>IF(ISERROR((GB302/#REF!-1)*100),"NA",IF(((GB302/#REF!-1)*100)&gt;100,"NM",IF(((GB302/#REF!-1)*100)&lt;-50,"NM",(GB302/#REF!-1)*100)))</f>
        <v>NA</v>
      </c>
      <c r="GD302" s="119">
        <f>CU302+CW302+CY302+DA302</f>
        <v>0</v>
      </c>
      <c r="GE302" s="98" t="str">
        <f>IF(ISERROR((GD302/#REF!-1)*100),"NA",IF(((GD302/#REF!-1)*100)&gt;100,"NM",IF(((GD302/#REF!-1)*100)&lt;-50,"NM",(GD302/#REF!-1)*100)))</f>
        <v>NA</v>
      </c>
      <c r="GF302" s="119">
        <f>DC302+DE302+DG302+DI302</f>
        <v>0</v>
      </c>
      <c r="GG302" s="98" t="str">
        <f>IF(ISERROR((GF302/#REF!-1)*100),"NA",IF(((GF302/#REF!-1)*100)&gt;100,"NM",IF(((GF302/#REF!-1)*100)&lt;-50,"NM",(GF302/#REF!-1)*100)))</f>
        <v>NA</v>
      </c>
      <c r="GH302" s="119">
        <f>DK302+DM302+DO302+DQ302</f>
        <v>0</v>
      </c>
      <c r="GI302" s="98" t="str">
        <f>IF(ISERROR((GH302/#REF!-1)*100),"NA",IF(((GH302/#REF!-1)*100)&gt;100,"NM",IF(((GH302/#REF!-1)*100)&lt;-50,"NM",(GH302/#REF!-1)*100)))</f>
        <v>NA</v>
      </c>
      <c r="GJ302" s="119">
        <f>DS302+DU302+DW302+DY302</f>
        <v>0</v>
      </c>
      <c r="GK302" s="98" t="str">
        <f>IF(ISERROR((GJ302/#REF!-1)*100),"NA",IF(((GJ302/#REF!-1)*100)&gt;100,"NM",IF(((GJ302/#REF!-1)*100)&lt;-50,"NM",(GJ302/#REF!-1)*100)))</f>
        <v>NA</v>
      </c>
      <c r="GL302" s="119">
        <f>EA302+EC302+EE302+EG302</f>
        <v>0</v>
      </c>
      <c r="GM302" s="98" t="str">
        <f>IF(ISERROR((GL302/#REF!-1)*100),"NA",IF(((GL302/#REF!-1)*100)&gt;100,"NM",IF(((GL302/#REF!-1)*100)&lt;-50,"NM",(GL302/#REF!-1)*100)))</f>
        <v>NA</v>
      </c>
      <c r="GN302" s="119">
        <f>EI302+EK302+EM302+EO302</f>
        <v>0</v>
      </c>
      <c r="GO302" s="98" t="str">
        <f>IF(ISERROR((GN302/#REF!-1)*100),"NA",IF(((GN302/#REF!-1)*100)&gt;100,"NM",IF(((GN302/#REF!-1)*100)&lt;-50,"NM",(GN302/#REF!-1)*100)))</f>
        <v>NA</v>
      </c>
      <c r="GP302" s="119">
        <f>EQ302+ES302+EU302+EW302</f>
        <v>0</v>
      </c>
      <c r="GQ302" s="98" t="str">
        <f t="shared" ref="GQ302:GQ303" si="1605">IF(ISERROR((GP302/GN302-1)*100),"NA",IF(((GP302/GN302-1)*100)&gt;100,"NM",IF(((GP302/GN302-1)*100)&lt;-50,"NM",(GP302/GN302-1)*100)))</f>
        <v>NA</v>
      </c>
      <c r="GR302" s="121">
        <v>0</v>
      </c>
      <c r="GS302" s="98" t="str">
        <f t="shared" ref="GS302:GS303" si="1606">IF(ISERROR((GR302/GP302-1)*100),"NA",IF(((GR302/GP302-1)*100)&gt;100,"NM",IF(((GR302/GP302-1)*100)&lt;-50,"NM",(GR302/GP302-1)*100)))</f>
        <v>NA</v>
      </c>
      <c r="GT302" s="121">
        <v>0</v>
      </c>
      <c r="GU302" s="98" t="str">
        <f>IF(ISERROR((GT302/#REF!-1)*100),"NA",IF(((GT302/#REF!-1)*100)&gt;100,"NM",IF(((GT302/#REF!-1)*100)&lt;-50,"NM",(GT302/#REF!-1)*100)))</f>
        <v>NA</v>
      </c>
      <c r="GV302" s="121">
        <v>0</v>
      </c>
      <c r="GW302" s="98" t="str">
        <f>IF(ISERROR((GV302/#REF!-1)*100),"NA",IF(((GV302/#REF!-1)*100)&gt;100,"NM",IF(((GV302/#REF!-1)*100)&lt;-50,"NM",(GV302/#REF!-1)*100)))</f>
        <v>NA</v>
      </c>
      <c r="GX302" s="121">
        <v>0</v>
      </c>
      <c r="GY302" s="98" t="str">
        <f>IF(ISERROR((GX302/#REF!-1)*100),"NA",IF(((GX302/#REF!-1)*100)&gt;100,"NM",IF(((GX302/#REF!-1)*100)&lt;-50,"NM",(GX302/#REF!-1)*100)))</f>
        <v>NA</v>
      </c>
      <c r="GZ302" s="98" t="str">
        <f t="shared" si="1593"/>
        <v>NA</v>
      </c>
      <c r="HA302" s="98"/>
      <c r="HB302" s="240"/>
      <c r="HC302"/>
      <c r="HD302"/>
      <c r="HE302"/>
      <c r="HF302"/>
      <c r="HG302"/>
      <c r="HH302"/>
      <c r="HI302" s="10"/>
    </row>
    <row r="303" spans="2:217" s="210" customFormat="1" ht="12.75" customHeight="1" collapsed="1" x14ac:dyDescent="0.2">
      <c r="B303" s="102" t="s">
        <v>60</v>
      </c>
      <c r="C303" s="117"/>
      <c r="D303" s="98"/>
      <c r="E303" s="117"/>
      <c r="F303" s="98"/>
      <c r="G303" s="117"/>
      <c r="H303" s="98"/>
      <c r="I303" s="117"/>
      <c r="J303" s="98"/>
      <c r="K303" s="117"/>
      <c r="L303" s="98"/>
      <c r="M303" s="117"/>
      <c r="N303" s="98"/>
      <c r="O303" s="117"/>
      <c r="P303" s="98"/>
      <c r="Q303" s="117"/>
      <c r="R303" s="98"/>
      <c r="S303" s="117"/>
      <c r="T303" s="98"/>
      <c r="U303" s="117"/>
      <c r="V303" s="98"/>
      <c r="W303" s="117"/>
      <c r="X303" s="98"/>
      <c r="Y303" s="117"/>
      <c r="Z303" s="98"/>
      <c r="AA303" s="117"/>
      <c r="AB303" s="98"/>
      <c r="AC303" s="117"/>
      <c r="AD303" s="98"/>
      <c r="AE303" s="117"/>
      <c r="AF303" s="98"/>
      <c r="AG303" s="117"/>
      <c r="AH303" s="98"/>
      <c r="AI303" s="117"/>
      <c r="AJ303" s="98"/>
      <c r="AK303" s="117"/>
      <c r="AL303" s="98"/>
      <c r="AM303" s="117"/>
      <c r="AN303" s="98"/>
      <c r="AO303" s="117"/>
      <c r="AP303" s="98"/>
      <c r="AQ303" s="117"/>
      <c r="AR303" s="98"/>
      <c r="AS303" s="117"/>
      <c r="AT303" s="98"/>
      <c r="AU303" s="117"/>
      <c r="AV303" s="98"/>
      <c r="AW303" s="117"/>
      <c r="AX303" s="98"/>
      <c r="AY303" s="117"/>
      <c r="AZ303" s="98"/>
      <c r="BA303" s="117"/>
      <c r="BB303" s="98"/>
      <c r="BC303" s="117"/>
      <c r="BD303" s="98"/>
      <c r="BE303" s="117"/>
      <c r="BF303" s="98"/>
      <c r="BG303" s="117"/>
      <c r="BH303" s="98"/>
      <c r="BI303" s="117"/>
      <c r="BJ303" s="98"/>
      <c r="BK303" s="117"/>
      <c r="BL303" s="98"/>
      <c r="BM303" s="117"/>
      <c r="BN303" s="98"/>
      <c r="BO303" s="117"/>
      <c r="BP303" s="98"/>
      <c r="BQ303" s="117"/>
      <c r="BR303" s="98"/>
      <c r="BS303" s="117"/>
      <c r="BT303" s="98"/>
      <c r="BU303" s="117"/>
      <c r="BV303" s="98"/>
      <c r="BW303" s="117"/>
      <c r="BX303" s="98"/>
      <c r="BY303" s="117"/>
      <c r="BZ303" s="98"/>
      <c r="CA303" s="118"/>
      <c r="CB303" s="98"/>
      <c r="CC303" s="118"/>
      <c r="CD303" s="98"/>
      <c r="CE303" s="118"/>
      <c r="CF303" s="98"/>
      <c r="CG303" s="118"/>
      <c r="CH303" s="98"/>
      <c r="CI303" s="118"/>
      <c r="CJ303" s="98"/>
      <c r="CK303" s="221">
        <v>-11</v>
      </c>
      <c r="CL303" s="98" t="str">
        <f>IF(ISERROR((CK303/CC303-1)*100),"NA",IF(((CK303/CC303-1)*100)&gt;100,"NM",IF(((CK303/CC303-1)*100)&lt;-50,"NM",(CK303/CC303-1)*100)))</f>
        <v>NA</v>
      </c>
      <c r="CM303" s="221">
        <v>0</v>
      </c>
      <c r="CN303" s="98" t="str">
        <f>IF(ISERROR((CM303/CE303-1)*100),"NA",IF(((CM303/CE303-1)*100)&gt;100,"NM",IF(((CM303/CE303-1)*100)&lt;-50,"NM",(CM303/CE303-1)*100)))</f>
        <v>NA</v>
      </c>
      <c r="CO303" s="221">
        <v>-44</v>
      </c>
      <c r="CP303" s="98" t="str">
        <f>IF(ISERROR((CO303/CG303-1)*100),"NA",IF(((CO303/CG303-1)*100)&gt;100,"NM",IF(((CO303/CG303-1)*100)&lt;-50,"NM",(CO303/CG303-1)*100)))</f>
        <v>NA</v>
      </c>
      <c r="CQ303" s="556">
        <v>7</v>
      </c>
      <c r="CR303" s="98" t="str">
        <f>IF(ISERROR((CQ303/CI303-1)*100),"NA",IF(((CQ303/CI303-1)*100)&gt;100,"NM",IF(((CQ303/CI303-1)*100)&lt;-50,"NM",(CQ303/CI303-1)*100)))</f>
        <v>NA</v>
      </c>
      <c r="CS303" s="221">
        <v>0</v>
      </c>
      <c r="CT303" s="98" t="str">
        <f>IF(ISERROR((CS303/CK303-1)*100),"NA",IF(((CS303/CK303-1)*100)&gt;100,"NM",IF(((CS303/CK303-1)*100)&lt;-50,"NM",(CS303/CK303-1)*100)))</f>
        <v>NM</v>
      </c>
      <c r="CU303" s="221">
        <v>12</v>
      </c>
      <c r="CV303" s="98" t="str">
        <f>IF(ISERROR((CU303/CM303-1)*100),"NA",IF(((CU303/CM303-1)*100)&gt;100,"NM",IF(((CU303/CM303-1)*100)&lt;-50,"NM",(CU303/CM303-1)*100)))</f>
        <v>NA</v>
      </c>
      <c r="CW303" s="221">
        <f>24-17</f>
        <v>7</v>
      </c>
      <c r="CX303" s="98" t="str">
        <f>IF(ISERROR((CW303/CO303-1)*100),"NA",IF(((CW303/CO303-1)*100)&gt;100,"NM",IF(((CW303/CO303-1)*100)&lt;-50,"NM",(CW303/CO303-1)*100)))</f>
        <v>NM</v>
      </c>
      <c r="CY303" s="221">
        <v>0</v>
      </c>
      <c r="CZ303" s="98" t="str">
        <f>IF(ISERROR((CY303/CQ303-1)*100),"NA",IF(((CY303/CQ303-1)*100)&gt;100,"NM",IF(((CY303/CQ303-1)*100)&lt;-50,"NM",(CY303/CQ303-1)*100)))</f>
        <v>NM</v>
      </c>
      <c r="DA303" s="221">
        <v>-62</v>
      </c>
      <c r="DB303" s="98" t="str">
        <f>IF(ISERROR((DA303/CS303-1)*100),"NA",IF(((DA303/CS303-1)*100)&gt;100,"NM",IF(((DA303/CS303-1)*100)&lt;-50,"NM",(DA303/CS303-1)*100)))</f>
        <v>NA</v>
      </c>
      <c r="DC303" s="221">
        <v>10</v>
      </c>
      <c r="DD303" s="98">
        <f>IF(ISERROR((DC303/CU303-1)*100),"NA",IF(((DC303/CU303-1)*100)&gt;100,"NM",IF(((DC303/CU303-1)*100)&lt;-50,"NM",(DC303/CU303-1)*100)))</f>
        <v>-16.666666666666664</v>
      </c>
      <c r="DE303" s="221">
        <v>-2</v>
      </c>
      <c r="DF303" s="98" t="str">
        <f>IF(ISERROR((DE303/CW303-1)*100),"NA",IF(((DE303/CW303-1)*100)&gt;100,"NM",IF(((DE303/CW303-1)*100)&lt;-50,"NM",(DE303/CW303-1)*100)))</f>
        <v>NM</v>
      </c>
      <c r="DG303" s="221">
        <f>-57-13</f>
        <v>-70</v>
      </c>
      <c r="DH303" s="98" t="str">
        <f>IF(ISERROR((DG303/CY303-1)*100),"NA",IF(((DG303/CY303-1)*100)&gt;100,"NM",IF(((DG303/CY303-1)*100)&lt;-50,"NM",(DG303/CY303-1)*100)))</f>
        <v>NA</v>
      </c>
      <c r="DI303" s="221">
        <v>14</v>
      </c>
      <c r="DJ303" s="98" t="str">
        <f>IF(ISERROR((DI303/DA303-1)*100),"NA",IF(((DI303/DA303-1)*100)&gt;100,"NM",IF(((DI303/DA303-1)*100)&lt;-50,"NM",(DI303/DA303-1)*100)))</f>
        <v>NM</v>
      </c>
      <c r="DK303" s="221">
        <v>0</v>
      </c>
      <c r="DL303" s="98" t="str">
        <f>IF(ISERROR((DK303/DC303-1)*100),"NA",IF(((DK303/DC303-1)*100)&gt;100,"NM",IF(((DK303/DC303-1)*100)&lt;-50,"NM",(DK303/DC303-1)*100)))</f>
        <v>NM</v>
      </c>
      <c r="DM303" s="221">
        <v>0</v>
      </c>
      <c r="DN303" s="98" t="str">
        <f>IF(ISERROR((DM303/DE303-1)*100),"NA",IF(((DM303/DE303-1)*100)&gt;100,"NM",IF(((DM303/DE303-1)*100)&lt;-50,"NM",(DM303/DE303-1)*100)))</f>
        <v>NM</v>
      </c>
      <c r="DO303" s="221">
        <f>-13+3</f>
        <v>-10</v>
      </c>
      <c r="DP303" s="98" t="str">
        <f>IF(ISERROR((DO303/DG303-1)*100),"NA",IF(((DO303/DG303-1)*100)&gt;100,"NM",IF(((DO303/DG303-1)*100)&lt;-50,"NM",(DO303/DG303-1)*100)))</f>
        <v>NM</v>
      </c>
      <c r="DQ303" s="221">
        <v>23</v>
      </c>
      <c r="DR303" s="98">
        <f>IF(ISERROR((DQ303/DI303-1)*100),"NA",IF(((DQ303/DI303-1)*100)&gt;100,"NM",IF(((DQ303/DI303-1)*100)&lt;-50,"NM",(DQ303/DI303-1)*100)))</f>
        <v>64.285714285714278</v>
      </c>
      <c r="DS303" s="221">
        <v>0</v>
      </c>
      <c r="DT303" s="98" t="str">
        <f>IF(ISERROR((DS303/DK303-1)*100),"NA",IF(((DS303/DK303-1)*100)&gt;100,"NM",IF(((DS303/DK303-1)*100)&lt;-50,"NM",(DS303/DK303-1)*100)))</f>
        <v>NA</v>
      </c>
      <c r="DU303" s="221">
        <v>61</v>
      </c>
      <c r="DV303" s="98" t="str">
        <f>IF(ISERROR((DU303/DM303-1)*100),"NA",IF(((DU303/DM303-1)*100)&gt;100,"NM",IF(((DU303/DM303-1)*100)&lt;-50,"NM",(DU303/DM303-1)*100)))</f>
        <v>NA</v>
      </c>
      <c r="DW303" s="221">
        <f>-10+9</f>
        <v>-1</v>
      </c>
      <c r="DX303" s="98" t="str">
        <f>IF(ISERROR((DW303/DO303-1)*100),"NA",IF(((DW303/DO303-1)*100)&gt;100,"NM",IF(((DW303/DO303-1)*100)&lt;-50,"NM",(DW303/DO303-1)*100)))</f>
        <v>NM</v>
      </c>
      <c r="DY303" s="221">
        <v>-24</v>
      </c>
      <c r="DZ303" s="98" t="str">
        <f>IF(ISERROR((DY303/DQ303-1)*100),"NA",IF(((DY303/DQ303-1)*100)&gt;100,"NM",IF(((DY303/DQ303-1)*100)&lt;-50,"NM",(DY303/DQ303-1)*100)))</f>
        <v>NM</v>
      </c>
      <c r="EA303" s="951">
        <f>-20+20</f>
        <v>0</v>
      </c>
      <c r="EB303" s="98" t="str">
        <f>IF(ISERROR((EA303/DS303-1)*100),"NA",IF(((EA303/DS303-1)*100)&gt;100,"NM",IF(((EA303/DS303-1)*100)&lt;-50,"NM",(EA303/DS303-1)*100)))</f>
        <v>NA</v>
      </c>
      <c r="EC303" s="221">
        <v>-54</v>
      </c>
      <c r="ED303" s="98" t="str">
        <f>IF(ISERROR((EC303/DU303-1)*100),"NA",IF(((EC303/DU303-1)*100)&gt;100,"NM",IF(((EC303/DU303-1)*100)&lt;-50,"NM",(EC303/DU303-1)*100)))</f>
        <v>NM</v>
      </c>
      <c r="EE303" s="221">
        <f>-11-13.5</f>
        <v>-24.5</v>
      </c>
      <c r="EF303" s="860" t="str">
        <f>IF(ISERROR((EE303/DW303-1)*100),"NA",IF(((EE303/DW303-1)*100)&gt;100,"NM",IF(((EE303/DW303-1)*100)&lt;-50,"NM",(EE303/DW303-1)*100)))</f>
        <v>NM</v>
      </c>
      <c r="EG303" s="221">
        <v>0</v>
      </c>
      <c r="EH303" s="860" t="str">
        <f>IF(ISERROR((EG303/DY303-1)*100),"NA",IF(((EG303/DY303-1)*100)&gt;100,"NM",IF(((EG303/DY303-1)*100)&lt;-50,"NM",(EG303/DY303-1)*100)))</f>
        <v>NM</v>
      </c>
      <c r="EI303" s="221">
        <v>-3</v>
      </c>
      <c r="EJ303" s="860" t="str">
        <f t="shared" ref="EJ303:EJ305" si="1607">IF(ISERROR((EI303/EA303-1)*100),"NA",IF(((EI303/EA303-1)*100)&gt;100,"NM",IF(((EI303/EA303-1)*100)&lt;-50,"NM",(EI303/EA303-1)*100)))</f>
        <v>NA</v>
      </c>
      <c r="EK303" s="221">
        <v>12</v>
      </c>
      <c r="EL303" s="860" t="str">
        <f t="shared" ref="EL303:EL305" si="1608">IF(ISERROR((EK303/EC303-1)*100),"NA",IF(((EK303/EC303-1)*100)&gt;100,"NM",IF(((EK303/EC303-1)*100)&lt;-50,"NM",(EK303/EC303-1)*100)))</f>
        <v>NM</v>
      </c>
      <c r="EM303" s="221">
        <v>-4</v>
      </c>
      <c r="EN303" s="860" t="str">
        <f t="shared" ref="EN303:EN305" si="1609">IF(ISERROR((EM303/EE303-1)*100),"NA",IF(((EM303/EE303-1)*100)&gt;100,"NM",IF(((EM303/EE303-1)*100)&lt;-50,"NM",(EM303/EE303-1)*100)))</f>
        <v>NM</v>
      </c>
      <c r="EO303" s="221">
        <v>0</v>
      </c>
      <c r="EP303" s="98" t="str">
        <f t="shared" ref="EP303:EP305" si="1610">IF(ISERROR((EO303/EG303-1)*100),"NA",IF(((EO303/EG303-1)*100)&gt;100,"NM",IF(((EO303/EG303-1)*100)&lt;-50,"NM",(EO303/EG303-1)*100)))</f>
        <v>NA</v>
      </c>
      <c r="EQ303" s="1030">
        <v>0</v>
      </c>
      <c r="ER303" s="98" t="str">
        <f t="shared" ref="ER303:ER305" si="1611">IF(ISERROR((EQ303/EI303-1)*100),"NA",IF(((EQ303/EI303-1)*100)&gt;100,"NM",IF(((EQ303/EI303-1)*100)&lt;-50,"NM",(EQ303/EI303-1)*100)))</f>
        <v>NM</v>
      </c>
      <c r="ES303" s="1030">
        <v>0</v>
      </c>
      <c r="ET303" s="98" t="str">
        <f t="shared" ref="ET303:ET305" si="1612">IF(ISERROR((ES303/EK303-1)*100),"NA",IF(((ES303/EK303-1)*100)&gt;100,"NM",IF(((ES303/EK303-1)*100)&lt;-50,"NM",(ES303/EK303-1)*100)))</f>
        <v>NM</v>
      </c>
      <c r="EU303" s="1030">
        <v>0</v>
      </c>
      <c r="EV303" s="98" t="str">
        <f t="shared" ref="EV303:EV305" si="1613">IF(ISERROR((EU303/EM303-1)*100),"NA",IF(((EU303/EM303-1)*100)&gt;100,"NM",IF(((EU303/EM303-1)*100)&lt;-50,"NM",(EU303/EM303-1)*100)))</f>
        <v>NM</v>
      </c>
      <c r="EW303" s="1030">
        <v>0</v>
      </c>
      <c r="EX303" s="98" t="str">
        <f t="shared" ref="EX303:EX305" si="1614">IF(ISERROR((EW303/EO303-1)*100),"NA",IF(((EW303/EO303-1)*100)&gt;100,"NM",IF(((EW303/EO303-1)*100)&lt;-50,"NM",(EW303/EO303-1)*100)))</f>
        <v>NA</v>
      </c>
      <c r="EY303" s="118"/>
      <c r="EZ303" s="598"/>
      <c r="FA303" s="409"/>
      <c r="FB303" s="117"/>
      <c r="FC303" s="98"/>
      <c r="FD303" s="117"/>
      <c r="FE303" s="98"/>
      <c r="FF303" s="118"/>
      <c r="FG303" s="98"/>
      <c r="FH303" s="118"/>
      <c r="FI303" s="98"/>
      <c r="FJ303" s="118"/>
      <c r="FK303" s="98"/>
      <c r="FL303" s="118"/>
      <c r="FM303" s="98"/>
      <c r="FN303" s="118"/>
      <c r="FO303" s="98"/>
      <c r="FP303" s="118"/>
      <c r="FQ303" s="98"/>
      <c r="FR303" s="119"/>
      <c r="FS303" s="120"/>
      <c r="FT303" s="119"/>
      <c r="FU303" s="120"/>
      <c r="FV303" s="118"/>
      <c r="FW303" s="98"/>
      <c r="FX303" s="510"/>
      <c r="FY303" s="98"/>
      <c r="FZ303" s="160">
        <f>CE303+CG303+CI303+CK303</f>
        <v>-11</v>
      </c>
      <c r="GA303" s="98" t="str">
        <f>IF(ISERROR((FZ303/#REF!-1)*100),"NA",IF(((FZ303/#REF!-1)*100)&gt;100,"NM",IF(((FZ303/#REF!-1)*100)&lt;-50,"NM",(FZ303/#REF!-1)*100)))</f>
        <v>NA</v>
      </c>
      <c r="GB303" s="495">
        <f>CM303+CO303+CQ303+CS303</f>
        <v>-37</v>
      </c>
      <c r="GC303" s="98" t="str">
        <f>IF(ISERROR((GB303/#REF!-1)*100),"NA",IF(((GB303/#REF!-1)*100)&gt;100,"NM",IF(((GB303/#REF!-1)*100)&lt;-50,"NM",(GB303/#REF!-1)*100)))</f>
        <v>NA</v>
      </c>
      <c r="GD303" s="160">
        <f>CU303+CW303+CY303+DA303</f>
        <v>-43</v>
      </c>
      <c r="GE303" s="98" t="str">
        <f>IF(ISERROR((GD303/#REF!-1)*100),"NA",IF(((GD303/#REF!-1)*100)&gt;100,"NM",IF(((GD303/#REF!-1)*100)&lt;-50,"NM",(GD303/#REF!-1)*100)))</f>
        <v>NA</v>
      </c>
      <c r="GF303" s="160">
        <f>DC303+DE303+DG303+DI303</f>
        <v>-48</v>
      </c>
      <c r="GG303" s="98" t="str">
        <f>IF(ISERROR((GF303/#REF!-1)*100),"NA",IF(((GF303/#REF!-1)*100)&gt;100,"NM",IF(((GF303/#REF!-1)*100)&lt;-50,"NM",(GF303/#REF!-1)*100)))</f>
        <v>NA</v>
      </c>
      <c r="GH303" s="160">
        <f>DK303+DM303+DO303+DQ303</f>
        <v>13</v>
      </c>
      <c r="GI303" s="98" t="str">
        <f>IF(ISERROR((GH303/#REF!-1)*100),"NA",IF(((GH303/#REF!-1)*100)&gt;100,"NM",IF(((GH303/#REF!-1)*100)&lt;-50,"NM",(GH303/#REF!-1)*100)))</f>
        <v>NA</v>
      </c>
      <c r="GJ303" s="160">
        <f>DS303+DU303+DW303+DY303</f>
        <v>36</v>
      </c>
      <c r="GK303" s="98" t="str">
        <f>IF(ISERROR((GJ303/#REF!-1)*100),"NA",IF(((GJ303/#REF!-1)*100)&gt;100,"NM",IF(((GJ303/#REF!-1)*100)&lt;-50,"NM",(GJ303/#REF!-1)*100)))</f>
        <v>NA</v>
      </c>
      <c r="GL303" s="160">
        <f>EA303+EC303+EE303+EG303</f>
        <v>-78.5</v>
      </c>
      <c r="GM303" s="98" t="str">
        <f>IF(ISERROR((GL303/#REF!-1)*100),"NA",IF(((GL303/#REF!-1)*100)&gt;100,"NM",IF(((GL303/#REF!-1)*100)&lt;-50,"NM",(GL303/#REF!-1)*100)))</f>
        <v>NA</v>
      </c>
      <c r="GN303" s="160">
        <f>EI303+EK303+EM303+EO303</f>
        <v>5</v>
      </c>
      <c r="GO303" s="98" t="str">
        <f>IF(ISERROR((GN303/#REF!-1)*100),"NA",IF(((GN303/#REF!-1)*100)&gt;100,"NM",IF(((GN303/#REF!-1)*100)&lt;-50,"NM",(GN303/#REF!-1)*100)))</f>
        <v>NA</v>
      </c>
      <c r="GP303" s="160">
        <f>EQ303+ES303+EU303+EW303</f>
        <v>0</v>
      </c>
      <c r="GQ303" s="98" t="str">
        <f t="shared" si="1605"/>
        <v>NM</v>
      </c>
      <c r="GR303" s="112">
        <v>0</v>
      </c>
      <c r="GS303" s="98" t="str">
        <f t="shared" si="1606"/>
        <v>NA</v>
      </c>
      <c r="GT303" s="112">
        <v>0</v>
      </c>
      <c r="GU303" s="98" t="str">
        <f>IF(ISERROR((GT303/#REF!-1)*100),"NA",IF(((GT303/#REF!-1)*100)&gt;100,"NM",IF(((GT303/#REF!-1)*100)&lt;-50,"NM",(GT303/#REF!-1)*100)))</f>
        <v>NA</v>
      </c>
      <c r="GV303" s="112">
        <v>0</v>
      </c>
      <c r="GW303" s="98" t="str">
        <f>IF(ISERROR((GV303/#REF!-1)*100),"NA",IF(((GV303/#REF!-1)*100)&gt;100,"NM",IF(((GV303/#REF!-1)*100)&lt;-50,"NM",(GV303/#REF!-1)*100)))</f>
        <v>NA</v>
      </c>
      <c r="GX303" s="112">
        <v>0</v>
      </c>
      <c r="GY303" s="98" t="str">
        <f>IF(ISERROR((GX303/#REF!-1)*100),"NA",IF(((GX303/#REF!-1)*100)&gt;100,"NM",IF(((GX303/#REF!-1)*100)&lt;-50,"NM",(GX303/#REF!-1)*100)))</f>
        <v>NA</v>
      </c>
      <c r="GZ303" s="98" t="str">
        <f t="shared" si="1593"/>
        <v>NM</v>
      </c>
      <c r="HA303" s="98"/>
      <c r="HB303" s="240"/>
      <c r="HC303"/>
      <c r="HD303"/>
      <c r="HE303"/>
      <c r="HF303"/>
      <c r="HG303"/>
      <c r="HH303"/>
      <c r="HI303" s="10"/>
    </row>
    <row r="304" spans="2:217" s="210" customFormat="1" ht="12.75" customHeight="1" x14ac:dyDescent="0.2">
      <c r="B304" s="208" t="s">
        <v>215</v>
      </c>
      <c r="C304" s="117"/>
      <c r="D304" s="98"/>
      <c r="E304" s="117"/>
      <c r="F304" s="98"/>
      <c r="G304" s="117"/>
      <c r="H304" s="98"/>
      <c r="I304" s="117"/>
      <c r="J304" s="98"/>
      <c r="K304" s="117"/>
      <c r="L304" s="98"/>
      <c r="M304" s="117"/>
      <c r="N304" s="98"/>
      <c r="O304" s="117"/>
      <c r="P304" s="98"/>
      <c r="Q304" s="117"/>
      <c r="R304" s="98"/>
      <c r="S304" s="117"/>
      <c r="T304" s="98"/>
      <c r="U304" s="117"/>
      <c r="V304" s="98"/>
      <c r="W304" s="117"/>
      <c r="X304" s="98"/>
      <c r="Y304" s="117"/>
      <c r="Z304" s="98"/>
      <c r="AA304" s="117"/>
      <c r="AB304" s="98"/>
      <c r="AC304" s="117"/>
      <c r="AD304" s="98"/>
      <c r="AE304" s="117"/>
      <c r="AF304" s="98"/>
      <c r="AG304" s="117"/>
      <c r="AH304" s="98"/>
      <c r="AI304" s="117"/>
      <c r="AJ304" s="98"/>
      <c r="AK304" s="117"/>
      <c r="AL304" s="98"/>
      <c r="AM304" s="117"/>
      <c r="AN304" s="98"/>
      <c r="AO304" s="117"/>
      <c r="AP304" s="98"/>
      <c r="AQ304" s="117"/>
      <c r="AR304" s="98"/>
      <c r="AS304" s="117"/>
      <c r="AT304" s="98"/>
      <c r="AU304" s="117"/>
      <c r="AV304" s="98"/>
      <c r="AW304" s="117"/>
      <c r="AX304" s="98"/>
      <c r="AY304" s="117"/>
      <c r="AZ304" s="98"/>
      <c r="BA304" s="117"/>
      <c r="BB304" s="98"/>
      <c r="BC304" s="117"/>
      <c r="BD304" s="98"/>
      <c r="BE304" s="117"/>
      <c r="BF304" s="98"/>
      <c r="BG304" s="117"/>
      <c r="BH304" s="98"/>
      <c r="BI304" s="117"/>
      <c r="BJ304" s="98"/>
      <c r="BK304" s="117"/>
      <c r="BL304" s="98"/>
      <c r="BM304" s="117"/>
      <c r="BN304" s="98"/>
      <c r="BO304" s="117"/>
      <c r="BP304" s="98"/>
      <c r="BQ304" s="117"/>
      <c r="BR304" s="98"/>
      <c r="BS304" s="117"/>
      <c r="BT304" s="98"/>
      <c r="BU304" s="117"/>
      <c r="BV304" s="98"/>
      <c r="BW304" s="117"/>
      <c r="BX304" s="98"/>
      <c r="BY304" s="117"/>
      <c r="BZ304" s="98"/>
      <c r="CA304" s="118"/>
      <c r="CB304" s="98"/>
      <c r="CC304" s="118"/>
      <c r="CD304" s="98"/>
      <c r="CE304" s="118"/>
      <c r="CF304" s="98"/>
      <c r="CG304" s="118"/>
      <c r="CH304" s="98"/>
      <c r="CI304" s="118"/>
      <c r="CJ304" s="98"/>
      <c r="CK304" s="204">
        <f>CK301-CK302-CK303</f>
        <v>105</v>
      </c>
      <c r="CL304" s="98" t="str">
        <f>IF(ISERROR((CK304/CC304-1)*100),"NA",IF(((CK304/CC304-1)*100)&gt;100,"NM",IF(((CK304/CC304-1)*100)&lt;-50,"NM",(CK304/CC304-1)*100)))</f>
        <v>NA</v>
      </c>
      <c r="CM304" s="204">
        <f>CM301-CM302-CM303</f>
        <v>224</v>
      </c>
      <c r="CN304" s="98" t="str">
        <f>IF(ISERROR((CM304/CE304-1)*100),"NA",IF(((CM304/CE304-1)*100)&gt;100,"NM",IF(((CM304/CE304-1)*100)&lt;-50,"NM",(CM304/CE304-1)*100)))</f>
        <v>NA</v>
      </c>
      <c r="CO304" s="204">
        <f>CO301-CO302-CO303</f>
        <v>215</v>
      </c>
      <c r="CP304" s="98" t="str">
        <f>IF(ISERROR((CO304/CG304-1)*100),"NA",IF(((CO304/CG304-1)*100)&gt;100,"NM",IF(((CO304/CG304-1)*100)&lt;-50,"NM",(CO304/CG304-1)*100)))</f>
        <v>NA</v>
      </c>
      <c r="CQ304" s="505">
        <f>CQ301-CQ302-CQ303</f>
        <v>215</v>
      </c>
      <c r="CR304" s="98" t="str">
        <f>IF(ISERROR((CQ304/CI304-1)*100),"NA",IF(((CQ304/CI304-1)*100)&gt;100,"NM",IF(((CQ304/CI304-1)*100)&lt;-50,"NM",(CQ304/CI304-1)*100)))</f>
        <v>NA</v>
      </c>
      <c r="CS304" s="204">
        <f>CS301-CS302-CS303</f>
        <v>259</v>
      </c>
      <c r="CT304" s="98" t="str">
        <f>IF(ISERROR((CS304/CK304-1)*100),"NA",IF(((CS304/CK304-1)*100)&gt;100,"NM",IF(((CS304/CK304-1)*100)&lt;-50,"NM",(CS304/CK304-1)*100)))</f>
        <v>NM</v>
      </c>
      <c r="CU304" s="204">
        <f>CU301-CU302-CU303</f>
        <v>289</v>
      </c>
      <c r="CV304" s="98">
        <f>IF(ISERROR((CU304/CM304-1)*100),"NA",IF(((CU304/CM304-1)*100)&gt;100,"NM",IF(((CU304/CM304-1)*100)&lt;-50,"NM",(CU304/CM304-1)*100)))</f>
        <v>29.017857142857139</v>
      </c>
      <c r="CW304" s="204">
        <f>CW301-CW302-CW303</f>
        <v>272</v>
      </c>
      <c r="CX304" s="98">
        <f>IF(ISERROR((CW304/CO304-1)*100),"NA",IF(((CW304/CO304-1)*100)&gt;100,"NM",IF(((CW304/CO304-1)*100)&lt;-50,"NM",(CW304/CO304-1)*100)))</f>
        <v>26.511627906976742</v>
      </c>
      <c r="CY304" s="204">
        <f>CY301-CY302-CY303</f>
        <v>259</v>
      </c>
      <c r="CZ304" s="98">
        <f>IF(ISERROR((CY304/CQ304-1)*100),"NA",IF(((CY304/CQ304-1)*100)&gt;100,"NM",IF(((CY304/CQ304-1)*100)&lt;-50,"NM",(CY304/CQ304-1)*100)))</f>
        <v>20.465116279069772</v>
      </c>
      <c r="DA304" s="204">
        <f>DA301-DA302-DA303</f>
        <v>260</v>
      </c>
      <c r="DB304" s="98">
        <f>IF(ISERROR((DA304/CS304-1)*100),"NA",IF(((DA304/CS304-1)*100)&gt;100,"NM",IF(((DA304/CS304-1)*100)&lt;-50,"NM",(DA304/CS304-1)*100)))</f>
        <v>0.38610038610038533</v>
      </c>
      <c r="DC304" s="204">
        <f>DC301-DC302-DC303</f>
        <v>323</v>
      </c>
      <c r="DD304" s="98">
        <f>IF(ISERROR((DC304/CU304-1)*100),"NA",IF(((DC304/CU304-1)*100)&gt;100,"NM",IF(((DC304/CU304-1)*100)&lt;-50,"NM",(DC304/CU304-1)*100)))</f>
        <v>11.764705882352944</v>
      </c>
      <c r="DE304" s="204">
        <f>DE301-DE302-DE303</f>
        <v>332</v>
      </c>
      <c r="DF304" s="98">
        <f>IF(ISERROR((DE304/CW304-1)*100),"NA",IF(((DE304/CW304-1)*100)&gt;100,"NM",IF(((DE304/CW304-1)*100)&lt;-50,"NM",(DE304/CW304-1)*100)))</f>
        <v>22.058823529411775</v>
      </c>
      <c r="DG304" s="204">
        <f>DG301-DG302-DG303</f>
        <v>327</v>
      </c>
      <c r="DH304" s="98">
        <f>IF(ISERROR((DG304/CY304-1)*100),"NA",IF(((DG304/CY304-1)*100)&gt;100,"NM",IF(((DG304/CY304-1)*100)&lt;-50,"NM",(DG304/CY304-1)*100)))</f>
        <v>26.254826254826249</v>
      </c>
      <c r="DI304" s="204">
        <f>DI301-DI302-DI303</f>
        <v>310</v>
      </c>
      <c r="DJ304" s="98">
        <f>IF(ISERROR((DI304/DA304-1)*100),"NA",IF(((DI304/DA304-1)*100)&gt;100,"NM",IF(((DI304/DA304-1)*100)&lt;-50,"NM",(DI304/DA304-1)*100)))</f>
        <v>19.23076923076923</v>
      </c>
      <c r="DK304" s="204">
        <f>DK301-DK302-DK303</f>
        <v>333</v>
      </c>
      <c r="DL304" s="98">
        <f>IF(ISERROR((DK304/DC304-1)*100),"NA",IF(((DK304/DC304-1)*100)&gt;100,"NM",IF(((DK304/DC304-1)*100)&lt;-50,"NM",(DK304/DC304-1)*100)))</f>
        <v>3.0959752321981338</v>
      </c>
      <c r="DM304" s="204">
        <f>DM301-DM302-DM303</f>
        <v>324</v>
      </c>
      <c r="DN304" s="98">
        <f>IF(ISERROR((DM304/DE304-1)*100),"NA",IF(((DM304/DE304-1)*100)&gt;100,"NM",IF(((DM304/DE304-1)*100)&lt;-50,"NM",(DM304/DE304-1)*100)))</f>
        <v>-2.4096385542168641</v>
      </c>
      <c r="DO304" s="204">
        <f>DO301-DO302-DO303</f>
        <v>320</v>
      </c>
      <c r="DP304" s="98">
        <f>IF(ISERROR((DO304/DG304-1)*100),"NA",IF(((DO304/DG304-1)*100)&gt;100,"NM",IF(((DO304/DG304-1)*100)&lt;-50,"NM",(DO304/DG304-1)*100)))</f>
        <v>-2.1406727828746197</v>
      </c>
      <c r="DQ304" s="204">
        <f>DQ301-DQ302-DQ303</f>
        <v>317</v>
      </c>
      <c r="DR304" s="98">
        <f>IF(ISERROR((DQ304/DI304-1)*100),"NA",IF(((DQ304/DI304-1)*100)&gt;100,"NM",IF(((DQ304/DI304-1)*100)&lt;-50,"NM",(DQ304/DI304-1)*100)))</f>
        <v>2.2580645161290214</v>
      </c>
      <c r="DS304" s="204">
        <f>DS301-DS302-DS303</f>
        <v>327</v>
      </c>
      <c r="DT304" s="98">
        <f>IF(ISERROR((DS304/DK304-1)*100),"NA",IF(((DS304/DK304-1)*100)&gt;100,"NM",IF(((DS304/DK304-1)*100)&lt;-50,"NM",(DS304/DK304-1)*100)))</f>
        <v>-1.8018018018018056</v>
      </c>
      <c r="DU304" s="204">
        <f>DU301-DU302-DU303</f>
        <v>364</v>
      </c>
      <c r="DV304" s="98">
        <f>IF(ISERROR((DU304/DM304-1)*100),"NA",IF(((DU304/DM304-1)*100)&gt;100,"NM",IF(((DU304/DM304-1)*100)&lt;-50,"NM",(DU304/DM304-1)*100)))</f>
        <v>12.345679012345689</v>
      </c>
      <c r="DW304" s="204">
        <f>DW301-DW302-DW303</f>
        <v>339</v>
      </c>
      <c r="DX304" s="98">
        <f>IF(ISERROR((DW304/DO304-1)*100),"NA",IF(((DW304/DO304-1)*100)&gt;100,"NM",IF(((DW304/DO304-1)*100)&lt;-50,"NM",(DW304/DO304-1)*100)))</f>
        <v>5.9374999999999956</v>
      </c>
      <c r="DY304" s="204">
        <f>DY301-DY302-DY303</f>
        <v>314</v>
      </c>
      <c r="DZ304" s="98">
        <f>IF(ISERROR((DY304/DQ304-1)*100),"NA",IF(((DY304/DQ304-1)*100)&gt;100,"NM",IF(((DY304/DQ304-1)*100)&lt;-50,"NM",(DY304/DQ304-1)*100)))</f>
        <v>-0.94637223974763929</v>
      </c>
      <c r="EA304" s="204">
        <f>EA301-EA302-EA303</f>
        <v>305</v>
      </c>
      <c r="EB304" s="98">
        <f>IF(ISERROR((EA304/DS304-1)*100),"NA",IF(((EA304/DS304-1)*100)&gt;100,"NM",IF(((EA304/DS304-1)*100)&lt;-50,"NM",(EA304/DS304-1)*100)))</f>
        <v>-6.7278287461773667</v>
      </c>
      <c r="EC304" s="204">
        <f>EC301-EC302-EC303</f>
        <v>313</v>
      </c>
      <c r="ED304" s="98">
        <f>IF(ISERROR((EC304/DU304-1)*100),"NA",IF(((EC304/DU304-1)*100)&gt;100,"NM",IF(((EC304/DU304-1)*100)&lt;-50,"NM",(EC304/DU304-1)*100)))</f>
        <v>-14.010989010989006</v>
      </c>
      <c r="EE304" s="204">
        <f>EE301-EE302-EE303</f>
        <v>348.5</v>
      </c>
      <c r="EF304" s="860">
        <f>IF(ISERROR((EE304/DW304-1)*100),"NA",IF(((EE304/DW304-1)*100)&gt;100,"NM",IF(((EE304/DW304-1)*100)&lt;-50,"NM",(EE304/DW304-1)*100)))</f>
        <v>2.8023598820059004</v>
      </c>
      <c r="EG304" s="204">
        <f>EG301-EG302-EG303</f>
        <v>354</v>
      </c>
      <c r="EH304" s="860">
        <f>IF(ISERROR((EG304/DY304-1)*100),"NA",IF(((EG304/DY304-1)*100)&gt;100,"NM",IF(((EG304/DY304-1)*100)&lt;-50,"NM",(EG304/DY304-1)*100)))</f>
        <v>12.738853503184711</v>
      </c>
      <c r="EI304" s="204">
        <f>EI301-EI302-EI303</f>
        <v>298</v>
      </c>
      <c r="EJ304" s="860">
        <f t="shared" si="1607"/>
        <v>-2.2950819672131195</v>
      </c>
      <c r="EK304" s="204">
        <f>EK301-EK302-EK303</f>
        <v>298</v>
      </c>
      <c r="EL304" s="860">
        <f t="shared" si="1608"/>
        <v>-4.7923322683706022</v>
      </c>
      <c r="EM304" s="204">
        <f>EM301-EM302-EM303</f>
        <v>318</v>
      </c>
      <c r="EN304" s="860">
        <f t="shared" si="1609"/>
        <v>-8.7517934002869442</v>
      </c>
      <c r="EO304" s="204">
        <f>EO301-EO302-EO303</f>
        <v>310</v>
      </c>
      <c r="EP304" s="98">
        <f t="shared" si="1610"/>
        <v>-12.429378531073443</v>
      </c>
      <c r="EQ304" s="1028">
        <f t="shared" ref="EQ304" si="1615">EQ301-EQ302-EQ303</f>
        <v>325.86588020000011</v>
      </c>
      <c r="ER304" s="98">
        <f t="shared" si="1611"/>
        <v>9.3509665100671491</v>
      </c>
      <c r="ES304" s="1028">
        <f t="shared" ref="ES304" si="1616">ES301-ES302-ES303</f>
        <v>331.57710791275031</v>
      </c>
      <c r="ET304" s="98">
        <f t="shared" si="1612"/>
        <v>11.267485876761851</v>
      </c>
      <c r="EU304" s="1028">
        <f t="shared" ref="EU304" si="1617">EU301-EU302-EU303</f>
        <v>337.39672629335769</v>
      </c>
      <c r="EV304" s="98">
        <f t="shared" si="1613"/>
        <v>6.0995994633200379</v>
      </c>
      <c r="EW304" s="1028">
        <f t="shared" ref="EW304" si="1618">EW301-EW302-EW303</f>
        <v>340.34124317248745</v>
      </c>
      <c r="EX304" s="98">
        <f t="shared" si="1614"/>
        <v>9.7874977975765951</v>
      </c>
      <c r="EY304" s="118"/>
      <c r="EZ304" s="598"/>
      <c r="FA304" s="409"/>
      <c r="FB304" s="117"/>
      <c r="FC304" s="98"/>
      <c r="FD304" s="117"/>
      <c r="FE304" s="98"/>
      <c r="FF304" s="118"/>
      <c r="FG304" s="98"/>
      <c r="FH304" s="118"/>
      <c r="FI304" s="98"/>
      <c r="FJ304" s="118"/>
      <c r="FK304" s="98"/>
      <c r="FL304" s="118"/>
      <c r="FM304" s="98"/>
      <c r="FN304" s="118"/>
      <c r="FO304" s="98"/>
      <c r="FP304" s="118"/>
      <c r="FQ304" s="98"/>
      <c r="FR304" s="119"/>
      <c r="FS304" s="120"/>
      <c r="FT304" s="119"/>
      <c r="FU304" s="120"/>
      <c r="FV304" s="118"/>
      <c r="FW304" s="98"/>
      <c r="FX304" s="510"/>
      <c r="FY304" s="98"/>
      <c r="FZ304" s="204">
        <f>FZ301-FZ302-FZ303</f>
        <v>105</v>
      </c>
      <c r="GA304" s="98" t="str">
        <f>IF(ISERROR((FZ304/FX304-1)*100),"NA",IF(((FZ304/FX304-1)*100)&gt;100,"NM",IF(((FZ304/FX304-1)*100)&lt;-50,"NM",(FZ304/FX304-1)*100)))</f>
        <v>NA</v>
      </c>
      <c r="GB304" s="505">
        <f>GB301-GB302-GB303</f>
        <v>917</v>
      </c>
      <c r="GC304" s="98" t="str">
        <f>IF(ISERROR((GB304/FZ304-1)*100),"NA",IF(((GB304/FZ304-1)*100)&gt;100,"NM",IF(((GB304/FZ304-1)*100)&lt;-50,"NM",(GB304/FZ304-1)*100)))</f>
        <v>NM</v>
      </c>
      <c r="GD304" s="204">
        <f>GD301-GD302-GD303</f>
        <v>1080</v>
      </c>
      <c r="GE304" s="98">
        <f>IF(ISERROR((GD304/GB304-1)*100),"NA",IF(((GD304/GB304-1)*100)&gt;100,"NM",IF(((GD304/GB304-1)*100)&lt;-50,"NM",(GD304/GB304-1)*100)))</f>
        <v>17.775354416575784</v>
      </c>
      <c r="GF304" s="204">
        <f>GF301-GF302-GF303</f>
        <v>1292</v>
      </c>
      <c r="GG304" s="98">
        <f>IF(ISERROR((GF304/GD304-1)*100),"NA",IF(((GF304/GD304-1)*100)&gt;100,"NM",IF(((GF304/GD304-1)*100)&lt;-50,"NM",(GF304/GD304-1)*100)))</f>
        <v>19.629629629629619</v>
      </c>
      <c r="GH304" s="204">
        <f>GH301-GH302-GH303</f>
        <v>1294</v>
      </c>
      <c r="GI304" s="98">
        <f>IF(ISERROR((GH304/GF304-1)*100),"NA",IF(((GH304/GF304-1)*100)&gt;100,"NM",IF(((GH304/GF304-1)*100)&lt;-50,"NM",(GH304/GF304-1)*100)))</f>
        <v>0.15479876160990891</v>
      </c>
      <c r="GJ304" s="204">
        <f>GJ301-GJ302-GJ303</f>
        <v>1344</v>
      </c>
      <c r="GK304" s="98">
        <f>IF(ISERROR((GJ304/GH304-1)*100),"NA",IF(((GJ304/GH304-1)*100)&gt;100,"NM",IF(((GJ304/GH304-1)*100)&lt;-50,"NM",(GJ304/GH304-1)*100)))</f>
        <v>3.863987635239563</v>
      </c>
      <c r="GL304" s="204">
        <f>GL301-GL302-GL303</f>
        <v>1320.5</v>
      </c>
      <c r="GM304" s="98">
        <f>IF(ISERROR((GL304/GJ304-1)*100),"NA",IF(((GL304/GJ304-1)*100)&gt;100,"NM",IF(((GL304/GJ304-1)*100)&lt;-50,"NM",(GL304/GJ304-1)*100)))</f>
        <v>-1.7485119047619069</v>
      </c>
      <c r="GN304" s="204">
        <f>GN301-GN302-GN303</f>
        <v>1224</v>
      </c>
      <c r="GO304" s="98">
        <f>IF(ISERROR((GN304/GL304-1)*100),"NA",IF(((GN304/GL304-1)*100)&gt;100,"NM",IF(((GN304/GL304-1)*100)&lt;-50,"NM",(GN304/GL304-1)*100)))</f>
        <v>-7.3078379401741778</v>
      </c>
      <c r="GP304" s="204">
        <f>GP301-GP302-GP303</f>
        <v>1335.1809575785969</v>
      </c>
      <c r="GQ304" s="98">
        <f>IF(ISERROR((GP304/GN304-1)*100),"NA",IF(((GP304/GN304-1)*100)&gt;100,"NM",IF(((GP304/GN304-1)*100)&lt;-50,"NM",(GP304/GN304-1)*100)))</f>
        <v>9.0834115668788407</v>
      </c>
      <c r="GR304" s="204">
        <f>GR301-GR302-GR303</f>
        <v>1423.1892655553743</v>
      </c>
      <c r="GS304" s="98">
        <f>IF(ISERROR((GR304/GP304-1)*100),"NA",IF(((GR304/GP304-1)*100)&gt;100,"NM",IF(((GR304/GP304-1)*100)&lt;-50,"NM",(GR304/GP304-1)*100)))</f>
        <v>6.5914891518812357</v>
      </c>
      <c r="GT304" s="204">
        <f>GT301-GT302-GT303</f>
        <v>1494.3487288331453</v>
      </c>
      <c r="GU304" s="98">
        <f>IF(ISERROR((GT304/GR304-1)*100),"NA",IF(((GT304/GR304-1)*100)&gt;100,"NM",IF(((GT304/GR304-1)*100)&lt;-50,"NM",(GT304/GR304-1)*100)))</f>
        <v>5.0000000000001599</v>
      </c>
      <c r="GV304" s="204">
        <f>GV301-GV302-GV303</f>
        <v>1578.0766688355261</v>
      </c>
      <c r="GW304" s="98">
        <f>IF(ISERROR((GV304/GT304-1)*100),"NA",IF(((GV304/GT304-1)*100)&gt;100,"NM",IF(((GV304/GT304-1)*100)&lt;-50,"NM",(GV304/GT304-1)*100)))</f>
        <v>5.6029719426843094</v>
      </c>
      <c r="GX304" s="204">
        <f>GX301-GX302-GX303</f>
        <v>1649.4048214793954</v>
      </c>
      <c r="GY304" s="98">
        <f>IF(ISERROR((GX304/GV304-1)*100),"NA",IF(((GX304/GV304-1)*100)&gt;100,"NM",IF(((GX304/GV304-1)*100)&lt;-50,"NM",(GX304/GV304-1)*100)))</f>
        <v>4.5199421582287735</v>
      </c>
      <c r="GZ304" s="98">
        <f t="shared" si="1593"/>
        <v>6.1473529426129936</v>
      </c>
      <c r="HA304" s="98"/>
      <c r="HB304" s="240"/>
      <c r="HC304"/>
      <c r="HD304"/>
      <c r="HE304"/>
      <c r="HF304"/>
      <c r="HG304"/>
      <c r="HH304"/>
      <c r="HI304" s="10"/>
    </row>
    <row r="305" spans="2:217" s="2" customFormat="1" ht="12.75" customHeight="1" x14ac:dyDescent="0.2">
      <c r="B305" s="209" t="s">
        <v>138</v>
      </c>
      <c r="C305" s="117"/>
      <c r="D305" s="98"/>
      <c r="E305" s="117"/>
      <c r="F305" s="98"/>
      <c r="G305" s="117"/>
      <c r="H305" s="98"/>
      <c r="I305" s="117"/>
      <c r="J305" s="98"/>
      <c r="K305" s="117"/>
      <c r="L305" s="98"/>
      <c r="M305" s="117"/>
      <c r="N305" s="98"/>
      <c r="O305" s="117"/>
      <c r="P305" s="98"/>
      <c r="Q305" s="117"/>
      <c r="R305" s="98"/>
      <c r="S305" s="182"/>
      <c r="T305" s="98"/>
      <c r="U305" s="182"/>
      <c r="V305" s="98"/>
      <c r="W305" s="182"/>
      <c r="X305" s="98"/>
      <c r="Y305" s="182"/>
      <c r="Z305" s="98"/>
      <c r="AA305" s="182"/>
      <c r="AB305" s="98"/>
      <c r="AC305" s="182"/>
      <c r="AD305" s="98"/>
      <c r="AE305" s="182"/>
      <c r="AF305" s="98"/>
      <c r="AG305" s="182"/>
      <c r="AH305" s="98"/>
      <c r="AI305" s="182"/>
      <c r="AJ305" s="98"/>
      <c r="AK305" s="182"/>
      <c r="AL305" s="98"/>
      <c r="AM305" s="182"/>
      <c r="AN305" s="98"/>
      <c r="AO305" s="182"/>
      <c r="AP305" s="98"/>
      <c r="AQ305" s="182"/>
      <c r="AR305" s="98"/>
      <c r="AS305" s="182"/>
      <c r="AT305" s="98"/>
      <c r="AU305" s="182"/>
      <c r="AV305" s="98"/>
      <c r="AW305" s="182"/>
      <c r="AX305" s="98"/>
      <c r="AY305" s="182"/>
      <c r="AZ305" s="98"/>
      <c r="BA305" s="182"/>
      <c r="BB305" s="98"/>
      <c r="BC305" s="182"/>
      <c r="BD305" s="98"/>
      <c r="BE305" s="182"/>
      <c r="BF305" s="98"/>
      <c r="BG305" s="182"/>
      <c r="BH305" s="98"/>
      <c r="BI305" s="182"/>
      <c r="BJ305" s="98"/>
      <c r="BK305" s="182"/>
      <c r="BL305" s="98"/>
      <c r="BM305" s="182"/>
      <c r="BN305" s="98"/>
      <c r="BO305" s="182"/>
      <c r="BP305" s="98"/>
      <c r="BQ305" s="182"/>
      <c r="BR305" s="98"/>
      <c r="BS305" s="182"/>
      <c r="BT305" s="98"/>
      <c r="BU305" s="182"/>
      <c r="BV305" s="98"/>
      <c r="BW305" s="182"/>
      <c r="BX305" s="98"/>
      <c r="BY305" s="182"/>
      <c r="BZ305" s="98"/>
      <c r="CA305" s="182"/>
      <c r="CB305" s="98"/>
      <c r="CC305" s="182"/>
      <c r="CD305" s="98"/>
      <c r="CE305" s="182"/>
      <c r="CF305" s="98"/>
      <c r="CG305" s="182"/>
      <c r="CH305" s="98"/>
      <c r="CI305" s="182"/>
      <c r="CJ305" s="98"/>
      <c r="CK305" s="117">
        <f>CK298-(CK302+CK303)/0.65</f>
        <v>162.92307692307693</v>
      </c>
      <c r="CL305" s="98" t="str">
        <f>IF(ISERROR((CK305/CC305-1)*100),"NA",IF(((CK305/CC305-1)*100)&gt;100,"NM",IF(((CK305/CC305-1)*100)&lt;-50,"NM",(CK305/CC305-1)*100)))</f>
        <v>NA</v>
      </c>
      <c r="CM305" s="117">
        <f>CM298-(CM302+CM303)/0.65</f>
        <v>324</v>
      </c>
      <c r="CN305" s="98" t="str">
        <f>IF(ISERROR((CM305/CE305-1)*100),"NA",IF(((CM305/CE305-1)*100)&gt;100,"NM",IF(((CM305/CE305-1)*100)&lt;-50,"NM",(CM305/CE305-1)*100)))</f>
        <v>NA</v>
      </c>
      <c r="CO305" s="117">
        <f>CO298-(CO302+CO303)/0.65</f>
        <v>326.69230769230768</v>
      </c>
      <c r="CP305" s="98" t="str">
        <f>IF(ISERROR((CO305/CG305-1)*100),"NA",IF(((CO305/CG305-1)*100)&gt;100,"NM",IF(((CO305/CG305-1)*100)&lt;-50,"NM",(CO305/CG305-1)*100)))</f>
        <v>NA</v>
      </c>
      <c r="CQ305" s="486">
        <f>CQ298-(CQ302+CQ303)/0.65</f>
        <v>318.23076923076923</v>
      </c>
      <c r="CR305" s="98" t="str">
        <f>IF(ISERROR((CQ305/CI305-1)*100),"NA",IF(((CQ305/CI305-1)*100)&gt;100,"NM",IF(((CQ305/CI305-1)*100)&lt;-50,"NM",(CQ305/CI305-1)*100)))</f>
        <v>NA</v>
      </c>
      <c r="CS305" s="117">
        <f>CS298-(CS302+CS303)/0.65</f>
        <v>402</v>
      </c>
      <c r="CT305" s="98" t="str">
        <f>IF(ISERROR((CS305/CK305-1)*100),"NA",IF(((CS305/CK305-1)*100)&gt;100,"NM",IF(((CS305/CK305-1)*100)&lt;-50,"NM",(CS305/CK305-1)*100)))</f>
        <v>NM</v>
      </c>
      <c r="CU305" s="117">
        <f>CU298-(CU302+CU303)/0.65</f>
        <v>443.53846153846155</v>
      </c>
      <c r="CV305" s="98">
        <f>IF(ISERROR((CU305/CM305-1)*100),"NA",IF(((CU305/CM305-1)*100)&gt;100,"NM",IF(((CU305/CM305-1)*100)&lt;-50,"NM",(CU305/CM305-1)*100)))</f>
        <v>36.894586894586887</v>
      </c>
      <c r="CW305" s="117">
        <f>CW298-(CW302+CW303)/0.65</f>
        <v>408.23076923076923</v>
      </c>
      <c r="CX305" s="98">
        <f>IF(ISERROR((CW305/CO305-1)*100),"NA",IF(((CW305/CO305-1)*100)&gt;100,"NM",IF(((CW305/CO305-1)*100)&lt;-50,"NM",(CW305/CO305-1)*100)))</f>
        <v>24.958794443136334</v>
      </c>
      <c r="CY305" s="117">
        <f>CY298-(CY302+CY303)/0.65</f>
        <v>395</v>
      </c>
      <c r="CZ305" s="98">
        <f>IF(ISERROR((CY305/CQ305-1)*100),"NA",IF(((CY305/CQ305-1)*100)&gt;100,"NM",IF(((CY305/CQ305-1)*100)&lt;-50,"NM",(CY305/CQ305-1)*100)))</f>
        <v>24.123761179598734</v>
      </c>
      <c r="DA305" s="117">
        <f>DA298-(DA302+DA303)/0.65</f>
        <v>410.38461538461536</v>
      </c>
      <c r="DB305" s="98">
        <f>IF(ISERROR((DA305/CS305-1)*100),"NA",IF(((DA305/CS305-1)*100)&gt;100,"NM",IF(((DA305/CS305-1)*100)&lt;-50,"NM",(DA305/CS305-1)*100)))</f>
        <v>2.0857252200535692</v>
      </c>
      <c r="DC305" s="117">
        <f>DC298-(DC302+DC303)/0.65</f>
        <v>478.61538461538464</v>
      </c>
      <c r="DD305" s="98">
        <f>IF(ISERROR((DC305/CU305-1)*100),"NA",IF(((DC305/CU305-1)*100)&gt;100,"NM",IF(((DC305/CU305-1)*100)&lt;-50,"NM",(DC305/CU305-1)*100)))</f>
        <v>7.9084287200832604</v>
      </c>
      <c r="DE305" s="117">
        <f>DE298-(DE302+DE303)/0.65</f>
        <v>495.07692307692309</v>
      </c>
      <c r="DF305" s="98">
        <f>IF(ISERROR((DE305/CW305-1)*100),"NA",IF(((DE305/CW305-1)*100)&gt;100,"NM",IF(((DE305/CW305-1)*100)&lt;-50,"NM",(DE305/CW305-1)*100)))</f>
        <v>21.273789334840785</v>
      </c>
      <c r="DG305" s="117">
        <f>DG298-(DG302+DG303)/0.65</f>
        <v>453.69230769230768</v>
      </c>
      <c r="DH305" s="98">
        <f>IF(ISERROR((DG305/CY305-1)*100),"NA",IF(((DG305/CY305-1)*100)&gt;100,"NM",IF(((DG305/CY305-1)*100)&lt;-50,"NM",(DG305/CY305-1)*100)))</f>
        <v>14.858812074001948</v>
      </c>
      <c r="DI305" s="117">
        <f>DI298-(DI302+DI303)/0.65</f>
        <v>447.46153846153845</v>
      </c>
      <c r="DJ305" s="98">
        <f>IF(ISERROR((DI305/DA305-1)*100),"NA",IF(((DI305/DA305-1)*100)&gt;100,"NM",IF(((DI305/DA305-1)*100)&lt;-50,"NM",(DI305/DA305-1)*100)))</f>
        <v>9.0346766635426512</v>
      </c>
      <c r="DK305" s="117">
        <f>DK298-(DK302+DK303)/0.65</f>
        <v>481</v>
      </c>
      <c r="DL305" s="98">
        <f>IF(ISERROR((DK305/DC305-1)*100),"NA",IF(((DK305/DC305-1)*100)&gt;100,"NM",IF(((DK305/DC305-1)*100)&lt;-50,"NM",(DK305/DC305-1)*100)))</f>
        <v>0.49823207971713135</v>
      </c>
      <c r="DM305" s="117">
        <f>DM298-(DM302+DM303)/0.65</f>
        <v>452</v>
      </c>
      <c r="DN305" s="98">
        <f>IF(ISERROR((DM305/DE305-1)*100),"NA",IF(((DM305/DE305-1)*100)&gt;100,"NM",IF(((DM305/DE305-1)*100)&lt;-50,"NM",(DM305/DE305-1)*100)))</f>
        <v>-8.7010565568676252</v>
      </c>
      <c r="DO305" s="117">
        <f>DO298-(DO302+DO303)/0.65</f>
        <v>479.38461538461536</v>
      </c>
      <c r="DP305" s="98">
        <f>IF(ISERROR((DO305/DG305-1)*100),"NA",IF(((DO305/DG305-1)*100)&gt;100,"NM",IF(((DO305/DG305-1)*100)&lt;-50,"NM",(DO305/DG305-1)*100)))</f>
        <v>5.6629365886741168</v>
      </c>
      <c r="DQ305" s="117">
        <f>DQ298-(DQ302+DQ303)/0.65</f>
        <v>456.61538461538464</v>
      </c>
      <c r="DR305" s="98">
        <f>IF(ISERROR((DQ305/DI305-1)*100),"NA",IF(((DQ305/DI305-1)*100)&gt;100,"NM",IF(((DQ305/DI305-1)*100)&lt;-50,"NM",(DQ305/DI305-1)*100)))</f>
        <v>2.0457280385078214</v>
      </c>
      <c r="DS305" s="117">
        <f>DS298-(DS302+DS303)/0.65</f>
        <v>475</v>
      </c>
      <c r="DT305" s="98">
        <f>IF(ISERROR((DS305/DK305-1)*100),"NA",IF(((DS305/DK305-1)*100)&gt;100,"NM",IF(((DS305/DK305-1)*100)&lt;-50,"NM",(DS305/DK305-1)*100)))</f>
        <v>-1.2474012474012475</v>
      </c>
      <c r="DU305" s="117">
        <f>DU298-(DU302+DU303)/0.65</f>
        <v>390.15384615384619</v>
      </c>
      <c r="DV305" s="98">
        <f>IF(ISERROR((DU305/DM305-1)*100),"NA",IF(((DU305/DM305-1)*100)&gt;100,"NM",IF(((DU305/DM305-1)*100)&lt;-50,"NM",(DU305/DM305-1)*100)))</f>
        <v>-13.682777399591551</v>
      </c>
      <c r="DW305" s="117">
        <f>DW298-(DW302+DW303)/0.65</f>
        <v>464.53846153846155</v>
      </c>
      <c r="DX305" s="98">
        <f>IF(ISERROR((DW305/DO305-1)*100),"NA",IF(((DW305/DO305-1)*100)&gt;100,"NM",IF(((DW305/DO305-1)*100)&lt;-50,"NM",(DW305/DO305-1)*100)))</f>
        <v>-3.0969191270859953</v>
      </c>
      <c r="DY305" s="117">
        <f>DY298-(DY302+DY303)/0.65</f>
        <v>451.92307692307691</v>
      </c>
      <c r="DZ305" s="98">
        <f>IF(ISERROR((DY305/DQ305-1)*100),"NA",IF(((DY305/DQ305-1)*100)&gt;100,"NM",IF(((DY305/DQ305-1)*100)&lt;-50,"NM",(DY305/DQ305-1)*100)))</f>
        <v>-1.0276280323450182</v>
      </c>
      <c r="EA305" s="117">
        <f>EA298-(EA302+EA303)/0.65</f>
        <v>400</v>
      </c>
      <c r="EB305" s="98">
        <f>IF(ISERROR((EA305/DS305-1)*100),"NA",IF(((EA305/DS305-1)*100)&gt;100,"NM",IF(((EA305/DS305-1)*100)&lt;-50,"NM",(EA305/DS305-1)*100)))</f>
        <v>-15.789473684210531</v>
      </c>
      <c r="EC305" s="117">
        <f>EC298-(EC302+EC303)/0.65</f>
        <v>482.07692307692309</v>
      </c>
      <c r="ED305" s="98">
        <f>IF(ISERROR((EC305/DU305-1)*100),"NA",IF(((EC305/DU305-1)*100)&gt;100,"NM",IF(((EC305/DU305-1)*100)&lt;-50,"NM",(EC305/DU305-1)*100)))</f>
        <v>23.560725552050464</v>
      </c>
      <c r="EE305" s="117">
        <f>EE298-(EE302+EE303)/0.65</f>
        <v>503.69230769230768</v>
      </c>
      <c r="EF305" s="860">
        <f>IF(ISERROR((EE305/DW305-1)*100),"NA",IF(((EE305/DW305-1)*100)&gt;100,"NM",IF(((EE305/DW305-1)*100)&lt;-50,"NM",(EE305/DW305-1)*100)))</f>
        <v>8.4285477728100577</v>
      </c>
      <c r="EG305" s="117">
        <f>EG298-(EG302+EG303)/0.65</f>
        <v>469</v>
      </c>
      <c r="EH305" s="860">
        <f>IF(ISERROR((EG305/DY305-1)*100),"NA",IF(((EG305/DY305-1)*100)&gt;100,"NM",IF(((EG305/DY305-1)*100)&lt;-50,"NM",(EG305/DY305-1)*100)))</f>
        <v>3.7787234042553131</v>
      </c>
      <c r="EI305" s="117">
        <f>EI298-(EI302+EI303)/0.65</f>
        <v>445.61538461538464</v>
      </c>
      <c r="EJ305" s="860">
        <f t="shared" si="1607"/>
        <v>11.403846153846153</v>
      </c>
      <c r="EK305" s="117">
        <f>EK298-(EK302+EK303)/0.65</f>
        <v>448.53846153846155</v>
      </c>
      <c r="EL305" s="860">
        <f t="shared" si="1608"/>
        <v>-6.9570767512366345</v>
      </c>
      <c r="EM305" s="117">
        <f>EM298-(EM302+EM303)/0.65</f>
        <v>476.15384615384613</v>
      </c>
      <c r="EN305" s="860">
        <f t="shared" si="1609"/>
        <v>-5.4673182651191254</v>
      </c>
      <c r="EO305" s="117">
        <f>EO298-(EO302+EO303)/0.65</f>
        <v>471</v>
      </c>
      <c r="EP305" s="98">
        <f t="shared" si="1610"/>
        <v>0.42643923240939241</v>
      </c>
      <c r="EQ305" s="1031">
        <f t="shared" ref="EQ305" si="1619">EQ298-(EQ302+EQ303)/0.65</f>
        <v>490.02388000000019</v>
      </c>
      <c r="ER305" s="98">
        <f t="shared" si="1611"/>
        <v>9.9656557914725052</v>
      </c>
      <c r="ES305" s="1031">
        <f t="shared" ref="ES305" si="1620">ES298-(ES302+ES303)/0.65</f>
        <v>498.61219235000044</v>
      </c>
      <c r="ET305" s="98">
        <f t="shared" si="1612"/>
        <v>11.163754082490239</v>
      </c>
      <c r="EU305" s="1031">
        <f t="shared" ref="EU305" si="1621">EU298-(EU302+EU303)/0.65</f>
        <v>507.36349818550025</v>
      </c>
      <c r="EV305" s="98">
        <f t="shared" si="1613"/>
        <v>6.5545311213490054</v>
      </c>
      <c r="EW305" s="1031">
        <f t="shared" ref="EW305" si="1622">EW298-(EW302+EW303)/0.65</f>
        <v>511.79134311652251</v>
      </c>
      <c r="EX305" s="98">
        <f t="shared" si="1614"/>
        <v>8.6605824026587008</v>
      </c>
      <c r="EY305" s="282"/>
      <c r="EZ305" s="594"/>
      <c r="FA305" s="405"/>
      <c r="FB305" s="279"/>
      <c r="FC305" s="98"/>
      <c r="FD305" s="278"/>
      <c r="FE305" s="98"/>
      <c r="FF305" s="279"/>
      <c r="FG305" s="98"/>
      <c r="FH305" s="279"/>
      <c r="FI305" s="98"/>
      <c r="FJ305" s="282"/>
      <c r="FK305" s="98"/>
      <c r="FL305" s="282"/>
      <c r="FM305" s="98"/>
      <c r="FN305" s="282"/>
      <c r="FO305" s="98"/>
      <c r="FP305" s="282"/>
      <c r="FQ305" s="98"/>
      <c r="FR305" s="283"/>
      <c r="FS305" s="120"/>
      <c r="FT305" s="283"/>
      <c r="FU305" s="120"/>
      <c r="FV305" s="283"/>
      <c r="FW305" s="98"/>
      <c r="FX305" s="520"/>
      <c r="FY305" s="98"/>
      <c r="FZ305" s="119">
        <f>FZ298-(FZ302+FZ303)/0.65</f>
        <v>162.92307692307693</v>
      </c>
      <c r="GA305" s="98" t="str">
        <f>IF(ISERROR((FZ305/FX305-1)*100),"NA",IF(((FZ305/FX305-1)*100)&gt;100,"NM",IF(((FZ305/FX305-1)*100)&lt;-50,"NM",(FZ305/FX305-1)*100)))</f>
        <v>NA</v>
      </c>
      <c r="GB305" s="485">
        <f>GB298-(GB302+GB303)/0.65</f>
        <v>1377.9230769230769</v>
      </c>
      <c r="GC305" s="98" t="str">
        <f>IF(ISERROR((GB305/FZ305-1)*100),"NA",IF(((GB305/FZ305-1)*100)&gt;100,"NM",IF(((GB305/FZ305-1)*100)&lt;-50,"NM",(GB305/FZ305-1)*100)))</f>
        <v>NM</v>
      </c>
      <c r="GD305" s="119">
        <f>GD298-(GD302+GD303)/0.65</f>
        <v>1657.1538461538462</v>
      </c>
      <c r="GE305" s="98">
        <f>IF(ISERROR((GD305/GB305-1)*100),"NA",IF(((GD305/GB305-1)*100)&gt;100,"NM",IF(((GD305/GB305-1)*100)&lt;-50,"NM",(GD305/GB305-1)*100)))</f>
        <v>20.264612292748296</v>
      </c>
      <c r="GF305" s="119">
        <f>GF298-(GF302+GF303)/0.65</f>
        <v>1874.8461538461538</v>
      </c>
      <c r="GG305" s="98">
        <f>IF(ISERROR((GF305/GD305-1)*100),"NA",IF(((GF305/GD305-1)*100)&gt;100,"NM",IF(((GF305/GD305-1)*100)&lt;-50,"NM",(GF305/GD305-1)*100)))</f>
        <v>13.136517662349711</v>
      </c>
      <c r="GH305" s="119">
        <f>GH298-(GH302+GH303)/0.65</f>
        <v>1869</v>
      </c>
      <c r="GI305" s="98">
        <f>IF(ISERROR((GH305/GF305-1)*100),"NA",IF(((GH305/GF305-1)*100)&gt;100,"NM",IF(((GH305/GF305-1)*100)&lt;-50,"NM",(GH305/GF305-1)*100)))</f>
        <v>-0.31182045706313888</v>
      </c>
      <c r="GJ305" s="119">
        <f>GJ298-(GJ302+GJ303)/0.65</f>
        <v>1781.6153846153845</v>
      </c>
      <c r="GK305" s="98">
        <f>IF(ISERROR((GJ305/GH305-1)*100),"NA",IF(((GJ305/GH305-1)*100)&gt;100,"NM",IF(((GJ305/GH305-1)*100)&lt;-50,"NM",(GJ305/GH305-1)*100)))</f>
        <v>-4.6754743383956914</v>
      </c>
      <c r="GL305" s="119">
        <f>GL298-(GL302+GL303)/0.65</f>
        <v>1854.7692307692307</v>
      </c>
      <c r="GM305" s="98">
        <f>IF(ISERROR((GL305/GJ305-1)*100),"NA",IF(((GL305/GJ305-1)*100)&gt;100,"NM",IF(((GL305/GJ305-1)*100)&lt;-50,"NM",(GL305/GJ305-1)*100)))</f>
        <v>4.1060403264107759</v>
      </c>
      <c r="GN305" s="119">
        <f>GN298-(GN302+GN303)/0.65</f>
        <v>1841.3076923076924</v>
      </c>
      <c r="GO305" s="98">
        <f>IF(ISERROR((GN305/GL305-1)*100),"NA",IF(((GN305/GL305-1)*100)&gt;100,"NM",IF(((GN305/GL305-1)*100)&lt;-50,"NM",(GN305/GL305-1)*100)))</f>
        <v>-0.72577969475778881</v>
      </c>
      <c r="GP305" s="119">
        <f>GP298-(GP302+GP303)/0.65</f>
        <v>2007.7909136520248</v>
      </c>
      <c r="GQ305" s="98">
        <f>IF(ISERROR((GP305/GN305-1)*100),"NA",IF(((GP305/GN305-1)*100)&gt;100,"NM",IF(((GP305/GN305-1)*100)&lt;-50,"NM",(GP305/GN305-1)*100)))</f>
        <v>9.0415752912909717</v>
      </c>
      <c r="GR305" s="119">
        <f>GR298-(GR302+GR303)/0.65</f>
        <v>2140.1342339178555</v>
      </c>
      <c r="GS305" s="98">
        <f>IF(ISERROR((GR305/GP305-1)*100),"NA",IF(((GR305/GP305-1)*100)&gt;100,"NM",IF(((GR305/GP305-1)*100)&lt;-50,"NM",(GR305/GP305-1)*100)))</f>
        <v>6.5914891518812579</v>
      </c>
      <c r="GT305" s="119">
        <f>GT298-(GT302+GT303)/0.65</f>
        <v>2247.1409456137517</v>
      </c>
      <c r="GU305" s="98">
        <f>IF(ISERROR((GT305/GR305-1)*100),"NA",IF(((GT305/GR305-1)*100)&gt;100,"NM",IF(((GT305/GR305-1)*100)&lt;-50,"NM",(GT305/GR305-1)*100)))</f>
        <v>5.0000000000001599</v>
      </c>
      <c r="GV305" s="119">
        <f>GV298-(GV302+GV303)/0.65</f>
        <v>2373.0476223090609</v>
      </c>
      <c r="GW305" s="98">
        <f>IF(ISERROR((GV305/GT305-1)*100),"NA",IF(((GV305/GT305-1)*100)&gt;100,"NM",IF(((GV305/GT305-1)*100)&lt;-50,"NM",(GV305/GT305-1)*100)))</f>
        <v>5.6029719426843094</v>
      </c>
      <c r="GX305" s="119">
        <f>GX298-(GX302+GX303)/0.65</f>
        <v>2480.308002224654</v>
      </c>
      <c r="GY305" s="98">
        <f>IF(ISERROR((GX305/GV305-1)*100),"NA",IF(((GX305/GV305-1)*100)&gt;100,"NM",IF(((GX305/GV305-1)*100)&lt;-50,"NM",(GX305/GV305-1)*100)))</f>
        <v>4.5199421582287957</v>
      </c>
      <c r="GZ305" s="98">
        <f t="shared" si="1593"/>
        <v>6.1392096488357417</v>
      </c>
      <c r="HA305" s="98"/>
      <c r="HB305" s="10"/>
      <c r="HC305"/>
      <c r="HD305"/>
      <c r="HE305"/>
      <c r="HF305"/>
      <c r="HG305"/>
      <c r="HH305"/>
      <c r="HI305" s="10"/>
    </row>
    <row r="306" spans="2:217" s="210" customFormat="1" ht="12.75" customHeight="1" x14ac:dyDescent="0.2">
      <c r="B306" s="19"/>
      <c r="C306" s="117"/>
      <c r="D306" s="98"/>
      <c r="E306" s="117"/>
      <c r="F306" s="98"/>
      <c r="G306" s="117"/>
      <c r="H306" s="98"/>
      <c r="I306" s="117"/>
      <c r="J306" s="98"/>
      <c r="K306" s="117"/>
      <c r="L306" s="98"/>
      <c r="M306" s="117"/>
      <c r="N306" s="98"/>
      <c r="O306" s="117"/>
      <c r="P306" s="98"/>
      <c r="Q306" s="117"/>
      <c r="R306" s="98"/>
      <c r="S306" s="117"/>
      <c r="T306" s="98"/>
      <c r="U306" s="117"/>
      <c r="V306" s="98"/>
      <c r="W306" s="117"/>
      <c r="X306" s="98"/>
      <c r="Y306" s="117"/>
      <c r="Z306" s="98"/>
      <c r="AA306" s="117"/>
      <c r="AB306" s="98"/>
      <c r="AC306" s="117"/>
      <c r="AD306" s="98"/>
      <c r="AE306" s="117"/>
      <c r="AF306" s="98"/>
      <c r="AG306" s="117"/>
      <c r="AH306" s="98"/>
      <c r="AI306" s="117"/>
      <c r="AJ306" s="98"/>
      <c r="AK306" s="117"/>
      <c r="AL306" s="98"/>
      <c r="AM306" s="117"/>
      <c r="AN306" s="98"/>
      <c r="AO306" s="117"/>
      <c r="AP306" s="98"/>
      <c r="AQ306" s="117"/>
      <c r="AR306" s="98"/>
      <c r="AS306" s="117"/>
      <c r="AT306" s="98"/>
      <c r="AU306" s="117"/>
      <c r="AV306" s="98"/>
      <c r="AW306" s="117"/>
      <c r="AX306" s="98"/>
      <c r="AY306" s="117"/>
      <c r="AZ306" s="98"/>
      <c r="BA306" s="117"/>
      <c r="BB306" s="98"/>
      <c r="BC306" s="117"/>
      <c r="BD306" s="98"/>
      <c r="BE306" s="117"/>
      <c r="BF306" s="98"/>
      <c r="BG306" s="117"/>
      <c r="BH306" s="98"/>
      <c r="BI306" s="117"/>
      <c r="BJ306" s="98"/>
      <c r="BK306" s="117"/>
      <c r="BL306" s="98"/>
      <c r="BM306" s="117"/>
      <c r="BN306" s="98"/>
      <c r="BO306" s="117"/>
      <c r="BP306" s="98"/>
      <c r="BQ306" s="117"/>
      <c r="BR306" s="98"/>
      <c r="BS306" s="117"/>
      <c r="BT306" s="98"/>
      <c r="BU306" s="117"/>
      <c r="BV306" s="98"/>
      <c r="BW306" s="117"/>
      <c r="BX306" s="98"/>
      <c r="BY306" s="117"/>
      <c r="BZ306" s="98"/>
      <c r="CA306" s="118"/>
      <c r="CB306" s="98"/>
      <c r="CC306" s="118"/>
      <c r="CD306" s="98"/>
      <c r="CE306" s="118"/>
      <c r="CF306" s="98"/>
      <c r="CG306" s="118"/>
      <c r="CH306" s="98"/>
      <c r="CI306" s="118"/>
      <c r="CJ306" s="98"/>
      <c r="CK306" s="182"/>
      <c r="CL306" s="98"/>
      <c r="CM306" s="182"/>
      <c r="CN306" s="98"/>
      <c r="CO306" s="182"/>
      <c r="CP306" s="98"/>
      <c r="CQ306" s="512"/>
      <c r="CR306" s="98"/>
      <c r="CS306" s="182"/>
      <c r="CT306" s="98"/>
      <c r="CU306" s="182"/>
      <c r="CV306" s="98"/>
      <c r="CW306" s="182"/>
      <c r="CX306" s="98"/>
      <c r="CY306" s="182"/>
      <c r="CZ306" s="98"/>
      <c r="DA306" s="182"/>
      <c r="DB306" s="98"/>
      <c r="DC306" s="182"/>
      <c r="DD306" s="98"/>
      <c r="DE306" s="182"/>
      <c r="DF306" s="98"/>
      <c r="DG306" s="182"/>
      <c r="DH306" s="98"/>
      <c r="DI306" s="182"/>
      <c r="DJ306" s="98"/>
      <c r="DK306" s="182"/>
      <c r="DL306" s="98"/>
      <c r="DM306" s="182"/>
      <c r="DN306" s="98"/>
      <c r="DO306" s="182"/>
      <c r="DP306" s="98"/>
      <c r="DQ306" s="182"/>
      <c r="DR306" s="98"/>
      <c r="DS306" s="182"/>
      <c r="DT306" s="98"/>
      <c r="DU306" s="182"/>
      <c r="DV306" s="98"/>
      <c r="DW306" s="182"/>
      <c r="DX306" s="98"/>
      <c r="DY306" s="182"/>
      <c r="DZ306" s="98"/>
      <c r="EA306" s="182"/>
      <c r="EB306" s="98"/>
      <c r="EC306" s="182"/>
      <c r="ED306" s="98"/>
      <c r="EE306" s="182"/>
      <c r="EF306" s="860"/>
      <c r="EG306" s="182"/>
      <c r="EH306" s="860"/>
      <c r="EI306" s="182"/>
      <c r="EJ306" s="860"/>
      <c r="EK306" s="182"/>
      <c r="EL306" s="860"/>
      <c r="EM306" s="182"/>
      <c r="EN306" s="860"/>
      <c r="EO306" s="182"/>
      <c r="EP306" s="98"/>
      <c r="EQ306" s="795"/>
      <c r="ER306" s="98"/>
      <c r="ES306" s="795"/>
      <c r="ET306" s="98"/>
      <c r="EU306" s="795"/>
      <c r="EV306" s="98"/>
      <c r="EW306" s="795"/>
      <c r="EX306" s="98"/>
      <c r="EY306" s="118"/>
      <c r="EZ306" s="598"/>
      <c r="FA306" s="409"/>
      <c r="FB306" s="117"/>
      <c r="FC306" s="98"/>
      <c r="FD306" s="117"/>
      <c r="FE306" s="98"/>
      <c r="FF306" s="118"/>
      <c r="FG306" s="98"/>
      <c r="FH306" s="118"/>
      <c r="FI306" s="98"/>
      <c r="FJ306" s="118"/>
      <c r="FK306" s="98"/>
      <c r="FL306" s="118"/>
      <c r="FM306" s="98"/>
      <c r="FN306" s="118"/>
      <c r="FO306" s="98"/>
      <c r="FP306" s="118"/>
      <c r="FQ306" s="98"/>
      <c r="FR306" s="119"/>
      <c r="FS306" s="120"/>
      <c r="FT306" s="119"/>
      <c r="FU306" s="120"/>
      <c r="FV306" s="118"/>
      <c r="FW306" s="98"/>
      <c r="FX306" s="510"/>
      <c r="FY306" s="98"/>
      <c r="FZ306" s="184"/>
      <c r="GA306" s="98"/>
      <c r="GB306" s="498"/>
      <c r="GC306" s="98"/>
      <c r="GD306" s="184"/>
      <c r="GE306" s="98"/>
      <c r="GF306" s="184"/>
      <c r="GG306" s="98"/>
      <c r="GH306" s="184"/>
      <c r="GI306" s="98"/>
      <c r="GJ306" s="184"/>
      <c r="GK306" s="98"/>
      <c r="GL306" s="184"/>
      <c r="GM306" s="98"/>
      <c r="GN306" s="184"/>
      <c r="GO306" s="98"/>
      <c r="GP306" s="184"/>
      <c r="GQ306" s="98"/>
      <c r="GR306" s="183"/>
      <c r="GS306" s="98"/>
      <c r="GT306" s="183"/>
      <c r="GU306" s="98"/>
      <c r="GV306" s="183"/>
      <c r="GW306" s="98"/>
      <c r="GX306" s="183"/>
      <c r="GY306" s="98"/>
      <c r="GZ306" s="98"/>
      <c r="HA306" s="98"/>
      <c r="HB306" s="240"/>
      <c r="HC306"/>
      <c r="HD306"/>
      <c r="HE306"/>
      <c r="HF306"/>
      <c r="HG306"/>
      <c r="HH306"/>
      <c r="HI306" s="10"/>
    </row>
    <row r="307" spans="2:217" s="210" customFormat="1" ht="12.75" customHeight="1" x14ac:dyDescent="0.2">
      <c r="B307" s="91" t="s">
        <v>480</v>
      </c>
      <c r="C307" s="117"/>
      <c r="D307" s="98"/>
      <c r="E307" s="117"/>
      <c r="F307" s="98"/>
      <c r="G307" s="117"/>
      <c r="H307" s="98"/>
      <c r="I307" s="117"/>
      <c r="J307" s="98"/>
      <c r="K307" s="117"/>
      <c r="L307" s="98"/>
      <c r="M307" s="117"/>
      <c r="N307" s="98"/>
      <c r="O307" s="117"/>
      <c r="P307" s="98"/>
      <c r="Q307" s="117"/>
      <c r="R307" s="98"/>
      <c r="S307" s="117"/>
      <c r="T307" s="98"/>
      <c r="U307" s="117"/>
      <c r="V307" s="98"/>
      <c r="W307" s="117"/>
      <c r="X307" s="98"/>
      <c r="Y307" s="117"/>
      <c r="Z307" s="98"/>
      <c r="AA307" s="117"/>
      <c r="AB307" s="98"/>
      <c r="AC307" s="117"/>
      <c r="AD307" s="98"/>
      <c r="AE307" s="117"/>
      <c r="AF307" s="98"/>
      <c r="AG307" s="117"/>
      <c r="AH307" s="98"/>
      <c r="AI307" s="117"/>
      <c r="AJ307" s="98"/>
      <c r="AK307" s="117"/>
      <c r="AL307" s="98"/>
      <c r="AM307" s="117"/>
      <c r="AN307" s="98"/>
      <c r="AO307" s="117"/>
      <c r="AP307" s="98"/>
      <c r="AQ307" s="117"/>
      <c r="AR307" s="98"/>
      <c r="AS307" s="117"/>
      <c r="AT307" s="98"/>
      <c r="AU307" s="117"/>
      <c r="AV307" s="98"/>
      <c r="AW307" s="117"/>
      <c r="AX307" s="98"/>
      <c r="AY307" s="117"/>
      <c r="AZ307" s="98"/>
      <c r="BA307" s="117"/>
      <c r="BB307" s="98"/>
      <c r="BC307" s="117"/>
      <c r="BD307" s="98"/>
      <c r="BE307" s="117"/>
      <c r="BF307" s="98"/>
      <c r="BG307" s="117"/>
      <c r="BH307" s="98"/>
      <c r="BI307" s="117"/>
      <c r="BJ307" s="98"/>
      <c r="BK307" s="117"/>
      <c r="BL307" s="98"/>
      <c r="BM307" s="117"/>
      <c r="BN307" s="98"/>
      <c r="BO307" s="117"/>
      <c r="BP307" s="98"/>
      <c r="BQ307" s="117"/>
      <c r="BR307" s="98"/>
      <c r="BS307" s="117"/>
      <c r="BT307" s="98"/>
      <c r="BU307" s="117"/>
      <c r="BV307" s="98"/>
      <c r="BW307" s="117"/>
      <c r="BX307" s="98"/>
      <c r="BY307" s="117"/>
      <c r="BZ307" s="98"/>
      <c r="CA307" s="118"/>
      <c r="CB307" s="98"/>
      <c r="CC307" s="118"/>
      <c r="CD307" s="98"/>
      <c r="CE307" s="118"/>
      <c r="CF307" s="98"/>
      <c r="CG307" s="118"/>
      <c r="CH307" s="98"/>
      <c r="CI307" s="118"/>
      <c r="CJ307" s="98"/>
      <c r="CK307" s="137">
        <f>+CK298/CK284*100</f>
        <v>20.679886685552407</v>
      </c>
      <c r="CL307" s="98" t="str">
        <f>IF(ISERROR((CK307/CC307-1)*100),"NA",IF(((CK307/CC307-1)*100)&gt;100,"NM",IF(((CK307/CC307-1)*100)&lt;-50,"NM",(CK307/CC307-1)*100)))</f>
        <v>NA</v>
      </c>
      <c r="CM307" s="137">
        <f>+CM298/CM284*100</f>
        <v>12.342857142857143</v>
      </c>
      <c r="CN307" s="98" t="str">
        <f>IF(ISERROR((CM307/CE307-1)*100),"NA",IF(((CM307/CE307-1)*100)&gt;100,"NM",IF(((CM307/CE307-1)*100)&lt;-50,"NM",(CM307/CE307-1)*100)))</f>
        <v>NA</v>
      </c>
      <c r="CO307" s="137">
        <f>+CO298/CO284*100</f>
        <v>9.3031609195402289</v>
      </c>
      <c r="CP307" s="98" t="str">
        <f>IF(ISERROR((CO307/CG307-1)*100),"NA",IF(((CO307/CG307-1)*100)&gt;100,"NM",IF(((CO307/CG307-1)*100)&lt;-50,"NM",(CO307/CG307-1)*100)))</f>
        <v>NA</v>
      </c>
      <c r="CQ307" s="494">
        <f>+CQ298/CQ284*100</f>
        <v>11.058823529411764</v>
      </c>
      <c r="CR307" s="98" t="str">
        <f>IF(ISERROR((CQ307/CI307-1)*100),"NA",IF(((CQ307/CI307-1)*100)&gt;100,"NM",IF(((CQ307/CI307-1)*100)&lt;-50,"NM",(CQ307/CI307-1)*100)))</f>
        <v>NA</v>
      </c>
      <c r="CS307" s="137">
        <f>+CS298/CS284*100</f>
        <v>13.631739572736521</v>
      </c>
      <c r="CT307" s="98">
        <f>IF(ISERROR((CS307/CK307-1)*100),"NA",IF(((CS307/CK307-1)*100)&gt;100,"NM",IF(((CS307/CK307-1)*100)&lt;-50,"NM",(CS307/CK307-1)*100)))</f>
        <v>-34.082136038685043</v>
      </c>
      <c r="CU307" s="137">
        <f>+CU298/CU284*100</f>
        <v>14.912846998063268</v>
      </c>
      <c r="CV307" s="98">
        <f>IF(ISERROR((CU307/CM307-1)*100),"NA",IF(((CU307/CM307-1)*100)&gt;100,"NM",IF(((CU307/CM307-1)*100)&lt;-50,"NM",(CU307/CM307-1)*100)))</f>
        <v>20.82167706764222</v>
      </c>
      <c r="CW307" s="137">
        <f>+CW298/CW284*100</f>
        <v>13.205168610148124</v>
      </c>
      <c r="CX307" s="98">
        <f>IF(ISERROR((CW307/CO307-1)*100),"NA",IF(((CW307/CO307-1)*100)&gt;100,"NM",IF(((CW307/CO307-1)*100)&lt;-50,"NM",(CW307/CO307-1)*100)))</f>
        <v>41.942816257345108</v>
      </c>
      <c r="CY307" s="137">
        <f>+CY298/CY284*100</f>
        <v>12.29380641145347</v>
      </c>
      <c r="CZ307" s="98">
        <f>IF(ISERROR((CY307/CQ307-1)*100),"NA",IF(((CY307/CQ307-1)*100)&gt;100,"NM",IF(((CY307/CQ307-1)*100)&lt;-50,"NM",(CY307/CQ307-1)*100)))</f>
        <v>11.167398401440964</v>
      </c>
      <c r="DA307" s="137">
        <f>+DA298/DA284*100</f>
        <v>9.6271393643031793</v>
      </c>
      <c r="DB307" s="98">
        <f>IF(ISERROR((DA307/CS307-1)*100),"NA",IF(((DA307/CS307-1)*100)&gt;100,"NM",IF(((DA307/CS307-1)*100)&lt;-50,"NM",(DA307/CS307-1)*100)))</f>
        <v>-29.377029887238614</v>
      </c>
      <c r="DC307" s="137">
        <f>+DC298/DC284*100</f>
        <v>15.50047066206464</v>
      </c>
      <c r="DD307" s="98">
        <f>IF(ISERROR((DC307/CU307-1)*100),"NA",IF(((DC307/CU307-1)*100)&gt;100,"NM",IF(((DC307/CU307-1)*100)&lt;-50,"NM",(DC307/CU307-1)*100)))</f>
        <v>3.9403855218100636</v>
      </c>
      <c r="DE307" s="137">
        <f>+DE298/DE284*100</f>
        <v>15.505830444374407</v>
      </c>
      <c r="DF307" s="98">
        <f>IF(ISERROR((DE307/CW307-1)*100),"NA",IF(((DE307/CW307-1)*100)&gt;100,"NM",IF(((DE307/CW307-1)*100)&lt;-50,"NM",(DE307/CW307-1)*100)))</f>
        <v>17.422434367541761</v>
      </c>
      <c r="DG307" s="137">
        <f>+DG298/DG284*100</f>
        <v>11.241065627030538</v>
      </c>
      <c r="DH307" s="98">
        <f>IF(ISERROR((DG307/CY307-1)*100),"NA",IF(((DG307/CY307-1)*100)&gt;100,"NM",IF(((DG307/CY307-1)*100)&lt;-50,"NM",(DG307/CY307-1)*100)))</f>
        <v>-8.5631801021541225</v>
      </c>
      <c r="DI307" s="137">
        <f>+DI298/DI284*100</f>
        <v>15.168175937904268</v>
      </c>
      <c r="DJ307" s="98">
        <f>IF(ISERROR((DI307/DA307-1)*100),"NA",IF(((DI307/DA307-1)*100)&gt;100,"NM",IF(((DI307/DA307-1)*100)&lt;-50,"NM",(DI307/DA307-1)*100)))</f>
        <v>57.556417996262724</v>
      </c>
      <c r="DK307" s="137">
        <f>+DK298/DK284*100</f>
        <v>16.001330671989354</v>
      </c>
      <c r="DL307" s="98">
        <f>IF(ISERROR((DK307/DC307-1)*100),"NA",IF(((DK307/DC307-1)*100)&gt;100,"NM",IF(((DK307/DC307-1)*100)&lt;-50,"NM",(DK307/DC307-1)*100)))</f>
        <v>3.2312567846762397</v>
      </c>
      <c r="DM307" s="137">
        <f>+DM298/DM284*100</f>
        <v>14.766416203854948</v>
      </c>
      <c r="DN307" s="98">
        <f>IF(ISERROR((DM307/DE307-1)*100),"NA",IF(((DM307/DE307-1)*100)&gt;100,"NM",IF(((DM307/DE307-1)*100)&lt;-50,"NM",(DM307/DE307-1)*100)))</f>
        <v>-4.7686207015614652</v>
      </c>
      <c r="DO307" s="137">
        <f>+DO298/DO284*100</f>
        <v>14.540896270761516</v>
      </c>
      <c r="DP307" s="98">
        <f>IF(ISERROR((DO307/DG307-1)*100),"NA",IF(((DO307/DG307-1)*100)&gt;100,"NM",IF(((DO307/DG307-1)*100)&lt;-50,"NM",(DO307/DG307-1)*100)))</f>
        <v>29.355140813306214</v>
      </c>
      <c r="DQ307" s="137">
        <f>+DQ298/DQ284*100</f>
        <v>16.43835616438356</v>
      </c>
      <c r="DR307" s="98">
        <f>IF(ISERROR((DQ307/DI307-1)*100),"NA",IF(((DQ307/DI307-1)*100)&gt;100,"NM",IF(((DQ307/DI307-1)*100)&lt;-50,"NM",(DQ307/DI307-1)*100)))</f>
        <v>8.3739813651896977</v>
      </c>
      <c r="DS307" s="137">
        <f>+DS298/DS284*100</f>
        <v>16.602586508213911</v>
      </c>
      <c r="DT307" s="98">
        <f>IF(ISERROR((DS307/DK307-1)*100),"NA",IF(((DS307/DK307-1)*100)&gt;100,"NM",IF(((DS307/DK307-1)*100)&lt;-50,"NM",(DS307/DK307-1)*100)))</f>
        <v>3.7575364733700933</v>
      </c>
      <c r="DU307" s="137">
        <f>+DU298/DU284*100</f>
        <v>16.598079561042525</v>
      </c>
      <c r="DV307" s="98">
        <f>IF(ISERROR((DU307/DM307-1)*100),"NA",IF(((DU307/DM307-1)*100)&gt;100,"NM",IF(((DU307/DM307-1)*100)&lt;-50,"NM",(DU307/DM307-1)*100)))</f>
        <v>12.404251186617632</v>
      </c>
      <c r="DW307" s="137">
        <f>+DW298/DW284*100</f>
        <v>16.453447050461975</v>
      </c>
      <c r="DX307" s="98">
        <f>IF(ISERROR((DW307/DO307-1)*100),"NA",IF(((DW307/DO307-1)*100)&gt;100,"NM",IF(((DW307/DO307-1)*100)&lt;-50,"NM",(DW307/DO307-1)*100)))</f>
        <v>13.152908487121051</v>
      </c>
      <c r="DY307" s="137">
        <f>+DY298/DY284*100</f>
        <v>15.55472263868066</v>
      </c>
      <c r="DZ307" s="98">
        <f>IF(ISERROR((DY307/DQ307-1)*100),"NA",IF(((DY307/DQ307-1)*100)&gt;100,"NM",IF(((DY307/DQ307-1)*100)&lt;-50,"NM",(DY307/DQ307-1)*100)))</f>
        <v>-5.3754372813593072</v>
      </c>
      <c r="EA307" s="137">
        <f>+EA298/EA284*100</f>
        <v>15.13431706394249</v>
      </c>
      <c r="EB307" s="98">
        <f>IF(ISERROR((EA307/DS307-1)*100),"NA",IF(((EA307/DS307-1)*100)&gt;100,"NM",IF(((EA307/DS307-1)*100)&lt;-50,"NM",(EA307/DS307-1)*100)))</f>
        <v>-8.8436186948642863</v>
      </c>
      <c r="EC307" s="137">
        <f>+EC298/EC284*100</f>
        <v>14.535519125683061</v>
      </c>
      <c r="ED307" s="98">
        <f>IF(ISERROR((EC307/DU307-1)*100),"NA",IF(((EC307/DU307-1)*100)&gt;100,"NM",IF(((EC307/DU307-1)*100)&lt;-50,"NM",(EC307/DU307-1)*100)))</f>
        <v>-12.426500474190483</v>
      </c>
      <c r="EE307" s="137">
        <f>+EE298/EE284*100</f>
        <v>15.877342419080067</v>
      </c>
      <c r="EF307" s="860">
        <f>IF(ISERROR((EE307/DW307-1)*100),"NA",IF(((EE307/DW307-1)*100)&gt;100,"NM",IF(((EE307/DW307-1)*100)&lt;-50,"NM",(EE307/DW307-1)*100)))</f>
        <v>-3.5014221008827007</v>
      </c>
      <c r="EG307" s="137">
        <f>+EG298/EG284*100</f>
        <v>16.549047282992237</v>
      </c>
      <c r="EH307" s="860">
        <f>IF(ISERROR((EG307/DY307-1)*100),"NA",IF(((EG307/DY307-1)*100)&gt;100,"NM",IF(((EG307/DY307-1)*100)&lt;-50,"NM",(EG307/DY307-1)*100)))</f>
        <v>6.3924292795741966</v>
      </c>
      <c r="EI307" s="137">
        <f>+EI298/EI284*100</f>
        <v>15.829145728643216</v>
      </c>
      <c r="EJ307" s="860">
        <f t="shared" ref="EJ307:EJ308" si="1623">IF(ISERROR((EI307/EA307-1)*100),"NA",IF(((EI307/EA307-1)*100)&gt;100,"NM",IF(((EI307/EA307-1)*100)&lt;-50,"NM",(EI307/EA307-1)*100)))</f>
        <v>4.5910804020100393</v>
      </c>
      <c r="EK307" s="137">
        <f>+EK298/EK284*100</f>
        <v>16.834895457822636</v>
      </c>
      <c r="EL307" s="860">
        <f t="shared" ref="EL307:EL308" si="1624">IF(ISERROR((EK307/EC307-1)*100),"NA",IF(((EK307/EC307-1)*100)&gt;100,"NM",IF(((EK307/EC307-1)*100)&lt;-50,"NM",(EK307/EC307-1)*100)))</f>
        <v>15.819017623366239</v>
      </c>
      <c r="EM307" s="137">
        <f>+EM298/EM284*100</f>
        <v>16.057396651861975</v>
      </c>
      <c r="EN307" s="860">
        <f t="shared" ref="EN307:EN308" si="1625">IF(ISERROR((EM307/EE307-1)*100),"NA",IF(((EM307/EE307-1)*100)&gt;100,"NM",IF(((EM307/EE307-1)*100)&lt;-50,"NM",(EM307/EE307-1)*100)))</f>
        <v>1.1340325605470047</v>
      </c>
      <c r="EO307" s="137">
        <f>+EO298/EO284*100</f>
        <v>16.354166666666668</v>
      </c>
      <c r="EP307" s="98">
        <f t="shared" ref="EP307:EP308" si="1626">IF(ISERROR((EO307/EG307-1)*100),"NA",IF(((EO307/EG307-1)*100)&gt;100,"NM",IF(((EO307/EG307-1)*100)&lt;-50,"NM",(EO307/EG307-1)*100)))</f>
        <v>-1.1775941719971539</v>
      </c>
      <c r="EQ307" s="842">
        <f t="shared" ref="EQ307" si="1627">+EQ298/EQ284*100</f>
        <v>17.075549701366683</v>
      </c>
      <c r="ER307" s="98">
        <f t="shared" ref="ER307:ER308" si="1628">IF(ISERROR((EQ307/EI307-1)*100),"NA",IF(((EQ307/EI307-1)*100)&gt;100,"NM",IF(((EQ307/EI307-1)*100)&lt;-50,"NM",(EQ307/EI307-1)*100)))</f>
        <v>7.8741076372053964</v>
      </c>
      <c r="ES307" s="842">
        <f t="shared" ref="ES307" si="1629">+ES298/ES284*100</f>
        <v>17.151978824188035</v>
      </c>
      <c r="ET307" s="98">
        <f t="shared" ref="ET307:ET308" si="1630">IF(ISERROR((ES307/EK307-1)*100),"NA",IF(((ES307/EK307-1)*100)&gt;100,"NM",IF(((ES307/EK307-1)*100)&lt;-50,"NM",(ES307/EK307-1)*100)))</f>
        <v>1.8834887757978924</v>
      </c>
      <c r="EU307" s="842">
        <f t="shared" ref="EU307" si="1631">+EU298/EU284*100</f>
        <v>17.22907269792741</v>
      </c>
      <c r="EV307" s="98">
        <f t="shared" ref="EV307:EV308" si="1632">IF(ISERROR((EU307/EM307-1)*100),"NA",IF(((EU307/EM307-1)*100)&gt;100,"NM",IF(((EU307/EM307-1)*100)&lt;-50,"NM",(EU307/EM307-1)*100)))</f>
        <v>7.2967995464543245</v>
      </c>
      <c r="EW307" s="842">
        <f t="shared" ref="EW307" si="1633">+EW298/EW284*100</f>
        <v>17.156331389104402</v>
      </c>
      <c r="EX307" s="98">
        <f t="shared" ref="EX307:EX308" si="1634">IF(ISERROR((EW307/EO307-1)*100),"NA",IF(((EW307/EO307-1)*100)&gt;100,"NM",IF(((EW307/EO307-1)*100)&lt;-50,"NM",(EW307/EO307-1)*100)))</f>
        <v>4.9049562645874234</v>
      </c>
      <c r="EY307" s="118"/>
      <c r="EZ307" s="598"/>
      <c r="FA307" s="409"/>
      <c r="FB307" s="117"/>
      <c r="FC307" s="98"/>
      <c r="FD307" s="117"/>
      <c r="FE307" s="98"/>
      <c r="FF307" s="118"/>
      <c r="FG307" s="98"/>
      <c r="FH307" s="118"/>
      <c r="FI307" s="98"/>
      <c r="FJ307" s="118"/>
      <c r="FK307" s="98"/>
      <c r="FL307" s="118"/>
      <c r="FM307" s="98"/>
      <c r="FN307" s="118"/>
      <c r="FO307" s="98"/>
      <c r="FP307" s="118"/>
      <c r="FQ307" s="98"/>
      <c r="FR307" s="119"/>
      <c r="FS307" s="120"/>
      <c r="FT307" s="119"/>
      <c r="FU307" s="120"/>
      <c r="FV307" s="118"/>
      <c r="FW307" s="98"/>
      <c r="FX307" s="510"/>
      <c r="FY307" s="98"/>
      <c r="FZ307" s="290">
        <f>+FZ298/FZ284*100</f>
        <v>20.679886685552407</v>
      </c>
      <c r="GA307" s="98" t="str">
        <f>IF(ISERROR((FZ307/FX307-1)*100),"NA",IF(((FZ307/FX307-1)*100)&gt;100,"NM",IF(((FZ307/FX307-1)*100)&lt;-50,"NM",(FZ307/FX307-1)*100)))</f>
        <v>NA</v>
      </c>
      <c r="GB307" s="487">
        <f>+GB298/GB284*100</f>
        <v>11.417458945548834</v>
      </c>
      <c r="GC307" s="98">
        <f>IF(ISERROR((GB307/FZ307-1)*100),"NA",IF(((GB307/FZ307-1)*100)&gt;100,"NM",IF(((GB307/FZ307-1)*100)&lt;-50,"NM",(GB307/FZ307-1)*100)))</f>
        <v>-44.789547838647415</v>
      </c>
      <c r="GD307" s="290">
        <f>+GD298/GD284*100</f>
        <v>12.472561931640012</v>
      </c>
      <c r="GE307" s="98">
        <f>IF(ISERROR((GD307/GB307-1)*100),"NA",IF(((GD307/GB307-1)*100)&gt;100,"NM",IF(((GD307/GB307-1)*100)&lt;-50,"NM",(GD307/GB307-1)*100)))</f>
        <v>9.241136676059746</v>
      </c>
      <c r="GF307" s="290">
        <f>+GF298/GF284*100</f>
        <v>14.373503591380688</v>
      </c>
      <c r="GG307" s="98">
        <f>IF(ISERROR((GF307/GD307-1)*100),"NA",IF(((GF307/GD307-1)*100)&gt;100,"NM",IF(((GF307/GD307-1)*100)&lt;-50,"NM",(GF307/GD307-1)*100)))</f>
        <v>15.240987939441908</v>
      </c>
      <c r="GH307" s="290">
        <f>+GH298/GH284*100</f>
        <v>15.419149457187167</v>
      </c>
      <c r="GI307" s="98">
        <f>IF(ISERROR((GH307/GF307-1)*100),"NA",IF(((GH307/GF307-1)*100)&gt;100,"NM",IF(((GH307/GF307-1)*100)&lt;-50,"NM",(GH307/GF307-1)*100)))</f>
        <v>7.2748154905914353</v>
      </c>
      <c r="GJ307" s="290">
        <f>+GJ298/GJ284*100</f>
        <v>16.315836219912956</v>
      </c>
      <c r="GK307" s="98">
        <f>IF(ISERROR((GJ307/GH307-1)*100),"NA",IF(((GJ307/GH307-1)*100)&gt;100,"NM",IF(((GJ307/GH307-1)*100)&lt;-50,"NM",(GJ307/GH307-1)*100)))</f>
        <v>5.8154100212565618</v>
      </c>
      <c r="GL307" s="290">
        <f>+GL298/GL284*100</f>
        <v>15.541812315138479</v>
      </c>
      <c r="GM307" s="98">
        <f>IF(ISERROR((GL307/GJ307-1)*100),"NA",IF(((GL307/GJ307-1)*100)&gt;100,"NM",IF(((GL307/GJ307-1)*100)&lt;-50,"NM",(GL307/GJ307-1)*100)))</f>
        <v>-4.7440038888708962</v>
      </c>
      <c r="GN307" s="290">
        <f>+GN298/GN284*100</f>
        <v>16.266385149995603</v>
      </c>
      <c r="GO307" s="98">
        <f>IF(ISERROR((GN307/GL307-1)*100),"NA",IF(((GN307/GL307-1)*100)&gt;100,"NM",IF(((GN307/GL307-1)*100)&lt;-50,"NM",(GN307/GL307-1)*100)))</f>
        <v>4.66208715023122</v>
      </c>
      <c r="GP307" s="290">
        <f>+GP298/GP284*100</f>
        <v>17.153745577044393</v>
      </c>
      <c r="GQ307" s="98">
        <f>IF(ISERROR((GP307/GN307-1)*100),"NA",IF(((GP307/GN307-1)*100)&gt;100,"NM",IF(((GP307/GN307-1)*100)&lt;-50,"NM",(GP307/GN307-1)*100)))</f>
        <v>5.4551790017650648</v>
      </c>
      <c r="GR307" s="289">
        <f>+GR298/GR284*100</f>
        <v>17.413745577044367</v>
      </c>
      <c r="GS307" s="98">
        <f>IF(ISERROR((GR307/GP307-1)*100),"NA",IF(((GR307/GP307-1)*100)&gt;100,"NM",IF(((GR307/GP307-1)*100)&lt;-50,"NM",(GR307/GP307-1)*100)))</f>
        <v>1.5157039541726203</v>
      </c>
      <c r="GT307" s="289">
        <f>+GT298/GT284*100</f>
        <v>17.413745577044391</v>
      </c>
      <c r="GU307" s="98">
        <f>IF(ISERROR((GT307/GR307-1)*100),"NA",IF(((GT307/GR307-1)*100)&gt;100,"NM",IF(((GT307/GR307-1)*100)&lt;-50,"NM",(GT307/GR307-1)*100)))</f>
        <v>1.3322676295501878E-13</v>
      </c>
      <c r="GV307" s="289">
        <f>+GV298/GV284*100</f>
        <v>17.513745577044396</v>
      </c>
      <c r="GW307" s="98">
        <f>IF(ISERROR((GV307/GT307-1)*100),"NA",IF(((GV307/GT307-1)*100)&gt;100,"NM",IF(((GV307/GT307-1)*100)&lt;-50,"NM",(GV307/GT307-1)*100)))</f>
        <v>0.57425899303267247</v>
      </c>
      <c r="GX307" s="289">
        <f>+GX298/GX284*100</f>
        <v>17.433673092253482</v>
      </c>
      <c r="GY307" s="98">
        <f>IF(ISERROR((GX307/GV307-1)*100),"NA",IF(((GX307/GV307-1)*100)&gt;100,"NM",IF(((GX307/GV307-1)*100)&lt;-50,"NM",(GX307/GV307-1)*100)))</f>
        <v>-0.45719794454400775</v>
      </c>
      <c r="GZ307" s="98">
        <f>IF(ISERROR(((GX307/GN307)^0.2-1)*100),"NA",IF((((GX307/GN307)^0.2-1)*100)&gt;100,"NM",IF((((GX307/GN307)^0.2-1)*100)&lt;-50,"NM",((GX307/GN307)^0.2-1)*100)))</f>
        <v>1.3957073770006767</v>
      </c>
      <c r="HA307" s="98"/>
      <c r="HB307" s="240"/>
      <c r="HC307"/>
      <c r="HD307"/>
      <c r="HE307"/>
      <c r="HF307"/>
      <c r="HG307"/>
      <c r="HH307"/>
      <c r="HI307" s="10"/>
    </row>
    <row r="308" spans="2:217" s="210" customFormat="1" ht="12.75" customHeight="1" x14ac:dyDescent="0.2">
      <c r="B308" s="91" t="s">
        <v>105</v>
      </c>
      <c r="C308" s="117"/>
      <c r="D308" s="98"/>
      <c r="E308" s="117"/>
      <c r="F308" s="98"/>
      <c r="G308" s="117"/>
      <c r="H308" s="98"/>
      <c r="I308" s="117"/>
      <c r="J308" s="98"/>
      <c r="K308" s="117"/>
      <c r="L308" s="98"/>
      <c r="M308" s="117"/>
      <c r="N308" s="98"/>
      <c r="O308" s="117"/>
      <c r="P308" s="98"/>
      <c r="Q308" s="117"/>
      <c r="R308" s="98"/>
      <c r="S308" s="117"/>
      <c r="T308" s="98"/>
      <c r="U308" s="117"/>
      <c r="V308" s="98"/>
      <c r="W308" s="117"/>
      <c r="X308" s="98"/>
      <c r="Y308" s="117"/>
      <c r="Z308" s="98"/>
      <c r="AA308" s="117"/>
      <c r="AB308" s="98"/>
      <c r="AC308" s="117"/>
      <c r="AD308" s="98"/>
      <c r="AE308" s="117"/>
      <c r="AF308" s="98"/>
      <c r="AG308" s="117"/>
      <c r="AH308" s="98"/>
      <c r="AI308" s="117"/>
      <c r="AJ308" s="98"/>
      <c r="AK308" s="117"/>
      <c r="AL308" s="98"/>
      <c r="AM308" s="117"/>
      <c r="AN308" s="98"/>
      <c r="AO308" s="117"/>
      <c r="AP308" s="98"/>
      <c r="AQ308" s="117"/>
      <c r="AR308" s="98"/>
      <c r="AS308" s="117"/>
      <c r="AT308" s="98"/>
      <c r="AU308" s="117"/>
      <c r="AV308" s="98"/>
      <c r="AW308" s="117"/>
      <c r="AX308" s="98"/>
      <c r="AY308" s="117"/>
      <c r="AZ308" s="98"/>
      <c r="BA308" s="117"/>
      <c r="BB308" s="98"/>
      <c r="BC308" s="117"/>
      <c r="BD308" s="98"/>
      <c r="BE308" s="117"/>
      <c r="BF308" s="98"/>
      <c r="BG308" s="117"/>
      <c r="BH308" s="98"/>
      <c r="BI308" s="117"/>
      <c r="BJ308" s="98"/>
      <c r="BK308" s="117"/>
      <c r="BL308" s="98"/>
      <c r="BM308" s="117"/>
      <c r="BN308" s="98"/>
      <c r="BO308" s="117"/>
      <c r="BP308" s="98"/>
      <c r="BQ308" s="117"/>
      <c r="BR308" s="98"/>
      <c r="BS308" s="117"/>
      <c r="BT308" s="98"/>
      <c r="BU308" s="117"/>
      <c r="BV308" s="98"/>
      <c r="BW308" s="117"/>
      <c r="BX308" s="98"/>
      <c r="BY308" s="117"/>
      <c r="BZ308" s="98"/>
      <c r="CA308" s="118"/>
      <c r="CB308" s="98"/>
      <c r="CC308" s="118"/>
      <c r="CD308" s="98"/>
      <c r="CE308" s="118"/>
      <c r="CF308" s="98"/>
      <c r="CG308" s="118"/>
      <c r="CH308" s="98"/>
      <c r="CI308" s="118"/>
      <c r="CJ308" s="98"/>
      <c r="CK308" s="137">
        <f>+CK301/CK284*100</f>
        <v>13.314447592067987</v>
      </c>
      <c r="CL308" s="98" t="str">
        <f>IF(ISERROR((CK308/CC308-1)*100),"NA",IF(((CK308/CC308-1)*100)&gt;100,"NM",IF(((CK308/CC308-1)*100)&lt;-50,"NM",(CK308/CC308-1)*100)))</f>
        <v>NA</v>
      </c>
      <c r="CM308" s="137">
        <f>+CM301/CM284*100</f>
        <v>8.5333333333333332</v>
      </c>
      <c r="CN308" s="98" t="str">
        <f>IF(ISERROR((CM308/CE308-1)*100),"NA",IF(((CM308/CE308-1)*100)&gt;100,"NM",IF(((CM308/CE308-1)*100)&lt;-50,"NM",(CM308/CE308-1)*100)))</f>
        <v>NA</v>
      </c>
      <c r="CO308" s="137">
        <f>+CO301/CO284*100</f>
        <v>6.1422413793103443</v>
      </c>
      <c r="CP308" s="98" t="str">
        <f>IF(ISERROR((CO308/CG308-1)*100),"NA",IF(((CO308/CG308-1)*100)&gt;100,"NM",IF(((CO308/CG308-1)*100)&lt;-50,"NM",(CO308/CG308-1)*100)))</f>
        <v>NA</v>
      </c>
      <c r="CQ308" s="494">
        <f>+CQ301/CQ284*100</f>
        <v>7.46218487394958</v>
      </c>
      <c r="CR308" s="98" t="str">
        <f>IF(ISERROR((CQ308/CI308-1)*100),"NA",IF(((CQ308/CI308-1)*100)&gt;100,"NM",IF(((CQ308/CI308-1)*100)&lt;-50,"NM",(CQ308/CI308-1)*100)))</f>
        <v>NA</v>
      </c>
      <c r="CS308" s="137">
        <f>+CS301/CS284*100</f>
        <v>8.7826381824347237</v>
      </c>
      <c r="CT308" s="98">
        <f>IF(ISERROR((CS308/CK308-1)*100),"NA",IF(((CS308/CK308-1)*100)&gt;100,"NM",IF(((CS308/CK308-1)*100)&lt;-50,"NM",(CS308/CK308-1)*100)))</f>
        <v>-34.036781310649836</v>
      </c>
      <c r="CU308" s="137">
        <f>+CU301/CU284*100</f>
        <v>9.7159457714654618</v>
      </c>
      <c r="CV308" s="98">
        <f>IF(ISERROR((CU308/CM308-1)*100),"NA",IF(((CU308/CM308-1)*100)&gt;100,"NM",IF(((CU308/CM308-1)*100)&lt;-50,"NM",(CU308/CM308-1)*100)))</f>
        <v>13.858739509360873</v>
      </c>
      <c r="CW308" s="137">
        <f>+CW301/CW284*100</f>
        <v>8.7929404349196343</v>
      </c>
      <c r="CX308" s="98">
        <f>IF(ISERROR((CW308/CO308-1)*100),"NA",IF(((CW308/CO308-1)*100)&gt;100,"NM",IF(((CW308/CO308-1)*100)&lt;-50,"NM",(CW308/CO308-1)*100)))</f>
        <v>43.155240765007385</v>
      </c>
      <c r="CY308" s="137">
        <f>+CY301/CY284*100</f>
        <v>8.0610021786492378</v>
      </c>
      <c r="CZ308" s="98">
        <f>IF(ISERROR((CY308/CQ308-1)*100),"NA",IF(((CY308/CQ308-1)*100)&gt;100,"NM",IF(((CY308/CQ308-1)*100)&lt;-50,"NM",(CY308/CQ308-1)*100)))</f>
        <v>8.0246913580247039</v>
      </c>
      <c r="DA308" s="137">
        <f>+DA301/DA284*100</f>
        <v>6.0513447432762835</v>
      </c>
      <c r="DB308" s="98">
        <f>IF(ISERROR((DA308/CS308-1)*100),"NA",IF(((DA308/CS308-1)*100)&gt;100,"NM",IF(((DA308/CS308-1)*100)&lt;-50,"NM",(DA308/CS308-1)*100)))</f>
        <v>-31.098781282155365</v>
      </c>
      <c r="DC308" s="137">
        <f>+DC301/DC284*100</f>
        <v>10.448697834954503</v>
      </c>
      <c r="DD308" s="98">
        <f>IF(ISERROR((DC308/CU308-1)*100),"NA",IF(((DC308/CU308-1)*100)&gt;100,"NM",IF(((DC308/CU308-1)*100)&lt;-50,"NM",(DC308/CU308-1)*100)))</f>
        <v>7.5417471517908563</v>
      </c>
      <c r="DE308" s="137">
        <f>+DE301/DE284*100</f>
        <v>10.400252127324299</v>
      </c>
      <c r="DF308" s="98">
        <f>IF(ISERROR((DE308/CW308-1)*100),"NA",IF(((DE308/CW308-1)*100)&gt;100,"NM",IF(((DE308/CW308-1)*100)&lt;-50,"NM",(DE308/CW308-1)*100)))</f>
        <v>18.279569892473123</v>
      </c>
      <c r="DG308" s="137">
        <f>+DG301/DG284*100</f>
        <v>8.3495776478232617</v>
      </c>
      <c r="DH308" s="98">
        <f>IF(ISERROR((DG308/CY308-1)*100),"NA",IF(((DG308/CY308-1)*100)&gt;100,"NM",IF(((DG308/CY308-1)*100)&lt;-50,"NM",(DG308/CY308-1)*100)))</f>
        <v>3.5798956851588404</v>
      </c>
      <c r="DI308" s="137">
        <f>+DI301/DI284*100</f>
        <v>10.478654592496765</v>
      </c>
      <c r="DJ308" s="98">
        <f>IF(ISERROR((DI308/DA308-1)*100),"NA",IF(((DI308/DA308-1)*100)&gt;100,"NM",IF(((DI308/DA308-1)*100)&lt;-50,"NM",(DI308/DA308-1)*100)))</f>
        <v>73.162413265906139</v>
      </c>
      <c r="DK308" s="137">
        <f>+DK301/DK284*100</f>
        <v>11.077844311377245</v>
      </c>
      <c r="DL308" s="98">
        <f>IF(ISERROR((DK308/DC308-1)*100),"NA",IF(((DK308/DC308-1)*100)&gt;100,"NM",IF(((DK308/DC308-1)*100)&lt;-50,"NM",(DK308/DC308-1)*100)))</f>
        <v>6.0212907518296666</v>
      </c>
      <c r="DM308" s="137">
        <f>+DM301/DM284*100</f>
        <v>10.584776216922574</v>
      </c>
      <c r="DN308" s="98">
        <f>IF(ISERROR((DM308/DE308-1)*100),"NA",IF(((DM308/DE308-1)*100)&gt;100,"NM",IF(((DM308/DE308-1)*100)&lt;-50,"NM",(DM308/DE308-1)*100)))</f>
        <v>1.7742270796827997</v>
      </c>
      <c r="DO308" s="137">
        <f>+DO301/DO284*100</f>
        <v>9.7148229395173917</v>
      </c>
      <c r="DP308" s="98">
        <f>IF(ISERROR((DO308/DG308-1)*100),"NA",IF(((DO308/DG308-1)*100)&gt;100,"NM",IF(((DO308/DG308-1)*100)&lt;-50,"NM",(DO308/DG308-1)*100)))</f>
        <v>16.351070069395067</v>
      </c>
      <c r="DQ308" s="137">
        <f>+DQ301/DQ284*100</f>
        <v>11.359839625793517</v>
      </c>
      <c r="DR308" s="98">
        <f>IF(ISERROR((DQ308/DI308-1)*100),"NA",IF(((DQ308/DI308-1)*100)&gt;100,"NM",IF(((DQ308/DI308-1)*100)&lt;-50,"NM",(DQ308/DI308-1)*100)))</f>
        <v>8.4093337128196222</v>
      </c>
      <c r="DS308" s="137">
        <f>+DS301/DS284*100</f>
        <v>11.429570080391471</v>
      </c>
      <c r="DT308" s="98">
        <f>IF(ISERROR((DS308/DK308-1)*100),"NA",IF(((DS308/DK308-1)*100)&gt;100,"NM",IF(((DS308/DK308-1)*100)&lt;-50,"NM",(DS308/DK308-1)*100)))</f>
        <v>3.1750380229932817</v>
      </c>
      <c r="DU308" s="137">
        <f>+DU301/DU284*100</f>
        <v>14.574759945130317</v>
      </c>
      <c r="DV308" s="98">
        <f>IF(ISERROR((DU308/DM308-1)*100),"NA",IF(((DU308/DM308-1)*100)&gt;100,"NM",IF(((DU308/DM308-1)*100)&lt;-50,"NM",(DU308/DM308-1)*100)))</f>
        <v>37.695494419888597</v>
      </c>
      <c r="DW308" s="137">
        <f>+DW301/DW284*100</f>
        <v>12.011371712864252</v>
      </c>
      <c r="DX308" s="98">
        <f>IF(ISERROR((DW308/DO308-1)*100),"NA",IF(((DW308/DO308-1)*100)&gt;100,"NM",IF(((DW308/DO308-1)*100)&lt;-50,"NM",(DW308/DO308-1)*100)))</f>
        <v>23.63963592177365</v>
      </c>
      <c r="DY308" s="137">
        <f>+DY301/DY284*100</f>
        <v>10.869565217391305</v>
      </c>
      <c r="DZ308" s="98">
        <f>IF(ISERROR((DY308/DQ308-1)*100),"NA",IF(((DY308/DQ308-1)*100)&gt;100,"NM",IF(((DY308/DQ308-1)*100)&lt;-50,"NM",(DY308/DQ308-1)*100)))</f>
        <v>-4.3158567774935985</v>
      </c>
      <c r="EA308" s="137">
        <f>+EA301/EA284*100</f>
        <v>11.539916761256148</v>
      </c>
      <c r="EB308" s="98">
        <f>IF(ISERROR((EA308/DS308-1)*100),"NA",IF(((EA308/DS308-1)*100)&gt;100,"NM",IF(((EA308/DS308-1)*100)&lt;-50,"NM",(EA308/DS308-1)*100)))</f>
        <v>0.96544909466005358</v>
      </c>
      <c r="EC308" s="137">
        <f>+EC301/EC284*100</f>
        <v>9.435336976320583</v>
      </c>
      <c r="ED308" s="98">
        <f>IF(ISERROR((EC308/DU308-1)*100),"NA",IF(((EC308/DU308-1)*100)&gt;100,"NM",IF(((EC308/DU308-1)*100)&lt;-50,"NM",(EC308/DU308-1)*100)))</f>
        <v>-35.262487945998075</v>
      </c>
      <c r="EE308" s="137">
        <f>+EE301/EE284*100</f>
        <v>11.039182282793867</v>
      </c>
      <c r="EF308" s="860">
        <f>IF(ISERROR((EE308/DW308-1)*100),"NA",IF(((EE308/DW308-1)*100)&gt;100,"NM",IF(((EE308/DW308-1)*100)&lt;-50,"NM",(EE308/DW308-1)*100)))</f>
        <v>-8.0939084503492964</v>
      </c>
      <c r="EG308" s="137">
        <f>+EG301/EG284*100</f>
        <v>12.491178546224418</v>
      </c>
      <c r="EH308" s="860">
        <f>IF(ISERROR((EG308/DY308-1)*100),"NA",IF(((EG308/DY308-1)*100)&gt;100,"NM",IF(((EG308/DY308-1)*100)&lt;-50,"NM",(EG308/DY308-1)*100)))</f>
        <v>14.918842625264638</v>
      </c>
      <c r="EI308" s="137">
        <f>+EI301/EI284*100</f>
        <v>10.588657573582196</v>
      </c>
      <c r="EJ308" s="860">
        <f t="shared" si="1623"/>
        <v>-8.2432066656467295</v>
      </c>
      <c r="EK308" s="137">
        <f>+EK301/EK284*100</f>
        <v>11.175198269646719</v>
      </c>
      <c r="EL308" s="860">
        <f t="shared" si="1624"/>
        <v>18.439842664788575</v>
      </c>
      <c r="EM308" s="137">
        <f>+EM301/EM284*100</f>
        <v>10.727707550392894</v>
      </c>
      <c r="EN308" s="860">
        <f t="shared" si="1625"/>
        <v>-2.821538085175479</v>
      </c>
      <c r="EO308" s="137">
        <f>+EO301/EO284*100</f>
        <v>10.763888888888889</v>
      </c>
      <c r="EP308" s="98">
        <f t="shared" si="1626"/>
        <v>-13.828075957313246</v>
      </c>
      <c r="EQ308" s="1045">
        <f t="shared" ref="EQ308" si="1635">+EQ301/EQ284*100</f>
        <v>11.355240551408844</v>
      </c>
      <c r="ER308" s="98">
        <f t="shared" si="1628"/>
        <v>7.2396616143221681</v>
      </c>
      <c r="ES308" s="1045">
        <f t="shared" ref="ES308" si="1636">+ES301/ES284*100</f>
        <v>11.406065918085043</v>
      </c>
      <c r="ET308" s="98">
        <f t="shared" si="1630"/>
        <v>2.0658930863481029</v>
      </c>
      <c r="EU308" s="1045">
        <f t="shared" ref="EU308" si="1637">+EU301/EU284*100</f>
        <v>11.457333344121729</v>
      </c>
      <c r="EV308" s="98">
        <f t="shared" si="1632"/>
        <v>6.8013206950455318</v>
      </c>
      <c r="EW308" s="1045">
        <f t="shared" ref="EW308" si="1638">+EW301/EW284*100</f>
        <v>11.408960373754425</v>
      </c>
      <c r="EX308" s="98">
        <f t="shared" si="1634"/>
        <v>5.992922181976601</v>
      </c>
      <c r="EY308" s="118"/>
      <c r="EZ308" s="598"/>
      <c r="FA308" s="409"/>
      <c r="FB308" s="117"/>
      <c r="FC308" s="98"/>
      <c r="FD308" s="117"/>
      <c r="FE308" s="98"/>
      <c r="FF308" s="118"/>
      <c r="FG308" s="98"/>
      <c r="FH308" s="118"/>
      <c r="FI308" s="98"/>
      <c r="FJ308" s="118"/>
      <c r="FK308" s="98"/>
      <c r="FL308" s="118"/>
      <c r="FM308" s="98"/>
      <c r="FN308" s="118"/>
      <c r="FO308" s="98"/>
      <c r="FP308" s="118"/>
      <c r="FQ308" s="98"/>
      <c r="FR308" s="119"/>
      <c r="FS308" s="120"/>
      <c r="FT308" s="119"/>
      <c r="FU308" s="120"/>
      <c r="FV308" s="118"/>
      <c r="FW308" s="98"/>
      <c r="FX308" s="510"/>
      <c r="FY308" s="98"/>
      <c r="FZ308" s="292">
        <f>+FZ301/FZ284*100</f>
        <v>13.314447592067987</v>
      </c>
      <c r="GA308" s="98" t="str">
        <f>IF(ISERROR((FZ308/FX308-1)*100),"NA",IF(((FZ308/FX308-1)*100)&gt;100,"NM",IF(((FZ308/FX308-1)*100)&lt;-50,"NM",(FZ308/FX308-1)*100)))</f>
        <v>NA</v>
      </c>
      <c r="GB308" s="483">
        <f>+GB301/GB284*100</f>
        <v>7.6058772687986167</v>
      </c>
      <c r="GC308" s="98">
        <f>IF(ISERROR((GB308/FZ308-1)*100),"NA",IF(((GB308/FZ308-1)*100)&gt;100,"NM",IF(((GB308/FZ308-1)*100)&lt;-50,"NM",(GB308/FZ308-1)*100)))</f>
        <v>-42.875006896044418</v>
      </c>
      <c r="GD308" s="292">
        <f>+GD301/GD284*100</f>
        <v>8.1295076826591419</v>
      </c>
      <c r="GE308" s="98">
        <f>IF(ISERROR((GD308/GB308-1)*100),"NA",IF(((GD308/GB308-1)*100)&gt;100,"NM",IF(((GD308/GB308-1)*100)&lt;-50,"NM",(GD308/GB308-1)*100)))</f>
        <v>6.8845498731434862</v>
      </c>
      <c r="GF308" s="292">
        <f>+GF301/GF284*100</f>
        <v>9.9281723862729443</v>
      </c>
      <c r="GG308" s="98">
        <f>IF(ISERROR((GF308/GD308-1)*100),"NA",IF(((GF308/GD308-1)*100)&gt;100,"NM",IF(((GF308/GD308-1)*100)&lt;-50,"NM",(GF308/GD308-1)*100)))</f>
        <v>22.125136894211828</v>
      </c>
      <c r="GH308" s="292">
        <f>+GH301/GH284*100</f>
        <v>10.668516855766876</v>
      </c>
      <c r="GI308" s="98">
        <f>IF(ISERROR((GH308/GF308-1)*100),"NA",IF(((GH308/GF308-1)*100)&gt;100,"NM",IF(((GH308/GF308-1)*100)&lt;-50,"NM",(GH308/GF308-1)*100)))</f>
        <v>7.4570065938576846</v>
      </c>
      <c r="GJ308" s="292">
        <f>+GJ301/GJ284*100</f>
        <v>12.256861177724488</v>
      </c>
      <c r="GK308" s="98">
        <f>IF(ISERROR((GJ308/GH308-1)*100),"NA",IF(((GJ308/GH308-1)*100)&gt;100,"NM",IF(((GJ308/GH308-1)*100)&lt;-50,"NM",(GJ308/GH308-1)*100)))</f>
        <v>14.888145591662362</v>
      </c>
      <c r="GL308" s="292">
        <f>+GL301/GL284*100</f>
        <v>11.132024737832751</v>
      </c>
      <c r="GM308" s="98">
        <f>IF(ISERROR((GL308/GJ308-1)*100),"NA",IF(((GL308/GJ308-1)*100)&gt;100,"NM",IF(((GL308/GJ308-1)*100)&lt;-50,"NM",(GL308/GJ308-1)*100)))</f>
        <v>-9.1771981715515043</v>
      </c>
      <c r="GN308" s="292">
        <f>+GN301/GN284*100</f>
        <v>10.811999648104161</v>
      </c>
      <c r="GO308" s="98">
        <f>IF(ISERROR((GN308/GL308-1)*100),"NA",IF(((GN308/GL308-1)*100)&gt;100,"NM",IF(((GN308/GL308-1)*100)&lt;-50,"NM",(GN308/GL308-1)*100)))</f>
        <v>-2.8748147553155246</v>
      </c>
      <c r="GP308" s="292">
        <f>+GP301/GP284*100</f>
        <v>11.407240808734526</v>
      </c>
      <c r="GQ308" s="98">
        <f>IF(ISERROR((GP308/GN308-1)*100),"NA",IF(((GP308/GN308-1)*100)&gt;100,"NM",IF(((GP308/GN308-1)*100)&lt;-50,"NM",(GP308/GN308-1)*100)))</f>
        <v>5.5053753237472414</v>
      </c>
      <c r="GR308" s="291">
        <f>+GR301/GR284*100</f>
        <v>11.580140808734507</v>
      </c>
      <c r="GS308" s="98">
        <f>IF(ISERROR((GR308/GP308-1)*100),"NA",IF(((GR308/GP308-1)*100)&gt;100,"NM",IF(((GR308/GP308-1)*100)&lt;-50,"NM",(GR308/GP308-1)*100)))</f>
        <v>1.5157039541726203</v>
      </c>
      <c r="GT308" s="291">
        <f>+GT301/GT284*100</f>
        <v>11.580140808734523</v>
      </c>
      <c r="GU308" s="98">
        <f>IF(ISERROR((GT308/GR308-1)*100),"NA",IF(((GT308/GR308-1)*100)&gt;100,"NM",IF(((GT308/GR308-1)*100)&lt;-50,"NM",(GT308/GR308-1)*100)))</f>
        <v>1.3322676295501878E-13</v>
      </c>
      <c r="GV308" s="291">
        <f>+GV301/GV284*100</f>
        <v>11.646640808734528</v>
      </c>
      <c r="GW308" s="98">
        <f>IF(ISERROR((GV308/GT308-1)*100),"NA",IF(((GV308/GT308-1)*100)&gt;100,"NM",IF(((GV308/GT308-1)*100)&lt;-50,"NM",(GV308/GT308-1)*100)))</f>
        <v>0.57425899303267247</v>
      </c>
      <c r="GX308" s="291">
        <f>+GX301/GX284*100</f>
        <v>11.593392606348569</v>
      </c>
      <c r="GY308" s="98">
        <f>IF(ISERROR((GX308/GV308-1)*100),"NA",IF(((GX308/GV308-1)*100)&gt;100,"NM",IF(((GX308/GV308-1)*100)&lt;-50,"NM",(GX308/GV308-1)*100)))</f>
        <v>-0.45719794454401885</v>
      </c>
      <c r="GZ308" s="98">
        <f>IF(ISERROR(((GX308/GN308)^0.2-1)*100),"NA",IF((((GX308/GN308)^0.2-1)*100)&gt;100,"NM",IF((((GX308/GN308)^0.2-1)*100)&lt;-50,"NM",((GX308/GN308)^0.2-1)*100)))</f>
        <v>1.4053583449840534</v>
      </c>
      <c r="HA308" s="98"/>
      <c r="HB308" s="240"/>
      <c r="HC308"/>
      <c r="HD308"/>
      <c r="HE308"/>
      <c r="HF308"/>
      <c r="HG308"/>
      <c r="HH308"/>
      <c r="HI308" s="10"/>
    </row>
    <row r="309" spans="2:217" s="2" customFormat="1" ht="12.75" customHeight="1" x14ac:dyDescent="0.2">
      <c r="B309" s="91"/>
      <c r="C309" s="151"/>
      <c r="D309" s="152"/>
      <c r="E309" s="151"/>
      <c r="F309" s="152"/>
      <c r="G309" s="151"/>
      <c r="H309" s="152"/>
      <c r="I309" s="151"/>
      <c r="J309" s="156"/>
      <c r="K309" s="151"/>
      <c r="L309" s="156"/>
      <c r="M309" s="151"/>
      <c r="N309" s="156"/>
      <c r="O309" s="151"/>
      <c r="P309" s="156"/>
      <c r="Q309" s="151"/>
      <c r="R309" s="156"/>
      <c r="S309" s="151"/>
      <c r="T309" s="156"/>
      <c r="U309" s="151"/>
      <c r="V309" s="156"/>
      <c r="W309" s="151"/>
      <c r="X309" s="156"/>
      <c r="Y309" s="151"/>
      <c r="Z309" s="156"/>
      <c r="AA309" s="151"/>
      <c r="AB309" s="156"/>
      <c r="AC309" s="151"/>
      <c r="AD309" s="156"/>
      <c r="AE309" s="151"/>
      <c r="AF309" s="156"/>
      <c r="AG309" s="151"/>
      <c r="AH309" s="156"/>
      <c r="AI309" s="151"/>
      <c r="AJ309" s="156"/>
      <c r="AK309" s="151"/>
      <c r="AL309" s="156"/>
      <c r="AM309" s="151"/>
      <c r="AN309" s="156"/>
      <c r="AO309" s="151"/>
      <c r="AP309" s="156"/>
      <c r="AQ309" s="151"/>
      <c r="AR309" s="156"/>
      <c r="AS309" s="151"/>
      <c r="AT309" s="156"/>
      <c r="AU309" s="151"/>
      <c r="AV309" s="156"/>
      <c r="AW309" s="151"/>
      <c r="AX309" s="156"/>
      <c r="AY309" s="151"/>
      <c r="AZ309" s="156"/>
      <c r="BA309" s="151"/>
      <c r="BB309" s="156"/>
      <c r="BC309" s="151"/>
      <c r="BD309" s="156"/>
      <c r="BE309" s="151"/>
      <c r="BF309" s="156"/>
      <c r="BG309" s="151"/>
      <c r="BH309" s="156"/>
      <c r="BI309" s="151"/>
      <c r="BJ309" s="156"/>
      <c r="BK309" s="151"/>
      <c r="BL309" s="156"/>
      <c r="BM309" s="151"/>
      <c r="BN309" s="98"/>
      <c r="BO309" s="94"/>
      <c r="BP309" s="98"/>
      <c r="BQ309" s="94"/>
      <c r="BR309" s="98"/>
      <c r="BS309" s="94"/>
      <c r="BT309" s="98"/>
      <c r="BU309" s="94"/>
      <c r="BV309" s="98"/>
      <c r="BW309" s="94"/>
      <c r="BX309" s="98"/>
      <c r="BY309" s="94"/>
      <c r="BZ309" s="98"/>
      <c r="CA309" s="94"/>
      <c r="CB309" s="98"/>
      <c r="CC309" s="94"/>
      <c r="CD309" s="98"/>
      <c r="CE309" s="94"/>
      <c r="CF309" s="98"/>
      <c r="CG309" s="94"/>
      <c r="CH309" s="98"/>
      <c r="CI309" s="94"/>
      <c r="CJ309" s="98"/>
      <c r="CK309" s="94"/>
      <c r="CL309" s="98"/>
      <c r="CM309" s="94"/>
      <c r="CN309" s="98"/>
      <c r="CO309" s="94"/>
      <c r="CP309" s="98"/>
      <c r="CQ309" s="533"/>
      <c r="CR309" s="98"/>
      <c r="CS309" s="94"/>
      <c r="CT309" s="98"/>
      <c r="CU309" s="94"/>
      <c r="CV309" s="98"/>
      <c r="CW309" s="94"/>
      <c r="CX309" s="98"/>
      <c r="CY309" s="94"/>
      <c r="CZ309" s="98"/>
      <c r="DA309" s="94"/>
      <c r="DB309" s="98"/>
      <c r="DC309" s="94"/>
      <c r="DD309" s="98"/>
      <c r="DE309" s="94"/>
      <c r="DF309" s="98"/>
      <c r="DG309" s="94"/>
      <c r="DH309" s="98"/>
      <c r="DI309" s="94"/>
      <c r="DJ309" s="98"/>
      <c r="DK309" s="94"/>
      <c r="DL309" s="98"/>
      <c r="DM309" s="94"/>
      <c r="DN309" s="98"/>
      <c r="DO309" s="94"/>
      <c r="DP309" s="98"/>
      <c r="DQ309" s="94"/>
      <c r="DR309" s="98"/>
      <c r="DS309" s="94"/>
      <c r="DT309" s="98"/>
      <c r="DU309" s="94"/>
      <c r="DV309" s="98"/>
      <c r="DW309" s="94"/>
      <c r="DX309" s="98"/>
      <c r="DY309" s="94"/>
      <c r="DZ309" s="98"/>
      <c r="EA309" s="94"/>
      <c r="EB309" s="98"/>
      <c r="EC309" s="94"/>
      <c r="ED309" s="98"/>
      <c r="EE309" s="94"/>
      <c r="EF309" s="860"/>
      <c r="EG309" s="94"/>
      <c r="EH309" s="860"/>
      <c r="EI309" s="94"/>
      <c r="EJ309" s="860"/>
      <c r="EK309" s="94"/>
      <c r="EL309" s="860"/>
      <c r="EM309" s="94"/>
      <c r="EN309" s="860"/>
      <c r="EO309" s="94"/>
      <c r="EP309" s="98"/>
      <c r="EQ309" s="789"/>
      <c r="ER309" s="98"/>
      <c r="ES309" s="789"/>
      <c r="ET309" s="98"/>
      <c r="EU309" s="789"/>
      <c r="EV309" s="98"/>
      <c r="EW309" s="789"/>
      <c r="EX309" s="98"/>
      <c r="EY309" s="95"/>
      <c r="EZ309" s="594"/>
      <c r="FA309" s="405"/>
      <c r="FB309" s="95"/>
      <c r="FC309" s="92"/>
      <c r="FD309" s="94"/>
      <c r="FE309" s="92"/>
      <c r="FF309" s="95"/>
      <c r="FG309" s="92"/>
      <c r="FH309" s="95"/>
      <c r="FI309" s="92"/>
      <c r="FJ309" s="95"/>
      <c r="FK309" s="92"/>
      <c r="FL309" s="95"/>
      <c r="FM309" s="92"/>
      <c r="FN309" s="95"/>
      <c r="FO309" s="92"/>
      <c r="FP309" s="95"/>
      <c r="FQ309" s="92"/>
      <c r="FR309" s="96"/>
      <c r="FS309" s="97"/>
      <c r="FT309" s="96"/>
      <c r="FU309" s="97"/>
      <c r="FV309" s="96"/>
      <c r="FW309" s="98"/>
      <c r="FX309" s="480"/>
      <c r="FY309" s="98"/>
      <c r="FZ309" s="96"/>
      <c r="GA309" s="98"/>
      <c r="GB309" s="480"/>
      <c r="GC309" s="98"/>
      <c r="GD309" s="96"/>
      <c r="GE309" s="98"/>
      <c r="GF309" s="96"/>
      <c r="GG309" s="98"/>
      <c r="GH309" s="96"/>
      <c r="GI309" s="98"/>
      <c r="GJ309" s="96"/>
      <c r="GK309" s="98"/>
      <c r="GL309" s="96"/>
      <c r="GM309" s="98"/>
      <c r="GN309" s="96"/>
      <c r="GO309" s="98"/>
      <c r="GP309" s="96"/>
      <c r="GQ309" s="98"/>
      <c r="GR309" s="95"/>
      <c r="GS309" s="98"/>
      <c r="GT309" s="95"/>
      <c r="GU309" s="98"/>
      <c r="GV309" s="95"/>
      <c r="GW309" s="98"/>
      <c r="GX309" s="95"/>
      <c r="GY309" s="98"/>
      <c r="GZ309" s="98"/>
      <c r="HA309" s="98"/>
      <c r="HB309" s="10"/>
      <c r="HC309"/>
      <c r="HD309"/>
      <c r="HE309"/>
      <c r="HF309"/>
      <c r="HG309"/>
      <c r="HH309"/>
      <c r="HI309" s="10"/>
    </row>
    <row r="310" spans="2:217" s="708" customFormat="1" ht="12.75" customHeight="1" x14ac:dyDescent="0.2">
      <c r="B310" s="709" t="s">
        <v>696</v>
      </c>
      <c r="C310" s="710"/>
      <c r="D310" s="710"/>
      <c r="E310" s="710"/>
      <c r="F310" s="710"/>
      <c r="G310" s="710"/>
      <c r="H310" s="710"/>
      <c r="I310" s="710"/>
      <c r="J310" s="710"/>
      <c r="K310" s="710"/>
      <c r="L310" s="710"/>
      <c r="M310" s="710"/>
      <c r="N310" s="710"/>
      <c r="O310" s="710"/>
      <c r="P310" s="710"/>
      <c r="Q310" s="710"/>
      <c r="R310" s="710"/>
      <c r="S310" s="710"/>
      <c r="T310" s="710"/>
      <c r="U310" s="710"/>
      <c r="V310" s="710"/>
      <c r="W310" s="710"/>
      <c r="X310" s="710"/>
      <c r="Y310" s="710"/>
      <c r="Z310" s="710"/>
      <c r="AA310" s="710"/>
      <c r="AB310" s="710"/>
      <c r="AC310" s="710"/>
      <c r="AD310" s="710"/>
      <c r="AE310" s="710"/>
      <c r="AF310" s="710"/>
      <c r="AG310" s="710"/>
      <c r="AH310" s="710"/>
      <c r="AI310" s="710"/>
      <c r="AJ310" s="710"/>
      <c r="AK310" s="710"/>
      <c r="AL310" s="710"/>
      <c r="AM310" s="710"/>
      <c r="AN310" s="710"/>
      <c r="AO310" s="710"/>
      <c r="AP310" s="710"/>
      <c r="AQ310" s="710"/>
      <c r="AR310" s="710"/>
      <c r="AS310" s="710"/>
      <c r="AT310" s="710"/>
      <c r="AU310" s="710"/>
      <c r="AV310" s="710"/>
      <c r="AW310" s="710"/>
      <c r="AX310" s="710"/>
      <c r="AY310" s="710"/>
      <c r="AZ310" s="710"/>
      <c r="BA310" s="710"/>
      <c r="BB310" s="710"/>
      <c r="BC310" s="710"/>
      <c r="BD310" s="710"/>
      <c r="BE310" s="710"/>
      <c r="BF310" s="710"/>
      <c r="BG310" s="710"/>
      <c r="BH310" s="710"/>
      <c r="BI310" s="710"/>
      <c r="BJ310" s="710"/>
      <c r="BK310" s="710"/>
      <c r="BL310" s="710"/>
      <c r="BM310" s="710"/>
      <c r="BN310" s="710"/>
      <c r="BO310" s="710"/>
      <c r="BP310" s="710"/>
      <c r="BQ310" s="710"/>
      <c r="BR310" s="710"/>
      <c r="BS310" s="711"/>
      <c r="BT310" s="710"/>
      <c r="BU310" s="711"/>
      <c r="BV310" s="710"/>
      <c r="BW310" s="711"/>
      <c r="BX310" s="710"/>
      <c r="BY310" s="711"/>
      <c r="BZ310" s="710"/>
      <c r="CA310" s="711"/>
      <c r="CB310" s="710"/>
      <c r="CC310" s="711"/>
      <c r="CD310" s="710"/>
      <c r="CE310" s="711"/>
      <c r="CF310" s="710"/>
      <c r="CG310" s="711"/>
      <c r="CH310" s="710"/>
      <c r="CI310" s="711"/>
      <c r="CJ310" s="710"/>
      <c r="CK310" s="711"/>
      <c r="CL310" s="710"/>
      <c r="CM310" s="711"/>
      <c r="CN310" s="710"/>
      <c r="CO310" s="711"/>
      <c r="CP310" s="710"/>
      <c r="CQ310" s="711"/>
      <c r="CR310" s="710"/>
      <c r="CS310" s="711"/>
      <c r="CT310" s="710"/>
      <c r="CU310" s="711"/>
      <c r="CV310" s="710"/>
      <c r="CW310" s="711"/>
      <c r="CX310" s="710"/>
      <c r="CY310" s="711"/>
      <c r="CZ310" s="710"/>
      <c r="DA310" s="711"/>
      <c r="DB310" s="710"/>
      <c r="DC310" s="711"/>
      <c r="DD310" s="710"/>
      <c r="DE310" s="711"/>
      <c r="DF310" s="710"/>
      <c r="DG310" s="711"/>
      <c r="DH310" s="710"/>
      <c r="DI310" s="711"/>
      <c r="DJ310" s="710"/>
      <c r="DK310" s="711"/>
      <c r="DL310" s="710"/>
      <c r="DM310" s="711"/>
      <c r="DN310" s="710"/>
      <c r="DO310" s="711"/>
      <c r="DP310" s="710"/>
      <c r="DQ310" s="711"/>
      <c r="DR310" s="710"/>
      <c r="DS310" s="711"/>
      <c r="DT310" s="710"/>
      <c r="DU310" s="711"/>
      <c r="DV310" s="710"/>
      <c r="DW310" s="711"/>
      <c r="DX310" s="710"/>
      <c r="DY310" s="711"/>
      <c r="DZ310" s="710"/>
      <c r="EA310" s="711"/>
      <c r="EB310" s="710"/>
      <c r="EC310" s="711"/>
      <c r="ED310" s="711"/>
      <c r="EE310" s="711"/>
      <c r="EF310" s="711"/>
      <c r="EG310" s="711"/>
      <c r="EH310" s="711"/>
      <c r="EI310" s="711"/>
      <c r="EJ310" s="711"/>
      <c r="EK310" s="711"/>
      <c r="EL310" s="711"/>
      <c r="EM310" s="711"/>
      <c r="EN310" s="711"/>
      <c r="EO310" s="711"/>
      <c r="EP310" s="710"/>
      <c r="EQ310" s="711"/>
      <c r="ER310" s="710"/>
      <c r="ES310" s="711"/>
      <c r="ET310" s="710"/>
      <c r="EU310" s="711"/>
      <c r="EV310" s="710"/>
      <c r="EW310" s="711"/>
      <c r="EX310" s="710"/>
      <c r="EY310" s="712"/>
      <c r="EZ310" s="713"/>
      <c r="FA310" s="714"/>
      <c r="FB310" s="711"/>
      <c r="FC310" s="710"/>
      <c r="FD310" s="711"/>
      <c r="FE310" s="710"/>
      <c r="FF310" s="712"/>
      <c r="FG310" s="710"/>
      <c r="FH310" s="712"/>
      <c r="FI310" s="710"/>
      <c r="FJ310" s="712"/>
      <c r="FK310" s="710"/>
      <c r="FL310" s="712"/>
      <c r="FM310" s="710"/>
      <c r="FN310" s="712"/>
      <c r="FO310" s="710"/>
      <c r="FP310" s="712"/>
      <c r="FQ310" s="710"/>
      <c r="FR310" s="712"/>
      <c r="FS310" s="715"/>
      <c r="FT310" s="712"/>
      <c r="FU310" s="715"/>
      <c r="FV310" s="712"/>
      <c r="FW310" s="710"/>
      <c r="FX310" s="716"/>
      <c r="FY310" s="710"/>
      <c r="FZ310" s="712"/>
      <c r="GA310" s="710"/>
      <c r="GB310" s="716"/>
      <c r="GC310" s="710"/>
      <c r="GD310" s="712"/>
      <c r="GE310" s="710"/>
      <c r="GF310" s="712"/>
      <c r="GG310" s="710"/>
      <c r="GH310" s="712"/>
      <c r="GI310" s="710"/>
      <c r="GJ310" s="712"/>
      <c r="GK310" s="710"/>
      <c r="GL310" s="712"/>
      <c r="GM310" s="710"/>
      <c r="GN310" s="712"/>
      <c r="GO310" s="710"/>
      <c r="GP310" s="712"/>
      <c r="GQ310" s="710"/>
      <c r="GR310" s="712"/>
      <c r="GS310" s="710"/>
      <c r="GT310" s="712"/>
      <c r="GU310" s="710"/>
      <c r="GV310" s="712"/>
      <c r="GW310" s="710"/>
      <c r="GX310" s="712"/>
      <c r="GY310" s="710"/>
      <c r="GZ310" s="710"/>
      <c r="HA310" s="710"/>
      <c r="HC310"/>
      <c r="HD310"/>
      <c r="HE310"/>
      <c r="HF310"/>
      <c r="HG310"/>
      <c r="HH310"/>
    </row>
    <row r="311" spans="2:217" s="2" customFormat="1" ht="12.75" customHeight="1" x14ac:dyDescent="0.2">
      <c r="B311" s="131"/>
      <c r="C311" s="117"/>
      <c r="D311" s="98"/>
      <c r="E311" s="117"/>
      <c r="F311" s="98"/>
      <c r="G311" s="117"/>
      <c r="H311" s="98"/>
      <c r="I311" s="117"/>
      <c r="J311" s="98"/>
      <c r="K311" s="117"/>
      <c r="L311" s="98"/>
      <c r="M311" s="117"/>
      <c r="N311" s="98"/>
      <c r="O311" s="117"/>
      <c r="P311" s="98"/>
      <c r="Q311" s="117"/>
      <c r="R311" s="98"/>
      <c r="S311" s="182"/>
      <c r="T311" s="98"/>
      <c r="U311" s="182"/>
      <c r="V311" s="98"/>
      <c r="W311" s="182"/>
      <c r="X311" s="98"/>
      <c r="Y311" s="182"/>
      <c r="Z311" s="98"/>
      <c r="AA311" s="182"/>
      <c r="AB311" s="98"/>
      <c r="AC311" s="182"/>
      <c r="AD311" s="98"/>
      <c r="AE311" s="182"/>
      <c r="AF311" s="98"/>
      <c r="AG311" s="182"/>
      <c r="AH311" s="98"/>
      <c r="AI311" s="182"/>
      <c r="AJ311" s="98"/>
      <c r="AK311" s="182"/>
      <c r="AL311" s="98"/>
      <c r="AM311" s="182"/>
      <c r="AN311" s="98"/>
      <c r="AO311" s="182"/>
      <c r="AP311" s="98"/>
      <c r="AQ311" s="182"/>
      <c r="AR311" s="98"/>
      <c r="AS311" s="182"/>
      <c r="AT311" s="98"/>
      <c r="AU311" s="182"/>
      <c r="AV311" s="98"/>
      <c r="AW311" s="182"/>
      <c r="AX311" s="98"/>
      <c r="AY311" s="182"/>
      <c r="AZ311" s="98"/>
      <c r="BA311" s="182"/>
      <c r="BB311" s="98"/>
      <c r="BC311" s="182"/>
      <c r="BD311" s="98"/>
      <c r="BE311" s="182"/>
      <c r="BF311" s="98"/>
      <c r="BG311" s="182"/>
      <c r="BH311" s="98"/>
      <c r="BI311" s="182"/>
      <c r="BJ311" s="98"/>
      <c r="BK311" s="182"/>
      <c r="BL311" s="98"/>
      <c r="BM311" s="182"/>
      <c r="BN311" s="98"/>
      <c r="BO311" s="182"/>
      <c r="BP311" s="98"/>
      <c r="BQ311" s="182"/>
      <c r="BR311" s="98"/>
      <c r="BS311" s="182"/>
      <c r="BT311" s="98"/>
      <c r="BU311" s="182"/>
      <c r="BV311" s="98"/>
      <c r="BW311" s="182"/>
      <c r="BX311" s="98"/>
      <c r="BY311" s="182"/>
      <c r="BZ311" s="98"/>
      <c r="CA311" s="182"/>
      <c r="CB311" s="98"/>
      <c r="CC311" s="182"/>
      <c r="CD311" s="98"/>
      <c r="CE311" s="182"/>
      <c r="CF311" s="98"/>
      <c r="CG311" s="182"/>
      <c r="CH311" s="98"/>
      <c r="CI311" s="182"/>
      <c r="CJ311" s="98"/>
      <c r="CK311" s="182"/>
      <c r="CL311" s="98"/>
      <c r="CM311" s="182"/>
      <c r="CN311" s="98"/>
      <c r="CO311" s="182"/>
      <c r="CP311" s="98"/>
      <c r="CQ311" s="512"/>
      <c r="CR311" s="98"/>
      <c r="CS311" s="182"/>
      <c r="CT311" s="98"/>
      <c r="CU311" s="182"/>
      <c r="CV311" s="98"/>
      <c r="CW311" s="182"/>
      <c r="CX311" s="98"/>
      <c r="CY311" s="182"/>
      <c r="CZ311" s="98"/>
      <c r="DA311" s="182"/>
      <c r="DB311" s="98"/>
      <c r="DC311" s="182"/>
      <c r="DD311" s="98"/>
      <c r="DE311" s="182"/>
      <c r="DF311" s="98"/>
      <c r="DG311" s="182"/>
      <c r="DH311" s="98"/>
      <c r="DI311" s="182"/>
      <c r="DJ311" s="98"/>
      <c r="DK311" s="182"/>
      <c r="DL311" s="98"/>
      <c r="DM311" s="182"/>
      <c r="DN311" s="98"/>
      <c r="DO311" s="182"/>
      <c r="DP311" s="98"/>
      <c r="DQ311" s="182"/>
      <c r="DR311" s="98"/>
      <c r="DS311" s="182"/>
      <c r="DT311" s="98"/>
      <c r="DU311" s="182"/>
      <c r="DV311" s="98"/>
      <c r="DW311" s="182"/>
      <c r="DX311" s="98"/>
      <c r="DY311" s="182"/>
      <c r="DZ311" s="98"/>
      <c r="EA311" s="182"/>
      <c r="EB311" s="98"/>
      <c r="EC311" s="182"/>
      <c r="ED311" s="182"/>
      <c r="EE311" s="182"/>
      <c r="EF311" s="182"/>
      <c r="EG311" s="182"/>
      <c r="EH311" s="182"/>
      <c r="EI311" s="182"/>
      <c r="EJ311" s="182"/>
      <c r="EK311" s="182"/>
      <c r="EL311" s="182"/>
      <c r="EM311" s="182"/>
      <c r="EN311" s="182"/>
      <c r="EO311" s="182"/>
      <c r="EP311" s="98"/>
      <c r="EQ311" s="182"/>
      <c r="ER311" s="98"/>
      <c r="ES311" s="182"/>
      <c r="ET311" s="98"/>
      <c r="EU311" s="182"/>
      <c r="EV311" s="98"/>
      <c r="EW311" s="182"/>
      <c r="EX311" s="98"/>
      <c r="EY311" s="282"/>
      <c r="EZ311" s="594"/>
      <c r="FA311" s="405"/>
      <c r="FB311" s="279"/>
      <c r="FC311" s="98"/>
      <c r="FD311" s="278"/>
      <c r="FE311" s="98"/>
      <c r="FF311" s="279"/>
      <c r="FG311" s="98"/>
      <c r="FH311" s="279"/>
      <c r="FI311" s="98"/>
      <c r="FJ311" s="282"/>
      <c r="FK311" s="98"/>
      <c r="FL311" s="282"/>
      <c r="FM311" s="98"/>
      <c r="FN311" s="282"/>
      <c r="FO311" s="98"/>
      <c r="FP311" s="282"/>
      <c r="FQ311" s="98"/>
      <c r="FR311" s="283"/>
      <c r="FS311" s="120"/>
      <c r="FT311" s="283"/>
      <c r="FU311" s="120"/>
      <c r="FV311" s="283"/>
      <c r="FW311" s="98"/>
      <c r="FX311" s="520"/>
      <c r="FY311" s="98"/>
      <c r="FZ311" s="283"/>
      <c r="GA311" s="98"/>
      <c r="GB311" s="520"/>
      <c r="GC311" s="98"/>
      <c r="GD311" s="283"/>
      <c r="GE311" s="98"/>
      <c r="GF311" s="283"/>
      <c r="GG311" s="98"/>
      <c r="GH311" s="283"/>
      <c r="GI311" s="98"/>
      <c r="GJ311" s="283"/>
      <c r="GK311" s="98"/>
      <c r="GL311" s="283"/>
      <c r="GM311" s="98"/>
      <c r="GN311" s="283"/>
      <c r="GO311" s="98"/>
      <c r="GP311" s="283"/>
      <c r="GQ311" s="98"/>
      <c r="GR311" s="282"/>
      <c r="GS311" s="98"/>
      <c r="GT311" s="282"/>
      <c r="GU311" s="98"/>
      <c r="GV311" s="282"/>
      <c r="GW311" s="98"/>
      <c r="GX311" s="282"/>
      <c r="GY311" s="98"/>
      <c r="GZ311" s="98"/>
      <c r="HA311" s="98"/>
      <c r="HB311" s="10"/>
      <c r="HC311"/>
      <c r="HD311"/>
      <c r="HE311"/>
      <c r="HF311"/>
      <c r="HG311"/>
      <c r="HH311"/>
      <c r="HI311" s="10"/>
    </row>
    <row r="312" spans="2:217" s="2" customFormat="1" ht="12.75" customHeight="1" x14ac:dyDescent="0.2">
      <c r="B312" s="93" t="s">
        <v>161</v>
      </c>
      <c r="C312" s="117"/>
      <c r="D312" s="98"/>
      <c r="E312" s="117"/>
      <c r="F312" s="98"/>
      <c r="G312" s="117"/>
      <c r="H312" s="98"/>
      <c r="I312" s="117"/>
      <c r="J312" s="98"/>
      <c r="K312" s="117"/>
      <c r="L312" s="98"/>
      <c r="M312" s="117"/>
      <c r="N312" s="98"/>
      <c r="O312" s="117"/>
      <c r="P312" s="98"/>
      <c r="Q312" s="117"/>
      <c r="R312" s="98"/>
      <c r="S312" s="182"/>
      <c r="T312" s="98"/>
      <c r="U312" s="182"/>
      <c r="V312" s="98"/>
      <c r="W312" s="182"/>
      <c r="X312" s="98"/>
      <c r="Y312" s="182"/>
      <c r="Z312" s="98"/>
      <c r="AA312" s="182"/>
      <c r="AB312" s="98"/>
      <c r="AC312" s="182"/>
      <c r="AD312" s="98"/>
      <c r="AE312" s="182"/>
      <c r="AF312" s="98"/>
      <c r="AG312" s="182"/>
      <c r="AH312" s="98"/>
      <c r="AI312" s="182"/>
      <c r="AJ312" s="98"/>
      <c r="AK312" s="182"/>
      <c r="AL312" s="98"/>
      <c r="AM312" s="182"/>
      <c r="AN312" s="98"/>
      <c r="AO312" s="182"/>
      <c r="AP312" s="98"/>
      <c r="AQ312" s="182"/>
      <c r="AR312" s="98"/>
      <c r="AS312" s="182"/>
      <c r="AT312" s="98"/>
      <c r="AU312" s="182"/>
      <c r="AV312" s="98"/>
      <c r="AW312" s="182"/>
      <c r="AX312" s="98"/>
      <c r="AY312" s="182"/>
      <c r="AZ312" s="98"/>
      <c r="BA312" s="182"/>
      <c r="BB312" s="98"/>
      <c r="BC312" s="182"/>
      <c r="BD312" s="98"/>
      <c r="BE312" s="182"/>
      <c r="BF312" s="98"/>
      <c r="BG312" s="182"/>
      <c r="BH312" s="98"/>
      <c r="BI312" s="182"/>
      <c r="BJ312" s="98"/>
      <c r="BK312" s="182"/>
      <c r="BL312" s="98"/>
      <c r="BM312" s="182"/>
      <c r="BN312" s="98"/>
      <c r="BO312" s="182"/>
      <c r="BP312" s="98"/>
      <c r="BQ312" s="182"/>
      <c r="BR312" s="98"/>
      <c r="BS312" s="182"/>
      <c r="BT312" s="98"/>
      <c r="BU312" s="182"/>
      <c r="BV312" s="98"/>
      <c r="BW312" s="182"/>
      <c r="BX312" s="98"/>
      <c r="BY312" s="182"/>
      <c r="BZ312" s="98"/>
      <c r="CA312" s="182"/>
      <c r="CB312" s="98"/>
      <c r="CC312" s="182"/>
      <c r="CD312" s="98"/>
      <c r="CE312" s="182"/>
      <c r="CF312" s="98"/>
      <c r="CG312" s="182"/>
      <c r="CH312" s="98"/>
      <c r="CI312" s="182"/>
      <c r="CJ312" s="98"/>
      <c r="CK312" s="182"/>
      <c r="CL312" s="98"/>
      <c r="CM312" s="182"/>
      <c r="CN312" s="98"/>
      <c r="CO312" s="182"/>
      <c r="CP312" s="98"/>
      <c r="CQ312" s="512"/>
      <c r="CR312" s="98"/>
      <c r="CS312" s="182"/>
      <c r="CT312" s="98"/>
      <c r="CU312" s="182"/>
      <c r="CV312" s="98"/>
      <c r="CW312" s="182"/>
      <c r="CX312" s="98"/>
      <c r="CY312" s="182"/>
      <c r="CZ312" s="98"/>
      <c r="DA312" s="182"/>
      <c r="DB312" s="98"/>
      <c r="DC312" s="182"/>
      <c r="DD312" s="98"/>
      <c r="DE312" s="182"/>
      <c r="DF312" s="98"/>
      <c r="DG312" s="182"/>
      <c r="DH312" s="98"/>
      <c r="DI312" s="182"/>
      <c r="DJ312" s="98"/>
      <c r="DK312" s="182"/>
      <c r="DL312" s="98"/>
      <c r="DM312" s="182"/>
      <c r="DN312" s="98"/>
      <c r="DO312" s="182"/>
      <c r="DP312" s="98"/>
      <c r="DQ312" s="182"/>
      <c r="DR312" s="98"/>
      <c r="DS312" s="182"/>
      <c r="DT312" s="98"/>
      <c r="DU312" s="182"/>
      <c r="DV312" s="98"/>
      <c r="DW312" s="182"/>
      <c r="DX312" s="98"/>
      <c r="DY312" s="182"/>
      <c r="DZ312" s="98"/>
      <c r="EA312" s="182"/>
      <c r="EB312" s="98"/>
      <c r="EC312" s="182"/>
      <c r="ED312" s="98"/>
      <c r="EE312" s="182"/>
      <c r="EF312" s="860"/>
      <c r="EG312" s="182"/>
      <c r="EH312" s="860"/>
      <c r="EI312" s="182"/>
      <c r="EJ312" s="860"/>
      <c r="EK312" s="182"/>
      <c r="EL312" s="860"/>
      <c r="EM312" s="182"/>
      <c r="EN312" s="860"/>
      <c r="EO312" s="182"/>
      <c r="EP312" s="98"/>
      <c r="EQ312" s="795"/>
      <c r="ER312" s="98"/>
      <c r="ES312" s="795"/>
      <c r="ET312" s="98"/>
      <c r="EU312" s="795"/>
      <c r="EV312" s="98"/>
      <c r="EW312" s="795"/>
      <c r="EX312" s="98"/>
      <c r="EY312" s="282"/>
      <c r="EZ312" s="594"/>
      <c r="FA312" s="405"/>
      <c r="FB312" s="279"/>
      <c r="FC312" s="98"/>
      <c r="FD312" s="278"/>
      <c r="FE312" s="98"/>
      <c r="FF312" s="279"/>
      <c r="FG312" s="98"/>
      <c r="FH312" s="279"/>
      <c r="FI312" s="98"/>
      <c r="FJ312" s="282"/>
      <c r="FK312" s="98"/>
      <c r="FL312" s="282"/>
      <c r="FM312" s="98"/>
      <c r="FN312" s="282"/>
      <c r="FO312" s="98"/>
      <c r="FP312" s="282"/>
      <c r="FQ312" s="98"/>
      <c r="FR312" s="283"/>
      <c r="FS312" s="120"/>
      <c r="FT312" s="283"/>
      <c r="FU312" s="120"/>
      <c r="FV312" s="283"/>
      <c r="FW312" s="98"/>
      <c r="FX312" s="520"/>
      <c r="FY312" s="98"/>
      <c r="FZ312" s="283"/>
      <c r="GA312" s="98"/>
      <c r="GB312" s="520"/>
      <c r="GC312" s="98"/>
      <c r="GD312" s="283"/>
      <c r="GE312" s="98"/>
      <c r="GF312" s="283"/>
      <c r="GG312" s="98"/>
      <c r="GH312" s="283"/>
      <c r="GI312" s="98"/>
      <c r="GJ312" s="283"/>
      <c r="GK312" s="98"/>
      <c r="GL312" s="283"/>
      <c r="GM312" s="98"/>
      <c r="GN312" s="283"/>
      <c r="GO312" s="98"/>
      <c r="GP312" s="283"/>
      <c r="GQ312" s="98"/>
      <c r="GR312" s="282"/>
      <c r="GS312" s="98"/>
      <c r="GT312" s="282"/>
      <c r="GU312" s="98"/>
      <c r="GV312" s="282"/>
      <c r="GW312" s="98"/>
      <c r="GX312" s="282"/>
      <c r="GY312" s="98"/>
      <c r="GZ312" s="98"/>
      <c r="HA312" s="98"/>
      <c r="HB312" s="10"/>
      <c r="HC312"/>
      <c r="HD312"/>
      <c r="HE312"/>
      <c r="HF312"/>
      <c r="HG312"/>
      <c r="HH312"/>
      <c r="HI312" s="10"/>
    </row>
    <row r="313" spans="2:217" s="2" customFormat="1" ht="12.75" customHeight="1" x14ac:dyDescent="0.2">
      <c r="B313" s="91" t="s">
        <v>493</v>
      </c>
      <c r="C313" s="117"/>
      <c r="D313" s="98"/>
      <c r="E313" s="117"/>
      <c r="F313" s="98"/>
      <c r="G313" s="117"/>
      <c r="H313" s="98"/>
      <c r="I313" s="117"/>
      <c r="J313" s="98"/>
      <c r="K313" s="117"/>
      <c r="L313" s="98"/>
      <c r="M313" s="117"/>
      <c r="N313" s="98"/>
      <c r="O313" s="117"/>
      <c r="P313" s="98"/>
      <c r="Q313" s="117"/>
      <c r="R313" s="98"/>
      <c r="S313" s="182"/>
      <c r="T313" s="98"/>
      <c r="U313" s="182"/>
      <c r="V313" s="98"/>
      <c r="W313" s="182"/>
      <c r="X313" s="98"/>
      <c r="Y313" s="182"/>
      <c r="Z313" s="98"/>
      <c r="AA313" s="182"/>
      <c r="AB313" s="98"/>
      <c r="AC313" s="182"/>
      <c r="AD313" s="98"/>
      <c r="AE313" s="182"/>
      <c r="AF313" s="98"/>
      <c r="AG313" s="182"/>
      <c r="AH313" s="98"/>
      <c r="AI313" s="182"/>
      <c r="AJ313" s="98"/>
      <c r="AK313" s="182"/>
      <c r="AL313" s="98"/>
      <c r="AM313" s="182"/>
      <c r="AN313" s="98"/>
      <c r="AO313" s="182"/>
      <c r="AP313" s="98"/>
      <c r="AQ313" s="182"/>
      <c r="AR313" s="98"/>
      <c r="AS313" s="182"/>
      <c r="AT313" s="98"/>
      <c r="AU313" s="182"/>
      <c r="AV313" s="98"/>
      <c r="AW313" s="182"/>
      <c r="AX313" s="98"/>
      <c r="AY313" s="182"/>
      <c r="AZ313" s="98"/>
      <c r="BA313" s="182"/>
      <c r="BB313" s="98"/>
      <c r="BC313" s="182"/>
      <c r="BD313" s="98"/>
      <c r="BE313" s="182"/>
      <c r="BF313" s="98"/>
      <c r="BG313" s="182"/>
      <c r="BH313" s="98"/>
      <c r="BI313" s="182"/>
      <c r="BJ313" s="98"/>
      <c r="BK313" s="182"/>
      <c r="BL313" s="98"/>
      <c r="BM313" s="182"/>
      <c r="BN313" s="98"/>
      <c r="BO313" s="182"/>
      <c r="BP313" s="98"/>
      <c r="BQ313" s="182"/>
      <c r="BR313" s="98"/>
      <c r="BS313" s="182"/>
      <c r="BT313" s="98"/>
      <c r="BU313" s="182"/>
      <c r="BV313" s="98"/>
      <c r="BW313" s="182"/>
      <c r="BX313" s="98"/>
      <c r="BY313" s="182"/>
      <c r="BZ313" s="98"/>
      <c r="CA313" s="182"/>
      <c r="CB313" s="98"/>
      <c r="CC313" s="182"/>
      <c r="CD313" s="98"/>
      <c r="CE313" s="182"/>
      <c r="CF313" s="98"/>
      <c r="CG313" s="182"/>
      <c r="CH313" s="98"/>
      <c r="CI313" s="182"/>
      <c r="CJ313" s="98"/>
      <c r="CK313" s="182"/>
      <c r="CL313" s="98"/>
      <c r="CM313" s="101">
        <v>594</v>
      </c>
      <c r="CN313" s="98" t="str">
        <f>IF(ISERROR((CM313/CE313-1)*100),"NA",IF(((CM313/CE313-1)*100)&gt;100,"NM",IF(((CM313/CE313-1)*100)&lt;-50,"NM",(CM313/CE313-1)*100)))</f>
        <v>NA</v>
      </c>
      <c r="CO313" s="101">
        <v>647</v>
      </c>
      <c r="CP313" s="98" t="str">
        <f>IF(ISERROR((CO313/CG313-1)*100),"NA",IF(((CO313/CG313-1)*100)&gt;100,"NM",IF(((CO313/CG313-1)*100)&lt;-50,"NM",(CO313/CG313-1)*100)))</f>
        <v>NA</v>
      </c>
      <c r="CQ313" s="542">
        <v>672</v>
      </c>
      <c r="CR313" s="98" t="str">
        <f>IF(ISERROR((CQ313/CI313-1)*100),"NA",IF(((CQ313/CI313-1)*100)&gt;100,"NM",IF(((CQ313/CI313-1)*100)&lt;-50,"NM",(CQ313/CI313-1)*100)))</f>
        <v>NA</v>
      </c>
      <c r="CS313" s="101">
        <v>601</v>
      </c>
      <c r="CT313" s="98" t="str">
        <f>IF(ISERROR((CS313/CK313-1)*100),"NA",IF(((CS313/CK313-1)*100)&gt;100,"NM",IF(((CS313/CK313-1)*100)&lt;-50,"NM",(CS313/CK313-1)*100)))</f>
        <v>NA</v>
      </c>
      <c r="CU313" s="101">
        <v>686</v>
      </c>
      <c r="CV313" s="98">
        <f>IF(ISERROR((CU313/CM313-1)*100),"NA",IF(((CU313/CM313-1)*100)&gt;100,"NM",IF(((CU313/CM313-1)*100)&lt;-50,"NM",(CU313/CM313-1)*100)))</f>
        <v>15.488215488215484</v>
      </c>
      <c r="CW313" s="101">
        <v>652</v>
      </c>
      <c r="CX313" s="98">
        <f>IF(ISERROR((CW313/CO313-1)*100),"NA",IF(((CW313/CO313-1)*100)&gt;100,"NM",IF(((CW313/CO313-1)*100)&lt;-50,"NM",(CW313/CO313-1)*100)))</f>
        <v>0.77279752704790816</v>
      </c>
      <c r="CY313" s="101">
        <v>610</v>
      </c>
      <c r="CZ313" s="98">
        <f>IF(ISERROR((CY313/CQ313-1)*100),"NA",IF(((CY313/CQ313-1)*100)&gt;100,"NM",IF(((CY313/CQ313-1)*100)&lt;-50,"NM",(CY313/CQ313-1)*100)))</f>
        <v>-9.2261904761904763</v>
      </c>
      <c r="DA313" s="101">
        <v>630</v>
      </c>
      <c r="DB313" s="98">
        <f>IF(ISERROR((DA313/CS313-1)*100),"NA",IF(((DA313/CS313-1)*100)&gt;100,"NM",IF(((DA313/CS313-1)*100)&lt;-50,"NM",(DA313/CS313-1)*100)))</f>
        <v>4.8252911813643884</v>
      </c>
      <c r="DC313" s="101">
        <v>675</v>
      </c>
      <c r="DD313" s="98">
        <f>IF(ISERROR((DC313/CU313-1)*100),"NA",IF(((DC313/CU313-1)*100)&gt;100,"NM",IF(((DC313/CU313-1)*100)&lt;-50,"NM",(DC313/CU313-1)*100)))</f>
        <v>-1.6034985422740511</v>
      </c>
      <c r="DE313" s="101">
        <v>710</v>
      </c>
      <c r="DF313" s="98">
        <f>IF(ISERROR((DE313/CW313-1)*100),"NA",IF(((DE313/CW313-1)*100)&gt;100,"NM",IF(((DE313/CW313-1)*100)&lt;-50,"NM",(DE313/CW313-1)*100)))</f>
        <v>8.8957055214723866</v>
      </c>
      <c r="DG313" s="101">
        <v>692</v>
      </c>
      <c r="DH313" s="98">
        <f>IF(ISERROR((DG313/CY313-1)*100),"NA",IF(((DG313/CY313-1)*100)&gt;100,"NM",IF(((DG313/CY313-1)*100)&lt;-50,"NM",(DG313/CY313-1)*100)))</f>
        <v>13.442622950819683</v>
      </c>
      <c r="DI313" s="101">
        <v>747</v>
      </c>
      <c r="DJ313" s="98">
        <f>IF(ISERROR((DI313/DA313-1)*100),"NA",IF(((DI313/DA313-1)*100)&gt;100,"NM",IF(((DI313/DA313-1)*100)&lt;-50,"NM",(DI313/DA313-1)*100)))</f>
        <v>18.571428571428573</v>
      </c>
      <c r="DK313" s="101">
        <v>683</v>
      </c>
      <c r="DL313" s="98">
        <f>IF(ISERROR((DK313/DC313-1)*100),"NA",IF(((DK313/DC313-1)*100)&gt;100,"NM",IF(((DK313/DC313-1)*100)&lt;-50,"NM",(DK313/DC313-1)*100)))</f>
        <v>1.185185185185178</v>
      </c>
      <c r="DM313" s="101">
        <v>798</v>
      </c>
      <c r="DN313" s="98">
        <f>IF(ISERROR((DM313/DE313-1)*100),"NA",IF(((DM313/DE313-1)*100)&gt;100,"NM",IF(((DM313/DE313-1)*100)&lt;-50,"NM",(DM313/DE313-1)*100)))</f>
        <v>12.394366197183103</v>
      </c>
      <c r="DO313" s="101">
        <v>812</v>
      </c>
      <c r="DP313" s="98">
        <f>IF(ISERROR((DO313/DG313-1)*100),"NA",IF(((DO313/DG313-1)*100)&gt;100,"NM",IF(((DO313/DG313-1)*100)&lt;-50,"NM",(DO313/DG313-1)*100)))</f>
        <v>17.341040462427749</v>
      </c>
      <c r="DQ313" s="101">
        <v>746</v>
      </c>
      <c r="DR313" s="98">
        <f>IF(ISERROR((DQ313/DI313-1)*100),"NA",IF(((DQ313/DI313-1)*100)&gt;100,"NM",IF(((DQ313/DI313-1)*100)&lt;-50,"NM",(DQ313/DI313-1)*100)))</f>
        <v>-0.13386880856760541</v>
      </c>
      <c r="DS313" s="101">
        <v>633</v>
      </c>
      <c r="DT313" s="98">
        <f>IF(ISERROR((DS313/DK313-1)*100),"NA",IF(((DS313/DK313-1)*100)&gt;100,"NM",IF(((DS313/DK313-1)*100)&lt;-50,"NM",(DS313/DK313-1)*100)))</f>
        <v>-7.320644216691063</v>
      </c>
      <c r="DU313" s="101">
        <v>706</v>
      </c>
      <c r="DV313" s="98">
        <f>IF(ISERROR((DU313/DM313-1)*100),"NA",IF(((DU313/DM313-1)*100)&gt;100,"NM",IF(((DU313/DM313-1)*100)&lt;-50,"NM",(DU313/DM313-1)*100)))</f>
        <v>-11.528822055137844</v>
      </c>
      <c r="DW313" s="101">
        <v>586</v>
      </c>
      <c r="DX313" s="98">
        <f>IF(ISERROR((DW313/DO313-1)*100),"NA",IF(((DW313/DO313-1)*100)&gt;100,"NM",IF(((DW313/DO313-1)*100)&lt;-50,"NM",(DW313/DO313-1)*100)))</f>
        <v>-27.832512315270939</v>
      </c>
      <c r="DY313" s="101">
        <v>656</v>
      </c>
      <c r="DZ313" s="98">
        <f>IF(ISERROR((DY313/DQ313-1)*100),"NA",IF(((DY313/DQ313-1)*100)&gt;100,"NM",IF(((DY313/DQ313-1)*100)&lt;-50,"NM",(DY313/DQ313-1)*100)))</f>
        <v>-12.06434316353887</v>
      </c>
      <c r="EA313" s="101">
        <v>601</v>
      </c>
      <c r="EB313" s="98">
        <f>IF(ISERROR((EA313/DS313-1)*100),"NA",IF(((EA313/DS313-1)*100)&gt;100,"NM",IF(((EA313/DS313-1)*100)&lt;-50,"NM",(EA313/DS313-1)*100)))</f>
        <v>-5.0552922590837319</v>
      </c>
      <c r="EC313" s="101">
        <v>631</v>
      </c>
      <c r="ED313" s="98">
        <f>IF(ISERROR((EC313/DU313-1)*100),"NA",IF(((EC313/DU313-1)*100)&gt;100,"NM",IF(((EC313/DU313-1)*100)&lt;-50,"NM",(EC313/DU313-1)*100)))</f>
        <v>-10.623229461756377</v>
      </c>
      <c r="EE313" s="101">
        <v>653</v>
      </c>
      <c r="EF313" s="860">
        <f>IF(ISERROR((EE313/DW313-1)*100),"NA",IF(((EE313/DW313-1)*100)&gt;100,"NM",IF(((EE313/DW313-1)*100)&lt;-50,"NM",(EE313/DW313-1)*100)))</f>
        <v>11.433447098976114</v>
      </c>
      <c r="EG313" s="101">
        <v>644</v>
      </c>
      <c r="EH313" s="860">
        <f>IF(ISERROR((EG313/DY313-1)*100),"NA",IF(((EG313/DY313-1)*100)&gt;100,"NM",IF(((EG313/DY313-1)*100)&lt;-50,"NM",(EG313/DY313-1)*100)))</f>
        <v>-1.8292682926829285</v>
      </c>
      <c r="EI313" s="101">
        <v>647</v>
      </c>
      <c r="EJ313" s="860">
        <f t="shared" ref="EJ313:EJ317" si="1639">IF(ISERROR((EI313/EA313-1)*100),"NA",IF(((EI313/EA313-1)*100)&gt;100,"NM",IF(((EI313/EA313-1)*100)&lt;-50,"NM",(EI313/EA313-1)*100)))</f>
        <v>7.6539101497504092</v>
      </c>
      <c r="EK313" s="101">
        <v>645</v>
      </c>
      <c r="EL313" s="860">
        <f t="shared" ref="EL313:EL317" si="1640">IF(ISERROR((EK313/EC313-1)*100),"NA",IF(((EK313/EC313-1)*100)&gt;100,"NM",IF(((EK313/EC313-1)*100)&lt;-50,"NM",(EK313/EC313-1)*100)))</f>
        <v>2.2187004754358197</v>
      </c>
      <c r="EM313" s="101">
        <v>701</v>
      </c>
      <c r="EN313" s="860">
        <f t="shared" ref="EN313:EN317" si="1641">IF(ISERROR((EM313/EE313-1)*100),"NA",IF(((EM313/EE313-1)*100)&gt;100,"NM",IF(((EM313/EE313-1)*100)&lt;-50,"NM",(EM313/EE313-1)*100)))</f>
        <v>7.3506891271056585</v>
      </c>
      <c r="EO313" s="101">
        <v>700</v>
      </c>
      <c r="EP313" s="98">
        <f t="shared" ref="EP313:EP317" si="1642">IF(ISERROR((EO313/EG313-1)*100),"NA",IF(((EO313/EG313-1)*100)&gt;100,"NM",IF(((EO313/EG313-1)*100)&lt;-50,"NM",(EO313/EG313-1)*100)))</f>
        <v>8.6956521739130377</v>
      </c>
      <c r="EQ313" s="952">
        <f>EO313*1.015</f>
        <v>710.49999999999989</v>
      </c>
      <c r="ER313" s="98">
        <f t="shared" ref="ER313:ER317" si="1643">IF(ISERROR((EQ313/EI313-1)*100),"NA",IF(((EQ313/EI313-1)*100)&gt;100,"NM",IF(((EQ313/EI313-1)*100)&lt;-50,"NM",(EQ313/EI313-1)*100)))</f>
        <v>9.8145285935084878</v>
      </c>
      <c r="ES313" s="952">
        <f t="shared" ref="ES313:ES316" si="1644">EQ313*1.015</f>
        <v>721.1574999999998</v>
      </c>
      <c r="ET313" s="98">
        <f t="shared" ref="ET313:ET317" si="1645">IF(ISERROR((ES313/EK313-1)*100),"NA",IF(((ES313/EK313-1)*100)&gt;100,"NM",IF(((ES313/EK313-1)*100)&lt;-50,"NM",(ES313/EK313-1)*100)))</f>
        <v>11.807364341085247</v>
      </c>
      <c r="EU313" s="952">
        <f t="shared" ref="EU313:EU316" si="1646">ES313*1.015</f>
        <v>731.97486249999974</v>
      </c>
      <c r="EV313" s="98">
        <f t="shared" ref="EV313:EV317" si="1647">IF(ISERROR((EU313/EM313-1)*100),"NA",IF(((EU313/EM313-1)*100)&gt;100,"NM",IF(((EU313/EM313-1)*100)&lt;-50,"NM",(EU313/EM313-1)*100)))</f>
        <v>4.4186679743223545</v>
      </c>
      <c r="EW313" s="952">
        <f t="shared" ref="EW313:EW316" si="1648">EU313*1.015</f>
        <v>742.95448543749967</v>
      </c>
      <c r="EX313" s="98">
        <f t="shared" ref="EX313:EX317" si="1649">IF(ISERROR((EW313/EO313-1)*100),"NA",IF(((EW313/EO313-1)*100)&gt;100,"NM",IF(((EW313/EO313-1)*100)&lt;-50,"NM",(EW313/EO313-1)*100)))</f>
        <v>6.136355062499943</v>
      </c>
      <c r="EY313" s="282"/>
      <c r="EZ313" s="594"/>
      <c r="FA313" s="405"/>
      <c r="FB313" s="279"/>
      <c r="FC313" s="98"/>
      <c r="FD313" s="278"/>
      <c r="FE313" s="98"/>
      <c r="FF313" s="279"/>
      <c r="FG313" s="98"/>
      <c r="FH313" s="279"/>
      <c r="FI313" s="98"/>
      <c r="FJ313" s="282"/>
      <c r="FK313" s="98"/>
      <c r="FL313" s="282"/>
      <c r="FM313" s="98"/>
      <c r="FN313" s="282"/>
      <c r="FO313" s="98"/>
      <c r="FP313" s="282"/>
      <c r="FQ313" s="98"/>
      <c r="FR313" s="283"/>
      <c r="FS313" s="120"/>
      <c r="FT313" s="283"/>
      <c r="FU313" s="120"/>
      <c r="FV313" s="283"/>
      <c r="FW313" s="98"/>
      <c r="FX313" s="520"/>
      <c r="FY313" s="98"/>
      <c r="FZ313" s="283"/>
      <c r="GA313" s="98"/>
      <c r="GB313" s="495">
        <f>CM313+CO313+CQ313+CS313</f>
        <v>2514</v>
      </c>
      <c r="GC313" s="98" t="str">
        <f>IF(ISERROR((GB313/FZ313-1)*100),"NA",IF(((GB313/FZ313-1)*100)&gt;100,"NM",IF(((GB313/FZ313-1)*100)&lt;-50,"NM",(GB313/FZ313-1)*100)))</f>
        <v>NA</v>
      </c>
      <c r="GD313" s="160">
        <f>CU313+CW313+CY313+DA313</f>
        <v>2578</v>
      </c>
      <c r="GE313" s="98">
        <f>IF(ISERROR((GD313/GB313-1)*100),"NA",IF(((GD313/GB313-1)*100)&gt;100,"NM",IF(((GD313/GB313-1)*100)&lt;-50,"NM",(GD313/GB313-1)*100)))</f>
        <v>2.5457438345266592</v>
      </c>
      <c r="GF313" s="160">
        <f>DC313+DE313+DG313+DI313</f>
        <v>2824</v>
      </c>
      <c r="GG313" s="98">
        <f>IF(ISERROR((GF313/GD313-1)*100),"NA",IF(((GF313/GD313-1)*100)&gt;100,"NM",IF(((GF313/GD313-1)*100)&lt;-50,"NM",(GF313/GD313-1)*100)))</f>
        <v>9.5422808378587973</v>
      </c>
      <c r="GH313" s="160">
        <f>DK313+DM313+DO313+DQ313</f>
        <v>3039</v>
      </c>
      <c r="GI313" s="98">
        <f>IF(ISERROR((GH313/GF313-1)*100),"NA",IF(((GH313/GF313-1)*100)&gt;100,"NM",IF(((GH313/GF313-1)*100)&lt;-50,"NM",(GH313/GF313-1)*100)))</f>
        <v>7.6133144475920789</v>
      </c>
      <c r="GJ313" s="160">
        <f>DS313+DU313+DW313+DY313</f>
        <v>2581</v>
      </c>
      <c r="GK313" s="98">
        <f>IF(ISERROR((GJ313/GH313-1)*100),"NA",IF(((GJ313/GH313-1)*100)&gt;100,"NM",IF(((GJ313/GH313-1)*100)&lt;-50,"NM",(GJ313/GH313-1)*100)))</f>
        <v>-15.070746956235602</v>
      </c>
      <c r="GL313" s="160">
        <f>EA313+EC313+EE313+EG313</f>
        <v>2529</v>
      </c>
      <c r="GM313" s="98">
        <f>IF(ISERROR((GL313/GJ313-1)*100),"NA",IF(((GL313/GJ313-1)*100)&gt;100,"NM",IF(((GL313/GJ313-1)*100)&lt;-50,"NM",(GL313/GJ313-1)*100)))</f>
        <v>-2.0147229755908547</v>
      </c>
      <c r="GN313" s="160">
        <f>EI313+EK313+EM313+EO313</f>
        <v>2693</v>
      </c>
      <c r="GO313" s="98">
        <f>IF(ISERROR((GN313/GL313-1)*100),"NA",IF(((GN313/GL313-1)*100)&gt;100,"NM",IF(((GN313/GL313-1)*100)&lt;-50,"NM",(GN313/GL313-1)*100)))</f>
        <v>6.4847765915381661</v>
      </c>
      <c r="GP313" s="160">
        <f>EQ313+ES313+EU313+EW313</f>
        <v>2906.5868479374994</v>
      </c>
      <c r="GQ313" s="98">
        <f>IF(ISERROR((GP313/GN313-1)*100),"NA",IF(((GP313/GN313-1)*100)&gt;100,"NM",IF(((GP313/GN313-1)*100)&lt;-50,"NM",(GP313/GN313-1)*100)))</f>
        <v>7.9311863326215981</v>
      </c>
      <c r="GR313" s="121">
        <f>GP313*1.06</f>
        <v>3080.9820588137495</v>
      </c>
      <c r="GS313" s="98">
        <f>IF(ISERROR((GR313/GP313-1)*100),"NA",IF(((GR313/GP313-1)*100)&gt;100,"NM",IF(((GR313/GP313-1)*100)&lt;-50,"NM",(GR313/GP313-1)*100)))</f>
        <v>6.0000000000000053</v>
      </c>
      <c r="GT313" s="121">
        <f>GR313*1.06</f>
        <v>3265.8409823425745</v>
      </c>
      <c r="GU313" s="98">
        <f>IF(ISERROR((GT313/GR313-1)*100),"NA",IF(((GT313/GR313-1)*100)&gt;100,"NM",IF(((GT313/GR313-1)*100)&lt;-50,"NM",(GT313/GR313-1)*100)))</f>
        <v>6.0000000000000053</v>
      </c>
      <c r="GV313" s="121">
        <f>GT313*1.06</f>
        <v>3461.7914412831292</v>
      </c>
      <c r="GW313" s="98">
        <f>IF(ISERROR((GV313/GT313-1)*100),"NA",IF(((GV313/GT313-1)*100)&gt;100,"NM",IF(((GV313/GT313-1)*100)&lt;-50,"NM",(GV313/GT313-1)*100)))</f>
        <v>6.0000000000000053</v>
      </c>
      <c r="GX313" s="121">
        <f>GV313*1.06</f>
        <v>3669.4989277601171</v>
      </c>
      <c r="GY313" s="98">
        <f>IF(ISERROR((GX313/GV313-1)*100),"NA",IF(((GX313/GV313-1)*100)&gt;100,"NM",IF(((GX313/GV313-1)*100)&lt;-50,"NM",(GX313/GV313-1)*100)))</f>
        <v>6.0000000000000053</v>
      </c>
      <c r="GZ313" s="98">
        <f>IF(ISERROR(((GX313/GN313)^0.2-1)*100),"NA",IF((((GX313/GN313)^0.2-1)*100)&gt;100,"NM",IF((((GX313/GN313)^0.2-1)*100)&lt;-50,"NM",((GX313/GN313)^0.2-1)*100)))</f>
        <v>6.383452945307444</v>
      </c>
      <c r="HA313" s="98"/>
      <c r="HB313" s="10"/>
      <c r="HC313"/>
      <c r="HD313"/>
      <c r="HE313"/>
      <c r="HF313"/>
      <c r="HG313"/>
      <c r="HH313"/>
      <c r="HI313" s="10"/>
    </row>
    <row r="314" spans="2:217" s="2" customFormat="1" ht="12.75" customHeight="1" x14ac:dyDescent="0.2">
      <c r="B314" s="91" t="s">
        <v>560</v>
      </c>
      <c r="C314" s="117"/>
      <c r="D314" s="98"/>
      <c r="E314" s="117"/>
      <c r="F314" s="98"/>
      <c r="G314" s="117"/>
      <c r="H314" s="98"/>
      <c r="I314" s="117"/>
      <c r="J314" s="98"/>
      <c r="K314" s="117"/>
      <c r="L314" s="98"/>
      <c r="M314" s="117"/>
      <c r="N314" s="98"/>
      <c r="O314" s="117"/>
      <c r="P314" s="98"/>
      <c r="Q314" s="117"/>
      <c r="R314" s="98"/>
      <c r="S314" s="182"/>
      <c r="T314" s="98"/>
      <c r="U314" s="182"/>
      <c r="V314" s="98"/>
      <c r="W314" s="182"/>
      <c r="X314" s="98"/>
      <c r="Y314" s="182"/>
      <c r="Z314" s="98"/>
      <c r="AA314" s="182"/>
      <c r="AB314" s="98"/>
      <c r="AC314" s="182"/>
      <c r="AD314" s="98"/>
      <c r="AE314" s="182"/>
      <c r="AF314" s="98"/>
      <c r="AG314" s="182"/>
      <c r="AH314" s="98"/>
      <c r="AI314" s="182"/>
      <c r="AJ314" s="98"/>
      <c r="AK314" s="182"/>
      <c r="AL314" s="98"/>
      <c r="AM314" s="182"/>
      <c r="AN314" s="98"/>
      <c r="AO314" s="182"/>
      <c r="AP314" s="98"/>
      <c r="AQ314" s="182"/>
      <c r="AR314" s="98"/>
      <c r="AS314" s="182"/>
      <c r="AT314" s="98"/>
      <c r="AU314" s="182"/>
      <c r="AV314" s="98"/>
      <c r="AW314" s="182"/>
      <c r="AX314" s="98"/>
      <c r="AY314" s="182"/>
      <c r="AZ314" s="98"/>
      <c r="BA314" s="182"/>
      <c r="BB314" s="98"/>
      <c r="BC314" s="182"/>
      <c r="BD314" s="98"/>
      <c r="BE314" s="182"/>
      <c r="BF314" s="98"/>
      <c r="BG314" s="182"/>
      <c r="BH314" s="98"/>
      <c r="BI314" s="182"/>
      <c r="BJ314" s="98"/>
      <c r="BK314" s="182"/>
      <c r="BL314" s="98"/>
      <c r="BM314" s="182"/>
      <c r="BN314" s="98"/>
      <c r="BO314" s="182"/>
      <c r="BP314" s="98"/>
      <c r="BQ314" s="182"/>
      <c r="BR314" s="98"/>
      <c r="BS314" s="182"/>
      <c r="BT314" s="98"/>
      <c r="BU314" s="182"/>
      <c r="BV314" s="98"/>
      <c r="BW314" s="182"/>
      <c r="BX314" s="98"/>
      <c r="BY314" s="182"/>
      <c r="BZ314" s="98"/>
      <c r="CA314" s="182"/>
      <c r="CB314" s="98"/>
      <c r="CC314" s="182"/>
      <c r="CD314" s="98"/>
      <c r="CE314" s="182"/>
      <c r="CF314" s="98"/>
      <c r="CG314" s="182"/>
      <c r="CH314" s="98"/>
      <c r="CI314" s="182"/>
      <c r="CJ314" s="98"/>
      <c r="CK314" s="182"/>
      <c r="CL314" s="98"/>
      <c r="CM314" s="101">
        <v>189</v>
      </c>
      <c r="CN314" s="98" t="str">
        <f>IF(ISERROR((CM314/CE314-1)*100),"NA",IF(((CM314/CE314-1)*100)&gt;100,"NM",IF(((CM314/CE314-1)*100)&lt;-50,"NM",(CM314/CE314-1)*100)))</f>
        <v>NA</v>
      </c>
      <c r="CO314" s="101">
        <v>194</v>
      </c>
      <c r="CP314" s="98" t="str">
        <f>IF(ISERROR((CO314/CG314-1)*100),"NA",IF(((CO314/CG314-1)*100)&gt;100,"NM",IF(((CO314/CG314-1)*100)&lt;-50,"NM",(CO314/CG314-1)*100)))</f>
        <v>NA</v>
      </c>
      <c r="CQ314" s="542">
        <v>188</v>
      </c>
      <c r="CR314" s="98" t="str">
        <f>IF(ISERROR((CQ314/CI314-1)*100),"NA",IF(((CQ314/CI314-1)*100)&gt;100,"NM",IF(((CQ314/CI314-1)*100)&lt;-50,"NM",(CQ314/CI314-1)*100)))</f>
        <v>NA</v>
      </c>
      <c r="CS314" s="101">
        <v>186</v>
      </c>
      <c r="CT314" s="98" t="str">
        <f>IF(ISERROR((CS314/CK314-1)*100),"NA",IF(((CS314/CK314-1)*100)&gt;100,"NM",IF(((CS314/CK314-1)*100)&lt;-50,"NM",(CS314/CK314-1)*100)))</f>
        <v>NA</v>
      </c>
      <c r="CU314" s="101">
        <v>196</v>
      </c>
      <c r="CV314" s="98">
        <f>IF(ISERROR((CU314/CM314-1)*100),"NA",IF(((CU314/CM314-1)*100)&gt;100,"NM",IF(((CU314/CM314-1)*100)&lt;-50,"NM",(CU314/CM314-1)*100)))</f>
        <v>3.7037037037036979</v>
      </c>
      <c r="CW314" s="101">
        <v>196</v>
      </c>
      <c r="CX314" s="98">
        <f>IF(ISERROR((CW314/CO314-1)*100),"NA",IF(((CW314/CO314-1)*100)&gt;100,"NM",IF(((CW314/CO314-1)*100)&lt;-50,"NM",(CW314/CO314-1)*100)))</f>
        <v>1.0309278350515427</v>
      </c>
      <c r="CY314" s="101">
        <v>189</v>
      </c>
      <c r="CZ314" s="98">
        <f>IF(ISERROR((CY314/CQ314-1)*100),"NA",IF(((CY314/CQ314-1)*100)&gt;100,"NM",IF(((CY314/CQ314-1)*100)&lt;-50,"NM",(CY314/CQ314-1)*100)))</f>
        <v>0.53191489361701372</v>
      </c>
      <c r="DA314" s="101">
        <v>204</v>
      </c>
      <c r="DB314" s="98">
        <f>IF(ISERROR((DA314/CS314-1)*100),"NA",IF(((DA314/CS314-1)*100)&gt;100,"NM",IF(((DA314/CS314-1)*100)&lt;-50,"NM",(DA314/CS314-1)*100)))</f>
        <v>9.6774193548387011</v>
      </c>
      <c r="DC314" s="101">
        <v>225</v>
      </c>
      <c r="DD314" s="98">
        <f>IF(ISERROR((DC314/CU314-1)*100),"NA",IF(((DC314/CU314-1)*100)&gt;100,"NM",IF(((DC314/CU314-1)*100)&lt;-50,"NM",(DC314/CU314-1)*100)))</f>
        <v>14.79591836734695</v>
      </c>
      <c r="DE314" s="101">
        <v>235</v>
      </c>
      <c r="DF314" s="98">
        <f>IF(ISERROR((DE314/CW314-1)*100),"NA",IF(((DE314/CW314-1)*100)&gt;100,"NM",IF(((DE314/CW314-1)*100)&lt;-50,"NM",(DE314/CW314-1)*100)))</f>
        <v>19.897959183673475</v>
      </c>
      <c r="DG314" s="101">
        <v>222</v>
      </c>
      <c r="DH314" s="98">
        <f>IF(ISERROR((DG314/CY314-1)*100),"NA",IF(((DG314/CY314-1)*100)&gt;100,"NM",IF(((DG314/CY314-1)*100)&lt;-50,"NM",(DG314/CY314-1)*100)))</f>
        <v>17.460317460317466</v>
      </c>
      <c r="DI314" s="101">
        <v>309</v>
      </c>
      <c r="DJ314" s="98">
        <f>IF(ISERROR((DI314/DA314-1)*100),"NA",IF(((DI314/DA314-1)*100)&gt;100,"NM",IF(((DI314/DA314-1)*100)&lt;-50,"NM",(DI314/DA314-1)*100)))</f>
        <v>51.470588235294116</v>
      </c>
      <c r="DK314" s="101">
        <v>311</v>
      </c>
      <c r="DL314" s="98">
        <f>IF(ISERROR((DK314/DC314-1)*100),"NA",IF(((DK314/DC314-1)*100)&gt;100,"NM",IF(((DK314/DC314-1)*100)&lt;-50,"NM",(DK314/DC314-1)*100)))</f>
        <v>38.222222222222221</v>
      </c>
      <c r="DM314" s="101">
        <v>317</v>
      </c>
      <c r="DN314" s="98">
        <f>IF(ISERROR((DM314/DE314-1)*100),"NA",IF(((DM314/DE314-1)*100)&gt;100,"NM",IF(((DM314/DE314-1)*100)&lt;-50,"NM",(DM314/DE314-1)*100)))</f>
        <v>34.893617021276604</v>
      </c>
      <c r="DO314" s="101">
        <v>328</v>
      </c>
      <c r="DP314" s="98">
        <f>IF(ISERROR((DO314/DG314-1)*100),"NA",IF(((DO314/DG314-1)*100)&gt;100,"NM",IF(((DO314/DG314-1)*100)&lt;-50,"NM",(DO314/DG314-1)*100)))</f>
        <v>47.747747747747752</v>
      </c>
      <c r="DQ314" s="101">
        <v>283</v>
      </c>
      <c r="DR314" s="98">
        <f>IF(ISERROR((DQ314/DI314-1)*100),"NA",IF(((DQ314/DI314-1)*100)&gt;100,"NM",IF(((DQ314/DI314-1)*100)&lt;-50,"NM",(DQ314/DI314-1)*100)))</f>
        <v>-8.4142394822006477</v>
      </c>
      <c r="DS314" s="101">
        <v>294</v>
      </c>
      <c r="DT314" s="98">
        <f>IF(ISERROR((DS314/DK314-1)*100),"NA",IF(((DS314/DK314-1)*100)&gt;100,"NM",IF(((DS314/DK314-1)*100)&lt;-50,"NM",(DS314/DK314-1)*100)))</f>
        <v>-5.4662379421221878</v>
      </c>
      <c r="DU314" s="101">
        <v>301</v>
      </c>
      <c r="DV314" s="98">
        <f>IF(ISERROR((DU314/DM314-1)*100),"NA",IF(((DU314/DM314-1)*100)&gt;100,"NM",IF(((DU314/DM314-1)*100)&lt;-50,"NM",(DU314/DM314-1)*100)))</f>
        <v>-5.0473186119873841</v>
      </c>
      <c r="DW314" s="101">
        <v>261</v>
      </c>
      <c r="DX314" s="98">
        <f>IF(ISERROR((DW314/DO314-1)*100),"NA",IF(((DW314/DO314-1)*100)&gt;100,"NM",IF(((DW314/DO314-1)*100)&lt;-50,"NM",(DW314/DO314-1)*100)))</f>
        <v>-20.426829268292678</v>
      </c>
      <c r="DY314" s="101">
        <v>261</v>
      </c>
      <c r="DZ314" s="98">
        <f>IF(ISERROR((DY314/DQ314-1)*100),"NA",IF(((DY314/DQ314-1)*100)&gt;100,"NM",IF(((DY314/DQ314-1)*100)&lt;-50,"NM",(DY314/DQ314-1)*100)))</f>
        <v>-7.7738515901060072</v>
      </c>
      <c r="EA314" s="101">
        <v>268</v>
      </c>
      <c r="EB314" s="98">
        <f>IF(ISERROR((EA314/DS314-1)*100),"NA",IF(((EA314/DS314-1)*100)&gt;100,"NM",IF(((EA314/DS314-1)*100)&lt;-50,"NM",(EA314/DS314-1)*100)))</f>
        <v>-8.8435374149659847</v>
      </c>
      <c r="EC314" s="101">
        <v>269</v>
      </c>
      <c r="ED314" s="98">
        <f>IF(ISERROR((EC314/DU314-1)*100),"NA",IF(((EC314/DU314-1)*100)&gt;100,"NM",IF(((EC314/DU314-1)*100)&lt;-50,"NM",(EC314/DU314-1)*100)))</f>
        <v>-10.631229235880401</v>
      </c>
      <c r="EE314" s="101">
        <v>227</v>
      </c>
      <c r="EF314" s="860">
        <f>IF(ISERROR((EE314/DW314-1)*100),"NA",IF(((EE314/DW314-1)*100)&gt;100,"NM",IF(((EE314/DW314-1)*100)&lt;-50,"NM",(EE314/DW314-1)*100)))</f>
        <v>-13.026819923371647</v>
      </c>
      <c r="EG314" s="101">
        <v>261</v>
      </c>
      <c r="EH314" s="860">
        <f>IF(ISERROR((EG314/DY314-1)*100),"NA",IF(((EG314/DY314-1)*100)&gt;100,"NM",IF(((EG314/DY314-1)*100)&lt;-50,"NM",(EG314/DY314-1)*100)))</f>
        <v>0</v>
      </c>
      <c r="EI314" s="101">
        <v>260</v>
      </c>
      <c r="EJ314" s="860">
        <f t="shared" si="1639"/>
        <v>-2.9850746268656692</v>
      </c>
      <c r="EK314" s="101">
        <v>275</v>
      </c>
      <c r="EL314" s="860">
        <f t="shared" si="1640"/>
        <v>2.2304832713754719</v>
      </c>
      <c r="EM314" s="101">
        <v>229</v>
      </c>
      <c r="EN314" s="860">
        <f t="shared" si="1641"/>
        <v>0.88105726872247381</v>
      </c>
      <c r="EO314" s="101">
        <v>280</v>
      </c>
      <c r="EP314" s="98">
        <f t="shared" si="1642"/>
        <v>7.2796934865900331</v>
      </c>
      <c r="EQ314" s="952">
        <f t="shared" ref="EQ314:EQ316" si="1650">EO314*1.015</f>
        <v>284.2</v>
      </c>
      <c r="ER314" s="98">
        <f t="shared" si="1643"/>
        <v>9.3076923076923066</v>
      </c>
      <c r="ES314" s="952">
        <f t="shared" si="1644"/>
        <v>288.46299999999997</v>
      </c>
      <c r="ET314" s="98">
        <f t="shared" si="1645"/>
        <v>4.8956363636363465</v>
      </c>
      <c r="EU314" s="952">
        <f t="shared" si="1646"/>
        <v>292.78994499999993</v>
      </c>
      <c r="EV314" s="98">
        <f t="shared" si="1647"/>
        <v>27.855871179039269</v>
      </c>
      <c r="EW314" s="952">
        <f t="shared" si="1648"/>
        <v>297.18179417499988</v>
      </c>
      <c r="EX314" s="98">
        <f t="shared" si="1649"/>
        <v>6.1363550624999652</v>
      </c>
      <c r="EY314" s="282"/>
      <c r="EZ314" s="594"/>
      <c r="FA314" s="405"/>
      <c r="FB314" s="279"/>
      <c r="FC314" s="98"/>
      <c r="FD314" s="278"/>
      <c r="FE314" s="98"/>
      <c r="FF314" s="279"/>
      <c r="FG314" s="98"/>
      <c r="FH314" s="279"/>
      <c r="FI314" s="98"/>
      <c r="FJ314" s="282"/>
      <c r="FK314" s="98"/>
      <c r="FL314" s="282"/>
      <c r="FM314" s="98"/>
      <c r="FN314" s="282"/>
      <c r="FO314" s="98"/>
      <c r="FP314" s="282"/>
      <c r="FQ314" s="98"/>
      <c r="FR314" s="283"/>
      <c r="FS314" s="120"/>
      <c r="FT314" s="283"/>
      <c r="FU314" s="120"/>
      <c r="FV314" s="283"/>
      <c r="FW314" s="98"/>
      <c r="FX314" s="520"/>
      <c r="FY314" s="98"/>
      <c r="FZ314" s="283"/>
      <c r="GA314" s="98"/>
      <c r="GB314" s="495">
        <f>CM314+CO314+CQ314+CS314</f>
        <v>757</v>
      </c>
      <c r="GC314" s="98" t="str">
        <f>IF(ISERROR((GB314/FZ314-1)*100),"NA",IF(((GB314/FZ314-1)*100)&gt;100,"NM",IF(((GB314/FZ314-1)*100)&lt;-50,"NM",(GB314/FZ314-1)*100)))</f>
        <v>NA</v>
      </c>
      <c r="GD314" s="160">
        <f>CU314+CW314+CY314+DA314</f>
        <v>785</v>
      </c>
      <c r="GE314" s="98">
        <f>IF(ISERROR((GD314/GB314-1)*100),"NA",IF(((GD314/GB314-1)*100)&gt;100,"NM",IF(((GD314/GB314-1)*100)&lt;-50,"NM",(GD314/GB314-1)*100)))</f>
        <v>3.6988110964332854</v>
      </c>
      <c r="GF314" s="160">
        <f>DC314+DE314+DG314+DI314</f>
        <v>991</v>
      </c>
      <c r="GG314" s="98">
        <f>IF(ISERROR((GF314/GD314-1)*100),"NA",IF(((GF314/GD314-1)*100)&gt;100,"NM",IF(((GF314/GD314-1)*100)&lt;-50,"NM",(GF314/GD314-1)*100)))</f>
        <v>26.242038216560502</v>
      </c>
      <c r="GH314" s="160">
        <f>DK314+DM314+DO314+DQ314</f>
        <v>1239</v>
      </c>
      <c r="GI314" s="98">
        <f>IF(ISERROR((GH314/GF314-1)*100),"NA",IF(((GH314/GF314-1)*100)&gt;100,"NM",IF(((GH314/GF314-1)*100)&lt;-50,"NM",(GH314/GF314-1)*100)))</f>
        <v>25.025227043390519</v>
      </c>
      <c r="GJ314" s="160">
        <f>DS314+DU314+DW314+DY314</f>
        <v>1117</v>
      </c>
      <c r="GK314" s="98">
        <f>IF(ISERROR((GJ314/GH314-1)*100),"NA",IF(((GJ314/GH314-1)*100)&gt;100,"NM",IF(((GJ314/GH314-1)*100)&lt;-50,"NM",(GJ314/GH314-1)*100)))</f>
        <v>-9.8466505246166296</v>
      </c>
      <c r="GL314" s="160">
        <f>EA314+EC314+EE314+EG314</f>
        <v>1025</v>
      </c>
      <c r="GM314" s="98">
        <f>IF(ISERROR((GL314/GJ314-1)*100),"NA",IF(((GL314/GJ314-1)*100)&gt;100,"NM",IF(((GL314/GJ314-1)*100)&lt;-50,"NM",(GL314/GJ314-1)*100)))</f>
        <v>-8.2363473589973086</v>
      </c>
      <c r="GN314" s="160">
        <f>EI314+EK314+EM314+EO314</f>
        <v>1044</v>
      </c>
      <c r="GO314" s="98">
        <f>IF(ISERROR((GN314/GL314-1)*100),"NA",IF(((GN314/GL314-1)*100)&gt;100,"NM",IF(((GN314/GL314-1)*100)&lt;-50,"NM",(GN314/GL314-1)*100)))</f>
        <v>1.8536585365853675</v>
      </c>
      <c r="GP314" s="160">
        <f>EQ314+ES314+EU314+EW314</f>
        <v>1162.6347391749998</v>
      </c>
      <c r="GQ314" s="98">
        <f>IF(ISERROR((GP314/GN314-1)*100),"NA",IF(((GP314/GN314-1)*100)&gt;100,"NM",IF(((GP314/GN314-1)*100)&lt;-50,"NM",(GP314/GN314-1)*100)))</f>
        <v>11.363480763888866</v>
      </c>
      <c r="GR314" s="121">
        <f>GP314*1.06</f>
        <v>1232.3928235254998</v>
      </c>
      <c r="GS314" s="98">
        <f>IF(ISERROR((GR314/GP314-1)*100),"NA",IF(((GR314/GP314-1)*100)&gt;100,"NM",IF(((GR314/GP314-1)*100)&lt;-50,"NM",(GR314/GP314-1)*100)))</f>
        <v>6.0000000000000053</v>
      </c>
      <c r="GT314" s="121">
        <f>GR314*1.06</f>
        <v>1306.3363929370298</v>
      </c>
      <c r="GU314" s="98">
        <f>IF(ISERROR((GT314/GR314-1)*100),"NA",IF(((GT314/GR314-1)*100)&gt;100,"NM",IF(((GT314/GR314-1)*100)&lt;-50,"NM",(GT314/GR314-1)*100)))</f>
        <v>6.0000000000000053</v>
      </c>
      <c r="GV314" s="121">
        <f>GT314*1.06</f>
        <v>1384.7165765132518</v>
      </c>
      <c r="GW314" s="98">
        <f>IF(ISERROR((GV314/GT314-1)*100),"NA",IF(((GV314/GT314-1)*100)&gt;100,"NM",IF(((GV314/GT314-1)*100)&lt;-50,"NM",(GV314/GT314-1)*100)))</f>
        <v>6.0000000000000053</v>
      </c>
      <c r="GX314" s="121">
        <f>GV314*1.06</f>
        <v>1467.7995711040469</v>
      </c>
      <c r="GY314" s="98">
        <f>IF(ISERROR((GX314/GV314-1)*100),"NA",IF(((GX314/GV314-1)*100)&gt;100,"NM",IF(((GX314/GV314-1)*100)&lt;-50,"NM",(GX314/GV314-1)*100)))</f>
        <v>6.0000000000000053</v>
      </c>
      <c r="GZ314" s="98">
        <f>IF(ISERROR(((GX314/GN314)^0.2-1)*100),"NA",IF((((GX314/GN314)^0.2-1)*100)&gt;100,"NM",IF((((GX314/GN314)^0.2-1)*100)&lt;-50,"NM",((GX314/GN314)^0.2-1)*100)))</f>
        <v>7.0516219102881417</v>
      </c>
      <c r="HA314" s="98"/>
      <c r="HB314" s="10"/>
      <c r="HC314"/>
      <c r="HD314"/>
      <c r="HE314"/>
      <c r="HF314"/>
      <c r="HG314"/>
      <c r="HH314"/>
      <c r="HI314" s="10"/>
    </row>
    <row r="315" spans="2:217" s="2" customFormat="1" ht="12.75" customHeight="1" x14ac:dyDescent="0.2">
      <c r="B315" s="91" t="s">
        <v>534</v>
      </c>
      <c r="C315" s="117"/>
      <c r="D315" s="98"/>
      <c r="E315" s="117"/>
      <c r="F315" s="98"/>
      <c r="G315" s="117"/>
      <c r="H315" s="98"/>
      <c r="I315" s="117"/>
      <c r="J315" s="98"/>
      <c r="K315" s="117"/>
      <c r="L315" s="98"/>
      <c r="M315" s="117"/>
      <c r="N315" s="98"/>
      <c r="O315" s="117"/>
      <c r="P315" s="98"/>
      <c r="Q315" s="117"/>
      <c r="R315" s="98"/>
      <c r="S315" s="182"/>
      <c r="T315" s="98"/>
      <c r="U315" s="182"/>
      <c r="V315" s="98"/>
      <c r="W315" s="182"/>
      <c r="X315" s="98"/>
      <c r="Y315" s="182"/>
      <c r="Z315" s="98"/>
      <c r="AA315" s="182"/>
      <c r="AB315" s="98"/>
      <c r="AC315" s="182"/>
      <c r="AD315" s="98"/>
      <c r="AE315" s="182"/>
      <c r="AF315" s="98"/>
      <c r="AG315" s="182"/>
      <c r="AH315" s="98"/>
      <c r="AI315" s="182"/>
      <c r="AJ315" s="98"/>
      <c r="AK315" s="182"/>
      <c r="AL315" s="98"/>
      <c r="AM315" s="182"/>
      <c r="AN315" s="98"/>
      <c r="AO315" s="182"/>
      <c r="AP315" s="98"/>
      <c r="AQ315" s="182"/>
      <c r="AR315" s="98"/>
      <c r="AS315" s="182"/>
      <c r="AT315" s="98"/>
      <c r="AU315" s="182"/>
      <c r="AV315" s="98"/>
      <c r="AW315" s="182"/>
      <c r="AX315" s="98"/>
      <c r="AY315" s="182"/>
      <c r="AZ315" s="98"/>
      <c r="BA315" s="182"/>
      <c r="BB315" s="98"/>
      <c r="BC315" s="182"/>
      <c r="BD315" s="98"/>
      <c r="BE315" s="182"/>
      <c r="BF315" s="98"/>
      <c r="BG315" s="182"/>
      <c r="BH315" s="98"/>
      <c r="BI315" s="182"/>
      <c r="BJ315" s="98"/>
      <c r="BK315" s="182"/>
      <c r="BL315" s="98"/>
      <c r="BM315" s="182"/>
      <c r="BN315" s="98"/>
      <c r="BO315" s="182"/>
      <c r="BP315" s="98"/>
      <c r="BQ315" s="182"/>
      <c r="BR315" s="98"/>
      <c r="BS315" s="182"/>
      <c r="BT315" s="98"/>
      <c r="BU315" s="182"/>
      <c r="BV315" s="98"/>
      <c r="BW315" s="182"/>
      <c r="BX315" s="98"/>
      <c r="BY315" s="182"/>
      <c r="BZ315" s="98"/>
      <c r="CA315" s="182"/>
      <c r="CB315" s="98"/>
      <c r="CC315" s="182"/>
      <c r="CD315" s="98"/>
      <c r="CE315" s="182"/>
      <c r="CF315" s="98"/>
      <c r="CG315" s="182"/>
      <c r="CH315" s="98"/>
      <c r="CI315" s="182"/>
      <c r="CJ315" s="98"/>
      <c r="CK315" s="182"/>
      <c r="CL315" s="98"/>
      <c r="CM315" s="101">
        <v>166</v>
      </c>
      <c r="CN315" s="98" t="str">
        <f>IF(ISERROR((CM315/CE315-1)*100),"NA",IF(((CM315/CE315-1)*100)&gt;100,"NM",IF(((CM315/CE315-1)*100)&lt;-50,"NM",(CM315/CE315-1)*100)))</f>
        <v>NA</v>
      </c>
      <c r="CO315" s="101">
        <v>272</v>
      </c>
      <c r="CP315" s="98" t="str">
        <f>IF(ISERROR((CO315/CG315-1)*100),"NA",IF(((CO315/CG315-1)*100)&gt;100,"NM",IF(((CO315/CG315-1)*100)&lt;-50,"NM",(CO315/CG315-1)*100)))</f>
        <v>NA</v>
      </c>
      <c r="CQ315" s="542">
        <v>289</v>
      </c>
      <c r="CR315" s="98" t="str">
        <f>IF(ISERROR((CQ315/CI315-1)*100),"NA",IF(((CQ315/CI315-1)*100)&gt;100,"NM",IF(((CQ315/CI315-1)*100)&lt;-50,"NM",(CQ315/CI315-1)*100)))</f>
        <v>NA</v>
      </c>
      <c r="CS315" s="101">
        <v>298</v>
      </c>
      <c r="CT315" s="98" t="str">
        <f>IF(ISERROR((CS315/CK315-1)*100),"NA",IF(((CS315/CK315-1)*100)&gt;100,"NM",IF(((CS315/CK315-1)*100)&lt;-50,"NM",(CS315/CK315-1)*100)))</f>
        <v>NA</v>
      </c>
      <c r="CU315" s="101">
        <v>299</v>
      </c>
      <c r="CV315" s="98">
        <f>IF(ISERROR((CU315/CM315-1)*100),"NA",IF(((CU315/CM315-1)*100)&gt;100,"NM",IF(((CU315/CM315-1)*100)&lt;-50,"NM",(CU315/CM315-1)*100)))</f>
        <v>80.120481927710841</v>
      </c>
      <c r="CW315" s="101">
        <v>283</v>
      </c>
      <c r="CX315" s="98">
        <f>IF(ISERROR((CW315/CO315-1)*100),"NA",IF(((CW315/CO315-1)*100)&gt;100,"NM",IF(((CW315/CO315-1)*100)&lt;-50,"NM",(CW315/CO315-1)*100)))</f>
        <v>4.0441176470588314</v>
      </c>
      <c r="CY315" s="101">
        <v>299</v>
      </c>
      <c r="CZ315" s="98">
        <f>IF(ISERROR((CY315/CQ315-1)*100),"NA",IF(((CY315/CQ315-1)*100)&gt;100,"NM",IF(((CY315/CQ315-1)*100)&lt;-50,"NM",(CY315/CQ315-1)*100)))</f>
        <v>3.460207612456756</v>
      </c>
      <c r="DA315" s="101">
        <v>317</v>
      </c>
      <c r="DB315" s="98">
        <f>IF(ISERROR((DA315/CS315-1)*100),"NA",IF(((DA315/CS315-1)*100)&gt;100,"NM",IF(((DA315/CS315-1)*100)&lt;-50,"NM",(DA315/CS315-1)*100)))</f>
        <v>6.3758389261745041</v>
      </c>
      <c r="DC315" s="101">
        <v>277</v>
      </c>
      <c r="DD315" s="98">
        <f>IF(ISERROR((DC315/CU315-1)*100),"NA",IF(((DC315/CU315-1)*100)&gt;100,"NM",IF(((DC315/CU315-1)*100)&lt;-50,"NM",(DC315/CU315-1)*100)))</f>
        <v>-7.3578595317725703</v>
      </c>
      <c r="DE315" s="101">
        <v>281</v>
      </c>
      <c r="DF315" s="98">
        <f>IF(ISERROR((DE315/CW315-1)*100),"NA",IF(((DE315/CW315-1)*100)&gt;100,"NM",IF(((DE315/CW315-1)*100)&lt;-50,"NM",(DE315/CW315-1)*100)))</f>
        <v>-0.70671378091873294</v>
      </c>
      <c r="DG315" s="101">
        <v>354</v>
      </c>
      <c r="DH315" s="98">
        <f>IF(ISERROR((DG315/CY315-1)*100),"NA",IF(((DG315/CY315-1)*100)&gt;100,"NM",IF(((DG315/CY315-1)*100)&lt;-50,"NM",(DG315/CY315-1)*100)))</f>
        <v>18.394648829431446</v>
      </c>
      <c r="DI315" s="101">
        <v>334</v>
      </c>
      <c r="DJ315" s="98">
        <f>IF(ISERROR((DI315/DA315-1)*100),"NA",IF(((DI315/DA315-1)*100)&gt;100,"NM",IF(((DI315/DA315-1)*100)&lt;-50,"NM",(DI315/DA315-1)*100)))</f>
        <v>5.3627760252366041</v>
      </c>
      <c r="DK315" s="101">
        <v>297</v>
      </c>
      <c r="DL315" s="98">
        <f>IF(ISERROR((DK315/DC315-1)*100),"NA",IF(((DK315/DC315-1)*100)&gt;100,"NM",IF(((DK315/DC315-1)*100)&lt;-50,"NM",(DK315/DC315-1)*100)))</f>
        <v>7.2202166064981865</v>
      </c>
      <c r="DM315" s="101">
        <v>301</v>
      </c>
      <c r="DN315" s="98">
        <f>IF(ISERROR((DM315/DE315-1)*100),"NA",IF(((DM315/DE315-1)*100)&gt;100,"NM",IF(((DM315/DE315-1)*100)&lt;-50,"NM",(DM315/DE315-1)*100)))</f>
        <v>7.1174377224199281</v>
      </c>
      <c r="DO315" s="101">
        <v>317</v>
      </c>
      <c r="DP315" s="98">
        <f>IF(ISERROR((DO315/DG315-1)*100),"NA",IF(((DO315/DG315-1)*100)&gt;100,"NM",IF(((DO315/DG315-1)*100)&lt;-50,"NM",(DO315/DG315-1)*100)))</f>
        <v>-10.451977401129941</v>
      </c>
      <c r="DQ315" s="101">
        <v>314</v>
      </c>
      <c r="DR315" s="98">
        <f>IF(ISERROR((DQ315/DI315-1)*100),"NA",IF(((DQ315/DI315-1)*100)&gt;100,"NM",IF(((DQ315/DI315-1)*100)&lt;-50,"NM",(DQ315/DI315-1)*100)))</f>
        <v>-5.9880239520958112</v>
      </c>
      <c r="DS315" s="101">
        <v>216</v>
      </c>
      <c r="DT315" s="98">
        <f>IF(ISERROR((DS315/DK315-1)*100),"NA",IF(((DS315/DK315-1)*100)&gt;100,"NM",IF(((DS315/DK315-1)*100)&lt;-50,"NM",(DS315/DK315-1)*100)))</f>
        <v>-27.27272727272727</v>
      </c>
      <c r="DU315" s="101">
        <v>281</v>
      </c>
      <c r="DV315" s="98">
        <f>IF(ISERROR((DU315/DM315-1)*100),"NA",IF(((DU315/DM315-1)*100)&gt;100,"NM",IF(((DU315/DM315-1)*100)&lt;-50,"NM",(DU315/DM315-1)*100)))</f>
        <v>-6.6445182724252483</v>
      </c>
      <c r="DW315" s="101">
        <v>277</v>
      </c>
      <c r="DX315" s="98">
        <f>IF(ISERROR((DW315/DO315-1)*100),"NA",IF(((DW315/DO315-1)*100)&gt;100,"NM",IF(((DW315/DO315-1)*100)&lt;-50,"NM",(DW315/DO315-1)*100)))</f>
        <v>-12.618296529968454</v>
      </c>
      <c r="DY315" s="101">
        <v>264</v>
      </c>
      <c r="DZ315" s="98">
        <f>IF(ISERROR((DY315/DQ315-1)*100),"NA",IF(((DY315/DQ315-1)*100)&gt;100,"NM",IF(((DY315/DQ315-1)*100)&lt;-50,"NM",(DY315/DQ315-1)*100)))</f>
        <v>-15.923566878980889</v>
      </c>
      <c r="EA315" s="101">
        <v>255</v>
      </c>
      <c r="EB315" s="98">
        <f>IF(ISERROR((EA315/DS315-1)*100),"NA",IF(((EA315/DS315-1)*100)&gt;100,"NM",IF(((EA315/DS315-1)*100)&lt;-50,"NM",(EA315/DS315-1)*100)))</f>
        <v>18.055555555555557</v>
      </c>
      <c r="EC315" s="101">
        <v>243</v>
      </c>
      <c r="ED315" s="98">
        <f>IF(ISERROR((EC315/DU315-1)*100),"NA",IF(((EC315/DU315-1)*100)&gt;100,"NM",IF(((EC315/DU315-1)*100)&lt;-50,"NM",(EC315/DU315-1)*100)))</f>
        <v>-13.523131672597867</v>
      </c>
      <c r="EE315" s="101">
        <v>311</v>
      </c>
      <c r="EF315" s="860">
        <f>IF(ISERROR((EE315/DW315-1)*100),"NA",IF(((EE315/DW315-1)*100)&gt;100,"NM",IF(((EE315/DW315-1)*100)&lt;-50,"NM",(EE315/DW315-1)*100)))</f>
        <v>12.274368231046928</v>
      </c>
      <c r="EG315" s="101">
        <v>275</v>
      </c>
      <c r="EH315" s="860">
        <f>IF(ISERROR((EG315/DY315-1)*100),"NA",IF(((EG315/DY315-1)*100)&gt;100,"NM",IF(((EG315/DY315-1)*100)&lt;-50,"NM",(EG315/DY315-1)*100)))</f>
        <v>4.1666666666666741</v>
      </c>
      <c r="EI315" s="101">
        <v>303</v>
      </c>
      <c r="EJ315" s="860">
        <f t="shared" si="1639"/>
        <v>18.823529411764707</v>
      </c>
      <c r="EK315" s="101">
        <v>289</v>
      </c>
      <c r="EL315" s="860">
        <f t="shared" si="1640"/>
        <v>18.930041152263378</v>
      </c>
      <c r="EM315" s="101">
        <v>299</v>
      </c>
      <c r="EN315" s="860">
        <f t="shared" si="1641"/>
        <v>-3.8585209003215382</v>
      </c>
      <c r="EO315" s="101">
        <v>328</v>
      </c>
      <c r="EP315" s="98">
        <f t="shared" si="1642"/>
        <v>19.272727272727263</v>
      </c>
      <c r="EQ315" s="952">
        <f t="shared" si="1650"/>
        <v>332.91999999999996</v>
      </c>
      <c r="ER315" s="98">
        <f t="shared" si="1643"/>
        <v>9.8745874587458538</v>
      </c>
      <c r="ES315" s="952">
        <f t="shared" si="1644"/>
        <v>337.91379999999992</v>
      </c>
      <c r="ET315" s="98">
        <f t="shared" si="1645"/>
        <v>16.92519031141866</v>
      </c>
      <c r="EU315" s="952">
        <f t="shared" si="1646"/>
        <v>342.98250699999988</v>
      </c>
      <c r="EV315" s="98">
        <f t="shared" si="1647"/>
        <v>14.709868561872863</v>
      </c>
      <c r="EW315" s="952">
        <f t="shared" si="1648"/>
        <v>348.12724460499987</v>
      </c>
      <c r="EX315" s="98">
        <f t="shared" si="1649"/>
        <v>6.1363550624999652</v>
      </c>
      <c r="EY315" s="282"/>
      <c r="EZ315" s="594"/>
      <c r="FA315" s="405"/>
      <c r="FB315" s="279"/>
      <c r="FC315" s="98"/>
      <c r="FD315" s="278"/>
      <c r="FE315" s="98"/>
      <c r="FF315" s="279"/>
      <c r="FG315" s="98"/>
      <c r="FH315" s="279"/>
      <c r="FI315" s="98"/>
      <c r="FJ315" s="282"/>
      <c r="FK315" s="98"/>
      <c r="FL315" s="282"/>
      <c r="FM315" s="98"/>
      <c r="FN315" s="282"/>
      <c r="FO315" s="98"/>
      <c r="FP315" s="282"/>
      <c r="FQ315" s="98"/>
      <c r="FR315" s="283"/>
      <c r="FS315" s="120"/>
      <c r="FT315" s="283"/>
      <c r="FU315" s="120"/>
      <c r="FV315" s="283"/>
      <c r="FW315" s="98"/>
      <c r="FX315" s="520"/>
      <c r="FY315" s="98"/>
      <c r="FZ315" s="283"/>
      <c r="GA315" s="98"/>
      <c r="GB315" s="495">
        <f>CM315+CO315+CQ315+CS315</f>
        <v>1025</v>
      </c>
      <c r="GC315" s="98" t="str">
        <f>IF(ISERROR((GB315/FZ315-1)*100),"NA",IF(((GB315/FZ315-1)*100)&gt;100,"NM",IF(((GB315/FZ315-1)*100)&lt;-50,"NM",(GB315/FZ315-1)*100)))</f>
        <v>NA</v>
      </c>
      <c r="GD315" s="160">
        <f>CU315+CW315+CY315+DA315</f>
        <v>1198</v>
      </c>
      <c r="GE315" s="98">
        <f>IF(ISERROR((GD315/GB315-1)*100),"NA",IF(((GD315/GB315-1)*100)&gt;100,"NM",IF(((GD315/GB315-1)*100)&lt;-50,"NM",(GD315/GB315-1)*100)))</f>
        <v>16.878048780487799</v>
      </c>
      <c r="GF315" s="160">
        <f>DC315+DE315+DG315+DI315</f>
        <v>1246</v>
      </c>
      <c r="GG315" s="98">
        <f>IF(ISERROR((GF315/GD315-1)*100),"NA",IF(((GF315/GD315-1)*100)&gt;100,"NM",IF(((GF315/GD315-1)*100)&lt;-50,"NM",(GF315/GD315-1)*100)))</f>
        <v>4.0066777963272182</v>
      </c>
      <c r="GH315" s="160">
        <f>DK315+DM315+DO315+DQ315</f>
        <v>1229</v>
      </c>
      <c r="GI315" s="98">
        <f>IF(ISERROR((GH315/GF315-1)*100),"NA",IF(((GH315/GF315-1)*100)&gt;100,"NM",IF(((GH315/GF315-1)*100)&lt;-50,"NM",(GH315/GF315-1)*100)))</f>
        <v>-1.3643659711075395</v>
      </c>
      <c r="GJ315" s="160">
        <f>DS315+DU315+DW315+DY315</f>
        <v>1038</v>
      </c>
      <c r="GK315" s="98">
        <f>IF(ISERROR((GJ315/GH315-1)*100),"NA",IF(((GJ315/GH315-1)*100)&gt;100,"NM",IF(((GJ315/GH315-1)*100)&lt;-50,"NM",(GJ315/GH315-1)*100)))</f>
        <v>-15.541090317331163</v>
      </c>
      <c r="GL315" s="160">
        <f>EA315+EC315+EE315+EG315</f>
        <v>1084</v>
      </c>
      <c r="GM315" s="98">
        <f>IF(ISERROR((GL315/GJ315-1)*100),"NA",IF(((GL315/GJ315-1)*100)&gt;100,"NM",IF(((GL315/GJ315-1)*100)&lt;-50,"NM",(GL315/GJ315-1)*100)))</f>
        <v>4.4315992292870865</v>
      </c>
      <c r="GN315" s="160">
        <f>EI315+EK315+EM315+EO315</f>
        <v>1219</v>
      </c>
      <c r="GO315" s="98">
        <f>IF(ISERROR((GN315/GL315-1)*100),"NA",IF(((GN315/GL315-1)*100)&gt;100,"NM",IF(((GN315/GL315-1)*100)&lt;-50,"NM",(GN315/GL315-1)*100)))</f>
        <v>12.45387453874538</v>
      </c>
      <c r="GP315" s="160">
        <f>EQ315+ES315+EU315+EW315</f>
        <v>1361.9435516049998</v>
      </c>
      <c r="GQ315" s="98">
        <f>IF(ISERROR((GP315/GN315-1)*100),"NA",IF(((GP315/GN315-1)*100)&gt;100,"NM",IF(((GP315/GN315-1)*100)&lt;-50,"NM",(GP315/GN315-1)*100)))</f>
        <v>11.726296276045932</v>
      </c>
      <c r="GR315" s="121">
        <f>GP315*1.06</f>
        <v>1443.6601647012999</v>
      </c>
      <c r="GS315" s="98">
        <f>IF(ISERROR((GR315/GP315-1)*100),"NA",IF(((GR315/GP315-1)*100)&gt;100,"NM",IF(((GR315/GP315-1)*100)&lt;-50,"NM",(GR315/GP315-1)*100)))</f>
        <v>6.0000000000000053</v>
      </c>
      <c r="GT315" s="121">
        <f>GR315*1.06</f>
        <v>1530.279774583378</v>
      </c>
      <c r="GU315" s="98">
        <f>IF(ISERROR((GT315/GR315-1)*100),"NA",IF(((GT315/GR315-1)*100)&gt;100,"NM",IF(((GT315/GR315-1)*100)&lt;-50,"NM",(GT315/GR315-1)*100)))</f>
        <v>6.0000000000000053</v>
      </c>
      <c r="GV315" s="121">
        <f>GT315*1.06</f>
        <v>1622.0965610583808</v>
      </c>
      <c r="GW315" s="98">
        <f>IF(ISERROR((GV315/GT315-1)*100),"NA",IF(((GV315/GT315-1)*100)&gt;100,"NM",IF(((GV315/GT315-1)*100)&lt;-50,"NM",(GV315/GT315-1)*100)))</f>
        <v>6.0000000000000053</v>
      </c>
      <c r="GX315" s="121">
        <f>GV315*1.06</f>
        <v>1719.4223547218837</v>
      </c>
      <c r="GY315" s="98">
        <f>IF(ISERROR((GX315/GV315-1)*100),"NA",IF(((GX315/GV315-1)*100)&gt;100,"NM",IF(((GX315/GV315-1)*100)&lt;-50,"NM",(GX315/GV315-1)*100)))</f>
        <v>6.0000000000000053</v>
      </c>
      <c r="GZ315" s="98">
        <f>IF(ISERROR(((GX315/GN315)^0.2-1)*100),"NA",IF((((GX315/GN315)^0.2-1)*100)&gt;100,"NM",IF((((GX315/GN315)^0.2-1)*100)&lt;-50,"NM",((GX315/GN315)^0.2-1)*100)))</f>
        <v>7.1212847335810903</v>
      </c>
      <c r="HA315" s="98"/>
      <c r="HB315" s="10"/>
      <c r="HC315"/>
      <c r="HD315"/>
      <c r="HE315"/>
      <c r="HF315"/>
      <c r="HG315"/>
      <c r="HH315"/>
      <c r="HI315" s="10"/>
    </row>
    <row r="316" spans="2:217" s="2" customFormat="1" ht="12.75" customHeight="1" x14ac:dyDescent="0.2">
      <c r="B316" s="91" t="s">
        <v>537</v>
      </c>
      <c r="C316" s="117"/>
      <c r="D316" s="98"/>
      <c r="E316" s="117"/>
      <c r="F316" s="98"/>
      <c r="G316" s="117"/>
      <c r="H316" s="98"/>
      <c r="I316" s="117"/>
      <c r="J316" s="98"/>
      <c r="K316" s="117"/>
      <c r="L316" s="98"/>
      <c r="M316" s="117"/>
      <c r="N316" s="98"/>
      <c r="O316" s="117"/>
      <c r="P316" s="98"/>
      <c r="Q316" s="117"/>
      <c r="R316" s="98"/>
      <c r="S316" s="182"/>
      <c r="T316" s="98"/>
      <c r="U316" s="182"/>
      <c r="V316" s="98"/>
      <c r="W316" s="182"/>
      <c r="X316" s="98"/>
      <c r="Y316" s="182"/>
      <c r="Z316" s="98"/>
      <c r="AA316" s="182"/>
      <c r="AB316" s="98"/>
      <c r="AC316" s="182"/>
      <c r="AD316" s="98"/>
      <c r="AE316" s="182"/>
      <c r="AF316" s="98"/>
      <c r="AG316" s="182"/>
      <c r="AH316" s="98"/>
      <c r="AI316" s="182"/>
      <c r="AJ316" s="98"/>
      <c r="AK316" s="182"/>
      <c r="AL316" s="98"/>
      <c r="AM316" s="182"/>
      <c r="AN316" s="98"/>
      <c r="AO316" s="182"/>
      <c r="AP316" s="98"/>
      <c r="AQ316" s="182"/>
      <c r="AR316" s="98"/>
      <c r="AS316" s="182"/>
      <c r="AT316" s="98"/>
      <c r="AU316" s="182"/>
      <c r="AV316" s="98"/>
      <c r="AW316" s="182"/>
      <c r="AX316" s="98"/>
      <c r="AY316" s="182"/>
      <c r="AZ316" s="98"/>
      <c r="BA316" s="182"/>
      <c r="BB316" s="98"/>
      <c r="BC316" s="182"/>
      <c r="BD316" s="98"/>
      <c r="BE316" s="182"/>
      <c r="BF316" s="98"/>
      <c r="BG316" s="182"/>
      <c r="BH316" s="98"/>
      <c r="BI316" s="182"/>
      <c r="BJ316" s="98"/>
      <c r="BK316" s="182"/>
      <c r="BL316" s="98"/>
      <c r="BM316" s="182"/>
      <c r="BN316" s="98"/>
      <c r="BO316" s="182"/>
      <c r="BP316" s="98"/>
      <c r="BQ316" s="182"/>
      <c r="BR316" s="98"/>
      <c r="BS316" s="182"/>
      <c r="BT316" s="98"/>
      <c r="BU316" s="182"/>
      <c r="BV316" s="98"/>
      <c r="BW316" s="182"/>
      <c r="BX316" s="98"/>
      <c r="BY316" s="182"/>
      <c r="BZ316" s="98"/>
      <c r="CA316" s="182"/>
      <c r="CB316" s="98"/>
      <c r="CC316" s="182"/>
      <c r="CD316" s="98"/>
      <c r="CE316" s="182"/>
      <c r="CF316" s="98"/>
      <c r="CG316" s="182"/>
      <c r="CH316" s="98"/>
      <c r="CI316" s="182"/>
      <c r="CJ316" s="98"/>
      <c r="CK316" s="182"/>
      <c r="CL316" s="98"/>
      <c r="CM316" s="101">
        <v>4</v>
      </c>
      <c r="CN316" s="98" t="str">
        <f>IF(ISERROR((CM316/CE316-1)*100),"NA",IF(((CM316/CE316-1)*100)&gt;100,"NM",IF(((CM316/CE316-1)*100)&lt;-50,"NM",(CM316/CE316-1)*100)))</f>
        <v>NA</v>
      </c>
      <c r="CO316" s="101">
        <v>2</v>
      </c>
      <c r="CP316" s="98" t="str">
        <f>IF(ISERROR((CO316/CG316-1)*100),"NA",IF(((CO316/CG316-1)*100)&gt;100,"NM",IF(((CO316/CG316-1)*100)&lt;-50,"NM",(CO316/CG316-1)*100)))</f>
        <v>NA</v>
      </c>
      <c r="CQ316" s="542">
        <v>8</v>
      </c>
      <c r="CR316" s="98" t="str">
        <f>IF(ISERROR((CQ316/CI316-1)*100),"NA",IF(((CQ316/CI316-1)*100)&gt;100,"NM",IF(((CQ316/CI316-1)*100)&lt;-50,"NM",(CQ316/CI316-1)*100)))</f>
        <v>NA</v>
      </c>
      <c r="CS316" s="101">
        <v>1</v>
      </c>
      <c r="CT316" s="98" t="str">
        <f>IF(ISERROR((CS316/CK316-1)*100),"NA",IF(((CS316/CK316-1)*100)&gt;100,"NM",IF(((CS316/CK316-1)*100)&lt;-50,"NM",(CS316/CK316-1)*100)))</f>
        <v>NA</v>
      </c>
      <c r="CU316" s="101">
        <v>5</v>
      </c>
      <c r="CV316" s="98">
        <f>IF(ISERROR((CU316/CM316-1)*100),"NA",IF(((CU316/CM316-1)*100)&gt;100,"NM",IF(((CU316/CM316-1)*100)&lt;-50,"NM",(CU316/CM316-1)*100)))</f>
        <v>25</v>
      </c>
      <c r="CW316" s="101">
        <v>3</v>
      </c>
      <c r="CX316" s="98">
        <f>IF(ISERROR((CW316/CO316-1)*100),"NA",IF(((CW316/CO316-1)*100)&gt;100,"NM",IF(((CW316/CO316-1)*100)&lt;-50,"NM",(CW316/CO316-1)*100)))</f>
        <v>50</v>
      </c>
      <c r="CY316" s="101">
        <v>3</v>
      </c>
      <c r="CZ316" s="98" t="str">
        <f>IF(ISERROR((CY316/CQ316-1)*100),"NA",IF(((CY316/CQ316-1)*100)&gt;100,"NM",IF(((CY316/CQ316-1)*100)&lt;-50,"NM",(CY316/CQ316-1)*100)))</f>
        <v>NM</v>
      </c>
      <c r="DA316" s="101">
        <v>5</v>
      </c>
      <c r="DB316" s="98" t="str">
        <f>IF(ISERROR((DA316/CS316-1)*100),"NA",IF(((DA316/CS316-1)*100)&gt;100,"NM",IF(((DA316/CS316-1)*100)&lt;-50,"NM",(DA316/CS316-1)*100)))</f>
        <v>NM</v>
      </c>
      <c r="DC316" s="101">
        <v>4</v>
      </c>
      <c r="DD316" s="98">
        <f>IF(ISERROR((DC316/CU316-1)*100),"NA",IF(((DC316/CU316-1)*100)&gt;100,"NM",IF(((DC316/CU316-1)*100)&lt;-50,"NM",(DC316/CU316-1)*100)))</f>
        <v>-19.999999999999996</v>
      </c>
      <c r="DE316" s="101">
        <v>5</v>
      </c>
      <c r="DF316" s="98">
        <f>IF(ISERROR((DE316/CW316-1)*100),"NA",IF(((DE316/CW316-1)*100)&gt;100,"NM",IF(((DE316/CW316-1)*100)&lt;-50,"NM",(DE316/CW316-1)*100)))</f>
        <v>66.666666666666671</v>
      </c>
      <c r="DG316" s="101">
        <v>0</v>
      </c>
      <c r="DH316" s="98" t="str">
        <f>IF(ISERROR((DG316/CY316-1)*100),"NA",IF(((DG316/CY316-1)*100)&gt;100,"NM",IF(((DG316/CY316-1)*100)&lt;-50,"NM",(DG316/CY316-1)*100)))</f>
        <v>NM</v>
      </c>
      <c r="DI316" s="101">
        <v>14</v>
      </c>
      <c r="DJ316" s="98" t="str">
        <f>IF(ISERROR((DI316/DA316-1)*100),"NA",IF(((DI316/DA316-1)*100)&gt;100,"NM",IF(((DI316/DA316-1)*100)&lt;-50,"NM",(DI316/DA316-1)*100)))</f>
        <v>NM</v>
      </c>
      <c r="DK316" s="101">
        <v>7</v>
      </c>
      <c r="DL316" s="98">
        <f>IF(ISERROR((DK316/DC316-1)*100),"NA",IF(((DK316/DC316-1)*100)&gt;100,"NM",IF(((DK316/DC316-1)*100)&lt;-50,"NM",(DK316/DC316-1)*100)))</f>
        <v>75</v>
      </c>
      <c r="DM316" s="101">
        <v>9</v>
      </c>
      <c r="DN316" s="98">
        <f>IF(ISERROR((DM316/DE316-1)*100),"NA",IF(((DM316/DE316-1)*100)&gt;100,"NM",IF(((DM316/DE316-1)*100)&lt;-50,"NM",(DM316/DE316-1)*100)))</f>
        <v>80</v>
      </c>
      <c r="DO316" s="101">
        <v>7</v>
      </c>
      <c r="DP316" s="98" t="str">
        <f>IF(ISERROR((DO316/DG316-1)*100),"NA",IF(((DO316/DG316-1)*100)&gt;100,"NM",IF(((DO316/DG316-1)*100)&lt;-50,"NM",(DO316/DG316-1)*100)))</f>
        <v>NA</v>
      </c>
      <c r="DQ316" s="101">
        <v>12</v>
      </c>
      <c r="DR316" s="98">
        <f>IF(ISERROR((DQ316/DI316-1)*100),"NA",IF(((DQ316/DI316-1)*100)&gt;100,"NM",IF(((DQ316/DI316-1)*100)&lt;-50,"NM",(DQ316/DI316-1)*100)))</f>
        <v>-14.28571428571429</v>
      </c>
      <c r="DS316" s="101">
        <v>10</v>
      </c>
      <c r="DT316" s="98">
        <f>IF(ISERROR((DS316/DK316-1)*100),"NA",IF(((DS316/DK316-1)*100)&gt;100,"NM",IF(((DS316/DK316-1)*100)&lt;-50,"NM",(DS316/DK316-1)*100)))</f>
        <v>42.857142857142861</v>
      </c>
      <c r="DU316" s="101">
        <v>7</v>
      </c>
      <c r="DV316" s="98">
        <f>IF(ISERROR((DU316/DM316-1)*100),"NA",IF(((DU316/DM316-1)*100)&gt;100,"NM",IF(((DU316/DM316-1)*100)&lt;-50,"NM",(DU316/DM316-1)*100)))</f>
        <v>-22.222222222222221</v>
      </c>
      <c r="DW316" s="101">
        <v>10</v>
      </c>
      <c r="DX316" s="98">
        <f>IF(ISERROR((DW316/DO316-1)*100),"NA",IF(((DW316/DO316-1)*100)&gt;100,"NM",IF(((DW316/DO316-1)*100)&lt;-50,"NM",(DW316/DO316-1)*100)))</f>
        <v>42.857142857142861</v>
      </c>
      <c r="DY316" s="101">
        <v>14</v>
      </c>
      <c r="DZ316" s="98">
        <f>IF(ISERROR((DY316/DQ316-1)*100),"NA",IF(((DY316/DQ316-1)*100)&gt;100,"NM",IF(((DY316/DQ316-1)*100)&lt;-50,"NM",(DY316/DQ316-1)*100)))</f>
        <v>16.666666666666675</v>
      </c>
      <c r="EA316" s="101">
        <v>7</v>
      </c>
      <c r="EB316" s="98">
        <f>IF(ISERROR((EA316/DS316-1)*100),"NA",IF(((EA316/DS316-1)*100)&gt;100,"NM",IF(((EA316/DS316-1)*100)&lt;-50,"NM",(EA316/DS316-1)*100)))</f>
        <v>-30.000000000000004</v>
      </c>
      <c r="EC316" s="101">
        <v>8</v>
      </c>
      <c r="ED316" s="98">
        <f>IF(ISERROR((EC316/DU316-1)*100),"NA",IF(((EC316/DU316-1)*100)&gt;100,"NM",IF(((EC316/DU316-1)*100)&lt;-50,"NM",(EC316/DU316-1)*100)))</f>
        <v>14.285714285714279</v>
      </c>
      <c r="EE316" s="101">
        <v>11</v>
      </c>
      <c r="EF316" s="860">
        <f>IF(ISERROR((EE316/DW316-1)*100),"NA",IF(((EE316/DW316-1)*100)&gt;100,"NM",IF(((EE316/DW316-1)*100)&lt;-50,"NM",(EE316/DW316-1)*100)))</f>
        <v>10.000000000000009</v>
      </c>
      <c r="EG316" s="101">
        <v>8</v>
      </c>
      <c r="EH316" s="860">
        <f>IF(ISERROR((EG316/DY316-1)*100),"NA",IF(((EG316/DY316-1)*100)&gt;100,"NM",IF(((EG316/DY316-1)*100)&lt;-50,"NM",(EG316/DY316-1)*100)))</f>
        <v>-42.857142857142861</v>
      </c>
      <c r="EI316" s="101">
        <v>9</v>
      </c>
      <c r="EJ316" s="860">
        <f t="shared" si="1639"/>
        <v>28.57142857142858</v>
      </c>
      <c r="EK316" s="101">
        <v>8</v>
      </c>
      <c r="EL316" s="860">
        <f t="shared" si="1640"/>
        <v>0</v>
      </c>
      <c r="EM316" s="101">
        <v>7</v>
      </c>
      <c r="EN316" s="860">
        <f t="shared" si="1641"/>
        <v>-36.363636363636367</v>
      </c>
      <c r="EO316" s="101">
        <v>8</v>
      </c>
      <c r="EP316" s="98">
        <f t="shared" si="1642"/>
        <v>0</v>
      </c>
      <c r="EQ316" s="952">
        <f t="shared" si="1650"/>
        <v>8.1199999999999992</v>
      </c>
      <c r="ER316" s="98">
        <f t="shared" si="1643"/>
        <v>-9.7777777777777857</v>
      </c>
      <c r="ES316" s="952">
        <f t="shared" si="1644"/>
        <v>8.2417999999999978</v>
      </c>
      <c r="ET316" s="98">
        <f t="shared" si="1645"/>
        <v>3.0224999999999724</v>
      </c>
      <c r="EU316" s="952">
        <f t="shared" si="1646"/>
        <v>8.3654269999999968</v>
      </c>
      <c r="EV316" s="98">
        <f t="shared" si="1647"/>
        <v>19.506099999999947</v>
      </c>
      <c r="EW316" s="952">
        <f t="shared" si="1648"/>
        <v>8.4909084049999954</v>
      </c>
      <c r="EX316" s="98">
        <f t="shared" si="1649"/>
        <v>6.136355062499943</v>
      </c>
      <c r="EY316" s="282"/>
      <c r="EZ316" s="594"/>
      <c r="FA316" s="405"/>
      <c r="FB316" s="279"/>
      <c r="FC316" s="98"/>
      <c r="FD316" s="278"/>
      <c r="FE316" s="98"/>
      <c r="FF316" s="279"/>
      <c r="FG316" s="98"/>
      <c r="FH316" s="279"/>
      <c r="FI316" s="98"/>
      <c r="FJ316" s="282"/>
      <c r="FK316" s="98"/>
      <c r="FL316" s="282"/>
      <c r="FM316" s="98"/>
      <c r="FN316" s="282"/>
      <c r="FO316" s="98"/>
      <c r="FP316" s="282"/>
      <c r="FQ316" s="98"/>
      <c r="FR316" s="283"/>
      <c r="FS316" s="120"/>
      <c r="FT316" s="283"/>
      <c r="FU316" s="120"/>
      <c r="FV316" s="283"/>
      <c r="FW316" s="98"/>
      <c r="FX316" s="520"/>
      <c r="FY316" s="98"/>
      <c r="FZ316" s="283"/>
      <c r="GA316" s="98"/>
      <c r="GB316" s="495">
        <f>CM316+CO316+CQ316+CS316</f>
        <v>15</v>
      </c>
      <c r="GC316" s="98" t="str">
        <f>IF(ISERROR((GB316/FZ316-1)*100),"NA",IF(((GB316/FZ316-1)*100)&gt;100,"NM",IF(((GB316/FZ316-1)*100)&lt;-50,"NM",(GB316/FZ316-1)*100)))</f>
        <v>NA</v>
      </c>
      <c r="GD316" s="160">
        <f>CU316+CW316+CY316+DA316</f>
        <v>16</v>
      </c>
      <c r="GE316" s="98">
        <f>IF(ISERROR((GD316/GB316-1)*100),"NA",IF(((GD316/GB316-1)*100)&gt;100,"NM",IF(((GD316/GB316-1)*100)&lt;-50,"NM",(GD316/GB316-1)*100)))</f>
        <v>6.6666666666666652</v>
      </c>
      <c r="GF316" s="160">
        <f>DC316+DE316+DG316+DI316</f>
        <v>23</v>
      </c>
      <c r="GG316" s="98">
        <f>IF(ISERROR((GF316/GD316-1)*100),"NA",IF(((GF316/GD316-1)*100)&gt;100,"NM",IF(((GF316/GD316-1)*100)&lt;-50,"NM",(GF316/GD316-1)*100)))</f>
        <v>43.75</v>
      </c>
      <c r="GH316" s="160">
        <f>DK316+DM316+DO316+DQ316</f>
        <v>35</v>
      </c>
      <c r="GI316" s="98">
        <f>IF(ISERROR((GH316/GF316-1)*100),"NA",IF(((GH316/GF316-1)*100)&gt;100,"NM",IF(((GH316/GF316-1)*100)&lt;-50,"NM",(GH316/GF316-1)*100)))</f>
        <v>52.173913043478272</v>
      </c>
      <c r="GJ316" s="160">
        <f>DS316+DU316+DW316+DY316</f>
        <v>41</v>
      </c>
      <c r="GK316" s="98">
        <f>IF(ISERROR((GJ316/GH316-1)*100),"NA",IF(((GJ316/GH316-1)*100)&gt;100,"NM",IF(((GJ316/GH316-1)*100)&lt;-50,"NM",(GJ316/GH316-1)*100)))</f>
        <v>17.142857142857149</v>
      </c>
      <c r="GL316" s="160">
        <f>EA316+EC316+EE316+EG316</f>
        <v>34</v>
      </c>
      <c r="GM316" s="98">
        <f>IF(ISERROR((GL316/GJ316-1)*100),"NA",IF(((GL316/GJ316-1)*100)&gt;100,"NM",IF(((GL316/GJ316-1)*100)&lt;-50,"NM",(GL316/GJ316-1)*100)))</f>
        <v>-17.073170731707322</v>
      </c>
      <c r="GN316" s="160">
        <f>EI316+EK316+EM316+EO316</f>
        <v>32</v>
      </c>
      <c r="GO316" s="98">
        <f>IF(ISERROR((GN316/GL316-1)*100),"NA",IF(((GN316/GL316-1)*100)&gt;100,"NM",IF(((GN316/GL316-1)*100)&lt;-50,"NM",(GN316/GL316-1)*100)))</f>
        <v>-5.8823529411764719</v>
      </c>
      <c r="GP316" s="160">
        <f>EQ316+ES316+EU316+EW316</f>
        <v>33.218135404999984</v>
      </c>
      <c r="GQ316" s="98">
        <f>IF(ISERROR((GP316/GN316-1)*100),"NA",IF(((GP316/GN316-1)*100)&gt;100,"NM",IF(((GP316/GN316-1)*100)&lt;-50,"NM",(GP316/GN316-1)*100)))</f>
        <v>3.8066731406249499</v>
      </c>
      <c r="GR316" s="121">
        <f>GP316*1.06</f>
        <v>35.211223529299986</v>
      </c>
      <c r="GS316" s="98">
        <f>IF(ISERROR((GR316/GP316-1)*100),"NA",IF(((GR316/GP316-1)*100)&gt;100,"NM",IF(((GR316/GP316-1)*100)&lt;-50,"NM",(GR316/GP316-1)*100)))</f>
        <v>6.0000000000000053</v>
      </c>
      <c r="GT316" s="121">
        <f>GR316*1.06</f>
        <v>37.323896941057988</v>
      </c>
      <c r="GU316" s="98">
        <f>IF(ISERROR((GT316/GR316-1)*100),"NA",IF(((GT316/GR316-1)*100)&gt;100,"NM",IF(((GT316/GR316-1)*100)&lt;-50,"NM",(GT316/GR316-1)*100)))</f>
        <v>6.0000000000000053</v>
      </c>
      <c r="GV316" s="121">
        <f>GT316*1.06</f>
        <v>39.56333075752147</v>
      </c>
      <c r="GW316" s="98">
        <f>IF(ISERROR((GV316/GT316-1)*100),"NA",IF(((GV316/GT316-1)*100)&gt;100,"NM",IF(((GV316/GT316-1)*100)&lt;-50,"NM",(GV316/GT316-1)*100)))</f>
        <v>6.0000000000000053</v>
      </c>
      <c r="GX316" s="121">
        <f>GV316*1.06</f>
        <v>41.937130602972758</v>
      </c>
      <c r="GY316" s="98">
        <f>IF(ISERROR((GX316/GV316-1)*100),"NA",IF(((GX316/GV316-1)*100)&gt;100,"NM",IF(((GX316/GV316-1)*100)&lt;-50,"NM",(GX316/GV316-1)*100)))</f>
        <v>6.0000000000000053</v>
      </c>
      <c r="GZ316" s="98">
        <f>IF(ISERROR(((GX316/GN316)^0.2-1)*100),"NA",IF((((GX316/GN316)^0.2-1)*100)&gt;100,"NM",IF((((GX316/GN316)^0.2-1)*100)&lt;-50,"NM",((GX316/GN316)^0.2-1)*100)))</f>
        <v>5.5576581854699603</v>
      </c>
      <c r="HA316" s="98"/>
      <c r="HB316" s="10"/>
      <c r="HC316"/>
      <c r="HD316"/>
      <c r="HE316"/>
      <c r="HF316"/>
      <c r="HG316"/>
      <c r="HH316"/>
      <c r="HI316" s="10"/>
    </row>
    <row r="317" spans="2:217" s="2" customFormat="1" ht="12.75" customHeight="1" x14ac:dyDescent="0.2">
      <c r="B317" s="131" t="s">
        <v>513</v>
      </c>
      <c r="C317" s="117"/>
      <c r="D317" s="98"/>
      <c r="E317" s="117"/>
      <c r="F317" s="98"/>
      <c r="G317" s="117"/>
      <c r="H317" s="98"/>
      <c r="I317" s="117"/>
      <c r="J317" s="98"/>
      <c r="K317" s="117"/>
      <c r="L317" s="98"/>
      <c r="M317" s="117"/>
      <c r="N317" s="98"/>
      <c r="O317" s="117"/>
      <c r="P317" s="98"/>
      <c r="Q317" s="117"/>
      <c r="R317" s="98"/>
      <c r="S317" s="182"/>
      <c r="T317" s="98"/>
      <c r="U317" s="182"/>
      <c r="V317" s="98"/>
      <c r="W317" s="182"/>
      <c r="X317" s="98"/>
      <c r="Y317" s="182"/>
      <c r="Z317" s="98"/>
      <c r="AA317" s="182"/>
      <c r="AB317" s="98"/>
      <c r="AC317" s="182"/>
      <c r="AD317" s="98"/>
      <c r="AE317" s="182"/>
      <c r="AF317" s="98"/>
      <c r="AG317" s="182"/>
      <c r="AH317" s="98"/>
      <c r="AI317" s="182"/>
      <c r="AJ317" s="98"/>
      <c r="AK317" s="182"/>
      <c r="AL317" s="98"/>
      <c r="AM317" s="182"/>
      <c r="AN317" s="98"/>
      <c r="AO317" s="182"/>
      <c r="AP317" s="98"/>
      <c r="AQ317" s="182"/>
      <c r="AR317" s="98"/>
      <c r="AS317" s="182"/>
      <c r="AT317" s="98"/>
      <c r="AU317" s="182"/>
      <c r="AV317" s="98"/>
      <c r="AW317" s="182"/>
      <c r="AX317" s="98"/>
      <c r="AY317" s="182"/>
      <c r="AZ317" s="98"/>
      <c r="BA317" s="182"/>
      <c r="BB317" s="98"/>
      <c r="BC317" s="182"/>
      <c r="BD317" s="98"/>
      <c r="BE317" s="182"/>
      <c r="BF317" s="98"/>
      <c r="BG317" s="182"/>
      <c r="BH317" s="98"/>
      <c r="BI317" s="182"/>
      <c r="BJ317" s="98"/>
      <c r="BK317" s="182"/>
      <c r="BL317" s="98"/>
      <c r="BM317" s="182"/>
      <c r="BN317" s="98"/>
      <c r="BO317" s="182"/>
      <c r="BP317" s="98"/>
      <c r="BQ317" s="182"/>
      <c r="BR317" s="98"/>
      <c r="BS317" s="182"/>
      <c r="BT317" s="98"/>
      <c r="BU317" s="182"/>
      <c r="BV317" s="98"/>
      <c r="BW317" s="182"/>
      <c r="BX317" s="98"/>
      <c r="BY317" s="182"/>
      <c r="BZ317" s="98"/>
      <c r="CA317" s="182"/>
      <c r="CB317" s="98"/>
      <c r="CC317" s="182"/>
      <c r="CD317" s="98"/>
      <c r="CE317" s="182"/>
      <c r="CF317" s="98"/>
      <c r="CG317" s="182"/>
      <c r="CH317" s="98"/>
      <c r="CI317" s="182"/>
      <c r="CJ317" s="98"/>
      <c r="CK317" s="182"/>
      <c r="CL317" s="98"/>
      <c r="CM317" s="182">
        <f>+CM316+CM315+CM314+CM313</f>
        <v>953</v>
      </c>
      <c r="CN317" s="98" t="str">
        <f>IF(ISERROR((CM317/CE317-1)*100),"NA",IF(((CM317/CE317-1)*100)&gt;100,"NM",IF(((CM317/CE317-1)*100)&lt;-50,"NM",(CM317/CE317-1)*100)))</f>
        <v>NA</v>
      </c>
      <c r="CO317" s="182">
        <f>+CO316+CO315+CO314+CO313</f>
        <v>1115</v>
      </c>
      <c r="CP317" s="98" t="str">
        <f>IF(ISERROR((CO317/CG317-1)*100),"NA",IF(((CO317/CG317-1)*100)&gt;100,"NM",IF(((CO317/CG317-1)*100)&lt;-50,"NM",(CO317/CG317-1)*100)))</f>
        <v>NA</v>
      </c>
      <c r="CQ317" s="512">
        <f>+CQ316+CQ315+CQ314+CQ313</f>
        <v>1157</v>
      </c>
      <c r="CR317" s="98" t="str">
        <f>IF(ISERROR((CQ317/CI317-1)*100),"NA",IF(((CQ317/CI317-1)*100)&gt;100,"NM",IF(((CQ317/CI317-1)*100)&lt;-50,"NM",(CQ317/CI317-1)*100)))</f>
        <v>NA</v>
      </c>
      <c r="CS317" s="182">
        <f>+CS316+CS315+CS314+CS313</f>
        <v>1086</v>
      </c>
      <c r="CT317" s="98" t="str">
        <f>IF(ISERROR((CS317/CK317-1)*100),"NA",IF(((CS317/CK317-1)*100)&gt;100,"NM",IF(((CS317/CK317-1)*100)&lt;-50,"NM",(CS317/CK317-1)*100)))</f>
        <v>NA</v>
      </c>
      <c r="CU317" s="182">
        <f>+CU316+CU315+CU314+CU313</f>
        <v>1186</v>
      </c>
      <c r="CV317" s="98">
        <f>IF(ISERROR((CU317/CM317-1)*100),"NA",IF(((CU317/CM317-1)*100)&gt;100,"NM",IF(((CU317/CM317-1)*100)&lt;-50,"NM",(CU317/CM317-1)*100)))</f>
        <v>24.449108079748161</v>
      </c>
      <c r="CW317" s="182">
        <f>+CW316+CW315+CW314+CW313</f>
        <v>1134</v>
      </c>
      <c r="CX317" s="98">
        <f>IF(ISERROR((CW317/CO317-1)*100),"NA",IF(((CW317/CO317-1)*100)&gt;100,"NM",IF(((CW317/CO317-1)*100)&lt;-50,"NM",(CW317/CO317-1)*100)))</f>
        <v>1.7040358744394579</v>
      </c>
      <c r="CY317" s="182">
        <f>+CY316+CY315+CY314+CY313</f>
        <v>1101</v>
      </c>
      <c r="CZ317" s="98">
        <f>IF(ISERROR((CY317/CQ317-1)*100),"NA",IF(((CY317/CQ317-1)*100)&gt;100,"NM",IF(((CY317/CQ317-1)*100)&lt;-50,"NM",(CY317/CQ317-1)*100)))</f>
        <v>-4.8401037165082155</v>
      </c>
      <c r="DA317" s="182">
        <f>+DA316+DA315+DA314+DA313</f>
        <v>1156</v>
      </c>
      <c r="DB317" s="98">
        <f>IF(ISERROR((DA317/CS317-1)*100),"NA",IF(((DA317/CS317-1)*100)&gt;100,"NM",IF(((DA317/CS317-1)*100)&lt;-50,"NM",(DA317/CS317-1)*100)))</f>
        <v>6.4456721915285398</v>
      </c>
      <c r="DC317" s="182">
        <f>+DC316+DC315+DC314+DC313</f>
        <v>1181</v>
      </c>
      <c r="DD317" s="98">
        <f>IF(ISERROR((DC317/CU317-1)*100),"NA",IF(((DC317/CU317-1)*100)&gt;100,"NM",IF(((DC317/CU317-1)*100)&lt;-50,"NM",(DC317/CU317-1)*100)))</f>
        <v>-0.42158516020236458</v>
      </c>
      <c r="DE317" s="182">
        <f>+DE316+DE315+DE314+DE313</f>
        <v>1231</v>
      </c>
      <c r="DF317" s="98">
        <f>IF(ISERROR((DE317/CW317-1)*100),"NA",IF(((DE317/CW317-1)*100)&gt;100,"NM",IF(((DE317/CW317-1)*100)&lt;-50,"NM",(DE317/CW317-1)*100)))</f>
        <v>8.5537918871252181</v>
      </c>
      <c r="DG317" s="182">
        <f>+DG316+DG315+DG314+DG313</f>
        <v>1268</v>
      </c>
      <c r="DH317" s="98">
        <f>IF(ISERROR((DG317/CY317-1)*100),"NA",IF(((DG317/CY317-1)*100)&gt;100,"NM",IF(((DG317/CY317-1)*100)&lt;-50,"NM",(DG317/CY317-1)*100)))</f>
        <v>15.16802906448682</v>
      </c>
      <c r="DI317" s="182">
        <f>+DI316+DI315+DI314+DI313</f>
        <v>1404</v>
      </c>
      <c r="DJ317" s="98">
        <f>IF(ISERROR((DI317/DA317-1)*100),"NA",IF(((DI317/DA317-1)*100)&gt;100,"NM",IF(((DI317/DA317-1)*100)&lt;-50,"NM",(DI317/DA317-1)*100)))</f>
        <v>21.45328719723183</v>
      </c>
      <c r="DK317" s="182">
        <f>+DK316+DK315+DK314+DK313</f>
        <v>1298</v>
      </c>
      <c r="DL317" s="98">
        <f>IF(ISERROR((DK317/DC317-1)*100),"NA",IF(((DK317/DC317-1)*100)&gt;100,"NM",IF(((DK317/DC317-1)*100)&lt;-50,"NM",(DK317/DC317-1)*100)))</f>
        <v>9.9068585944115171</v>
      </c>
      <c r="DM317" s="182">
        <f>+DM316+DM315+DM314+DM313</f>
        <v>1425</v>
      </c>
      <c r="DN317" s="98">
        <f>IF(ISERROR((DM317/DE317-1)*100),"NA",IF(((DM317/DE317-1)*100)&gt;100,"NM",IF(((DM317/DE317-1)*100)&lt;-50,"NM",(DM317/DE317-1)*100)))</f>
        <v>15.759545085296512</v>
      </c>
      <c r="DO317" s="182">
        <f>+DO316+DO315+DO314+DO313</f>
        <v>1464</v>
      </c>
      <c r="DP317" s="98">
        <f>IF(ISERROR((DO317/DG317-1)*100),"NA",IF(((DO317/DG317-1)*100)&gt;100,"NM",IF(((DO317/DG317-1)*100)&lt;-50,"NM",(DO317/DG317-1)*100)))</f>
        <v>15.457413249211349</v>
      </c>
      <c r="DQ317" s="182">
        <f>+DQ316+DQ315+DQ314+DQ313</f>
        <v>1355</v>
      </c>
      <c r="DR317" s="98">
        <f>IF(ISERROR((DQ317/DI317-1)*100),"NA",IF(((DQ317/DI317-1)*100)&gt;100,"NM",IF(((DQ317/DI317-1)*100)&lt;-50,"NM",(DQ317/DI317-1)*100)))</f>
        <v>-3.490028490028485</v>
      </c>
      <c r="DS317" s="182">
        <f>+DS316+DS315+DS314+DS313</f>
        <v>1153</v>
      </c>
      <c r="DT317" s="98">
        <f>IF(ISERROR((DS317/DK317-1)*100),"NA",IF(((DS317/DK317-1)*100)&gt;100,"NM",IF(((DS317/DK317-1)*100)&lt;-50,"NM",(DS317/DK317-1)*100)))</f>
        <v>-11.171032357473031</v>
      </c>
      <c r="DU317" s="182">
        <f>+DU316+DU315+DU314+DU313</f>
        <v>1295</v>
      </c>
      <c r="DV317" s="98">
        <f>IF(ISERROR((DU317/DM317-1)*100),"NA",IF(((DU317/DM317-1)*100)&gt;100,"NM",IF(((DU317/DM317-1)*100)&lt;-50,"NM",(DU317/DM317-1)*100)))</f>
        <v>-9.1228070175438543</v>
      </c>
      <c r="DW317" s="182">
        <f>+DW316+DW315+DW314+DW313</f>
        <v>1134</v>
      </c>
      <c r="DX317" s="98">
        <f>IF(ISERROR((DW317/DO317-1)*100),"NA",IF(((DW317/DO317-1)*100)&gt;100,"NM",IF(((DW317/DO317-1)*100)&lt;-50,"NM",(DW317/DO317-1)*100)))</f>
        <v>-22.540983606557376</v>
      </c>
      <c r="DY317" s="182">
        <f>+DY316+DY315+DY314+DY313</f>
        <v>1195</v>
      </c>
      <c r="DZ317" s="98">
        <f>IF(ISERROR((DY317/DQ317-1)*100),"NA",IF(((DY317/DQ317-1)*100)&gt;100,"NM",IF(((DY317/DQ317-1)*100)&lt;-50,"NM",(DY317/DQ317-1)*100)))</f>
        <v>-11.808118081180808</v>
      </c>
      <c r="EA317" s="182">
        <f>+EA316+EA315+EA314+EA313</f>
        <v>1131</v>
      </c>
      <c r="EB317" s="98">
        <f>IF(ISERROR((EA317/DS317-1)*100),"NA",IF(((EA317/DS317-1)*100)&gt;100,"NM",IF(((EA317/DS317-1)*100)&lt;-50,"NM",(EA317/DS317-1)*100)))</f>
        <v>-1.9080659150043311</v>
      </c>
      <c r="EC317" s="182">
        <f>+EC316+EC315+EC314+EC313</f>
        <v>1151</v>
      </c>
      <c r="ED317" s="98">
        <f>IF(ISERROR((EC317/DU317-1)*100),"NA",IF(((EC317/DU317-1)*100)&gt;100,"NM",IF(((EC317/DU317-1)*100)&lt;-50,"NM",(EC317/DU317-1)*100)))</f>
        <v>-11.119691119691122</v>
      </c>
      <c r="EE317" s="182">
        <f>+EE316+EE315+EE314+EE313</f>
        <v>1202</v>
      </c>
      <c r="EF317" s="860">
        <f>IF(ISERROR((EE317/DW317-1)*100),"NA",IF(((EE317/DW317-1)*100)&gt;100,"NM",IF(((EE317/DW317-1)*100)&lt;-50,"NM",(EE317/DW317-1)*100)))</f>
        <v>5.9964726631393406</v>
      </c>
      <c r="EG317" s="182">
        <f>+EG316+EG315+EG314+EG313</f>
        <v>1188</v>
      </c>
      <c r="EH317" s="860">
        <f>IF(ISERROR((EG317/DY317-1)*100),"NA",IF(((EG317/DY317-1)*100)&gt;100,"NM",IF(((EG317/DY317-1)*100)&lt;-50,"NM",(EG317/DY317-1)*100)))</f>
        <v>-0.58577405857740406</v>
      </c>
      <c r="EI317" s="182">
        <f>+EI316+EI315+EI314+EI313</f>
        <v>1219</v>
      </c>
      <c r="EJ317" s="860">
        <f t="shared" si="1639"/>
        <v>7.78072502210434</v>
      </c>
      <c r="EK317" s="182">
        <f>+EK316+EK315+EK314+EK313</f>
        <v>1217</v>
      </c>
      <c r="EL317" s="860">
        <f t="shared" si="1640"/>
        <v>5.7341442224152939</v>
      </c>
      <c r="EM317" s="182">
        <f>+EM316+EM315+EM314+EM313</f>
        <v>1236</v>
      </c>
      <c r="EN317" s="860">
        <f t="shared" si="1641"/>
        <v>2.8286189683860208</v>
      </c>
      <c r="EO317" s="182">
        <f>+EO316+EO315+EO314+EO313</f>
        <v>1316</v>
      </c>
      <c r="EP317" s="98">
        <f t="shared" si="1642"/>
        <v>10.77441077441077</v>
      </c>
      <c r="EQ317" s="795">
        <f t="shared" ref="EQ317" si="1651">+EQ316+EQ315+EQ314+EQ313</f>
        <v>1335.7399999999998</v>
      </c>
      <c r="ER317" s="98">
        <f t="shared" si="1643"/>
        <v>9.5767022149302541</v>
      </c>
      <c r="ES317" s="795">
        <f t="shared" ref="ES317" si="1652">+ES316+ES315+ES314+ES313</f>
        <v>1355.7760999999996</v>
      </c>
      <c r="ET317" s="98">
        <f t="shared" si="1645"/>
        <v>11.403130649137182</v>
      </c>
      <c r="EU317" s="795">
        <f t="shared" ref="EU317" si="1653">+EU316+EU315+EU314+EU313</f>
        <v>1376.1127414999996</v>
      </c>
      <c r="EV317" s="98">
        <f t="shared" si="1647"/>
        <v>11.335982322006434</v>
      </c>
      <c r="EW317" s="795">
        <f t="shared" ref="EW317" si="1654">+EW316+EW315+EW314+EW313</f>
        <v>1396.7544326224993</v>
      </c>
      <c r="EX317" s="98">
        <f t="shared" si="1649"/>
        <v>6.136355062499943</v>
      </c>
      <c r="EY317" s="282"/>
      <c r="EZ317" s="594"/>
      <c r="FA317" s="405"/>
      <c r="FB317" s="279"/>
      <c r="FC317" s="98"/>
      <c r="FD317" s="278"/>
      <c r="FE317" s="98"/>
      <c r="FF317" s="279"/>
      <c r="FG317" s="98"/>
      <c r="FH317" s="279"/>
      <c r="FI317" s="98"/>
      <c r="FJ317" s="282"/>
      <c r="FK317" s="98"/>
      <c r="FL317" s="282"/>
      <c r="FM317" s="98"/>
      <c r="FN317" s="282"/>
      <c r="FO317" s="98"/>
      <c r="FP317" s="282"/>
      <c r="FQ317" s="98"/>
      <c r="FR317" s="283"/>
      <c r="FS317" s="120"/>
      <c r="FT317" s="283"/>
      <c r="FU317" s="120"/>
      <c r="FV317" s="283"/>
      <c r="FW317" s="98"/>
      <c r="FX317" s="520"/>
      <c r="FY317" s="98"/>
      <c r="FZ317" s="283"/>
      <c r="GA317" s="98"/>
      <c r="GB317" s="498">
        <f>+GB316+GB315+GB314+GB313</f>
        <v>4311</v>
      </c>
      <c r="GC317" s="98" t="str">
        <f>IF(ISERROR((GB317/FZ317-1)*100),"NA",IF(((GB317/FZ317-1)*100)&gt;100,"NM",IF(((GB317/FZ317-1)*100)&lt;-50,"NM",(GB317/FZ317-1)*100)))</f>
        <v>NA</v>
      </c>
      <c r="GD317" s="184">
        <f>+GD316+GD315+GD314+GD313</f>
        <v>4577</v>
      </c>
      <c r="GE317" s="98">
        <f>IF(ISERROR((GD317/GB317-1)*100),"NA",IF(((GD317/GB317-1)*100)&gt;100,"NM",IF(((GD317/GB317-1)*100)&lt;-50,"NM",(GD317/GB317-1)*100)))</f>
        <v>6.1702621201577434</v>
      </c>
      <c r="GF317" s="184">
        <f>+GF316+GF315+GF314+GF313</f>
        <v>5084</v>
      </c>
      <c r="GG317" s="98">
        <f>IF(ISERROR((GF317/GD317-1)*100),"NA",IF(((GF317/GD317-1)*100)&gt;100,"NM",IF(((GF317/GD317-1)*100)&lt;-50,"NM",(GF317/GD317-1)*100)))</f>
        <v>11.077124754205814</v>
      </c>
      <c r="GH317" s="184">
        <f>+GH316+GH315+GH314+GH313</f>
        <v>5542</v>
      </c>
      <c r="GI317" s="98">
        <f>IF(ISERROR((GH317/GF317-1)*100),"NA",IF(((GH317/GF317-1)*100)&gt;100,"NM",IF(((GH317/GF317-1)*100)&lt;-50,"NM",(GH317/GF317-1)*100)))</f>
        <v>9.0086546026750582</v>
      </c>
      <c r="GJ317" s="184">
        <f>+GJ316+GJ315+GJ314+GJ313</f>
        <v>4777</v>
      </c>
      <c r="GK317" s="98">
        <f>IF(ISERROR((GJ317/GH317-1)*100),"NA",IF(((GJ317/GH317-1)*100)&gt;100,"NM",IF(((GJ317/GH317-1)*100)&lt;-50,"NM",(GJ317/GH317-1)*100)))</f>
        <v>-13.80368098159509</v>
      </c>
      <c r="GL317" s="184">
        <f>+GL316+GL315+GL314+GL313</f>
        <v>4672</v>
      </c>
      <c r="GM317" s="98">
        <f>IF(ISERROR((GL317/GJ317-1)*100),"NA",IF(((GL317/GJ317-1)*100)&gt;100,"NM",IF(((GL317/GJ317-1)*100)&lt;-50,"NM",(GL317/GJ317-1)*100)))</f>
        <v>-2.1980322378061579</v>
      </c>
      <c r="GN317" s="184">
        <f>+GN316+GN315+GN314+GN313</f>
        <v>4988</v>
      </c>
      <c r="GO317" s="98">
        <f>IF(ISERROR((GN317/GL317-1)*100),"NA",IF(((GN317/GL317-1)*100)&gt;100,"NM",IF(((GN317/GL317-1)*100)&lt;-50,"NM",(GN317/GL317-1)*100)))</f>
        <v>6.7636986301369939</v>
      </c>
      <c r="GP317" s="184">
        <f>+GP316+GP315+GP314+GP313</f>
        <v>5464.3832741224987</v>
      </c>
      <c r="GQ317" s="98">
        <f>IF(ISERROR((GP317/GN317-1)*100),"NA",IF(((GP317/GN317-1)*100)&gt;100,"NM",IF(((GP317/GN317-1)*100)&lt;-50,"NM",(GP317/GN317-1)*100)))</f>
        <v>9.550586890988356</v>
      </c>
      <c r="GR317" s="183">
        <f>+GR316+GR315+GR314+GR313</f>
        <v>5792.246270569849</v>
      </c>
      <c r="GS317" s="98">
        <f>IF(ISERROR((GR317/GP317-1)*100),"NA",IF(((GR317/GP317-1)*100)&gt;100,"NM",IF(((GR317/GP317-1)*100)&lt;-50,"NM",(GR317/GP317-1)*100)))</f>
        <v>6.0000000000000053</v>
      </c>
      <c r="GT317" s="183">
        <f>+GT316+GT315+GT314+GT313</f>
        <v>6139.7810468040407</v>
      </c>
      <c r="GU317" s="98">
        <f>IF(ISERROR((GT317/GR317-1)*100),"NA",IF(((GT317/GR317-1)*100)&gt;100,"NM",IF(((GT317/GR317-1)*100)&lt;-50,"NM",(GT317/GR317-1)*100)))</f>
        <v>6.0000000000000053</v>
      </c>
      <c r="GV317" s="183">
        <f>+GV316+GV315+GV314+GV313</f>
        <v>6508.1679096122825</v>
      </c>
      <c r="GW317" s="98">
        <f>IF(ISERROR((GV317/GT317-1)*100),"NA",IF(((GV317/GT317-1)*100)&gt;100,"NM",IF(((GV317/GT317-1)*100)&lt;-50,"NM",(GV317/GT317-1)*100)))</f>
        <v>5.9999999999999831</v>
      </c>
      <c r="GX317" s="183">
        <f>+GX316+GX315+GX314+GX313</f>
        <v>6898.6579841890207</v>
      </c>
      <c r="GY317" s="98">
        <f>IF(ISERROR((GX317/GV317-1)*100),"NA",IF(((GX317/GV317-1)*100)&gt;100,"NM",IF(((GX317/GV317-1)*100)&lt;-50,"NM",(GX317/GV317-1)*100)))</f>
        <v>6.0000000000000275</v>
      </c>
      <c r="GZ317" s="98">
        <f>IF(ISERROR(((GX317/GN317)^0.2-1)*100),"NA",IF((((GX317/GN317)^0.2-1)*100)&gt;100,"NM",IF((((GX317/GN317)^0.2-1)*100)&lt;-50,"NM",((GX317/GN317)^0.2-1)*100)))</f>
        <v>6.7007897584583143</v>
      </c>
      <c r="HA317" s="98"/>
      <c r="HB317" s="10"/>
      <c r="HC317"/>
      <c r="HD317"/>
      <c r="HE317"/>
      <c r="HF317"/>
      <c r="HG317"/>
      <c r="HH317"/>
      <c r="HI317" s="10"/>
    </row>
    <row r="318" spans="2:217" s="2" customFormat="1" ht="12.75" customHeight="1" x14ac:dyDescent="0.2">
      <c r="B318" s="179"/>
      <c r="C318" s="117"/>
      <c r="D318" s="98"/>
      <c r="E318" s="117"/>
      <c r="F318" s="98"/>
      <c r="G318" s="117"/>
      <c r="H318" s="98"/>
      <c r="I318" s="117"/>
      <c r="J318" s="98"/>
      <c r="K318" s="117"/>
      <c r="L318" s="98"/>
      <c r="M318" s="117"/>
      <c r="N318" s="98"/>
      <c r="O318" s="117"/>
      <c r="P318" s="98"/>
      <c r="Q318" s="117"/>
      <c r="R318" s="98"/>
      <c r="S318" s="182"/>
      <c r="T318" s="98"/>
      <c r="U318" s="182"/>
      <c r="V318" s="98"/>
      <c r="W318" s="182"/>
      <c r="X318" s="98"/>
      <c r="Y318" s="182"/>
      <c r="Z318" s="98"/>
      <c r="AA318" s="182"/>
      <c r="AB318" s="98"/>
      <c r="AC318" s="182"/>
      <c r="AD318" s="98"/>
      <c r="AE318" s="182"/>
      <c r="AF318" s="98"/>
      <c r="AG318" s="182"/>
      <c r="AH318" s="98"/>
      <c r="AI318" s="182"/>
      <c r="AJ318" s="98"/>
      <c r="AK318" s="182"/>
      <c r="AL318" s="98"/>
      <c r="AM318" s="182"/>
      <c r="AN318" s="98"/>
      <c r="AO318" s="182"/>
      <c r="AP318" s="98"/>
      <c r="AQ318" s="182"/>
      <c r="AR318" s="98"/>
      <c r="AS318" s="182"/>
      <c r="AT318" s="98"/>
      <c r="AU318" s="182"/>
      <c r="AV318" s="98"/>
      <c r="AW318" s="182"/>
      <c r="AX318" s="98"/>
      <c r="AY318" s="182"/>
      <c r="AZ318" s="98"/>
      <c r="BA318" s="182"/>
      <c r="BB318" s="98"/>
      <c r="BC318" s="182"/>
      <c r="BD318" s="98"/>
      <c r="BE318" s="182"/>
      <c r="BF318" s="98"/>
      <c r="BG318" s="182"/>
      <c r="BH318" s="98"/>
      <c r="BI318" s="182"/>
      <c r="BJ318" s="98"/>
      <c r="BK318" s="182"/>
      <c r="BL318" s="98"/>
      <c r="BM318" s="182"/>
      <c r="BN318" s="98"/>
      <c r="BO318" s="182"/>
      <c r="BP318" s="98"/>
      <c r="BQ318" s="182"/>
      <c r="BR318" s="98"/>
      <c r="BS318" s="182"/>
      <c r="BT318" s="98"/>
      <c r="BU318" s="182"/>
      <c r="BV318" s="98"/>
      <c r="BW318" s="182"/>
      <c r="BX318" s="98"/>
      <c r="BY318" s="182"/>
      <c r="BZ318" s="98"/>
      <c r="CA318" s="182"/>
      <c r="CB318" s="98"/>
      <c r="CC318" s="182"/>
      <c r="CD318" s="98"/>
      <c r="CE318" s="182"/>
      <c r="CF318" s="98"/>
      <c r="CG318" s="182"/>
      <c r="CH318" s="98"/>
      <c r="CI318" s="182"/>
      <c r="CJ318" s="98"/>
      <c r="CK318" s="182"/>
      <c r="CL318" s="98"/>
      <c r="CM318" s="94"/>
      <c r="CN318" s="113"/>
      <c r="CO318" s="94"/>
      <c r="CP318" s="113"/>
      <c r="CQ318" s="533"/>
      <c r="CR318" s="113"/>
      <c r="CS318" s="94"/>
      <c r="CT318" s="113"/>
      <c r="CU318" s="94"/>
      <c r="CV318" s="113"/>
      <c r="CW318" s="94"/>
      <c r="CX318" s="113"/>
      <c r="CY318" s="94"/>
      <c r="CZ318" s="113"/>
      <c r="DA318" s="94"/>
      <c r="DB318" s="113"/>
      <c r="DC318" s="94"/>
      <c r="DD318" s="113"/>
      <c r="DE318" s="94"/>
      <c r="DF318" s="113"/>
      <c r="DG318" s="94"/>
      <c r="DH318" s="113"/>
      <c r="DI318" s="94"/>
      <c r="DJ318" s="113"/>
      <c r="DK318" s="94"/>
      <c r="DL318" s="113"/>
      <c r="DM318" s="94"/>
      <c r="DN318" s="113"/>
      <c r="DO318" s="94"/>
      <c r="DP318" s="113"/>
      <c r="DQ318" s="94"/>
      <c r="DR318" s="113"/>
      <c r="DS318" s="94"/>
      <c r="DT318" s="113"/>
      <c r="DU318" s="94"/>
      <c r="DV318" s="113"/>
      <c r="DW318" s="94"/>
      <c r="DX318" s="113"/>
      <c r="DY318" s="94"/>
      <c r="DZ318" s="113"/>
      <c r="EA318" s="94"/>
      <c r="EB318" s="113"/>
      <c r="EC318" s="94"/>
      <c r="ED318" s="113"/>
      <c r="EE318" s="94"/>
      <c r="EF318" s="859"/>
      <c r="EG318" s="94"/>
      <c r="EH318" s="859"/>
      <c r="EI318" s="94"/>
      <c r="EJ318" s="859"/>
      <c r="EK318" s="94"/>
      <c r="EL318" s="859"/>
      <c r="EM318" s="94"/>
      <c r="EN318" s="859"/>
      <c r="EO318" s="94"/>
      <c r="EP318" s="113"/>
      <c r="EQ318" s="789"/>
      <c r="ER318" s="113"/>
      <c r="ES318" s="789"/>
      <c r="ET318" s="113"/>
      <c r="EU318" s="789"/>
      <c r="EV318" s="113"/>
      <c r="EW318" s="789"/>
      <c r="EX318" s="113"/>
      <c r="EY318" s="282"/>
      <c r="EZ318" s="594"/>
      <c r="FA318" s="405"/>
      <c r="FB318" s="279"/>
      <c r="FC318" s="98"/>
      <c r="FD318" s="278"/>
      <c r="FE318" s="98"/>
      <c r="FF318" s="279"/>
      <c r="FG318" s="98"/>
      <c r="FH318" s="279"/>
      <c r="FI318" s="98"/>
      <c r="FJ318" s="282"/>
      <c r="FK318" s="98"/>
      <c r="FL318" s="282"/>
      <c r="FM318" s="98"/>
      <c r="FN318" s="282"/>
      <c r="FO318" s="98"/>
      <c r="FP318" s="282"/>
      <c r="FQ318" s="98"/>
      <c r="FR318" s="283"/>
      <c r="FS318" s="120"/>
      <c r="FT318" s="283"/>
      <c r="FU318" s="120"/>
      <c r="FV318" s="283"/>
      <c r="FW318" s="98"/>
      <c r="FX318" s="520"/>
      <c r="FY318" s="98"/>
      <c r="FZ318" s="283"/>
      <c r="GA318" s="98"/>
      <c r="GB318" s="480"/>
      <c r="GC318" s="113"/>
      <c r="GD318" s="96"/>
      <c r="GE318" s="113"/>
      <c r="GF318" s="96"/>
      <c r="GG318" s="98"/>
      <c r="GH318" s="96"/>
      <c r="GI318" s="98"/>
      <c r="GJ318" s="96"/>
      <c r="GK318" s="98"/>
      <c r="GL318" s="96"/>
      <c r="GM318" s="98"/>
      <c r="GN318" s="96"/>
      <c r="GO318" s="98"/>
      <c r="GP318" s="96"/>
      <c r="GQ318" s="98"/>
      <c r="GR318" s="95"/>
      <c r="GS318" s="98"/>
      <c r="GT318" s="95"/>
      <c r="GU318" s="98"/>
      <c r="GV318" s="95"/>
      <c r="GW318" s="98"/>
      <c r="GX318" s="95"/>
      <c r="GY318" s="98"/>
      <c r="GZ318" s="113"/>
      <c r="HA318" s="113"/>
      <c r="HB318" s="10"/>
      <c r="HC318"/>
      <c r="HD318"/>
      <c r="HE318"/>
      <c r="HF318"/>
      <c r="HG318"/>
      <c r="HH318"/>
      <c r="HI318" s="10"/>
    </row>
    <row r="319" spans="2:217" s="2" customFormat="1" ht="12.75" customHeight="1" x14ac:dyDescent="0.2">
      <c r="B319" s="131" t="s">
        <v>553</v>
      </c>
      <c r="C319" s="117"/>
      <c r="D319" s="98"/>
      <c r="E319" s="117"/>
      <c r="F319" s="98"/>
      <c r="G319" s="117"/>
      <c r="H319" s="98"/>
      <c r="I319" s="117"/>
      <c r="J319" s="98"/>
      <c r="K319" s="117"/>
      <c r="L319" s="98"/>
      <c r="M319" s="117"/>
      <c r="N319" s="98"/>
      <c r="O319" s="117"/>
      <c r="P319" s="98"/>
      <c r="Q319" s="117"/>
      <c r="R319" s="98"/>
      <c r="S319" s="182"/>
      <c r="T319" s="98"/>
      <c r="U319" s="182"/>
      <c r="V319" s="98"/>
      <c r="W319" s="182"/>
      <c r="X319" s="98"/>
      <c r="Y319" s="182"/>
      <c r="Z319" s="98"/>
      <c r="AA319" s="182"/>
      <c r="AB319" s="98"/>
      <c r="AC319" s="182"/>
      <c r="AD319" s="98"/>
      <c r="AE319" s="182"/>
      <c r="AF319" s="98"/>
      <c r="AG319" s="182"/>
      <c r="AH319" s="98"/>
      <c r="AI319" s="182"/>
      <c r="AJ319" s="98"/>
      <c r="AK319" s="182"/>
      <c r="AL319" s="98"/>
      <c r="AM319" s="182"/>
      <c r="AN319" s="98"/>
      <c r="AO319" s="182"/>
      <c r="AP319" s="98"/>
      <c r="AQ319" s="182"/>
      <c r="AR319" s="98"/>
      <c r="AS319" s="182"/>
      <c r="AT319" s="98"/>
      <c r="AU319" s="182"/>
      <c r="AV319" s="98"/>
      <c r="AW319" s="182"/>
      <c r="AX319" s="98"/>
      <c r="AY319" s="182"/>
      <c r="AZ319" s="98"/>
      <c r="BA319" s="182"/>
      <c r="BB319" s="98"/>
      <c r="BC319" s="182"/>
      <c r="BD319" s="98"/>
      <c r="BE319" s="182"/>
      <c r="BF319" s="98"/>
      <c r="BG319" s="182"/>
      <c r="BH319" s="98"/>
      <c r="BI319" s="182"/>
      <c r="BJ319" s="98"/>
      <c r="BK319" s="182"/>
      <c r="BL319" s="98"/>
      <c r="BM319" s="182"/>
      <c r="BN319" s="98"/>
      <c r="BO319" s="182"/>
      <c r="BP319" s="98"/>
      <c r="BQ319" s="182"/>
      <c r="BR319" s="98"/>
      <c r="BS319" s="182"/>
      <c r="BT319" s="98"/>
      <c r="BU319" s="182"/>
      <c r="BV319" s="98"/>
      <c r="BW319" s="182"/>
      <c r="BX319" s="98"/>
      <c r="BY319" s="182"/>
      <c r="BZ319" s="98"/>
      <c r="CA319" s="182"/>
      <c r="CB319" s="98"/>
      <c r="CC319" s="182"/>
      <c r="CD319" s="98"/>
      <c r="CE319" s="182"/>
      <c r="CF319" s="98"/>
      <c r="CG319" s="182"/>
      <c r="CH319" s="98"/>
      <c r="CI319" s="182"/>
      <c r="CJ319" s="98"/>
      <c r="CK319" s="182"/>
      <c r="CL319" s="98"/>
      <c r="CM319" s="94"/>
      <c r="CN319" s="113"/>
      <c r="CO319" s="94"/>
      <c r="CP319" s="113"/>
      <c r="CQ319" s="533"/>
      <c r="CR319" s="113"/>
      <c r="CS319" s="94"/>
      <c r="CT319" s="113"/>
      <c r="CU319" s="94"/>
      <c r="CV319" s="113"/>
      <c r="CW319" s="94"/>
      <c r="CX319" s="113"/>
      <c r="CY319" s="94"/>
      <c r="CZ319" s="113"/>
      <c r="DA319" s="94"/>
      <c r="DB319" s="113"/>
      <c r="DC319" s="94"/>
      <c r="DD319" s="113"/>
      <c r="DE319" s="94"/>
      <c r="DF319" s="113"/>
      <c r="DG319" s="94"/>
      <c r="DH319" s="113"/>
      <c r="DI319" s="94"/>
      <c r="DJ319" s="113"/>
      <c r="DK319" s="94"/>
      <c r="DL319" s="113"/>
      <c r="DM319" s="94"/>
      <c r="DN319" s="113"/>
      <c r="DO319" s="94"/>
      <c r="DP319" s="113"/>
      <c r="DQ319" s="94"/>
      <c r="DR319" s="113"/>
      <c r="DS319" s="94"/>
      <c r="DT319" s="113"/>
      <c r="DU319" s="94"/>
      <c r="DV319" s="113"/>
      <c r="DW319" s="94"/>
      <c r="DX319" s="113"/>
      <c r="DY319" s="94"/>
      <c r="DZ319" s="113"/>
      <c r="EA319" s="94"/>
      <c r="EB319" s="113"/>
      <c r="EC319" s="94"/>
      <c r="ED319" s="113"/>
      <c r="EE319" s="94"/>
      <c r="EF319" s="859"/>
      <c r="EG319" s="94"/>
      <c r="EH319" s="859"/>
      <c r="EI319" s="94"/>
      <c r="EJ319" s="859"/>
      <c r="EK319" s="94"/>
      <c r="EL319" s="859"/>
      <c r="EM319" s="94"/>
      <c r="EN319" s="859"/>
      <c r="EO319" s="94"/>
      <c r="EP319" s="113"/>
      <c r="EQ319" s="789"/>
      <c r="ER319" s="113"/>
      <c r="ES319" s="789"/>
      <c r="ET319" s="113"/>
      <c r="EU319" s="789"/>
      <c r="EV319" s="113"/>
      <c r="EW319" s="789"/>
      <c r="EX319" s="113"/>
      <c r="EY319" s="282"/>
      <c r="EZ319" s="594"/>
      <c r="FA319" s="405"/>
      <c r="FB319" s="279"/>
      <c r="FC319" s="98"/>
      <c r="FD319" s="278"/>
      <c r="FE319" s="98"/>
      <c r="FF319" s="279"/>
      <c r="FG319" s="98"/>
      <c r="FH319" s="279"/>
      <c r="FI319" s="98"/>
      <c r="FJ319" s="282"/>
      <c r="FK319" s="98"/>
      <c r="FL319" s="282"/>
      <c r="FM319" s="98"/>
      <c r="FN319" s="282"/>
      <c r="FO319" s="98"/>
      <c r="FP319" s="282"/>
      <c r="FQ319" s="98"/>
      <c r="FR319" s="283"/>
      <c r="FS319" s="120"/>
      <c r="FT319" s="283"/>
      <c r="FU319" s="120"/>
      <c r="FV319" s="283"/>
      <c r="FW319" s="98"/>
      <c r="FX319" s="520"/>
      <c r="FY319" s="98"/>
      <c r="FZ319" s="283"/>
      <c r="GA319" s="98"/>
      <c r="GB319" s="480"/>
      <c r="GC319" s="113"/>
      <c r="GD319" s="96"/>
      <c r="GE319" s="113"/>
      <c r="GF319" s="96"/>
      <c r="GG319" s="113"/>
      <c r="GH319" s="96"/>
      <c r="GI319" s="113"/>
      <c r="GJ319" s="96"/>
      <c r="GK319" s="113"/>
      <c r="GL319" s="96"/>
      <c r="GM319" s="113"/>
      <c r="GN319" s="96"/>
      <c r="GO319" s="113"/>
      <c r="GP319" s="96"/>
      <c r="GQ319" s="113"/>
      <c r="GR319" s="95"/>
      <c r="GS319" s="113"/>
      <c r="GT319" s="95"/>
      <c r="GU319" s="113"/>
      <c r="GV319" s="95"/>
      <c r="GW319" s="113"/>
      <c r="GX319" s="95"/>
      <c r="GY319" s="113"/>
      <c r="GZ319" s="113"/>
      <c r="HA319" s="113"/>
      <c r="HB319" s="10"/>
      <c r="HC319"/>
      <c r="HD319"/>
      <c r="HE319"/>
      <c r="HF319"/>
      <c r="HG319"/>
      <c r="HH319"/>
      <c r="HI319" s="10"/>
    </row>
    <row r="320" spans="2:217" s="2" customFormat="1" ht="12.75" customHeight="1" x14ac:dyDescent="0.2">
      <c r="B320" s="179" t="s">
        <v>540</v>
      </c>
      <c r="C320" s="117"/>
      <c r="D320" s="98"/>
      <c r="E320" s="117"/>
      <c r="F320" s="98"/>
      <c r="G320" s="117"/>
      <c r="H320" s="98"/>
      <c r="I320" s="117"/>
      <c r="J320" s="98"/>
      <c r="K320" s="117"/>
      <c r="L320" s="98"/>
      <c r="M320" s="117"/>
      <c r="N320" s="98"/>
      <c r="O320" s="117"/>
      <c r="P320" s="98"/>
      <c r="Q320" s="117"/>
      <c r="R320" s="98"/>
      <c r="S320" s="182"/>
      <c r="T320" s="98"/>
      <c r="U320" s="182"/>
      <c r="V320" s="98"/>
      <c r="W320" s="182"/>
      <c r="X320" s="98"/>
      <c r="Y320" s="182"/>
      <c r="Z320" s="98"/>
      <c r="AA320" s="182"/>
      <c r="AB320" s="98"/>
      <c r="AC320" s="182"/>
      <c r="AD320" s="98"/>
      <c r="AE320" s="182"/>
      <c r="AF320" s="98"/>
      <c r="AG320" s="182"/>
      <c r="AH320" s="98"/>
      <c r="AI320" s="182"/>
      <c r="AJ320" s="98"/>
      <c r="AK320" s="182"/>
      <c r="AL320" s="98"/>
      <c r="AM320" s="182"/>
      <c r="AN320" s="98"/>
      <c r="AO320" s="182"/>
      <c r="AP320" s="98"/>
      <c r="AQ320" s="182"/>
      <c r="AR320" s="98"/>
      <c r="AS320" s="182"/>
      <c r="AT320" s="98"/>
      <c r="AU320" s="182"/>
      <c r="AV320" s="98"/>
      <c r="AW320" s="182"/>
      <c r="AX320" s="98"/>
      <c r="AY320" s="182"/>
      <c r="AZ320" s="98"/>
      <c r="BA320" s="182"/>
      <c r="BB320" s="98"/>
      <c r="BC320" s="182"/>
      <c r="BD320" s="98"/>
      <c r="BE320" s="182"/>
      <c r="BF320" s="98"/>
      <c r="BG320" s="182"/>
      <c r="BH320" s="98"/>
      <c r="BI320" s="182"/>
      <c r="BJ320" s="98"/>
      <c r="BK320" s="182"/>
      <c r="BL320" s="98"/>
      <c r="BM320" s="182"/>
      <c r="BN320" s="98"/>
      <c r="BO320" s="182"/>
      <c r="BP320" s="98"/>
      <c r="BQ320" s="182"/>
      <c r="BR320" s="98"/>
      <c r="BS320" s="182"/>
      <c r="BT320" s="98"/>
      <c r="BU320" s="182"/>
      <c r="BV320" s="98"/>
      <c r="BW320" s="182"/>
      <c r="BX320" s="98"/>
      <c r="BY320" s="182"/>
      <c r="BZ320" s="98"/>
      <c r="CA320" s="182"/>
      <c r="CB320" s="98"/>
      <c r="CC320" s="182"/>
      <c r="CD320" s="98"/>
      <c r="CE320" s="182"/>
      <c r="CF320" s="98"/>
      <c r="CG320" s="182"/>
      <c r="CH320" s="98"/>
      <c r="CI320" s="182"/>
      <c r="CJ320" s="98"/>
      <c r="CK320" s="182"/>
      <c r="CL320" s="98"/>
      <c r="CM320" s="101">
        <v>424</v>
      </c>
      <c r="CN320" s="98" t="str">
        <f>IF(ISERROR((CM320/CE320-1)*100),"NA",IF(((CM320/CE320-1)*100)&gt;100,"NM",IF(((CM320/CE320-1)*100)&lt;-50,"NM",(CM320/CE320-1)*100)))</f>
        <v>NA</v>
      </c>
      <c r="CO320" s="101">
        <v>534</v>
      </c>
      <c r="CP320" s="98" t="str">
        <f>IF(ISERROR((CO320/CG320-1)*100),"NA",IF(((CO320/CG320-1)*100)&gt;100,"NM",IF(((CO320/CG320-1)*100)&lt;-50,"NM",(CO320/CG320-1)*100)))</f>
        <v>NA</v>
      </c>
      <c r="CQ320" s="542">
        <v>576</v>
      </c>
      <c r="CR320" s="98" t="str">
        <f>IF(ISERROR((CQ320/CI320-1)*100),"NA",IF(((CQ320/CI320-1)*100)&gt;100,"NM",IF(((CQ320/CI320-1)*100)&lt;-50,"NM",(CQ320/CI320-1)*100)))</f>
        <v>NA</v>
      </c>
      <c r="CS320" s="101">
        <v>530</v>
      </c>
      <c r="CT320" s="98" t="str">
        <f>IF(ISERROR((CS320/CK320-1)*100),"NA",IF(((CS320/CK320-1)*100)&gt;100,"NM",IF(((CS320/CK320-1)*100)&lt;-50,"NM",(CS320/CK320-1)*100)))</f>
        <v>NA</v>
      </c>
      <c r="CU320" s="101">
        <v>592</v>
      </c>
      <c r="CV320" s="98">
        <f>IF(ISERROR((CU320/CM320-1)*100),"NA",IF(((CU320/CM320-1)*100)&gt;100,"NM",IF(((CU320/CM320-1)*100)&lt;-50,"NM",(CU320/CM320-1)*100)))</f>
        <v>39.622641509433954</v>
      </c>
      <c r="CW320" s="101">
        <v>568</v>
      </c>
      <c r="CX320" s="98">
        <f>IF(ISERROR((CW320/CO320-1)*100),"NA",IF(((CW320/CO320-1)*100)&gt;100,"NM",IF(((CW320/CO320-1)*100)&lt;-50,"NM",(CW320/CO320-1)*100)))</f>
        <v>6.367041198501866</v>
      </c>
      <c r="CY320" s="101">
        <v>507</v>
      </c>
      <c r="CZ320" s="98">
        <f>IF(ISERROR((CY320/CQ320-1)*100),"NA",IF(((CY320/CQ320-1)*100)&gt;100,"NM",IF(((CY320/CQ320-1)*100)&lt;-50,"NM",(CY320/CQ320-1)*100)))</f>
        <v>-11.979166666666663</v>
      </c>
      <c r="DA320" s="101">
        <v>564</v>
      </c>
      <c r="DB320" s="98">
        <f>IF(ISERROR((DA320/CS320-1)*100),"NA",IF(((DA320/CS320-1)*100)&gt;100,"NM",IF(((DA320/CS320-1)*100)&lt;-50,"NM",(DA320/CS320-1)*100)))</f>
        <v>6.4150943396226401</v>
      </c>
      <c r="DC320" s="101">
        <v>554</v>
      </c>
      <c r="DD320" s="98">
        <f>IF(ISERROR((DC320/CU320-1)*100),"NA",IF(((DC320/CU320-1)*100)&gt;100,"NM",IF(((DC320/CU320-1)*100)&lt;-50,"NM",(DC320/CU320-1)*100)))</f>
        <v>-6.418918918918914</v>
      </c>
      <c r="DE320" s="101">
        <v>601</v>
      </c>
      <c r="DF320" s="98">
        <f>IF(ISERROR((DE320/CW320-1)*100),"NA",IF(((DE320/CW320-1)*100)&gt;100,"NM",IF(((DE320/CW320-1)*100)&lt;-50,"NM",(DE320/CW320-1)*100)))</f>
        <v>5.8098591549295753</v>
      </c>
      <c r="DG320" s="101">
        <v>637</v>
      </c>
      <c r="DH320" s="98">
        <f>IF(ISERROR((DG320/CY320-1)*100),"NA",IF(((DG320/CY320-1)*100)&gt;100,"NM",IF(((DG320/CY320-1)*100)&lt;-50,"NM",(DG320/CY320-1)*100)))</f>
        <v>25.641025641025639</v>
      </c>
      <c r="DI320" s="101">
        <v>662</v>
      </c>
      <c r="DJ320" s="98">
        <f>IF(ISERROR((DI320/DA320-1)*100),"NA",IF(((DI320/DA320-1)*100)&gt;100,"NM",IF(((DI320/DA320-1)*100)&lt;-50,"NM",(DI320/DA320-1)*100)))</f>
        <v>17.375886524822693</v>
      </c>
      <c r="DK320" s="101">
        <v>616</v>
      </c>
      <c r="DL320" s="98">
        <f>IF(ISERROR((DK320/DC320-1)*100),"NA",IF(((DK320/DC320-1)*100)&gt;100,"NM",IF(((DK320/DC320-1)*100)&lt;-50,"NM",(DK320/DC320-1)*100)))</f>
        <v>11.191335740072205</v>
      </c>
      <c r="DM320" s="101">
        <v>749</v>
      </c>
      <c r="DN320" s="98">
        <f>IF(ISERROR((DM320/DE320-1)*100),"NA",IF(((DM320/DE320-1)*100)&gt;100,"NM",IF(((DM320/DE320-1)*100)&lt;-50,"NM",(DM320/DE320-1)*100)))</f>
        <v>24.625623960066555</v>
      </c>
      <c r="DO320" s="101">
        <v>735</v>
      </c>
      <c r="DP320" s="98">
        <f>IF(ISERROR((DO320/DG320-1)*100),"NA",IF(((DO320/DG320-1)*100)&gt;100,"NM",IF(((DO320/DG320-1)*100)&lt;-50,"NM",(DO320/DG320-1)*100)))</f>
        <v>15.384615384615374</v>
      </c>
      <c r="DQ320" s="101">
        <v>686</v>
      </c>
      <c r="DR320" s="98">
        <f>IF(ISERROR((DQ320/DI320-1)*100),"NA",IF(((DQ320/DI320-1)*100)&gt;100,"NM",IF(((DQ320/DI320-1)*100)&lt;-50,"NM",(DQ320/DI320-1)*100)))</f>
        <v>3.6253776435045237</v>
      </c>
      <c r="DS320" s="101">
        <v>532</v>
      </c>
      <c r="DT320" s="98">
        <f>IF(ISERROR((DS320/DK320-1)*100),"NA",IF(((DS320/DK320-1)*100)&gt;100,"NM",IF(((DS320/DK320-1)*100)&lt;-50,"NM",(DS320/DK320-1)*100)))</f>
        <v>-13.636363636363635</v>
      </c>
      <c r="DU320" s="101">
        <v>680</v>
      </c>
      <c r="DV320" s="98">
        <f>IF(ISERROR((DU320/DM320-1)*100),"NA",IF(((DU320/DM320-1)*100)&gt;100,"NM",IF(((DU320/DM320-1)*100)&lt;-50,"NM",(DU320/DM320-1)*100)))</f>
        <v>-9.2122830440587435</v>
      </c>
      <c r="DW320" s="101">
        <v>581</v>
      </c>
      <c r="DX320" s="98">
        <f>IF(ISERROR((DW320/DO320-1)*100),"NA",IF(((DW320/DO320-1)*100)&gt;100,"NM",IF(((DW320/DO320-1)*100)&lt;-50,"NM",(DW320/DO320-1)*100)))</f>
        <v>-20.952380952380956</v>
      </c>
      <c r="DY320" s="101">
        <v>615</v>
      </c>
      <c r="DZ320" s="98">
        <f>IF(ISERROR((DY320/DQ320-1)*100),"NA",IF(((DY320/DQ320-1)*100)&gt;100,"NM",IF(((DY320/DQ320-1)*100)&lt;-50,"NM",(DY320/DQ320-1)*100)))</f>
        <v>-10.349854227405253</v>
      </c>
      <c r="EA320" s="101">
        <v>550</v>
      </c>
      <c r="EB320" s="98">
        <f>IF(ISERROR((EA320/DS320-1)*100),"NA",IF(((EA320/DS320-1)*100)&gt;100,"NM",IF(((EA320/DS320-1)*100)&lt;-50,"NM",(EA320/DS320-1)*100)))</f>
        <v>3.3834586466165328</v>
      </c>
      <c r="EC320" s="101">
        <v>583</v>
      </c>
      <c r="ED320" s="98">
        <f>IF(ISERROR((EC320/DU320-1)*100),"NA",IF(((EC320/DU320-1)*100)&gt;100,"NM",IF(((EC320/DU320-1)*100)&lt;-50,"NM",(EC320/DU320-1)*100)))</f>
        <v>-14.264705882352946</v>
      </c>
      <c r="EE320" s="101">
        <v>681</v>
      </c>
      <c r="EF320" s="860">
        <f>IF(ISERROR((EE320/DW320-1)*100),"NA",IF(((EE320/DW320-1)*100)&gt;100,"NM",IF(((EE320/DW320-1)*100)&lt;-50,"NM",(EE320/DW320-1)*100)))</f>
        <v>17.211703958691913</v>
      </c>
      <c r="EG320" s="101">
        <v>629</v>
      </c>
      <c r="EH320" s="860">
        <f>IF(ISERROR((EG320/DY320-1)*100),"NA",IF(((EG320/DY320-1)*100)&gt;100,"NM",IF(((EG320/DY320-1)*100)&lt;-50,"NM",(EG320/DY320-1)*100)))</f>
        <v>2.2764227642276369</v>
      </c>
      <c r="EI320" s="101">
        <v>633</v>
      </c>
      <c r="EJ320" s="860">
        <f t="shared" ref="EJ320:EJ324" si="1655">IF(ISERROR((EI320/EA320-1)*100),"NA",IF(((EI320/EA320-1)*100)&gt;100,"NM",IF(((EI320/EA320-1)*100)&lt;-50,"NM",(EI320/EA320-1)*100)))</f>
        <v>15.090909090909088</v>
      </c>
      <c r="EK320" s="101">
        <v>596</v>
      </c>
      <c r="EL320" s="860">
        <f t="shared" ref="EL320:EL324" si="1656">IF(ISERROR((EK320/EC320-1)*100),"NA",IF(((EK320/EC320-1)*100)&gt;100,"NM",IF(((EK320/EC320-1)*100)&lt;-50,"NM",(EK320/EC320-1)*100)))</f>
        <v>2.2298456260720467</v>
      </c>
      <c r="EM320" s="101">
        <v>640</v>
      </c>
      <c r="EN320" s="860">
        <f t="shared" ref="EN320:EN324" si="1657">IF(ISERROR((EM320/EE320-1)*100),"NA",IF(((EM320/EE320-1)*100)&gt;100,"NM",IF(((EM320/EE320-1)*100)&lt;-50,"NM",(EM320/EE320-1)*100)))</f>
        <v>-6.0205580029368599</v>
      </c>
      <c r="EO320" s="101">
        <v>666</v>
      </c>
      <c r="EP320" s="98">
        <f t="shared" ref="EP320:EP324" si="1658">IF(ISERROR((EO320/EG320-1)*100),"NA",IF(((EO320/EG320-1)*100)&gt;100,"NM",IF(((EO320/EG320-1)*100)&lt;-50,"NM",(EO320/EG320-1)*100)))</f>
        <v>5.8823529411764719</v>
      </c>
      <c r="EQ320" s="1023">
        <f t="shared" ref="EQ320" si="1659">EQ327/100*EQ313</f>
        <v>666.70596599690873</v>
      </c>
      <c r="ER320" s="98">
        <f t="shared" ref="ER320:ER324" si="1660">IF(ISERROR((EQ320/EI320-1)*100),"NA",IF(((EQ320/EI320-1)*100)&gt;100,"NM",IF(((EQ320/EI320-1)*100)&lt;-50,"NM",(EQ320/EI320-1)*100)))</f>
        <v>5.324797155909744</v>
      </c>
      <c r="ES320" s="1023">
        <f t="shared" ref="ES320" si="1661">ES327/100*ES313</f>
        <v>673.58346647286805</v>
      </c>
      <c r="ET320" s="98">
        <f t="shared" ref="ET320:ET324" si="1662">IF(ISERROR((ES320/EK320-1)*100),"NA",IF(((ES320/EK320-1)*100)&gt;100,"NM",IF(((ES320/EK320-1)*100)&lt;-50,"NM",(ES320/EK320-1)*100)))</f>
        <v>13.017360146454383</v>
      </c>
      <c r="EU320" s="1023">
        <f t="shared" ref="EU320" si="1663">EU327/100*EU313</f>
        <v>675.59922366066314</v>
      </c>
      <c r="EV320" s="98">
        <f t="shared" ref="EV320:EV324" si="1664">IF(ISERROR((EU320/EM320-1)*100),"NA",IF(((EU320/EM320-1)*100)&gt;100,"NM",IF(((EU320/EM320-1)*100)&lt;-50,"NM",(EU320/EM320-1)*100)))</f>
        <v>5.5623786969786204</v>
      </c>
      <c r="EW320" s="1023">
        <f t="shared" ref="EW320" si="1665">EW327/100*EW313</f>
        <v>706.86812471624967</v>
      </c>
      <c r="EX320" s="98">
        <f t="shared" ref="EX320:EX324" si="1666">IF(ISERROR((EW320/EO320-1)*100),"NA",IF(((EW320/EO320-1)*100)&gt;100,"NM",IF(((EW320/EO320-1)*100)&lt;-50,"NM",(EW320/EO320-1)*100)))</f>
        <v>6.136355062499943</v>
      </c>
      <c r="EY320" s="282"/>
      <c r="EZ320" s="594"/>
      <c r="FA320" s="405"/>
      <c r="FB320" s="279"/>
      <c r="FC320" s="98"/>
      <c r="FD320" s="278"/>
      <c r="FE320" s="98"/>
      <c r="FF320" s="279"/>
      <c r="FG320" s="98"/>
      <c r="FH320" s="279"/>
      <c r="FI320" s="98"/>
      <c r="FJ320" s="282"/>
      <c r="FK320" s="98"/>
      <c r="FL320" s="282"/>
      <c r="FM320" s="98"/>
      <c r="FN320" s="282"/>
      <c r="FO320" s="98"/>
      <c r="FP320" s="282"/>
      <c r="FQ320" s="98"/>
      <c r="FR320" s="283"/>
      <c r="FS320" s="120"/>
      <c r="FT320" s="283"/>
      <c r="FU320" s="120"/>
      <c r="FV320" s="283"/>
      <c r="FW320" s="98"/>
      <c r="FX320" s="520"/>
      <c r="FY320" s="98"/>
      <c r="FZ320" s="283"/>
      <c r="GA320" s="98"/>
      <c r="GB320" s="495">
        <f>CM320+CO320+CQ320+CS320</f>
        <v>2064</v>
      </c>
      <c r="GC320" s="98" t="str">
        <f>IF(ISERROR((GB320/FZ320-1)*100),"NA",IF(((GB320/FZ320-1)*100)&gt;100,"NM",IF(((GB320/FZ320-1)*100)&lt;-50,"NM",(GB320/FZ320-1)*100)))</f>
        <v>NA</v>
      </c>
      <c r="GD320" s="160">
        <f>CU320+CW320+CY320+DA320</f>
        <v>2231</v>
      </c>
      <c r="GE320" s="98">
        <f>IF(ISERROR((GD320/GB320-1)*100),"NA",IF(((GD320/GB320-1)*100)&gt;100,"NM",IF(((GD320/GB320-1)*100)&lt;-50,"NM",(GD320/GB320-1)*100)))</f>
        <v>8.0910852713178336</v>
      </c>
      <c r="GF320" s="160">
        <f>DC320+DE320+DG320+DI320</f>
        <v>2454</v>
      </c>
      <c r="GG320" s="98">
        <f>IF(ISERROR((GF320/GD320-1)*100),"NA",IF(((GF320/GD320-1)*100)&gt;100,"NM",IF(((GF320/GD320-1)*100)&lt;-50,"NM",(GF320/GD320-1)*100)))</f>
        <v>9.9955177050649944</v>
      </c>
      <c r="GH320" s="160">
        <f>DK320+DM320+DO320+DQ320</f>
        <v>2786</v>
      </c>
      <c r="GI320" s="98">
        <f>IF(ISERROR((GH320/GF320-1)*100),"NA",IF(((GH320/GF320-1)*100)&gt;100,"NM",IF(((GH320/GF320-1)*100)&lt;-50,"NM",(GH320/GF320-1)*100)))</f>
        <v>13.528932355338231</v>
      </c>
      <c r="GJ320" s="160">
        <f>DS320+DU320+DW320+DY320</f>
        <v>2408</v>
      </c>
      <c r="GK320" s="98">
        <f>IF(ISERROR((GJ320/GH320-1)*100),"NA",IF(((GJ320/GH320-1)*100)&gt;100,"NM",IF(((GJ320/GH320-1)*100)&lt;-50,"NM",(GJ320/GH320-1)*100)))</f>
        <v>-13.567839195979904</v>
      </c>
      <c r="GL320" s="160">
        <f>EA320+EC320+EE320+EG320</f>
        <v>2443</v>
      </c>
      <c r="GM320" s="98">
        <f>IF(ISERROR((GL320/GJ320-1)*100),"NA",IF(((GL320/GJ320-1)*100)&gt;100,"NM",IF(((GL320/GJ320-1)*100)&lt;-50,"NM",(GL320/GJ320-1)*100)))</f>
        <v>1.4534883720930258</v>
      </c>
      <c r="GN320" s="160">
        <f>EI320+EK320+EM320+EO320</f>
        <v>2535</v>
      </c>
      <c r="GO320" s="98">
        <f>IF(ISERROR((GN320/GL320-1)*100),"NA",IF(((GN320/GL320-1)*100)&gt;100,"NM",IF(((GN320/GL320-1)*100)&lt;-50,"NM",(GN320/GL320-1)*100)))</f>
        <v>3.7658616455177985</v>
      </c>
      <c r="GP320" s="160">
        <f>EQ320+ES320+EU320+EW320</f>
        <v>2722.7567808466893</v>
      </c>
      <c r="GQ320" s="98">
        <f>IF(ISERROR((GP320/GN320-1)*100),"NA",IF(((GP320/GN320-1)*100)&gt;100,"NM",IF(((GP320/GN320-1)*100)&lt;-50,"NM",(GP320/GN320-1)*100)))</f>
        <v>7.4065791261021419</v>
      </c>
      <c r="GR320" s="119">
        <f>GR327/100*GR313</f>
        <v>2892.2841518151181</v>
      </c>
      <c r="GS320" s="98">
        <f>IF(ISERROR((GR320/GP320-1)*100),"NA",IF(((GR320/GP320-1)*100)&gt;100,"NM",IF(((GR320/GP320-1)*100)&lt;-50,"NM",(GR320/GP320-1)*100)))</f>
        <v>6.226313424723573</v>
      </c>
      <c r="GT320" s="119">
        <f>GT327/100*GT313</f>
        <v>3065.8212009240256</v>
      </c>
      <c r="GU320" s="98">
        <f>IF(ISERROR((GT320/GR320-1)*100),"NA",IF(((GT320/GR320-1)*100)&gt;100,"NM",IF(((GT320/GR320-1)*100)&lt;-50,"NM",(GT320/GR320-1)*100)))</f>
        <v>6.0000000000000053</v>
      </c>
      <c r="GV320" s="119">
        <f>GV327/100*GV313</f>
        <v>3249.7704729794668</v>
      </c>
      <c r="GW320" s="98">
        <f>IF(ISERROR((GV320/GT320-1)*100),"NA",IF(((GV320/GT320-1)*100)&gt;100,"NM",IF(((GV320/GT320-1)*100)&lt;-50,"NM",(GV320/GT320-1)*100)))</f>
        <v>5.9999999999999831</v>
      </c>
      <c r="GX320" s="119">
        <f>GX327/100*GX313</f>
        <v>3463.1041959970357</v>
      </c>
      <c r="GY320" s="98">
        <f>IF(ISERROR((GX320/GV320-1)*100),"NA",IF(((GX320/GV320-1)*100)&gt;100,"NM",IF(((GX320/GV320-1)*100)&lt;-50,"NM",(GX320/GV320-1)*100)))</f>
        <v>6.5645781691769489</v>
      </c>
      <c r="GZ320" s="98">
        <f>IF(ISERROR(((GX320/GN320)^0.2-1)*100),"NA",IF((((GX320/GN320)^0.2-1)*100)&gt;100,"NM",IF((((GX320/GN320)^0.2-1)*100)&lt;-50,"NM",((GX320/GN320)^0.2-1)*100)))</f>
        <v>6.4381993842122842</v>
      </c>
      <c r="HA320" s="98"/>
      <c r="HB320" s="10"/>
      <c r="HC320"/>
      <c r="HD320"/>
      <c r="HE320"/>
      <c r="HF320"/>
      <c r="HG320"/>
      <c r="HH320"/>
      <c r="HI320" s="10"/>
    </row>
    <row r="321" spans="2:217" s="2" customFormat="1" ht="12.75" customHeight="1" x14ac:dyDescent="0.2">
      <c r="B321" s="179" t="s">
        <v>306</v>
      </c>
      <c r="C321" s="117"/>
      <c r="D321" s="98"/>
      <c r="E321" s="117"/>
      <c r="F321" s="98"/>
      <c r="G321" s="117"/>
      <c r="H321" s="98"/>
      <c r="I321" s="117"/>
      <c r="J321" s="98"/>
      <c r="K321" s="117"/>
      <c r="L321" s="98"/>
      <c r="M321" s="117"/>
      <c r="N321" s="98"/>
      <c r="O321" s="117"/>
      <c r="P321" s="98"/>
      <c r="Q321" s="117"/>
      <c r="R321" s="98"/>
      <c r="S321" s="182"/>
      <c r="T321" s="98"/>
      <c r="U321" s="182"/>
      <c r="V321" s="98"/>
      <c r="W321" s="182"/>
      <c r="X321" s="98"/>
      <c r="Y321" s="182"/>
      <c r="Z321" s="98"/>
      <c r="AA321" s="182"/>
      <c r="AB321" s="98"/>
      <c r="AC321" s="182"/>
      <c r="AD321" s="98"/>
      <c r="AE321" s="182"/>
      <c r="AF321" s="98"/>
      <c r="AG321" s="182"/>
      <c r="AH321" s="98"/>
      <c r="AI321" s="182"/>
      <c r="AJ321" s="98"/>
      <c r="AK321" s="182"/>
      <c r="AL321" s="98"/>
      <c r="AM321" s="182"/>
      <c r="AN321" s="98"/>
      <c r="AO321" s="182"/>
      <c r="AP321" s="98"/>
      <c r="AQ321" s="182"/>
      <c r="AR321" s="98"/>
      <c r="AS321" s="182"/>
      <c r="AT321" s="98"/>
      <c r="AU321" s="182"/>
      <c r="AV321" s="98"/>
      <c r="AW321" s="182"/>
      <c r="AX321" s="98"/>
      <c r="AY321" s="182"/>
      <c r="AZ321" s="98"/>
      <c r="BA321" s="182"/>
      <c r="BB321" s="98"/>
      <c r="BC321" s="182"/>
      <c r="BD321" s="98"/>
      <c r="BE321" s="182"/>
      <c r="BF321" s="98"/>
      <c r="BG321" s="182"/>
      <c r="BH321" s="98"/>
      <c r="BI321" s="182"/>
      <c r="BJ321" s="98"/>
      <c r="BK321" s="182"/>
      <c r="BL321" s="98"/>
      <c r="BM321" s="182"/>
      <c r="BN321" s="98"/>
      <c r="BO321" s="182"/>
      <c r="BP321" s="98"/>
      <c r="BQ321" s="182"/>
      <c r="BR321" s="98"/>
      <c r="BS321" s="182"/>
      <c r="BT321" s="98"/>
      <c r="BU321" s="182"/>
      <c r="BV321" s="98"/>
      <c r="BW321" s="182"/>
      <c r="BX321" s="98"/>
      <c r="BY321" s="182"/>
      <c r="BZ321" s="98"/>
      <c r="CA321" s="182"/>
      <c r="CB321" s="98"/>
      <c r="CC321" s="182"/>
      <c r="CD321" s="98"/>
      <c r="CE321" s="182"/>
      <c r="CF321" s="98"/>
      <c r="CG321" s="182"/>
      <c r="CH321" s="98"/>
      <c r="CI321" s="182"/>
      <c r="CJ321" s="98"/>
      <c r="CK321" s="182"/>
      <c r="CL321" s="98"/>
      <c r="CM321" s="101">
        <v>91</v>
      </c>
      <c r="CN321" s="98" t="str">
        <f>IF(ISERROR((CM321/CE321-1)*100),"NA",IF(((CM321/CE321-1)*100)&gt;100,"NM",IF(((CM321/CE321-1)*100)&lt;-50,"NM",(CM321/CE321-1)*100)))</f>
        <v>NA</v>
      </c>
      <c r="CO321" s="101">
        <v>94</v>
      </c>
      <c r="CP321" s="98" t="str">
        <f>IF(ISERROR((CO321/CG321-1)*100),"NA",IF(((CO321/CG321-1)*100)&gt;100,"NM",IF(((CO321/CG321-1)*100)&lt;-50,"NM",(CO321/CG321-1)*100)))</f>
        <v>NA</v>
      </c>
      <c r="CQ321" s="542">
        <v>95</v>
      </c>
      <c r="CR321" s="98" t="str">
        <f>IF(ISERROR((CQ321/CI321-1)*100),"NA",IF(((CQ321/CI321-1)*100)&gt;100,"NM",IF(((CQ321/CI321-1)*100)&lt;-50,"NM",(CQ321/CI321-1)*100)))</f>
        <v>NA</v>
      </c>
      <c r="CS321" s="101">
        <v>91</v>
      </c>
      <c r="CT321" s="98" t="str">
        <f>IF(ISERROR((CS321/CK321-1)*100),"NA",IF(((CS321/CK321-1)*100)&gt;100,"NM",IF(((CS321/CK321-1)*100)&lt;-50,"NM",(CS321/CK321-1)*100)))</f>
        <v>NA</v>
      </c>
      <c r="CU321" s="101">
        <v>100</v>
      </c>
      <c r="CV321" s="98">
        <f>IF(ISERROR((CU321/CM321-1)*100),"NA",IF(((CU321/CM321-1)*100)&gt;100,"NM",IF(((CU321/CM321-1)*100)&lt;-50,"NM",(CU321/CM321-1)*100)))</f>
        <v>9.8901098901098994</v>
      </c>
      <c r="CW321" s="101">
        <v>90</v>
      </c>
      <c r="CX321" s="98">
        <f>IF(ISERROR((CW321/CO321-1)*100),"NA",IF(((CW321/CO321-1)*100)&gt;100,"NM",IF(((CW321/CO321-1)*100)&lt;-50,"NM",(CW321/CO321-1)*100)))</f>
        <v>-4.2553191489361648</v>
      </c>
      <c r="CY321" s="101">
        <v>99</v>
      </c>
      <c r="CZ321" s="98">
        <f>IF(ISERROR((CY321/CQ321-1)*100),"NA",IF(((CY321/CQ321-1)*100)&gt;100,"NM",IF(((CY321/CQ321-1)*100)&lt;-50,"NM",(CY321/CQ321-1)*100)))</f>
        <v>4.2105263157894646</v>
      </c>
      <c r="DA321" s="101">
        <v>104</v>
      </c>
      <c r="DB321" s="98">
        <f>IF(ISERROR((DA321/CS321-1)*100),"NA",IF(((DA321/CS321-1)*100)&gt;100,"NM",IF(((DA321/CS321-1)*100)&lt;-50,"NM",(DA321/CS321-1)*100)))</f>
        <v>14.285714285714279</v>
      </c>
      <c r="DC321" s="101">
        <v>104</v>
      </c>
      <c r="DD321" s="98">
        <f>IF(ISERROR((DC321/CU321-1)*100),"NA",IF(((DC321/CU321-1)*100)&gt;100,"NM",IF(((DC321/CU321-1)*100)&lt;-50,"NM",(DC321/CU321-1)*100)))</f>
        <v>4.0000000000000036</v>
      </c>
      <c r="DE321" s="101">
        <v>103</v>
      </c>
      <c r="DF321" s="98">
        <f>IF(ISERROR((DE321/CW321-1)*100),"NA",IF(((DE321/CW321-1)*100)&gt;100,"NM",IF(((DE321/CW321-1)*100)&lt;-50,"NM",(DE321/CW321-1)*100)))</f>
        <v>14.444444444444438</v>
      </c>
      <c r="DG321" s="101">
        <v>106</v>
      </c>
      <c r="DH321" s="98">
        <f>IF(ISERROR((DG321/CY321-1)*100),"NA",IF(((DG321/CY321-1)*100)&gt;100,"NM",IF(((DG321/CY321-1)*100)&lt;-50,"NM",(DG321/CY321-1)*100)))</f>
        <v>7.0707070707070718</v>
      </c>
      <c r="DI321" s="101">
        <v>104</v>
      </c>
      <c r="DJ321" s="98">
        <f>IF(ISERROR((DI321/DA321-1)*100),"NA",IF(((DI321/DA321-1)*100)&gt;100,"NM",IF(((DI321/DA321-1)*100)&lt;-50,"NM",(DI321/DA321-1)*100)))</f>
        <v>0</v>
      </c>
      <c r="DK321" s="101">
        <v>98</v>
      </c>
      <c r="DL321" s="98">
        <f>IF(ISERROR((DK321/DC321-1)*100),"NA",IF(((DK321/DC321-1)*100)&gt;100,"NM",IF(((DK321/DC321-1)*100)&lt;-50,"NM",(DK321/DC321-1)*100)))</f>
        <v>-5.7692307692307709</v>
      </c>
      <c r="DM321" s="101">
        <v>100</v>
      </c>
      <c r="DN321" s="98">
        <f>IF(ISERROR((DM321/DE321-1)*100),"NA",IF(((DM321/DE321-1)*100)&gt;100,"NM",IF(((DM321/DE321-1)*100)&lt;-50,"NM",(DM321/DE321-1)*100)))</f>
        <v>-2.9126213592232997</v>
      </c>
      <c r="DO321" s="101">
        <v>97</v>
      </c>
      <c r="DP321" s="98">
        <f>IF(ISERROR((DO321/DG321-1)*100),"NA",IF(((DO321/DG321-1)*100)&gt;100,"NM",IF(((DO321/DG321-1)*100)&lt;-50,"NM",(DO321/DG321-1)*100)))</f>
        <v>-8.4905660377358476</v>
      </c>
      <c r="DQ321" s="101">
        <v>99</v>
      </c>
      <c r="DR321" s="98">
        <f>IF(ISERROR((DQ321/DI321-1)*100),"NA",IF(((DQ321/DI321-1)*100)&gt;100,"NM",IF(((DQ321/DI321-1)*100)&lt;-50,"NM",(DQ321/DI321-1)*100)))</f>
        <v>-4.8076923076923128</v>
      </c>
      <c r="DS321" s="101">
        <v>86</v>
      </c>
      <c r="DT321" s="98">
        <f>IF(ISERROR((DS321/DK321-1)*100),"NA",IF(((DS321/DK321-1)*100)&gt;100,"NM",IF(((DS321/DK321-1)*100)&lt;-50,"NM",(DS321/DK321-1)*100)))</f>
        <v>-12.244897959183676</v>
      </c>
      <c r="DU321" s="101">
        <v>89</v>
      </c>
      <c r="DV321" s="98">
        <f>IF(ISERROR((DU321/DM321-1)*100),"NA",IF(((DU321/DM321-1)*100)&gt;100,"NM",IF(((DU321/DM321-1)*100)&lt;-50,"NM",(DU321/DM321-1)*100)))</f>
        <v>-10.999999999999998</v>
      </c>
      <c r="DW321" s="101">
        <v>88</v>
      </c>
      <c r="DX321" s="98">
        <f>IF(ISERROR((DW321/DO321-1)*100),"NA",IF(((DW321/DO321-1)*100)&gt;100,"NM",IF(((DW321/DO321-1)*100)&lt;-50,"NM",(DW321/DO321-1)*100)))</f>
        <v>-9.2783505154639183</v>
      </c>
      <c r="DY321" s="101">
        <v>86</v>
      </c>
      <c r="DZ321" s="98">
        <f>IF(ISERROR((DY321/DQ321-1)*100),"NA",IF(((DY321/DQ321-1)*100)&gt;100,"NM",IF(((DY321/DQ321-1)*100)&lt;-50,"NM",(DY321/DQ321-1)*100)))</f>
        <v>-13.131313131313128</v>
      </c>
      <c r="EA321" s="101">
        <v>80</v>
      </c>
      <c r="EB321" s="98">
        <f>IF(ISERROR((EA321/DS321-1)*100),"NA",IF(((EA321/DS321-1)*100)&gt;100,"NM",IF(((EA321/DS321-1)*100)&lt;-50,"NM",(EA321/DS321-1)*100)))</f>
        <v>-6.9767441860465134</v>
      </c>
      <c r="EC321" s="101">
        <v>84</v>
      </c>
      <c r="ED321" s="98">
        <f>IF(ISERROR((EC321/DU321-1)*100),"NA",IF(((EC321/DU321-1)*100)&gt;100,"NM",IF(((EC321/DU321-1)*100)&lt;-50,"NM",(EC321/DU321-1)*100)))</f>
        <v>-5.6179775280898898</v>
      </c>
      <c r="EE321" s="101">
        <v>85</v>
      </c>
      <c r="EF321" s="860">
        <f>IF(ISERROR((EE321/DW321-1)*100),"NA",IF(((EE321/DW321-1)*100)&gt;100,"NM",IF(((EE321/DW321-1)*100)&lt;-50,"NM",(EE321/DW321-1)*100)))</f>
        <v>-3.4090909090909061</v>
      </c>
      <c r="EG321" s="101">
        <v>79</v>
      </c>
      <c r="EH321" s="860">
        <f>IF(ISERROR((EG321/DY321-1)*100),"NA",IF(((EG321/DY321-1)*100)&gt;100,"NM",IF(((EG321/DY321-1)*100)&lt;-50,"NM",(EG321/DY321-1)*100)))</f>
        <v>-8.139534883720934</v>
      </c>
      <c r="EI321" s="101">
        <v>82</v>
      </c>
      <c r="EJ321" s="860">
        <f t="shared" si="1655"/>
        <v>2.4999999999999911</v>
      </c>
      <c r="EK321" s="101">
        <v>94</v>
      </c>
      <c r="EL321" s="860">
        <f t="shared" si="1656"/>
        <v>11.904761904761907</v>
      </c>
      <c r="EM321" s="101">
        <v>99</v>
      </c>
      <c r="EN321" s="860">
        <f t="shared" si="1657"/>
        <v>16.470588235294127</v>
      </c>
      <c r="EO321" s="101">
        <v>94</v>
      </c>
      <c r="EP321" s="98">
        <f t="shared" si="1658"/>
        <v>18.98734177215189</v>
      </c>
      <c r="EQ321" s="1023">
        <f t="shared" ref="EQ321" si="1667">EO321/EO315*EQ315</f>
        <v>95.409999999999982</v>
      </c>
      <c r="ER321" s="98">
        <f t="shared" si="1660"/>
        <v>16.353658536585346</v>
      </c>
      <c r="ES321" s="1023">
        <f t="shared" ref="ES321" si="1668">EQ321/EQ315*ES315</f>
        <v>96.841149999999971</v>
      </c>
      <c r="ET321" s="98">
        <f t="shared" si="1662"/>
        <v>3.0224999999999724</v>
      </c>
      <c r="EU321" s="1023">
        <f t="shared" ref="EU321" si="1669">ES321/ES315*EU315</f>
        <v>98.293767249999959</v>
      </c>
      <c r="EV321" s="98">
        <f t="shared" si="1664"/>
        <v>-0.71336641414145863</v>
      </c>
      <c r="EW321" s="1023">
        <f t="shared" ref="EW321" si="1670">EU321/EU315*EW315</f>
        <v>99.768173758749953</v>
      </c>
      <c r="EX321" s="98">
        <f t="shared" si="1666"/>
        <v>6.136355062499943</v>
      </c>
      <c r="EY321" s="282"/>
      <c r="EZ321" s="594"/>
      <c r="FA321" s="405"/>
      <c r="FB321" s="279"/>
      <c r="FC321" s="98"/>
      <c r="FD321" s="278"/>
      <c r="FE321" s="98"/>
      <c r="FF321" s="279"/>
      <c r="FG321" s="98"/>
      <c r="FH321" s="279"/>
      <c r="FI321" s="98"/>
      <c r="FJ321" s="282"/>
      <c r="FK321" s="98"/>
      <c r="FL321" s="282"/>
      <c r="FM321" s="98"/>
      <c r="FN321" s="282"/>
      <c r="FO321" s="98"/>
      <c r="FP321" s="282"/>
      <c r="FQ321" s="98"/>
      <c r="FR321" s="283"/>
      <c r="FS321" s="120"/>
      <c r="FT321" s="283"/>
      <c r="FU321" s="120"/>
      <c r="FV321" s="283"/>
      <c r="FW321" s="98"/>
      <c r="FX321" s="520"/>
      <c r="FY321" s="98"/>
      <c r="FZ321" s="283"/>
      <c r="GA321" s="98"/>
      <c r="GB321" s="495">
        <f>CM321+CO321+CQ321+CS321</f>
        <v>371</v>
      </c>
      <c r="GC321" s="98" t="str">
        <f>IF(ISERROR((GB321/FZ321-1)*100),"NA",IF(((GB321/FZ321-1)*100)&gt;100,"NM",IF(((GB321/FZ321-1)*100)&lt;-50,"NM",(GB321/FZ321-1)*100)))</f>
        <v>NA</v>
      </c>
      <c r="GD321" s="160">
        <f>CU321+CW321+CY321+DA321</f>
        <v>393</v>
      </c>
      <c r="GE321" s="98">
        <f>IF(ISERROR((GD321/GB321-1)*100),"NA",IF(((GD321/GB321-1)*100)&gt;100,"NM",IF(((GD321/GB321-1)*100)&lt;-50,"NM",(GD321/GB321-1)*100)))</f>
        <v>5.9299191374662996</v>
      </c>
      <c r="GF321" s="160">
        <f>DC321+DE321+DG321+DI321</f>
        <v>417</v>
      </c>
      <c r="GG321" s="98">
        <f>IF(ISERROR((GF321/GD321-1)*100),"NA",IF(((GF321/GD321-1)*100)&gt;100,"NM",IF(((GF321/GD321-1)*100)&lt;-50,"NM",(GF321/GD321-1)*100)))</f>
        <v>6.1068702290076438</v>
      </c>
      <c r="GH321" s="160">
        <f>DK321+DM321+DO321+DQ321</f>
        <v>394</v>
      </c>
      <c r="GI321" s="98">
        <f>IF(ISERROR((GH321/GF321-1)*100),"NA",IF(((GH321/GF321-1)*100)&gt;100,"NM",IF(((GH321/GF321-1)*100)&lt;-50,"NM",(GH321/GF321-1)*100)))</f>
        <v>-5.5155875299760186</v>
      </c>
      <c r="GJ321" s="160">
        <f>DS321+DU321+DW321+DY321</f>
        <v>349</v>
      </c>
      <c r="GK321" s="98">
        <f>IF(ISERROR((GJ321/GH321-1)*100),"NA",IF(((GJ321/GH321-1)*100)&gt;100,"NM",IF(((GJ321/GH321-1)*100)&lt;-50,"NM",(GJ321/GH321-1)*100)))</f>
        <v>-11.421319796954311</v>
      </c>
      <c r="GL321" s="160">
        <f>EA321+EC321+EE321+EG321</f>
        <v>328</v>
      </c>
      <c r="GM321" s="98">
        <f>IF(ISERROR((GL321/GJ321-1)*100),"NA",IF(((GL321/GJ321-1)*100)&gt;100,"NM",IF(((GL321/GJ321-1)*100)&lt;-50,"NM",(GL321/GJ321-1)*100)))</f>
        <v>-6.0171919770773634</v>
      </c>
      <c r="GN321" s="160">
        <f>EI321+EK321+EM321+EO321</f>
        <v>369</v>
      </c>
      <c r="GO321" s="98">
        <f>IF(ISERROR((GN321/GL321-1)*100),"NA",IF(((GN321/GL321-1)*100)&gt;100,"NM",IF(((GN321/GL321-1)*100)&lt;-50,"NM",(GN321/GL321-1)*100)))</f>
        <v>12.5</v>
      </c>
      <c r="GP321" s="160">
        <f>EQ321+ES321+EU321+EW321</f>
        <v>390.31309100874989</v>
      </c>
      <c r="GQ321" s="98">
        <f>IF(ISERROR((GP321/GN321-1)*100),"NA",IF(((GP321/GN321-1)*100)&gt;100,"NM",IF(((GP321/GN321-1)*100)&lt;-50,"NM",(GP321/GN321-1)*100)))</f>
        <v>5.7759054224254536</v>
      </c>
      <c r="GR321" s="119">
        <f>GP321/GP315*GR315</f>
        <v>413.73187646927494</v>
      </c>
      <c r="GS321" s="98">
        <f>IF(ISERROR((GR321/GP321-1)*100),"NA",IF(((GR321/GP321-1)*100)&gt;100,"NM",IF(((GR321/GP321-1)*100)&lt;-50,"NM",(GR321/GP321-1)*100)))</f>
        <v>6.0000000000000053</v>
      </c>
      <c r="GT321" s="119">
        <f>GR321/GR315*GT315</f>
        <v>438.55578905743147</v>
      </c>
      <c r="GU321" s="98">
        <f>IF(ISERROR((GT321/GR321-1)*100),"NA",IF(((GT321/GR321-1)*100)&gt;100,"NM",IF(((GT321/GR321-1)*100)&lt;-50,"NM",(GT321/GR321-1)*100)))</f>
        <v>6.0000000000000053</v>
      </c>
      <c r="GV321" s="119">
        <f>GT321/GT315*GV315</f>
        <v>464.86913640087738</v>
      </c>
      <c r="GW321" s="98">
        <f>IF(ISERROR((GV321/GT321-1)*100),"NA",IF(((GV321/GT321-1)*100)&gt;100,"NM",IF(((GV321/GT321-1)*100)&lt;-50,"NM",(GV321/GT321-1)*100)))</f>
        <v>6.0000000000000053</v>
      </c>
      <c r="GX321" s="119">
        <f>GV321/GV315*GX315</f>
        <v>492.76128458493002</v>
      </c>
      <c r="GY321" s="98">
        <f>IF(ISERROR((GX321/GV321-1)*100),"NA",IF(((GX321/GV321-1)*100)&gt;100,"NM",IF(((GX321/GV321-1)*100)&lt;-50,"NM",(GX321/GV321-1)*100)))</f>
        <v>6.0000000000000053</v>
      </c>
      <c r="GZ321" s="98">
        <f>IF(ISERROR(((GX321/GN321)^0.2-1)*100),"NA",IF((((GX321/GN321)^0.2-1)*100)&gt;100,"NM",IF((((GX321/GN321)^0.2-1)*100)&lt;-50,"NM",((GX321/GN321)^0.2-1)*100)))</f>
        <v>5.9551431356744455</v>
      </c>
      <c r="HA321" s="98"/>
      <c r="HB321" s="10"/>
      <c r="HC321"/>
      <c r="HD321"/>
      <c r="HE321"/>
      <c r="HF321"/>
      <c r="HG321"/>
      <c r="HH321"/>
      <c r="HI321" s="10"/>
    </row>
    <row r="322" spans="2:217" s="2" customFormat="1" ht="12.75" customHeight="1" x14ac:dyDescent="0.2">
      <c r="B322" s="179" t="s">
        <v>120</v>
      </c>
      <c r="C322" s="117"/>
      <c r="D322" s="98"/>
      <c r="E322" s="117"/>
      <c r="F322" s="98"/>
      <c r="G322" s="117"/>
      <c r="H322" s="98"/>
      <c r="I322" s="117"/>
      <c r="J322" s="98"/>
      <c r="K322" s="117"/>
      <c r="L322" s="98"/>
      <c r="M322" s="117"/>
      <c r="N322" s="98"/>
      <c r="O322" s="117"/>
      <c r="P322" s="98"/>
      <c r="Q322" s="117"/>
      <c r="R322" s="98"/>
      <c r="S322" s="182"/>
      <c r="T322" s="98"/>
      <c r="U322" s="182"/>
      <c r="V322" s="98"/>
      <c r="W322" s="182"/>
      <c r="X322" s="98"/>
      <c r="Y322" s="182"/>
      <c r="Z322" s="98"/>
      <c r="AA322" s="182"/>
      <c r="AB322" s="98"/>
      <c r="AC322" s="182"/>
      <c r="AD322" s="98"/>
      <c r="AE322" s="182"/>
      <c r="AF322" s="98"/>
      <c r="AG322" s="182"/>
      <c r="AH322" s="98"/>
      <c r="AI322" s="182"/>
      <c r="AJ322" s="98"/>
      <c r="AK322" s="182"/>
      <c r="AL322" s="98"/>
      <c r="AM322" s="182"/>
      <c r="AN322" s="98"/>
      <c r="AO322" s="182"/>
      <c r="AP322" s="98"/>
      <c r="AQ322" s="182"/>
      <c r="AR322" s="98"/>
      <c r="AS322" s="182"/>
      <c r="AT322" s="98"/>
      <c r="AU322" s="182"/>
      <c r="AV322" s="98"/>
      <c r="AW322" s="182"/>
      <c r="AX322" s="98"/>
      <c r="AY322" s="182"/>
      <c r="AZ322" s="98"/>
      <c r="BA322" s="182"/>
      <c r="BB322" s="98"/>
      <c r="BC322" s="182"/>
      <c r="BD322" s="98"/>
      <c r="BE322" s="182"/>
      <c r="BF322" s="98"/>
      <c r="BG322" s="182"/>
      <c r="BH322" s="98"/>
      <c r="BI322" s="182"/>
      <c r="BJ322" s="98"/>
      <c r="BK322" s="182"/>
      <c r="BL322" s="98"/>
      <c r="BM322" s="182"/>
      <c r="BN322" s="98"/>
      <c r="BO322" s="182"/>
      <c r="BP322" s="98"/>
      <c r="BQ322" s="182"/>
      <c r="BR322" s="98"/>
      <c r="BS322" s="182"/>
      <c r="BT322" s="98"/>
      <c r="BU322" s="182"/>
      <c r="BV322" s="98"/>
      <c r="BW322" s="182"/>
      <c r="BX322" s="98"/>
      <c r="BY322" s="182"/>
      <c r="BZ322" s="98"/>
      <c r="CA322" s="182"/>
      <c r="CB322" s="98"/>
      <c r="CC322" s="182"/>
      <c r="CD322" s="98"/>
      <c r="CE322" s="182"/>
      <c r="CF322" s="98"/>
      <c r="CG322" s="182"/>
      <c r="CH322" s="98"/>
      <c r="CI322" s="182"/>
      <c r="CJ322" s="98"/>
      <c r="CK322" s="182"/>
      <c r="CL322" s="98"/>
      <c r="CM322" s="101">
        <f>-75+47-2</f>
        <v>-30</v>
      </c>
      <c r="CN322" s="98" t="str">
        <f>IF(ISERROR((CM322/CE322-1)*100),"NA",IF(((CM322/CE322-1)*100)&gt;100,"NM",IF(((CM322/CE322-1)*100)&lt;-50,"NM",(CM322/CE322-1)*100)))</f>
        <v>NA</v>
      </c>
      <c r="CO322" s="101">
        <f>-78+62-2</f>
        <v>-18</v>
      </c>
      <c r="CP322" s="98" t="str">
        <f>IF(ISERROR((CO322/CG322-1)*100),"NA",IF(((CO322/CG322-1)*100)&gt;100,"NM",IF(((CO322/CG322-1)*100)&lt;-50,"NM",(CO322/CG322-1)*100)))</f>
        <v>NA</v>
      </c>
      <c r="CQ322" s="542">
        <f>-78+45</f>
        <v>-33</v>
      </c>
      <c r="CR322" s="98" t="str">
        <f>IF(ISERROR((CQ322/CI322-1)*100),"NA",IF(((CQ322/CI322-1)*100)&gt;100,"NM",IF(((CQ322/CI322-1)*100)&lt;-50,"NM",(CQ322/CI322-1)*100)))</f>
        <v>NA</v>
      </c>
      <c r="CS322" s="101">
        <f>-64+53-2</f>
        <v>-13</v>
      </c>
      <c r="CT322" s="98" t="str">
        <f>IF(ISERROR((CS322/CK322-1)*100),"NA",IF(((CS322/CK322-1)*100)&gt;100,"NM",IF(((CS322/CK322-1)*100)&lt;-50,"NM",(CS322/CK322-1)*100)))</f>
        <v>NA</v>
      </c>
      <c r="CU322" s="101">
        <f>-84+55-2</f>
        <v>-31</v>
      </c>
      <c r="CV322" s="98">
        <f>IF(ISERROR((CU322/CM322-1)*100),"NA",IF(((CU322/CM322-1)*100)&gt;100,"NM",IF(((CU322/CM322-1)*100)&lt;-50,"NM",(CU322/CM322-1)*100)))</f>
        <v>3.3333333333333437</v>
      </c>
      <c r="CW322" s="101">
        <f>-71+54-1</f>
        <v>-18</v>
      </c>
      <c r="CX322" s="98">
        <f>IF(ISERROR((CW322/CO322-1)*100),"NA",IF(((CW322/CO322-1)*100)&gt;100,"NM",IF(((CW322/CO322-1)*100)&lt;-50,"NM",(CW322/CO322-1)*100)))</f>
        <v>0</v>
      </c>
      <c r="CY322" s="101">
        <f>-83+42-1</f>
        <v>-42</v>
      </c>
      <c r="CZ322" s="98">
        <f>IF(ISERROR((CY322/CQ322-1)*100),"NA",IF(((CY322/CQ322-1)*100)&gt;100,"NM",IF(((CY322/CQ322-1)*100)&lt;-50,"NM",(CY322/CQ322-1)*100)))</f>
        <v>27.27272727272727</v>
      </c>
      <c r="DA322" s="101">
        <f>-115+73-1</f>
        <v>-43</v>
      </c>
      <c r="DB322" s="98" t="str">
        <f>IF(ISERROR((DA322/CS322-1)*100),"NA",IF(((DA322/CS322-1)*100)&gt;100,"NM",IF(((DA322/CS322-1)*100)&lt;-50,"NM",(DA322/CS322-1)*100)))</f>
        <v>NM</v>
      </c>
      <c r="DC322" s="101">
        <f>-105+74-1</f>
        <v>-32</v>
      </c>
      <c r="DD322" s="98">
        <f>IF(ISERROR((DC322/CU322-1)*100),"NA",IF(((DC322/CU322-1)*100)&gt;100,"NM",IF(((DC322/CU322-1)*100)&lt;-50,"NM",(DC322/CU322-1)*100)))</f>
        <v>3.2258064516129004</v>
      </c>
      <c r="DE322" s="101">
        <f>-108+83</f>
        <v>-25</v>
      </c>
      <c r="DF322" s="98">
        <f>IF(ISERROR((DE322/CW322-1)*100),"NA",IF(((DE322/CW322-1)*100)&gt;100,"NM",IF(((DE322/CW322-1)*100)&lt;-50,"NM",(DE322/CW322-1)*100)))</f>
        <v>38.888888888888886</v>
      </c>
      <c r="DG322" s="101">
        <f>-103+63-1</f>
        <v>-41</v>
      </c>
      <c r="DH322" s="98">
        <f>IF(ISERROR((DG322/CY322-1)*100),"NA",IF(((DG322/CY322-1)*100)&gt;100,"NM",IF(((DG322/CY322-1)*100)&lt;-50,"NM",(DG322/CY322-1)*100)))</f>
        <v>-2.3809523809523836</v>
      </c>
      <c r="DI322" s="101">
        <f>-108+90</f>
        <v>-18</v>
      </c>
      <c r="DJ322" s="98" t="str">
        <f>IF(ISERROR((DI322/DA322-1)*100),"NA",IF(((DI322/DA322-1)*100)&gt;100,"NM",IF(((DI322/DA322-1)*100)&lt;-50,"NM",(DI322/DA322-1)*100)))</f>
        <v>NM</v>
      </c>
      <c r="DK322" s="101">
        <f>-107+79</f>
        <v>-28</v>
      </c>
      <c r="DL322" s="98">
        <f>IF(ISERROR((DK322/DC322-1)*100),"NA",IF(((DK322/DC322-1)*100)&gt;100,"NM",IF(((DK322/DC322-1)*100)&lt;-50,"NM",(DK322/DC322-1)*100)))</f>
        <v>-12.5</v>
      </c>
      <c r="DM322" s="101">
        <f>-101+84</f>
        <v>-17</v>
      </c>
      <c r="DN322" s="98">
        <f>IF(ISERROR((DM322/DE322-1)*100),"NA",IF(((DM322/DE322-1)*100)&gt;100,"NM",IF(((DM322/DE322-1)*100)&lt;-50,"NM",(DM322/DE322-1)*100)))</f>
        <v>-31.999999999999996</v>
      </c>
      <c r="DO322" s="101">
        <f>-112+102</f>
        <v>-10</v>
      </c>
      <c r="DP322" s="98" t="str">
        <f>IF(ISERROR((DO322/DG322-1)*100),"NA",IF(((DO322/DG322-1)*100)&gt;100,"NM",IF(((DO322/DG322-1)*100)&lt;-50,"NM",(DO322/DG322-1)*100)))</f>
        <v>NM</v>
      </c>
      <c r="DQ322" s="101">
        <f>-125+69</f>
        <v>-56</v>
      </c>
      <c r="DR322" s="98" t="str">
        <f>IF(ISERROR((DQ322/DI322-1)*100),"NA",IF(((DQ322/DI322-1)*100)&gt;100,"NM",IF(((DQ322/DI322-1)*100)&lt;-50,"NM",(DQ322/DI322-1)*100)))</f>
        <v>NM</v>
      </c>
      <c r="DS322" s="101">
        <f>-82+69</f>
        <v>-13</v>
      </c>
      <c r="DT322" s="98" t="str">
        <f>IF(ISERROR((DS322/DK322-1)*100),"NA",IF(((DS322/DK322-1)*100)&gt;100,"NM",IF(((DS322/DK322-1)*100)&lt;-50,"NM",(DS322/DK322-1)*100)))</f>
        <v>NM</v>
      </c>
      <c r="DU322" s="101">
        <f>-83+78-1</f>
        <v>-6</v>
      </c>
      <c r="DV322" s="98" t="str">
        <f>IF(ISERROR((DU322/DM322-1)*100),"NA",IF(((DU322/DM322-1)*100)&gt;100,"NM",IF(((DU322/DM322-1)*100)&lt;-50,"NM",(DU322/DM322-1)*100)))</f>
        <v>NM</v>
      </c>
      <c r="DW322" s="101">
        <f>-81+48</f>
        <v>-33</v>
      </c>
      <c r="DX322" s="98" t="str">
        <f>IF(ISERROR((DW322/DO322-1)*100),"NA",IF(((DW322/DO322-1)*100)&gt;100,"NM",IF(((DW322/DO322-1)*100)&lt;-50,"NM",(DW322/DO322-1)*100)))</f>
        <v>NM</v>
      </c>
      <c r="DY322" s="101">
        <f>-95+76</f>
        <v>-19</v>
      </c>
      <c r="DZ322" s="98" t="str">
        <f>IF(ISERROR((DY322/DQ322-1)*100),"NA",IF(((DY322/DQ322-1)*100)&gt;100,"NM",IF(((DY322/DQ322-1)*100)&lt;-50,"NM",(DY322/DQ322-1)*100)))</f>
        <v>NM</v>
      </c>
      <c r="EA322" s="101">
        <f>-73+63</f>
        <v>-10</v>
      </c>
      <c r="EB322" s="98">
        <f>IF(ISERROR((EA322/DS322-1)*100),"NA",IF(((EA322/DS322-1)*100)&gt;100,"NM",IF(((EA322/DS322-1)*100)&lt;-50,"NM",(EA322/DS322-1)*100)))</f>
        <v>-23.076923076923073</v>
      </c>
      <c r="EC322" s="101">
        <f>-80+66</f>
        <v>-14</v>
      </c>
      <c r="ED322" s="98" t="str">
        <f>IF(ISERROR((EC322/DU322-1)*100),"NA",IF(((EC322/DU322-1)*100)&gt;100,"NM",IF(((EC322/DU322-1)*100)&lt;-50,"NM",(EC322/DU322-1)*100)))</f>
        <v>NM</v>
      </c>
      <c r="EE322" s="101">
        <f>-83-2-1+1</f>
        <v>-85</v>
      </c>
      <c r="EF322" s="860" t="str">
        <f>IF(ISERROR((EE322/DW322-1)*100),"NA",IF(((EE322/DW322-1)*100)&gt;100,"NM",IF(((EE322/DW322-1)*100)&lt;-50,"NM",(EE322/DW322-1)*100)))</f>
        <v>NM</v>
      </c>
      <c r="EG322" s="101">
        <f>-85+57+1</f>
        <v>-27</v>
      </c>
      <c r="EH322" s="860">
        <f>IF(ISERROR((EG322/DY322-1)*100),"NA",IF(((EG322/DY322-1)*100)&gt;100,"NM",IF(((EG322/DY322-1)*100)&lt;-50,"NM",(EG322/DY322-1)*100)))</f>
        <v>42.105263157894733</v>
      </c>
      <c r="EI322" s="101">
        <f>-82+78+1</f>
        <v>-3</v>
      </c>
      <c r="EJ322" s="860" t="str">
        <f t="shared" si="1655"/>
        <v>NM</v>
      </c>
      <c r="EK322" s="101">
        <f>-88+68+2</f>
        <v>-18</v>
      </c>
      <c r="EL322" s="860">
        <f t="shared" si="1656"/>
        <v>28.57142857142858</v>
      </c>
      <c r="EM322" s="101">
        <f>-94-1+1</f>
        <v>-94</v>
      </c>
      <c r="EN322" s="860">
        <f t="shared" si="1657"/>
        <v>10.588235294117654</v>
      </c>
      <c r="EO322" s="101">
        <f>-100+78+1</f>
        <v>-21</v>
      </c>
      <c r="EP322" s="98">
        <f t="shared" si="1658"/>
        <v>-22.222222222222221</v>
      </c>
      <c r="EQ322" s="952">
        <f>EO322*1.025</f>
        <v>-21.524999999999999</v>
      </c>
      <c r="ER322" s="98" t="str">
        <f t="shared" si="1660"/>
        <v>NM</v>
      </c>
      <c r="ES322" s="952">
        <f t="shared" ref="ES322" si="1671">EQ322*1.025</f>
        <v>-22.063124999999996</v>
      </c>
      <c r="ET322" s="98">
        <f t="shared" si="1662"/>
        <v>22.572916666666654</v>
      </c>
      <c r="EU322" s="952">
        <f t="shared" ref="EU322" si="1672">ES322*1.025</f>
        <v>-22.614703124999995</v>
      </c>
      <c r="EV322" s="98" t="str">
        <f t="shared" si="1664"/>
        <v>NM</v>
      </c>
      <c r="EW322" s="952">
        <f t="shared" ref="EW322" si="1673">EU322*1.025</f>
        <v>-23.180070703124994</v>
      </c>
      <c r="EX322" s="98">
        <f t="shared" si="1666"/>
        <v>10.381289062499977</v>
      </c>
      <c r="EY322" s="282"/>
      <c r="EZ322" s="594"/>
      <c r="FA322" s="405"/>
      <c r="FB322" s="279"/>
      <c r="FC322" s="98"/>
      <c r="FD322" s="278"/>
      <c r="FE322" s="98"/>
      <c r="FF322" s="279"/>
      <c r="FG322" s="98"/>
      <c r="FH322" s="279"/>
      <c r="FI322" s="98"/>
      <c r="FJ322" s="282"/>
      <c r="FK322" s="98"/>
      <c r="FL322" s="282"/>
      <c r="FM322" s="98"/>
      <c r="FN322" s="282"/>
      <c r="FO322" s="98"/>
      <c r="FP322" s="282"/>
      <c r="FQ322" s="98"/>
      <c r="FR322" s="283"/>
      <c r="FS322" s="120"/>
      <c r="FT322" s="283"/>
      <c r="FU322" s="120"/>
      <c r="FV322" s="283"/>
      <c r="FW322" s="98"/>
      <c r="FX322" s="520"/>
      <c r="FY322" s="98"/>
      <c r="FZ322" s="283"/>
      <c r="GA322" s="98"/>
      <c r="GB322" s="485">
        <f>CM322+CO322+CQ322+CS322</f>
        <v>-94</v>
      </c>
      <c r="GC322" s="98" t="str">
        <f>IF(ISERROR((GB322/FZ322-1)*100),"NA",IF(((GB322/FZ322-1)*100)&gt;100,"NM",IF(((GB322/FZ322-1)*100)&lt;-50,"NM",(GB322/FZ322-1)*100)))</f>
        <v>NA</v>
      </c>
      <c r="GD322" s="119">
        <f>CU322+CW322+CY322+DA322</f>
        <v>-134</v>
      </c>
      <c r="GE322" s="98">
        <f>IF(ISERROR((GD322/GB322-1)*100),"NA",IF(((GD322/GB322-1)*100)&gt;100,"NM",IF(((GD322/GB322-1)*100)&lt;-50,"NM",(GD322/GB322-1)*100)))</f>
        <v>42.553191489361694</v>
      </c>
      <c r="GF322" s="119">
        <f>DC322+DE322+DG322+DI322</f>
        <v>-116</v>
      </c>
      <c r="GG322" s="98">
        <f>IF(ISERROR((GF322/GD322-1)*100),"NA",IF(((GF322/GD322-1)*100)&gt;100,"NM",IF(((GF322/GD322-1)*100)&lt;-50,"NM",(GF322/GD322-1)*100)))</f>
        <v>-13.432835820895528</v>
      </c>
      <c r="GH322" s="119">
        <f>DK322+DM322+DO322+DQ322</f>
        <v>-111</v>
      </c>
      <c r="GI322" s="98">
        <f>IF(ISERROR((GH322/GF322-1)*100),"NA",IF(((GH322/GF322-1)*100)&gt;100,"NM",IF(((GH322/GF322-1)*100)&lt;-50,"NM",(GH322/GF322-1)*100)))</f>
        <v>-4.31034482758621</v>
      </c>
      <c r="GJ322" s="119">
        <f>DS322+DU322+DW322+DY322</f>
        <v>-71</v>
      </c>
      <c r="GK322" s="98">
        <f>IF(ISERROR((GJ322/GH322-1)*100),"NA",IF(((GJ322/GH322-1)*100)&gt;100,"NM",IF(((GJ322/GH322-1)*100)&lt;-50,"NM",(GJ322/GH322-1)*100)))</f>
        <v>-36.036036036036037</v>
      </c>
      <c r="GL322" s="119">
        <f>EA322+EC322+EE322+EG322</f>
        <v>-136</v>
      </c>
      <c r="GM322" s="98">
        <f>IF(ISERROR((GL322/GJ322-1)*100),"NA",IF(((GL322/GJ322-1)*100)&gt;100,"NM",IF(((GL322/GJ322-1)*100)&lt;-50,"NM",(GL322/GJ322-1)*100)))</f>
        <v>91.549295774647874</v>
      </c>
      <c r="GN322" s="119">
        <f>EI322+EK322+EM322+EO322</f>
        <v>-136</v>
      </c>
      <c r="GO322" s="98">
        <f>IF(ISERROR((GN322/GL322-1)*100),"NA",IF(((GN322/GL322-1)*100)&gt;100,"NM",IF(((GN322/GL322-1)*100)&lt;-50,"NM",(GN322/GL322-1)*100)))</f>
        <v>0</v>
      </c>
      <c r="GP322" s="119">
        <f>EQ322+ES322+EU322+EW322</f>
        <v>-89.382898828124979</v>
      </c>
      <c r="GQ322" s="98">
        <f>IF(ISERROR((GP322/GN322-1)*100),"NA",IF(((GP322/GN322-1)*100)&gt;100,"NM",IF(((GP322/GN322-1)*100)&lt;-50,"NM",(GP322/GN322-1)*100)))</f>
        <v>-34.277280273437519</v>
      </c>
      <c r="GR322" s="121">
        <f>+GP322*1.06</f>
        <v>-94.745872757812478</v>
      </c>
      <c r="GS322" s="98">
        <f>IF(ISERROR((GR322/GP322-1)*100),"NA",IF(((GR322/GP322-1)*100)&gt;100,"NM",IF(((GR322/GP322-1)*100)&lt;-50,"NM",(GR322/GP322-1)*100)))</f>
        <v>6.0000000000000053</v>
      </c>
      <c r="GT322" s="121">
        <f>+GR322*1.06</f>
        <v>-100.43062512328123</v>
      </c>
      <c r="GU322" s="98">
        <f>IF(ISERROR((GT322/GR322-1)*100),"NA",IF(((GT322/GR322-1)*100)&gt;100,"NM",IF(((GT322/GR322-1)*100)&lt;-50,"NM",(GT322/GR322-1)*100)))</f>
        <v>6.0000000000000053</v>
      </c>
      <c r="GV322" s="121">
        <f>+GT322*1.06</f>
        <v>-106.4564626306781</v>
      </c>
      <c r="GW322" s="98">
        <f>IF(ISERROR((GV322/GT322-1)*100),"NA",IF(((GV322/GT322-1)*100)&gt;100,"NM",IF(((GV322/GT322-1)*100)&lt;-50,"NM",(GV322/GT322-1)*100)))</f>
        <v>6.0000000000000053</v>
      </c>
      <c r="GX322" s="121">
        <f>+GV322*1.06</f>
        <v>-112.84385038851879</v>
      </c>
      <c r="GY322" s="98">
        <f>IF(ISERROR((GX322/GV322-1)*100),"NA",IF(((GX322/GV322-1)*100)&gt;100,"NM",IF(((GX322/GV322-1)*100)&lt;-50,"NM",(GX322/GV322-1)*100)))</f>
        <v>6.0000000000000053</v>
      </c>
      <c r="GZ322" s="98">
        <f>IF(ISERROR(((GX322/GN322)^0.2-1)*100),"NA",IF((((GX322/GN322)^0.2-1)*100)&gt;100,"NM",IF((((GX322/GN322)^0.2-1)*100)&lt;-50,"NM",((GX322/GN322)^0.2-1)*100)))</f>
        <v>-3.6641801732880119</v>
      </c>
      <c r="HA322" s="98"/>
      <c r="HB322" s="10"/>
      <c r="HC322"/>
      <c r="HD322"/>
      <c r="HE322"/>
      <c r="HF322"/>
      <c r="HG322"/>
      <c r="HH322"/>
      <c r="HI322" s="10"/>
    </row>
    <row r="323" spans="2:217" s="2" customFormat="1" ht="12.75" customHeight="1" x14ac:dyDescent="0.2">
      <c r="B323" s="179" t="s">
        <v>266</v>
      </c>
      <c r="C323" s="117"/>
      <c r="D323" s="98"/>
      <c r="E323" s="117"/>
      <c r="F323" s="98"/>
      <c r="G323" s="117"/>
      <c r="H323" s="98"/>
      <c r="I323" s="117"/>
      <c r="J323" s="98"/>
      <c r="K323" s="117"/>
      <c r="L323" s="98"/>
      <c r="M323" s="117"/>
      <c r="N323" s="98"/>
      <c r="O323" s="117"/>
      <c r="P323" s="98"/>
      <c r="Q323" s="117"/>
      <c r="R323" s="98"/>
      <c r="S323" s="182"/>
      <c r="T323" s="98"/>
      <c r="U323" s="182"/>
      <c r="V323" s="98"/>
      <c r="W323" s="182"/>
      <c r="X323" s="98"/>
      <c r="Y323" s="182"/>
      <c r="Z323" s="98"/>
      <c r="AA323" s="182"/>
      <c r="AB323" s="98"/>
      <c r="AC323" s="182"/>
      <c r="AD323" s="98"/>
      <c r="AE323" s="182"/>
      <c r="AF323" s="98"/>
      <c r="AG323" s="182"/>
      <c r="AH323" s="98"/>
      <c r="AI323" s="182"/>
      <c r="AJ323" s="98"/>
      <c r="AK323" s="182"/>
      <c r="AL323" s="98"/>
      <c r="AM323" s="182"/>
      <c r="AN323" s="98"/>
      <c r="AO323" s="182"/>
      <c r="AP323" s="98"/>
      <c r="AQ323" s="182"/>
      <c r="AR323" s="98"/>
      <c r="AS323" s="182"/>
      <c r="AT323" s="98"/>
      <c r="AU323" s="182"/>
      <c r="AV323" s="98"/>
      <c r="AW323" s="182"/>
      <c r="AX323" s="98"/>
      <c r="AY323" s="182"/>
      <c r="AZ323" s="98"/>
      <c r="BA323" s="182"/>
      <c r="BB323" s="98"/>
      <c r="BC323" s="182"/>
      <c r="BD323" s="98"/>
      <c r="BE323" s="182"/>
      <c r="BF323" s="98"/>
      <c r="BG323" s="182"/>
      <c r="BH323" s="98"/>
      <c r="BI323" s="182"/>
      <c r="BJ323" s="98"/>
      <c r="BK323" s="182"/>
      <c r="BL323" s="98"/>
      <c r="BM323" s="182"/>
      <c r="BN323" s="98"/>
      <c r="BO323" s="182"/>
      <c r="BP323" s="98"/>
      <c r="BQ323" s="182"/>
      <c r="BR323" s="98"/>
      <c r="BS323" s="182"/>
      <c r="BT323" s="98"/>
      <c r="BU323" s="182"/>
      <c r="BV323" s="98"/>
      <c r="BW323" s="182"/>
      <c r="BX323" s="98"/>
      <c r="BY323" s="182"/>
      <c r="BZ323" s="98"/>
      <c r="CA323" s="182"/>
      <c r="CB323" s="98"/>
      <c r="CC323" s="182"/>
      <c r="CD323" s="98"/>
      <c r="CE323" s="182"/>
      <c r="CF323" s="98"/>
      <c r="CG323" s="182"/>
      <c r="CH323" s="98"/>
      <c r="CI323" s="182"/>
      <c r="CJ323" s="98"/>
      <c r="CK323" s="182"/>
      <c r="CL323" s="98"/>
      <c r="CM323" s="101">
        <v>309</v>
      </c>
      <c r="CN323" s="98" t="str">
        <f>IF(ISERROR((CM323/CE323-1)*100),"NA",IF(((CM323/CE323-1)*100)&gt;100,"NM",IF(((CM323/CE323-1)*100)&lt;-50,"NM",(CM323/CE323-1)*100)))</f>
        <v>NA</v>
      </c>
      <c r="CO323" s="101">
        <f>339+1</f>
        <v>340</v>
      </c>
      <c r="CP323" s="98" t="str">
        <f>IF(ISERROR((CO323/CG323-1)*100),"NA",IF(((CO323/CG323-1)*100)&gt;100,"NM",IF(((CO323/CG323-1)*100)&lt;-50,"NM",(CO323/CG323-1)*100)))</f>
        <v>NA</v>
      </c>
      <c r="CQ323" s="542">
        <f>333</f>
        <v>333</v>
      </c>
      <c r="CR323" s="98" t="str">
        <f>IF(ISERROR((CQ323/CI323-1)*100),"NA",IF(((CQ323/CI323-1)*100)&gt;100,"NM",IF(((CQ323/CI323-1)*100)&lt;-50,"NM",(CQ323/CI323-1)*100)))</f>
        <v>NA</v>
      </c>
      <c r="CS323" s="101">
        <f>324</f>
        <v>324</v>
      </c>
      <c r="CT323" s="98" t="str">
        <f>IF(ISERROR((CS323/CK323-1)*100),"NA",IF(((CS323/CK323-1)*100)&gt;100,"NM",IF(((CS323/CK323-1)*100)&lt;-50,"NM",(CS323/CK323-1)*100)))</f>
        <v>NA</v>
      </c>
      <c r="CU323" s="101">
        <f>326+1</f>
        <v>327</v>
      </c>
      <c r="CV323" s="98">
        <f>IF(ISERROR((CU323/CM323-1)*100),"NA",IF(((CU323/CM323-1)*100)&gt;100,"NM",IF(((CU323/CM323-1)*100)&lt;-50,"NM",(CU323/CM323-1)*100)))</f>
        <v>5.8252427184465994</v>
      </c>
      <c r="CW323" s="101">
        <v>323</v>
      </c>
      <c r="CX323" s="98">
        <f>IF(ISERROR((CW323/CO323-1)*100),"NA",IF(((CW323/CO323-1)*100)&gt;100,"NM",IF(((CW323/CO323-1)*100)&lt;-50,"NM",(CW323/CO323-1)*100)))</f>
        <v>-5.0000000000000044</v>
      </c>
      <c r="CY323" s="101">
        <f>-4+353</f>
        <v>349</v>
      </c>
      <c r="CZ323" s="98">
        <f>IF(ISERROR((CY323/CQ323-1)*100),"NA",IF(((CY323/CQ323-1)*100)&gt;100,"NM",IF(((CY323/CQ323-1)*100)&lt;-50,"NM",(CY323/CQ323-1)*100)))</f>
        <v>4.8048048048048075</v>
      </c>
      <c r="DA323" s="101">
        <f>2+373</f>
        <v>375</v>
      </c>
      <c r="DB323" s="98">
        <f>IF(ISERROR((DA323/CS323-1)*100),"NA",IF(((DA323/CS323-1)*100)&gt;100,"NM",IF(((DA323/CS323-1)*100)&lt;-50,"NM",(DA323/CS323-1)*100)))</f>
        <v>15.740740740740744</v>
      </c>
      <c r="DC323" s="101">
        <f>-1+372</f>
        <v>371</v>
      </c>
      <c r="DD323" s="98">
        <f>IF(ISERROR((DC323/CU323-1)*100),"NA",IF(((DC323/CU323-1)*100)&gt;100,"NM",IF(((DC323/CU323-1)*100)&lt;-50,"NM",(DC323/CU323-1)*100)))</f>
        <v>13.455657492354733</v>
      </c>
      <c r="DE323" s="101">
        <f>1+390</f>
        <v>391</v>
      </c>
      <c r="DF323" s="98">
        <f>IF(ISERROR((DE323/CW323-1)*100),"NA",IF(((DE323/CW323-1)*100)&gt;100,"NM",IF(((DE323/CW323-1)*100)&lt;-50,"NM",(DE323/CW323-1)*100)))</f>
        <v>21.052631578947366</v>
      </c>
      <c r="DG323" s="101">
        <v>395</v>
      </c>
      <c r="DH323" s="98">
        <f>IF(ISERROR((DG323/CY323-1)*100),"NA",IF(((DG323/CY323-1)*100)&gt;100,"NM",IF(((DG323/CY323-1)*100)&lt;-50,"NM",(DG323/CY323-1)*100)))</f>
        <v>13.180515759312318</v>
      </c>
      <c r="DI323" s="101">
        <v>455</v>
      </c>
      <c r="DJ323" s="98">
        <f>IF(ISERROR((DI323/DA323-1)*100),"NA",IF(((DI323/DA323-1)*100)&gt;100,"NM",IF(((DI323/DA323-1)*100)&lt;-50,"NM",(DI323/DA323-1)*100)))</f>
        <v>21.333333333333336</v>
      </c>
      <c r="DK323" s="101">
        <v>436</v>
      </c>
      <c r="DL323" s="98">
        <f>IF(ISERROR((DK323/DC323-1)*100),"NA",IF(((DK323/DC323-1)*100)&gt;100,"NM",IF(((DK323/DC323-1)*100)&lt;-50,"NM",(DK323/DC323-1)*100)))</f>
        <v>17.520215633423184</v>
      </c>
      <c r="DM323" s="101">
        <f>436-1</f>
        <v>435</v>
      </c>
      <c r="DN323" s="98">
        <f>IF(ISERROR((DM323/DE323-1)*100),"NA",IF(((DM323/DE323-1)*100)&gt;100,"NM",IF(((DM323/DE323-1)*100)&lt;-50,"NM",(DM323/DE323-1)*100)))</f>
        <v>11.253196930946284</v>
      </c>
      <c r="DO323" s="101">
        <v>450</v>
      </c>
      <c r="DP323" s="98">
        <f>IF(ISERROR((DO323/DG323-1)*100),"NA",IF(((DO323/DG323-1)*100)&gt;100,"NM",IF(((DO323/DG323-1)*100)&lt;-50,"NM",(DO323/DG323-1)*100)))</f>
        <v>13.924050632911399</v>
      </c>
      <c r="DQ323" s="101">
        <v>488</v>
      </c>
      <c r="DR323" s="98">
        <f>IF(ISERROR((DQ323/DI323-1)*100),"NA",IF(((DQ323/DI323-1)*100)&gt;100,"NM",IF(((DQ323/DI323-1)*100)&lt;-50,"NM",(DQ323/DI323-1)*100)))</f>
        <v>7.2527472527472492</v>
      </c>
      <c r="DS323" s="101">
        <v>358</v>
      </c>
      <c r="DT323" s="98">
        <f>IF(ISERROR((DS323/DK323-1)*100),"NA",IF(((DS323/DK323-1)*100)&gt;100,"NM",IF(((DS323/DK323-1)*100)&lt;-50,"NM",(DS323/DK323-1)*100)))</f>
        <v>-17.889908256880737</v>
      </c>
      <c r="DU323" s="101">
        <v>364</v>
      </c>
      <c r="DV323" s="98">
        <f>IF(ISERROR((DU323/DM323-1)*100),"NA",IF(((DU323/DM323-1)*100)&gt;100,"NM",IF(((DU323/DM323-1)*100)&lt;-50,"NM",(DU323/DM323-1)*100)))</f>
        <v>-16.321839080459768</v>
      </c>
      <c r="DW323" s="101">
        <v>348</v>
      </c>
      <c r="DX323" s="98">
        <f>IF(ISERROR((DW323/DO323-1)*100),"NA",IF(((DW323/DO323-1)*100)&gt;100,"NM",IF(((DW323/DO323-1)*100)&lt;-50,"NM",(DW323/DO323-1)*100)))</f>
        <v>-22.666666666666668</v>
      </c>
      <c r="DY323" s="101">
        <v>359</v>
      </c>
      <c r="DZ323" s="98">
        <f>IF(ISERROR((DY323/DQ323-1)*100),"NA",IF(((DY323/DQ323-1)*100)&gt;100,"NM",IF(((DY323/DQ323-1)*100)&lt;-50,"NM",(DY323/DQ323-1)*100)))</f>
        <v>-26.434426229508201</v>
      </c>
      <c r="EA323" s="101">
        <v>310</v>
      </c>
      <c r="EB323" s="98">
        <f>IF(ISERROR((EA323/DS323-1)*100),"NA",IF(((EA323/DS323-1)*100)&gt;100,"NM",IF(((EA323/DS323-1)*100)&lt;-50,"NM",(EA323/DS323-1)*100)))</f>
        <v>-13.407821229050276</v>
      </c>
      <c r="EC323" s="101">
        <v>323</v>
      </c>
      <c r="ED323" s="98">
        <f>IF(ISERROR((EC323/DU323-1)*100),"NA",IF(((EC323/DU323-1)*100)&gt;100,"NM",IF(((EC323/DU323-1)*100)&lt;-50,"NM",(EC323/DU323-1)*100)))</f>
        <v>-11.263736263736268</v>
      </c>
      <c r="EE323" s="101">
        <v>335</v>
      </c>
      <c r="EF323" s="860">
        <f>IF(ISERROR((EE323/DW323-1)*100),"NA",IF(((EE323/DW323-1)*100)&gt;100,"NM",IF(((EE323/DW323-1)*100)&lt;-50,"NM",(EE323/DW323-1)*100)))</f>
        <v>-3.7356321839080442</v>
      </c>
      <c r="EG323" s="101">
        <v>368</v>
      </c>
      <c r="EH323" s="860">
        <f>IF(ISERROR((EG323/DY323-1)*100),"NA",IF(((EG323/DY323-1)*100)&gt;100,"NM",IF(((EG323/DY323-1)*100)&lt;-50,"NM",(EG323/DY323-1)*100)))</f>
        <v>2.5069637883008422</v>
      </c>
      <c r="EI323" s="101">
        <v>326</v>
      </c>
      <c r="EJ323" s="860">
        <f t="shared" si="1655"/>
        <v>5.1612903225806361</v>
      </c>
      <c r="EK323" s="101">
        <v>357</v>
      </c>
      <c r="EL323" s="860">
        <f t="shared" si="1656"/>
        <v>10.526315789473696</v>
      </c>
      <c r="EM323" s="101">
        <v>377</v>
      </c>
      <c r="EN323" s="860">
        <f t="shared" si="1657"/>
        <v>12.537313432835816</v>
      </c>
      <c r="EO323" s="101">
        <v>419</v>
      </c>
      <c r="EP323" s="98">
        <f t="shared" si="1658"/>
        <v>13.858695652173903</v>
      </c>
      <c r="EQ323" s="1023">
        <f t="shared" ref="EQ323" si="1674">EQ317*EQ329/100</f>
        <v>394.04329999999993</v>
      </c>
      <c r="ER323" s="98">
        <f t="shared" si="1660"/>
        <v>20.872177914110402</v>
      </c>
      <c r="ES323" s="1023">
        <f t="shared" ref="ES323" si="1675">ES317*ES329/100</f>
        <v>399.95394949999985</v>
      </c>
      <c r="ET323" s="98">
        <f t="shared" si="1662"/>
        <v>12.031918627450944</v>
      </c>
      <c r="EU323" s="1023">
        <f t="shared" ref="EU323" si="1676">EU317*EU329/100</f>
        <v>405.95325874249988</v>
      </c>
      <c r="EV323" s="98">
        <f t="shared" si="1664"/>
        <v>7.6799094807691981</v>
      </c>
      <c r="EW323" s="1023">
        <f t="shared" ref="EW323" si="1677">EW317*EW329/100</f>
        <v>432.99387411297482</v>
      </c>
      <c r="EX323" s="98">
        <f t="shared" si="1666"/>
        <v>3.3398267572732232</v>
      </c>
      <c r="EY323" s="282"/>
      <c r="EZ323" s="594"/>
      <c r="FA323" s="405"/>
      <c r="FB323" s="279"/>
      <c r="FC323" s="98"/>
      <c r="FD323" s="278"/>
      <c r="FE323" s="98"/>
      <c r="FF323" s="279"/>
      <c r="FG323" s="98"/>
      <c r="FH323" s="279"/>
      <c r="FI323" s="98"/>
      <c r="FJ323" s="282"/>
      <c r="FK323" s="98"/>
      <c r="FL323" s="282"/>
      <c r="FM323" s="98"/>
      <c r="FN323" s="282"/>
      <c r="FO323" s="98"/>
      <c r="FP323" s="282"/>
      <c r="FQ323" s="98"/>
      <c r="FR323" s="283"/>
      <c r="FS323" s="120"/>
      <c r="FT323" s="283"/>
      <c r="FU323" s="120"/>
      <c r="FV323" s="283"/>
      <c r="FW323" s="98"/>
      <c r="FX323" s="520"/>
      <c r="FY323" s="98"/>
      <c r="FZ323" s="283"/>
      <c r="GA323" s="98"/>
      <c r="GB323" s="495">
        <f>CM323+CO323+CQ323+CS323</f>
        <v>1306</v>
      </c>
      <c r="GC323" s="98" t="str">
        <f>IF(ISERROR((GB323/FZ323-1)*100),"NA",IF(((GB323/FZ323-1)*100)&gt;100,"NM",IF(((GB323/FZ323-1)*100)&lt;-50,"NM",(GB323/FZ323-1)*100)))</f>
        <v>NA</v>
      </c>
      <c r="GD323" s="160">
        <f>CU323+CW323+CY323+DA323</f>
        <v>1374</v>
      </c>
      <c r="GE323" s="98">
        <f>IF(ISERROR((GD323/GB323-1)*100),"NA",IF(((GD323/GB323-1)*100)&gt;100,"NM",IF(((GD323/GB323-1)*100)&lt;-50,"NM",(GD323/GB323-1)*100)))</f>
        <v>5.2067381316998507</v>
      </c>
      <c r="GF323" s="160">
        <f>DC323+DE323+DG323+DI323</f>
        <v>1612</v>
      </c>
      <c r="GG323" s="98">
        <f>IF(ISERROR((GF323/GD323-1)*100),"NA",IF(((GF323/GD323-1)*100)&gt;100,"NM",IF(((GF323/GD323-1)*100)&lt;-50,"NM",(GF323/GD323-1)*100)))</f>
        <v>17.321688500727795</v>
      </c>
      <c r="GH323" s="160">
        <f>DK323+DM323+DO323+DQ323</f>
        <v>1809</v>
      </c>
      <c r="GI323" s="98">
        <f>IF(ISERROR((GH323/GF323-1)*100),"NA",IF(((GH323/GF323-1)*100)&gt;100,"NM",IF(((GH323/GF323-1)*100)&lt;-50,"NM",(GH323/GF323-1)*100)))</f>
        <v>12.220843672456571</v>
      </c>
      <c r="GJ323" s="160">
        <f>DS323+DU323+DW323+DY323</f>
        <v>1429</v>
      </c>
      <c r="GK323" s="98">
        <f>IF(ISERROR((GJ323/GH323-1)*100),"NA",IF(((GJ323/GH323-1)*100)&gt;100,"NM",IF(((GJ323/GH323-1)*100)&lt;-50,"NM",(GJ323/GH323-1)*100)))</f>
        <v>-21.006080707573251</v>
      </c>
      <c r="GL323" s="160">
        <f>EA323+EC323+EE323+EG323</f>
        <v>1336</v>
      </c>
      <c r="GM323" s="98">
        <f>IF(ISERROR((GL323/GJ323-1)*100),"NA",IF(((GL323/GJ323-1)*100)&gt;100,"NM",IF(((GL323/GJ323-1)*100)&lt;-50,"NM",(GL323/GJ323-1)*100)))</f>
        <v>-6.5080475857242863</v>
      </c>
      <c r="GN323" s="160">
        <f>EI323+EK323+EM323+EO323</f>
        <v>1479</v>
      </c>
      <c r="GO323" s="98">
        <f>IF(ISERROR((GN323/GL323-1)*100),"NA",IF(((GN323/GL323-1)*100)&gt;100,"NM",IF(((GN323/GL323-1)*100)&lt;-50,"NM",(GN323/GL323-1)*100)))</f>
        <v>10.703592814371255</v>
      </c>
      <c r="GP323" s="160">
        <f>EQ323+ES323+EU323+EW323</f>
        <v>1632.9443823554743</v>
      </c>
      <c r="GQ323" s="98">
        <f>IF(ISERROR((GP323/GN323-1)*100),"NA",IF(((GP323/GN323-1)*100)&gt;100,"NM",IF(((GP323/GN323-1)*100)&lt;-50,"NM",(GP323/GN323-1)*100)))</f>
        <v>10.408680348578381</v>
      </c>
      <c r="GR323" s="119">
        <f>GR317*GR329/100</f>
        <v>1708.7126498181055</v>
      </c>
      <c r="GS323" s="98">
        <f>IF(ISERROR((GR323/GP323-1)*100),"NA",IF(((GR323/GP323-1)*100)&gt;100,"NM",IF(((GR323/GP323-1)*100)&lt;-50,"NM",(GR323/GP323-1)*100)))</f>
        <v>4.6399784512769271</v>
      </c>
      <c r="GT323" s="119">
        <f>GT317*GT329/100</f>
        <v>1811.235408807192</v>
      </c>
      <c r="GU323" s="98">
        <f>IF(ISERROR((GT323/GR323-1)*100),"NA",IF(((GT323/GR323-1)*100)&gt;100,"NM",IF(((GT323/GR323-1)*100)&lt;-50,"NM",(GT323/GR323-1)*100)))</f>
        <v>6.0000000000000053</v>
      </c>
      <c r="GV323" s="119">
        <f>GV317*GV329/100</f>
        <v>1919.9095333356233</v>
      </c>
      <c r="GW323" s="98">
        <f>IF(ISERROR((GV323/GT323-1)*100),"NA",IF(((GV323/GT323-1)*100)&gt;100,"NM",IF(((GV323/GT323-1)*100)&lt;-50,"NM",(GV323/GT323-1)*100)))</f>
        <v>5.9999999999999831</v>
      </c>
      <c r="GX323" s="119">
        <f>GX317*GX329/100</f>
        <v>2035.104105335761</v>
      </c>
      <c r="GY323" s="98">
        <f>IF(ISERROR((GX323/GV323-1)*100),"NA",IF(((GX323/GV323-1)*100)&gt;100,"NM",IF(((GX323/GV323-1)*100)&lt;-50,"NM",(GX323/GV323-1)*100)))</f>
        <v>6.0000000000000053</v>
      </c>
      <c r="GZ323" s="98">
        <f>IF(ISERROR(((GX323/GN323)^0.2-1)*100),"NA",IF((((GX323/GN323)^0.2-1)*100)&gt;100,"NM",IF((((GX323/GN323)^0.2-1)*100)&lt;-50,"NM",((GX323/GN323)^0.2-1)*100)))</f>
        <v>6.591774262998551</v>
      </c>
      <c r="HA323" s="98"/>
      <c r="HB323" s="10"/>
      <c r="HC323"/>
      <c r="HD323"/>
      <c r="HE323"/>
      <c r="HF323"/>
      <c r="HG323"/>
      <c r="HH323"/>
      <c r="HI323" s="10"/>
    </row>
    <row r="324" spans="2:217" s="2" customFormat="1" ht="12.75" customHeight="1" x14ac:dyDescent="0.2">
      <c r="B324" s="131" t="s">
        <v>548</v>
      </c>
      <c r="C324" s="117"/>
      <c r="D324" s="98"/>
      <c r="E324" s="117"/>
      <c r="F324" s="98"/>
      <c r="G324" s="117"/>
      <c r="H324" s="98"/>
      <c r="I324" s="117"/>
      <c r="J324" s="98"/>
      <c r="K324" s="117"/>
      <c r="L324" s="98"/>
      <c r="M324" s="117"/>
      <c r="N324" s="98"/>
      <c r="O324" s="117"/>
      <c r="P324" s="98"/>
      <c r="Q324" s="117"/>
      <c r="R324" s="98"/>
      <c r="S324" s="182"/>
      <c r="T324" s="98"/>
      <c r="U324" s="182"/>
      <c r="V324" s="98"/>
      <c r="W324" s="182"/>
      <c r="X324" s="98"/>
      <c r="Y324" s="182"/>
      <c r="Z324" s="98"/>
      <c r="AA324" s="182"/>
      <c r="AB324" s="98"/>
      <c r="AC324" s="182"/>
      <c r="AD324" s="98"/>
      <c r="AE324" s="182"/>
      <c r="AF324" s="98"/>
      <c r="AG324" s="182"/>
      <c r="AH324" s="98"/>
      <c r="AI324" s="182"/>
      <c r="AJ324" s="98"/>
      <c r="AK324" s="182"/>
      <c r="AL324" s="98"/>
      <c r="AM324" s="182"/>
      <c r="AN324" s="98"/>
      <c r="AO324" s="182"/>
      <c r="AP324" s="98"/>
      <c r="AQ324" s="182"/>
      <c r="AR324" s="98"/>
      <c r="AS324" s="182"/>
      <c r="AT324" s="98"/>
      <c r="AU324" s="182"/>
      <c r="AV324" s="98"/>
      <c r="AW324" s="182"/>
      <c r="AX324" s="98"/>
      <c r="AY324" s="182"/>
      <c r="AZ324" s="98"/>
      <c r="BA324" s="182"/>
      <c r="BB324" s="98"/>
      <c r="BC324" s="182"/>
      <c r="BD324" s="98"/>
      <c r="BE324" s="182"/>
      <c r="BF324" s="98"/>
      <c r="BG324" s="182"/>
      <c r="BH324" s="98"/>
      <c r="BI324" s="182"/>
      <c r="BJ324" s="98"/>
      <c r="BK324" s="182"/>
      <c r="BL324" s="98"/>
      <c r="BM324" s="182"/>
      <c r="BN324" s="98"/>
      <c r="BO324" s="182"/>
      <c r="BP324" s="98"/>
      <c r="BQ324" s="182"/>
      <c r="BR324" s="98"/>
      <c r="BS324" s="182"/>
      <c r="BT324" s="98"/>
      <c r="BU324" s="182"/>
      <c r="BV324" s="98"/>
      <c r="BW324" s="182"/>
      <c r="BX324" s="98"/>
      <c r="BY324" s="182"/>
      <c r="BZ324" s="98"/>
      <c r="CA324" s="182"/>
      <c r="CB324" s="98"/>
      <c r="CC324" s="182"/>
      <c r="CD324" s="98"/>
      <c r="CE324" s="182"/>
      <c r="CF324" s="98"/>
      <c r="CG324" s="182"/>
      <c r="CH324" s="98"/>
      <c r="CI324" s="182"/>
      <c r="CJ324" s="98"/>
      <c r="CK324" s="182"/>
      <c r="CL324" s="98"/>
      <c r="CM324" s="182">
        <f>CM322+CM323+CM320+CM321</f>
        <v>794</v>
      </c>
      <c r="CN324" s="98" t="str">
        <f>IF(ISERROR((CM324/CE324-1)*100),"NA",IF(((CM324/CE324-1)*100)&gt;100,"NM",IF(((CM324/CE324-1)*100)&lt;-50,"NM",(CM324/CE324-1)*100)))</f>
        <v>NA</v>
      </c>
      <c r="CO324" s="182">
        <f>CO322+CO323+CO320+CO321</f>
        <v>950</v>
      </c>
      <c r="CP324" s="98" t="str">
        <f>IF(ISERROR((CO324/CG324-1)*100),"NA",IF(((CO324/CG324-1)*100)&gt;100,"NM",IF(((CO324/CG324-1)*100)&lt;-50,"NM",(CO324/CG324-1)*100)))</f>
        <v>NA</v>
      </c>
      <c r="CQ324" s="512">
        <f>CQ322+CQ323+CQ320+CQ321</f>
        <v>971</v>
      </c>
      <c r="CR324" s="98" t="str">
        <f>IF(ISERROR((CQ324/CI324-1)*100),"NA",IF(((CQ324/CI324-1)*100)&gt;100,"NM",IF(((CQ324/CI324-1)*100)&lt;-50,"NM",(CQ324/CI324-1)*100)))</f>
        <v>NA</v>
      </c>
      <c r="CS324" s="182">
        <f>CS322+CS323+CS320+CS321</f>
        <v>932</v>
      </c>
      <c r="CT324" s="98" t="str">
        <f>IF(ISERROR((CS324/CK324-1)*100),"NA",IF(((CS324/CK324-1)*100)&gt;100,"NM",IF(((CS324/CK324-1)*100)&lt;-50,"NM",(CS324/CK324-1)*100)))</f>
        <v>NA</v>
      </c>
      <c r="CU324" s="182">
        <f>CU322+CU323+CU320+CU321</f>
        <v>988</v>
      </c>
      <c r="CV324" s="98">
        <f>IF(ISERROR((CU324/CM324-1)*100),"NA",IF(((CU324/CM324-1)*100)&gt;100,"NM",IF(((CU324/CM324-1)*100)&lt;-50,"NM",(CU324/CM324-1)*100)))</f>
        <v>24.433249370277089</v>
      </c>
      <c r="CW324" s="182">
        <f>CW322+CW323+CW320+CW321</f>
        <v>963</v>
      </c>
      <c r="CX324" s="98">
        <f>IF(ISERROR((CW324/CO324-1)*100),"NA",IF(((CW324/CO324-1)*100)&gt;100,"NM",IF(((CW324/CO324-1)*100)&lt;-50,"NM",(CW324/CO324-1)*100)))</f>
        <v>1.3684210526315743</v>
      </c>
      <c r="CY324" s="182">
        <f>CY322+CY323+CY320+CY321</f>
        <v>913</v>
      </c>
      <c r="CZ324" s="98">
        <f>IF(ISERROR((CY324/CQ324-1)*100),"NA",IF(((CY324/CQ324-1)*100)&gt;100,"NM",IF(((CY324/CQ324-1)*100)&lt;-50,"NM",(CY324/CQ324-1)*100)))</f>
        <v>-5.9732234809474765</v>
      </c>
      <c r="DA324" s="182">
        <f>DA322+DA323+DA320+DA321</f>
        <v>1000</v>
      </c>
      <c r="DB324" s="98">
        <f>IF(ISERROR((DA324/CS324-1)*100),"NA",IF(((DA324/CS324-1)*100)&gt;100,"NM",IF(((DA324/CS324-1)*100)&lt;-50,"NM",(DA324/CS324-1)*100)))</f>
        <v>7.296137339055786</v>
      </c>
      <c r="DC324" s="182">
        <f>DC322+DC323+DC320+DC321</f>
        <v>997</v>
      </c>
      <c r="DD324" s="98">
        <f>IF(ISERROR((DC324/CU324-1)*100),"NA",IF(((DC324/CU324-1)*100)&gt;100,"NM",IF(((DC324/CU324-1)*100)&lt;-50,"NM",(DC324/CU324-1)*100)))</f>
        <v>0.9109311740890691</v>
      </c>
      <c r="DE324" s="182">
        <f>DE322+DE323+DE320+DE321</f>
        <v>1070</v>
      </c>
      <c r="DF324" s="98">
        <f>IF(ISERROR((DE324/CW324-1)*100),"NA",IF(((DE324/CW324-1)*100)&gt;100,"NM",IF(((DE324/CW324-1)*100)&lt;-50,"NM",(DE324/CW324-1)*100)))</f>
        <v>11.111111111111116</v>
      </c>
      <c r="DG324" s="182">
        <f>DG322+DG323+DG320+DG321</f>
        <v>1097</v>
      </c>
      <c r="DH324" s="98">
        <f>IF(ISERROR((DG324/CY324-1)*100),"NA",IF(((DG324/CY324-1)*100)&gt;100,"NM",IF(((DG324/CY324-1)*100)&lt;-50,"NM",(DG324/CY324-1)*100)))</f>
        <v>20.153340635268346</v>
      </c>
      <c r="DI324" s="182">
        <f>DI322+DI323+DI320+DI321</f>
        <v>1203</v>
      </c>
      <c r="DJ324" s="98">
        <f>IF(ISERROR((DI324/DA324-1)*100),"NA",IF(((DI324/DA324-1)*100)&gt;100,"NM",IF(((DI324/DA324-1)*100)&lt;-50,"NM",(DI324/DA324-1)*100)))</f>
        <v>20.300000000000008</v>
      </c>
      <c r="DK324" s="182">
        <f>DK322+DK323+DK320+DK321</f>
        <v>1122</v>
      </c>
      <c r="DL324" s="98">
        <f>IF(ISERROR((DK324/DC324-1)*100),"NA",IF(((DK324/DC324-1)*100)&gt;100,"NM",IF(((DK324/DC324-1)*100)&lt;-50,"NM",(DK324/DC324-1)*100)))</f>
        <v>12.537612838515555</v>
      </c>
      <c r="DM324" s="182">
        <f>DM322+DM323+DM320+DM321</f>
        <v>1267</v>
      </c>
      <c r="DN324" s="98">
        <f>IF(ISERROR((DM324/DE324-1)*100),"NA",IF(((DM324/DE324-1)*100)&gt;100,"NM",IF(((DM324/DE324-1)*100)&lt;-50,"NM",(DM324/DE324-1)*100)))</f>
        <v>18.411214953271028</v>
      </c>
      <c r="DO324" s="182">
        <f>DO322+DO323+DO320+DO321</f>
        <v>1272</v>
      </c>
      <c r="DP324" s="98">
        <f>IF(ISERROR((DO324/DG324-1)*100),"NA",IF(((DO324/DG324-1)*100)&gt;100,"NM",IF(((DO324/DG324-1)*100)&lt;-50,"NM",(DO324/DG324-1)*100)))</f>
        <v>15.952597994530549</v>
      </c>
      <c r="DQ324" s="182">
        <f>DQ322+DQ323+DQ320+DQ321</f>
        <v>1217</v>
      </c>
      <c r="DR324" s="98">
        <f>IF(ISERROR((DQ324/DI324-1)*100),"NA",IF(((DQ324/DI324-1)*100)&gt;100,"NM",IF(((DQ324/DI324-1)*100)&lt;-50,"NM",(DQ324/DI324-1)*100)))</f>
        <v>1.1637572734829682</v>
      </c>
      <c r="DS324" s="182">
        <f>DS322+DS323+DS320+DS321</f>
        <v>963</v>
      </c>
      <c r="DT324" s="98">
        <f>IF(ISERROR((DS324/DK324-1)*100),"NA",IF(((DS324/DK324-1)*100)&gt;100,"NM",IF(((DS324/DK324-1)*100)&lt;-50,"NM",(DS324/DK324-1)*100)))</f>
        <v>-14.171122994652407</v>
      </c>
      <c r="DU324" s="182">
        <f>DU322+DU323+DU320+DU321</f>
        <v>1127</v>
      </c>
      <c r="DV324" s="98">
        <f>IF(ISERROR((DU324/DM324-1)*100),"NA",IF(((DU324/DM324-1)*100)&gt;100,"NM",IF(((DU324/DM324-1)*100)&lt;-50,"NM",(DU324/DM324-1)*100)))</f>
        <v>-11.049723756906083</v>
      </c>
      <c r="DW324" s="182">
        <f>DW322+DW323+DW320+DW321</f>
        <v>984</v>
      </c>
      <c r="DX324" s="98">
        <f>IF(ISERROR((DW324/DO324-1)*100),"NA",IF(((DW324/DO324-1)*100)&gt;100,"NM",IF(((DW324/DO324-1)*100)&lt;-50,"NM",(DW324/DO324-1)*100)))</f>
        <v>-22.641509433962259</v>
      </c>
      <c r="DY324" s="182">
        <f>DY322+DY323+DY320+DY321</f>
        <v>1041</v>
      </c>
      <c r="DZ324" s="98">
        <f>IF(ISERROR((DY324/DQ324-1)*100),"NA",IF(((DY324/DQ324-1)*100)&gt;100,"NM",IF(((DY324/DQ324-1)*100)&lt;-50,"NM",(DY324/DQ324-1)*100)))</f>
        <v>-14.461791290057512</v>
      </c>
      <c r="EA324" s="182">
        <f>EA322+EA323+EA320+EA321</f>
        <v>930</v>
      </c>
      <c r="EB324" s="98">
        <f>IF(ISERROR((EA324/DS324-1)*100),"NA",IF(((EA324/DS324-1)*100)&gt;100,"NM",IF(((EA324/DS324-1)*100)&lt;-50,"NM",(EA324/DS324-1)*100)))</f>
        <v>-3.4267912772585674</v>
      </c>
      <c r="EC324" s="182">
        <f>EC322+EC323+EC320+EC321</f>
        <v>976</v>
      </c>
      <c r="ED324" s="98">
        <f>IF(ISERROR((EC324/DU324-1)*100),"NA",IF(((EC324/DU324-1)*100)&gt;100,"NM",IF(((EC324/DU324-1)*100)&lt;-50,"NM",(EC324/DU324-1)*100)))</f>
        <v>-13.398402839396628</v>
      </c>
      <c r="EE324" s="182">
        <f>EE322+EE323+EE320+EE321</f>
        <v>1016</v>
      </c>
      <c r="EF324" s="860">
        <f>IF(ISERROR((EE324/DW324-1)*100),"NA",IF(((EE324/DW324-1)*100)&gt;100,"NM",IF(((EE324/DW324-1)*100)&lt;-50,"NM",(EE324/DW324-1)*100)))</f>
        <v>3.2520325203251987</v>
      </c>
      <c r="EG324" s="182">
        <f>EG322+EG323+EG320+EG321</f>
        <v>1049</v>
      </c>
      <c r="EH324" s="860">
        <f>IF(ISERROR((EG324/DY324-1)*100),"NA",IF(((EG324/DY324-1)*100)&gt;100,"NM",IF(((EG324/DY324-1)*100)&lt;-50,"NM",(EG324/DY324-1)*100)))</f>
        <v>0.7684918347742542</v>
      </c>
      <c r="EI324" s="182">
        <f>EI322+EI323+EI320+EI321</f>
        <v>1038</v>
      </c>
      <c r="EJ324" s="860">
        <f t="shared" si="1655"/>
        <v>11.612903225806459</v>
      </c>
      <c r="EK324" s="182">
        <f>EK322+EK323+EK320+EK321</f>
        <v>1029</v>
      </c>
      <c r="EL324" s="860">
        <f t="shared" si="1656"/>
        <v>5.4303278688524692</v>
      </c>
      <c r="EM324" s="182">
        <f>EM322+EM323+EM320+EM321</f>
        <v>1022</v>
      </c>
      <c r="EN324" s="860">
        <f t="shared" si="1657"/>
        <v>0.59055118110236116</v>
      </c>
      <c r="EO324" s="182">
        <f>EO322+EO323+EO320+EO321</f>
        <v>1158</v>
      </c>
      <c r="EP324" s="98">
        <f t="shared" si="1658"/>
        <v>10.390848427073408</v>
      </c>
      <c r="EQ324" s="1021">
        <f t="shared" ref="EQ324" si="1678">EQ322+EQ323+EQ320+EQ321</f>
        <v>1134.6342659969089</v>
      </c>
      <c r="ER324" s="98">
        <f t="shared" si="1660"/>
        <v>9.3096595372744506</v>
      </c>
      <c r="ES324" s="1021">
        <f t="shared" ref="ES324" si="1679">ES322+ES323+ES320+ES321</f>
        <v>1148.3154409728679</v>
      </c>
      <c r="ET324" s="98">
        <f t="shared" si="1662"/>
        <v>11.595280949744202</v>
      </c>
      <c r="EU324" s="1021">
        <f t="shared" ref="EU324" si="1680">EU322+EU323+EU320+EU321</f>
        <v>1157.2315465281629</v>
      </c>
      <c r="EV324" s="98">
        <f t="shared" si="1664"/>
        <v>13.232049562442549</v>
      </c>
      <c r="EW324" s="1021">
        <f t="shared" ref="EW324" si="1681">EW322+EW323+EW320+EW321</f>
        <v>1216.4501018848496</v>
      </c>
      <c r="EX324" s="98">
        <f t="shared" si="1666"/>
        <v>5.0475044805569524</v>
      </c>
      <c r="EY324" s="282"/>
      <c r="EZ324" s="594"/>
      <c r="FA324" s="405"/>
      <c r="FB324" s="279"/>
      <c r="FC324" s="98"/>
      <c r="FD324" s="278"/>
      <c r="FE324" s="98"/>
      <c r="FF324" s="279"/>
      <c r="FG324" s="98"/>
      <c r="FH324" s="279"/>
      <c r="FI324" s="98"/>
      <c r="FJ324" s="282"/>
      <c r="FK324" s="98"/>
      <c r="FL324" s="282"/>
      <c r="FM324" s="98"/>
      <c r="FN324" s="282"/>
      <c r="FO324" s="98"/>
      <c r="FP324" s="282"/>
      <c r="FQ324" s="98"/>
      <c r="FR324" s="283"/>
      <c r="FS324" s="120"/>
      <c r="FT324" s="283"/>
      <c r="FU324" s="120"/>
      <c r="FV324" s="283"/>
      <c r="FW324" s="98"/>
      <c r="FX324" s="520"/>
      <c r="FY324" s="98"/>
      <c r="FZ324" s="283"/>
      <c r="GA324" s="98"/>
      <c r="GB324" s="512">
        <f>GB322+GB323+GB320+GB321</f>
        <v>3647</v>
      </c>
      <c r="GC324" s="98" t="str">
        <f>IF(ISERROR((GB324/FZ324-1)*100),"NA",IF(((GB324/FZ324-1)*100)&gt;100,"NM",IF(((GB324/FZ324-1)*100)&lt;-50,"NM",(GB324/FZ324-1)*100)))</f>
        <v>NA</v>
      </c>
      <c r="GD324" s="182">
        <f>GD322+GD323+GD320+GD321</f>
        <v>3864</v>
      </c>
      <c r="GE324" s="98">
        <f>IF(ISERROR((GD324/GB324-1)*100),"NA",IF(((GD324/GB324-1)*100)&gt;100,"NM",IF(((GD324/GB324-1)*100)&lt;-50,"NM",(GD324/GB324-1)*100)))</f>
        <v>5.950095969289837</v>
      </c>
      <c r="GF324" s="182">
        <f>GF322+GF323+GF320+GF321</f>
        <v>4367</v>
      </c>
      <c r="GG324" s="98">
        <f>IF(ISERROR((GF324/GD324-1)*100),"NA",IF(((GF324/GD324-1)*100)&gt;100,"NM",IF(((GF324/GD324-1)*100)&lt;-50,"NM",(GF324/GD324-1)*100)))</f>
        <v>13.0175983436853</v>
      </c>
      <c r="GH324" s="182">
        <f>GH322+GH323+GH320+GH321</f>
        <v>4878</v>
      </c>
      <c r="GI324" s="98">
        <f>IF(ISERROR((GH324/GF324-1)*100),"NA",IF(((GH324/GF324-1)*100)&gt;100,"NM",IF(((GH324/GF324-1)*100)&lt;-50,"NM",(GH324/GF324-1)*100)))</f>
        <v>11.701396839935875</v>
      </c>
      <c r="GJ324" s="182">
        <f>GJ322+GJ323+GJ320+GJ321</f>
        <v>4115</v>
      </c>
      <c r="GK324" s="98">
        <f>IF(ISERROR((GJ324/GH324-1)*100),"NA",IF(((GJ324/GH324-1)*100)&gt;100,"NM",IF(((GJ324/GH324-1)*100)&lt;-50,"NM",(GJ324/GH324-1)*100)))</f>
        <v>-15.641656416564164</v>
      </c>
      <c r="GL324" s="182">
        <f>GL322+GL323+GL320+GL321</f>
        <v>3971</v>
      </c>
      <c r="GM324" s="98">
        <f>IF(ISERROR((GL324/GJ324-1)*100),"NA",IF(((GL324/GJ324-1)*100)&gt;100,"NM",IF(((GL324/GJ324-1)*100)&lt;-50,"NM",(GL324/GJ324-1)*100)))</f>
        <v>-3.4993924665856602</v>
      </c>
      <c r="GN324" s="182">
        <f>GN322+GN323+GN320+GN321</f>
        <v>4247</v>
      </c>
      <c r="GO324" s="98">
        <f>IF(ISERROR((GN324/GL324-1)*100),"NA",IF(((GN324/GL324-1)*100)&gt;100,"NM",IF(((GN324/GL324-1)*100)&lt;-50,"NM",(GN324/GL324-1)*100)))</f>
        <v>6.9503903298917091</v>
      </c>
      <c r="GP324" s="182">
        <f>GP322+GP323+GP320+GP321</f>
        <v>4656.6313553827886</v>
      </c>
      <c r="GQ324" s="98">
        <f>IF(ISERROR((GP324/GN324-1)*100),"NA",IF(((GP324/GN324-1)*100)&gt;100,"NM",IF(((GP324/GN324-1)*100)&lt;-50,"NM",(GP324/GN324-1)*100)))</f>
        <v>9.6451932042097575</v>
      </c>
      <c r="GR324" s="182">
        <f>GR322+GR323+GR320+GR321</f>
        <v>4919.9828053446854</v>
      </c>
      <c r="GS324" s="98">
        <f>IF(ISERROR((GR324/GP324-1)*100),"NA",IF(((GR324/GP324-1)*100)&gt;100,"NM",IF(((GR324/GP324-1)*100)&lt;-50,"NM",(GR324/GP324-1)*100)))</f>
        <v>5.6554068781390354</v>
      </c>
      <c r="GT324" s="182">
        <f>GT322+GT323+GT320+GT321</f>
        <v>5215.1817736653684</v>
      </c>
      <c r="GU324" s="98">
        <f>IF(ISERROR((GT324/GR324-1)*100),"NA",IF(((GT324/GR324-1)*100)&gt;100,"NM",IF(((GT324/GR324-1)*100)&lt;-50,"NM",(GT324/GR324-1)*100)))</f>
        <v>6.0000000000000275</v>
      </c>
      <c r="GV324" s="182">
        <f>GV322+GV323+GV320+GV321</f>
        <v>5528.0926800852894</v>
      </c>
      <c r="GW324" s="98">
        <f>IF(ISERROR((GV324/GT324-1)*100),"NA",IF(((GV324/GT324-1)*100)&gt;100,"NM",IF(((GV324/GT324-1)*100)&lt;-50,"NM",(GV324/GT324-1)*100)))</f>
        <v>5.9999999999999831</v>
      </c>
      <c r="GX324" s="182">
        <f>GX322+GX323+GX320+GX321</f>
        <v>5878.1257355292082</v>
      </c>
      <c r="GY324" s="98">
        <f>IF(ISERROR((GX324/GV324-1)*100),"NA",IF(((GX324/GV324-1)*100)&gt;100,"NM",IF(((GX324/GV324-1)*100)&lt;-50,"NM",(GX324/GV324-1)*100)))</f>
        <v>6.3318955686994416</v>
      </c>
      <c r="GZ324" s="98">
        <f>IF(ISERROR(((GX324/GN324)^0.2-1)*100),"NA",IF((((GX324/GN324)^0.2-1)*100)&gt;100,"NM",IF((((GX324/GN324)^0.2-1)*100)&lt;-50,"NM",((GX324/GN324)^0.2-1)*100)))</f>
        <v>6.7164383095286162</v>
      </c>
      <c r="HA324" s="98"/>
      <c r="HB324" s="10"/>
      <c r="HC324"/>
      <c r="HD324"/>
      <c r="HE324"/>
      <c r="HF324"/>
      <c r="HG324"/>
      <c r="HH324"/>
      <c r="HI324" s="10"/>
    </row>
    <row r="325" spans="2:217" s="2" customFormat="1" ht="12.75" customHeight="1" x14ac:dyDescent="0.2">
      <c r="B325" s="179"/>
      <c r="C325" s="117"/>
      <c r="D325" s="98"/>
      <c r="E325" s="117"/>
      <c r="F325" s="98"/>
      <c r="G325" s="117"/>
      <c r="H325" s="98"/>
      <c r="I325" s="117"/>
      <c r="J325" s="98"/>
      <c r="K325" s="117"/>
      <c r="L325" s="98"/>
      <c r="M325" s="117"/>
      <c r="N325" s="98"/>
      <c r="O325" s="117"/>
      <c r="P325" s="98"/>
      <c r="Q325" s="117"/>
      <c r="R325" s="98"/>
      <c r="S325" s="182"/>
      <c r="T325" s="98"/>
      <c r="U325" s="182"/>
      <c r="V325" s="98"/>
      <c r="W325" s="182"/>
      <c r="X325" s="98"/>
      <c r="Y325" s="182"/>
      <c r="Z325" s="98"/>
      <c r="AA325" s="182"/>
      <c r="AB325" s="98"/>
      <c r="AC325" s="182"/>
      <c r="AD325" s="98"/>
      <c r="AE325" s="182"/>
      <c r="AF325" s="98"/>
      <c r="AG325" s="182"/>
      <c r="AH325" s="98"/>
      <c r="AI325" s="182"/>
      <c r="AJ325" s="98"/>
      <c r="AK325" s="182"/>
      <c r="AL325" s="98"/>
      <c r="AM325" s="182"/>
      <c r="AN325" s="98"/>
      <c r="AO325" s="182"/>
      <c r="AP325" s="98"/>
      <c r="AQ325" s="182"/>
      <c r="AR325" s="98"/>
      <c r="AS325" s="182"/>
      <c r="AT325" s="98"/>
      <c r="AU325" s="182"/>
      <c r="AV325" s="98"/>
      <c r="AW325" s="182"/>
      <c r="AX325" s="98"/>
      <c r="AY325" s="182"/>
      <c r="AZ325" s="98"/>
      <c r="BA325" s="182"/>
      <c r="BB325" s="98"/>
      <c r="BC325" s="182"/>
      <c r="BD325" s="98"/>
      <c r="BE325" s="182"/>
      <c r="BF325" s="98"/>
      <c r="BG325" s="182"/>
      <c r="BH325" s="98"/>
      <c r="BI325" s="182"/>
      <c r="BJ325" s="98"/>
      <c r="BK325" s="182"/>
      <c r="BL325" s="98"/>
      <c r="BM325" s="182"/>
      <c r="BN325" s="98"/>
      <c r="BO325" s="182"/>
      <c r="BP325" s="98"/>
      <c r="BQ325" s="182"/>
      <c r="BR325" s="98"/>
      <c r="BS325" s="182"/>
      <c r="BT325" s="98"/>
      <c r="BU325" s="182"/>
      <c r="BV325" s="98"/>
      <c r="BW325" s="182"/>
      <c r="BX325" s="98"/>
      <c r="BY325" s="182"/>
      <c r="BZ325" s="98"/>
      <c r="CA325" s="182"/>
      <c r="CB325" s="98"/>
      <c r="CC325" s="182"/>
      <c r="CD325" s="98"/>
      <c r="CE325" s="182"/>
      <c r="CF325" s="98"/>
      <c r="CG325" s="182"/>
      <c r="CH325" s="98"/>
      <c r="CI325" s="182"/>
      <c r="CJ325" s="98"/>
      <c r="CK325" s="182"/>
      <c r="CL325" s="98"/>
      <c r="CM325" s="101"/>
      <c r="CN325" s="98"/>
      <c r="CO325" s="101"/>
      <c r="CP325" s="98"/>
      <c r="CQ325" s="542"/>
      <c r="CR325" s="98"/>
      <c r="CS325" s="101"/>
      <c r="CT325" s="98"/>
      <c r="CU325" s="101"/>
      <c r="CV325" s="98"/>
      <c r="CW325" s="101"/>
      <c r="CX325" s="98"/>
      <c r="CY325" s="101"/>
      <c r="CZ325" s="98"/>
      <c r="DA325" s="101"/>
      <c r="DB325" s="98"/>
      <c r="DC325" s="101"/>
      <c r="DD325" s="98"/>
      <c r="DE325" s="101"/>
      <c r="DF325" s="98"/>
      <c r="DG325" s="101"/>
      <c r="DH325" s="98"/>
      <c r="DI325" s="101"/>
      <c r="DJ325" s="98"/>
      <c r="DK325" s="101"/>
      <c r="DL325" s="98"/>
      <c r="DM325" s="101"/>
      <c r="DN325" s="98"/>
      <c r="DO325" s="101"/>
      <c r="DP325" s="98"/>
      <c r="DQ325" s="101"/>
      <c r="DR325" s="98"/>
      <c r="DS325" s="101"/>
      <c r="DT325" s="98"/>
      <c r="DU325" s="101"/>
      <c r="DV325" s="98"/>
      <c r="DW325" s="101"/>
      <c r="DX325" s="98"/>
      <c r="DY325" s="101"/>
      <c r="DZ325" s="98"/>
      <c r="EA325" s="101"/>
      <c r="EB325" s="98"/>
      <c r="EC325" s="101"/>
      <c r="ED325" s="98"/>
      <c r="EE325" s="101"/>
      <c r="EF325" s="860"/>
      <c r="EG325" s="101"/>
      <c r="EH325" s="860"/>
      <c r="EI325" s="101"/>
      <c r="EJ325" s="860"/>
      <c r="EK325" s="101"/>
      <c r="EL325" s="860"/>
      <c r="EM325" s="101"/>
      <c r="EN325" s="860"/>
      <c r="EO325" s="101"/>
      <c r="EP325" s="98"/>
      <c r="EQ325" s="1023"/>
      <c r="ER325" s="98"/>
      <c r="ES325" s="1023"/>
      <c r="ET325" s="98"/>
      <c r="EU325" s="1023"/>
      <c r="EV325" s="98"/>
      <c r="EW325" s="1023"/>
      <c r="EX325" s="98"/>
      <c r="EY325" s="282"/>
      <c r="EZ325" s="594"/>
      <c r="FA325" s="405"/>
      <c r="FB325" s="279"/>
      <c r="FC325" s="98"/>
      <c r="FD325" s="278"/>
      <c r="FE325" s="98"/>
      <c r="FF325" s="279"/>
      <c r="FG325" s="98"/>
      <c r="FH325" s="279"/>
      <c r="FI325" s="98"/>
      <c r="FJ325" s="282"/>
      <c r="FK325" s="98"/>
      <c r="FL325" s="282"/>
      <c r="FM325" s="98"/>
      <c r="FN325" s="282"/>
      <c r="FO325" s="98"/>
      <c r="FP325" s="282"/>
      <c r="FQ325" s="98"/>
      <c r="FR325" s="283"/>
      <c r="FS325" s="120"/>
      <c r="FT325" s="283"/>
      <c r="FU325" s="120"/>
      <c r="FV325" s="283"/>
      <c r="FW325" s="98"/>
      <c r="FX325" s="520"/>
      <c r="FY325" s="98"/>
      <c r="FZ325" s="283"/>
      <c r="GA325" s="98"/>
      <c r="GB325" s="485"/>
      <c r="GC325" s="98"/>
      <c r="GD325" s="119"/>
      <c r="GE325" s="98"/>
      <c r="GF325" s="119"/>
      <c r="GG325" s="98"/>
      <c r="GH325" s="119"/>
      <c r="GI325" s="98"/>
      <c r="GJ325" s="119"/>
      <c r="GK325" s="98"/>
      <c r="GL325" s="119"/>
      <c r="GM325" s="98"/>
      <c r="GN325" s="119"/>
      <c r="GO325" s="98"/>
      <c r="GP325" s="119"/>
      <c r="GQ325" s="98"/>
      <c r="GR325" s="119"/>
      <c r="GS325" s="98"/>
      <c r="GT325" s="119"/>
      <c r="GU325" s="98"/>
      <c r="GV325" s="119"/>
      <c r="GW325" s="98"/>
      <c r="GX325" s="119"/>
      <c r="GY325" s="98"/>
      <c r="GZ325" s="98"/>
      <c r="HA325" s="98"/>
      <c r="HB325" s="10"/>
      <c r="HC325"/>
      <c r="HD325"/>
      <c r="HE325"/>
      <c r="HF325"/>
      <c r="HG325"/>
      <c r="HH325"/>
      <c r="HI325" s="10"/>
    </row>
    <row r="326" spans="2:217" s="2" customFormat="1" ht="12.75" customHeight="1" x14ac:dyDescent="0.2">
      <c r="B326" s="91" t="s">
        <v>6</v>
      </c>
      <c r="C326" s="117"/>
      <c r="D326" s="98"/>
      <c r="E326" s="117"/>
      <c r="F326" s="98"/>
      <c r="G326" s="117"/>
      <c r="H326" s="98"/>
      <c r="I326" s="117"/>
      <c r="J326" s="98"/>
      <c r="K326" s="117"/>
      <c r="L326" s="98"/>
      <c r="M326" s="117"/>
      <c r="N326" s="98"/>
      <c r="O326" s="117"/>
      <c r="P326" s="98"/>
      <c r="Q326" s="117"/>
      <c r="R326" s="98"/>
      <c r="S326" s="182"/>
      <c r="T326" s="98"/>
      <c r="U326" s="182"/>
      <c r="V326" s="98"/>
      <c r="W326" s="182"/>
      <c r="X326" s="98"/>
      <c r="Y326" s="182"/>
      <c r="Z326" s="98"/>
      <c r="AA326" s="182"/>
      <c r="AB326" s="98"/>
      <c r="AC326" s="182"/>
      <c r="AD326" s="98"/>
      <c r="AE326" s="182"/>
      <c r="AF326" s="98"/>
      <c r="AG326" s="182"/>
      <c r="AH326" s="98"/>
      <c r="AI326" s="182"/>
      <c r="AJ326" s="98"/>
      <c r="AK326" s="182"/>
      <c r="AL326" s="98"/>
      <c r="AM326" s="182"/>
      <c r="AN326" s="98"/>
      <c r="AO326" s="182"/>
      <c r="AP326" s="98"/>
      <c r="AQ326" s="182"/>
      <c r="AR326" s="98"/>
      <c r="AS326" s="182"/>
      <c r="AT326" s="98"/>
      <c r="AU326" s="182"/>
      <c r="AV326" s="98"/>
      <c r="AW326" s="182"/>
      <c r="AX326" s="98"/>
      <c r="AY326" s="182"/>
      <c r="AZ326" s="98"/>
      <c r="BA326" s="182"/>
      <c r="BB326" s="98"/>
      <c r="BC326" s="182"/>
      <c r="BD326" s="98"/>
      <c r="BE326" s="182"/>
      <c r="BF326" s="98"/>
      <c r="BG326" s="182"/>
      <c r="BH326" s="98"/>
      <c r="BI326" s="182"/>
      <c r="BJ326" s="98"/>
      <c r="BK326" s="182"/>
      <c r="BL326" s="98"/>
      <c r="BM326" s="182"/>
      <c r="BN326" s="98"/>
      <c r="BO326" s="182"/>
      <c r="BP326" s="98"/>
      <c r="BQ326" s="182"/>
      <c r="BR326" s="98"/>
      <c r="BS326" s="182"/>
      <c r="BT326" s="98"/>
      <c r="BU326" s="182"/>
      <c r="BV326" s="98"/>
      <c r="BW326" s="182"/>
      <c r="BX326" s="98"/>
      <c r="BY326" s="182"/>
      <c r="BZ326" s="98"/>
      <c r="CA326" s="182"/>
      <c r="CB326" s="98"/>
      <c r="CC326" s="182"/>
      <c r="CD326" s="98"/>
      <c r="CE326" s="182"/>
      <c r="CF326" s="98"/>
      <c r="CG326" s="182"/>
      <c r="CH326" s="98"/>
      <c r="CI326" s="182"/>
      <c r="CJ326" s="98"/>
      <c r="CK326" s="182"/>
      <c r="CL326" s="98"/>
      <c r="CM326" s="137">
        <f>+CM320/CM313*100</f>
        <v>71.380471380471377</v>
      </c>
      <c r="CN326" s="98" t="str">
        <f>IF(ISERROR((CM326/CE326-1)*100),"NA",IF(((CM326/CE326-1)*100)&gt;100,"NM",IF(((CM326/CE326-1)*100)&lt;-50,"NM",(CM326/CE326-1)*100)))</f>
        <v>NA</v>
      </c>
      <c r="CO326" s="137">
        <f>+CO320/CO313*100</f>
        <v>82.534775888717164</v>
      </c>
      <c r="CP326" s="98" t="str">
        <f>IF(ISERROR((CO326/CG326-1)*100),"NA",IF(((CO326/CG326-1)*100)&gt;100,"NM",IF(((CO326/CG326-1)*100)&lt;-50,"NM",(CO326/CG326-1)*100)))</f>
        <v>NA</v>
      </c>
      <c r="CQ326" s="494">
        <f>+CQ320/CQ313*100</f>
        <v>85.714285714285708</v>
      </c>
      <c r="CR326" s="98" t="str">
        <f>IF(ISERROR((CQ326/CI326-1)*100),"NA",IF(((CQ326/CI326-1)*100)&gt;100,"NM",IF(((CQ326/CI326-1)*100)&lt;-50,"NM",(CQ326/CI326-1)*100)))</f>
        <v>NA</v>
      </c>
      <c r="CS326" s="137">
        <f>+CS320/CS313*100</f>
        <v>88.186356073211314</v>
      </c>
      <c r="CT326" s="98" t="str">
        <f>IF(ISERROR((CS326/CK326-1)*100),"NA",IF(((CS326/CK326-1)*100)&gt;100,"NM",IF(((CS326/CK326-1)*100)&lt;-50,"NM",(CS326/CK326-1)*100)))</f>
        <v>NA</v>
      </c>
      <c r="CU326" s="137">
        <f>+CU320/CU313*100</f>
        <v>86.29737609329446</v>
      </c>
      <c r="CV326" s="98">
        <f>IF(ISERROR((CU326/CM326-1)*100),"NA",IF(((CU326/CM326-1)*100)&gt;100,"NM",IF(((CU326/CM326-1)*100)&lt;-50,"NM",(CU326/CM326-1)*100)))</f>
        <v>20.897739149568185</v>
      </c>
      <c r="CW326" s="137">
        <f>+CW320/CW313*100</f>
        <v>87.116564417177912</v>
      </c>
      <c r="CX326" s="98">
        <f>IF(ISERROR((CW326/CO326-1)*100),"NA",IF(((CW326/CO326-1)*100)&gt;100,"NM",IF(((CW326/CO326-1)*100)&lt;-50,"NM",(CW326/CO326-1)*100)))</f>
        <v>5.5513430298016919</v>
      </c>
      <c r="CY326" s="137">
        <f>+CY320/CY313*100</f>
        <v>83.114754098360649</v>
      </c>
      <c r="CZ326" s="98">
        <f>IF(ISERROR((CY326/CQ326-1)*100),"NA",IF(((CY326/CQ326-1)*100)&gt;100,"NM",IF(((CY326/CQ326-1)*100)&lt;-50,"NM",(CY326/CQ326-1)*100)))</f>
        <v>-3.0327868852458972</v>
      </c>
      <c r="DA326" s="137">
        <f>+DA320/DA313*100</f>
        <v>89.523809523809533</v>
      </c>
      <c r="DB326" s="98">
        <f>IF(ISERROR((DA326/CS326-1)*100),"NA",IF(((DA326/CS326-1)*100)&gt;100,"NM",IF(((DA326/CS326-1)*100)&lt;-50,"NM",(DA326/CS326-1)*100)))</f>
        <v>1.5166217430368389</v>
      </c>
      <c r="DC326" s="137">
        <f>+DC320/DC313*100</f>
        <v>82.074074074074076</v>
      </c>
      <c r="DD326" s="98">
        <f>IF(ISERROR((DC326/CU326-1)*100),"NA",IF(((DC326/CU326-1)*100)&gt;100,"NM",IF(((DC326/CU326-1)*100)&lt;-50,"NM",(DC326/CU326-1)*100)))</f>
        <v>-4.8938938938938854</v>
      </c>
      <c r="DE326" s="137">
        <f>+DE320/DE313*100</f>
        <v>84.647887323943664</v>
      </c>
      <c r="DF326" s="98">
        <f>IF(ISERROR((DE326/CW326-1)*100),"NA",IF(((DE326/CW326-1)*100)&gt;100,"NM",IF(((DE326/CW326-1)*100)&lt;-50,"NM",(DE326/CW326-1)*100)))</f>
        <v>-2.8337631422336806</v>
      </c>
      <c r="DG326" s="137">
        <f>+DG320/DG313*100</f>
        <v>92.052023121387279</v>
      </c>
      <c r="DH326" s="98">
        <f>IF(ISERROR((DG326/CY326-1)*100),"NA",IF(((DG326/CY326-1)*100)&gt;100,"NM",IF(((DG326/CY326-1)*100)&lt;-50,"NM",(DG326/CY326-1)*100)))</f>
        <v>10.752927226915677</v>
      </c>
      <c r="DI326" s="137">
        <f>+DI320/DI313*100</f>
        <v>88.621151271753689</v>
      </c>
      <c r="DJ326" s="98">
        <f>IF(ISERROR((DI326/DA326-1)*100),"NA",IF(((DI326/DA326-1)*100)&gt;100,"NM",IF(((DI326/DA326-1)*100)&lt;-50,"NM",(DI326/DA326-1)*100)))</f>
        <v>-1.0082884730410968</v>
      </c>
      <c r="DK326" s="137">
        <f>+DK320/DK313*100</f>
        <v>90.190336749633971</v>
      </c>
      <c r="DL326" s="98">
        <f>IF(ISERROR((DK326/DC326-1)*100),"NA",IF(((DK326/DC326-1)*100)&gt;100,"NM",IF(((DK326/DC326-1)*100)&lt;-50,"NM",(DK326/DC326-1)*100)))</f>
        <v>9.8889482057814568</v>
      </c>
      <c r="DM326" s="137">
        <f>+DM320/DM313*100</f>
        <v>93.859649122807014</v>
      </c>
      <c r="DN326" s="98">
        <f>IF(ISERROR((DM326/DE326-1)*100),"NA",IF(((DM326/DE326-1)*100)&gt;100,"NM",IF(((DM326/DE326-1)*100)&lt;-50,"NM",(DM326/DE326-1)*100)))</f>
        <v>10.882447383016602</v>
      </c>
      <c r="DO326" s="137">
        <f>+DO320/DO313*100</f>
        <v>90.517241379310349</v>
      </c>
      <c r="DP326" s="98">
        <f>IF(ISERROR((DO326/DG326-1)*100),"NA",IF(((DO326/DG326-1)*100)&gt;100,"NM",IF(((DO326/DG326-1)*100)&lt;-50,"NM",(DO326/DG326-1)*100)))</f>
        <v>-1.6672982190223506</v>
      </c>
      <c r="DQ326" s="137">
        <f>+DQ320/DQ313*100</f>
        <v>91.957104557640747</v>
      </c>
      <c r="DR326" s="98">
        <f>IF(ISERROR((DQ326/DI326-1)*100),"NA",IF(((DQ326/DI326-1)*100)&gt;100,"NM",IF(((DQ326/DI326-1)*100)&lt;-50,"NM",(DQ326/DI326-1)*100)))</f>
        <v>3.7642856564314764</v>
      </c>
      <c r="DS326" s="137">
        <f>+DS320/DS313*100</f>
        <v>84.044233807266991</v>
      </c>
      <c r="DT326" s="98">
        <f>IF(ISERROR((DS326/DK326-1)*100),"NA",IF(((DS326/DK326-1)*100)&gt;100,"NM",IF(((DS326/DK326-1)*100)&lt;-50,"NM",(DS326/DK326-1)*100)))</f>
        <v>-6.8145914117478057</v>
      </c>
      <c r="DU326" s="137">
        <f>+DU320/DU313*100</f>
        <v>96.317280453257794</v>
      </c>
      <c r="DV326" s="98">
        <f>IF(ISERROR((DU326/DM326-1)*100),"NA",IF(((DU326/DM326-1)*100)&gt;100,"NM",IF(((DU326/DM326-1)*100)&lt;-50,"NM",(DU326/DM326-1)*100)))</f>
        <v>2.6184109501999009</v>
      </c>
      <c r="DW326" s="137">
        <f>+DW320/DW313*100</f>
        <v>99.14675767918088</v>
      </c>
      <c r="DX326" s="98">
        <f>IF(ISERROR((DW326/DO326-1)*100),"NA",IF(((DW326/DO326-1)*100)&gt;100,"NM",IF(((DW326/DO326-1)*100)&lt;-50,"NM",(DW326/DO326-1)*100)))</f>
        <v>9.5335608646188739</v>
      </c>
      <c r="DY326" s="137">
        <f>+DY320/DY313*100</f>
        <v>93.75</v>
      </c>
      <c r="DZ326" s="98">
        <f>IF(ISERROR((DY326/DQ326-1)*100),"NA",IF(((DY326/DQ326-1)*100)&gt;100,"NM",IF(((DY326/DQ326-1)*100)&lt;-50,"NM",(DY326/DQ326-1)*100)))</f>
        <v>1.9497084548105059</v>
      </c>
      <c r="EA326" s="137">
        <f>+EA320/EA313*100</f>
        <v>91.514143094841927</v>
      </c>
      <c r="EB326" s="98">
        <f>IF(ISERROR((EA326/DS326-1)*100),"NA",IF(((EA326/DS326-1)*100)&gt;100,"NM",IF(((EA326/DS326-1)*100)&lt;-50,"NM",(EA326/DS326-1)*100)))</f>
        <v>8.8880687575844561</v>
      </c>
      <c r="EC326" s="137">
        <f>+EC320/EC313*100</f>
        <v>92.393026941362919</v>
      </c>
      <c r="ED326" s="98">
        <f>IF(ISERROR((EC326/DU326-1)*100),"NA",IF(((EC326/DU326-1)*100)&gt;100,"NM",IF(((EC326/DU326-1)*100)&lt;-50,"NM",(EC326/DU326-1)*100)))</f>
        <v>-4.0742984991143816</v>
      </c>
      <c r="EE326" s="137">
        <f>+EE320/EE313*100</f>
        <v>104.28790199081163</v>
      </c>
      <c r="EF326" s="860">
        <f>IF(ISERROR((EE326/DW326-1)*100),"NA",IF(((EE326/DW326-1)*100)&gt;100,"NM",IF(((EE326/DW326-1)*100)&lt;-50,"NM",(EE326/DW326-1)*100)))</f>
        <v>5.1853882385811012</v>
      </c>
      <c r="EG326" s="137">
        <f>+EG320/EG313*100</f>
        <v>97.67080745341616</v>
      </c>
      <c r="EH326" s="860">
        <f>IF(ISERROR((EG326/DY326-1)*100),"NA",IF(((EG326/DY326-1)*100)&gt;100,"NM",IF(((EG326/DY326-1)*100)&lt;-50,"NM",(EG326/DY326-1)*100)))</f>
        <v>4.1821946169772417</v>
      </c>
      <c r="EI326" s="137">
        <f>+EI320/EI313*100</f>
        <v>97.836166924265839</v>
      </c>
      <c r="EJ326" s="860">
        <f t="shared" ref="EJ326" si="1682">IF(ISERROR((EI326/EA326-1)*100),"NA",IF(((EI326/EA326-1)*100)&gt;100,"NM",IF(((EI326/EA326-1)*100)&lt;-50,"NM",(EI326/EA326-1)*100)))</f>
        <v>6.9082478572432215</v>
      </c>
      <c r="EK326" s="137">
        <f>+EK320/EK313*100</f>
        <v>92.403100775193806</v>
      </c>
      <c r="EL326" s="860">
        <f t="shared" ref="EL326" si="1683">IF(ISERROR((EK326/EC326-1)*100),"NA",IF(((EK326/EC326-1)*100)&gt;100,"NM",IF(((EK326/EC326-1)*100)&lt;-50,"NM",(EK326/EC326-1)*100)))</f>
        <v>1.0903240389859015E-2</v>
      </c>
      <c r="EM326" s="137">
        <f>+EM320/EM313*100</f>
        <v>91.298145506419402</v>
      </c>
      <c r="EN326" s="860">
        <f t="shared" ref="EN326" si="1684">IF(ISERROR((EM326/EE326-1)*100),"NA",IF(((EM326/EE326-1)*100)&gt;100,"NM",IF(((EM326/EE326-1)*100)&lt;-50,"NM",(EM326/EE326-1)*100)))</f>
        <v>-12.455669580481832</v>
      </c>
      <c r="EO326" s="137">
        <f>+EO320/EO313*100</f>
        <v>95.142857142857139</v>
      </c>
      <c r="EP326" s="98">
        <f t="shared" ref="EP326" si="1685">IF(ISERROR((EO326/EG326-1)*100),"NA",IF(((EO326/EG326-1)*100)&gt;100,"NM",IF(((EO326/EG326-1)*100)&lt;-50,"NM",(EO326/EG326-1)*100)))</f>
        <v>-2.5882352941176578</v>
      </c>
      <c r="EQ326" s="1026">
        <f>EI326-4</f>
        <v>93.836166924265839</v>
      </c>
      <c r="ER326" s="98">
        <f t="shared" ref="ER326" si="1686">IF(ISERROR((EQ326/EI326-1)*100),"NA",IF(((EQ326/EI326-1)*100)&gt;100,"NM",IF(((EQ326/EI326-1)*100)&lt;-50,"NM",(EQ326/EI326-1)*100)))</f>
        <v>-4.0884676145339638</v>
      </c>
      <c r="ES326" s="1026">
        <f>EK326+1</f>
        <v>93.403100775193806</v>
      </c>
      <c r="ET326" s="98">
        <f t="shared" ref="ET326" si="1687">IF(ISERROR((ES326/EK326-1)*100),"NA",IF(((ES326/EK326-1)*100)&gt;100,"NM",IF(((ES326/EK326-1)*100)&lt;-50,"NM",(ES326/EK326-1)*100)))</f>
        <v>1.0822147651006642</v>
      </c>
      <c r="EU326" s="1026">
        <f>EM326+1</f>
        <v>92.298145506419402</v>
      </c>
      <c r="EV326" s="98">
        <f t="shared" ref="EV326" si="1688">IF(ISERROR((EU326/EM326-1)*100),"NA",IF(((EU326/EM326-1)*100)&gt;100,"NM",IF(((EU326/EM326-1)*100)&lt;-50,"NM",(EU326/EM326-1)*100)))</f>
        <v>1.0953124999999897</v>
      </c>
      <c r="EW326" s="1026">
        <f>EO326</f>
        <v>95.142857142857139</v>
      </c>
      <c r="EX326" s="98">
        <f t="shared" ref="EX326" si="1689">IF(ISERROR((EW326/EO326-1)*100),"NA",IF(((EW326/EO326-1)*100)&gt;100,"NM",IF(((EW326/EO326-1)*100)&lt;-50,"NM",(EW326/EO326-1)*100)))</f>
        <v>0</v>
      </c>
      <c r="EY326" s="282"/>
      <c r="EZ326" s="594"/>
      <c r="FA326" s="405"/>
      <c r="FB326" s="279"/>
      <c r="FC326" s="98"/>
      <c r="FD326" s="278"/>
      <c r="FE326" s="98"/>
      <c r="FF326" s="279"/>
      <c r="FG326" s="98"/>
      <c r="FH326" s="279"/>
      <c r="FI326" s="98"/>
      <c r="FJ326" s="282"/>
      <c r="FK326" s="98"/>
      <c r="FL326" s="282"/>
      <c r="FM326" s="98"/>
      <c r="FN326" s="282"/>
      <c r="FO326" s="98"/>
      <c r="FP326" s="282"/>
      <c r="FQ326" s="98"/>
      <c r="FR326" s="283"/>
      <c r="FS326" s="120"/>
      <c r="FT326" s="283"/>
      <c r="FU326" s="120"/>
      <c r="FV326" s="283"/>
      <c r="FW326" s="98"/>
      <c r="FX326" s="520"/>
      <c r="FY326" s="98"/>
      <c r="FZ326" s="283"/>
      <c r="GA326" s="98"/>
      <c r="GB326" s="487">
        <f>+GB320/GB313*100</f>
        <v>82.100238663484475</v>
      </c>
      <c r="GC326" s="98" t="str">
        <f>IF(ISERROR((GB326/FZ326-1)*100),"NA",IF(((GB326/FZ326-1)*100)&gt;100,"NM",IF(((GB326/FZ326-1)*100)&lt;-50,"NM",(GB326/FZ326-1)*100)))</f>
        <v>NA</v>
      </c>
      <c r="GD326" s="130">
        <f>+GD320/GD313*100</f>
        <v>86.5399534522886</v>
      </c>
      <c r="GE326" s="98">
        <f>IF(ISERROR((GD326/GB326-1)*100),"NA",IF(((GD326/GB326-1)*100)&gt;100,"NM",IF(((GD326/GB326-1)*100)&lt;-50,"NM",(GD326/GB326-1)*100)))</f>
        <v>5.4076758619445497</v>
      </c>
      <c r="GF326" s="130">
        <f>+GF320/GF313*100</f>
        <v>86.898016997167133</v>
      </c>
      <c r="GG326" s="98">
        <f>IF(ISERROR((GF326/GD326-1)*100),"NA",IF(((GF326/GD326-1)*100)&gt;100,"NM",IF(((GF326/GD326-1)*100)&lt;-50,"NM",(GF326/GD326-1)*100)))</f>
        <v>0.41375518543114165</v>
      </c>
      <c r="GH326" s="130">
        <f>+GH320/GH313*100</f>
        <v>91.674893056926621</v>
      </c>
      <c r="GI326" s="98">
        <f>IF(ISERROR((GH326/GF326-1)*100),"NA",IF(((GH326/GF326-1)*100)&gt;100,"NM",IF(((GH326/GF326-1)*100)&lt;-50,"NM",(GH326/GF326-1)*100)))</f>
        <v>5.4971059465202865</v>
      </c>
      <c r="GJ326" s="130">
        <f>+GJ320/GJ313*100</f>
        <v>93.297171638899655</v>
      </c>
      <c r="GK326" s="98">
        <f>IF(ISERROR((GJ326/GH326-1)*100),"NA",IF(((GJ326/GH326-1)*100)&gt;100,"NM",IF(((GJ326/GH326-1)*100)&lt;-50,"NM",(GJ326/GH326-1)*100)))</f>
        <v>1.7695996448729545</v>
      </c>
      <c r="GL326" s="130">
        <f>+GL320/GL313*100</f>
        <v>96.599446421510478</v>
      </c>
      <c r="GM326" s="98">
        <f>IF(ISERROR((GL326/GJ326-1)*100),"NA",IF(((GL326/GJ326-1)*100)&gt;100,"NM",IF(((GL326/GJ326-1)*100)&lt;-50,"NM",(GL326/GJ326-1)*100)))</f>
        <v>3.5395229293681663</v>
      </c>
      <c r="GN326" s="130">
        <f>+GN320/GN313*100</f>
        <v>94.132937244708501</v>
      </c>
      <c r="GO326" s="98">
        <f>IF(ISERROR((GN326/GL326-1)*100),"NA",IF(((GN326/GL326-1)*100)&gt;100,"NM",IF(((GN326/GL326-1)*100)&lt;-50,"NM",(GN326/GL326-1)*100)))</f>
        <v>-2.5533367614130942</v>
      </c>
      <c r="GP326" s="130">
        <f>+GP320/GP313*100</f>
        <v>93.675397409120762</v>
      </c>
      <c r="GQ326" s="98">
        <f>IF(ISERROR((GP326/GN326-1)*100),"NA",IF(((GP326/GN326-1)*100)&gt;100,"NM",IF(((GP326/GN326-1)*100)&lt;-50,"NM",(GP326/GN326-1)*100)))</f>
        <v>-0.48605711133640206</v>
      </c>
      <c r="GR326" s="80">
        <f>GP326+0.2</f>
        <v>93.875397409120765</v>
      </c>
      <c r="GS326" s="98">
        <f>IF(ISERROR((GR326/GP326-1)*100),"NA",IF(((GR326/GP326-1)*100)&gt;100,"NM",IF(((GR326/GP326-1)*100)&lt;-50,"NM",(GR326/GP326-1)*100)))</f>
        <v>0.21350323087130363</v>
      </c>
      <c r="GT326" s="80">
        <f>GR326</f>
        <v>93.875397409120765</v>
      </c>
      <c r="GU326" s="98">
        <f>IF(ISERROR((GT326/GR326-1)*100),"NA",IF(((GT326/GR326-1)*100)&gt;100,"NM",IF(((GT326/GR326-1)*100)&lt;-50,"NM",(GT326/GR326-1)*100)))</f>
        <v>0</v>
      </c>
      <c r="GV326" s="80">
        <f>GT326</f>
        <v>93.875397409120765</v>
      </c>
      <c r="GW326" s="98">
        <f>IF(ISERROR((GV326/GT326-1)*100),"NA",IF(((GV326/GT326-1)*100)&gt;100,"NM",IF(((GV326/GT326-1)*100)&lt;-50,"NM",(GV326/GT326-1)*100)))</f>
        <v>0</v>
      </c>
      <c r="GX326" s="80">
        <f>GV326+0.5</f>
        <v>94.375397409120765</v>
      </c>
      <c r="GY326" s="98">
        <f>IF(ISERROR((GX326/GV326-1)*100),"NA",IF(((GX326/GV326-1)*100)&gt;100,"NM",IF(((GX326/GV326-1)*100)&lt;-50,"NM",(GX326/GV326-1)*100)))</f>
        <v>0.53262091431787173</v>
      </c>
      <c r="GZ326" s="98">
        <f>IF(ISERROR(((GX326/GN326)^0.2-1)*100),"NA",IF((((GX326/GN326)^0.2-1)*100)&gt;100,"NM",IF((((GX326/GN326)^0.2-1)*100)&lt;-50,"NM",((GX326/GN326)^0.2-1)*100)))</f>
        <v>5.1461423171672571E-2</v>
      </c>
      <c r="HA326" s="98"/>
      <c r="HB326" s="10"/>
      <c r="HC326"/>
      <c r="HD326"/>
      <c r="HE326"/>
      <c r="HF326"/>
      <c r="HG326"/>
      <c r="HH326"/>
      <c r="HI326" s="10"/>
    </row>
    <row r="327" spans="2:217" s="143" customFormat="1" ht="12.75" hidden="1" customHeight="1" outlineLevel="1" x14ac:dyDescent="0.2">
      <c r="B327" s="140" t="s">
        <v>169</v>
      </c>
      <c r="C327" s="421"/>
      <c r="D327" s="104"/>
      <c r="E327" s="421"/>
      <c r="F327" s="104"/>
      <c r="G327" s="421"/>
      <c r="H327" s="104"/>
      <c r="I327" s="421"/>
      <c r="J327" s="104"/>
      <c r="K327" s="421"/>
      <c r="L327" s="104"/>
      <c r="M327" s="421"/>
      <c r="N327" s="104"/>
      <c r="O327" s="421"/>
      <c r="P327" s="104"/>
      <c r="Q327" s="421"/>
      <c r="R327" s="104"/>
      <c r="S327" s="285"/>
      <c r="T327" s="104"/>
      <c r="U327" s="285"/>
      <c r="V327" s="104"/>
      <c r="W327" s="285"/>
      <c r="X327" s="104"/>
      <c r="Y327" s="285"/>
      <c r="Z327" s="104"/>
      <c r="AA327" s="285"/>
      <c r="AB327" s="104"/>
      <c r="AC327" s="285"/>
      <c r="AD327" s="104"/>
      <c r="AE327" s="285"/>
      <c r="AF327" s="104"/>
      <c r="AG327" s="285"/>
      <c r="AH327" s="104"/>
      <c r="AI327" s="285"/>
      <c r="AJ327" s="104"/>
      <c r="AK327" s="285"/>
      <c r="AL327" s="104"/>
      <c r="AM327" s="285"/>
      <c r="AN327" s="104"/>
      <c r="AO327" s="285"/>
      <c r="AP327" s="104"/>
      <c r="AQ327" s="285"/>
      <c r="AR327" s="104"/>
      <c r="AS327" s="285"/>
      <c r="AT327" s="104"/>
      <c r="AU327" s="285"/>
      <c r="AV327" s="104"/>
      <c r="AW327" s="285"/>
      <c r="AX327" s="104"/>
      <c r="AY327" s="285"/>
      <c r="AZ327" s="104"/>
      <c r="BA327" s="285"/>
      <c r="BB327" s="104"/>
      <c r="BC327" s="285"/>
      <c r="BD327" s="104"/>
      <c r="BE327" s="285"/>
      <c r="BF327" s="104"/>
      <c r="BG327" s="285"/>
      <c r="BH327" s="104"/>
      <c r="BI327" s="285"/>
      <c r="BJ327" s="104"/>
      <c r="BK327" s="285"/>
      <c r="BL327" s="104"/>
      <c r="BM327" s="285"/>
      <c r="BN327" s="104"/>
      <c r="BO327" s="285"/>
      <c r="BP327" s="104"/>
      <c r="BQ327" s="285"/>
      <c r="BR327" s="104"/>
      <c r="BS327" s="285"/>
      <c r="BT327" s="104"/>
      <c r="BU327" s="285"/>
      <c r="BV327" s="104"/>
      <c r="BW327" s="285"/>
      <c r="BX327" s="104"/>
      <c r="BY327" s="285"/>
      <c r="BZ327" s="104"/>
      <c r="CA327" s="285"/>
      <c r="CB327" s="104"/>
      <c r="CC327" s="285"/>
      <c r="CD327" s="104"/>
      <c r="CE327" s="285"/>
      <c r="CF327" s="104"/>
      <c r="CG327" s="285"/>
      <c r="CH327" s="104"/>
      <c r="CI327" s="285"/>
      <c r="CJ327" s="104"/>
      <c r="CK327" s="285"/>
      <c r="CL327" s="104"/>
      <c r="CM327" s="105"/>
      <c r="CN327" s="109"/>
      <c r="CO327" s="105"/>
      <c r="CP327" s="109"/>
      <c r="CQ327" s="522"/>
      <c r="CR327" s="109"/>
      <c r="CS327" s="105"/>
      <c r="CT327" s="109"/>
      <c r="CU327" s="105"/>
      <c r="CV327" s="109"/>
      <c r="CW327" s="105"/>
      <c r="CX327" s="109"/>
      <c r="CY327" s="105"/>
      <c r="CZ327" s="109"/>
      <c r="DA327" s="105"/>
      <c r="DB327" s="109"/>
      <c r="DC327" s="105"/>
      <c r="DD327" s="109"/>
      <c r="DE327" s="105"/>
      <c r="DF327" s="109"/>
      <c r="DG327" s="105"/>
      <c r="DH327" s="109"/>
      <c r="DI327" s="105"/>
      <c r="DJ327" s="109"/>
      <c r="DK327" s="105"/>
      <c r="DL327" s="109"/>
      <c r="DM327" s="105"/>
      <c r="DN327" s="109"/>
      <c r="DO327" s="105"/>
      <c r="DP327" s="109"/>
      <c r="DQ327" s="105"/>
      <c r="DR327" s="109"/>
      <c r="DS327" s="105"/>
      <c r="DT327" s="109"/>
      <c r="DU327" s="105"/>
      <c r="DV327" s="109"/>
      <c r="DW327" s="105"/>
      <c r="DX327" s="109"/>
      <c r="DY327" s="105"/>
      <c r="DZ327" s="109"/>
      <c r="EA327" s="105"/>
      <c r="EB327" s="109"/>
      <c r="EC327" s="105"/>
      <c r="ED327" s="109"/>
      <c r="EE327" s="105"/>
      <c r="EF327" s="1027"/>
      <c r="EG327" s="105"/>
      <c r="EH327" s="1027"/>
      <c r="EI327" s="105"/>
      <c r="EJ327" s="1027"/>
      <c r="EK327" s="105"/>
      <c r="EL327" s="1027"/>
      <c r="EM327" s="105"/>
      <c r="EN327" s="1027"/>
      <c r="EO327" s="105"/>
      <c r="EP327" s="109"/>
      <c r="EQ327" s="1018">
        <f>IF($B$6=1,EQ326,IF($B$6=2,EQ326+EQ884,IF($B$6=3,EQ326+EQ885)))</f>
        <v>93.836166924265839</v>
      </c>
      <c r="ER327" s="109"/>
      <c r="ES327" s="1018">
        <f>IF($B$6=1,ES326,IF($B$6=2,ES326+ES884,IF($B$6=3,ES326+ES885)))</f>
        <v>93.403100775193806</v>
      </c>
      <c r="ET327" s="109"/>
      <c r="EU327" s="1018">
        <f>IF($B$6=1,EU326,IF($B$6=2,EU326+EU884,IF($B$6=3,EU326+EU885)))</f>
        <v>92.298145506419402</v>
      </c>
      <c r="EV327" s="109"/>
      <c r="EW327" s="1018">
        <f>IF($B$6=1,EW326,IF($B$6=2,EW326+EW884,IF($B$6=3,EW326+EW885)))</f>
        <v>95.142857142857139</v>
      </c>
      <c r="EX327" s="109"/>
      <c r="EY327" s="286"/>
      <c r="EZ327" s="595"/>
      <c r="FA327" s="406"/>
      <c r="FB327" s="287"/>
      <c r="FC327" s="104"/>
      <c r="FD327" s="288"/>
      <c r="FE327" s="104"/>
      <c r="FF327" s="287"/>
      <c r="FG327" s="104"/>
      <c r="FH327" s="287"/>
      <c r="FI327" s="104"/>
      <c r="FJ327" s="286"/>
      <c r="FK327" s="104"/>
      <c r="FL327" s="286"/>
      <c r="FM327" s="104"/>
      <c r="FN327" s="286"/>
      <c r="FO327" s="104"/>
      <c r="FP327" s="286"/>
      <c r="FQ327" s="104"/>
      <c r="FR327" s="286"/>
      <c r="FS327" s="109"/>
      <c r="FT327" s="286"/>
      <c r="FU327" s="109"/>
      <c r="FV327" s="286"/>
      <c r="FW327" s="104"/>
      <c r="FX327" s="521"/>
      <c r="FY327" s="104"/>
      <c r="FZ327" s="286"/>
      <c r="GA327" s="104"/>
      <c r="GB327" s="491"/>
      <c r="GC327" s="109"/>
      <c r="GD327" s="141"/>
      <c r="GE327" s="109"/>
      <c r="GF327" s="141"/>
      <c r="GG327" s="109"/>
      <c r="GH327" s="141"/>
      <c r="GI327" s="109"/>
      <c r="GJ327" s="141"/>
      <c r="GK327" s="109"/>
      <c r="GL327" s="141"/>
      <c r="GM327" s="109"/>
      <c r="GN327" s="141"/>
      <c r="GO327" s="109"/>
      <c r="GP327" s="141"/>
      <c r="GQ327" s="109"/>
      <c r="GR327" s="141">
        <f>IF($B$6=1,GR326,IF($B$6=2,GR326+GR884,IF($B$6=3,GR326+GR885)))</f>
        <v>93.875397409120765</v>
      </c>
      <c r="GS327" s="109"/>
      <c r="GT327" s="141">
        <f>IF($B$6=1,GT326,IF($B$6=2,GT326+GT884,IF($B$6=3,GT326+GT885)))</f>
        <v>93.875397409120765</v>
      </c>
      <c r="GU327" s="109"/>
      <c r="GV327" s="141">
        <f>IF($B$6=1,GV326,IF($B$6=2,GV326+GV884,IF($B$6=3,GV326+GV885)))</f>
        <v>93.875397409120765</v>
      </c>
      <c r="GW327" s="109"/>
      <c r="GX327" s="141">
        <f>IF($B$6=1,GX326,IF($B$6=2,GX326+GX884,IF($B$6=3,GX326+GX885)))</f>
        <v>94.375397409120765</v>
      </c>
      <c r="GY327" s="109"/>
      <c r="GZ327" s="109"/>
      <c r="HA327" s="109"/>
      <c r="HB327" s="111"/>
      <c r="HC327"/>
      <c r="HD327"/>
      <c r="HE327"/>
      <c r="HF327"/>
      <c r="HG327"/>
      <c r="HH327"/>
      <c r="HI327" s="111"/>
    </row>
    <row r="328" spans="2:217" s="2" customFormat="1" ht="12.75" customHeight="1" collapsed="1" x14ac:dyDescent="0.2">
      <c r="B328" s="91" t="s">
        <v>314</v>
      </c>
      <c r="C328" s="117"/>
      <c r="D328" s="98"/>
      <c r="E328" s="117"/>
      <c r="F328" s="98"/>
      <c r="G328" s="117"/>
      <c r="H328" s="98"/>
      <c r="I328" s="117"/>
      <c r="J328" s="98"/>
      <c r="K328" s="117"/>
      <c r="L328" s="98"/>
      <c r="M328" s="117"/>
      <c r="N328" s="98"/>
      <c r="O328" s="117"/>
      <c r="P328" s="98"/>
      <c r="Q328" s="117"/>
      <c r="R328" s="98"/>
      <c r="S328" s="182"/>
      <c r="T328" s="98"/>
      <c r="U328" s="182"/>
      <c r="V328" s="98"/>
      <c r="W328" s="182"/>
      <c r="X328" s="98"/>
      <c r="Y328" s="182"/>
      <c r="Z328" s="98"/>
      <c r="AA328" s="182"/>
      <c r="AB328" s="98"/>
      <c r="AC328" s="182"/>
      <c r="AD328" s="98"/>
      <c r="AE328" s="182"/>
      <c r="AF328" s="98"/>
      <c r="AG328" s="182"/>
      <c r="AH328" s="98"/>
      <c r="AI328" s="182"/>
      <c r="AJ328" s="98"/>
      <c r="AK328" s="182"/>
      <c r="AL328" s="98"/>
      <c r="AM328" s="182"/>
      <c r="AN328" s="98"/>
      <c r="AO328" s="182"/>
      <c r="AP328" s="98"/>
      <c r="AQ328" s="182"/>
      <c r="AR328" s="98"/>
      <c r="AS328" s="182"/>
      <c r="AT328" s="98"/>
      <c r="AU328" s="182"/>
      <c r="AV328" s="98"/>
      <c r="AW328" s="182"/>
      <c r="AX328" s="98"/>
      <c r="AY328" s="182"/>
      <c r="AZ328" s="98"/>
      <c r="BA328" s="182"/>
      <c r="BB328" s="98"/>
      <c r="BC328" s="182"/>
      <c r="BD328" s="98"/>
      <c r="BE328" s="182"/>
      <c r="BF328" s="98"/>
      <c r="BG328" s="182"/>
      <c r="BH328" s="98"/>
      <c r="BI328" s="182"/>
      <c r="BJ328" s="98"/>
      <c r="BK328" s="182"/>
      <c r="BL328" s="98"/>
      <c r="BM328" s="182"/>
      <c r="BN328" s="98"/>
      <c r="BO328" s="182"/>
      <c r="BP328" s="98"/>
      <c r="BQ328" s="182"/>
      <c r="BR328" s="98"/>
      <c r="BS328" s="182"/>
      <c r="BT328" s="98"/>
      <c r="BU328" s="182"/>
      <c r="BV328" s="98"/>
      <c r="BW328" s="182"/>
      <c r="BX328" s="98"/>
      <c r="BY328" s="182"/>
      <c r="BZ328" s="98"/>
      <c r="CA328" s="182"/>
      <c r="CB328" s="98"/>
      <c r="CC328" s="182"/>
      <c r="CD328" s="98"/>
      <c r="CE328" s="182"/>
      <c r="CF328" s="98"/>
      <c r="CG328" s="182"/>
      <c r="CH328" s="98"/>
      <c r="CI328" s="182"/>
      <c r="CJ328" s="98"/>
      <c r="CK328" s="182"/>
      <c r="CL328" s="98"/>
      <c r="CM328" s="137">
        <f>+CM323/CM317*100</f>
        <v>32.423924449108085</v>
      </c>
      <c r="CN328" s="98" t="str">
        <f>IF(ISERROR((CM328/CE328-1)*100),"NA",IF(((CM328/CE328-1)*100)&gt;100,"NM",IF(((CM328/CE328-1)*100)&lt;-50,"NM",(CM328/CE328-1)*100)))</f>
        <v>NA</v>
      </c>
      <c r="CO328" s="137">
        <f>+CO323/CO317*100</f>
        <v>30.493273542600896</v>
      </c>
      <c r="CP328" s="98" t="str">
        <f>IF(ISERROR((CO328/CG328-1)*100),"NA",IF(((CO328/CG328-1)*100)&gt;100,"NM",IF(((CO328/CG328-1)*100)&lt;-50,"NM",(CO328/CG328-1)*100)))</f>
        <v>NA</v>
      </c>
      <c r="CQ328" s="494">
        <f>+CQ323/CQ317*100</f>
        <v>28.78133102852204</v>
      </c>
      <c r="CR328" s="98" t="str">
        <f>IF(ISERROR((CQ328/CI328-1)*100),"NA",IF(((CQ328/CI328-1)*100)&gt;100,"NM",IF(((CQ328/CI328-1)*100)&lt;-50,"NM",(CQ328/CI328-1)*100)))</f>
        <v>NA</v>
      </c>
      <c r="CS328" s="137">
        <f>+CS323/CS317*100</f>
        <v>29.834254143646412</v>
      </c>
      <c r="CT328" s="98" t="str">
        <f>IF(ISERROR((CS328/CK328-1)*100),"NA",IF(((CS328/CK328-1)*100)&gt;100,"NM",IF(((CS328/CK328-1)*100)&lt;-50,"NM",(CS328/CK328-1)*100)))</f>
        <v>NA</v>
      </c>
      <c r="CU328" s="137">
        <f>+CU323/CU317*100</f>
        <v>27.571669477234401</v>
      </c>
      <c r="CV328" s="98">
        <f>IF(ISERROR((CU328/CM328-1)*100),"NA",IF(((CU328/CM328-1)*100)&gt;100,"NM",IF(((CU328/CM328-1)*100)&lt;-50,"NM",(CU328/CM328-1)*100)))</f>
        <v>-14.965045269241484</v>
      </c>
      <c r="CW328" s="137">
        <f>+CW323/CW317*100</f>
        <v>28.483245149911816</v>
      </c>
      <c r="CX328" s="98">
        <f>IF(ISERROR((CW328/CO328-1)*100),"NA",IF(((CW328/CO328-1)*100)&gt;100,"NM",IF(((CW328/CO328-1)*100)&lt;-50,"NM",(CW328/CO328-1)*100)))</f>
        <v>-6.5917107583774222</v>
      </c>
      <c r="CY328" s="137">
        <f>+CY323/CY317*100</f>
        <v>31.698455949137148</v>
      </c>
      <c r="CZ328" s="98">
        <f>IF(ISERROR((CY328/CQ328-1)*100),"NA",IF(((CY328/CQ328-1)*100)&gt;100,"NM",IF(((CY328/CQ328-1)*100)&lt;-50,"NM",(CY328/CQ328-1)*100)))</f>
        <v>10.13547607553058</v>
      </c>
      <c r="DA328" s="137">
        <f>+DA323/DA317*100</f>
        <v>32.439446366782008</v>
      </c>
      <c r="DB328" s="98">
        <f>IF(ISERROR((DA328/CS328-1)*100),"NA",IF(((DA328/CS328-1)*100)&gt;100,"NM",IF(((DA328/CS328-1)*100)&lt;-50,"NM",(DA328/CS328-1)*100)))</f>
        <v>8.7322183775470954</v>
      </c>
      <c r="DC328" s="137">
        <f>+DC323/DC317*100</f>
        <v>31.41405588484335</v>
      </c>
      <c r="DD328" s="98">
        <f>IF(ISERROR((DC328/CU328-1)*100),"NA",IF(((DC328/CU328-1)*100)&gt;100,"NM",IF(((DC328/CU328-1)*100)&lt;-50,"NM",(DC328/CU328-1)*100)))</f>
        <v>13.935994738300339</v>
      </c>
      <c r="DE328" s="137">
        <f>+DE323/DE317*100</f>
        <v>31.762794476035744</v>
      </c>
      <c r="DF328" s="98">
        <f>IF(ISERROR((DE328/CW328-1)*100),"NA",IF(((DE328/CW328-1)*100)&gt;100,"NM",IF(((DE328/CW328-1)*100)&lt;-50,"NM",(DE328/CW328-1)*100)))</f>
        <v>11.513959553636322</v>
      </c>
      <c r="DG328" s="137">
        <f>+DG323/DG317*100</f>
        <v>31.151419558359621</v>
      </c>
      <c r="DH328" s="98">
        <f>IF(ISERROR((DG328/CY328-1)*100),"NA",IF(((DG328/CY328-1)*100)&gt;100,"NM",IF(((DG328/CY328-1)*100)&lt;-50,"NM",(DG328/CY328-1)*100)))</f>
        <v>-1.7257509061491594</v>
      </c>
      <c r="DI328" s="137">
        <f>+DI323/DI317*100</f>
        <v>32.407407407407405</v>
      </c>
      <c r="DJ328" s="98">
        <f>IF(ISERROR((DI328/DA328-1)*100),"NA",IF(((DI328/DA328-1)*100)&gt;100,"NM",IF(((DI328/DA328-1)*100)&lt;-50,"NM",(DI328/DA328-1)*100)))</f>
        <v>-9.8765432098779637E-2</v>
      </c>
      <c r="DK328" s="137">
        <f>+DK323/DK317*100</f>
        <v>33.590138674884443</v>
      </c>
      <c r="DL328" s="98">
        <f>IF(ISERROR((DK328/DC328-1)*100),"NA",IF(((DK328/DC328-1)*100)&gt;100,"NM",IF(((DK328/DC328-1)*100)&lt;-50,"NM",(DK328/DC328-1)*100)))</f>
        <v>6.9270991240930835</v>
      </c>
      <c r="DM328" s="137">
        <f>+DM323/DM317*100</f>
        <v>30.526315789473685</v>
      </c>
      <c r="DN328" s="98">
        <f>IF(ISERROR((DM328/DE328-1)*100),"NA",IF(((DM328/DE328-1)*100)&gt;100,"NM",IF(((DM328/DE328-1)*100)&lt;-50,"NM",(DM328/DE328-1)*100)))</f>
        <v>-3.8928523354421873</v>
      </c>
      <c r="DO328" s="137">
        <f>+DO323/DO317*100</f>
        <v>30.737704918032787</v>
      </c>
      <c r="DP328" s="98">
        <f>IF(ISERROR((DO328/DG328-1)*100),"NA",IF(((DO328/DG328-1)*100)&gt;100,"NM",IF(((DO328/DG328-1)*100)&lt;-50,"NM",(DO328/DG328-1)*100)))</f>
        <v>-1.328076364390951</v>
      </c>
      <c r="DQ328" s="137">
        <f>+DQ323/DQ317*100</f>
        <v>36.014760147601478</v>
      </c>
      <c r="DR328" s="98">
        <f>IF(ISERROR((DQ328/DI328-1)*100),"NA",IF(((DQ328/DI328-1)*100)&gt;100,"NM",IF(((DQ328/DI328-1)*100)&lt;-50,"NM",(DQ328/DI328-1)*100)))</f>
        <v>11.131259884027433</v>
      </c>
      <c r="DS328" s="137">
        <f>+DS323/DS317*100</f>
        <v>31.049436253252381</v>
      </c>
      <c r="DT328" s="98">
        <f>IF(ISERROR((DS328/DK328-1)*100),"NA",IF(((DS328/DK328-1)*100)&gt;100,"NM",IF(((DS328/DK328-1)*100)&lt;-50,"NM",(DS328/DK328-1)*100)))</f>
        <v>-7.5638342735743436</v>
      </c>
      <c r="DU328" s="137">
        <f>+DU323/DU317*100</f>
        <v>28.108108108108109</v>
      </c>
      <c r="DV328" s="98">
        <f>IF(ISERROR((DU328/DM328-1)*100),"NA",IF(((DU328/DM328-1)*100)&gt;100,"NM",IF(((DU328/DM328-1)*100)&lt;-50,"NM",(DU328/DM328-1)*100)))</f>
        <v>-7.9217148182665458</v>
      </c>
      <c r="DW328" s="137">
        <f>+DW323/DW317*100</f>
        <v>30.687830687830687</v>
      </c>
      <c r="DX328" s="98">
        <f>IF(ISERROR((DW328/DO328-1)*100),"NA",IF(((DW328/DO328-1)*100)&gt;100,"NM",IF(((DW328/DO328-1)*100)&lt;-50,"NM",(DW328/DO328-1)*100)))</f>
        <v>-0.16225749559083402</v>
      </c>
      <c r="DY328" s="137">
        <f>+DY323/DY317*100</f>
        <v>30.0418410041841</v>
      </c>
      <c r="DZ328" s="98">
        <f>IF(ISERROR((DY328/DQ328-1)*100),"NA",IF(((DY328/DQ328-1)*100)&gt;100,"NM",IF(((DY328/DQ328-1)*100)&lt;-50,"NM",(DY328/DQ328-1)*100)))</f>
        <v>-16.584642293710139</v>
      </c>
      <c r="EA328" s="137">
        <f>+EA323/EA317*100</f>
        <v>27.409372236958447</v>
      </c>
      <c r="EB328" s="98">
        <f>IF(ISERROR((EA328/DS328-1)*100),"NA",IF(((EA328/DS328-1)*100)&gt;100,"NM",IF(((EA328/DS328-1)*100)&lt;-50,"NM",(EA328/DS328-1)*100)))</f>
        <v>-11.723446398846104</v>
      </c>
      <c r="EC328" s="137">
        <f>+EC323/EC317*100</f>
        <v>28.062554300608166</v>
      </c>
      <c r="ED328" s="98">
        <f>IF(ISERROR((EC328/DU328-1)*100),"NA",IF(((EC328/DU328-1)*100)&gt;100,"NM",IF(((EC328/DU328-1)*100)&lt;-50,"NM",(EC328/DU328-1)*100)))</f>
        <v>-0.16206643052864012</v>
      </c>
      <c r="EE328" s="137">
        <f>+EE323/EE317*100</f>
        <v>27.870216306156404</v>
      </c>
      <c r="EF328" s="860">
        <f>IF(ISERROR((EE328/DW328-1)*100),"NA",IF(((EE328/DW328-1)*100)&gt;100,"NM",IF(((EE328/DW328-1)*100)&lt;-50,"NM",(EE328/DW328-1)*100)))</f>
        <v>-9.1815365195937808</v>
      </c>
      <c r="EG328" s="137">
        <f>+EG323/EG317*100</f>
        <v>30.976430976430976</v>
      </c>
      <c r="EH328" s="860">
        <f>IF(ISERROR((EG328/DY328-1)*100),"NA",IF(((EG328/DY328-1)*100)&gt;100,"NM",IF(((EG328/DY328-1)*100)&lt;-50,"NM",(EG328/DY328-1)*100)))</f>
        <v>3.1109610496797169</v>
      </c>
      <c r="EI328" s="137">
        <f>+EI323/EI317*100</f>
        <v>26.743232157506153</v>
      </c>
      <c r="EJ328" s="860">
        <f t="shared" ref="EJ328" si="1690">IF(ISERROR((EI328/EA328-1)*100),"NA",IF(((EI328/EA328-1)*100)&gt;100,"NM",IF(((EI328/EA328-1)*100)&lt;-50,"NM",(EI328/EA328-1)*100)))</f>
        <v>-2.4303368705178907</v>
      </c>
      <c r="EK328" s="137">
        <f>+EK323/EK317*100</f>
        <v>29.334428923582578</v>
      </c>
      <c r="EL328" s="860">
        <f t="shared" ref="EL328" si="1691">IF(ISERROR((EK328/EC328-1)*100),"NA",IF(((EK328/EC328-1)*100)&gt;100,"NM",IF(((EK328/EC328-1)*100)&lt;-50,"NM",(EK328/EC328-1)*100)))</f>
        <v>4.5322838731998383</v>
      </c>
      <c r="EM328" s="137">
        <f>+EM323/EM317*100</f>
        <v>30.501618122977348</v>
      </c>
      <c r="EN328" s="860">
        <f t="shared" ref="EN328" si="1692">IF(ISERROR((EM328/EE328-1)*100),"NA",IF(((EM328/EE328-1)*100)&gt;100,"NM",IF(((EM328/EE328-1)*100)&lt;-50,"NM",(EM328/EE328-1)*100)))</f>
        <v>9.4416268173694853</v>
      </c>
      <c r="EO328" s="137">
        <f>+EO323/EO317*100</f>
        <v>31.838905775075986</v>
      </c>
      <c r="EP328" s="98">
        <f t="shared" ref="EP328" si="1693">IF(ISERROR((EO328/EG328-1)*100),"NA",IF(((EO328/EG328-1)*100)&gt;100,"NM",IF(((EO328/EG328-1)*100)&lt;-50,"NM",(EO328/EG328-1)*100)))</f>
        <v>2.7842936434518295</v>
      </c>
      <c r="EQ328" s="1026">
        <v>29.5</v>
      </c>
      <c r="ER328" s="98">
        <f t="shared" ref="ER328" si="1694">IF(ISERROR((EQ328/EI328-1)*100),"NA",IF(((EQ328/EI328-1)*100)&gt;100,"NM",IF(((EQ328/EI328-1)*100)&lt;-50,"NM",(EQ328/EI328-1)*100)))</f>
        <v>10.308282208588949</v>
      </c>
      <c r="ES328" s="1026">
        <f t="shared" ref="ES328" si="1695">EQ328</f>
        <v>29.5</v>
      </c>
      <c r="ET328" s="98">
        <f t="shared" ref="ET328" si="1696">IF(ISERROR((ES328/EK328-1)*100),"NA",IF(((ES328/EK328-1)*100)&gt;100,"NM",IF(((ES328/EK328-1)*100)&lt;-50,"NM",(ES328/EK328-1)*100)))</f>
        <v>0.56442577030813013</v>
      </c>
      <c r="EU328" s="1026">
        <f t="shared" ref="EU328" si="1697">ES328</f>
        <v>29.5</v>
      </c>
      <c r="EV328" s="98">
        <f t="shared" ref="EV328" si="1698">IF(ISERROR((EU328/EM328-1)*100),"NA",IF(((EU328/EM328-1)*100)&gt;100,"NM",IF(((EU328/EM328-1)*100)&lt;-50,"NM",(EU328/EM328-1)*100)))</f>
        <v>-3.2838196286472221</v>
      </c>
      <c r="EW328" s="1026">
        <f>EU328+1.5</f>
        <v>31</v>
      </c>
      <c r="EX328" s="98">
        <f t="shared" ref="EX328" si="1699">IF(ISERROR((EW328/EO328-1)*100),"NA",IF(((EW328/EO328-1)*100)&gt;100,"NM",IF(((EW328/EO328-1)*100)&lt;-50,"NM",(EW328/EO328-1)*100)))</f>
        <v>-2.6348448687350756</v>
      </c>
      <c r="EY328" s="282"/>
      <c r="EZ328" s="594"/>
      <c r="FA328" s="405"/>
      <c r="FB328" s="279"/>
      <c r="FC328" s="98"/>
      <c r="FD328" s="278"/>
      <c r="FE328" s="98"/>
      <c r="FF328" s="279"/>
      <c r="FG328" s="98"/>
      <c r="FH328" s="279"/>
      <c r="FI328" s="98"/>
      <c r="FJ328" s="282"/>
      <c r="FK328" s="98"/>
      <c r="FL328" s="282"/>
      <c r="FM328" s="98"/>
      <c r="FN328" s="282"/>
      <c r="FO328" s="98"/>
      <c r="FP328" s="282"/>
      <c r="FQ328" s="98"/>
      <c r="FR328" s="283"/>
      <c r="FS328" s="120"/>
      <c r="FT328" s="283"/>
      <c r="FU328" s="120"/>
      <c r="FV328" s="283"/>
      <c r="FW328" s="98"/>
      <c r="FX328" s="520"/>
      <c r="FY328" s="98"/>
      <c r="FZ328" s="283"/>
      <c r="GA328" s="98"/>
      <c r="GB328" s="487">
        <f>+GB323/GB317*100</f>
        <v>30.294595221526325</v>
      </c>
      <c r="GC328" s="98" t="str">
        <f>IF(ISERROR((GB328/FZ328-1)*100),"NA",IF(((GB328/FZ328-1)*100)&gt;100,"NM",IF(((GB328/FZ328-1)*100)&lt;-50,"NM",(GB328/FZ328-1)*100)))</f>
        <v>NA</v>
      </c>
      <c r="GD328" s="130">
        <f>+GD323/GD317*100</f>
        <v>30.019663535066638</v>
      </c>
      <c r="GE328" s="98">
        <f>IF(ISERROR((GD328/GB328-1)*100),"NA",IF(((GD328/GB328-1)*100)&gt;100,"NM",IF(((GD328/GB328-1)*100)&lt;-50,"NM",(GD328/GB328-1)*100)))</f>
        <v>-0.907527182486767</v>
      </c>
      <c r="GF328" s="130">
        <f>+GF323/GF317*100</f>
        <v>31.707317073170731</v>
      </c>
      <c r="GG328" s="98">
        <f>IF(ISERROR((GF328/GD328-1)*100),"NA",IF(((GF328/GD328-1)*100)&gt;100,"NM",IF(((GF328/GD328-1)*100)&lt;-50,"NM",(GF328/GD328-1)*100)))</f>
        <v>5.6218269606276738</v>
      </c>
      <c r="GH328" s="130">
        <f>+GH323/GH317*100</f>
        <v>32.641645615301336</v>
      </c>
      <c r="GI328" s="98">
        <f>IF(ISERROR((GH328/GF328-1)*100),"NA",IF(((GH328/GF328-1)*100)&gt;100,"NM",IF(((GH328/GF328-1)*100)&lt;-50,"NM",(GH328/GF328-1)*100)))</f>
        <v>2.946728479027283</v>
      </c>
      <c r="GJ328" s="130">
        <f>+GJ323/GJ317*100</f>
        <v>29.914172074523758</v>
      </c>
      <c r="GK328" s="98">
        <f>IF(ISERROR((GJ328/GH328-1)*100),"NA",IF(((GJ328/GH328-1)*100)&gt;100,"NM",IF(((GJ328/GH328-1)*100)&lt;-50,"NM",(GJ328/GH328-1)*100)))</f>
        <v>-8.3558089347646973</v>
      </c>
      <c r="GL328" s="130">
        <f>+GL323/GL317*100</f>
        <v>28.595890410958901</v>
      </c>
      <c r="GM328" s="98">
        <f>IF(ISERROR((GL328/GJ328-1)*100),"NA",IF(((GL328/GJ328-1)*100)&gt;100,"NM",IF(((GL328/GJ328-1)*100)&lt;-50,"NM",(GL328/GJ328-1)*100)))</f>
        <v>-4.406879990797286</v>
      </c>
      <c r="GN328" s="130">
        <f>+GN323/GN317*100</f>
        <v>29.651162790697676</v>
      </c>
      <c r="GO328" s="98">
        <f>IF(ISERROR((GN328/GL328-1)*100),"NA",IF(((GN328/GL328-1)*100)&gt;100,"NM",IF(((GN328/GL328-1)*100)&lt;-50,"NM",(GN328/GL328-1)*100)))</f>
        <v>3.6902938309427702</v>
      </c>
      <c r="GP328" s="130">
        <f>+GP323/GP317*100</f>
        <v>29.883415939883935</v>
      </c>
      <c r="GQ328" s="98">
        <f>IF(ISERROR((GP328/GN328-1)*100),"NA",IF(((GP328/GN328-1)*100)&gt;100,"NM",IF(((GP328/GN328-1)*100)&lt;-50,"NM",(GP328/GN328-1)*100)))</f>
        <v>0.7832851305889621</v>
      </c>
      <c r="GR328" s="80">
        <v>29.5</v>
      </c>
      <c r="GS328" s="98">
        <f>IF(ISERROR((GR328/GP328-1)*100),"NA",IF(((GR328/GP328-1)*100)&gt;100,"NM",IF(((GR328/GP328-1)*100)&lt;-50,"NM",(GR328/GP328-1)*100)))</f>
        <v>-1.2830391969085753</v>
      </c>
      <c r="GT328" s="80">
        <f>GR328</f>
        <v>29.5</v>
      </c>
      <c r="GU328" s="98">
        <f>IF(ISERROR((GT328/GR328-1)*100),"NA",IF(((GT328/GR328-1)*100)&gt;100,"NM",IF(((GT328/GR328-1)*100)&lt;-50,"NM",(GT328/GR328-1)*100)))</f>
        <v>0</v>
      </c>
      <c r="GV328" s="80">
        <f>GT328</f>
        <v>29.5</v>
      </c>
      <c r="GW328" s="98">
        <f>IF(ISERROR((GV328/GT328-1)*100),"NA",IF(((GV328/GT328-1)*100)&gt;100,"NM",IF(((GV328/GT328-1)*100)&lt;-50,"NM",(GV328/GT328-1)*100)))</f>
        <v>0</v>
      </c>
      <c r="GX328" s="80">
        <f>GV328</f>
        <v>29.5</v>
      </c>
      <c r="GY328" s="98">
        <f>IF(ISERROR((GX328/GV328-1)*100),"NA",IF(((GX328/GV328-1)*100)&gt;100,"NM",IF(((GX328/GV328-1)*100)&lt;-50,"NM",(GX328/GV328-1)*100)))</f>
        <v>0</v>
      </c>
      <c r="GZ328" s="98">
        <f>IF(ISERROR(((GX328/GN328)^0.2-1)*100),"NA",IF((((GX328/GN328)^0.2-1)*100)&gt;100,"NM",IF((((GX328/GN328)^0.2-1)*100)&lt;-50,"NM",((GX328/GN328)^0.2-1)*100)))</f>
        <v>-0.10216934261361166</v>
      </c>
      <c r="HA328" s="98"/>
      <c r="HB328" s="10"/>
      <c r="HC328"/>
      <c r="HD328"/>
      <c r="HE328"/>
      <c r="HF328"/>
      <c r="HG328"/>
      <c r="HH328"/>
      <c r="HI328" s="10"/>
    </row>
    <row r="329" spans="2:217" s="143" customFormat="1" ht="12.75" hidden="1" customHeight="1" outlineLevel="1" x14ac:dyDescent="0.2">
      <c r="B329" s="140" t="s">
        <v>203</v>
      </c>
      <c r="C329" s="421"/>
      <c r="D329" s="104"/>
      <c r="E329" s="421"/>
      <c r="F329" s="104"/>
      <c r="G329" s="421"/>
      <c r="H329" s="104"/>
      <c r="I329" s="421"/>
      <c r="J329" s="104"/>
      <c r="K329" s="421"/>
      <c r="L329" s="104"/>
      <c r="M329" s="421"/>
      <c r="N329" s="104"/>
      <c r="O329" s="421"/>
      <c r="P329" s="104"/>
      <c r="Q329" s="421"/>
      <c r="R329" s="104"/>
      <c r="S329" s="285"/>
      <c r="T329" s="104"/>
      <c r="U329" s="285"/>
      <c r="V329" s="104"/>
      <c r="W329" s="285"/>
      <c r="X329" s="104"/>
      <c r="Y329" s="285"/>
      <c r="Z329" s="104"/>
      <c r="AA329" s="285"/>
      <c r="AB329" s="104"/>
      <c r="AC329" s="285"/>
      <c r="AD329" s="104"/>
      <c r="AE329" s="285"/>
      <c r="AF329" s="104"/>
      <c r="AG329" s="285"/>
      <c r="AH329" s="104"/>
      <c r="AI329" s="285"/>
      <c r="AJ329" s="104"/>
      <c r="AK329" s="285"/>
      <c r="AL329" s="104"/>
      <c r="AM329" s="285"/>
      <c r="AN329" s="104"/>
      <c r="AO329" s="285"/>
      <c r="AP329" s="104"/>
      <c r="AQ329" s="285"/>
      <c r="AR329" s="104"/>
      <c r="AS329" s="285"/>
      <c r="AT329" s="104"/>
      <c r="AU329" s="285"/>
      <c r="AV329" s="104"/>
      <c r="AW329" s="285"/>
      <c r="AX329" s="104"/>
      <c r="AY329" s="285"/>
      <c r="AZ329" s="104"/>
      <c r="BA329" s="285"/>
      <c r="BB329" s="104"/>
      <c r="BC329" s="285"/>
      <c r="BD329" s="104"/>
      <c r="BE329" s="285"/>
      <c r="BF329" s="104"/>
      <c r="BG329" s="285"/>
      <c r="BH329" s="104"/>
      <c r="BI329" s="285"/>
      <c r="BJ329" s="104"/>
      <c r="BK329" s="285"/>
      <c r="BL329" s="104"/>
      <c r="BM329" s="285"/>
      <c r="BN329" s="104"/>
      <c r="BO329" s="285"/>
      <c r="BP329" s="104"/>
      <c r="BQ329" s="285"/>
      <c r="BR329" s="104"/>
      <c r="BS329" s="285"/>
      <c r="BT329" s="104"/>
      <c r="BU329" s="285"/>
      <c r="BV329" s="104"/>
      <c r="BW329" s="285"/>
      <c r="BX329" s="104"/>
      <c r="BY329" s="285"/>
      <c r="BZ329" s="104"/>
      <c r="CA329" s="285"/>
      <c r="CB329" s="104"/>
      <c r="CC329" s="285"/>
      <c r="CD329" s="104"/>
      <c r="CE329" s="285"/>
      <c r="CF329" s="104"/>
      <c r="CG329" s="285"/>
      <c r="CH329" s="104"/>
      <c r="CI329" s="285"/>
      <c r="CJ329" s="104"/>
      <c r="CK329" s="285"/>
      <c r="CL329" s="104"/>
      <c r="CM329" s="227"/>
      <c r="CN329" s="109"/>
      <c r="CO329" s="227"/>
      <c r="CP329" s="109"/>
      <c r="CQ329" s="555"/>
      <c r="CR329" s="109"/>
      <c r="CS329" s="227"/>
      <c r="CT329" s="109"/>
      <c r="CU329" s="227"/>
      <c r="CV329" s="109"/>
      <c r="CW329" s="227"/>
      <c r="CX329" s="109"/>
      <c r="CY329" s="227"/>
      <c r="CZ329" s="109"/>
      <c r="DA329" s="227"/>
      <c r="DB329" s="109"/>
      <c r="DC329" s="227"/>
      <c r="DD329" s="109"/>
      <c r="DE329" s="227"/>
      <c r="DF329" s="109"/>
      <c r="DG329" s="227"/>
      <c r="DH329" s="109"/>
      <c r="DI329" s="227"/>
      <c r="DJ329" s="109"/>
      <c r="DK329" s="227"/>
      <c r="DL329" s="109"/>
      <c r="DM329" s="227"/>
      <c r="DN329" s="109"/>
      <c r="DO329" s="227"/>
      <c r="DP329" s="109"/>
      <c r="DQ329" s="227"/>
      <c r="DR329" s="109"/>
      <c r="DS329" s="227"/>
      <c r="DT329" s="109"/>
      <c r="DU329" s="227"/>
      <c r="DV329" s="109"/>
      <c r="DW329" s="227"/>
      <c r="DX329" s="109"/>
      <c r="DY329" s="227"/>
      <c r="DZ329" s="109"/>
      <c r="EA329" s="227"/>
      <c r="EB329" s="109"/>
      <c r="EC329" s="227"/>
      <c r="ED329" s="109"/>
      <c r="EE329" s="227"/>
      <c r="EF329" s="1027"/>
      <c r="EG329" s="227"/>
      <c r="EH329" s="1027"/>
      <c r="EI329" s="227"/>
      <c r="EJ329" s="1027"/>
      <c r="EK329" s="227"/>
      <c r="EL329" s="1027"/>
      <c r="EM329" s="227"/>
      <c r="EN329" s="1027"/>
      <c r="EO329" s="227"/>
      <c r="EP329" s="109"/>
      <c r="EQ329" s="1018">
        <f>IF($B$6=1,EQ328,IF($B$6=2,EQ328+EQ889,IF($B$6=3,EQ328+EQ890)))</f>
        <v>29.5</v>
      </c>
      <c r="ER329" s="109"/>
      <c r="ES329" s="1018">
        <f>IF($B$6=1,ES328,IF($B$6=2,ES328+ES889,IF($B$6=3,ES328+ES890)))</f>
        <v>29.5</v>
      </c>
      <c r="ET329" s="109"/>
      <c r="EU329" s="1018">
        <f>IF($B$6=1,EU328,IF($B$6=2,EU328+EU889,IF($B$6=3,EU328+EU890)))</f>
        <v>29.5</v>
      </c>
      <c r="EV329" s="109"/>
      <c r="EW329" s="1018">
        <f>IF($B$6=1,EW328,IF($B$6=2,EW328+EW889,IF($B$6=3,EW328+EW890)))</f>
        <v>31</v>
      </c>
      <c r="EX329" s="109"/>
      <c r="EY329" s="286"/>
      <c r="EZ329" s="595"/>
      <c r="FA329" s="406"/>
      <c r="FB329" s="287"/>
      <c r="FC329" s="104"/>
      <c r="FD329" s="288"/>
      <c r="FE329" s="104"/>
      <c r="FF329" s="287"/>
      <c r="FG329" s="104"/>
      <c r="FH329" s="287"/>
      <c r="FI329" s="104"/>
      <c r="FJ329" s="286"/>
      <c r="FK329" s="104"/>
      <c r="FL329" s="286"/>
      <c r="FM329" s="104"/>
      <c r="FN329" s="286"/>
      <c r="FO329" s="104"/>
      <c r="FP329" s="286"/>
      <c r="FQ329" s="104"/>
      <c r="FR329" s="286"/>
      <c r="FS329" s="109"/>
      <c r="FT329" s="286"/>
      <c r="FU329" s="109"/>
      <c r="FV329" s="286"/>
      <c r="FW329" s="104"/>
      <c r="FX329" s="521"/>
      <c r="FY329" s="104"/>
      <c r="FZ329" s="286"/>
      <c r="GA329" s="104"/>
      <c r="GB329" s="491"/>
      <c r="GC329" s="109"/>
      <c r="GD329" s="141"/>
      <c r="GE329" s="109"/>
      <c r="GF329" s="141"/>
      <c r="GG329" s="109"/>
      <c r="GH329" s="141"/>
      <c r="GI329" s="109"/>
      <c r="GJ329" s="141"/>
      <c r="GK329" s="109"/>
      <c r="GL329" s="141"/>
      <c r="GM329" s="109"/>
      <c r="GN329" s="141"/>
      <c r="GO329" s="109"/>
      <c r="GP329" s="141"/>
      <c r="GQ329" s="109"/>
      <c r="GR329" s="141">
        <f>IF($B$6=1,GR328,IF($B$6=2,GR328+GR889,IF($B$6=3,GR328+GR890)))</f>
        <v>29.5</v>
      </c>
      <c r="GS329" s="109"/>
      <c r="GT329" s="141">
        <f>IF($B$6=1,GT328,IF($B$6=2,GT328+GT889,IF($B$6=3,GT328+GT890)))</f>
        <v>29.5</v>
      </c>
      <c r="GU329" s="109"/>
      <c r="GV329" s="141">
        <f>IF($B$6=1,GV328,IF($B$6=2,GV328+GV889,IF($B$6=3,GV328+GV890)))</f>
        <v>29.5</v>
      </c>
      <c r="GW329" s="109"/>
      <c r="GX329" s="141">
        <f>IF($B$6=1,GX328,IF($B$6=2,GX328+GX889,IF($B$6=3,GX328+GX890)))</f>
        <v>29.5</v>
      </c>
      <c r="GY329" s="109"/>
      <c r="GZ329" s="109"/>
      <c r="HA329" s="109"/>
      <c r="HB329" s="111"/>
      <c r="HC329"/>
      <c r="HD329"/>
      <c r="HE329"/>
      <c r="HF329"/>
      <c r="HG329"/>
      <c r="HH329"/>
      <c r="HI329" s="111"/>
    </row>
    <row r="330" spans="2:217" s="2" customFormat="1" ht="12.75" customHeight="1" collapsed="1" x14ac:dyDescent="0.2">
      <c r="B330" s="179"/>
      <c r="C330" s="117"/>
      <c r="D330" s="98"/>
      <c r="E330" s="117"/>
      <c r="F330" s="98"/>
      <c r="G330" s="117"/>
      <c r="H330" s="98"/>
      <c r="I330" s="117"/>
      <c r="J330" s="98"/>
      <c r="K330" s="117"/>
      <c r="L330" s="98"/>
      <c r="M330" s="117"/>
      <c r="N330" s="98"/>
      <c r="O330" s="117"/>
      <c r="P330" s="98"/>
      <c r="Q330" s="117"/>
      <c r="R330" s="98"/>
      <c r="S330" s="182"/>
      <c r="T330" s="98"/>
      <c r="U330" s="182"/>
      <c r="V330" s="98"/>
      <c r="W330" s="182"/>
      <c r="X330" s="98"/>
      <c r="Y330" s="182"/>
      <c r="Z330" s="98"/>
      <c r="AA330" s="182"/>
      <c r="AB330" s="98"/>
      <c r="AC330" s="182"/>
      <c r="AD330" s="98"/>
      <c r="AE330" s="182"/>
      <c r="AF330" s="98"/>
      <c r="AG330" s="182"/>
      <c r="AH330" s="98"/>
      <c r="AI330" s="182"/>
      <c r="AJ330" s="98"/>
      <c r="AK330" s="182"/>
      <c r="AL330" s="98"/>
      <c r="AM330" s="182"/>
      <c r="AN330" s="98"/>
      <c r="AO330" s="182"/>
      <c r="AP330" s="98"/>
      <c r="AQ330" s="182"/>
      <c r="AR330" s="98"/>
      <c r="AS330" s="182"/>
      <c r="AT330" s="98"/>
      <c r="AU330" s="182"/>
      <c r="AV330" s="98"/>
      <c r="AW330" s="182"/>
      <c r="AX330" s="98"/>
      <c r="AY330" s="182"/>
      <c r="AZ330" s="98"/>
      <c r="BA330" s="182"/>
      <c r="BB330" s="98"/>
      <c r="BC330" s="182"/>
      <c r="BD330" s="98"/>
      <c r="BE330" s="182"/>
      <c r="BF330" s="98"/>
      <c r="BG330" s="182"/>
      <c r="BH330" s="98"/>
      <c r="BI330" s="182"/>
      <c r="BJ330" s="98"/>
      <c r="BK330" s="182"/>
      <c r="BL330" s="98"/>
      <c r="BM330" s="182"/>
      <c r="BN330" s="98"/>
      <c r="BO330" s="182"/>
      <c r="BP330" s="98"/>
      <c r="BQ330" s="182"/>
      <c r="BR330" s="98"/>
      <c r="BS330" s="182"/>
      <c r="BT330" s="98"/>
      <c r="BU330" s="182"/>
      <c r="BV330" s="98"/>
      <c r="BW330" s="182"/>
      <c r="BX330" s="98"/>
      <c r="BY330" s="182"/>
      <c r="BZ330" s="98"/>
      <c r="CA330" s="182"/>
      <c r="CB330" s="98"/>
      <c r="CC330" s="182"/>
      <c r="CD330" s="98"/>
      <c r="CE330" s="182"/>
      <c r="CF330" s="98"/>
      <c r="CG330" s="182"/>
      <c r="CH330" s="98"/>
      <c r="CI330" s="182"/>
      <c r="CJ330" s="98"/>
      <c r="CK330" s="182"/>
      <c r="CL330" s="98"/>
      <c r="CM330" s="94"/>
      <c r="CN330" s="113"/>
      <c r="CO330" s="94"/>
      <c r="CP330" s="113"/>
      <c r="CQ330" s="533"/>
      <c r="CR330" s="113"/>
      <c r="CS330" s="94"/>
      <c r="CT330" s="113"/>
      <c r="CU330" s="94"/>
      <c r="CV330" s="113"/>
      <c r="CW330" s="94"/>
      <c r="CX330" s="113"/>
      <c r="CY330" s="94"/>
      <c r="CZ330" s="113"/>
      <c r="DA330" s="94"/>
      <c r="DB330" s="113"/>
      <c r="DC330" s="94"/>
      <c r="DD330" s="113"/>
      <c r="DE330" s="94"/>
      <c r="DF330" s="113"/>
      <c r="DG330" s="94"/>
      <c r="DH330" s="113"/>
      <c r="DI330" s="94"/>
      <c r="DJ330" s="113"/>
      <c r="DK330" s="94"/>
      <c r="DL330" s="113"/>
      <c r="DM330" s="94"/>
      <c r="DN330" s="113"/>
      <c r="DO330" s="94"/>
      <c r="DP330" s="113"/>
      <c r="DQ330" s="94"/>
      <c r="DR330" s="113"/>
      <c r="DS330" s="94"/>
      <c r="DT330" s="113"/>
      <c r="DU330" s="94"/>
      <c r="DV330" s="113"/>
      <c r="DW330" s="94"/>
      <c r="DX330" s="113"/>
      <c r="DY330" s="94"/>
      <c r="DZ330" s="113"/>
      <c r="EA330" s="94"/>
      <c r="EB330" s="113"/>
      <c r="EC330" s="94"/>
      <c r="ED330" s="113"/>
      <c r="EE330" s="94"/>
      <c r="EF330" s="859"/>
      <c r="EG330" s="94"/>
      <c r="EH330" s="859"/>
      <c r="EI330" s="94"/>
      <c r="EJ330" s="859"/>
      <c r="EK330" s="94"/>
      <c r="EL330" s="859"/>
      <c r="EM330" s="94"/>
      <c r="EN330" s="859"/>
      <c r="EO330" s="94"/>
      <c r="EP330" s="113"/>
      <c r="EQ330" s="789"/>
      <c r="ER330" s="113"/>
      <c r="ES330" s="789"/>
      <c r="ET330" s="113"/>
      <c r="EU330" s="789"/>
      <c r="EV330" s="113"/>
      <c r="EW330" s="789"/>
      <c r="EX330" s="113"/>
      <c r="EY330" s="282"/>
      <c r="EZ330" s="594"/>
      <c r="FA330" s="405"/>
      <c r="FB330" s="279"/>
      <c r="FC330" s="98"/>
      <c r="FD330" s="278"/>
      <c r="FE330" s="98"/>
      <c r="FF330" s="279"/>
      <c r="FG330" s="98"/>
      <c r="FH330" s="279"/>
      <c r="FI330" s="98"/>
      <c r="FJ330" s="282"/>
      <c r="FK330" s="98"/>
      <c r="FL330" s="282"/>
      <c r="FM330" s="98"/>
      <c r="FN330" s="282"/>
      <c r="FO330" s="98"/>
      <c r="FP330" s="282"/>
      <c r="FQ330" s="98"/>
      <c r="FR330" s="283"/>
      <c r="FS330" s="120"/>
      <c r="FT330" s="283"/>
      <c r="FU330" s="120"/>
      <c r="FV330" s="283"/>
      <c r="FW330" s="98"/>
      <c r="FX330" s="520"/>
      <c r="FY330" s="98"/>
      <c r="FZ330" s="283"/>
      <c r="GA330" s="98"/>
      <c r="GB330" s="480"/>
      <c r="GC330" s="113"/>
      <c r="GD330" s="96"/>
      <c r="GE330" s="113"/>
      <c r="GF330" s="96"/>
      <c r="GG330" s="113"/>
      <c r="GH330" s="96"/>
      <c r="GI330" s="113"/>
      <c r="GJ330" s="96"/>
      <c r="GK330" s="113"/>
      <c r="GL330" s="96"/>
      <c r="GM330" s="113"/>
      <c r="GN330" s="96"/>
      <c r="GO330" s="113"/>
      <c r="GP330" s="96"/>
      <c r="GQ330" s="113"/>
      <c r="GR330" s="95"/>
      <c r="GS330" s="113"/>
      <c r="GT330" s="95"/>
      <c r="GU330" s="113"/>
      <c r="GV330" s="95"/>
      <c r="GW330" s="113"/>
      <c r="GX330" s="95"/>
      <c r="GY330" s="113"/>
      <c r="GZ330" s="113"/>
      <c r="HA330" s="113"/>
      <c r="HB330" s="10"/>
      <c r="HC330"/>
      <c r="HD330"/>
      <c r="HE330"/>
      <c r="HF330"/>
      <c r="HG330"/>
      <c r="HH330"/>
      <c r="HI330" s="10"/>
    </row>
    <row r="331" spans="2:217" s="2" customFormat="1" ht="12.75" customHeight="1" x14ac:dyDescent="0.2">
      <c r="B331" s="19" t="s">
        <v>477</v>
      </c>
      <c r="C331" s="117"/>
      <c r="D331" s="98"/>
      <c r="E331" s="117"/>
      <c r="F331" s="98"/>
      <c r="G331" s="117"/>
      <c r="H331" s="98"/>
      <c r="I331" s="117"/>
      <c r="J331" s="98"/>
      <c r="K331" s="117"/>
      <c r="L331" s="98"/>
      <c r="M331" s="117"/>
      <c r="N331" s="98"/>
      <c r="O331" s="117"/>
      <c r="P331" s="98"/>
      <c r="Q331" s="117"/>
      <c r="R331" s="98"/>
      <c r="S331" s="182"/>
      <c r="T331" s="98"/>
      <c r="U331" s="182"/>
      <c r="V331" s="98"/>
      <c r="W331" s="182"/>
      <c r="X331" s="98"/>
      <c r="Y331" s="182"/>
      <c r="Z331" s="98"/>
      <c r="AA331" s="182"/>
      <c r="AB331" s="98"/>
      <c r="AC331" s="182"/>
      <c r="AD331" s="98"/>
      <c r="AE331" s="182"/>
      <c r="AF331" s="98"/>
      <c r="AG331" s="182"/>
      <c r="AH331" s="98"/>
      <c r="AI331" s="182"/>
      <c r="AJ331" s="98"/>
      <c r="AK331" s="182"/>
      <c r="AL331" s="98"/>
      <c r="AM331" s="182"/>
      <c r="AN331" s="98"/>
      <c r="AO331" s="182"/>
      <c r="AP331" s="98"/>
      <c r="AQ331" s="182"/>
      <c r="AR331" s="98"/>
      <c r="AS331" s="182"/>
      <c r="AT331" s="98"/>
      <c r="AU331" s="182"/>
      <c r="AV331" s="98"/>
      <c r="AW331" s="182"/>
      <c r="AX331" s="98"/>
      <c r="AY331" s="182"/>
      <c r="AZ331" s="98"/>
      <c r="BA331" s="182"/>
      <c r="BB331" s="98"/>
      <c r="BC331" s="182"/>
      <c r="BD331" s="98"/>
      <c r="BE331" s="182"/>
      <c r="BF331" s="98"/>
      <c r="BG331" s="182"/>
      <c r="BH331" s="98"/>
      <c r="BI331" s="182"/>
      <c r="BJ331" s="98"/>
      <c r="BK331" s="182"/>
      <c r="BL331" s="98"/>
      <c r="BM331" s="182"/>
      <c r="BN331" s="98"/>
      <c r="BO331" s="182"/>
      <c r="BP331" s="98"/>
      <c r="BQ331" s="182"/>
      <c r="BR331" s="98"/>
      <c r="BS331" s="182"/>
      <c r="BT331" s="98"/>
      <c r="BU331" s="182"/>
      <c r="BV331" s="98"/>
      <c r="BW331" s="182"/>
      <c r="BX331" s="98"/>
      <c r="BY331" s="182"/>
      <c r="BZ331" s="98"/>
      <c r="CA331" s="182"/>
      <c r="CB331" s="98"/>
      <c r="CC331" s="182"/>
      <c r="CD331" s="98"/>
      <c r="CE331" s="182"/>
      <c r="CF331" s="98"/>
      <c r="CG331" s="182"/>
      <c r="CH331" s="98"/>
      <c r="CI331" s="182"/>
      <c r="CJ331" s="98"/>
      <c r="CK331" s="182"/>
      <c r="CL331" s="98"/>
      <c r="CM331" s="182">
        <f>+CM317-CM324</f>
        <v>159</v>
      </c>
      <c r="CN331" s="98" t="str">
        <f>IF(ISERROR((CM331/CE331-1)*100),"NA",IF(((CM331/CE331-1)*100)&gt;100,"NM",IF(((CM331/CE331-1)*100)&lt;-50,"NM",(CM331/CE331-1)*100)))</f>
        <v>NA</v>
      </c>
      <c r="CO331" s="182">
        <f>+CO317-CO324</f>
        <v>165</v>
      </c>
      <c r="CP331" s="98" t="str">
        <f>IF(ISERROR((CO331/CG331-1)*100),"NA",IF(((CO331/CG331-1)*100)&gt;100,"NM",IF(((CO331/CG331-1)*100)&lt;-50,"NM",(CO331/CG331-1)*100)))</f>
        <v>NA</v>
      </c>
      <c r="CQ331" s="512">
        <f>+CQ317-CQ324</f>
        <v>186</v>
      </c>
      <c r="CR331" s="98" t="str">
        <f>IF(ISERROR((CQ331/CI331-1)*100),"NA",IF(((CQ331/CI331-1)*100)&gt;100,"NM",IF(((CQ331/CI331-1)*100)&lt;-50,"NM",(CQ331/CI331-1)*100)))</f>
        <v>NA</v>
      </c>
      <c r="CS331" s="182">
        <f>+CS317-CS324</f>
        <v>154</v>
      </c>
      <c r="CT331" s="98" t="str">
        <f>IF(ISERROR((CS331/CK331-1)*100),"NA",IF(((CS331/CK331-1)*100)&gt;100,"NM",IF(((CS331/CK331-1)*100)&lt;-50,"NM",(CS331/CK331-1)*100)))</f>
        <v>NA</v>
      </c>
      <c r="CU331" s="182">
        <f>+CU317-CU324</f>
        <v>198</v>
      </c>
      <c r="CV331" s="98">
        <f>IF(ISERROR((CU331/CM331-1)*100),"NA",IF(((CU331/CM331-1)*100)&gt;100,"NM",IF(((CU331/CM331-1)*100)&lt;-50,"NM",(CU331/CM331-1)*100)))</f>
        <v>24.528301886792448</v>
      </c>
      <c r="CW331" s="182">
        <f>+CW317-CW324</f>
        <v>171</v>
      </c>
      <c r="CX331" s="98">
        <f>IF(ISERROR((CW331/CO331-1)*100),"NA",IF(((CW331/CO331-1)*100)&gt;100,"NM",IF(((CW331/CO331-1)*100)&lt;-50,"NM",(CW331/CO331-1)*100)))</f>
        <v>3.6363636363636376</v>
      </c>
      <c r="CY331" s="182">
        <f>+CY317-CY324</f>
        <v>188</v>
      </c>
      <c r="CZ331" s="98">
        <f>IF(ISERROR((CY331/CQ331-1)*100),"NA",IF(((CY331/CQ331-1)*100)&gt;100,"NM",IF(((CY331/CQ331-1)*100)&lt;-50,"NM",(CY331/CQ331-1)*100)))</f>
        <v>1.0752688172043001</v>
      </c>
      <c r="DA331" s="182">
        <f>+DA317-DA324</f>
        <v>156</v>
      </c>
      <c r="DB331" s="98">
        <f>IF(ISERROR((DA331/CS331-1)*100),"NA",IF(((DA331/CS331-1)*100)&gt;100,"NM",IF(((DA331/CS331-1)*100)&lt;-50,"NM",(DA331/CS331-1)*100)))</f>
        <v>1.298701298701288</v>
      </c>
      <c r="DC331" s="182">
        <f>+DC317-DC324</f>
        <v>184</v>
      </c>
      <c r="DD331" s="98">
        <f>IF(ISERROR((DC331/CU331-1)*100),"NA",IF(((DC331/CU331-1)*100)&gt;100,"NM",IF(((DC331/CU331-1)*100)&lt;-50,"NM",(DC331/CU331-1)*100)))</f>
        <v>-7.0707070707070718</v>
      </c>
      <c r="DE331" s="182">
        <f>+DE317-DE324</f>
        <v>161</v>
      </c>
      <c r="DF331" s="98">
        <f>IF(ISERROR((DE331/CW331-1)*100),"NA",IF(((DE331/CW331-1)*100)&gt;100,"NM",IF(((DE331/CW331-1)*100)&lt;-50,"NM",(DE331/CW331-1)*100)))</f>
        <v>-5.8479532163742682</v>
      </c>
      <c r="DG331" s="182">
        <f>+DG317-DG324</f>
        <v>171</v>
      </c>
      <c r="DH331" s="98">
        <f>IF(ISERROR((DG331/CY331-1)*100),"NA",IF(((DG331/CY331-1)*100)&gt;100,"NM",IF(((DG331/CY331-1)*100)&lt;-50,"NM",(DG331/CY331-1)*100)))</f>
        <v>-9.0425531914893664</v>
      </c>
      <c r="DI331" s="182">
        <f>+DI317-DI324</f>
        <v>201</v>
      </c>
      <c r="DJ331" s="98">
        <f>IF(ISERROR((DI331/DA331-1)*100),"NA",IF(((DI331/DA331-1)*100)&gt;100,"NM",IF(((DI331/DA331-1)*100)&lt;-50,"NM",(DI331/DA331-1)*100)))</f>
        <v>28.846153846153854</v>
      </c>
      <c r="DK331" s="182">
        <f>+DK317-DK324</f>
        <v>176</v>
      </c>
      <c r="DL331" s="98">
        <f>IF(ISERROR((DK331/DC331-1)*100),"NA",IF(((DK331/DC331-1)*100)&gt;100,"NM",IF(((DK331/DC331-1)*100)&lt;-50,"NM",(DK331/DC331-1)*100)))</f>
        <v>-4.3478260869565188</v>
      </c>
      <c r="DM331" s="182">
        <f>+DM317-DM324</f>
        <v>158</v>
      </c>
      <c r="DN331" s="98">
        <f>IF(ISERROR((DM331/DE331-1)*100),"NA",IF(((DM331/DE331-1)*100)&gt;100,"NM",IF(((DM331/DE331-1)*100)&lt;-50,"NM",(DM331/DE331-1)*100)))</f>
        <v>-1.8633540372670843</v>
      </c>
      <c r="DO331" s="182">
        <f>+DO317-DO324</f>
        <v>192</v>
      </c>
      <c r="DP331" s="98">
        <f>IF(ISERROR((DO331/DG331-1)*100),"NA",IF(((DO331/DG331-1)*100)&gt;100,"NM",IF(((DO331/DG331-1)*100)&lt;-50,"NM",(DO331/DG331-1)*100)))</f>
        <v>12.280701754385959</v>
      </c>
      <c r="DQ331" s="182">
        <f>+DQ317-DQ324</f>
        <v>138</v>
      </c>
      <c r="DR331" s="98">
        <f>IF(ISERROR((DQ331/DI331-1)*100),"NA",IF(((DQ331/DI331-1)*100)&gt;100,"NM",IF(((DQ331/DI331-1)*100)&lt;-50,"NM",(DQ331/DI331-1)*100)))</f>
        <v>-31.343283582089555</v>
      </c>
      <c r="DS331" s="182">
        <f>+DS317-DS324</f>
        <v>190</v>
      </c>
      <c r="DT331" s="98">
        <f>IF(ISERROR((DS331/DK331-1)*100),"NA",IF(((DS331/DK331-1)*100)&gt;100,"NM",IF(((DS331/DK331-1)*100)&lt;-50,"NM",(DS331/DK331-1)*100)))</f>
        <v>7.9545454545454586</v>
      </c>
      <c r="DU331" s="182">
        <f>+DU317-DU324</f>
        <v>168</v>
      </c>
      <c r="DV331" s="98">
        <f>IF(ISERROR((DU331/DM331-1)*100),"NA",IF(((DU331/DM331-1)*100)&gt;100,"NM",IF(((DU331/DM331-1)*100)&lt;-50,"NM",(DU331/DM331-1)*100)))</f>
        <v>6.3291139240506222</v>
      </c>
      <c r="DW331" s="182">
        <f>+DW317-DW324</f>
        <v>150</v>
      </c>
      <c r="DX331" s="98">
        <f>IF(ISERROR((DW331/DO331-1)*100),"NA",IF(((DW331/DO331-1)*100)&gt;100,"NM",IF(((DW331/DO331-1)*100)&lt;-50,"NM",(DW331/DO331-1)*100)))</f>
        <v>-21.875</v>
      </c>
      <c r="DY331" s="182">
        <f>+DY317-DY324</f>
        <v>154</v>
      </c>
      <c r="DZ331" s="98">
        <f>IF(ISERROR((DY331/DQ331-1)*100),"NA",IF(((DY331/DQ331-1)*100)&gt;100,"NM",IF(((DY331/DQ331-1)*100)&lt;-50,"NM",(DY331/DQ331-1)*100)))</f>
        <v>11.594202898550732</v>
      </c>
      <c r="EA331" s="182">
        <f>+EA317-EA324</f>
        <v>201</v>
      </c>
      <c r="EB331" s="98">
        <f>IF(ISERROR((EA331/DS331-1)*100),"NA",IF(((EA331/DS331-1)*100)&gt;100,"NM",IF(((EA331/DS331-1)*100)&lt;-50,"NM",(EA331/DS331-1)*100)))</f>
        <v>5.7894736842105221</v>
      </c>
      <c r="EC331" s="182">
        <f>+EC317-EC324</f>
        <v>175</v>
      </c>
      <c r="ED331" s="98">
        <f>IF(ISERROR((EC331/DU331-1)*100),"NA",IF(((EC331/DU331-1)*100)&gt;100,"NM",IF(((EC331/DU331-1)*100)&lt;-50,"NM",(EC331/DU331-1)*100)))</f>
        <v>4.1666666666666741</v>
      </c>
      <c r="EE331" s="182">
        <f>+EE317-EE324</f>
        <v>186</v>
      </c>
      <c r="EF331" s="860">
        <f>IF(ISERROR((EE331/DW331-1)*100),"NA",IF(((EE331/DW331-1)*100)&gt;100,"NM",IF(((EE331/DW331-1)*100)&lt;-50,"NM",(EE331/DW331-1)*100)))</f>
        <v>24</v>
      </c>
      <c r="EG331" s="182">
        <f>+EG317-EG324</f>
        <v>139</v>
      </c>
      <c r="EH331" s="860">
        <f>IF(ISERROR((EG331/DY331-1)*100),"NA",IF(((EG331/DY331-1)*100)&gt;100,"NM",IF(((EG331/DY331-1)*100)&lt;-50,"NM",(EG331/DY331-1)*100)))</f>
        <v>-9.740259740259738</v>
      </c>
      <c r="EI331" s="182">
        <f>+EI317-EI324</f>
        <v>181</v>
      </c>
      <c r="EJ331" s="860">
        <f t="shared" ref="EJ331:EJ334" si="1700">IF(ISERROR((EI331/EA331-1)*100),"NA",IF(((EI331/EA331-1)*100)&gt;100,"NM",IF(((EI331/EA331-1)*100)&lt;-50,"NM",(EI331/EA331-1)*100)))</f>
        <v>-9.9502487562189046</v>
      </c>
      <c r="EK331" s="182">
        <f>+EK317-EK324</f>
        <v>188</v>
      </c>
      <c r="EL331" s="860">
        <f t="shared" ref="EL331:EL334" si="1701">IF(ISERROR((EK331/EC331-1)*100),"NA",IF(((EK331/EC331-1)*100)&gt;100,"NM",IF(((EK331/EC331-1)*100)&lt;-50,"NM",(EK331/EC331-1)*100)))</f>
        <v>7.4285714285714288</v>
      </c>
      <c r="EM331" s="182">
        <f>+EM317-EM324</f>
        <v>214</v>
      </c>
      <c r="EN331" s="860">
        <f t="shared" ref="EN331:EN334" si="1702">IF(ISERROR((EM331/EE331-1)*100),"NA",IF(((EM331/EE331-1)*100)&gt;100,"NM",IF(((EM331/EE331-1)*100)&lt;-50,"NM",(EM331/EE331-1)*100)))</f>
        <v>15.053763440860223</v>
      </c>
      <c r="EO331" s="182">
        <f>+EO317-EO324</f>
        <v>158</v>
      </c>
      <c r="EP331" s="98">
        <f t="shared" ref="EP331:EP334" si="1703">IF(ISERROR((EO331/EG331-1)*100),"NA",IF(((EO331/EG331-1)*100)&gt;100,"NM",IF(((EO331/EG331-1)*100)&lt;-50,"NM",(EO331/EG331-1)*100)))</f>
        <v>13.669064748201443</v>
      </c>
      <c r="EQ331" s="1021">
        <f t="shared" ref="EQ331" si="1704">+EQ317-EQ324</f>
        <v>201.1057340030909</v>
      </c>
      <c r="ER331" s="98">
        <f t="shared" ref="ER331:ER334" si="1705">IF(ISERROR((EQ331/EI331-1)*100),"NA",IF(((EQ331/EI331-1)*100)&gt;100,"NM",IF(((EQ331/EI331-1)*100)&lt;-50,"NM",(EQ331/EI331-1)*100)))</f>
        <v>11.108140333199401</v>
      </c>
      <c r="ES331" s="1021">
        <f t="shared" ref="ES331" si="1706">+ES317-ES324</f>
        <v>207.46065902713167</v>
      </c>
      <c r="ET331" s="98">
        <f t="shared" ref="ET331:ET334" si="1707">IF(ISERROR((ES331/EK331-1)*100),"NA",IF(((ES331/EK331-1)*100)&gt;100,"NM",IF(((ES331/EK331-1)*100)&lt;-50,"NM",(ES331/EK331-1)*100)))</f>
        <v>10.351414376133871</v>
      </c>
      <c r="EU331" s="1021">
        <f t="shared" ref="EU331" si="1708">+EU317-EU324</f>
        <v>218.88119497183675</v>
      </c>
      <c r="EV331" s="98">
        <f t="shared" ref="EV331:EV334" si="1709">IF(ISERROR((EU331/EM331-1)*100),"NA",IF(((EU331/EM331-1)*100)&gt;100,"NM",IF(((EU331/EM331-1)*100)&lt;-50,"NM",(EU331/EM331-1)*100)))</f>
        <v>2.280932229830257</v>
      </c>
      <c r="EW331" s="1021">
        <f t="shared" ref="EW331" si="1710">+EW317-EW324</f>
        <v>180.30433073764971</v>
      </c>
      <c r="EX331" s="98">
        <f t="shared" ref="EX331:EX334" si="1711">IF(ISERROR((EW331/EO331-1)*100),"NA",IF(((EW331/EO331-1)*100)&gt;100,"NM",IF(((EW331/EO331-1)*100)&lt;-50,"NM",(EW331/EO331-1)*100)))</f>
        <v>14.116665023828933</v>
      </c>
      <c r="EY331" s="282"/>
      <c r="EZ331" s="594"/>
      <c r="FA331" s="405"/>
      <c r="FB331" s="279"/>
      <c r="FC331" s="98"/>
      <c r="FD331" s="278"/>
      <c r="FE331" s="98"/>
      <c r="FF331" s="279"/>
      <c r="FG331" s="98"/>
      <c r="FH331" s="279"/>
      <c r="FI331" s="98"/>
      <c r="FJ331" s="282"/>
      <c r="FK331" s="98"/>
      <c r="FL331" s="282"/>
      <c r="FM331" s="98"/>
      <c r="FN331" s="282"/>
      <c r="FO331" s="98"/>
      <c r="FP331" s="282"/>
      <c r="FQ331" s="98"/>
      <c r="FR331" s="283"/>
      <c r="FS331" s="120"/>
      <c r="FT331" s="283"/>
      <c r="FU331" s="120"/>
      <c r="FV331" s="283"/>
      <c r="FW331" s="98"/>
      <c r="FX331" s="520"/>
      <c r="FY331" s="98"/>
      <c r="FZ331" s="283"/>
      <c r="GA331" s="98"/>
      <c r="GB331" s="502">
        <f>+GB317-GB324</f>
        <v>664</v>
      </c>
      <c r="GC331" s="98" t="str">
        <f>IF(ISERROR((GB331/FZ331-1)*100),"NA",IF(((GB331/FZ331-1)*100)&gt;100,"NM",IF(((GB331/FZ331-1)*100)&lt;-50,"NM",(GB331/FZ331-1)*100)))</f>
        <v>NA</v>
      </c>
      <c r="GD331" s="197">
        <f>+GD317-GD324</f>
        <v>713</v>
      </c>
      <c r="GE331" s="98">
        <f>IF(ISERROR((GD331/GB331-1)*100),"NA",IF(((GD331/GB331-1)*100)&gt;100,"NM",IF(((GD331/GB331-1)*100)&lt;-50,"NM",(GD331/GB331-1)*100)))</f>
        <v>7.3795180722891596</v>
      </c>
      <c r="GF331" s="197">
        <f>+GF317-GF324</f>
        <v>717</v>
      </c>
      <c r="GG331" s="98">
        <f>IF(ISERROR((GF331/GD331-1)*100),"NA",IF(((GF331/GD331-1)*100)&gt;100,"NM",IF(((GF331/GD331-1)*100)&lt;-50,"NM",(GF331/GD331-1)*100)))</f>
        <v>0.56100981767182034</v>
      </c>
      <c r="GH331" s="197">
        <f>+GH317-GH324</f>
        <v>664</v>
      </c>
      <c r="GI331" s="98">
        <f>IF(ISERROR((GH331/GF331-1)*100),"NA",IF(((GH331/GF331-1)*100)&gt;100,"NM",IF(((GH331/GF331-1)*100)&lt;-50,"NM",(GH331/GF331-1)*100)))</f>
        <v>-7.3919107391910766</v>
      </c>
      <c r="GJ331" s="197">
        <f>+GJ317-GJ324</f>
        <v>662</v>
      </c>
      <c r="GK331" s="98">
        <f>IF(ISERROR((GJ331/GH331-1)*100),"NA",IF(((GJ331/GH331-1)*100)&gt;100,"NM",IF(((GJ331/GH331-1)*100)&lt;-50,"NM",(GJ331/GH331-1)*100)))</f>
        <v>-0.30120481927711218</v>
      </c>
      <c r="GL331" s="197">
        <f>+GL317-GL324</f>
        <v>701</v>
      </c>
      <c r="GM331" s="98">
        <f>IF(ISERROR((GL331/GJ331-1)*100),"NA",IF(((GL331/GJ331-1)*100)&gt;100,"NM",IF(((GL331/GJ331-1)*100)&lt;-50,"NM",(GL331/GJ331-1)*100)))</f>
        <v>5.8912386706948539</v>
      </c>
      <c r="GN331" s="197">
        <f>+GN317-GN324</f>
        <v>741</v>
      </c>
      <c r="GO331" s="98">
        <f>IF(ISERROR((GN331/GL331-1)*100),"NA",IF(((GN331/GL331-1)*100)&gt;100,"NM",IF(((GN331/GL331-1)*100)&lt;-50,"NM",(GN331/GL331-1)*100)))</f>
        <v>5.7061340941512162</v>
      </c>
      <c r="GP331" s="197">
        <f>+GP317-GP324</f>
        <v>807.75191873971016</v>
      </c>
      <c r="GQ331" s="98">
        <f>IF(ISERROR((GP331/GN331-1)*100),"NA",IF(((GP331/GN331-1)*100)&gt;100,"NM",IF(((GP331/GN331-1)*100)&lt;-50,"NM",(GP331/GN331-1)*100)))</f>
        <v>9.0083561052240348</v>
      </c>
      <c r="GR331" s="182">
        <f>+GR317-GR324</f>
        <v>872.2634652251636</v>
      </c>
      <c r="GS331" s="98">
        <f>IF(ISERROR((GR331/GP331-1)*100),"NA",IF(((GR331/GP331-1)*100)&gt;100,"NM",IF(((GR331/GP331-1)*100)&lt;-50,"NM",(GR331/GP331-1)*100)))</f>
        <v>7.9865544096889618</v>
      </c>
      <c r="GT331" s="182">
        <f>+GT317-GT324</f>
        <v>924.59927313867229</v>
      </c>
      <c r="GU331" s="98">
        <f>IF(ISERROR((GT331/GR331-1)*100),"NA",IF(((GT331/GR331-1)*100)&gt;100,"NM",IF(((GT331/GR331-1)*100)&lt;-50,"NM",(GT331/GR331-1)*100)))</f>
        <v>5.9999999999998721</v>
      </c>
      <c r="GV331" s="182">
        <f>+GV317-GV324</f>
        <v>980.0752295269931</v>
      </c>
      <c r="GW331" s="98">
        <f>IF(ISERROR((GV331/GT331-1)*100),"NA",IF(((GV331/GT331-1)*100)&gt;100,"NM",IF(((GV331/GT331-1)*100)&lt;-50,"NM",(GV331/GT331-1)*100)))</f>
        <v>6.0000000000000497</v>
      </c>
      <c r="GX331" s="182">
        <f>+GX317-GX324</f>
        <v>1020.5322486598125</v>
      </c>
      <c r="GY331" s="98">
        <f>IF(ISERROR((GX331/GV331-1)*100),"NA",IF(((GX331/GV331-1)*100)&gt;100,"NM",IF(((GX331/GV331-1)*100)&lt;-50,"NM",(GX331/GV331-1)*100)))</f>
        <v>4.1279503770689896</v>
      </c>
      <c r="GZ331" s="98">
        <f t="shared" ref="GZ331:GZ338" si="1712">IF(ISERROR(((GX331/GN331)^0.2-1)*100),"NA",IF((((GX331/GN331)^0.2-1)*100)&gt;100,"NM",IF((((GX331/GN331)^0.2-1)*100)&lt;-50,"NM",((GX331/GN331)^0.2-1)*100)))</f>
        <v>6.6109234049275489</v>
      </c>
      <c r="HA331" s="98"/>
      <c r="HB331" s="10"/>
      <c r="HC331"/>
      <c r="HD331"/>
      <c r="HE331"/>
      <c r="HF331"/>
      <c r="HG331"/>
      <c r="HH331"/>
      <c r="HI331" s="10"/>
    </row>
    <row r="332" spans="2:217" s="2" customFormat="1" ht="12.75" customHeight="1" x14ac:dyDescent="0.2">
      <c r="B332" s="2" t="s">
        <v>478</v>
      </c>
      <c r="C332" s="117"/>
      <c r="D332" s="98"/>
      <c r="E332" s="117"/>
      <c r="F332" s="98"/>
      <c r="G332" s="117"/>
      <c r="H332" s="98"/>
      <c r="I332" s="117"/>
      <c r="J332" s="98"/>
      <c r="K332" s="117"/>
      <c r="L332" s="98"/>
      <c r="M332" s="117"/>
      <c r="N332" s="98"/>
      <c r="O332" s="117"/>
      <c r="P332" s="98"/>
      <c r="Q332" s="117"/>
      <c r="R332" s="98"/>
      <c r="S332" s="182"/>
      <c r="T332" s="98"/>
      <c r="U332" s="182"/>
      <c r="V332" s="98"/>
      <c r="W332" s="182"/>
      <c r="X332" s="98"/>
      <c r="Y332" s="182"/>
      <c r="Z332" s="98"/>
      <c r="AA332" s="182"/>
      <c r="AB332" s="98"/>
      <c r="AC332" s="182"/>
      <c r="AD332" s="98"/>
      <c r="AE332" s="182"/>
      <c r="AF332" s="98"/>
      <c r="AG332" s="182"/>
      <c r="AH332" s="98"/>
      <c r="AI332" s="182"/>
      <c r="AJ332" s="98"/>
      <c r="AK332" s="182"/>
      <c r="AL332" s="98"/>
      <c r="AM332" s="182"/>
      <c r="AN332" s="98"/>
      <c r="AO332" s="182"/>
      <c r="AP332" s="98"/>
      <c r="AQ332" s="182"/>
      <c r="AR332" s="98"/>
      <c r="AS332" s="182"/>
      <c r="AT332" s="98"/>
      <c r="AU332" s="182"/>
      <c r="AV332" s="98"/>
      <c r="AW332" s="182"/>
      <c r="AX332" s="98"/>
      <c r="AY332" s="182"/>
      <c r="AZ332" s="98"/>
      <c r="BA332" s="182"/>
      <c r="BB332" s="98"/>
      <c r="BC332" s="182"/>
      <c r="BD332" s="98"/>
      <c r="BE332" s="182"/>
      <c r="BF332" s="98"/>
      <c r="BG332" s="182"/>
      <c r="BH332" s="98"/>
      <c r="BI332" s="182"/>
      <c r="BJ332" s="98"/>
      <c r="BK332" s="182"/>
      <c r="BL332" s="98"/>
      <c r="BM332" s="182"/>
      <c r="BN332" s="98"/>
      <c r="BO332" s="182"/>
      <c r="BP332" s="98"/>
      <c r="BQ332" s="182"/>
      <c r="BR332" s="98"/>
      <c r="BS332" s="182"/>
      <c r="BT332" s="98"/>
      <c r="BU332" s="182"/>
      <c r="BV332" s="98"/>
      <c r="BW332" s="182"/>
      <c r="BX332" s="98"/>
      <c r="BY332" s="182"/>
      <c r="BZ332" s="98"/>
      <c r="CA332" s="182"/>
      <c r="CB332" s="98"/>
      <c r="CC332" s="182"/>
      <c r="CD332" s="98"/>
      <c r="CE332" s="182"/>
      <c r="CF332" s="98"/>
      <c r="CG332" s="182"/>
      <c r="CH332" s="98"/>
      <c r="CI332" s="182"/>
      <c r="CJ332" s="98"/>
      <c r="CK332" s="182"/>
      <c r="CL332" s="98"/>
      <c r="CM332" s="112">
        <v>38</v>
      </c>
      <c r="CN332" s="98" t="str">
        <f>IF(ISERROR((CM332/CE332-1)*100),"NA",IF(((CM332/CE332-1)*100)&gt;100,"NM",IF(((CM332/CE332-1)*100)&lt;-50,"NM",(CM332/CE332-1)*100)))</f>
        <v>NA</v>
      </c>
      <c r="CO332" s="112">
        <v>36</v>
      </c>
      <c r="CP332" s="98" t="str">
        <f>IF(ISERROR((CO332/CG332-1)*100),"NA",IF(((CO332/CG332-1)*100)&gt;100,"NM",IF(((CO332/CG332-1)*100)&lt;-50,"NM",(CO332/CG332-1)*100)))</f>
        <v>NA</v>
      </c>
      <c r="CQ332" s="543">
        <v>45</v>
      </c>
      <c r="CR332" s="98" t="str">
        <f>IF(ISERROR((CQ332/CI332-1)*100),"NA",IF(((CQ332/CI332-1)*100)&gt;100,"NM",IF(((CQ332/CI332-1)*100)&lt;-50,"NM",(CQ332/CI332-1)*100)))</f>
        <v>NA</v>
      </c>
      <c r="CS332" s="112">
        <v>31</v>
      </c>
      <c r="CT332" s="98" t="str">
        <f>IF(ISERROR((CS332/CK332-1)*100),"NA",IF(((CS332/CK332-1)*100)&gt;100,"NM",IF(((CS332/CK332-1)*100)&lt;-50,"NM",(CS332/CK332-1)*100)))</f>
        <v>NA</v>
      </c>
      <c r="CU332" s="112">
        <v>50</v>
      </c>
      <c r="CV332" s="98">
        <f>IF(ISERROR((CU332/CM332-1)*100),"NA",IF(((CU332/CM332-1)*100)&gt;100,"NM",IF(((CU332/CM332-1)*100)&lt;-50,"NM",(CU332/CM332-1)*100)))</f>
        <v>31.578947368421062</v>
      </c>
      <c r="CW332" s="112">
        <v>36</v>
      </c>
      <c r="CX332" s="98">
        <f>IF(ISERROR((CW332/CO332-1)*100),"NA",IF(((CW332/CO332-1)*100)&gt;100,"NM",IF(((CW332/CO332-1)*100)&lt;-50,"NM",(CW332/CO332-1)*100)))</f>
        <v>0</v>
      </c>
      <c r="CY332" s="112">
        <v>36</v>
      </c>
      <c r="CZ332" s="98">
        <f>IF(ISERROR((CY332/CQ332-1)*100),"NA",IF(((CY332/CQ332-1)*100)&gt;100,"NM",IF(((CY332/CQ332-1)*100)&lt;-50,"NM",(CY332/CQ332-1)*100)))</f>
        <v>-19.999999999999996</v>
      </c>
      <c r="DA332" s="112">
        <v>8</v>
      </c>
      <c r="DB332" s="98" t="str">
        <f>IF(ISERROR((DA332/CS332-1)*100),"NA",IF(((DA332/CS332-1)*100)&gt;100,"NM",IF(((DA332/CS332-1)*100)&lt;-50,"NM",(DA332/CS332-1)*100)))</f>
        <v>NM</v>
      </c>
      <c r="DC332" s="112">
        <v>41</v>
      </c>
      <c r="DD332" s="98">
        <f>IF(ISERROR((DC332/CU332-1)*100),"NA",IF(((DC332/CU332-1)*100)&gt;100,"NM",IF(((DC332/CU332-1)*100)&lt;-50,"NM",(DC332/CU332-1)*100)))</f>
        <v>-18.000000000000004</v>
      </c>
      <c r="DE332" s="112">
        <v>36</v>
      </c>
      <c r="DF332" s="98">
        <f>IF(ISERROR((DE332/CW332-1)*100),"NA",IF(((DE332/CW332-1)*100)&gt;100,"NM",IF(((DE332/CW332-1)*100)&lt;-50,"NM",(DE332/CW332-1)*100)))</f>
        <v>0</v>
      </c>
      <c r="DG332" s="112">
        <v>38</v>
      </c>
      <c r="DH332" s="98">
        <f>IF(ISERROR((DG332/CY332-1)*100),"NA",IF(((DG332/CY332-1)*100)&gt;100,"NM",IF(((DG332/CY332-1)*100)&lt;-50,"NM",(DG332/CY332-1)*100)))</f>
        <v>5.555555555555558</v>
      </c>
      <c r="DI332" s="112">
        <v>28</v>
      </c>
      <c r="DJ332" s="98" t="str">
        <f>IF(ISERROR((DI332/DA332-1)*100),"NA",IF(((DI332/DA332-1)*100)&gt;100,"NM",IF(((DI332/DA332-1)*100)&lt;-50,"NM",(DI332/DA332-1)*100)))</f>
        <v>NM</v>
      </c>
      <c r="DK332" s="112">
        <v>18</v>
      </c>
      <c r="DL332" s="98" t="str">
        <f>IF(ISERROR((DK332/DC332-1)*100),"NA",IF(((DK332/DC332-1)*100)&gt;100,"NM",IF(((DK332/DC332-1)*100)&lt;-50,"NM",(DK332/DC332-1)*100)))</f>
        <v>NM</v>
      </c>
      <c r="DM332" s="112">
        <v>22</v>
      </c>
      <c r="DN332" s="98">
        <f>IF(ISERROR((DM332/DE332-1)*100),"NA",IF(((DM332/DE332-1)*100)&gt;100,"NM",IF(((DM332/DE332-1)*100)&lt;-50,"NM",(DM332/DE332-1)*100)))</f>
        <v>-38.888888888888886</v>
      </c>
      <c r="DO332" s="112">
        <v>70</v>
      </c>
      <c r="DP332" s="98">
        <f>IF(ISERROR((DO332/DG332-1)*100),"NA",IF(((DO332/DG332-1)*100)&gt;100,"NM",IF(((DO332/DG332-1)*100)&lt;-50,"NM",(DO332/DG332-1)*100)))</f>
        <v>84.210526315789465</v>
      </c>
      <c r="DQ332" s="112">
        <v>-14</v>
      </c>
      <c r="DR332" s="98" t="str">
        <f>IF(ISERROR((DQ332/DI332-1)*100),"NA",IF(((DQ332/DI332-1)*100)&gt;100,"NM",IF(((DQ332/DI332-1)*100)&lt;-50,"NM",(DQ332/DI332-1)*100)))</f>
        <v>NM</v>
      </c>
      <c r="DS332" s="112">
        <v>41</v>
      </c>
      <c r="DT332" s="98" t="str">
        <f>IF(ISERROR((DS332/DK332-1)*100),"NA",IF(((DS332/DK332-1)*100)&gt;100,"NM",IF(((DS332/DK332-1)*100)&lt;-50,"NM",(DS332/DK332-1)*100)))</f>
        <v>NM</v>
      </c>
      <c r="DU332" s="112">
        <v>32</v>
      </c>
      <c r="DV332" s="98">
        <f>IF(ISERROR((DU332/DM332-1)*100),"NA",IF(((DU332/DM332-1)*100)&gt;100,"NM",IF(((DU332/DM332-1)*100)&lt;-50,"NM",(DU332/DM332-1)*100)))</f>
        <v>45.45454545454546</v>
      </c>
      <c r="DW332" s="112">
        <v>-33</v>
      </c>
      <c r="DX332" s="98" t="str">
        <f>IF(ISERROR((DW332/DO332-1)*100),"NA",IF(((DW332/DO332-1)*100)&gt;100,"NM",IF(((DW332/DO332-1)*100)&lt;-50,"NM",(DW332/DO332-1)*100)))</f>
        <v>NM</v>
      </c>
      <c r="DY332" s="112">
        <v>-3</v>
      </c>
      <c r="DZ332" s="98" t="str">
        <f>IF(ISERROR((DY332/DQ332-1)*100),"NA",IF(((DY332/DQ332-1)*100)&gt;100,"NM",IF(((DY332/DQ332-1)*100)&lt;-50,"NM",(DY332/DQ332-1)*100)))</f>
        <v>NM</v>
      </c>
      <c r="EA332" s="112">
        <v>50</v>
      </c>
      <c r="EB332" s="98">
        <f>IF(ISERROR((EA332/DS332-1)*100),"NA",IF(((EA332/DS332-1)*100)&gt;100,"NM",IF(((EA332/DS332-1)*100)&lt;-50,"NM",(EA332/DS332-1)*100)))</f>
        <v>21.95121951219512</v>
      </c>
      <c r="EC332" s="112">
        <v>38</v>
      </c>
      <c r="ED332" s="98">
        <f>IF(ISERROR((EC332/DU332-1)*100),"NA",IF(((EC332/DU332-1)*100)&gt;100,"NM",IF(((EC332/DU332-1)*100)&lt;-50,"NM",(EC332/DU332-1)*100)))</f>
        <v>18.75</v>
      </c>
      <c r="EE332" s="112">
        <v>53</v>
      </c>
      <c r="EF332" s="860" t="str">
        <f>IF(ISERROR((EE332/DW332-1)*100),"NA",IF(((EE332/DW332-1)*100)&gt;100,"NM",IF(((EE332/DW332-1)*100)&lt;-50,"NM",(EE332/DW332-1)*100)))</f>
        <v>NM</v>
      </c>
      <c r="EG332" s="112">
        <v>17</v>
      </c>
      <c r="EH332" s="860" t="str">
        <f>IF(ISERROR((EG332/DY332-1)*100),"NA",IF(((EG332/DY332-1)*100)&gt;100,"NM",IF(((EG332/DY332-1)*100)&lt;-50,"NM",(EG332/DY332-1)*100)))</f>
        <v>NM</v>
      </c>
      <c r="EI332" s="112">
        <v>38</v>
      </c>
      <c r="EJ332" s="860">
        <f t="shared" si="1700"/>
        <v>-24</v>
      </c>
      <c r="EK332" s="112">
        <v>34</v>
      </c>
      <c r="EL332" s="860">
        <f t="shared" si="1701"/>
        <v>-10.526315789473683</v>
      </c>
      <c r="EM332" s="112">
        <v>51</v>
      </c>
      <c r="EN332" s="860">
        <f t="shared" si="1702"/>
        <v>-3.7735849056603765</v>
      </c>
      <c r="EO332" s="112">
        <v>33</v>
      </c>
      <c r="EP332" s="98">
        <f t="shared" si="1703"/>
        <v>94.117647058823522</v>
      </c>
      <c r="EQ332" s="878">
        <f t="shared" ref="EQ332" si="1713">+EQ331*EQ333/100</f>
        <v>42.00309634241772</v>
      </c>
      <c r="ER332" s="98">
        <f t="shared" si="1705"/>
        <v>10.534464058994008</v>
      </c>
      <c r="ES332" s="878">
        <f t="shared" ref="ES332" si="1714">+ES331*ES333/100</f>
        <v>43.330390809464213</v>
      </c>
      <c r="ET332" s="98">
        <f t="shared" si="1707"/>
        <v>27.44232591018887</v>
      </c>
      <c r="EU332" s="878">
        <f t="shared" ref="EU332" si="1715">+EU331*EU333/100</f>
        <v>45.715692620700082</v>
      </c>
      <c r="EV332" s="98">
        <f t="shared" si="1709"/>
        <v>-10.361387018235135</v>
      </c>
      <c r="EW332" s="878">
        <f t="shared" ref="EW332" si="1716">+EW331*EW333/100</f>
        <v>37.658499457863549</v>
      </c>
      <c r="EX332" s="98">
        <f t="shared" si="1711"/>
        <v>14.116665023828933</v>
      </c>
      <c r="EY332" s="282"/>
      <c r="EZ332" s="594"/>
      <c r="FA332" s="405"/>
      <c r="FB332" s="279"/>
      <c r="FC332" s="98"/>
      <c r="FD332" s="278"/>
      <c r="FE332" s="98"/>
      <c r="FF332" s="279"/>
      <c r="FG332" s="98"/>
      <c r="FH332" s="279"/>
      <c r="FI332" s="98"/>
      <c r="FJ332" s="282"/>
      <c r="FK332" s="98"/>
      <c r="FL332" s="282"/>
      <c r="FM332" s="98"/>
      <c r="FN332" s="282"/>
      <c r="FO332" s="98"/>
      <c r="FP332" s="282"/>
      <c r="FQ332" s="98"/>
      <c r="FR332" s="283"/>
      <c r="FS332" s="120"/>
      <c r="FT332" s="283"/>
      <c r="FU332" s="120"/>
      <c r="FV332" s="283"/>
      <c r="FW332" s="98"/>
      <c r="FX332" s="520"/>
      <c r="FY332" s="98"/>
      <c r="FZ332" s="283"/>
      <c r="GA332" s="98"/>
      <c r="GB332" s="495">
        <f>CM332+CO332+CQ332+CS332</f>
        <v>150</v>
      </c>
      <c r="GC332" s="98" t="str">
        <f>IF(ISERROR((GB332/FZ332-1)*100),"NA",IF(((GB332/FZ332-1)*100)&gt;100,"NM",IF(((GB332/FZ332-1)*100)&lt;-50,"NM",(GB332/FZ332-1)*100)))</f>
        <v>NA</v>
      </c>
      <c r="GD332" s="160">
        <f>CU332+CW332+CY332+DA332</f>
        <v>130</v>
      </c>
      <c r="GE332" s="98">
        <f>IF(ISERROR((GD332/GB332-1)*100),"NA",IF(((GD332/GB332-1)*100)&gt;100,"NM",IF(((GD332/GB332-1)*100)&lt;-50,"NM",(GD332/GB332-1)*100)))</f>
        <v>-13.33333333333333</v>
      </c>
      <c r="GF332" s="160">
        <f>DC332+DE332+DG332+DI332</f>
        <v>143</v>
      </c>
      <c r="GG332" s="98">
        <f>IF(ISERROR((GF332/GD332-1)*100),"NA",IF(((GF332/GD332-1)*100)&gt;100,"NM",IF(((GF332/GD332-1)*100)&lt;-50,"NM",(GF332/GD332-1)*100)))</f>
        <v>10.000000000000009</v>
      </c>
      <c r="GH332" s="160">
        <f>DK332+DM332+DO332+DQ332</f>
        <v>96</v>
      </c>
      <c r="GI332" s="98">
        <f>IF(ISERROR((GH332/GF332-1)*100),"NA",IF(((GH332/GF332-1)*100)&gt;100,"NM",IF(((GH332/GF332-1)*100)&lt;-50,"NM",(GH332/GF332-1)*100)))</f>
        <v>-32.867132867132867</v>
      </c>
      <c r="GJ332" s="160">
        <f>DS332+DU332+DW332+DY332</f>
        <v>37</v>
      </c>
      <c r="GK332" s="98" t="str">
        <f>IF(ISERROR((GJ332/GH332-1)*100),"NA",IF(((GJ332/GH332-1)*100)&gt;100,"NM",IF(((GJ332/GH332-1)*100)&lt;-50,"NM",(GJ332/GH332-1)*100)))</f>
        <v>NM</v>
      </c>
      <c r="GL332" s="160">
        <f>EA332+EC332+EE332+EG332</f>
        <v>158</v>
      </c>
      <c r="GM332" s="98" t="str">
        <f>IF(ISERROR((GL332/GJ332-1)*100),"NA",IF(((GL332/GJ332-1)*100)&gt;100,"NM",IF(((GL332/GJ332-1)*100)&lt;-50,"NM",(GL332/GJ332-1)*100)))</f>
        <v>NM</v>
      </c>
      <c r="GN332" s="160">
        <f>EI332+EK332+EM332+EO332</f>
        <v>156</v>
      </c>
      <c r="GO332" s="98">
        <f>IF(ISERROR((GN332/GL332-1)*100),"NA",IF(((GN332/GL332-1)*100)&gt;100,"NM",IF(((GN332/GL332-1)*100)&lt;-50,"NM",(GN332/GL332-1)*100)))</f>
        <v>-1.2658227848101222</v>
      </c>
      <c r="GP332" s="160">
        <f>EQ332+ES332+EU332+EW332</f>
        <v>168.70767923044556</v>
      </c>
      <c r="GQ332" s="98">
        <f>IF(ISERROR((GP332/GN332-1)*100),"NA",IF(((GP332/GN332-1)*100)&gt;100,"NM",IF(((GP332/GN332-1)*100)&lt;-50,"NM",(GP332/GN332-1)*100)))</f>
        <v>8.1459482246445845</v>
      </c>
      <c r="GR332" s="160">
        <f>+GR331*GR333/100</f>
        <v>182.18160982550862</v>
      </c>
      <c r="GS332" s="98">
        <f>IF(ISERROR((GR332/GP332-1)*100),"NA",IF(((GR332/GP332-1)*100)&gt;100,"NM",IF(((GR332/GP332-1)*100)&lt;-50,"NM",(GR332/GP332-1)*100)))</f>
        <v>7.9865544096889618</v>
      </c>
      <c r="GT332" s="160">
        <f>+GT331*GT333/100</f>
        <v>193.11250641503887</v>
      </c>
      <c r="GU332" s="98">
        <f>IF(ISERROR((GT332/GR332-1)*100),"NA",IF(((GT332/GR332-1)*100)&gt;100,"NM",IF(((GT332/GR332-1)*100)&lt;-50,"NM",(GT332/GR332-1)*100)))</f>
        <v>5.9999999999998499</v>
      </c>
      <c r="GV332" s="160">
        <f>+GV331*GV333/100</f>
        <v>204.69925679994131</v>
      </c>
      <c r="GW332" s="98">
        <f>IF(ISERROR((GV332/GT332-1)*100),"NA",IF(((GV332/GT332-1)*100)&gt;100,"NM",IF(((GV332/GT332-1)*100)&lt;-50,"NM",(GV332/GT332-1)*100)))</f>
        <v>6.0000000000000497</v>
      </c>
      <c r="GX332" s="160">
        <f>+GX331*GX333/100</f>
        <v>213.14914054287195</v>
      </c>
      <c r="GY332" s="98">
        <f>IF(ISERROR((GX332/GV332-1)*100),"NA",IF(((GX332/GV332-1)*100)&gt;100,"NM",IF(((GX332/GV332-1)*100)&lt;-50,"NM",(GX332/GV332-1)*100)))</f>
        <v>4.1279503770690118</v>
      </c>
      <c r="GZ332" s="98">
        <f t="shared" si="1712"/>
        <v>6.4416988635709771</v>
      </c>
      <c r="HA332" s="98"/>
      <c r="HB332" s="10"/>
      <c r="HC332"/>
      <c r="HD332"/>
      <c r="HE332"/>
      <c r="HF332"/>
      <c r="HG332"/>
      <c r="HH332"/>
      <c r="HI332" s="10"/>
    </row>
    <row r="333" spans="2:217" s="2" customFormat="1" ht="12.75" customHeight="1" x14ac:dyDescent="0.2">
      <c r="B333" s="2" t="s">
        <v>170</v>
      </c>
      <c r="C333" s="117"/>
      <c r="D333" s="98"/>
      <c r="E333" s="117"/>
      <c r="F333" s="98"/>
      <c r="G333" s="117"/>
      <c r="H333" s="98"/>
      <c r="I333" s="117"/>
      <c r="J333" s="98"/>
      <c r="K333" s="117"/>
      <c r="L333" s="98"/>
      <c r="M333" s="117"/>
      <c r="N333" s="98"/>
      <c r="O333" s="117"/>
      <c r="P333" s="98"/>
      <c r="Q333" s="117"/>
      <c r="R333" s="98"/>
      <c r="S333" s="182"/>
      <c r="T333" s="98"/>
      <c r="U333" s="182"/>
      <c r="V333" s="98"/>
      <c r="W333" s="182"/>
      <c r="X333" s="98"/>
      <c r="Y333" s="182"/>
      <c r="Z333" s="98"/>
      <c r="AA333" s="182"/>
      <c r="AB333" s="98"/>
      <c r="AC333" s="182"/>
      <c r="AD333" s="98"/>
      <c r="AE333" s="182"/>
      <c r="AF333" s="98"/>
      <c r="AG333" s="182"/>
      <c r="AH333" s="98"/>
      <c r="AI333" s="182"/>
      <c r="AJ333" s="98"/>
      <c r="AK333" s="182"/>
      <c r="AL333" s="98"/>
      <c r="AM333" s="182"/>
      <c r="AN333" s="98"/>
      <c r="AO333" s="182"/>
      <c r="AP333" s="98"/>
      <c r="AQ333" s="182"/>
      <c r="AR333" s="98"/>
      <c r="AS333" s="182"/>
      <c r="AT333" s="98"/>
      <c r="AU333" s="182"/>
      <c r="AV333" s="98"/>
      <c r="AW333" s="182"/>
      <c r="AX333" s="98"/>
      <c r="AY333" s="182"/>
      <c r="AZ333" s="98"/>
      <c r="BA333" s="182"/>
      <c r="BB333" s="98"/>
      <c r="BC333" s="182"/>
      <c r="BD333" s="98"/>
      <c r="BE333" s="182"/>
      <c r="BF333" s="98"/>
      <c r="BG333" s="182"/>
      <c r="BH333" s="98"/>
      <c r="BI333" s="182"/>
      <c r="BJ333" s="98"/>
      <c r="BK333" s="182"/>
      <c r="BL333" s="98"/>
      <c r="BM333" s="182"/>
      <c r="BN333" s="98"/>
      <c r="BO333" s="182"/>
      <c r="BP333" s="98"/>
      <c r="BQ333" s="182"/>
      <c r="BR333" s="98"/>
      <c r="BS333" s="182"/>
      <c r="BT333" s="98"/>
      <c r="BU333" s="182"/>
      <c r="BV333" s="98"/>
      <c r="BW333" s="182"/>
      <c r="BX333" s="98"/>
      <c r="BY333" s="182"/>
      <c r="BZ333" s="98"/>
      <c r="CA333" s="182"/>
      <c r="CB333" s="98"/>
      <c r="CC333" s="182"/>
      <c r="CD333" s="98"/>
      <c r="CE333" s="182"/>
      <c r="CF333" s="98"/>
      <c r="CG333" s="182"/>
      <c r="CH333" s="98"/>
      <c r="CI333" s="182"/>
      <c r="CJ333" s="98"/>
      <c r="CK333" s="182"/>
      <c r="CL333" s="98"/>
      <c r="CM333" s="202">
        <f>+CM332/CM331*100</f>
        <v>23.89937106918239</v>
      </c>
      <c r="CN333" s="98" t="str">
        <f>IF(ISERROR((CM333/CE333-1)*100),"NA",IF(((CM333/CE333-1)*100)&gt;100,"NM",IF(((CM333/CE333-1)*100)&lt;-50,"NM",(CM333/CE333-1)*100)))</f>
        <v>NA</v>
      </c>
      <c r="CO333" s="202">
        <f>+CO332/CO331*100</f>
        <v>21.818181818181817</v>
      </c>
      <c r="CP333" s="98" t="str">
        <f>IF(ISERROR((CO333/CG333-1)*100),"NA",IF(((CO333/CG333-1)*100)&gt;100,"NM",IF(((CO333/CG333-1)*100)&lt;-50,"NM",(CO333/CG333-1)*100)))</f>
        <v>NA</v>
      </c>
      <c r="CQ333" s="551">
        <f>+CQ332/CQ331*100</f>
        <v>24.193548387096776</v>
      </c>
      <c r="CR333" s="98" t="str">
        <f>IF(ISERROR((CQ333/CI333-1)*100),"NA",IF(((CQ333/CI333-1)*100)&gt;100,"NM",IF(((CQ333/CI333-1)*100)&lt;-50,"NM",(CQ333/CI333-1)*100)))</f>
        <v>NA</v>
      </c>
      <c r="CS333" s="202">
        <f>+CS332/CS331*100</f>
        <v>20.129870129870131</v>
      </c>
      <c r="CT333" s="98" t="str">
        <f>IF(ISERROR((CS333/CK333-1)*100),"NA",IF(((CS333/CK333-1)*100)&gt;100,"NM",IF(((CS333/CK333-1)*100)&lt;-50,"NM",(CS333/CK333-1)*100)))</f>
        <v>NA</v>
      </c>
      <c r="CU333" s="202">
        <f>+CU332/CU331*100</f>
        <v>25.252525252525253</v>
      </c>
      <c r="CV333" s="98">
        <f>IF(ISERROR((CU333/CM333-1)*100),"NA",IF(((CU333/CM333-1)*100)&gt;100,"NM",IF(((CU333/CM333-1)*100)&lt;-50,"NM",(CU333/CM333-1)*100)))</f>
        <v>5.6618819776714568</v>
      </c>
      <c r="CW333" s="202">
        <f>+CW332/CW331*100</f>
        <v>21.052631578947366</v>
      </c>
      <c r="CX333" s="98">
        <f>IF(ISERROR((CW333/CO333-1)*100),"NA",IF(((CW333/CO333-1)*100)&gt;100,"NM",IF(((CW333/CO333-1)*100)&lt;-50,"NM",(CW333/CO333-1)*100)))</f>
        <v>-3.5087719298245612</v>
      </c>
      <c r="CY333" s="202">
        <f>+CY332/CY331*100</f>
        <v>19.148936170212767</v>
      </c>
      <c r="CZ333" s="98">
        <f>IF(ISERROR((CY333/CQ333-1)*100),"NA",IF(((CY333/CQ333-1)*100)&gt;100,"NM",IF(((CY333/CQ333-1)*100)&lt;-50,"NM",(CY333/CQ333-1)*100)))</f>
        <v>-20.851063829787229</v>
      </c>
      <c r="DA333" s="202">
        <f>+DA332/DA331*100</f>
        <v>5.1282051282051277</v>
      </c>
      <c r="DB333" s="98" t="str">
        <f>IF(ISERROR((DA333/CS333-1)*100),"NA",IF(((DA333/CS333-1)*100)&gt;100,"NM",IF(((DA333/CS333-1)*100)&lt;-50,"NM",(DA333/CS333-1)*100)))</f>
        <v>NM</v>
      </c>
      <c r="DC333" s="202">
        <f>+DC332/DC331*100</f>
        <v>22.282608695652172</v>
      </c>
      <c r="DD333" s="98">
        <f>IF(ISERROR((DC333/CU333-1)*100),"NA",IF(((DC333/CU333-1)*100)&gt;100,"NM",IF(((DC333/CU333-1)*100)&lt;-50,"NM",(DC333/CU333-1)*100)))</f>
        <v>-11.760869565217401</v>
      </c>
      <c r="DE333" s="202">
        <f>+DE332/DE331*100</f>
        <v>22.36024844720497</v>
      </c>
      <c r="DF333" s="98">
        <f>IF(ISERROR((DE333/CW333-1)*100),"NA",IF(((DE333/CW333-1)*100)&gt;100,"NM",IF(((DE333/CW333-1)*100)&lt;-50,"NM",(DE333/CW333-1)*100)))</f>
        <v>6.2111801242236142</v>
      </c>
      <c r="DG333" s="202">
        <f>+DG332/DG331*100</f>
        <v>22.222222222222221</v>
      </c>
      <c r="DH333" s="98">
        <f>IF(ISERROR((DG333/CY333-1)*100),"NA",IF(((DG333/CY333-1)*100)&gt;100,"NM",IF(((DG333/CY333-1)*100)&lt;-50,"NM",(DG333/CY333-1)*100)))</f>
        <v>16.049382716049365</v>
      </c>
      <c r="DI333" s="202">
        <f>+DI332/DI331*100</f>
        <v>13.930348258706468</v>
      </c>
      <c r="DJ333" s="98" t="str">
        <f>IF(ISERROR((DI333/DA333-1)*100),"NA",IF(((DI333/DA333-1)*100)&gt;100,"NM",IF(((DI333/DA333-1)*100)&lt;-50,"NM",(DI333/DA333-1)*100)))</f>
        <v>NM</v>
      </c>
      <c r="DK333" s="202">
        <f>+DK332/DK331*100</f>
        <v>10.227272727272728</v>
      </c>
      <c r="DL333" s="98" t="str">
        <f>IF(ISERROR((DK333/DC333-1)*100),"NA",IF(((DK333/DC333-1)*100)&gt;100,"NM",IF(((DK333/DC333-1)*100)&lt;-50,"NM",(DK333/DC333-1)*100)))</f>
        <v>NM</v>
      </c>
      <c r="DM333" s="202">
        <f>+DM332/DM331*100</f>
        <v>13.924050632911392</v>
      </c>
      <c r="DN333" s="98">
        <f>IF(ISERROR((DM333/DE333-1)*100),"NA",IF(((DM333/DE333-1)*100)&gt;100,"NM",IF(((DM333/DE333-1)*100)&lt;-50,"NM",(DM333/DE333-1)*100)))</f>
        <v>-37.728551336146275</v>
      </c>
      <c r="DO333" s="202">
        <f>+DO332/DO331*100</f>
        <v>36.458333333333329</v>
      </c>
      <c r="DP333" s="98">
        <f>IF(ISERROR((DO333/DG333-1)*100),"NA",IF(((DO333/DG333-1)*100)&gt;100,"NM",IF(((DO333/DG333-1)*100)&lt;-50,"NM",(DO333/DG333-1)*100)))</f>
        <v>64.062499999999972</v>
      </c>
      <c r="DQ333" s="202">
        <f>+DQ332/DQ331*100</f>
        <v>-10.144927536231885</v>
      </c>
      <c r="DR333" s="98" t="str">
        <f>IF(ISERROR((DQ333/DI333-1)*100),"NA",IF(((DQ333/DI333-1)*100)&gt;100,"NM",IF(((DQ333/DI333-1)*100)&lt;-50,"NM",(DQ333/DI333-1)*100)))</f>
        <v>NM</v>
      </c>
      <c r="DS333" s="202">
        <f>+DS332/DS331*100</f>
        <v>21.578947368421055</v>
      </c>
      <c r="DT333" s="98" t="str">
        <f>IF(ISERROR((DS333/DK333-1)*100),"NA",IF(((DS333/DK333-1)*100)&gt;100,"NM",IF(((DS333/DK333-1)*100)&lt;-50,"NM",(DS333/DK333-1)*100)))</f>
        <v>NM</v>
      </c>
      <c r="DU333" s="202">
        <f>+DU332/DU331*100</f>
        <v>19.047619047619047</v>
      </c>
      <c r="DV333" s="98">
        <f>IF(ISERROR((DU333/DM333-1)*100),"NA",IF(((DU333/DM333-1)*100)&gt;100,"NM",IF(((DU333/DM333-1)*100)&lt;-50,"NM",(DU333/DM333-1)*100)))</f>
        <v>36.796536796536806</v>
      </c>
      <c r="DW333" s="202">
        <f>+DW332/DW331*100</f>
        <v>-22</v>
      </c>
      <c r="DX333" s="98" t="str">
        <f>IF(ISERROR((DW333/DO333-1)*100),"NA",IF(((DW333/DO333-1)*100)&gt;100,"NM",IF(((DW333/DO333-1)*100)&lt;-50,"NM",(DW333/DO333-1)*100)))</f>
        <v>NM</v>
      </c>
      <c r="DY333" s="202">
        <f>+DY332/DY331*100</f>
        <v>-1.948051948051948</v>
      </c>
      <c r="DZ333" s="98" t="str">
        <f>IF(ISERROR((DY333/DQ333-1)*100),"NA",IF(((DY333/DQ333-1)*100)&gt;100,"NM",IF(((DY333/DQ333-1)*100)&lt;-50,"NM",(DY333/DQ333-1)*100)))</f>
        <v>NM</v>
      </c>
      <c r="EA333" s="202">
        <f>+EA332/EA331*100</f>
        <v>24.875621890547265</v>
      </c>
      <c r="EB333" s="98">
        <f>IF(ISERROR((EA333/DS333-1)*100),"NA",IF(((EA333/DS333-1)*100)&gt;100,"NM",IF(((EA333/DS333-1)*100)&lt;-50,"NM",(EA333/DS333-1)*100)))</f>
        <v>15.277272175706823</v>
      </c>
      <c r="EC333" s="202">
        <f>+EC332/EC331*100</f>
        <v>21.714285714285715</v>
      </c>
      <c r="ED333" s="98">
        <f>IF(ISERROR((EC333/DU333-1)*100),"NA",IF(((EC333/DU333-1)*100)&gt;100,"NM",IF(((EC333/DU333-1)*100)&lt;-50,"NM",(EC333/DU333-1)*100)))</f>
        <v>14.000000000000012</v>
      </c>
      <c r="EE333" s="202">
        <f>+EE332/EE331*100</f>
        <v>28.49462365591398</v>
      </c>
      <c r="EF333" s="860" t="str">
        <f>IF(ISERROR((EE333/DW333-1)*100),"NA",IF(((EE333/DW333-1)*100)&gt;100,"NM",IF(((EE333/DW333-1)*100)&lt;-50,"NM",(EE333/DW333-1)*100)))</f>
        <v>NM</v>
      </c>
      <c r="EG333" s="202">
        <f>+EG332/EG331*100</f>
        <v>12.23021582733813</v>
      </c>
      <c r="EH333" s="860" t="str">
        <f>IF(ISERROR((EG333/DY333-1)*100),"NA",IF(((EG333/DY333-1)*100)&gt;100,"NM",IF(((EG333/DY333-1)*100)&lt;-50,"NM",(EG333/DY333-1)*100)))</f>
        <v>NM</v>
      </c>
      <c r="EI333" s="202">
        <f>+EI332/EI331*100</f>
        <v>20.994475138121548</v>
      </c>
      <c r="EJ333" s="860">
        <f t="shared" si="1700"/>
        <v>-15.602209944751388</v>
      </c>
      <c r="EK333" s="202">
        <f>+EK332/EK331*100</f>
        <v>18.085106382978726</v>
      </c>
      <c r="EL333" s="860">
        <f t="shared" si="1701"/>
        <v>-16.71332586786114</v>
      </c>
      <c r="EM333" s="202">
        <f>+EM332/EM331*100</f>
        <v>23.831775700934578</v>
      </c>
      <c r="EN333" s="860">
        <f t="shared" si="1702"/>
        <v>-16.363956974078654</v>
      </c>
      <c r="EO333" s="202">
        <f>+EO332/EO331*100</f>
        <v>20.88607594936709</v>
      </c>
      <c r="EP333" s="98">
        <f t="shared" si="1703"/>
        <v>70.774385703648562</v>
      </c>
      <c r="EQ333" s="1026">
        <f>EO333</f>
        <v>20.88607594936709</v>
      </c>
      <c r="ER333" s="98">
        <f t="shared" si="1705"/>
        <v>-0.51632245169886959</v>
      </c>
      <c r="ES333" s="1026">
        <f t="shared" ref="ES333" si="1717">EQ333</f>
        <v>20.88607594936709</v>
      </c>
      <c r="ET333" s="98">
        <f t="shared" si="1707"/>
        <v>15.487714072970959</v>
      </c>
      <c r="EU333" s="1026">
        <f t="shared" ref="EU333" si="1718">ES333</f>
        <v>20.88607594936709</v>
      </c>
      <c r="EV333" s="98">
        <f t="shared" si="1709"/>
        <v>-12.360387192851817</v>
      </c>
      <c r="EW333" s="1026">
        <f t="shared" ref="EW333" si="1719">EU333</f>
        <v>20.88607594936709</v>
      </c>
      <c r="EX333" s="98">
        <f t="shared" si="1711"/>
        <v>0</v>
      </c>
      <c r="EY333" s="282"/>
      <c r="EZ333" s="594"/>
      <c r="FA333" s="405"/>
      <c r="FB333" s="279"/>
      <c r="FC333" s="98"/>
      <c r="FD333" s="278"/>
      <c r="FE333" s="98"/>
      <c r="FF333" s="279"/>
      <c r="FG333" s="98"/>
      <c r="FH333" s="279"/>
      <c r="FI333" s="98"/>
      <c r="FJ333" s="282"/>
      <c r="FK333" s="98"/>
      <c r="FL333" s="282"/>
      <c r="FM333" s="98"/>
      <c r="FN333" s="282"/>
      <c r="FO333" s="98"/>
      <c r="FP333" s="282"/>
      <c r="FQ333" s="98"/>
      <c r="FR333" s="283"/>
      <c r="FS333" s="120"/>
      <c r="FT333" s="283"/>
      <c r="FU333" s="120"/>
      <c r="FV333" s="283"/>
      <c r="FW333" s="98"/>
      <c r="FX333" s="520"/>
      <c r="FY333" s="98"/>
      <c r="FZ333" s="283"/>
      <c r="GA333" s="98"/>
      <c r="GB333" s="487">
        <f>+GB332/GB331*100</f>
        <v>22.590361445783135</v>
      </c>
      <c r="GC333" s="98" t="str">
        <f>IF(ISERROR((GB333/FZ333-1)*100),"NA",IF(((GB333/FZ333-1)*100)&gt;100,"NM",IF(((GB333/FZ333-1)*100)&lt;-50,"NM",(GB333/FZ333-1)*100)))</f>
        <v>NA</v>
      </c>
      <c r="GD333" s="130">
        <f>+GD332/GD331*100</f>
        <v>18.232819074333801</v>
      </c>
      <c r="GE333" s="98">
        <f>IF(ISERROR((GD333/GB333-1)*100),"NA",IF(((GD333/GB333-1)*100)&gt;100,"NM",IF(((GD333/GB333-1)*100)&lt;-50,"NM",(GD333/GB333-1)*100)))</f>
        <v>-19.289387564282379</v>
      </c>
      <c r="GF333" s="130">
        <f>+GF332/GF331*100</f>
        <v>19.944211994421199</v>
      </c>
      <c r="GG333" s="98">
        <f>IF(ISERROR((GF333/GD333-1)*100),"NA",IF(((GF333/GD333-1)*100)&gt;100,"NM",IF(((GF333/GD333-1)*100)&lt;-50,"NM",(GF333/GD333-1)*100)))</f>
        <v>9.3863319386331856</v>
      </c>
      <c r="GH333" s="130">
        <f>+GH332/GH331*100</f>
        <v>14.457831325301203</v>
      </c>
      <c r="GI333" s="98">
        <f>IF(ISERROR((GH333/GF333-1)*100),"NA",IF(((GH333/GF333-1)*100)&gt;100,"NM",IF(((GH333/GF333-1)*100)&lt;-50,"NM",(GH333/GF333-1)*100)))</f>
        <v>-27.508635942370883</v>
      </c>
      <c r="GJ333" s="130">
        <f>+GJ332/GJ331*100</f>
        <v>5.5891238670694863</v>
      </c>
      <c r="GK333" s="98" t="str">
        <f>IF(ISERROR((GJ333/GH333-1)*100),"NA",IF(((GJ333/GH333-1)*100)&gt;100,"NM",IF(((GJ333/GH333-1)*100)&lt;-50,"NM",(GJ333/GH333-1)*100)))</f>
        <v>NM</v>
      </c>
      <c r="GL333" s="130">
        <f>+GL332/GL331*100</f>
        <v>22.539229671897289</v>
      </c>
      <c r="GM333" s="98" t="str">
        <f>IF(ISERROR((GL333/GJ333-1)*100),"NA",IF(((GL333/GJ333-1)*100)&gt;100,"NM",IF(((GL333/GJ333-1)*100)&lt;-50,"NM",(GL333/GJ333-1)*100)))</f>
        <v>NM</v>
      </c>
      <c r="GN333" s="130">
        <f>+GN332/GN331*100</f>
        <v>21.052631578947366</v>
      </c>
      <c r="GO333" s="98">
        <f>IF(ISERROR((GN333/GL333-1)*100),"NA",IF(((GN333/GL333-1)*100)&gt;100,"NM",IF(((GN333/GL333-1)*100)&lt;-50,"NM",(GN333/GL333-1)*100)))</f>
        <v>-6.5956029313790854</v>
      </c>
      <c r="GP333" s="130">
        <f>+GP332/GP331*100</f>
        <v>20.886075949367061</v>
      </c>
      <c r="GQ333" s="98">
        <f>IF(ISERROR((GP333/GN333-1)*100),"NA",IF(((GP333/GN333-1)*100)&gt;100,"NM",IF(((GP333/GN333-1)*100)&lt;-50,"NM",(GP333/GN333-1)*100)))</f>
        <v>-0.79113924050644435</v>
      </c>
      <c r="GR333" s="80">
        <f>GP333</f>
        <v>20.886075949367061</v>
      </c>
      <c r="GS333" s="98">
        <f>IF(ISERROR((GR333/GP333-1)*100),"NA",IF(((GR333/GP333-1)*100)&gt;100,"NM",IF(((GR333/GP333-1)*100)&lt;-50,"NM",(GR333/GP333-1)*100)))</f>
        <v>0</v>
      </c>
      <c r="GT333" s="80">
        <f>GR333</f>
        <v>20.886075949367061</v>
      </c>
      <c r="GU333" s="98">
        <f>IF(ISERROR((GT333/GR333-1)*100),"NA",IF(((GT333/GR333-1)*100)&gt;100,"NM",IF(((GT333/GR333-1)*100)&lt;-50,"NM",(GT333/GR333-1)*100)))</f>
        <v>0</v>
      </c>
      <c r="GV333" s="80">
        <f>GT333</f>
        <v>20.886075949367061</v>
      </c>
      <c r="GW333" s="98">
        <f>IF(ISERROR((GV333/GT333-1)*100),"NA",IF(((GV333/GT333-1)*100)&gt;100,"NM",IF(((GV333/GT333-1)*100)&lt;-50,"NM",(GV333/GT333-1)*100)))</f>
        <v>0</v>
      </c>
      <c r="GX333" s="80">
        <f>GV333</f>
        <v>20.886075949367061</v>
      </c>
      <c r="GY333" s="98">
        <f>IF(ISERROR((GX333/GV333-1)*100),"NA",IF(((GX333/GV333-1)*100)&gt;100,"NM",IF(((GX333/GV333-1)*100)&lt;-50,"NM",(GX333/GV333-1)*100)))</f>
        <v>0</v>
      </c>
      <c r="GZ333" s="98">
        <f t="shared" si="1712"/>
        <v>-0.15873095922248615</v>
      </c>
      <c r="HA333" s="98"/>
      <c r="HB333" s="10"/>
      <c r="HC333"/>
      <c r="HD333"/>
      <c r="HE333"/>
      <c r="HF333"/>
      <c r="HG333"/>
      <c r="HH333"/>
      <c r="HI333" s="10"/>
    </row>
    <row r="334" spans="2:217" s="2" customFormat="1" ht="12.75" customHeight="1" x14ac:dyDescent="0.2">
      <c r="B334" s="93" t="s">
        <v>28</v>
      </c>
      <c r="C334" s="117"/>
      <c r="D334" s="98"/>
      <c r="E334" s="117"/>
      <c r="F334" s="98"/>
      <c r="G334" s="117"/>
      <c r="H334" s="98"/>
      <c r="I334" s="117"/>
      <c r="J334" s="98"/>
      <c r="K334" s="117"/>
      <c r="L334" s="98"/>
      <c r="M334" s="117"/>
      <c r="N334" s="98"/>
      <c r="O334" s="117"/>
      <c r="P334" s="98"/>
      <c r="Q334" s="117"/>
      <c r="R334" s="98"/>
      <c r="S334" s="182"/>
      <c r="T334" s="98"/>
      <c r="U334" s="182"/>
      <c r="V334" s="98"/>
      <c r="W334" s="182"/>
      <c r="X334" s="98"/>
      <c r="Y334" s="182"/>
      <c r="Z334" s="98"/>
      <c r="AA334" s="182"/>
      <c r="AB334" s="98"/>
      <c r="AC334" s="182"/>
      <c r="AD334" s="98"/>
      <c r="AE334" s="182"/>
      <c r="AF334" s="98"/>
      <c r="AG334" s="182"/>
      <c r="AH334" s="98"/>
      <c r="AI334" s="182"/>
      <c r="AJ334" s="98"/>
      <c r="AK334" s="182"/>
      <c r="AL334" s="98"/>
      <c r="AM334" s="182"/>
      <c r="AN334" s="98"/>
      <c r="AO334" s="182"/>
      <c r="AP334" s="98"/>
      <c r="AQ334" s="182"/>
      <c r="AR334" s="98"/>
      <c r="AS334" s="182"/>
      <c r="AT334" s="98"/>
      <c r="AU334" s="182"/>
      <c r="AV334" s="98"/>
      <c r="AW334" s="182"/>
      <c r="AX334" s="98"/>
      <c r="AY334" s="182"/>
      <c r="AZ334" s="98"/>
      <c r="BA334" s="182"/>
      <c r="BB334" s="98"/>
      <c r="BC334" s="182"/>
      <c r="BD334" s="98"/>
      <c r="BE334" s="182"/>
      <c r="BF334" s="98"/>
      <c r="BG334" s="182"/>
      <c r="BH334" s="98"/>
      <c r="BI334" s="182"/>
      <c r="BJ334" s="98"/>
      <c r="BK334" s="182"/>
      <c r="BL334" s="98"/>
      <c r="BM334" s="182"/>
      <c r="BN334" s="98"/>
      <c r="BO334" s="182"/>
      <c r="BP334" s="98"/>
      <c r="BQ334" s="182"/>
      <c r="BR334" s="98"/>
      <c r="BS334" s="182"/>
      <c r="BT334" s="98"/>
      <c r="BU334" s="182"/>
      <c r="BV334" s="98"/>
      <c r="BW334" s="182"/>
      <c r="BX334" s="98"/>
      <c r="BY334" s="182"/>
      <c r="BZ334" s="98"/>
      <c r="CA334" s="182"/>
      <c r="CB334" s="98"/>
      <c r="CC334" s="182"/>
      <c r="CD334" s="98"/>
      <c r="CE334" s="182"/>
      <c r="CF334" s="98"/>
      <c r="CG334" s="182"/>
      <c r="CH334" s="98"/>
      <c r="CI334" s="182"/>
      <c r="CJ334" s="98"/>
      <c r="CK334" s="182"/>
      <c r="CL334" s="98"/>
      <c r="CM334" s="204">
        <f>+CM331-CM332</f>
        <v>121</v>
      </c>
      <c r="CN334" s="98" t="str">
        <f>IF(ISERROR((CM334/CE334-1)*100),"NA",IF(((CM334/CE334-1)*100)&gt;100,"NM",IF(((CM334/CE334-1)*100)&lt;-50,"NM",(CM334/CE334-1)*100)))</f>
        <v>NA</v>
      </c>
      <c r="CO334" s="204">
        <f>+CO331-CO332</f>
        <v>129</v>
      </c>
      <c r="CP334" s="98" t="str">
        <f>IF(ISERROR((CO334/CG334-1)*100),"NA",IF(((CO334/CG334-1)*100)&gt;100,"NM",IF(((CO334/CG334-1)*100)&lt;-50,"NM",(CO334/CG334-1)*100)))</f>
        <v>NA</v>
      </c>
      <c r="CQ334" s="505">
        <f>+CQ331-CQ332</f>
        <v>141</v>
      </c>
      <c r="CR334" s="98" t="str">
        <f>IF(ISERROR((CQ334/CI334-1)*100),"NA",IF(((CQ334/CI334-1)*100)&gt;100,"NM",IF(((CQ334/CI334-1)*100)&lt;-50,"NM",(CQ334/CI334-1)*100)))</f>
        <v>NA</v>
      </c>
      <c r="CS334" s="204">
        <f>+CS331-CS332</f>
        <v>123</v>
      </c>
      <c r="CT334" s="98" t="str">
        <f>IF(ISERROR((CS334/CK334-1)*100),"NA",IF(((CS334/CK334-1)*100)&gt;100,"NM",IF(((CS334/CK334-1)*100)&lt;-50,"NM",(CS334/CK334-1)*100)))</f>
        <v>NA</v>
      </c>
      <c r="CU334" s="204">
        <f>+CU331-CU332</f>
        <v>148</v>
      </c>
      <c r="CV334" s="98">
        <f>IF(ISERROR((CU334/CM334-1)*100),"NA",IF(((CU334/CM334-1)*100)&gt;100,"NM",IF(((CU334/CM334-1)*100)&lt;-50,"NM",(CU334/CM334-1)*100)))</f>
        <v>22.314049586776854</v>
      </c>
      <c r="CW334" s="204">
        <f>+CW331-CW332</f>
        <v>135</v>
      </c>
      <c r="CX334" s="98">
        <f>IF(ISERROR((CW334/CO334-1)*100),"NA",IF(((CW334/CO334-1)*100)&gt;100,"NM",IF(((CW334/CO334-1)*100)&lt;-50,"NM",(CW334/CO334-1)*100)))</f>
        <v>4.6511627906976827</v>
      </c>
      <c r="CY334" s="204">
        <f>+CY331-CY332</f>
        <v>152</v>
      </c>
      <c r="CZ334" s="98">
        <f>IF(ISERROR((CY334/CQ334-1)*100),"NA",IF(((CY334/CQ334-1)*100)&gt;100,"NM",IF(((CY334/CQ334-1)*100)&lt;-50,"NM",(CY334/CQ334-1)*100)))</f>
        <v>7.8014184397163122</v>
      </c>
      <c r="DA334" s="204">
        <f>+DA331-DA332</f>
        <v>148</v>
      </c>
      <c r="DB334" s="98">
        <f>IF(ISERROR((DA334/CS334-1)*100),"NA",IF(((DA334/CS334-1)*100)&gt;100,"NM",IF(((DA334/CS334-1)*100)&lt;-50,"NM",(DA334/CS334-1)*100)))</f>
        <v>20.32520325203253</v>
      </c>
      <c r="DC334" s="204">
        <f>+DC331-DC332</f>
        <v>143</v>
      </c>
      <c r="DD334" s="98">
        <f>IF(ISERROR((DC334/CU334-1)*100),"NA",IF(((DC334/CU334-1)*100)&gt;100,"NM",IF(((DC334/CU334-1)*100)&lt;-50,"NM",(DC334/CU334-1)*100)))</f>
        <v>-3.3783783783783772</v>
      </c>
      <c r="DE334" s="204">
        <f>+DE331-DE332</f>
        <v>125</v>
      </c>
      <c r="DF334" s="98">
        <f>IF(ISERROR((DE334/CW334-1)*100),"NA",IF(((DE334/CW334-1)*100)&gt;100,"NM",IF(((DE334/CW334-1)*100)&lt;-50,"NM",(DE334/CW334-1)*100)))</f>
        <v>-7.4074074074074066</v>
      </c>
      <c r="DG334" s="204">
        <f>+DG331-DG332</f>
        <v>133</v>
      </c>
      <c r="DH334" s="98">
        <f>IF(ISERROR((DG334/CY334-1)*100),"NA",IF(((DG334/CY334-1)*100)&gt;100,"NM",IF(((DG334/CY334-1)*100)&lt;-50,"NM",(DG334/CY334-1)*100)))</f>
        <v>-12.5</v>
      </c>
      <c r="DI334" s="204">
        <f>+DI331-DI332</f>
        <v>173</v>
      </c>
      <c r="DJ334" s="98">
        <f>IF(ISERROR((DI334/DA334-1)*100),"NA",IF(((DI334/DA334-1)*100)&gt;100,"NM",IF(((DI334/DA334-1)*100)&lt;-50,"NM",(DI334/DA334-1)*100)))</f>
        <v>16.891891891891888</v>
      </c>
      <c r="DK334" s="204">
        <f>+DK331-DK332</f>
        <v>158</v>
      </c>
      <c r="DL334" s="98">
        <f>IF(ISERROR((DK334/DC334-1)*100),"NA",IF(((DK334/DC334-1)*100)&gt;100,"NM",IF(((DK334/DC334-1)*100)&lt;-50,"NM",(DK334/DC334-1)*100)))</f>
        <v>10.489510489510479</v>
      </c>
      <c r="DM334" s="204">
        <f>+DM331-DM332</f>
        <v>136</v>
      </c>
      <c r="DN334" s="98">
        <f>IF(ISERROR((DM334/DE334-1)*100),"NA",IF(((DM334/DE334-1)*100)&gt;100,"NM",IF(((DM334/DE334-1)*100)&lt;-50,"NM",(DM334/DE334-1)*100)))</f>
        <v>8.8000000000000078</v>
      </c>
      <c r="DO334" s="204">
        <f>+DO331-DO332</f>
        <v>122</v>
      </c>
      <c r="DP334" s="98">
        <f>IF(ISERROR((DO334/DG334-1)*100),"NA",IF(((DO334/DG334-1)*100)&gt;100,"NM",IF(((DO334/DG334-1)*100)&lt;-50,"NM",(DO334/DG334-1)*100)))</f>
        <v>-8.270676691729328</v>
      </c>
      <c r="DQ334" s="204">
        <f>+DQ331-DQ332</f>
        <v>152</v>
      </c>
      <c r="DR334" s="98">
        <f>IF(ISERROR((DQ334/DI334-1)*100),"NA",IF(((DQ334/DI334-1)*100)&gt;100,"NM",IF(((DQ334/DI334-1)*100)&lt;-50,"NM",(DQ334/DI334-1)*100)))</f>
        <v>-12.138728323699421</v>
      </c>
      <c r="DS334" s="204">
        <f>+DS331-DS332</f>
        <v>149</v>
      </c>
      <c r="DT334" s="98">
        <f>IF(ISERROR((DS334/DK334-1)*100),"NA",IF(((DS334/DK334-1)*100)&gt;100,"NM",IF(((DS334/DK334-1)*100)&lt;-50,"NM",(DS334/DK334-1)*100)))</f>
        <v>-5.6962025316455662</v>
      </c>
      <c r="DU334" s="204">
        <f>+DU331-DU332</f>
        <v>136</v>
      </c>
      <c r="DV334" s="98">
        <f>IF(ISERROR((DU334/DM334-1)*100),"NA",IF(((DU334/DM334-1)*100)&gt;100,"NM",IF(((DU334/DM334-1)*100)&lt;-50,"NM",(DU334/DM334-1)*100)))</f>
        <v>0</v>
      </c>
      <c r="DW334" s="204">
        <f>+DW331-DW332</f>
        <v>183</v>
      </c>
      <c r="DX334" s="98">
        <f>IF(ISERROR((DW334/DO334-1)*100),"NA",IF(((DW334/DO334-1)*100)&gt;100,"NM",IF(((DW334/DO334-1)*100)&lt;-50,"NM",(DW334/DO334-1)*100)))</f>
        <v>50</v>
      </c>
      <c r="DY334" s="204">
        <f>+DY331-DY332</f>
        <v>157</v>
      </c>
      <c r="DZ334" s="98">
        <f>IF(ISERROR((DY334/DQ334-1)*100),"NA",IF(((DY334/DQ334-1)*100)&gt;100,"NM",IF(((DY334/DQ334-1)*100)&lt;-50,"NM",(DY334/DQ334-1)*100)))</f>
        <v>3.289473684210531</v>
      </c>
      <c r="EA334" s="204">
        <f>+EA331-EA332</f>
        <v>151</v>
      </c>
      <c r="EB334" s="98">
        <f>IF(ISERROR((EA334/DS334-1)*100),"NA",IF(((EA334/DS334-1)*100)&gt;100,"NM",IF(((EA334/DS334-1)*100)&lt;-50,"NM",(EA334/DS334-1)*100)))</f>
        <v>1.3422818791946289</v>
      </c>
      <c r="EC334" s="204">
        <f>+EC331-EC332</f>
        <v>137</v>
      </c>
      <c r="ED334" s="98">
        <f>IF(ISERROR((EC334/DU334-1)*100),"NA",IF(((EC334/DU334-1)*100)&gt;100,"NM",IF(((EC334/DU334-1)*100)&lt;-50,"NM",(EC334/DU334-1)*100)))</f>
        <v>0.73529411764705621</v>
      </c>
      <c r="EE334" s="204">
        <f>+EE331-EE332</f>
        <v>133</v>
      </c>
      <c r="EF334" s="860">
        <f>IF(ISERROR((EE334/DW334-1)*100),"NA",IF(((EE334/DW334-1)*100)&gt;100,"NM",IF(((EE334/DW334-1)*100)&lt;-50,"NM",(EE334/DW334-1)*100)))</f>
        <v>-27.322404371584696</v>
      </c>
      <c r="EG334" s="204">
        <f>+EG331-EG332</f>
        <v>122</v>
      </c>
      <c r="EH334" s="860">
        <f>IF(ISERROR((EG334/DY334-1)*100),"NA",IF(((EG334/DY334-1)*100)&gt;100,"NM",IF(((EG334/DY334-1)*100)&lt;-50,"NM",(EG334/DY334-1)*100)))</f>
        <v>-22.292993630573243</v>
      </c>
      <c r="EI334" s="204">
        <f>+EI331-EI332</f>
        <v>143</v>
      </c>
      <c r="EJ334" s="860">
        <f t="shared" si="1700"/>
        <v>-5.2980132450331174</v>
      </c>
      <c r="EK334" s="204">
        <f>+EK331-EK332</f>
        <v>154</v>
      </c>
      <c r="EL334" s="860">
        <f t="shared" si="1701"/>
        <v>12.408759124087588</v>
      </c>
      <c r="EM334" s="204">
        <f>+EM331-EM332</f>
        <v>163</v>
      </c>
      <c r="EN334" s="860">
        <f t="shared" si="1702"/>
        <v>22.55639097744362</v>
      </c>
      <c r="EO334" s="204">
        <f>+EO331-EO332</f>
        <v>125</v>
      </c>
      <c r="EP334" s="98">
        <f t="shared" si="1703"/>
        <v>2.4590163934426146</v>
      </c>
      <c r="EQ334" s="1028">
        <f t="shared" ref="EQ334" si="1720">+EQ331-EQ332</f>
        <v>159.10263766067317</v>
      </c>
      <c r="ER334" s="98">
        <f t="shared" si="1705"/>
        <v>11.260585776694532</v>
      </c>
      <c r="ES334" s="1028">
        <f t="shared" ref="ES334" si="1721">+ES331-ES332</f>
        <v>164.13026821766746</v>
      </c>
      <c r="ET334" s="98">
        <f t="shared" si="1707"/>
        <v>6.5780962452386182</v>
      </c>
      <c r="EU334" s="1028">
        <f t="shared" ref="EU334" si="1722">+EU331-EU332</f>
        <v>173.16550235113667</v>
      </c>
      <c r="EV334" s="98">
        <f t="shared" si="1709"/>
        <v>6.2365045098997873</v>
      </c>
      <c r="EW334" s="1028">
        <f t="shared" ref="EW334" si="1723">+EW331-EW332</f>
        <v>142.64583127978617</v>
      </c>
      <c r="EX334" s="98">
        <f t="shared" si="1711"/>
        <v>14.116665023828933</v>
      </c>
      <c r="EY334" s="282"/>
      <c r="EZ334" s="594"/>
      <c r="FA334" s="405"/>
      <c r="FB334" s="279"/>
      <c r="FC334" s="98"/>
      <c r="FD334" s="278"/>
      <c r="FE334" s="98"/>
      <c r="FF334" s="279"/>
      <c r="FG334" s="98"/>
      <c r="FH334" s="279"/>
      <c r="FI334" s="98"/>
      <c r="FJ334" s="282"/>
      <c r="FK334" s="98"/>
      <c r="FL334" s="282"/>
      <c r="FM334" s="98"/>
      <c r="FN334" s="282"/>
      <c r="FO334" s="98"/>
      <c r="FP334" s="282"/>
      <c r="FQ334" s="98"/>
      <c r="FR334" s="283"/>
      <c r="FS334" s="120"/>
      <c r="FT334" s="283"/>
      <c r="FU334" s="120"/>
      <c r="FV334" s="283"/>
      <c r="FW334" s="98"/>
      <c r="FX334" s="520"/>
      <c r="FY334" s="98"/>
      <c r="FZ334" s="283"/>
      <c r="GA334" s="98"/>
      <c r="GB334" s="503">
        <f>+GB331-GB332</f>
        <v>514</v>
      </c>
      <c r="GC334" s="98" t="str">
        <f>IF(ISERROR((GB334/FZ334-1)*100),"NA",IF(((GB334/FZ334-1)*100)&gt;100,"NM",IF(((GB334/FZ334-1)*100)&lt;-50,"NM",(GB334/FZ334-1)*100)))</f>
        <v>NA</v>
      </c>
      <c r="GD334" s="205">
        <f>+GD331-GD332</f>
        <v>583</v>
      </c>
      <c r="GE334" s="98">
        <f>IF(ISERROR((GD334/GB334-1)*100),"NA",IF(((GD334/GB334-1)*100)&gt;100,"NM",IF(((GD334/GB334-1)*100)&lt;-50,"NM",(GD334/GB334-1)*100)))</f>
        <v>13.424124513618674</v>
      </c>
      <c r="GF334" s="205">
        <f>+GF331-GF332</f>
        <v>574</v>
      </c>
      <c r="GG334" s="98">
        <f>IF(ISERROR((GF334/GD334-1)*100),"NA",IF(((GF334/GD334-1)*100)&gt;100,"NM",IF(((GF334/GD334-1)*100)&lt;-50,"NM",(GF334/GD334-1)*100)))</f>
        <v>-1.5437392795883409</v>
      </c>
      <c r="GH334" s="205">
        <f>+GH331-GH332</f>
        <v>568</v>
      </c>
      <c r="GI334" s="98">
        <f>IF(ISERROR((GH334/GF334-1)*100),"NA",IF(((GH334/GF334-1)*100)&gt;100,"NM",IF(((GH334/GF334-1)*100)&lt;-50,"NM",(GH334/GF334-1)*100)))</f>
        <v>-1.0452961672473893</v>
      </c>
      <c r="GJ334" s="205">
        <f>+GJ331-GJ332</f>
        <v>625</v>
      </c>
      <c r="GK334" s="98">
        <f>IF(ISERROR((GJ334/GH334-1)*100),"NA",IF(((GJ334/GH334-1)*100)&gt;100,"NM",IF(((GJ334/GH334-1)*100)&lt;-50,"NM",(GJ334/GH334-1)*100)))</f>
        <v>10.035211267605625</v>
      </c>
      <c r="GL334" s="205">
        <f>+GL331-GL332</f>
        <v>543</v>
      </c>
      <c r="GM334" s="98">
        <f>IF(ISERROR((GL334/GJ334-1)*100),"NA",IF(((GL334/GJ334-1)*100)&gt;100,"NM",IF(((GL334/GJ334-1)*100)&lt;-50,"NM",(GL334/GJ334-1)*100)))</f>
        <v>-13.119999999999997</v>
      </c>
      <c r="GN334" s="205">
        <f>+GN331-GN332</f>
        <v>585</v>
      </c>
      <c r="GO334" s="98">
        <f>IF(ISERROR((GN334/GL334-1)*100),"NA",IF(((GN334/GL334-1)*100)&gt;100,"NM",IF(((GN334/GL334-1)*100)&lt;-50,"NM",(GN334/GL334-1)*100)))</f>
        <v>7.7348066298342566</v>
      </c>
      <c r="GP334" s="205">
        <f>+GP331-GP332</f>
        <v>639.04423950926457</v>
      </c>
      <c r="GQ334" s="98">
        <f>IF(ISERROR((GP334/GN334-1)*100),"NA",IF(((GP334/GN334-1)*100)&gt;100,"NM",IF(((GP334/GN334-1)*100)&lt;-50,"NM",(GP334/GN334-1)*100)))</f>
        <v>9.2383315400452304</v>
      </c>
      <c r="GR334" s="204">
        <f>+GR331-GR332</f>
        <v>690.08185539965496</v>
      </c>
      <c r="GS334" s="98">
        <f>IF(ISERROR((GR334/GP334-1)*100),"NA",IF(((GR334/GP334-1)*100)&gt;100,"NM",IF(((GR334/GP334-1)*100)&lt;-50,"NM",(GR334/GP334-1)*100)))</f>
        <v>7.9865544096889396</v>
      </c>
      <c r="GT334" s="204">
        <f>+GT331-GT332</f>
        <v>731.48676672363342</v>
      </c>
      <c r="GU334" s="98">
        <f>IF(ISERROR((GT334/GR334-1)*100),"NA",IF(((GT334/GR334-1)*100)&gt;100,"NM",IF(((GT334/GR334-1)*100)&lt;-50,"NM",(GT334/GR334-1)*100)))</f>
        <v>5.9999999999998721</v>
      </c>
      <c r="GV334" s="204">
        <f>+GV331-GV332</f>
        <v>775.37597272705182</v>
      </c>
      <c r="GW334" s="98">
        <f>IF(ISERROR((GV334/GT334-1)*100),"NA",IF(((GV334/GT334-1)*100)&gt;100,"NM",IF(((GV334/GT334-1)*100)&lt;-50,"NM",(GV334/GT334-1)*100)))</f>
        <v>6.0000000000000497</v>
      </c>
      <c r="GX334" s="204">
        <f>+GX331-GX332</f>
        <v>807.38310811694055</v>
      </c>
      <c r="GY334" s="98">
        <f>IF(ISERROR((GX334/GV334-1)*100),"NA",IF(((GX334/GV334-1)*100)&gt;100,"NM",IF(((GX334/GV334-1)*100)&lt;-50,"NM",(GX334/GV334-1)*100)))</f>
        <v>4.1279503770689896</v>
      </c>
      <c r="GZ334" s="98">
        <f t="shared" si="1712"/>
        <v>6.6558690041239155</v>
      </c>
      <c r="HA334" s="98"/>
      <c r="HB334" s="10"/>
      <c r="HC334"/>
      <c r="HD334"/>
      <c r="HE334"/>
      <c r="HF334"/>
      <c r="HG334"/>
      <c r="HH334"/>
      <c r="HI334" s="10"/>
    </row>
    <row r="335" spans="2:217" s="2" customFormat="1" ht="12.75" hidden="1" customHeight="1" outlineLevel="1" x14ac:dyDescent="0.2">
      <c r="B335" s="102" t="s">
        <v>341</v>
      </c>
      <c r="C335" s="117"/>
      <c r="D335" s="98"/>
      <c r="E335" s="117"/>
      <c r="F335" s="98"/>
      <c r="G335" s="117"/>
      <c r="H335" s="98"/>
      <c r="I335" s="117"/>
      <c r="J335" s="98"/>
      <c r="K335" s="117"/>
      <c r="L335" s="98"/>
      <c r="M335" s="117"/>
      <c r="N335" s="98"/>
      <c r="O335" s="117"/>
      <c r="P335" s="98"/>
      <c r="Q335" s="117"/>
      <c r="R335" s="98"/>
      <c r="S335" s="182"/>
      <c r="T335" s="98"/>
      <c r="U335" s="182"/>
      <c r="V335" s="98"/>
      <c r="W335" s="182"/>
      <c r="X335" s="98"/>
      <c r="Y335" s="182"/>
      <c r="Z335" s="98"/>
      <c r="AA335" s="182"/>
      <c r="AB335" s="98"/>
      <c r="AC335" s="182"/>
      <c r="AD335" s="98"/>
      <c r="AE335" s="182"/>
      <c r="AF335" s="98"/>
      <c r="AG335" s="182"/>
      <c r="AH335" s="98"/>
      <c r="AI335" s="182"/>
      <c r="AJ335" s="98"/>
      <c r="AK335" s="182"/>
      <c r="AL335" s="98"/>
      <c r="AM335" s="182"/>
      <c r="AN335" s="98"/>
      <c r="AO335" s="182"/>
      <c r="AP335" s="98"/>
      <c r="AQ335" s="182"/>
      <c r="AR335" s="98"/>
      <c r="AS335" s="182"/>
      <c r="AT335" s="98"/>
      <c r="AU335" s="182"/>
      <c r="AV335" s="98"/>
      <c r="AW335" s="182"/>
      <c r="AX335" s="98"/>
      <c r="AY335" s="182"/>
      <c r="AZ335" s="98"/>
      <c r="BA335" s="182"/>
      <c r="BB335" s="98"/>
      <c r="BC335" s="182"/>
      <c r="BD335" s="98"/>
      <c r="BE335" s="182"/>
      <c r="BF335" s="98"/>
      <c r="BG335" s="182"/>
      <c r="BH335" s="98"/>
      <c r="BI335" s="182"/>
      <c r="BJ335" s="98"/>
      <c r="BK335" s="182"/>
      <c r="BL335" s="98"/>
      <c r="BM335" s="182"/>
      <c r="BN335" s="98"/>
      <c r="BO335" s="182"/>
      <c r="BP335" s="98"/>
      <c r="BQ335" s="182"/>
      <c r="BR335" s="98"/>
      <c r="BS335" s="182"/>
      <c r="BT335" s="98"/>
      <c r="BU335" s="182"/>
      <c r="BV335" s="98"/>
      <c r="BW335" s="182"/>
      <c r="BX335" s="98"/>
      <c r="BY335" s="182"/>
      <c r="BZ335" s="98"/>
      <c r="CA335" s="182"/>
      <c r="CB335" s="98"/>
      <c r="CC335" s="182"/>
      <c r="CD335" s="98"/>
      <c r="CE335" s="182"/>
      <c r="CF335" s="98"/>
      <c r="CG335" s="182"/>
      <c r="CH335" s="98"/>
      <c r="CI335" s="182"/>
      <c r="CJ335" s="98"/>
      <c r="CK335" s="182"/>
      <c r="CL335" s="98"/>
      <c r="CM335" s="221">
        <v>0</v>
      </c>
      <c r="CN335" s="98" t="str">
        <f>IF(ISERROR((CM335/#REF!-1)*100),"NA",IF(((CM335/#REF!-1)*100)&gt;100,"NM",IF(((CM335/#REF!-1)*100)&lt;-50,"NM",(CM335/#REF!-1)*100)))</f>
        <v>NA</v>
      </c>
      <c r="CO335" s="221">
        <v>0</v>
      </c>
      <c r="CP335" s="98" t="str">
        <f>IF(ISERROR((CO335/#REF!-1)*100),"NA",IF(((CO335/#REF!-1)*100)&gt;100,"NM",IF(((CO335/#REF!-1)*100)&lt;-50,"NM",(CO335/#REF!-1)*100)))</f>
        <v>NA</v>
      </c>
      <c r="CQ335" s="556">
        <v>0</v>
      </c>
      <c r="CR335" s="98" t="str">
        <f>IF(ISERROR((CQ335/#REF!-1)*100),"NA",IF(((CQ335/#REF!-1)*100)&gt;100,"NM",IF(((CQ335/#REF!-1)*100)&lt;-50,"NM",(CQ335/#REF!-1)*100)))</f>
        <v>NA</v>
      </c>
      <c r="CS335" s="221">
        <v>0</v>
      </c>
      <c r="CT335" s="98" t="str">
        <f>IF(ISERROR((CS335/#REF!-1)*100),"NA",IF(((CS335/#REF!-1)*100)&gt;100,"NM",IF(((CS335/#REF!-1)*100)&lt;-50,"NM",(CS335/#REF!-1)*100)))</f>
        <v>NA</v>
      </c>
      <c r="CU335" s="221">
        <v>0</v>
      </c>
      <c r="CV335" s="98" t="str">
        <f>IF(ISERROR((CU335/#REF!-1)*100),"NA",IF(((CU335/#REF!-1)*100)&gt;100,"NM",IF(((CU335/#REF!-1)*100)&lt;-50,"NM",(CU335/#REF!-1)*100)))</f>
        <v>NA</v>
      </c>
      <c r="CW335" s="221">
        <v>0</v>
      </c>
      <c r="CX335" s="98" t="str">
        <f>IF(ISERROR((CW335/#REF!-1)*100),"NA",IF(((CW335/#REF!-1)*100)&gt;100,"NM",IF(((CW335/#REF!-1)*100)&lt;-50,"NM",(CW335/#REF!-1)*100)))</f>
        <v>NA</v>
      </c>
      <c r="CY335" s="221">
        <v>0</v>
      </c>
      <c r="CZ335" s="98" t="str">
        <f>IF(ISERROR((CY335/#REF!-1)*100),"NA",IF(((CY335/#REF!-1)*100)&gt;100,"NM",IF(((CY335/#REF!-1)*100)&lt;-50,"NM",(CY335/#REF!-1)*100)))</f>
        <v>NA</v>
      </c>
      <c r="DA335" s="221">
        <v>0</v>
      </c>
      <c r="DB335" s="98" t="str">
        <f>IF(ISERROR((DA335/#REF!-1)*100),"NA",IF(((DA335/#REF!-1)*100)&gt;100,"NM",IF(((DA335/#REF!-1)*100)&lt;-50,"NM",(DA335/#REF!-1)*100)))</f>
        <v>NA</v>
      </c>
      <c r="DC335" s="221">
        <v>0</v>
      </c>
      <c r="DD335" s="98" t="str">
        <f>IF(ISERROR((DC335/#REF!-1)*100),"NA",IF(((DC335/#REF!-1)*100)&gt;100,"NM",IF(((DC335/#REF!-1)*100)&lt;-50,"NM",(DC335/#REF!-1)*100)))</f>
        <v>NA</v>
      </c>
      <c r="DE335" s="221">
        <v>0</v>
      </c>
      <c r="DF335" s="98" t="str">
        <f>IF(ISERROR((DE335/#REF!-1)*100),"NA",IF(((DE335/#REF!-1)*100)&gt;100,"NM",IF(((DE335/#REF!-1)*100)&lt;-50,"NM",(DE335/#REF!-1)*100)))</f>
        <v>NA</v>
      </c>
      <c r="DG335" s="221">
        <v>0</v>
      </c>
      <c r="DH335" s="98" t="str">
        <f>IF(ISERROR((DG335/#REF!-1)*100),"NA",IF(((DG335/#REF!-1)*100)&gt;100,"NM",IF(((DG335/#REF!-1)*100)&lt;-50,"NM",(DG335/#REF!-1)*100)))</f>
        <v>NA</v>
      </c>
      <c r="DI335" s="221">
        <v>0</v>
      </c>
      <c r="DJ335" s="98" t="str">
        <f>IF(ISERROR((DI335/#REF!-1)*100),"NA",IF(((DI335/#REF!-1)*100)&gt;100,"NM",IF(((DI335/#REF!-1)*100)&lt;-50,"NM",(DI335/#REF!-1)*100)))</f>
        <v>NA</v>
      </c>
      <c r="DK335" s="221">
        <v>0</v>
      </c>
      <c r="DL335" s="98" t="str">
        <f>IF(ISERROR((DK335/#REF!-1)*100),"NA",IF(((DK335/#REF!-1)*100)&gt;100,"NM",IF(((DK335/#REF!-1)*100)&lt;-50,"NM",(DK335/#REF!-1)*100)))</f>
        <v>NA</v>
      </c>
      <c r="DM335" s="221">
        <v>0</v>
      </c>
      <c r="DN335" s="98" t="str">
        <f>IF(ISERROR((DM335/#REF!-1)*100),"NA",IF(((DM335/#REF!-1)*100)&gt;100,"NM",IF(((DM335/#REF!-1)*100)&lt;-50,"NM",(DM335/#REF!-1)*100)))</f>
        <v>NA</v>
      </c>
      <c r="DO335" s="221">
        <v>0</v>
      </c>
      <c r="DP335" s="98" t="str">
        <f>IF(ISERROR((DO335/#REF!-1)*100),"NA",IF(((DO335/#REF!-1)*100)&gt;100,"NM",IF(((DO335/#REF!-1)*100)&lt;-50,"NM",(DO335/#REF!-1)*100)))</f>
        <v>NA</v>
      </c>
      <c r="DQ335" s="221">
        <v>0</v>
      </c>
      <c r="DR335" s="98" t="str">
        <f>IF(ISERROR((DQ335/#REF!-1)*100),"NA",IF(((DQ335/#REF!-1)*100)&gt;100,"NM",IF(((DQ335/#REF!-1)*100)&lt;-50,"NM",(DQ335/#REF!-1)*100)))</f>
        <v>NA</v>
      </c>
      <c r="DS335" s="221">
        <v>0</v>
      </c>
      <c r="DT335" s="98" t="str">
        <f>IF(ISERROR((DS335/#REF!-1)*100),"NA",IF(((DS335/#REF!-1)*100)&gt;100,"NM",IF(((DS335/#REF!-1)*100)&lt;-50,"NM",(DS335/#REF!-1)*100)))</f>
        <v>NA</v>
      </c>
      <c r="DU335" s="221">
        <v>0</v>
      </c>
      <c r="DV335" s="98" t="str">
        <f>IF(ISERROR((DU335/#REF!-1)*100),"NA",IF(((DU335/#REF!-1)*100)&gt;100,"NM",IF(((DU335/#REF!-1)*100)&lt;-50,"NM",(DU335/#REF!-1)*100)))</f>
        <v>NA</v>
      </c>
      <c r="DW335" s="221">
        <v>0</v>
      </c>
      <c r="DX335" s="98" t="str">
        <f>IF(ISERROR((DW335/#REF!-1)*100),"NA",IF(((DW335/#REF!-1)*100)&gt;100,"NM",IF(((DW335/#REF!-1)*100)&lt;-50,"NM",(DW335/#REF!-1)*100)))</f>
        <v>NA</v>
      </c>
      <c r="DY335" s="221">
        <v>0</v>
      </c>
      <c r="DZ335" s="98" t="str">
        <f>IF(ISERROR((DY335/#REF!-1)*100),"NA",IF(((DY335/#REF!-1)*100)&gt;100,"NM",IF(((DY335/#REF!-1)*100)&lt;-50,"NM",(DY335/#REF!-1)*100)))</f>
        <v>NA</v>
      </c>
      <c r="EA335" s="221">
        <v>0</v>
      </c>
      <c r="EB335" s="98" t="str">
        <f>IF(ISERROR((EA335/#REF!-1)*100),"NA",IF(((EA335/#REF!-1)*100)&gt;100,"NM",IF(((EA335/#REF!-1)*100)&lt;-50,"NM",(EA335/#REF!-1)*100)))</f>
        <v>NA</v>
      </c>
      <c r="EC335" s="221">
        <v>0</v>
      </c>
      <c r="ED335" s="98" t="str">
        <f>IF(ISERROR((EC335/#REF!-1)*100),"NA",IF(((EC335/#REF!-1)*100)&gt;100,"NM",IF(((EC335/#REF!-1)*100)&lt;-50,"NM",(EC335/#REF!-1)*100)))</f>
        <v>NA</v>
      </c>
      <c r="EE335" s="221">
        <v>0</v>
      </c>
      <c r="EF335" s="860" t="str">
        <f>IF(ISERROR((EE335/#REF!-1)*100),"NA",IF(((EE335/#REF!-1)*100)&gt;100,"NM",IF(((EE335/#REF!-1)*100)&lt;-50,"NM",(EE335/#REF!-1)*100)))</f>
        <v>NA</v>
      </c>
      <c r="EG335" s="221">
        <v>0</v>
      </c>
      <c r="EH335" s="860" t="str">
        <f>IF(ISERROR((EG335/#REF!-1)*100),"NA",IF(((EG335/#REF!-1)*100)&gt;100,"NM",IF(((EG335/#REF!-1)*100)&lt;-50,"NM",(EG335/#REF!-1)*100)))</f>
        <v>NA</v>
      </c>
      <c r="EI335" s="221">
        <v>0</v>
      </c>
      <c r="EJ335" s="860" t="str">
        <f>IF(ISERROR((EI335/#REF!-1)*100),"NA",IF(((EI335/#REF!-1)*100)&gt;100,"NM",IF(((EI335/#REF!-1)*100)&lt;-50,"NM",(EI335/#REF!-1)*100)))</f>
        <v>NA</v>
      </c>
      <c r="EK335" s="221">
        <v>0</v>
      </c>
      <c r="EL335" s="860" t="str">
        <f>IF(ISERROR((EK335/#REF!-1)*100),"NA",IF(((EK335/#REF!-1)*100)&gt;100,"NM",IF(((EK335/#REF!-1)*100)&lt;-50,"NM",(EK335/#REF!-1)*100)))</f>
        <v>NA</v>
      </c>
      <c r="EM335" s="221">
        <v>0</v>
      </c>
      <c r="EN335" s="860" t="str">
        <f>IF(ISERROR((EM335/#REF!-1)*100),"NA",IF(((EM335/#REF!-1)*100)&gt;100,"NM",IF(((EM335/#REF!-1)*100)&lt;-50,"NM",(EM335/#REF!-1)*100)))</f>
        <v>NA</v>
      </c>
      <c r="EO335" s="221">
        <v>0</v>
      </c>
      <c r="EP335" s="98" t="str">
        <f>IF(ISERROR((EO335/#REF!-1)*100),"NA",IF(((EO335/#REF!-1)*100)&gt;100,"NM",IF(((EO335/#REF!-1)*100)&lt;-50,"NM",(EO335/#REF!-1)*100)))</f>
        <v>NA</v>
      </c>
      <c r="EQ335" s="952">
        <v>0</v>
      </c>
      <c r="ER335" s="98" t="str">
        <f>IF(ISERROR((EQ335/#REF!-1)*100),"NA",IF(((EQ335/#REF!-1)*100)&gt;100,"NM",IF(((EQ335/#REF!-1)*100)&lt;-50,"NM",(EQ335/#REF!-1)*100)))</f>
        <v>NA</v>
      </c>
      <c r="ES335" s="952">
        <v>0</v>
      </c>
      <c r="ET335" s="98" t="str">
        <f>IF(ISERROR((ES335/#REF!-1)*100),"NA",IF(((ES335/#REF!-1)*100)&gt;100,"NM",IF(((ES335/#REF!-1)*100)&lt;-50,"NM",(ES335/#REF!-1)*100)))</f>
        <v>NA</v>
      </c>
      <c r="EU335" s="952">
        <v>0</v>
      </c>
      <c r="EV335" s="98" t="str">
        <f>IF(ISERROR((EU335/#REF!-1)*100),"NA",IF(((EU335/#REF!-1)*100)&gt;100,"NM",IF(((EU335/#REF!-1)*100)&lt;-50,"NM",(EU335/#REF!-1)*100)))</f>
        <v>NA</v>
      </c>
      <c r="EW335" s="952">
        <v>0</v>
      </c>
      <c r="EX335" s="98" t="str">
        <f>IF(ISERROR((EW335/#REF!-1)*100),"NA",IF(((EW335/#REF!-1)*100)&gt;100,"NM",IF(((EW335/#REF!-1)*100)&lt;-50,"NM",(EW335/#REF!-1)*100)))</f>
        <v>NA</v>
      </c>
      <c r="EY335" s="282"/>
      <c r="EZ335" s="594"/>
      <c r="FA335" s="405"/>
      <c r="FB335" s="279"/>
      <c r="FC335" s="98"/>
      <c r="FD335" s="278"/>
      <c r="FE335" s="98"/>
      <c r="FF335" s="279"/>
      <c r="FG335" s="98"/>
      <c r="FH335" s="279"/>
      <c r="FI335" s="98"/>
      <c r="FJ335" s="282"/>
      <c r="FK335" s="98"/>
      <c r="FL335" s="282"/>
      <c r="FM335" s="98"/>
      <c r="FN335" s="282"/>
      <c r="FO335" s="98"/>
      <c r="FP335" s="282"/>
      <c r="FQ335" s="98"/>
      <c r="FR335" s="283"/>
      <c r="FS335" s="120"/>
      <c r="FT335" s="283"/>
      <c r="FU335" s="120"/>
      <c r="FV335" s="283"/>
      <c r="FW335" s="98"/>
      <c r="FX335" s="520"/>
      <c r="FY335" s="98"/>
      <c r="FZ335" s="283"/>
      <c r="GA335" s="98"/>
      <c r="GB335" s="485">
        <f>CM335+CO335+CQ335+CS335</f>
        <v>0</v>
      </c>
      <c r="GC335" s="98" t="str">
        <f>IF(ISERROR((GB335/#REF!-1)*100),"NA",IF(((GB335/#REF!-1)*100)&gt;100,"NM",IF(((GB335/#REF!-1)*100)&lt;-50,"NM",(GB335/#REF!-1)*100)))</f>
        <v>NA</v>
      </c>
      <c r="GD335" s="119">
        <f>CU335+CW335+CY335+DA335</f>
        <v>0</v>
      </c>
      <c r="GE335" s="98" t="str">
        <f>IF(ISERROR((GD335/#REF!-1)*100),"NA",IF(((GD335/#REF!-1)*100)&gt;100,"NM",IF(((GD335/#REF!-1)*100)&lt;-50,"NM",(GD335/#REF!-1)*100)))</f>
        <v>NA</v>
      </c>
      <c r="GF335" s="119">
        <f>DC335+DE335+DG335+DI335</f>
        <v>0</v>
      </c>
      <c r="GG335" s="98" t="str">
        <f>IF(ISERROR((GF335/#REF!-1)*100),"NA",IF(((GF335/#REF!-1)*100)&gt;100,"NM",IF(((GF335/#REF!-1)*100)&lt;-50,"NM",(GF335/#REF!-1)*100)))</f>
        <v>NA</v>
      </c>
      <c r="GH335" s="119">
        <f>DK335+DM335+DO335+DQ335</f>
        <v>0</v>
      </c>
      <c r="GI335" s="98" t="str">
        <f>IF(ISERROR((GH335/#REF!-1)*100),"NA",IF(((GH335/#REF!-1)*100)&gt;100,"NM",IF(((GH335/#REF!-1)*100)&lt;-50,"NM",(GH335/#REF!-1)*100)))</f>
        <v>NA</v>
      </c>
      <c r="GJ335" s="119">
        <f>DS335+DU335+DW335+DY335</f>
        <v>0</v>
      </c>
      <c r="GK335" s="98" t="str">
        <f>IF(ISERROR((GJ335/#REF!-1)*100),"NA",IF(((GJ335/#REF!-1)*100)&gt;100,"NM",IF(((GJ335/#REF!-1)*100)&lt;-50,"NM",(GJ335/#REF!-1)*100)))</f>
        <v>NA</v>
      </c>
      <c r="GL335" s="119">
        <f>EA335+EC335+EE335+EG335</f>
        <v>0</v>
      </c>
      <c r="GM335" s="98" t="str">
        <f>IF(ISERROR((GL335/#REF!-1)*100),"NA",IF(((GL335/#REF!-1)*100)&gt;100,"NM",IF(((GL335/#REF!-1)*100)&lt;-50,"NM",(GL335/#REF!-1)*100)))</f>
        <v>NA</v>
      </c>
      <c r="GN335" s="119">
        <f>EI335+EK335+EM335+EO335</f>
        <v>0</v>
      </c>
      <c r="GO335" s="98" t="str">
        <f>IF(ISERROR((GN335/#REF!-1)*100),"NA",IF(((GN335/#REF!-1)*100)&gt;100,"NM",IF(((GN335/#REF!-1)*100)&lt;-50,"NM",(GN335/#REF!-1)*100)))</f>
        <v>NA</v>
      </c>
      <c r="GP335" s="119">
        <f>EQ335+ES335+EU335+EW335</f>
        <v>0</v>
      </c>
      <c r="GQ335" s="98" t="str">
        <f>IF(ISERROR((GP335/#REF!-1)*100),"NA",IF(((GP335/#REF!-1)*100)&gt;100,"NM",IF(((GP335/#REF!-1)*100)&lt;-50,"NM",(GP335/#REF!-1)*100)))</f>
        <v>NA</v>
      </c>
      <c r="GR335" s="121">
        <v>0</v>
      </c>
      <c r="GS335" s="98" t="str">
        <f>IF(ISERROR((GR335/#REF!-1)*100),"NA",IF(((GR335/#REF!-1)*100)&gt;100,"NM",IF(((GR335/#REF!-1)*100)&lt;-50,"NM",(GR335/#REF!-1)*100)))</f>
        <v>NA</v>
      </c>
      <c r="GT335" s="121">
        <v>0</v>
      </c>
      <c r="GU335" s="98" t="str">
        <f>IF(ISERROR((GT335/#REF!-1)*100),"NA",IF(((GT335/#REF!-1)*100)&gt;100,"NM",IF(((GT335/#REF!-1)*100)&lt;-50,"NM",(GT335/#REF!-1)*100)))</f>
        <v>NA</v>
      </c>
      <c r="GV335" s="121">
        <v>0</v>
      </c>
      <c r="GW335" s="98" t="str">
        <f>IF(ISERROR((GV335/#REF!-1)*100),"NA",IF(((GV335/#REF!-1)*100)&gt;100,"NM",IF(((GV335/#REF!-1)*100)&lt;-50,"NM",(GV335/#REF!-1)*100)))</f>
        <v>NA</v>
      </c>
      <c r="GX335" s="121">
        <v>0</v>
      </c>
      <c r="GY335" s="98" t="str">
        <f>IF(ISERROR((GX335/#REF!-1)*100),"NA",IF(((GX335/#REF!-1)*100)&gt;100,"NM",IF(((GX335/#REF!-1)*100)&lt;-50,"NM",(GX335/#REF!-1)*100)))</f>
        <v>NA</v>
      </c>
      <c r="GZ335" s="98" t="str">
        <f t="shared" si="1712"/>
        <v>NA</v>
      </c>
      <c r="HA335" s="98"/>
      <c r="HB335" s="10"/>
      <c r="HC335"/>
      <c r="HD335"/>
      <c r="HE335"/>
      <c r="HF335"/>
      <c r="HG335"/>
      <c r="HH335"/>
      <c r="HI335" s="10"/>
    </row>
    <row r="336" spans="2:217" s="2" customFormat="1" ht="12.75" customHeight="1" collapsed="1" x14ac:dyDescent="0.2">
      <c r="B336" s="102" t="s">
        <v>60</v>
      </c>
      <c r="C336" s="117"/>
      <c r="D336" s="98"/>
      <c r="E336" s="117"/>
      <c r="F336" s="98"/>
      <c r="G336" s="117"/>
      <c r="H336" s="98"/>
      <c r="I336" s="117"/>
      <c r="J336" s="98"/>
      <c r="K336" s="117"/>
      <c r="L336" s="98"/>
      <c r="M336" s="117"/>
      <c r="N336" s="98"/>
      <c r="O336" s="117"/>
      <c r="P336" s="98"/>
      <c r="Q336" s="117"/>
      <c r="R336" s="98"/>
      <c r="S336" s="182"/>
      <c r="T336" s="98"/>
      <c r="U336" s="182"/>
      <c r="V336" s="98"/>
      <c r="W336" s="182"/>
      <c r="X336" s="98"/>
      <c r="Y336" s="182"/>
      <c r="Z336" s="98"/>
      <c r="AA336" s="182"/>
      <c r="AB336" s="98"/>
      <c r="AC336" s="182"/>
      <c r="AD336" s="98"/>
      <c r="AE336" s="182"/>
      <c r="AF336" s="98"/>
      <c r="AG336" s="182"/>
      <c r="AH336" s="98"/>
      <c r="AI336" s="182"/>
      <c r="AJ336" s="98"/>
      <c r="AK336" s="182"/>
      <c r="AL336" s="98"/>
      <c r="AM336" s="182"/>
      <c r="AN336" s="98"/>
      <c r="AO336" s="182"/>
      <c r="AP336" s="98"/>
      <c r="AQ336" s="182"/>
      <c r="AR336" s="98"/>
      <c r="AS336" s="182"/>
      <c r="AT336" s="98"/>
      <c r="AU336" s="182"/>
      <c r="AV336" s="98"/>
      <c r="AW336" s="182"/>
      <c r="AX336" s="98"/>
      <c r="AY336" s="182"/>
      <c r="AZ336" s="98"/>
      <c r="BA336" s="182"/>
      <c r="BB336" s="98"/>
      <c r="BC336" s="182"/>
      <c r="BD336" s="98"/>
      <c r="BE336" s="182"/>
      <c r="BF336" s="98"/>
      <c r="BG336" s="182"/>
      <c r="BH336" s="98"/>
      <c r="BI336" s="182"/>
      <c r="BJ336" s="98"/>
      <c r="BK336" s="182"/>
      <c r="BL336" s="98"/>
      <c r="BM336" s="182"/>
      <c r="BN336" s="98"/>
      <c r="BO336" s="182"/>
      <c r="BP336" s="98"/>
      <c r="BQ336" s="182"/>
      <c r="BR336" s="98"/>
      <c r="BS336" s="182"/>
      <c r="BT336" s="98"/>
      <c r="BU336" s="182"/>
      <c r="BV336" s="98"/>
      <c r="BW336" s="182"/>
      <c r="BX336" s="98"/>
      <c r="BY336" s="182"/>
      <c r="BZ336" s="98"/>
      <c r="CA336" s="182"/>
      <c r="CB336" s="98"/>
      <c r="CC336" s="182"/>
      <c r="CD336" s="98"/>
      <c r="CE336" s="182"/>
      <c r="CF336" s="98"/>
      <c r="CG336" s="182"/>
      <c r="CH336" s="98"/>
      <c r="CI336" s="182"/>
      <c r="CJ336" s="98"/>
      <c r="CK336" s="182"/>
      <c r="CL336" s="98"/>
      <c r="CM336" s="221">
        <v>0</v>
      </c>
      <c r="CN336" s="98" t="str">
        <f>IF(ISERROR((CM336/CE336-1)*100),"NA",IF(((CM336/CE336-1)*100)&gt;100,"NM",IF(((CM336/CE336-1)*100)&lt;-50,"NM",(CM336/CE336-1)*100)))</f>
        <v>NA</v>
      </c>
      <c r="CO336" s="221">
        <v>-6</v>
      </c>
      <c r="CP336" s="98" t="str">
        <f>IF(ISERROR((CO336/CG336-1)*100),"NA",IF(((CO336/CG336-1)*100)&gt;100,"NM",IF(((CO336/CG336-1)*100)&lt;-50,"NM",(CO336/CG336-1)*100)))</f>
        <v>NA</v>
      </c>
      <c r="CQ336" s="556">
        <v>-26</v>
      </c>
      <c r="CR336" s="98" t="str">
        <f>IF(ISERROR((CQ336/CI336-1)*100),"NA",IF(((CQ336/CI336-1)*100)&gt;100,"NM",IF(((CQ336/CI336-1)*100)&lt;-50,"NM",(CQ336/CI336-1)*100)))</f>
        <v>NA</v>
      </c>
      <c r="CS336" s="221">
        <v>0</v>
      </c>
      <c r="CT336" s="98" t="str">
        <f>IF(ISERROR((CS336/CK336-1)*100),"NA",IF(((CS336/CK336-1)*100)&gt;100,"NM",IF(((CS336/CK336-1)*100)&lt;-50,"NM",(CS336/CK336-1)*100)))</f>
        <v>NA</v>
      </c>
      <c r="CU336" s="221">
        <v>0</v>
      </c>
      <c r="CV336" s="98" t="str">
        <f>IF(ISERROR((CU336/CM336-1)*100),"NA",IF(((CU336/CM336-1)*100)&gt;100,"NM",IF(((CU336/CM336-1)*100)&lt;-50,"NM",(CU336/CM336-1)*100)))</f>
        <v>NA</v>
      </c>
      <c r="CW336" s="221">
        <v>0</v>
      </c>
      <c r="CX336" s="98" t="str">
        <f>IF(ISERROR((CW336/CO336-1)*100),"NA",IF(((CW336/CO336-1)*100)&gt;100,"NM",IF(((CW336/CO336-1)*100)&lt;-50,"NM",(CW336/CO336-1)*100)))</f>
        <v>NM</v>
      </c>
      <c r="CY336" s="221">
        <v>0</v>
      </c>
      <c r="CZ336" s="98" t="str">
        <f>IF(ISERROR((CY336/CQ336-1)*100),"NA",IF(((CY336/CQ336-1)*100)&gt;100,"NM",IF(((CY336/CQ336-1)*100)&lt;-50,"NM",(CY336/CQ336-1)*100)))</f>
        <v>NM</v>
      </c>
      <c r="DA336" s="221">
        <v>0</v>
      </c>
      <c r="DB336" s="98" t="str">
        <f>IF(ISERROR((DA336/CS336-1)*100),"NA",IF(((DA336/CS336-1)*100)&gt;100,"NM",IF(((DA336/CS336-1)*100)&lt;-50,"NM",(DA336/CS336-1)*100)))</f>
        <v>NA</v>
      </c>
      <c r="DC336" s="221">
        <v>0</v>
      </c>
      <c r="DD336" s="98" t="str">
        <f>IF(ISERROR((DC336/CU336-1)*100),"NA",IF(((DC336/CU336-1)*100)&gt;100,"NM",IF(((DC336/CU336-1)*100)&lt;-50,"NM",(DC336/CU336-1)*100)))</f>
        <v>NA</v>
      </c>
      <c r="DE336" s="221">
        <v>0</v>
      </c>
      <c r="DF336" s="98" t="str">
        <f>IF(ISERROR((DE336/CW336-1)*100),"NA",IF(((DE336/CW336-1)*100)&gt;100,"NM",IF(((DE336/CW336-1)*100)&lt;-50,"NM",(DE336/CW336-1)*100)))</f>
        <v>NA</v>
      </c>
      <c r="DG336" s="221">
        <v>7</v>
      </c>
      <c r="DH336" s="98" t="str">
        <f>IF(ISERROR((DG336/CY336-1)*100),"NA",IF(((DG336/CY336-1)*100)&gt;100,"NM",IF(((DG336/CY336-1)*100)&lt;-50,"NM",(DG336/CY336-1)*100)))</f>
        <v>NA</v>
      </c>
      <c r="DI336" s="221">
        <v>0</v>
      </c>
      <c r="DJ336" s="98" t="str">
        <f>IF(ISERROR((DI336/DA336-1)*100),"NA",IF(((DI336/DA336-1)*100)&gt;100,"NM",IF(((DI336/DA336-1)*100)&lt;-50,"NM",(DI336/DA336-1)*100)))</f>
        <v>NA</v>
      </c>
      <c r="DK336" s="221">
        <v>0</v>
      </c>
      <c r="DL336" s="98" t="str">
        <f>IF(ISERROR((DK336/DC336-1)*100),"NA",IF(((DK336/DC336-1)*100)&gt;100,"NM",IF(((DK336/DC336-1)*100)&lt;-50,"NM",(DK336/DC336-1)*100)))</f>
        <v>NA</v>
      </c>
      <c r="DM336" s="221">
        <v>0</v>
      </c>
      <c r="DN336" s="98" t="str">
        <f>IF(ISERROR((DM336/DE336-1)*100),"NA",IF(((DM336/DE336-1)*100)&gt;100,"NM",IF(((DM336/DE336-1)*100)&lt;-50,"NM",(DM336/DE336-1)*100)))</f>
        <v>NA</v>
      </c>
      <c r="DO336" s="221">
        <v>-41</v>
      </c>
      <c r="DP336" s="98" t="str">
        <f>IF(ISERROR((DO336/DG336-1)*100),"NA",IF(((DO336/DG336-1)*100)&gt;100,"NM",IF(((DO336/DG336-1)*100)&lt;-50,"NM",(DO336/DG336-1)*100)))</f>
        <v>NM</v>
      </c>
      <c r="DQ336" s="221">
        <v>13</v>
      </c>
      <c r="DR336" s="98" t="str">
        <f>IF(ISERROR((DQ336/DI336-1)*100),"NA",IF(((DQ336/DI336-1)*100)&gt;100,"NM",IF(((DQ336/DI336-1)*100)&lt;-50,"NM",(DQ336/DI336-1)*100)))</f>
        <v>NA</v>
      </c>
      <c r="DS336" s="1004">
        <v>0</v>
      </c>
      <c r="DT336" s="860" t="str">
        <f>IF(ISERROR((DS336/DK336-1)*100),"NA",IF(((DS336/DK336-1)*100)&gt;100,"NM",IF(((DS336/DK336-1)*100)&lt;-50,"NM",(DS336/DK336-1)*100)))</f>
        <v>NA</v>
      </c>
      <c r="DU336" s="1004">
        <v>0</v>
      </c>
      <c r="DV336" s="860" t="str">
        <f>IF(ISERROR((DU336/DM336-1)*100),"NA",IF(((DU336/DM336-1)*100)&gt;100,"NM",IF(((DU336/DM336-1)*100)&lt;-50,"NM",(DU336/DM336-1)*100)))</f>
        <v>NA</v>
      </c>
      <c r="DW336" s="1004">
        <f>-2+60</f>
        <v>58</v>
      </c>
      <c r="DX336" s="860" t="str">
        <f>IF(ISERROR((DW336/DO336-1)*100),"NA",IF(((DW336/DO336-1)*100)&gt;100,"NM",IF(((DW336/DO336-1)*100)&lt;-50,"NM",(DW336/DO336-1)*100)))</f>
        <v>NM</v>
      </c>
      <c r="DY336" s="1004">
        <f>-3+31</f>
        <v>28</v>
      </c>
      <c r="DZ336" s="860" t="str">
        <f>IF(ISERROR((DY336/DQ336-1)*100),"NA",IF(((DY336/DQ336-1)*100)&gt;100,"NM",IF(((DY336/DQ336-1)*100)&lt;-50,"NM",(DY336/DQ336-1)*100)))</f>
        <v>NM</v>
      </c>
      <c r="EA336" s="951">
        <f>-3-10</f>
        <v>-13</v>
      </c>
      <c r="EB336" s="860" t="str">
        <f>IF(ISERROR((EA336/DS336-1)*100),"NA",IF(((EA336/DS336-1)*100)&gt;100,"NM",IF(((EA336/DS336-1)*100)&lt;-50,"NM",(EA336/DS336-1)*100)))</f>
        <v>NA</v>
      </c>
      <c r="EC336" s="951">
        <v>-2</v>
      </c>
      <c r="ED336" s="98" t="str">
        <f>IF(ISERROR((EC336/DU336-1)*100),"NA",IF(((EC336/DU336-1)*100)&gt;100,"NM",IF(((EC336/DU336-1)*100)&lt;-50,"NM",(EC336/DU336-1)*100)))</f>
        <v>NA</v>
      </c>
      <c r="EE336" s="951">
        <f>-1+8</f>
        <v>7</v>
      </c>
      <c r="EF336" s="860" t="str">
        <f>IF(ISERROR((EE336/DW336-1)*100),"NA",IF(((EE336/DW336-1)*100)&gt;100,"NM",IF(((EE336/DW336-1)*100)&lt;-50,"NM",(EE336/DW336-1)*100)))</f>
        <v>NM</v>
      </c>
      <c r="EG336" s="951">
        <v>0</v>
      </c>
      <c r="EH336" s="860" t="str">
        <f>IF(ISERROR((EG336/DY336-1)*100),"NA",IF(((EG336/DY336-1)*100)&gt;100,"NM",IF(((EG336/DY336-1)*100)&lt;-50,"NM",(EG336/DY336-1)*100)))</f>
        <v>NM</v>
      </c>
      <c r="EI336" s="951">
        <v>-1</v>
      </c>
      <c r="EJ336" s="860" t="str">
        <f t="shared" ref="EJ336:EJ338" si="1724">IF(ISERROR((EI336/EA336-1)*100),"NA",IF(((EI336/EA336-1)*100)&gt;100,"NM",IF(((EI336/EA336-1)*100)&lt;-50,"NM",(EI336/EA336-1)*100)))</f>
        <v>NM</v>
      </c>
      <c r="EK336" s="951">
        <v>0</v>
      </c>
      <c r="EL336" s="860" t="str">
        <f t="shared" ref="EL336:EL338" si="1725">IF(ISERROR((EK336/EC336-1)*100),"NA",IF(((EK336/EC336-1)*100)&gt;100,"NM",IF(((EK336/EC336-1)*100)&lt;-50,"NM",(EK336/EC336-1)*100)))</f>
        <v>NM</v>
      </c>
      <c r="EM336" s="951">
        <v>15</v>
      </c>
      <c r="EN336" s="860" t="str">
        <f t="shared" ref="EN336:EN338" si="1726">IF(ISERROR((EM336/EE336-1)*100),"NA",IF(((EM336/EE336-1)*100)&gt;100,"NM",IF(((EM336/EE336-1)*100)&lt;-50,"NM",(EM336/EE336-1)*100)))</f>
        <v>NM</v>
      </c>
      <c r="EO336" s="951">
        <v>0</v>
      </c>
      <c r="EP336" s="98" t="str">
        <f t="shared" ref="EP336:EP338" si="1727">IF(ISERROR((EO336/EG336-1)*100),"NA",IF(((EO336/EG336-1)*100)&gt;100,"NM",IF(((EO336/EG336-1)*100)&lt;-50,"NM",(EO336/EG336-1)*100)))</f>
        <v>NA</v>
      </c>
      <c r="EQ336" s="1030">
        <v>0</v>
      </c>
      <c r="ER336" s="98" t="str">
        <f t="shared" ref="ER336:ER338" si="1728">IF(ISERROR((EQ336/EI336-1)*100),"NA",IF(((EQ336/EI336-1)*100)&gt;100,"NM",IF(((EQ336/EI336-1)*100)&lt;-50,"NM",(EQ336/EI336-1)*100)))</f>
        <v>NM</v>
      </c>
      <c r="ES336" s="1030">
        <v>0</v>
      </c>
      <c r="ET336" s="98" t="str">
        <f t="shared" ref="ET336:ET338" si="1729">IF(ISERROR((ES336/EK336-1)*100),"NA",IF(((ES336/EK336-1)*100)&gt;100,"NM",IF(((ES336/EK336-1)*100)&lt;-50,"NM",(ES336/EK336-1)*100)))</f>
        <v>NA</v>
      </c>
      <c r="EU336" s="1030">
        <v>0</v>
      </c>
      <c r="EV336" s="98" t="str">
        <f t="shared" ref="EV336:EV338" si="1730">IF(ISERROR((EU336/EM336-1)*100),"NA",IF(((EU336/EM336-1)*100)&gt;100,"NM",IF(((EU336/EM336-1)*100)&lt;-50,"NM",(EU336/EM336-1)*100)))</f>
        <v>NM</v>
      </c>
      <c r="EW336" s="1030">
        <v>0</v>
      </c>
      <c r="EX336" s="98" t="str">
        <f t="shared" ref="EX336:EX338" si="1731">IF(ISERROR((EW336/EO336-1)*100),"NA",IF(((EW336/EO336-1)*100)&gt;100,"NM",IF(((EW336/EO336-1)*100)&lt;-50,"NM",(EW336/EO336-1)*100)))</f>
        <v>NA</v>
      </c>
      <c r="EY336" s="282"/>
      <c r="EZ336" s="594"/>
      <c r="FA336" s="405"/>
      <c r="FB336" s="279"/>
      <c r="FC336" s="98"/>
      <c r="FD336" s="278"/>
      <c r="FE336" s="98"/>
      <c r="FF336" s="279"/>
      <c r="FG336" s="98"/>
      <c r="FH336" s="279"/>
      <c r="FI336" s="98"/>
      <c r="FJ336" s="282"/>
      <c r="FK336" s="98"/>
      <c r="FL336" s="282"/>
      <c r="FM336" s="98"/>
      <c r="FN336" s="282"/>
      <c r="FO336" s="98"/>
      <c r="FP336" s="282"/>
      <c r="FQ336" s="98"/>
      <c r="FR336" s="283"/>
      <c r="FS336" s="120"/>
      <c r="FT336" s="283"/>
      <c r="FU336" s="120"/>
      <c r="FV336" s="283"/>
      <c r="FW336" s="98"/>
      <c r="FX336" s="520"/>
      <c r="FY336" s="98"/>
      <c r="FZ336" s="184"/>
      <c r="GA336" s="98"/>
      <c r="GB336" s="495">
        <f>CM336+CO336+CQ336+CS336</f>
        <v>-32</v>
      </c>
      <c r="GC336" s="98" t="str">
        <f>IF(ISERROR((GB336/#REF!-1)*100),"NA",IF(((GB336/#REF!-1)*100)&gt;100,"NM",IF(((GB336/#REF!-1)*100)&lt;-50,"NM",(GB336/#REF!-1)*100)))</f>
        <v>NA</v>
      </c>
      <c r="GD336" s="160">
        <f>CU336+CW336+CY336+DA336</f>
        <v>0</v>
      </c>
      <c r="GE336" s="98" t="str">
        <f>IF(ISERROR((GD336/#REF!-1)*100),"NA",IF(((GD336/#REF!-1)*100)&gt;100,"NM",IF(((GD336/#REF!-1)*100)&lt;-50,"NM",(GD336/#REF!-1)*100)))</f>
        <v>NA</v>
      </c>
      <c r="GF336" s="160">
        <f>DC336+DE336+DG336+DI336</f>
        <v>7</v>
      </c>
      <c r="GG336" s="98" t="str">
        <f>IF(ISERROR((GF336/#REF!-1)*100),"NA",IF(((GF336/#REF!-1)*100)&gt;100,"NM",IF(((GF336/#REF!-1)*100)&lt;-50,"NM",(GF336/#REF!-1)*100)))</f>
        <v>NA</v>
      </c>
      <c r="GH336" s="160">
        <f>DK336+DM336+DO336+DQ336</f>
        <v>-28</v>
      </c>
      <c r="GI336" s="98" t="str">
        <f>IF(ISERROR((GH336/#REF!-1)*100),"NA",IF(((GH336/#REF!-1)*100)&gt;100,"NM",IF(((GH336/#REF!-1)*100)&lt;-50,"NM",(GH336/#REF!-1)*100)))</f>
        <v>NA</v>
      </c>
      <c r="GJ336" s="160">
        <f>DS336+DU336+DW336+DY336</f>
        <v>86</v>
      </c>
      <c r="GK336" s="98" t="str">
        <f>IF(ISERROR((GJ336/#REF!-1)*100),"NA",IF(((GJ336/#REF!-1)*100)&gt;100,"NM",IF(((GJ336/#REF!-1)*100)&lt;-50,"NM",(GJ336/#REF!-1)*100)))</f>
        <v>NA</v>
      </c>
      <c r="GL336" s="160">
        <f>EA336+EC336+EE336+EG336</f>
        <v>-8</v>
      </c>
      <c r="GM336" s="98" t="str">
        <f>IF(ISERROR((GL336/#REF!-1)*100),"NA",IF(((GL336/#REF!-1)*100)&gt;100,"NM",IF(((GL336/#REF!-1)*100)&lt;-50,"NM",(GL336/#REF!-1)*100)))</f>
        <v>NA</v>
      </c>
      <c r="GN336" s="160">
        <f>EI336+EK336+EM336+EO336</f>
        <v>14</v>
      </c>
      <c r="GO336" s="98" t="str">
        <f>IF(ISERROR((GN336/#REF!-1)*100),"NA",IF(((GN336/#REF!-1)*100)&gt;100,"NM",IF(((GN336/#REF!-1)*100)&lt;-50,"NM",(GN336/#REF!-1)*100)))</f>
        <v>NA</v>
      </c>
      <c r="GP336" s="160">
        <f>EQ336+ES336+EU336+EW336</f>
        <v>0</v>
      </c>
      <c r="GQ336" s="98" t="str">
        <f>IF(ISERROR((GP336/#REF!-1)*100),"NA",IF(((GP336/#REF!-1)*100)&gt;100,"NM",IF(((GP336/#REF!-1)*100)&lt;-50,"NM",(GP336/#REF!-1)*100)))</f>
        <v>NA</v>
      </c>
      <c r="GR336" s="160">
        <v>0</v>
      </c>
      <c r="GS336" s="98" t="str">
        <f>IF(ISERROR((GR336/#REF!-1)*100),"NA",IF(((GR336/#REF!-1)*100)&gt;100,"NM",IF(((GR336/#REF!-1)*100)&lt;-50,"NM",(GR336/#REF!-1)*100)))</f>
        <v>NA</v>
      </c>
      <c r="GT336" s="160">
        <v>0</v>
      </c>
      <c r="GU336" s="98" t="str">
        <f>IF(ISERROR((GT336/#REF!-1)*100),"NA",IF(((GT336/#REF!-1)*100)&gt;100,"NM",IF(((GT336/#REF!-1)*100)&lt;-50,"NM",(GT336/#REF!-1)*100)))</f>
        <v>NA</v>
      </c>
      <c r="GV336" s="160">
        <v>0</v>
      </c>
      <c r="GW336" s="98" t="str">
        <f>IF(ISERROR((GV336/#REF!-1)*100),"NA",IF(((GV336/#REF!-1)*100)&gt;100,"NM",IF(((GV336/#REF!-1)*100)&lt;-50,"NM",(GV336/#REF!-1)*100)))</f>
        <v>NA</v>
      </c>
      <c r="GX336" s="160">
        <v>0</v>
      </c>
      <c r="GY336" s="98" t="str">
        <f>IF(ISERROR((GX336/#REF!-1)*100),"NA",IF(((GX336/#REF!-1)*100)&gt;100,"NM",IF(((GX336/#REF!-1)*100)&lt;-50,"NM",(GX336/#REF!-1)*100)))</f>
        <v>NA</v>
      </c>
      <c r="GZ336" s="98" t="str">
        <f t="shared" si="1712"/>
        <v>NM</v>
      </c>
      <c r="HA336" s="98"/>
      <c r="HB336" s="10"/>
      <c r="HC336"/>
      <c r="HD336"/>
      <c r="HE336"/>
      <c r="HF336"/>
      <c r="HG336"/>
      <c r="HH336"/>
      <c r="HI336" s="10"/>
    </row>
    <row r="337" spans="2:217" s="2" customFormat="1" ht="12.75" customHeight="1" x14ac:dyDescent="0.2">
      <c r="B337" s="208" t="s">
        <v>215</v>
      </c>
      <c r="C337" s="117"/>
      <c r="D337" s="98"/>
      <c r="E337" s="117"/>
      <c r="F337" s="98"/>
      <c r="G337" s="117"/>
      <c r="H337" s="98"/>
      <c r="I337" s="117"/>
      <c r="J337" s="98"/>
      <c r="K337" s="117"/>
      <c r="L337" s="98"/>
      <c r="M337" s="117"/>
      <c r="N337" s="98"/>
      <c r="O337" s="117"/>
      <c r="P337" s="98"/>
      <c r="Q337" s="117"/>
      <c r="R337" s="98"/>
      <c r="S337" s="182"/>
      <c r="T337" s="98"/>
      <c r="U337" s="182"/>
      <c r="V337" s="98"/>
      <c r="W337" s="182"/>
      <c r="X337" s="98"/>
      <c r="Y337" s="182"/>
      <c r="Z337" s="98"/>
      <c r="AA337" s="182"/>
      <c r="AB337" s="98"/>
      <c r="AC337" s="182"/>
      <c r="AD337" s="98"/>
      <c r="AE337" s="182"/>
      <c r="AF337" s="98"/>
      <c r="AG337" s="182"/>
      <c r="AH337" s="98"/>
      <c r="AI337" s="182"/>
      <c r="AJ337" s="98"/>
      <c r="AK337" s="182"/>
      <c r="AL337" s="98"/>
      <c r="AM337" s="182"/>
      <c r="AN337" s="98"/>
      <c r="AO337" s="182"/>
      <c r="AP337" s="98"/>
      <c r="AQ337" s="182"/>
      <c r="AR337" s="98"/>
      <c r="AS337" s="182"/>
      <c r="AT337" s="98"/>
      <c r="AU337" s="182"/>
      <c r="AV337" s="98"/>
      <c r="AW337" s="182"/>
      <c r="AX337" s="98"/>
      <c r="AY337" s="182"/>
      <c r="AZ337" s="98"/>
      <c r="BA337" s="182"/>
      <c r="BB337" s="98"/>
      <c r="BC337" s="182"/>
      <c r="BD337" s="98"/>
      <c r="BE337" s="182"/>
      <c r="BF337" s="98"/>
      <c r="BG337" s="182"/>
      <c r="BH337" s="98"/>
      <c r="BI337" s="182"/>
      <c r="BJ337" s="98"/>
      <c r="BK337" s="182"/>
      <c r="BL337" s="98"/>
      <c r="BM337" s="182"/>
      <c r="BN337" s="98"/>
      <c r="BO337" s="182"/>
      <c r="BP337" s="98"/>
      <c r="BQ337" s="182"/>
      <c r="BR337" s="98"/>
      <c r="BS337" s="182"/>
      <c r="BT337" s="98"/>
      <c r="BU337" s="182"/>
      <c r="BV337" s="98"/>
      <c r="BW337" s="182"/>
      <c r="BX337" s="98"/>
      <c r="BY337" s="182"/>
      <c r="BZ337" s="98"/>
      <c r="CA337" s="182"/>
      <c r="CB337" s="98"/>
      <c r="CC337" s="182"/>
      <c r="CD337" s="98"/>
      <c r="CE337" s="182"/>
      <c r="CF337" s="98"/>
      <c r="CG337" s="182"/>
      <c r="CH337" s="98"/>
      <c r="CI337" s="182"/>
      <c r="CJ337" s="98"/>
      <c r="CK337" s="182"/>
      <c r="CL337" s="98"/>
      <c r="CM337" s="204">
        <f>CM334-CM335-CM336</f>
        <v>121</v>
      </c>
      <c r="CN337" s="98" t="str">
        <f>IF(ISERROR((CM337/CE337-1)*100),"NA",IF(((CM337/CE337-1)*100)&gt;100,"NM",IF(((CM337/CE337-1)*100)&lt;-50,"NM",(CM337/CE337-1)*100)))</f>
        <v>NA</v>
      </c>
      <c r="CO337" s="204">
        <f>CO334-CO335-CO336</f>
        <v>135</v>
      </c>
      <c r="CP337" s="98" t="str">
        <f>IF(ISERROR((CO337/CG337-1)*100),"NA",IF(((CO337/CG337-1)*100)&gt;100,"NM",IF(((CO337/CG337-1)*100)&lt;-50,"NM",(CO337/CG337-1)*100)))</f>
        <v>NA</v>
      </c>
      <c r="CQ337" s="505">
        <f>CQ334-CQ335-CQ336</f>
        <v>167</v>
      </c>
      <c r="CR337" s="98" t="str">
        <f>IF(ISERROR((CQ337/CI337-1)*100),"NA",IF(((CQ337/CI337-1)*100)&gt;100,"NM",IF(((CQ337/CI337-1)*100)&lt;-50,"NM",(CQ337/CI337-1)*100)))</f>
        <v>NA</v>
      </c>
      <c r="CS337" s="204">
        <f>CS334-CS335-CS336</f>
        <v>123</v>
      </c>
      <c r="CT337" s="98" t="str">
        <f>IF(ISERROR((CS337/CK337-1)*100),"NA",IF(((CS337/CK337-1)*100)&gt;100,"NM",IF(((CS337/CK337-1)*100)&lt;-50,"NM",(CS337/CK337-1)*100)))</f>
        <v>NA</v>
      </c>
      <c r="CU337" s="204">
        <f>CU334-CU335-CU336</f>
        <v>148</v>
      </c>
      <c r="CV337" s="98">
        <f>IF(ISERROR((CU337/CM337-1)*100),"NA",IF(((CU337/CM337-1)*100)&gt;100,"NM",IF(((CU337/CM337-1)*100)&lt;-50,"NM",(CU337/CM337-1)*100)))</f>
        <v>22.314049586776854</v>
      </c>
      <c r="CW337" s="204">
        <f>CW334-CW335-CW336</f>
        <v>135</v>
      </c>
      <c r="CX337" s="98">
        <f>IF(ISERROR((CW337/CO337-1)*100),"NA",IF(((CW337/CO337-1)*100)&gt;100,"NM",IF(((CW337/CO337-1)*100)&lt;-50,"NM",(CW337/CO337-1)*100)))</f>
        <v>0</v>
      </c>
      <c r="CY337" s="204">
        <f>CY334-CY335-CY336</f>
        <v>152</v>
      </c>
      <c r="CZ337" s="98">
        <f>IF(ISERROR((CY337/CQ337-1)*100),"NA",IF(((CY337/CQ337-1)*100)&gt;100,"NM",IF(((CY337/CQ337-1)*100)&lt;-50,"NM",(CY337/CQ337-1)*100)))</f>
        <v>-8.9820359281437163</v>
      </c>
      <c r="DA337" s="204">
        <f>DA334-DA335-DA336</f>
        <v>148</v>
      </c>
      <c r="DB337" s="98">
        <f>IF(ISERROR((DA337/CS337-1)*100),"NA",IF(((DA337/CS337-1)*100)&gt;100,"NM",IF(((DA337/CS337-1)*100)&lt;-50,"NM",(DA337/CS337-1)*100)))</f>
        <v>20.32520325203253</v>
      </c>
      <c r="DC337" s="204">
        <f>DC334-DC335-DC336</f>
        <v>143</v>
      </c>
      <c r="DD337" s="98">
        <f>IF(ISERROR((DC337/CU337-1)*100),"NA",IF(((DC337/CU337-1)*100)&gt;100,"NM",IF(((DC337/CU337-1)*100)&lt;-50,"NM",(DC337/CU337-1)*100)))</f>
        <v>-3.3783783783783772</v>
      </c>
      <c r="DE337" s="204">
        <f>DE334-DE335-DE336</f>
        <v>125</v>
      </c>
      <c r="DF337" s="98">
        <f>IF(ISERROR((DE337/CW337-1)*100),"NA",IF(((DE337/CW337-1)*100)&gt;100,"NM",IF(((DE337/CW337-1)*100)&lt;-50,"NM",(DE337/CW337-1)*100)))</f>
        <v>-7.4074074074074066</v>
      </c>
      <c r="DG337" s="204">
        <f>DG334-DG335-DG336</f>
        <v>126</v>
      </c>
      <c r="DH337" s="98">
        <f>IF(ISERROR((DG337/CY337-1)*100),"NA",IF(((DG337/CY337-1)*100)&gt;100,"NM",IF(((DG337/CY337-1)*100)&lt;-50,"NM",(DG337/CY337-1)*100)))</f>
        <v>-17.105263157894733</v>
      </c>
      <c r="DI337" s="204">
        <f>DI334-DI335-DI336</f>
        <v>173</v>
      </c>
      <c r="DJ337" s="98">
        <f>IF(ISERROR((DI337/DA337-1)*100),"NA",IF(((DI337/DA337-1)*100)&gt;100,"NM",IF(((DI337/DA337-1)*100)&lt;-50,"NM",(DI337/DA337-1)*100)))</f>
        <v>16.891891891891888</v>
      </c>
      <c r="DK337" s="204">
        <f>DK334-DK335-DK336</f>
        <v>158</v>
      </c>
      <c r="DL337" s="98">
        <f>IF(ISERROR((DK337/DC337-1)*100),"NA",IF(((DK337/DC337-1)*100)&gt;100,"NM",IF(((DK337/DC337-1)*100)&lt;-50,"NM",(DK337/DC337-1)*100)))</f>
        <v>10.489510489510479</v>
      </c>
      <c r="DM337" s="204">
        <f>DM334-DM335-DM336</f>
        <v>136</v>
      </c>
      <c r="DN337" s="98">
        <f>IF(ISERROR((DM337/DE337-1)*100),"NA",IF(((DM337/DE337-1)*100)&gt;100,"NM",IF(((DM337/DE337-1)*100)&lt;-50,"NM",(DM337/DE337-1)*100)))</f>
        <v>8.8000000000000078</v>
      </c>
      <c r="DO337" s="204">
        <f>DO334-DO335-DO336</f>
        <v>163</v>
      </c>
      <c r="DP337" s="98">
        <f>IF(ISERROR((DO337/DG337-1)*100),"NA",IF(((DO337/DG337-1)*100)&gt;100,"NM",IF(((DO337/DG337-1)*100)&lt;-50,"NM",(DO337/DG337-1)*100)))</f>
        <v>29.365079365079371</v>
      </c>
      <c r="DQ337" s="204">
        <f>DQ334-DQ335-DQ336</f>
        <v>139</v>
      </c>
      <c r="DR337" s="98">
        <f>IF(ISERROR((DQ337/DI337-1)*100),"NA",IF(((DQ337/DI337-1)*100)&gt;100,"NM",IF(((DQ337/DI337-1)*100)&lt;-50,"NM",(DQ337/DI337-1)*100)))</f>
        <v>-19.653179190751445</v>
      </c>
      <c r="DS337" s="204">
        <f>DS334-DS335-DS336</f>
        <v>149</v>
      </c>
      <c r="DT337" s="98">
        <f>IF(ISERROR((DS337/DK337-1)*100),"NA",IF(((DS337/DK337-1)*100)&gt;100,"NM",IF(((DS337/DK337-1)*100)&lt;-50,"NM",(DS337/DK337-1)*100)))</f>
        <v>-5.6962025316455662</v>
      </c>
      <c r="DU337" s="204">
        <f>DU334-DU335-DU336</f>
        <v>136</v>
      </c>
      <c r="DV337" s="98">
        <f>IF(ISERROR((DU337/DM337-1)*100),"NA",IF(((DU337/DM337-1)*100)&gt;100,"NM",IF(((DU337/DM337-1)*100)&lt;-50,"NM",(DU337/DM337-1)*100)))</f>
        <v>0</v>
      </c>
      <c r="DW337" s="204">
        <f>DW334-DW335-DW336</f>
        <v>125</v>
      </c>
      <c r="DX337" s="98">
        <f>IF(ISERROR((DW337/DO337-1)*100),"NA",IF(((DW337/DO337-1)*100)&gt;100,"NM",IF(((DW337/DO337-1)*100)&lt;-50,"NM",(DW337/DO337-1)*100)))</f>
        <v>-23.312883435582819</v>
      </c>
      <c r="DY337" s="204">
        <f>DY334-DY335-DY336</f>
        <v>129</v>
      </c>
      <c r="DZ337" s="98">
        <f>IF(ISERROR((DY337/DQ337-1)*100),"NA",IF(((DY337/DQ337-1)*100)&gt;100,"NM",IF(((DY337/DQ337-1)*100)&lt;-50,"NM",(DY337/DQ337-1)*100)))</f>
        <v>-7.1942446043165464</v>
      </c>
      <c r="EA337" s="204">
        <f>EA334-EA335-EA336</f>
        <v>164</v>
      </c>
      <c r="EB337" s="98">
        <f>IF(ISERROR((EA337/DS337-1)*100),"NA",IF(((EA337/DS337-1)*100)&gt;100,"NM",IF(((EA337/DS337-1)*100)&lt;-50,"NM",(EA337/DS337-1)*100)))</f>
        <v>10.067114093959727</v>
      </c>
      <c r="EC337" s="204">
        <f>EC334-EC335-EC336</f>
        <v>139</v>
      </c>
      <c r="ED337" s="98">
        <f>IF(ISERROR((EC337/DU337-1)*100),"NA",IF(((EC337/DU337-1)*100)&gt;100,"NM",IF(((EC337/DU337-1)*100)&lt;-50,"NM",(EC337/DU337-1)*100)))</f>
        <v>2.2058823529411686</v>
      </c>
      <c r="EE337" s="204">
        <f>EE334-EE335-EE336</f>
        <v>126</v>
      </c>
      <c r="EF337" s="860">
        <f>IF(ISERROR((EE337/DW337-1)*100),"NA",IF(((EE337/DW337-1)*100)&gt;100,"NM",IF(((EE337/DW337-1)*100)&lt;-50,"NM",(EE337/DW337-1)*100)))</f>
        <v>0.80000000000000071</v>
      </c>
      <c r="EG337" s="204">
        <f>EG334-EG335-EG336</f>
        <v>122</v>
      </c>
      <c r="EH337" s="860">
        <f>IF(ISERROR((EG337/DY337-1)*100),"NA",IF(((EG337/DY337-1)*100)&gt;100,"NM",IF(((EG337/DY337-1)*100)&lt;-50,"NM",(EG337/DY337-1)*100)))</f>
        <v>-5.4263565891472858</v>
      </c>
      <c r="EI337" s="204">
        <f>EI334-EI335-EI336</f>
        <v>144</v>
      </c>
      <c r="EJ337" s="860">
        <f t="shared" si="1724"/>
        <v>-12.195121951219512</v>
      </c>
      <c r="EK337" s="204">
        <f>EK334-EK335-EK336</f>
        <v>154</v>
      </c>
      <c r="EL337" s="860">
        <f t="shared" si="1725"/>
        <v>10.791366906474821</v>
      </c>
      <c r="EM337" s="204">
        <f>EM334-EM335-EM336</f>
        <v>148</v>
      </c>
      <c r="EN337" s="860">
        <f t="shared" si="1726"/>
        <v>17.460317460317466</v>
      </c>
      <c r="EO337" s="204">
        <f>EO334-EO335-EO336</f>
        <v>125</v>
      </c>
      <c r="EP337" s="98">
        <f t="shared" si="1727"/>
        <v>2.4590163934426146</v>
      </c>
      <c r="EQ337" s="1028">
        <f t="shared" ref="EQ337" si="1732">EQ334-EQ335-EQ336</f>
        <v>159.10263766067317</v>
      </c>
      <c r="ER337" s="98">
        <f t="shared" si="1728"/>
        <v>10.487942819911922</v>
      </c>
      <c r="ES337" s="1028">
        <f t="shared" ref="ES337" si="1733">ES334-ES335-ES336</f>
        <v>164.13026821766746</v>
      </c>
      <c r="ET337" s="98">
        <f t="shared" si="1729"/>
        <v>6.5780962452386182</v>
      </c>
      <c r="EU337" s="1028">
        <f t="shared" ref="EU337" si="1734">EU334-EU335-EU336</f>
        <v>173.16550235113667</v>
      </c>
      <c r="EV337" s="98">
        <f t="shared" si="1730"/>
        <v>17.003717804822081</v>
      </c>
      <c r="EW337" s="204">
        <f>EW334-EW335-EW336</f>
        <v>142.64583127978617</v>
      </c>
      <c r="EX337" s="98">
        <f t="shared" si="1731"/>
        <v>14.116665023828933</v>
      </c>
      <c r="EY337" s="282"/>
      <c r="EZ337" s="594"/>
      <c r="FA337" s="405"/>
      <c r="FB337" s="279"/>
      <c r="FC337" s="98"/>
      <c r="FD337" s="278"/>
      <c r="FE337" s="98"/>
      <c r="FF337" s="279"/>
      <c r="FG337" s="98"/>
      <c r="FH337" s="279"/>
      <c r="FI337" s="98"/>
      <c r="FJ337" s="282"/>
      <c r="FK337" s="98"/>
      <c r="FL337" s="282"/>
      <c r="FM337" s="98"/>
      <c r="FN337" s="282"/>
      <c r="FO337" s="98"/>
      <c r="FP337" s="282"/>
      <c r="FQ337" s="98"/>
      <c r="FR337" s="283"/>
      <c r="FS337" s="120"/>
      <c r="FT337" s="283"/>
      <c r="FU337" s="120"/>
      <c r="FV337" s="283"/>
      <c r="FW337" s="98"/>
      <c r="FX337" s="520"/>
      <c r="FY337" s="98"/>
      <c r="FZ337" s="283"/>
      <c r="GA337" s="98"/>
      <c r="GB337" s="505">
        <f>GB334-GB335-GB336</f>
        <v>546</v>
      </c>
      <c r="GC337" s="98" t="str">
        <f>IF(ISERROR((GB337/FZ337-1)*100),"NA",IF(((GB337/FZ337-1)*100)&gt;100,"NM",IF(((GB337/FZ337-1)*100)&lt;-50,"NM",(GB337/FZ337-1)*100)))</f>
        <v>NA</v>
      </c>
      <c r="GD337" s="204">
        <f>GD334-GD335-GD336</f>
        <v>583</v>
      </c>
      <c r="GE337" s="98">
        <f>IF(ISERROR((GD337/GB337-1)*100),"NA",IF(((GD337/GB337-1)*100)&gt;100,"NM",IF(((GD337/GB337-1)*100)&lt;-50,"NM",(GD337/GB337-1)*100)))</f>
        <v>6.7765567765567747</v>
      </c>
      <c r="GF337" s="204">
        <f>GF334-GF335-GF336</f>
        <v>567</v>
      </c>
      <c r="GG337" s="98">
        <f>IF(ISERROR((GF337/GD337-1)*100),"NA",IF(((GF337/GD337-1)*100)&gt;100,"NM",IF(((GF337/GD337-1)*100)&lt;-50,"NM",(GF337/GD337-1)*100)))</f>
        <v>-2.7444253859348233</v>
      </c>
      <c r="GH337" s="204">
        <f>GH334-GH335-GH336</f>
        <v>596</v>
      </c>
      <c r="GI337" s="98">
        <f>IF(ISERROR((GH337/GF337-1)*100),"NA",IF(((GH337/GF337-1)*100)&gt;100,"NM",IF(((GH337/GF337-1)*100)&lt;-50,"NM",(GH337/GF337-1)*100)))</f>
        <v>5.1146384479717755</v>
      </c>
      <c r="GJ337" s="204">
        <f>GJ334-GJ335-GJ336</f>
        <v>539</v>
      </c>
      <c r="GK337" s="98">
        <f>IF(ISERROR((GJ337/GH337-1)*100),"NA",IF(((GJ337/GH337-1)*100)&gt;100,"NM",IF(((GJ337/GH337-1)*100)&lt;-50,"NM",(GJ337/GH337-1)*100)))</f>
        <v>-9.5637583892617446</v>
      </c>
      <c r="GL337" s="204">
        <f>GL334-GL335-GL336</f>
        <v>551</v>
      </c>
      <c r="GM337" s="98">
        <f>IF(ISERROR((GL337/GJ337-1)*100),"NA",IF(((GL337/GJ337-1)*100)&gt;100,"NM",IF(((GL337/GJ337-1)*100)&lt;-50,"NM",(GL337/GJ337-1)*100)))</f>
        <v>2.226345083487935</v>
      </c>
      <c r="GN337" s="204">
        <f>GN334-GN335-GN336</f>
        <v>571</v>
      </c>
      <c r="GO337" s="98">
        <f>IF(ISERROR((GN337/GL337-1)*100),"NA",IF(((GN337/GL337-1)*100)&gt;100,"NM",IF(((GN337/GL337-1)*100)&lt;-50,"NM",(GN337/GL337-1)*100)))</f>
        <v>3.6297640653357499</v>
      </c>
      <c r="GP337" s="204">
        <f>GP334-GP335-GP336</f>
        <v>639.04423950926457</v>
      </c>
      <c r="GQ337" s="98">
        <f>IF(ISERROR((GP337/GN337-1)*100),"NA",IF(((GP337/GN337-1)*100)&gt;100,"NM",IF(((GP337/GN337-1)*100)&lt;-50,"NM",(GP337/GN337-1)*100)))</f>
        <v>11.916679423689057</v>
      </c>
      <c r="GR337" s="204">
        <f>GR334-GR335-GR336</f>
        <v>690.08185539965496</v>
      </c>
      <c r="GS337" s="98">
        <f>IF(ISERROR((GR337/GP337-1)*100),"NA",IF(((GR337/GP337-1)*100)&gt;100,"NM",IF(((GR337/GP337-1)*100)&lt;-50,"NM",(GR337/GP337-1)*100)))</f>
        <v>7.9865544096889396</v>
      </c>
      <c r="GT337" s="204">
        <f>GT334-GT335-GT336</f>
        <v>731.48676672363342</v>
      </c>
      <c r="GU337" s="98">
        <f>IF(ISERROR((GT337/GR337-1)*100),"NA",IF(((GT337/GR337-1)*100)&gt;100,"NM",IF(((GT337/GR337-1)*100)&lt;-50,"NM",(GT337/GR337-1)*100)))</f>
        <v>5.9999999999998721</v>
      </c>
      <c r="GV337" s="204">
        <f>GV334-GV335-GV336</f>
        <v>775.37597272705182</v>
      </c>
      <c r="GW337" s="98">
        <f>IF(ISERROR((GV337/GT337-1)*100),"NA",IF(((GV337/GT337-1)*100)&gt;100,"NM",IF(((GV337/GT337-1)*100)&lt;-50,"NM",(GV337/GT337-1)*100)))</f>
        <v>6.0000000000000497</v>
      </c>
      <c r="GX337" s="204">
        <f>GX334-GX335-GX336</f>
        <v>807.38310811694055</v>
      </c>
      <c r="GY337" s="98">
        <f>IF(ISERROR((GX337/GV337-1)*100),"NA",IF(((GX337/GV337-1)*100)&gt;100,"NM",IF(((GX337/GV337-1)*100)&lt;-50,"NM",(GX337/GV337-1)*100)))</f>
        <v>4.1279503770689896</v>
      </c>
      <c r="GZ337" s="98">
        <f t="shared" si="1712"/>
        <v>7.1738198968429812</v>
      </c>
      <c r="HA337" s="98"/>
      <c r="HB337" s="10"/>
      <c r="HC337"/>
      <c r="HD337"/>
      <c r="HE337"/>
      <c r="HF337"/>
      <c r="HG337"/>
      <c r="HH337"/>
      <c r="HI337" s="10"/>
    </row>
    <row r="338" spans="2:217" s="2" customFormat="1" ht="12.75" customHeight="1" x14ac:dyDescent="0.2">
      <c r="B338" s="209" t="s">
        <v>138</v>
      </c>
      <c r="C338" s="117"/>
      <c r="D338" s="98"/>
      <c r="E338" s="117"/>
      <c r="F338" s="98"/>
      <c r="G338" s="117"/>
      <c r="H338" s="98"/>
      <c r="I338" s="117"/>
      <c r="J338" s="98"/>
      <c r="K338" s="117"/>
      <c r="L338" s="98"/>
      <c r="M338" s="117"/>
      <c r="N338" s="98"/>
      <c r="O338" s="117"/>
      <c r="P338" s="98"/>
      <c r="Q338" s="117"/>
      <c r="R338" s="98"/>
      <c r="S338" s="182"/>
      <c r="T338" s="98"/>
      <c r="U338" s="182"/>
      <c r="V338" s="98"/>
      <c r="W338" s="182"/>
      <c r="X338" s="98"/>
      <c r="Y338" s="182"/>
      <c r="Z338" s="98"/>
      <c r="AA338" s="182"/>
      <c r="AB338" s="98"/>
      <c r="AC338" s="182"/>
      <c r="AD338" s="98"/>
      <c r="AE338" s="182"/>
      <c r="AF338" s="98"/>
      <c r="AG338" s="182"/>
      <c r="AH338" s="98"/>
      <c r="AI338" s="182"/>
      <c r="AJ338" s="98"/>
      <c r="AK338" s="182"/>
      <c r="AL338" s="98"/>
      <c r="AM338" s="182"/>
      <c r="AN338" s="98"/>
      <c r="AO338" s="182"/>
      <c r="AP338" s="98"/>
      <c r="AQ338" s="182"/>
      <c r="AR338" s="98"/>
      <c r="AS338" s="182"/>
      <c r="AT338" s="98"/>
      <c r="AU338" s="182"/>
      <c r="AV338" s="98"/>
      <c r="AW338" s="182"/>
      <c r="AX338" s="98"/>
      <c r="AY338" s="182"/>
      <c r="AZ338" s="98"/>
      <c r="BA338" s="182"/>
      <c r="BB338" s="98"/>
      <c r="BC338" s="182"/>
      <c r="BD338" s="98"/>
      <c r="BE338" s="182"/>
      <c r="BF338" s="98"/>
      <c r="BG338" s="182"/>
      <c r="BH338" s="98"/>
      <c r="BI338" s="182"/>
      <c r="BJ338" s="98"/>
      <c r="BK338" s="182"/>
      <c r="BL338" s="98"/>
      <c r="BM338" s="182"/>
      <c r="BN338" s="98"/>
      <c r="BO338" s="182"/>
      <c r="BP338" s="98"/>
      <c r="BQ338" s="182"/>
      <c r="BR338" s="98"/>
      <c r="BS338" s="182"/>
      <c r="BT338" s="98"/>
      <c r="BU338" s="182"/>
      <c r="BV338" s="98"/>
      <c r="BW338" s="182"/>
      <c r="BX338" s="98"/>
      <c r="BY338" s="182"/>
      <c r="BZ338" s="98"/>
      <c r="CA338" s="182"/>
      <c r="CB338" s="98"/>
      <c r="CC338" s="182"/>
      <c r="CD338" s="98"/>
      <c r="CE338" s="182"/>
      <c r="CF338" s="98"/>
      <c r="CG338" s="182"/>
      <c r="CH338" s="98"/>
      <c r="CI338" s="182"/>
      <c r="CJ338" s="98"/>
      <c r="CK338" s="182"/>
      <c r="CL338" s="98"/>
      <c r="CM338" s="117">
        <f>CM331-(CM335+CM336)/0.65</f>
        <v>159</v>
      </c>
      <c r="CN338" s="98" t="str">
        <f>IF(ISERROR((CM338/CE338-1)*100),"NA",IF(((CM338/CE338-1)*100)&gt;100,"NM",IF(((CM338/CE338-1)*100)&lt;-50,"NM",(CM338/CE338-1)*100)))</f>
        <v>NA</v>
      </c>
      <c r="CO338" s="117">
        <f>CO331-(CO335+CO336)/0.65</f>
        <v>174.23076923076923</v>
      </c>
      <c r="CP338" s="98" t="str">
        <f>IF(ISERROR((CO338/CG338-1)*100),"NA",IF(((CO338/CG338-1)*100)&gt;100,"NM",IF(((CO338/CG338-1)*100)&lt;-50,"NM",(CO338/CG338-1)*100)))</f>
        <v>NA</v>
      </c>
      <c r="CQ338" s="486">
        <f>CQ331-(CQ335+CQ336)/0.65</f>
        <v>226</v>
      </c>
      <c r="CR338" s="98" t="str">
        <f>IF(ISERROR((CQ338/CI338-1)*100),"NA",IF(((CQ338/CI338-1)*100)&gt;100,"NM",IF(((CQ338/CI338-1)*100)&lt;-50,"NM",(CQ338/CI338-1)*100)))</f>
        <v>NA</v>
      </c>
      <c r="CS338" s="117">
        <f>CS331-(CS335+CS336)/0.65</f>
        <v>154</v>
      </c>
      <c r="CT338" s="98" t="str">
        <f>IF(ISERROR((CS338/CK338-1)*100),"NA",IF(((CS338/CK338-1)*100)&gt;100,"NM",IF(((CS338/CK338-1)*100)&lt;-50,"NM",(CS338/CK338-1)*100)))</f>
        <v>NA</v>
      </c>
      <c r="CU338" s="117">
        <f>CU331-(CU335+CU336)/0.65</f>
        <v>198</v>
      </c>
      <c r="CV338" s="98">
        <f>IF(ISERROR((CU338/CM338-1)*100),"NA",IF(((CU338/CM338-1)*100)&gt;100,"NM",IF(((CU338/CM338-1)*100)&lt;-50,"NM",(CU338/CM338-1)*100)))</f>
        <v>24.528301886792448</v>
      </c>
      <c r="CW338" s="117">
        <f>CW331-(CW335+CW336)/0.65</f>
        <v>171</v>
      </c>
      <c r="CX338" s="98">
        <f>IF(ISERROR((CW338/CO338-1)*100),"NA",IF(((CW338/CO338-1)*100)&gt;100,"NM",IF(((CW338/CO338-1)*100)&lt;-50,"NM",(CW338/CO338-1)*100)))</f>
        <v>-1.8543046357615833</v>
      </c>
      <c r="CY338" s="117">
        <f>CY331-(CY335+CY336)/0.65</f>
        <v>188</v>
      </c>
      <c r="CZ338" s="98">
        <f>IF(ISERROR((CY338/CQ338-1)*100),"NA",IF(((CY338/CQ338-1)*100)&gt;100,"NM",IF(((CY338/CQ338-1)*100)&lt;-50,"NM",(CY338/CQ338-1)*100)))</f>
        <v>-16.814159292035402</v>
      </c>
      <c r="DA338" s="117">
        <f>DA331-(DA335+DA336)/0.65</f>
        <v>156</v>
      </c>
      <c r="DB338" s="98">
        <f>IF(ISERROR((DA338/CS338-1)*100),"NA",IF(((DA338/CS338-1)*100)&gt;100,"NM",IF(((DA338/CS338-1)*100)&lt;-50,"NM",(DA338/CS338-1)*100)))</f>
        <v>1.298701298701288</v>
      </c>
      <c r="DC338" s="117">
        <f>DC331-(DC335+DC336)/0.65</f>
        <v>184</v>
      </c>
      <c r="DD338" s="98">
        <f>IF(ISERROR((DC338/CU338-1)*100),"NA",IF(((DC338/CU338-1)*100)&gt;100,"NM",IF(((DC338/CU338-1)*100)&lt;-50,"NM",(DC338/CU338-1)*100)))</f>
        <v>-7.0707070707070718</v>
      </c>
      <c r="DE338" s="117">
        <f>DE331-(DE335+DE336)/0.65</f>
        <v>161</v>
      </c>
      <c r="DF338" s="98">
        <f>IF(ISERROR((DE338/CW338-1)*100),"NA",IF(((DE338/CW338-1)*100)&gt;100,"NM",IF(((DE338/CW338-1)*100)&lt;-50,"NM",(DE338/CW338-1)*100)))</f>
        <v>-5.8479532163742682</v>
      </c>
      <c r="DG338" s="117">
        <f>DG331-(DG335+DG336)/0.65</f>
        <v>160.23076923076923</v>
      </c>
      <c r="DH338" s="98">
        <f>IF(ISERROR((DG338/CY338-1)*100),"NA",IF(((DG338/CY338-1)*100)&gt;100,"NM",IF(((DG338/CY338-1)*100)&lt;-50,"NM",(DG338/CY338-1)*100)))</f>
        <v>-14.770867430441903</v>
      </c>
      <c r="DI338" s="117">
        <f>DI331-(DI335+DI336)/0.65</f>
        <v>201</v>
      </c>
      <c r="DJ338" s="98">
        <f>IF(ISERROR((DI338/DA338-1)*100),"NA",IF(((DI338/DA338-1)*100)&gt;100,"NM",IF(((DI338/DA338-1)*100)&lt;-50,"NM",(DI338/DA338-1)*100)))</f>
        <v>28.846153846153854</v>
      </c>
      <c r="DK338" s="117">
        <f>DK331-(DK335+DK336)/0.65</f>
        <v>176</v>
      </c>
      <c r="DL338" s="98">
        <f>IF(ISERROR((DK338/DC338-1)*100),"NA",IF(((DK338/DC338-1)*100)&gt;100,"NM",IF(((DK338/DC338-1)*100)&lt;-50,"NM",(DK338/DC338-1)*100)))</f>
        <v>-4.3478260869565188</v>
      </c>
      <c r="DM338" s="117">
        <f>DM331-(DM335+DM336)/0.65</f>
        <v>158</v>
      </c>
      <c r="DN338" s="98">
        <f>IF(ISERROR((DM338/DE338-1)*100),"NA",IF(((DM338/DE338-1)*100)&gt;100,"NM",IF(((DM338/DE338-1)*100)&lt;-50,"NM",(DM338/DE338-1)*100)))</f>
        <v>-1.8633540372670843</v>
      </c>
      <c r="DO338" s="117">
        <f>DO331-(DO335+DO336)/0.65</f>
        <v>255.07692307692307</v>
      </c>
      <c r="DP338" s="98">
        <f>IF(ISERROR((DO338/DG338-1)*100),"NA",IF(((DO338/DG338-1)*100)&gt;100,"NM",IF(((DO338/DG338-1)*100)&lt;-50,"NM",(DO338/DG338-1)*100)))</f>
        <v>59.193470955352858</v>
      </c>
      <c r="DQ338" s="117">
        <f>DQ331-(DQ335+DQ336)/0.65</f>
        <v>118</v>
      </c>
      <c r="DR338" s="98">
        <f>IF(ISERROR((DQ338/DI338-1)*100),"NA",IF(((DQ338/DI338-1)*100)&gt;100,"NM",IF(((DQ338/DI338-1)*100)&lt;-50,"NM",(DQ338/DI338-1)*100)))</f>
        <v>-41.293532338308459</v>
      </c>
      <c r="DS338" s="117">
        <f>DS331-(DS335+DS336)/0.65</f>
        <v>190</v>
      </c>
      <c r="DT338" s="98">
        <f>IF(ISERROR((DS338/DK338-1)*100),"NA",IF(((DS338/DK338-1)*100)&gt;100,"NM",IF(((DS338/DK338-1)*100)&lt;-50,"NM",(DS338/DK338-1)*100)))</f>
        <v>7.9545454545454586</v>
      </c>
      <c r="DU338" s="117">
        <f>DU331-(DU335+DU336)/0.65</f>
        <v>168</v>
      </c>
      <c r="DV338" s="98">
        <f>IF(ISERROR((DU338/DM338-1)*100),"NA",IF(((DU338/DM338-1)*100)&gt;100,"NM",IF(((DU338/DM338-1)*100)&lt;-50,"NM",(DU338/DM338-1)*100)))</f>
        <v>6.3291139240506222</v>
      </c>
      <c r="DW338" s="117">
        <f>DW331-(DW335+DW336)/0.65</f>
        <v>60.769230769230774</v>
      </c>
      <c r="DX338" s="98" t="str">
        <f>IF(ISERROR((DW338/DO338-1)*100),"NA",IF(((DW338/DO338-1)*100)&gt;100,"NM",IF(((DW338/DO338-1)*100)&lt;-50,"NM",(DW338/DO338-1)*100)))</f>
        <v>NM</v>
      </c>
      <c r="DY338" s="117">
        <f>DY331-(DY335+DY336)/0.65</f>
        <v>110.92307692307693</v>
      </c>
      <c r="DZ338" s="98">
        <f>IF(ISERROR((DY338/DQ338-1)*100),"NA",IF(((DY338/DQ338-1)*100)&gt;100,"NM",IF(((DY338/DQ338-1)*100)&lt;-50,"NM",(DY338/DQ338-1)*100)))</f>
        <v>-5.997392438070392</v>
      </c>
      <c r="EA338" s="117">
        <f>EA331-(EA335+EA336)/0.65</f>
        <v>221</v>
      </c>
      <c r="EB338" s="98">
        <f>IF(ISERROR((EA338/DS338-1)*100),"NA",IF(((EA338/DS338-1)*100)&gt;100,"NM",IF(((EA338/DS338-1)*100)&lt;-50,"NM",(EA338/DS338-1)*100)))</f>
        <v>16.315789473684216</v>
      </c>
      <c r="EC338" s="117">
        <f>EC331-(EC335+EC336)/0.65</f>
        <v>178.07692307692307</v>
      </c>
      <c r="ED338" s="98">
        <f>IF(ISERROR((EC338/DU338-1)*100),"NA",IF(((EC338/DU338-1)*100)&gt;100,"NM",IF(((EC338/DU338-1)*100)&lt;-50,"NM",(EC338/DU338-1)*100)))</f>
        <v>5.9981684981684991</v>
      </c>
      <c r="EE338" s="117">
        <f>EE331-(EE335+EE336)/0.65</f>
        <v>175.23076923076923</v>
      </c>
      <c r="EF338" s="860" t="str">
        <f>IF(ISERROR((EE338/DW338-1)*100),"NA",IF(((EE338/DW338-1)*100)&gt;100,"NM",IF(((EE338/DW338-1)*100)&lt;-50,"NM",(EE338/DW338-1)*100)))</f>
        <v>NM</v>
      </c>
      <c r="EG338" s="117">
        <f>EG331-(EG335+EG336)/0.65</f>
        <v>139</v>
      </c>
      <c r="EH338" s="860">
        <f>IF(ISERROR((EG338/DY338-1)*100),"NA",IF(((EG338/DY338-1)*100)&gt;100,"NM",IF(((EG338/DY338-1)*100)&lt;-50,"NM",(EG338/DY338-1)*100)))</f>
        <v>25.312066574202486</v>
      </c>
      <c r="EI338" s="117">
        <f>EI331-(EI335+EI336)/0.65</f>
        <v>182.53846153846155</v>
      </c>
      <c r="EJ338" s="860">
        <f t="shared" si="1724"/>
        <v>-17.40341106856944</v>
      </c>
      <c r="EK338" s="117">
        <f>EK331-(EK335+EK336)/0.65</f>
        <v>188</v>
      </c>
      <c r="EL338" s="860">
        <f t="shared" si="1725"/>
        <v>5.5723542116630664</v>
      </c>
      <c r="EM338" s="117">
        <f>EM331-(EM335+EM336)/0.65</f>
        <v>190.92307692307693</v>
      </c>
      <c r="EN338" s="860">
        <f t="shared" si="1726"/>
        <v>8.9552238805970177</v>
      </c>
      <c r="EO338" s="117">
        <f>EO331-(EO335+EO336)/0.65</f>
        <v>158</v>
      </c>
      <c r="EP338" s="98">
        <f t="shared" si="1727"/>
        <v>13.669064748201443</v>
      </c>
      <c r="EQ338" s="1031">
        <f t="shared" ref="EQ338" si="1735">EQ331-(EQ335+EQ336)/0.65</f>
        <v>201.1057340030909</v>
      </c>
      <c r="ER338" s="98">
        <f t="shared" si="1728"/>
        <v>10.171704257909052</v>
      </c>
      <c r="ES338" s="1031">
        <f t="shared" ref="ES338" si="1736">ES331-(ES335+ES336)/0.65</f>
        <v>207.46065902713167</v>
      </c>
      <c r="ET338" s="98">
        <f t="shared" si="1729"/>
        <v>10.351414376133871</v>
      </c>
      <c r="EU338" s="1031">
        <f t="shared" ref="EU338" si="1737">EU331-(EU335+EU336)/0.65</f>
        <v>218.88119497183675</v>
      </c>
      <c r="EV338" s="98">
        <f t="shared" si="1730"/>
        <v>14.643655706441482</v>
      </c>
      <c r="EW338" s="1031">
        <f t="shared" ref="EW338" si="1738">EW331-(EW335+EW336)/0.65</f>
        <v>180.30433073764971</v>
      </c>
      <c r="EX338" s="98">
        <f t="shared" si="1731"/>
        <v>14.116665023828933</v>
      </c>
      <c r="EY338" s="282"/>
      <c r="EZ338" s="594"/>
      <c r="FA338" s="405"/>
      <c r="FB338" s="279"/>
      <c r="FC338" s="98"/>
      <c r="FD338" s="278"/>
      <c r="FE338" s="98"/>
      <c r="FF338" s="279"/>
      <c r="FG338" s="98"/>
      <c r="FH338" s="279"/>
      <c r="FI338" s="98"/>
      <c r="FJ338" s="282"/>
      <c r="FK338" s="98"/>
      <c r="FL338" s="282"/>
      <c r="FM338" s="98"/>
      <c r="FN338" s="282"/>
      <c r="FO338" s="98"/>
      <c r="FP338" s="282"/>
      <c r="FQ338" s="98"/>
      <c r="FR338" s="283"/>
      <c r="FS338" s="120"/>
      <c r="FT338" s="283"/>
      <c r="FU338" s="120"/>
      <c r="FV338" s="283"/>
      <c r="FW338" s="98"/>
      <c r="FX338" s="520"/>
      <c r="FY338" s="98"/>
      <c r="FZ338" s="283"/>
      <c r="GA338" s="98"/>
      <c r="GB338" s="485">
        <f>GB331-(GB335+GB336)/0.65</f>
        <v>713.23076923076928</v>
      </c>
      <c r="GC338" s="98" t="str">
        <f>IF(ISERROR((GB338/FZ338-1)*100),"NA",IF(((GB338/FZ338-1)*100)&gt;100,"NM",IF(((GB338/FZ338-1)*100)&lt;-50,"NM",(GB338/FZ338-1)*100)))</f>
        <v>NA</v>
      </c>
      <c r="GD338" s="119">
        <f>GD331-(GD335+GD336)/0.65</f>
        <v>713</v>
      </c>
      <c r="GE338" s="98">
        <f>IF(ISERROR((GD338/GB338-1)*100),"NA",IF(((GD338/GB338-1)*100)&gt;100,"NM",IF(((GD338/GB338-1)*100)&lt;-50,"NM",(GD338/GB338-1)*100)))</f>
        <v>-3.2355478861090248E-2</v>
      </c>
      <c r="GF338" s="119">
        <f>GF331-(GF335+GF336)/0.65</f>
        <v>706.23076923076928</v>
      </c>
      <c r="GG338" s="98">
        <f>IF(ISERROR((GF338/GD338-1)*100),"NA",IF(((GF338/GD338-1)*100)&gt;100,"NM",IF(((GF338/GD338-1)*100)&lt;-50,"NM",(GF338/GD338-1)*100)))</f>
        <v>-0.94940122990613274</v>
      </c>
      <c r="GH338" s="119">
        <f>GH331-(GH335+GH336)/0.65</f>
        <v>707.07692307692309</v>
      </c>
      <c r="GI338" s="98">
        <f>IF(ISERROR((GH338/GF338-1)*100),"NA",IF(((GH338/GF338-1)*100)&gt;100,"NM",IF(((GH338/GF338-1)*100)&lt;-50,"NM",(GH338/GF338-1)*100)))</f>
        <v>0.11981265657334816</v>
      </c>
      <c r="GJ338" s="119">
        <f>GJ331-(GJ335+GJ336)/0.65</f>
        <v>529.69230769230774</v>
      </c>
      <c r="GK338" s="98">
        <f>IF(ISERROR((GJ338/GH338-1)*100),"NA",IF(((GJ338/GH338-1)*100)&gt;100,"NM",IF(((GJ338/GH338-1)*100)&lt;-50,"NM",(GJ338/GH338-1)*100)))</f>
        <v>-25.087032201914706</v>
      </c>
      <c r="GL338" s="119">
        <f>GL331-(GL335+GL336)/0.65</f>
        <v>713.30769230769226</v>
      </c>
      <c r="GM338" s="98">
        <f>IF(ISERROR((GL338/GJ338-1)*100),"NA",IF(((GL338/GJ338-1)*100)&gt;100,"NM",IF(((GL338/GJ338-1)*100)&lt;-50,"NM",(GL338/GJ338-1)*100)))</f>
        <v>34.664536741214036</v>
      </c>
      <c r="GN338" s="119">
        <f>GN331-(GN335+GN336)/0.65</f>
        <v>719.46153846153845</v>
      </c>
      <c r="GO338" s="98">
        <f>IF(ISERROR((GN338/GL338-1)*100),"NA",IF(((GN338/GL338-1)*100)&gt;100,"NM",IF(((GN338/GL338-1)*100)&lt;-50,"NM",(GN338/GL338-1)*100)))</f>
        <v>0.86271972392968355</v>
      </c>
      <c r="GP338" s="119">
        <f>GP331-(GP335+GP336)/0.65</f>
        <v>807.75191873971016</v>
      </c>
      <c r="GQ338" s="98">
        <f>IF(ISERROR((GP338/GN338-1)*100),"NA",IF(((GP338/GN338-1)*100)&gt;100,"NM",IF(((GP338/GN338-1)*100)&lt;-50,"NM",(GP338/GN338-1)*100)))</f>
        <v>12.27173039256102</v>
      </c>
      <c r="GR338" s="119">
        <f>GR331-(GR335+GR336)/0.65</f>
        <v>872.2634652251636</v>
      </c>
      <c r="GS338" s="98">
        <f>IF(ISERROR((GR338/GP338-1)*100),"NA",IF(((GR338/GP338-1)*100)&gt;100,"NM",IF(((GR338/GP338-1)*100)&lt;-50,"NM",(GR338/GP338-1)*100)))</f>
        <v>7.9865544096889618</v>
      </c>
      <c r="GT338" s="119">
        <f>GT331-(GT335+GT336)/0.65</f>
        <v>924.59927313867229</v>
      </c>
      <c r="GU338" s="98">
        <f>IF(ISERROR((GT338/GR338-1)*100),"NA",IF(((GT338/GR338-1)*100)&gt;100,"NM",IF(((GT338/GR338-1)*100)&lt;-50,"NM",(GT338/GR338-1)*100)))</f>
        <v>5.9999999999998721</v>
      </c>
      <c r="GV338" s="119">
        <f>GV331-(GV335+GV336)/0.65</f>
        <v>980.0752295269931</v>
      </c>
      <c r="GW338" s="98">
        <f>IF(ISERROR((GV338/GT338-1)*100),"NA",IF(((GV338/GT338-1)*100)&gt;100,"NM",IF(((GV338/GT338-1)*100)&lt;-50,"NM",(GV338/GT338-1)*100)))</f>
        <v>6.0000000000000497</v>
      </c>
      <c r="GX338" s="119">
        <f>GX331-(GX335+GX336)/0.65</f>
        <v>1020.5322486598125</v>
      </c>
      <c r="GY338" s="98">
        <f>IF(ISERROR((GX338/GV338-1)*100),"NA",IF(((GX338/GV338-1)*100)&gt;100,"NM",IF(((GX338/GV338-1)*100)&lt;-50,"NM",(GX338/GV338-1)*100)))</f>
        <v>4.1279503770689896</v>
      </c>
      <c r="GZ338" s="98">
        <f t="shared" si="1712"/>
        <v>7.241734657958343</v>
      </c>
      <c r="HA338" s="98"/>
      <c r="HB338" s="10"/>
      <c r="HC338"/>
      <c r="HD338"/>
      <c r="HE338"/>
      <c r="HF338"/>
      <c r="HG338"/>
      <c r="HH338"/>
      <c r="HI338" s="10"/>
    </row>
    <row r="339" spans="2:217" s="2" customFormat="1" ht="12.75" customHeight="1" x14ac:dyDescent="0.2">
      <c r="B339" s="19"/>
      <c r="C339" s="117"/>
      <c r="D339" s="98"/>
      <c r="E339" s="117"/>
      <c r="F339" s="98"/>
      <c r="G339" s="117"/>
      <c r="H339" s="98"/>
      <c r="I339" s="117"/>
      <c r="J339" s="98"/>
      <c r="K339" s="117"/>
      <c r="L339" s="98"/>
      <c r="M339" s="117"/>
      <c r="N339" s="98"/>
      <c r="O339" s="117"/>
      <c r="P339" s="98"/>
      <c r="Q339" s="117"/>
      <c r="R339" s="98"/>
      <c r="S339" s="182"/>
      <c r="T339" s="98"/>
      <c r="U339" s="182"/>
      <c r="V339" s="98"/>
      <c r="W339" s="182"/>
      <c r="X339" s="98"/>
      <c r="Y339" s="182"/>
      <c r="Z339" s="98"/>
      <c r="AA339" s="182"/>
      <c r="AB339" s="98"/>
      <c r="AC339" s="182"/>
      <c r="AD339" s="98"/>
      <c r="AE339" s="182"/>
      <c r="AF339" s="98"/>
      <c r="AG339" s="182"/>
      <c r="AH339" s="98"/>
      <c r="AI339" s="182"/>
      <c r="AJ339" s="98"/>
      <c r="AK339" s="182"/>
      <c r="AL339" s="98"/>
      <c r="AM339" s="182"/>
      <c r="AN339" s="98"/>
      <c r="AO339" s="182"/>
      <c r="AP339" s="98"/>
      <c r="AQ339" s="182"/>
      <c r="AR339" s="98"/>
      <c r="AS339" s="182"/>
      <c r="AT339" s="98"/>
      <c r="AU339" s="182"/>
      <c r="AV339" s="98"/>
      <c r="AW339" s="182"/>
      <c r="AX339" s="98"/>
      <c r="AY339" s="182"/>
      <c r="AZ339" s="98"/>
      <c r="BA339" s="182"/>
      <c r="BB339" s="98"/>
      <c r="BC339" s="182"/>
      <c r="BD339" s="98"/>
      <c r="BE339" s="182"/>
      <c r="BF339" s="98"/>
      <c r="BG339" s="182"/>
      <c r="BH339" s="98"/>
      <c r="BI339" s="182"/>
      <c r="BJ339" s="98"/>
      <c r="BK339" s="182"/>
      <c r="BL339" s="98"/>
      <c r="BM339" s="182"/>
      <c r="BN339" s="98"/>
      <c r="BO339" s="182"/>
      <c r="BP339" s="98"/>
      <c r="BQ339" s="182"/>
      <c r="BR339" s="98"/>
      <c r="BS339" s="182"/>
      <c r="BT339" s="98"/>
      <c r="BU339" s="182"/>
      <c r="BV339" s="98"/>
      <c r="BW339" s="182"/>
      <c r="BX339" s="98"/>
      <c r="BY339" s="182"/>
      <c r="BZ339" s="98"/>
      <c r="CA339" s="182"/>
      <c r="CB339" s="98"/>
      <c r="CC339" s="182"/>
      <c r="CD339" s="98"/>
      <c r="CE339" s="182"/>
      <c r="CF339" s="98"/>
      <c r="CG339" s="182"/>
      <c r="CH339" s="98"/>
      <c r="CI339" s="182"/>
      <c r="CJ339" s="98"/>
      <c r="CK339" s="182"/>
      <c r="CL339" s="98"/>
      <c r="CM339" s="182"/>
      <c r="CN339" s="98"/>
      <c r="CO339" s="182"/>
      <c r="CP339" s="98"/>
      <c r="CQ339" s="512"/>
      <c r="CR339" s="98"/>
      <c r="CS339" s="182"/>
      <c r="CT339" s="98"/>
      <c r="CU339" s="182"/>
      <c r="CV339" s="98"/>
      <c r="CW339" s="182"/>
      <c r="CX339" s="98"/>
      <c r="CY339" s="182"/>
      <c r="CZ339" s="98"/>
      <c r="DA339" s="182"/>
      <c r="DB339" s="98"/>
      <c r="DC339" s="182"/>
      <c r="DD339" s="98"/>
      <c r="DE339" s="182"/>
      <c r="DF339" s="98"/>
      <c r="DG339" s="182"/>
      <c r="DH339" s="98"/>
      <c r="DI339" s="182"/>
      <c r="DJ339" s="98"/>
      <c r="DK339" s="182"/>
      <c r="DL339" s="98"/>
      <c r="DM339" s="182"/>
      <c r="DN339" s="98"/>
      <c r="DO339" s="182"/>
      <c r="DP339" s="98"/>
      <c r="DQ339" s="182"/>
      <c r="DR339" s="98"/>
      <c r="DS339" s="182"/>
      <c r="DT339" s="98"/>
      <c r="DU339" s="182"/>
      <c r="DV339" s="98"/>
      <c r="DW339" s="182"/>
      <c r="DX339" s="98"/>
      <c r="DY339" s="182"/>
      <c r="DZ339" s="98"/>
      <c r="EA339" s="182"/>
      <c r="EB339" s="98"/>
      <c r="EC339" s="182"/>
      <c r="ED339" s="98"/>
      <c r="EE339" s="182"/>
      <c r="EF339" s="860"/>
      <c r="EG339" s="182"/>
      <c r="EH339" s="860"/>
      <c r="EI339" s="182"/>
      <c r="EJ339" s="860"/>
      <c r="EK339" s="182"/>
      <c r="EL339" s="860"/>
      <c r="EM339" s="182"/>
      <c r="EN339" s="860"/>
      <c r="EO339" s="182"/>
      <c r="EP339" s="98"/>
      <c r="EQ339" s="795"/>
      <c r="ER339" s="98"/>
      <c r="ES339" s="795"/>
      <c r="ET339" s="98"/>
      <c r="EU339" s="795"/>
      <c r="EV339" s="98"/>
      <c r="EW339" s="795"/>
      <c r="EX339" s="98"/>
      <c r="EY339" s="282"/>
      <c r="EZ339" s="594"/>
      <c r="FA339" s="405"/>
      <c r="FB339" s="279"/>
      <c r="FC339" s="98"/>
      <c r="FD339" s="278"/>
      <c r="FE339" s="98"/>
      <c r="FF339" s="279"/>
      <c r="FG339" s="98"/>
      <c r="FH339" s="279"/>
      <c r="FI339" s="98"/>
      <c r="FJ339" s="282"/>
      <c r="FK339" s="98"/>
      <c r="FL339" s="282"/>
      <c r="FM339" s="98"/>
      <c r="FN339" s="282"/>
      <c r="FO339" s="98"/>
      <c r="FP339" s="282"/>
      <c r="FQ339" s="98"/>
      <c r="FR339" s="283"/>
      <c r="FS339" s="120"/>
      <c r="FT339" s="283"/>
      <c r="FU339" s="120"/>
      <c r="FV339" s="283"/>
      <c r="FW339" s="98"/>
      <c r="FX339" s="520"/>
      <c r="FY339" s="98"/>
      <c r="FZ339" s="283"/>
      <c r="GA339" s="98"/>
      <c r="GB339" s="498"/>
      <c r="GC339" s="98"/>
      <c r="GD339" s="184"/>
      <c r="GE339" s="98"/>
      <c r="GF339" s="184"/>
      <c r="GG339" s="98"/>
      <c r="GH339" s="184"/>
      <c r="GI339" s="98"/>
      <c r="GJ339" s="184"/>
      <c r="GK339" s="98"/>
      <c r="GL339" s="184"/>
      <c r="GM339" s="98"/>
      <c r="GN339" s="184"/>
      <c r="GO339" s="98"/>
      <c r="GP339" s="184"/>
      <c r="GQ339" s="98"/>
      <c r="GR339" s="183"/>
      <c r="GS339" s="98"/>
      <c r="GT339" s="183"/>
      <c r="GU339" s="98"/>
      <c r="GV339" s="183"/>
      <c r="GW339" s="98"/>
      <c r="GX339" s="183"/>
      <c r="GY339" s="98"/>
      <c r="GZ339" s="98"/>
      <c r="HA339" s="98"/>
      <c r="HB339" s="10"/>
      <c r="HC339"/>
      <c r="HD339"/>
      <c r="HE339"/>
      <c r="HF339"/>
      <c r="HG339"/>
      <c r="HH339"/>
      <c r="HI339" s="10"/>
    </row>
    <row r="340" spans="2:217" s="2" customFormat="1" ht="12.75" customHeight="1" x14ac:dyDescent="0.2">
      <c r="B340" s="91" t="s">
        <v>480</v>
      </c>
      <c r="C340" s="117"/>
      <c r="D340" s="98"/>
      <c r="E340" s="117"/>
      <c r="F340" s="98"/>
      <c r="G340" s="117"/>
      <c r="H340" s="98"/>
      <c r="I340" s="117"/>
      <c r="J340" s="98"/>
      <c r="K340" s="117"/>
      <c r="L340" s="98"/>
      <c r="M340" s="117"/>
      <c r="N340" s="98"/>
      <c r="O340" s="117"/>
      <c r="P340" s="98"/>
      <c r="Q340" s="117"/>
      <c r="R340" s="98"/>
      <c r="S340" s="182"/>
      <c r="T340" s="98"/>
      <c r="U340" s="182"/>
      <c r="V340" s="98"/>
      <c r="W340" s="182"/>
      <c r="X340" s="98"/>
      <c r="Y340" s="182"/>
      <c r="Z340" s="98"/>
      <c r="AA340" s="182"/>
      <c r="AB340" s="98"/>
      <c r="AC340" s="182"/>
      <c r="AD340" s="98"/>
      <c r="AE340" s="182"/>
      <c r="AF340" s="98"/>
      <c r="AG340" s="182"/>
      <c r="AH340" s="98"/>
      <c r="AI340" s="182"/>
      <c r="AJ340" s="98"/>
      <c r="AK340" s="182"/>
      <c r="AL340" s="98"/>
      <c r="AM340" s="182"/>
      <c r="AN340" s="98"/>
      <c r="AO340" s="182"/>
      <c r="AP340" s="98"/>
      <c r="AQ340" s="182"/>
      <c r="AR340" s="98"/>
      <c r="AS340" s="182"/>
      <c r="AT340" s="98"/>
      <c r="AU340" s="182"/>
      <c r="AV340" s="98"/>
      <c r="AW340" s="182"/>
      <c r="AX340" s="98"/>
      <c r="AY340" s="182"/>
      <c r="AZ340" s="98"/>
      <c r="BA340" s="182"/>
      <c r="BB340" s="98"/>
      <c r="BC340" s="182"/>
      <c r="BD340" s="98"/>
      <c r="BE340" s="182"/>
      <c r="BF340" s="98"/>
      <c r="BG340" s="182"/>
      <c r="BH340" s="98"/>
      <c r="BI340" s="182"/>
      <c r="BJ340" s="98"/>
      <c r="BK340" s="182"/>
      <c r="BL340" s="98"/>
      <c r="BM340" s="182"/>
      <c r="BN340" s="98"/>
      <c r="BO340" s="182"/>
      <c r="BP340" s="98"/>
      <c r="BQ340" s="182"/>
      <c r="BR340" s="98"/>
      <c r="BS340" s="182"/>
      <c r="BT340" s="98"/>
      <c r="BU340" s="182"/>
      <c r="BV340" s="98"/>
      <c r="BW340" s="182"/>
      <c r="BX340" s="98"/>
      <c r="BY340" s="182"/>
      <c r="BZ340" s="98"/>
      <c r="CA340" s="182"/>
      <c r="CB340" s="98"/>
      <c r="CC340" s="182"/>
      <c r="CD340" s="98"/>
      <c r="CE340" s="182"/>
      <c r="CF340" s="98"/>
      <c r="CG340" s="182"/>
      <c r="CH340" s="98"/>
      <c r="CI340" s="182"/>
      <c r="CJ340" s="98"/>
      <c r="CK340" s="182"/>
      <c r="CL340" s="98"/>
      <c r="CM340" s="137">
        <f>+CM331/CM317*100</f>
        <v>16.684155299055615</v>
      </c>
      <c r="CN340" s="98" t="str">
        <f>IF(ISERROR((CM340/CE340-1)*100),"NA",IF(((CM340/CE340-1)*100)&gt;100,"NM",IF(((CM340/CE340-1)*100)&lt;-50,"NM",(CM340/CE340-1)*100)))</f>
        <v>NA</v>
      </c>
      <c r="CO340" s="137">
        <f>+CO331/CO317*100</f>
        <v>14.798206278026907</v>
      </c>
      <c r="CP340" s="98" t="str">
        <f>IF(ISERROR((CO340/CG340-1)*100),"NA",IF(((CO340/CG340-1)*100)&gt;100,"NM",IF(((CO340/CG340-1)*100)&lt;-50,"NM",(CO340/CG340-1)*100)))</f>
        <v>NA</v>
      </c>
      <c r="CQ340" s="494">
        <f>+CQ331/CQ317*100</f>
        <v>16.076058772687986</v>
      </c>
      <c r="CR340" s="98" t="str">
        <f>IF(ISERROR((CQ340/CI340-1)*100),"NA",IF(((CQ340/CI340-1)*100)&gt;100,"NM",IF(((CQ340/CI340-1)*100)&lt;-50,"NM",(CQ340/CI340-1)*100)))</f>
        <v>NA</v>
      </c>
      <c r="CS340" s="137">
        <f>+CS331/CS317*100</f>
        <v>14.180478821362799</v>
      </c>
      <c r="CT340" s="98" t="str">
        <f>IF(ISERROR((CS340/CK340-1)*100),"NA",IF(((CS340/CK340-1)*100)&gt;100,"NM",IF(((CS340/CK340-1)*100)&lt;-50,"NM",(CS340/CK340-1)*100)))</f>
        <v>NA</v>
      </c>
      <c r="CU340" s="137">
        <f>+CU331/CU317*100</f>
        <v>16.694772344013494</v>
      </c>
      <c r="CV340" s="98">
        <f>IF(ISERROR((CU340/CM340-1)*100),"NA",IF(((CU340/CM340-1)*100)&gt;100,"NM",IF(((CU340/CM340-1)*100)&lt;-50,"NM",(CU340/CM340-1)*100)))</f>
        <v>6.3635495879621473E-2</v>
      </c>
      <c r="CW340" s="137">
        <f>+CW331/CW317*100</f>
        <v>15.079365079365079</v>
      </c>
      <c r="CX340" s="98">
        <f>IF(ISERROR((CW340/CO340-1)*100),"NA",IF(((CW340/CO340-1)*100)&gt;100,"NM",IF(((CW340/CO340-1)*100)&lt;-50,"NM",(CW340/CO340-1)*100)))</f>
        <v>1.8999518999518905</v>
      </c>
      <c r="CY340" s="137">
        <f>+CY331/CY317*100</f>
        <v>17.075386012715711</v>
      </c>
      <c r="CZ340" s="98">
        <f>IF(ISERROR((CY340/CQ340-1)*100),"NA",IF(((CY340/CQ340-1)*100)&gt;100,"NM",IF(((CY340/CQ340-1)*100)&lt;-50,"NM",(CY340/CQ340-1)*100)))</f>
        <v>6.2162452511401955</v>
      </c>
      <c r="DA340" s="137">
        <f>+DA331/DA317*100</f>
        <v>13.494809688581316</v>
      </c>
      <c r="DB340" s="98">
        <f>IF(ISERROR((DA340/CS340-1)*100),"NA",IF(((DA340/CS340-1)*100)&gt;100,"NM",IF(((DA340/CS340-1)*100)&lt;-50,"NM",(DA340/CS340-1)*100)))</f>
        <v>-4.8353031051992845</v>
      </c>
      <c r="DC340" s="137">
        <f>+DC331/DC317*100</f>
        <v>15.580016934801016</v>
      </c>
      <c r="DD340" s="98">
        <f>IF(ISERROR((DC340/CU340-1)*100),"NA",IF(((DC340/CU340-1)*100)&gt;100,"NM",IF(((DC340/CU340-1)*100)&lt;-50,"NM",(DC340/CU340-1)*100)))</f>
        <v>-6.6772722996262583</v>
      </c>
      <c r="DE340" s="137">
        <f>+DE331/DE317*100</f>
        <v>13.078797725426483</v>
      </c>
      <c r="DF340" s="98">
        <f>IF(ISERROR((DE340/CW340-1)*100),"NA",IF(((DE340/CW340-1)*100)&gt;100,"NM",IF(((DE340/CW340-1)*100)&lt;-50,"NM",(DE340/CW340-1)*100)))</f>
        <v>-13.266920347171741</v>
      </c>
      <c r="DG340" s="137">
        <f>+DG331/DG317*100</f>
        <v>13.485804416403784</v>
      </c>
      <c r="DH340" s="98">
        <f>IF(ISERROR((DG340/CY340-1)*100),"NA",IF(((DG340/CY340-1)*100)&gt;100,"NM",IF(((DG340/CY340-1)*100)&lt;-50,"NM",(DG340/CY340-1)*100)))</f>
        <v>-21.021964561379956</v>
      </c>
      <c r="DI340" s="137">
        <f>+DI331/DI317*100</f>
        <v>14.316239316239315</v>
      </c>
      <c r="DJ340" s="98">
        <f>IF(ISERROR((DI340/DA340-1)*100),"NA",IF(((DI340/DA340-1)*100)&gt;100,"NM",IF(((DI340/DA340-1)*100)&lt;-50,"NM",(DI340/DA340-1)*100)))</f>
        <v>6.0870041639272232</v>
      </c>
      <c r="DK340" s="137">
        <f>+DK331/DK317*100</f>
        <v>13.559322033898304</v>
      </c>
      <c r="DL340" s="98">
        <f>IF(ISERROR((DK340/DC340-1)*100),"NA",IF(((DK340/DC340-1)*100)&gt;100,"NM",IF(((DK340/DC340-1)*100)&lt;-50,"NM",(DK340/DC340-1)*100)))</f>
        <v>-12.969786293294028</v>
      </c>
      <c r="DM340" s="137">
        <f>+DM331/DM317*100</f>
        <v>11.087719298245615</v>
      </c>
      <c r="DN340" s="98">
        <f>IF(ISERROR((DM340/DE340-1)*100),"NA",IF(((DM340/DE340-1)*100)&gt;100,"NM",IF(((DM340/DE340-1)*100)&lt;-50,"NM",(DM340/DE340-1)*100)))</f>
        <v>-15.223711452544396</v>
      </c>
      <c r="DO340" s="137">
        <f>+DO331/DO317*100</f>
        <v>13.114754098360656</v>
      </c>
      <c r="DP340" s="98">
        <f>IF(ISERROR((DO340/DG340-1)*100),"NA",IF(((DO340/DG340-1)*100)&gt;100,"NM",IF(((DO340/DG340-1)*100)&lt;-50,"NM",(DO340/DG340-1)*100)))</f>
        <v>-2.7514140542613252</v>
      </c>
      <c r="DQ340" s="137">
        <f>+DQ331/DQ317*100</f>
        <v>10.184501845018449</v>
      </c>
      <c r="DR340" s="98">
        <f>IF(ISERROR((DQ340/DI340-1)*100),"NA",IF(((DQ340/DI340-1)*100)&gt;100,"NM",IF(((DQ340/DI340-1)*100)&lt;-50,"NM",(DQ340/DI340-1)*100)))</f>
        <v>-28.860494575095007</v>
      </c>
      <c r="DS340" s="137">
        <f>+DS331/DS317*100</f>
        <v>16.478751084128358</v>
      </c>
      <c r="DT340" s="98">
        <f>IF(ISERROR((DS340/DK340-1)*100),"NA",IF(((DS340/DK340-1)*100)&gt;100,"NM",IF(((DS340/DK340-1)*100)&lt;-50,"NM",(DS340/DK340-1)*100)))</f>
        <v>21.530789245446648</v>
      </c>
      <c r="DU340" s="137">
        <f>+DU331/DU317*100</f>
        <v>12.972972972972974</v>
      </c>
      <c r="DV340" s="98">
        <f>IF(ISERROR((DU340/DM340-1)*100),"NA",IF(((DU340/DM340-1)*100)&gt;100,"NM",IF(((DU340/DM340-1)*100)&lt;-50,"NM",(DU340/DM340-1)*100)))</f>
        <v>17.003079028395483</v>
      </c>
      <c r="DW340" s="137">
        <f>+DW331/DW317*100</f>
        <v>13.227513227513226</v>
      </c>
      <c r="DX340" s="98">
        <f>IF(ISERROR((DW340/DO340-1)*100),"NA",IF(((DW340/DO340-1)*100)&gt;100,"NM",IF(((DW340/DO340-1)*100)&lt;-50,"NM",(DW340/DO340-1)*100)))</f>
        <v>0.85978835978834933</v>
      </c>
      <c r="DY340" s="137">
        <f>+DY331/DY317*100</f>
        <v>12.887029288702928</v>
      </c>
      <c r="DZ340" s="98">
        <f>IF(ISERROR((DY340/DQ340-1)*100),"NA",IF(((DY340/DQ340-1)*100)&gt;100,"NM",IF(((DY340/DQ340-1)*100)&lt;-50,"NM",(DY340/DQ340-1)*100)))</f>
        <v>26.535686131829483</v>
      </c>
      <c r="EA340" s="137">
        <f>+EA331/EA317*100</f>
        <v>17.771883289124666</v>
      </c>
      <c r="EB340" s="98">
        <f>IF(ISERROR((EA340/DS340-1)*100),"NA",IF(((EA340/DS340-1)*100)&gt;100,"NM",IF(((EA340/DS340-1)*100)&lt;-50,"NM",(EA340/DS340-1)*100)))</f>
        <v>7.8472706966354888</v>
      </c>
      <c r="EC340" s="137">
        <f>+EC331/EC317*100</f>
        <v>15.20417028670721</v>
      </c>
      <c r="ED340" s="98">
        <f>IF(ISERROR((EC340/DU340-1)*100),"NA",IF(((EC340/DU340-1)*100)&gt;100,"NM",IF(((EC340/DU340-1)*100)&lt;-50,"NM",(EC340/DU340-1)*100)))</f>
        <v>17.198812626701397</v>
      </c>
      <c r="EE340" s="137">
        <f>+EE331/EE317*100</f>
        <v>15.474209650582363</v>
      </c>
      <c r="EF340" s="860">
        <f>IF(ISERROR((EE340/DW340-1)*100),"NA",IF(((EE340/DW340-1)*100)&gt;100,"NM",IF(((EE340/DW340-1)*100)&lt;-50,"NM",(EE340/DW340-1)*100)))</f>
        <v>16.985024958402683</v>
      </c>
      <c r="EG340" s="137">
        <f>+EG331/EG317*100</f>
        <v>11.700336700336699</v>
      </c>
      <c r="EH340" s="860">
        <f>IF(ISERROR((EG340/DY340-1)*100),"NA",IF(((EG340/DY340-1)*100)&gt;100,"NM",IF(((EG340/DY340-1)*100)&lt;-50,"NM",(EG340/DY340-1)*100)))</f>
        <v>-9.208426253880809</v>
      </c>
      <c r="EI340" s="137">
        <f>+EI331/EI317*100</f>
        <v>14.848236259228875</v>
      </c>
      <c r="EJ340" s="860">
        <f t="shared" ref="EJ340:EJ341" si="1739">IF(ISERROR((EI340/EA340-1)*100),"NA",IF(((EI340/EA340-1)*100)&gt;100,"NM",IF(((EI340/EA340-1)*100)&lt;-50,"NM",(EI340/EA340-1)*100)))</f>
        <v>-16.450969108518109</v>
      </c>
      <c r="EK340" s="137">
        <f>+EK331/EK317*100</f>
        <v>15.447822514379622</v>
      </c>
      <c r="EL340" s="860">
        <f t="shared" ref="EL340:EL341" si="1740">IF(ISERROR((EK340/EC340-1)*100),"NA",IF(((EK340/EC340-1)*100)&gt;100,"NM",IF(((EK340/EC340-1)*100)&lt;-50,"NM",(EK340/EC340-1)*100)))</f>
        <v>1.602535508862557</v>
      </c>
      <c r="EM340" s="137">
        <f>+EM331/EM317*100</f>
        <v>17.313915857605178</v>
      </c>
      <c r="EN340" s="860">
        <f t="shared" ref="EN340:EN341" si="1741">IF(ISERROR((EM340/EE340-1)*100),"NA",IF(((EM340/EE340-1)*100)&gt;100,"NM",IF(((EM340/EE340-1)*100)&lt;-50,"NM",(EM340/EE340-1)*100)))</f>
        <v>11.888854090545276</v>
      </c>
      <c r="EO340" s="137">
        <f>+EO331/EO317*100</f>
        <v>12.006079027355623</v>
      </c>
      <c r="EP340" s="98">
        <f t="shared" ref="EP340:EP341" si="1742">IF(ISERROR((EO340/EG340-1)*100),"NA",IF(((EO340/EG340-1)*100)&gt;100,"NM",IF(((EO340/EG340-1)*100)&lt;-50,"NM",(EO340/EG340-1)*100)))</f>
        <v>2.6131070827228875</v>
      </c>
      <c r="EQ340" s="842">
        <f t="shared" ref="EQ340" si="1743">+EQ331/EQ317*100</f>
        <v>15.055754413515423</v>
      </c>
      <c r="ER340" s="98">
        <f t="shared" ref="ER340:ER341" si="1744">IF(ISERROR((EQ340/EI340-1)*100),"NA",IF(((EQ340/EI340-1)*100)&gt;100,"NM",IF(((EQ340/EI340-1)*100)&lt;-50,"NM",(EQ340/EI340-1)*100)))</f>
        <v>1.397594641300004</v>
      </c>
      <c r="ES340" s="842">
        <f t="shared" ref="ES340" si="1745">+ES331/ES317*100</f>
        <v>15.3019852634319</v>
      </c>
      <c r="ET340" s="98">
        <f t="shared" ref="ET340:ET341" si="1746">IF(ISERROR((ES340/EK340-1)*100),"NA",IF(((ES340/EK340-1)*100)&gt;100,"NM",IF(((ES340/EK340-1)*100)&lt;-50,"NM",(ES340/EK340-1)*100)))</f>
        <v>-0.94406348086902847</v>
      </c>
      <c r="EU340" s="842">
        <f t="shared" ref="EU340" si="1747">+EU331/EU317*100</f>
        <v>15.905760361847271</v>
      </c>
      <c r="EV340" s="98">
        <f t="shared" ref="EV340:EV341" si="1748">IF(ISERROR((EU340/EM340-1)*100),"NA",IF(((EU340/EM340-1)*100)&gt;100,"NM",IF(((EU340/EM340-1)*100)&lt;-50,"NM",(EU340/EM340-1)*100)))</f>
        <v>-8.1330850128821126</v>
      </c>
      <c r="EW340" s="842">
        <f t="shared" ref="EW340" si="1749">+EW331/EW317*100</f>
        <v>12.908806768496618</v>
      </c>
      <c r="EX340" s="98">
        <f t="shared" ref="EX340:EX341" si="1750">IF(ISERROR((EW340/EO340-1)*100),"NA",IF(((EW340/EO340-1)*100)&gt;100,"NM",IF(((EW340/EO340-1)*100)&lt;-50,"NM",(EW340/EO340-1)*100)))</f>
        <v>7.5189221983642307</v>
      </c>
      <c r="EY340" s="282"/>
      <c r="EZ340" s="594"/>
      <c r="FA340" s="405"/>
      <c r="FB340" s="279"/>
      <c r="FC340" s="98"/>
      <c r="FD340" s="278"/>
      <c r="FE340" s="98"/>
      <c r="FF340" s="279"/>
      <c r="FG340" s="98"/>
      <c r="FH340" s="279"/>
      <c r="FI340" s="98"/>
      <c r="FJ340" s="282"/>
      <c r="FK340" s="98"/>
      <c r="FL340" s="282"/>
      <c r="FM340" s="98"/>
      <c r="FN340" s="282"/>
      <c r="FO340" s="98"/>
      <c r="FP340" s="282"/>
      <c r="FQ340" s="98"/>
      <c r="FR340" s="283"/>
      <c r="FS340" s="120"/>
      <c r="FT340" s="283"/>
      <c r="FU340" s="120"/>
      <c r="FV340" s="283"/>
      <c r="FW340" s="98"/>
      <c r="FX340" s="520"/>
      <c r="FY340" s="98"/>
      <c r="FZ340" s="283"/>
      <c r="GA340" s="98"/>
      <c r="GB340" s="487">
        <f>+GB331/GB317*100</f>
        <v>15.402458826258409</v>
      </c>
      <c r="GC340" s="98" t="str">
        <f>IF(ISERROR((GB340/FZ340-1)*100),"NA",IF(((GB340/FZ340-1)*100)&gt;100,"NM",IF(((GB340/FZ340-1)*100)&lt;-50,"NM",(GB340/FZ340-1)*100)))</f>
        <v>NA</v>
      </c>
      <c r="GD340" s="290">
        <f>+GD331/GD317*100</f>
        <v>15.577889447236181</v>
      </c>
      <c r="GE340" s="98">
        <f>IF(ISERROR((GD340/GB340-1)*100),"NA",IF(((GD340/GB340-1)*100)&gt;100,"NM",IF(((GD340/GB340-1)*100)&lt;-50,"NM",(GD340/GB340-1)*100)))</f>
        <v>1.1389780226433333</v>
      </c>
      <c r="GF340" s="290">
        <f>+GF331/GF317*100</f>
        <v>14.103068450039338</v>
      </c>
      <c r="GG340" s="98">
        <f>IF(ISERROR((GF340/GD340-1)*100),"NA",IF(((GF340/GD340-1)*100)&gt;100,"NM",IF(((GF340/GD340-1)*100)&lt;-50,"NM",(GF340/GD340-1)*100)))</f>
        <v>-9.4673993045861877</v>
      </c>
      <c r="GH340" s="290">
        <f>+GH331/GH317*100</f>
        <v>11.981234211476002</v>
      </c>
      <c r="GI340" s="98">
        <f>IF(ISERROR((GH340/GF340-1)*100),"NA",IF(((GH340/GF340-1)*100)&gt;100,"NM",IF(((GH340/GF340-1)*100)&lt;-50,"NM",(GH340/GF340-1)*100)))</f>
        <v>-15.045195632993025</v>
      </c>
      <c r="GJ340" s="290">
        <f>+GJ331/GJ317*100</f>
        <v>13.858069918358803</v>
      </c>
      <c r="GK340" s="98">
        <f>IF(ISERROR((GJ340/GH340-1)*100),"NA",IF(((GJ340/GH340-1)*100)&gt;100,"NM",IF(((GJ340/GH340-1)*100)&lt;-50,"NM",(GJ340/GH340-1)*100)))</f>
        <v>15.664794408952542</v>
      </c>
      <c r="GL340" s="290">
        <f>+GL331/GL317*100</f>
        <v>15.00428082191781</v>
      </c>
      <c r="GM340" s="98">
        <f>IF(ISERROR((GL340/GJ340-1)*100),"NA",IF(((GL340/GJ340-1)*100)&gt;100,"NM",IF(((GL340/GJ340-1)*100)&lt;-50,"NM",(GL340/GJ340-1)*100)))</f>
        <v>8.2710717315730875</v>
      </c>
      <c r="GN340" s="290">
        <f>+GN331/GN317*100</f>
        <v>14.855653568564556</v>
      </c>
      <c r="GO340" s="98">
        <f>IF(ISERROR((GN340/GL340-1)*100),"NA",IF(((GN340/GL340-1)*100)&gt;100,"NM",IF(((GN340/GL340-1)*100)&lt;-50,"NM",(GN340/GL340-1)*100)))</f>
        <v>-0.99056566000913504</v>
      </c>
      <c r="GP340" s="290">
        <f>+GP331/GP317*100</f>
        <v>14.782124134025418</v>
      </c>
      <c r="GQ340" s="98">
        <f>IF(ISERROR((GP340/GN340-1)*100),"NA",IF(((GP340/GN340-1)*100)&gt;100,"NM",IF(((GP340/GN340-1)*100)&lt;-50,"NM",(GP340/GN340-1)*100)))</f>
        <v>-0.49495927055495104</v>
      </c>
      <c r="GR340" s="289">
        <f>+GR331/GR317*100</f>
        <v>15.059157095185959</v>
      </c>
      <c r="GS340" s="98">
        <f>IF(ISERROR((GR340/GP340-1)*100),"NA",IF(((GR340/GP340-1)*100)&gt;100,"NM",IF(((GR340/GP340-1)*100)&lt;-50,"NM",(GR340/GP340-1)*100)))</f>
        <v>1.8741079336688005</v>
      </c>
      <c r="GT340" s="289">
        <f>+GT331/GT317*100</f>
        <v>15.05915709518594</v>
      </c>
      <c r="GU340" s="98">
        <f>IF(ISERROR((GT340/GR340-1)*100),"NA",IF(((GT340/GR340-1)*100)&gt;100,"NM",IF(((GT340/GR340-1)*100)&lt;-50,"NM",(GT340/GR340-1)*100)))</f>
        <v>-1.3322676295501878E-13</v>
      </c>
      <c r="GV340" s="289">
        <f>+GV331/GV317*100</f>
        <v>15.059157095185949</v>
      </c>
      <c r="GW340" s="98">
        <f>IF(ISERROR((GV340/GT340-1)*100),"NA",IF(((GV340/GT340-1)*100)&gt;100,"NM",IF(((GV340/GT340-1)*100)&lt;-50,"NM",(GV340/GT340-1)*100)))</f>
        <v>6.6613381477509392E-14</v>
      </c>
      <c r="GX340" s="289">
        <f>+GX331/GX317*100</f>
        <v>14.793199648377442</v>
      </c>
      <c r="GY340" s="98">
        <f>IF(ISERROR((GX340/GV340-1)*100),"NA",IF(((GX340/GV340-1)*100)&gt;100,"NM",IF(((GX340/GV340-1)*100)&lt;-50,"NM",(GX340/GV340-1)*100)))</f>
        <v>-1.7660845499349209</v>
      </c>
      <c r="GZ340" s="98">
        <f>IF(ISERROR(((GX340/GN340)^0.2-1)*100),"NA",IF((((GX340/GN340)^0.2-1)*100)&gt;100,"NM",IF((((GX340/GN340)^0.2-1)*100)&lt;-50,"NM",((GX340/GN340)^0.2-1)*100)))</f>
        <v>-8.4222763237440379E-2</v>
      </c>
      <c r="HA340" s="98"/>
      <c r="HB340" s="10"/>
      <c r="HC340"/>
      <c r="HD340"/>
      <c r="HE340"/>
      <c r="HF340"/>
      <c r="HG340"/>
      <c r="HH340"/>
      <c r="HI340" s="10"/>
    </row>
    <row r="341" spans="2:217" s="2" customFormat="1" ht="12.75" customHeight="1" x14ac:dyDescent="0.2">
      <c r="B341" s="91" t="s">
        <v>105</v>
      </c>
      <c r="C341" s="117"/>
      <c r="D341" s="98"/>
      <c r="E341" s="117"/>
      <c r="F341" s="98"/>
      <c r="G341" s="117"/>
      <c r="H341" s="98"/>
      <c r="I341" s="117"/>
      <c r="J341" s="98"/>
      <c r="K341" s="117"/>
      <c r="L341" s="98"/>
      <c r="M341" s="117"/>
      <c r="N341" s="98"/>
      <c r="O341" s="117"/>
      <c r="P341" s="98"/>
      <c r="Q341" s="117"/>
      <c r="R341" s="98"/>
      <c r="S341" s="182"/>
      <c r="T341" s="98"/>
      <c r="U341" s="182"/>
      <c r="V341" s="98"/>
      <c r="W341" s="182"/>
      <c r="X341" s="98"/>
      <c r="Y341" s="182"/>
      <c r="Z341" s="98"/>
      <c r="AA341" s="182"/>
      <c r="AB341" s="98"/>
      <c r="AC341" s="182"/>
      <c r="AD341" s="98"/>
      <c r="AE341" s="182"/>
      <c r="AF341" s="98"/>
      <c r="AG341" s="182"/>
      <c r="AH341" s="98"/>
      <c r="AI341" s="182"/>
      <c r="AJ341" s="98"/>
      <c r="AK341" s="182"/>
      <c r="AL341" s="98"/>
      <c r="AM341" s="182"/>
      <c r="AN341" s="98"/>
      <c r="AO341" s="182"/>
      <c r="AP341" s="98"/>
      <c r="AQ341" s="182"/>
      <c r="AR341" s="98"/>
      <c r="AS341" s="182"/>
      <c r="AT341" s="98"/>
      <c r="AU341" s="182"/>
      <c r="AV341" s="98"/>
      <c r="AW341" s="182"/>
      <c r="AX341" s="98"/>
      <c r="AY341" s="182"/>
      <c r="AZ341" s="98"/>
      <c r="BA341" s="182"/>
      <c r="BB341" s="98"/>
      <c r="BC341" s="182"/>
      <c r="BD341" s="98"/>
      <c r="BE341" s="182"/>
      <c r="BF341" s="98"/>
      <c r="BG341" s="182"/>
      <c r="BH341" s="98"/>
      <c r="BI341" s="182"/>
      <c r="BJ341" s="98"/>
      <c r="BK341" s="182"/>
      <c r="BL341" s="98"/>
      <c r="BM341" s="182"/>
      <c r="BN341" s="98"/>
      <c r="BO341" s="182"/>
      <c r="BP341" s="98"/>
      <c r="BQ341" s="182"/>
      <c r="BR341" s="98"/>
      <c r="BS341" s="182"/>
      <c r="BT341" s="98"/>
      <c r="BU341" s="182"/>
      <c r="BV341" s="98"/>
      <c r="BW341" s="182"/>
      <c r="BX341" s="98"/>
      <c r="BY341" s="182"/>
      <c r="BZ341" s="98"/>
      <c r="CA341" s="182"/>
      <c r="CB341" s="98"/>
      <c r="CC341" s="182"/>
      <c r="CD341" s="98"/>
      <c r="CE341" s="182"/>
      <c r="CF341" s="98"/>
      <c r="CG341" s="182"/>
      <c r="CH341" s="98"/>
      <c r="CI341" s="182"/>
      <c r="CJ341" s="98"/>
      <c r="CK341" s="182"/>
      <c r="CL341" s="98"/>
      <c r="CM341" s="137">
        <f>+CM334/CM317*100</f>
        <v>12.696747114375656</v>
      </c>
      <c r="CN341" s="98" t="str">
        <f>IF(ISERROR((CM341/CE341-1)*100),"NA",IF(((CM341/CE341-1)*100)&gt;100,"NM",IF(((CM341/CE341-1)*100)&lt;-50,"NM",(CM341/CE341-1)*100)))</f>
        <v>NA</v>
      </c>
      <c r="CO341" s="137">
        <f>+CO334/CO317*100</f>
        <v>11.569506726457398</v>
      </c>
      <c r="CP341" s="98" t="str">
        <f>IF(ISERROR((CO341/CG341-1)*100),"NA",IF(((CO341/CG341-1)*100)&gt;100,"NM",IF(((CO341/CG341-1)*100)&lt;-50,"NM",(CO341/CG341-1)*100)))</f>
        <v>NA</v>
      </c>
      <c r="CQ341" s="494">
        <f>+CQ334/CQ317*100</f>
        <v>12.186689714779602</v>
      </c>
      <c r="CR341" s="98" t="str">
        <f>IF(ISERROR((CQ341/CI341-1)*100),"NA",IF(((CQ341/CI341-1)*100)&gt;100,"NM",IF(((CQ341/CI341-1)*100)&lt;-50,"NM",(CQ341/CI341-1)*100)))</f>
        <v>NA</v>
      </c>
      <c r="CS341" s="137">
        <f>+CS334/CS317*100</f>
        <v>11.325966850828729</v>
      </c>
      <c r="CT341" s="98" t="str">
        <f>IF(ISERROR((CS341/CK341-1)*100),"NA",IF(((CS341/CK341-1)*100)&gt;100,"NM",IF(((CS341/CK341-1)*100)&lt;-50,"NM",(CS341/CK341-1)*100)))</f>
        <v>NA</v>
      </c>
      <c r="CU341" s="137">
        <f>+CU334/CU317*100</f>
        <v>12.478920741989882</v>
      </c>
      <c r="CV341" s="98">
        <f>IF(ISERROR((CU341/CM341-1)*100),"NA",IF(((CU341/CM341-1)*100)&gt;100,"NM",IF(((CU341/CM341-1)*100)&lt;-50,"NM",(CU341/CM341-1)*100)))</f>
        <v>-1.7156077097821743</v>
      </c>
      <c r="CW341" s="137">
        <f>+CW334/CW317*100</f>
        <v>11.904761904761903</v>
      </c>
      <c r="CX341" s="98">
        <f>IF(ISERROR((CW341/CO341-1)*100),"NA",IF(((CW341/CO341-1)*100)&gt;100,"NM",IF(((CW341/CO341-1)*100)&lt;-50,"NM",(CW341/CO341-1)*100)))</f>
        <v>2.8977482465854631</v>
      </c>
      <c r="CY341" s="137">
        <f>+CY334/CY317*100</f>
        <v>13.805631244323344</v>
      </c>
      <c r="CZ341" s="98">
        <f>IF(ISERROR((CY341/CQ341-1)*100),"NA",IF(((CY341/CQ341-1)*100)&gt;100,"NM",IF(((CY341/CQ341-1)*100)&lt;-50,"NM",(CY341/CQ341-1)*100)))</f>
        <v>13.28450602611424</v>
      </c>
      <c r="DA341" s="137">
        <f>+DA334/DA317*100</f>
        <v>12.802768166089965</v>
      </c>
      <c r="DB341" s="98">
        <f>IF(ISERROR((DA341/CS341-1)*100),"NA",IF(((DA341/CS341-1)*100)&gt;100,"NM",IF(((DA341/CS341-1)*100)&lt;-50,"NM",(DA341/CS341-1)*100)))</f>
        <v>13.039075027428471</v>
      </c>
      <c r="DC341" s="137">
        <f>+DC334/DC317*100</f>
        <v>12.108382726502963</v>
      </c>
      <c r="DD341" s="98">
        <f>IF(ISERROR((DC341/CU341-1)*100),"NA",IF(((DC341/CU341-1)*100)&gt;100,"NM",IF(((DC341/CU341-1)*100)&lt;-50,"NM",(DC341/CU341-1)*100)))</f>
        <v>-2.9693113943748961</v>
      </c>
      <c r="DE341" s="137">
        <f>+DE334/DE317*100</f>
        <v>10.154346060113728</v>
      </c>
      <c r="DF341" s="98">
        <f>IF(ISERROR((DE341/CW341-1)*100),"NA",IF(((DE341/CW341-1)*100)&gt;100,"NM",IF(((DE341/CW341-1)*100)&lt;-50,"NM",(DE341/CW341-1)*100)))</f>
        <v>-14.703493095044673</v>
      </c>
      <c r="DG341" s="137">
        <f>+DG334/DG317*100</f>
        <v>10.488958990536277</v>
      </c>
      <c r="DH341" s="98">
        <f>IF(ISERROR((DG341/CY341-1)*100),"NA",IF(((DG341/CY341-1)*100)&gt;100,"NM",IF(((DG341/CY341-1)*100)&lt;-50,"NM",(DG341/CY341-1)*100)))</f>
        <v>-24.024053627760267</v>
      </c>
      <c r="DI341" s="137">
        <f>+DI334/DI317*100</f>
        <v>12.321937321937321</v>
      </c>
      <c r="DJ341" s="98">
        <f>IF(ISERROR((DI341/DA341-1)*100),"NA",IF(((DI341/DA341-1)*100)&gt;100,"NM",IF(((DI341/DA341-1)*100)&lt;-50,"NM",(DI341/DA341-1)*100)))</f>
        <v>-3.7556787556787596</v>
      </c>
      <c r="DK341" s="137">
        <f>+DK334/DK317*100</f>
        <v>12.172573189522343</v>
      </c>
      <c r="DL341" s="98">
        <f>IF(ISERROR((DK341/DC341-1)*100),"NA",IF(((DK341/DC341-1)*100)&gt;100,"NM",IF(((DK341/DC341-1)*100)&lt;-50,"NM",(DK341/DC341-1)*100)))</f>
        <v>0.53013242535584482</v>
      </c>
      <c r="DM341" s="137">
        <f>+DM334/DM317*100</f>
        <v>9.5438596491228065</v>
      </c>
      <c r="DN341" s="98">
        <f>IF(ISERROR((DM341/DE341-1)*100),"NA",IF(((DM341/DE341-1)*100)&gt;100,"NM",IF(((DM341/DE341-1)*100)&lt;-50,"NM",(DM341/DE341-1)*100)))</f>
        <v>-6.0120701754385886</v>
      </c>
      <c r="DO341" s="137">
        <f>+DO334/DO317*100</f>
        <v>8.3333333333333321</v>
      </c>
      <c r="DP341" s="98">
        <f>IF(ISERROR((DO341/DG341-1)*100),"NA",IF(((DO341/DG341-1)*100)&gt;100,"NM",IF(((DO341/DG341-1)*100)&lt;-50,"NM",(DO341/DG341-1)*100)))</f>
        <v>-20.551378446115297</v>
      </c>
      <c r="DQ341" s="137">
        <f>+DQ334/DQ317*100</f>
        <v>11.21771217712177</v>
      </c>
      <c r="DR341" s="98">
        <f>IF(ISERROR((DQ341/DI341-1)*100),"NA",IF(((DQ341/DI341-1)*100)&gt;100,"NM",IF(((DQ341/DI341-1)*100)&lt;-50,"NM",(DQ341/DI341-1)*100)))</f>
        <v>-8.9614572446302549</v>
      </c>
      <c r="DS341" s="137">
        <f>+DS334/DS317*100</f>
        <v>12.922810060711187</v>
      </c>
      <c r="DT341" s="98">
        <f>IF(ISERROR((DS341/DK341-1)*100),"NA",IF(((DS341/DK341-1)*100)&gt;100,"NM",IF(((DS341/DK341-1)*100)&lt;-50,"NM",(DS341/DK341-1)*100)))</f>
        <v>6.163338346855185</v>
      </c>
      <c r="DU341" s="137">
        <f>+DU334/DU317*100</f>
        <v>10.501930501930502</v>
      </c>
      <c r="DV341" s="98">
        <f>IF(ISERROR((DU341/DM341-1)*100),"NA",IF(((DU341/DM341-1)*100)&gt;100,"NM",IF(((DU341/DM341-1)*100)&lt;-50,"NM",(DU341/DM341-1)*100)))</f>
        <v>10.038610038610042</v>
      </c>
      <c r="DW341" s="137">
        <f>+DW334/DW317*100</f>
        <v>16.137566137566136</v>
      </c>
      <c r="DX341" s="98">
        <f>IF(ISERROR((DW341/DO341-1)*100),"NA",IF(((DW341/DO341-1)*100)&gt;100,"NM",IF(((DW341/DO341-1)*100)&lt;-50,"NM",(DW341/DO341-1)*100)))</f>
        <v>93.650793650793645</v>
      </c>
      <c r="DY341" s="137">
        <f>+DY334/DY317*100</f>
        <v>13.138075313807532</v>
      </c>
      <c r="DZ341" s="98">
        <f>IF(ISERROR((DY341/DQ341-1)*100),"NA",IF(((DY341/DQ341-1)*100)&gt;100,"NM",IF(((DY341/DQ341-1)*100)&lt;-50,"NM",(DY341/DQ341-1)*100)))</f>
        <v>17.119026646113198</v>
      </c>
      <c r="EA341" s="137">
        <f>+EA334/EA317*100</f>
        <v>13.351016799292662</v>
      </c>
      <c r="EB341" s="98">
        <f>IF(ISERROR((EA341/DS341-1)*100),"NA",IF(((EA341/DS341-1)*100)&gt;100,"NM",IF(((EA341/DS341-1)*100)&lt;-50,"NM",(EA341/DS341-1)*100)))</f>
        <v>3.3135729502311362</v>
      </c>
      <c r="EC341" s="137">
        <f>+EC334/EC317*100</f>
        <v>11.902693310165075</v>
      </c>
      <c r="ED341" s="98">
        <f>IF(ISERROR((EC341/DU341-1)*100),"NA",IF(((EC341/DU341-1)*100)&gt;100,"NM",IF(((EC341/DU341-1)*100)&lt;-50,"NM",(EC341/DU341-1)*100)))</f>
        <v>13.338145857821848</v>
      </c>
      <c r="EE341" s="137">
        <f>+EE334/EE317*100</f>
        <v>11.064891846921796</v>
      </c>
      <c r="EF341" s="860">
        <f>IF(ISERROR((EE341/DW341-1)*100),"NA",IF(((EE341/DW341-1)*100)&gt;100,"NM",IF(((EE341/DW341-1)*100)&lt;-50,"NM",(EE341/DW341-1)*100)))</f>
        <v>-31.433948883009187</v>
      </c>
      <c r="EG341" s="137">
        <f>+EG334/EG317*100</f>
        <v>10.26936026936027</v>
      </c>
      <c r="EH341" s="860">
        <f>IF(ISERROR((EG341/DY341-1)*100),"NA",IF(((EG341/DY341-1)*100)&gt;100,"NM",IF(((EG341/DY341-1)*100)&lt;-50,"NM",(EG341/DY341-1)*100)))</f>
        <v>-21.835124064423429</v>
      </c>
      <c r="EI341" s="137">
        <f>+EI334/EI317*100</f>
        <v>11.73092698933552</v>
      </c>
      <c r="EJ341" s="860">
        <f t="shared" si="1739"/>
        <v>-12.134579967294879</v>
      </c>
      <c r="EK341" s="137">
        <f>+EK334/EK317*100</f>
        <v>12.654067378800329</v>
      </c>
      <c r="EL341" s="860">
        <f t="shared" si="1740"/>
        <v>6.3126390729866921</v>
      </c>
      <c r="EM341" s="137">
        <f>+EM334/EM317*100</f>
        <v>13.187702265372167</v>
      </c>
      <c r="EN341" s="860">
        <f t="shared" si="1741"/>
        <v>19.185098669002599</v>
      </c>
      <c r="EO341" s="137">
        <f>+EO334/EO317*100</f>
        <v>9.4984802431610955</v>
      </c>
      <c r="EP341" s="98">
        <f t="shared" si="1742"/>
        <v>-7.5066022223329476</v>
      </c>
      <c r="EQ341" s="1045">
        <f t="shared" ref="EQ341" si="1751">+EQ334/EQ317*100</f>
        <v>11.911198111958404</v>
      </c>
      <c r="ER341" s="98">
        <f t="shared" si="1744"/>
        <v>1.5367167725685027</v>
      </c>
      <c r="ES341" s="1045">
        <f t="shared" ref="ES341" si="1752">+ES334/ES317*100</f>
        <v>12.106000999550554</v>
      </c>
      <c r="ET341" s="98">
        <f t="shared" si="1746"/>
        <v>-4.3311479451102368</v>
      </c>
      <c r="EU341" s="1045">
        <f t="shared" ref="EU341" si="1753">+EU334/EU317*100</f>
        <v>12.583671172347524</v>
      </c>
      <c r="EV341" s="98">
        <f t="shared" si="1748"/>
        <v>-4.5802603127512835</v>
      </c>
      <c r="EW341" s="1045">
        <f t="shared" ref="EW341" si="1754">+EW334/EW317*100</f>
        <v>10.212663582671375</v>
      </c>
      <c r="EX341" s="98">
        <f t="shared" si="1750"/>
        <v>7.5189221983642307</v>
      </c>
      <c r="EY341" s="282"/>
      <c r="EZ341" s="594"/>
      <c r="FA341" s="405"/>
      <c r="FB341" s="279"/>
      <c r="FC341" s="98"/>
      <c r="FD341" s="278"/>
      <c r="FE341" s="98"/>
      <c r="FF341" s="279"/>
      <c r="FG341" s="98"/>
      <c r="FH341" s="279"/>
      <c r="FI341" s="98"/>
      <c r="FJ341" s="282"/>
      <c r="FK341" s="98"/>
      <c r="FL341" s="282"/>
      <c r="FM341" s="98"/>
      <c r="FN341" s="282"/>
      <c r="FO341" s="98"/>
      <c r="FP341" s="282"/>
      <c r="FQ341" s="98"/>
      <c r="FR341" s="283"/>
      <c r="FS341" s="120"/>
      <c r="FT341" s="283"/>
      <c r="FU341" s="120"/>
      <c r="FV341" s="283"/>
      <c r="FW341" s="98"/>
      <c r="FX341" s="520"/>
      <c r="FY341" s="98"/>
      <c r="FZ341" s="283"/>
      <c r="GA341" s="98"/>
      <c r="GB341" s="483">
        <f>+GB334/GB317*100</f>
        <v>11.922987705868708</v>
      </c>
      <c r="GC341" s="98" t="str">
        <f>IF(ISERROR((GB341/FZ341-1)*100),"NA",IF(((GB341/FZ341-1)*100)&gt;100,"NM",IF(((GB341/FZ341-1)*100)&lt;-50,"NM",(GB341/FZ341-1)*100)))</f>
        <v>NA</v>
      </c>
      <c r="GD341" s="292">
        <f>+GD334/GD317*100</f>
        <v>12.737601048721869</v>
      </c>
      <c r="GE341" s="98">
        <f>IF(ISERROR((GD341/GB341-1)*100),"NA",IF(((GD341/GB341-1)*100)&gt;100,"NM",IF(((GD341/GB341-1)*100)&lt;-50,"NM",(GD341/GB341-1)*100)))</f>
        <v>6.8322920642801099</v>
      </c>
      <c r="GF341" s="292">
        <f>+GF334/GF317*100</f>
        <v>11.29032258064516</v>
      </c>
      <c r="GG341" s="98">
        <f>IF(ISERROR((GF341/GD341-1)*100),"NA",IF(((GF341/GD341-1)*100)&gt;100,"NM",IF(((GF341/GD341-1)*100)&lt;-50,"NM",(GF341/GD341-1)*100)))</f>
        <v>-11.362253084712004</v>
      </c>
      <c r="GH341" s="292">
        <f>+GH334/GH317*100</f>
        <v>10.249007578491518</v>
      </c>
      <c r="GI341" s="98">
        <f>IF(ISERROR((GH341/GF341-1)*100),"NA",IF(((GH341/GF341-1)*100)&gt;100,"NM",IF(((GH341/GF341-1)*100)&lt;-50,"NM",(GH341/GF341-1)*100)))</f>
        <v>-9.2230757333608295</v>
      </c>
      <c r="GJ341" s="292">
        <f>+GJ334/GJ317*100</f>
        <v>13.083525225036635</v>
      </c>
      <c r="GK341" s="98">
        <f>IF(ISERROR((GJ341/GH341-1)*100),"NA",IF(((GJ341/GH341-1)*100)&gt;100,"NM",IF(((GJ341/GH341-1)*100)&lt;-50,"NM",(GJ341/GH341-1)*100)))</f>
        <v>27.656508445691962</v>
      </c>
      <c r="GL341" s="292">
        <f>+GL334/GL317*100</f>
        <v>11.622431506849315</v>
      </c>
      <c r="GM341" s="98">
        <f>IF(ISERROR((GL341/GJ341-1)*100),"NA",IF(((GL341/GJ341-1)*100)&gt;100,"NM",IF(((GL341/GJ341-1)*100)&lt;-50,"NM",(GL341/GJ341-1)*100)))</f>
        <v>-11.167431506849324</v>
      </c>
      <c r="GN341" s="292">
        <f>+GN334/GN317*100</f>
        <v>11.728147554129912</v>
      </c>
      <c r="GO341" s="98">
        <f>IF(ISERROR((GN341/GL341-1)*100),"NA",IF(((GN341/GL341-1)*100)&gt;100,"NM",IF(((GN341/GL341-1)*100)&lt;-50,"NM",(GN341/GL341-1)*100)))</f>
        <v>0.90958632209015011</v>
      </c>
      <c r="GP341" s="292">
        <f>+GP334/GP317*100</f>
        <v>11.69471846046315</v>
      </c>
      <c r="GQ341" s="98">
        <f>IF(ISERROR((GP341/GN341-1)*100),"NA",IF(((GP341/GN341-1)*100)&gt;100,"NM",IF(((GP341/GN341-1)*100)&lt;-50,"NM",(GP341/GN341-1)*100)))</f>
        <v>-0.285033024290271</v>
      </c>
      <c r="GR341" s="291">
        <f>+GR334/GR317*100</f>
        <v>11.913890106950923</v>
      </c>
      <c r="GS341" s="98">
        <f>IF(ISERROR((GR341/GP341-1)*100),"NA",IF(((GR341/GP341-1)*100)&gt;100,"NM",IF(((GR341/GP341-1)*100)&lt;-50,"NM",(GR341/GP341-1)*100)))</f>
        <v>1.8741079336688227</v>
      </c>
      <c r="GT341" s="291">
        <f>+GT334/GT317*100</f>
        <v>11.913890106950907</v>
      </c>
      <c r="GU341" s="98">
        <f>IF(ISERROR((GT341/GR341-1)*100),"NA",IF(((GT341/GR341-1)*100)&gt;100,"NM",IF(((GT341/GR341-1)*100)&lt;-50,"NM",(GT341/GR341-1)*100)))</f>
        <v>-1.3322676295501878E-13</v>
      </c>
      <c r="GV341" s="291">
        <f>+GV334/GV317*100</f>
        <v>11.913890106950914</v>
      </c>
      <c r="GW341" s="98">
        <f>IF(ISERROR((GV341/GT341-1)*100),"NA",IF(((GV341/GT341-1)*100)&gt;100,"NM",IF(((GV341/GT341-1)*100)&lt;-50,"NM",(GV341/GT341-1)*100)))</f>
        <v>6.6613381477509392E-14</v>
      </c>
      <c r="GX341" s="291">
        <f>+GX334/GX317*100</f>
        <v>11.703480734475828</v>
      </c>
      <c r="GY341" s="98">
        <f>IF(ISERROR((GX341/GV341-1)*100),"NA",IF(((GX341/GV341-1)*100)&gt;100,"NM",IF(((GX341/GV341-1)*100)&lt;-50,"NM",(GX341/GV341-1)*100)))</f>
        <v>-1.7660845499349209</v>
      </c>
      <c r="GZ341" s="98">
        <f>IF(ISERROR(((GX341/GN341)^0.2-1)*100),"NA",IF((((GX341/GN341)^0.2-1)*100)&gt;100,"NM",IF((((GX341/GN341)^0.2-1)*100)&lt;-50,"NM",((GX341/GN341)^0.2-1)*100)))</f>
        <v>-4.2099739314083173E-2</v>
      </c>
      <c r="HA341" s="98"/>
      <c r="HB341" s="10"/>
      <c r="HC341"/>
      <c r="HD341"/>
      <c r="HE341"/>
      <c r="HF341"/>
      <c r="HG341"/>
      <c r="HH341"/>
      <c r="HI341" s="10"/>
    </row>
    <row r="342" spans="2:217" s="2" customFormat="1" ht="12.75" hidden="1" customHeight="1" outlineLevel="1" x14ac:dyDescent="0.2">
      <c r="B342" s="179" t="s">
        <v>20</v>
      </c>
      <c r="C342" s="117"/>
      <c r="D342" s="98"/>
      <c r="E342" s="117"/>
      <c r="F342" s="98"/>
      <c r="G342" s="117"/>
      <c r="H342" s="98"/>
      <c r="I342" s="117"/>
      <c r="J342" s="98"/>
      <c r="K342" s="117"/>
      <c r="L342" s="98"/>
      <c r="M342" s="117"/>
      <c r="N342" s="98"/>
      <c r="O342" s="117"/>
      <c r="P342" s="98"/>
      <c r="Q342" s="117"/>
      <c r="R342" s="98"/>
      <c r="S342" s="182"/>
      <c r="T342" s="98"/>
      <c r="U342" s="182"/>
      <c r="V342" s="98"/>
      <c r="W342" s="182"/>
      <c r="X342" s="98"/>
      <c r="Y342" s="182"/>
      <c r="Z342" s="98"/>
      <c r="AA342" s="182"/>
      <c r="AB342" s="98"/>
      <c r="AC342" s="182"/>
      <c r="AD342" s="98"/>
      <c r="AE342" s="182"/>
      <c r="AF342" s="98"/>
      <c r="AG342" s="182"/>
      <c r="AH342" s="98"/>
      <c r="AI342" s="182"/>
      <c r="AJ342" s="98"/>
      <c r="AK342" s="182"/>
      <c r="AL342" s="98"/>
      <c r="AM342" s="182"/>
      <c r="AN342" s="98"/>
      <c r="AO342" s="182"/>
      <c r="AP342" s="98"/>
      <c r="AQ342" s="182"/>
      <c r="AR342" s="98"/>
      <c r="AS342" s="182"/>
      <c r="AT342" s="98"/>
      <c r="AU342" s="182"/>
      <c r="AV342" s="98"/>
      <c r="AW342" s="182"/>
      <c r="AX342" s="98"/>
      <c r="AY342" s="182"/>
      <c r="AZ342" s="98"/>
      <c r="BA342" s="182"/>
      <c r="BB342" s="98"/>
      <c r="BC342" s="182"/>
      <c r="BD342" s="98"/>
      <c r="BE342" s="182"/>
      <c r="BF342" s="98"/>
      <c r="BG342" s="182"/>
      <c r="BH342" s="98"/>
      <c r="BI342" s="182"/>
      <c r="BJ342" s="98"/>
      <c r="BK342" s="182"/>
      <c r="BL342" s="98"/>
      <c r="BM342" s="182"/>
      <c r="BN342" s="98"/>
      <c r="BO342" s="182"/>
      <c r="BP342" s="98"/>
      <c r="BQ342" s="182"/>
      <c r="BR342" s="98"/>
      <c r="BS342" s="182"/>
      <c r="BT342" s="98"/>
      <c r="BU342" s="182"/>
      <c r="BV342" s="98"/>
      <c r="BW342" s="182"/>
      <c r="BX342" s="98"/>
      <c r="BY342" s="182"/>
      <c r="BZ342" s="98"/>
      <c r="CA342" s="182"/>
      <c r="CB342" s="98"/>
      <c r="CC342" s="182"/>
      <c r="CD342" s="98"/>
      <c r="CE342" s="182"/>
      <c r="CF342" s="98"/>
      <c r="CG342" s="182"/>
      <c r="CH342" s="98"/>
      <c r="CI342" s="182"/>
      <c r="CJ342" s="98"/>
      <c r="CK342" s="182"/>
      <c r="CL342" s="98"/>
      <c r="CM342" s="182"/>
      <c r="CN342" s="98"/>
      <c r="CO342" s="182"/>
      <c r="CP342" s="98"/>
      <c r="CQ342" s="512"/>
      <c r="CR342" s="98"/>
      <c r="CS342" s="182"/>
      <c r="CT342" s="98"/>
      <c r="CU342" s="182"/>
      <c r="CV342" s="98"/>
      <c r="CW342" s="182"/>
      <c r="CX342" s="98"/>
      <c r="CY342" s="182"/>
      <c r="CZ342" s="98"/>
      <c r="DA342" s="182"/>
      <c r="DB342" s="98"/>
      <c r="DC342" s="182"/>
      <c r="DD342" s="98"/>
      <c r="DE342" s="182"/>
      <c r="DF342" s="98"/>
      <c r="DG342" s="182"/>
      <c r="DH342" s="98"/>
      <c r="DI342" s="182"/>
      <c r="DJ342" s="98"/>
      <c r="DK342" s="182"/>
      <c r="DL342" s="98"/>
      <c r="DM342" s="182"/>
      <c r="DN342" s="98"/>
      <c r="DO342" s="182"/>
      <c r="DP342" s="98"/>
      <c r="DQ342" s="182"/>
      <c r="DR342" s="98"/>
      <c r="DS342" s="182"/>
      <c r="DT342" s="98"/>
      <c r="DU342" s="182"/>
      <c r="DV342" s="98"/>
      <c r="DW342" s="182"/>
      <c r="DX342" s="98"/>
      <c r="DY342" s="182"/>
      <c r="DZ342" s="98"/>
      <c r="EA342" s="182"/>
      <c r="EB342" s="98"/>
      <c r="EC342" s="182"/>
      <c r="ED342" s="98"/>
      <c r="EE342" s="182"/>
      <c r="EF342" s="860"/>
      <c r="EG342" s="182"/>
      <c r="EH342" s="860"/>
      <c r="EI342" s="182"/>
      <c r="EJ342" s="860"/>
      <c r="EK342" s="182"/>
      <c r="EL342" s="860"/>
      <c r="EM342" s="182"/>
      <c r="EN342" s="860"/>
      <c r="EO342" s="182"/>
      <c r="EP342" s="98"/>
      <c r="EQ342" s="795"/>
      <c r="ER342" s="98"/>
      <c r="ES342" s="795"/>
      <c r="ET342" s="98"/>
      <c r="EU342" s="795"/>
      <c r="EV342" s="98"/>
      <c r="EW342" s="795"/>
      <c r="EX342" s="98"/>
      <c r="EY342" s="282"/>
      <c r="EZ342" s="594"/>
      <c r="FA342" s="405"/>
      <c r="FB342" s="279"/>
      <c r="FC342" s="98"/>
      <c r="FD342" s="278"/>
      <c r="FE342" s="98"/>
      <c r="FF342" s="279"/>
      <c r="FG342" s="98"/>
      <c r="FH342" s="279"/>
      <c r="FI342" s="98"/>
      <c r="FJ342" s="282"/>
      <c r="FK342" s="98"/>
      <c r="FL342" s="282"/>
      <c r="FM342" s="98"/>
      <c r="FN342" s="282"/>
      <c r="FO342" s="98"/>
      <c r="FP342" s="282"/>
      <c r="FQ342" s="98"/>
      <c r="FR342" s="283"/>
      <c r="FS342" s="120"/>
      <c r="FT342" s="283"/>
      <c r="FU342" s="120"/>
      <c r="FV342" s="283"/>
      <c r="FW342" s="98"/>
      <c r="FX342" s="520"/>
      <c r="FY342" s="98"/>
      <c r="FZ342" s="283"/>
      <c r="GA342" s="98"/>
      <c r="GB342" s="520"/>
      <c r="GC342" s="98"/>
      <c r="GD342" s="283"/>
      <c r="GE342" s="98"/>
      <c r="GF342" s="283"/>
      <c r="GG342" s="98"/>
      <c r="GH342" s="649">
        <v>200</v>
      </c>
      <c r="GI342" s="98"/>
      <c r="GJ342" s="649">
        <f>GH342*1.1</f>
        <v>220.00000000000003</v>
      </c>
      <c r="GK342" s="98"/>
      <c r="GL342" s="649">
        <f>GJ342*1.1</f>
        <v>242.00000000000006</v>
      </c>
      <c r="GM342" s="98"/>
      <c r="GN342" s="649">
        <f>GL342*1.1</f>
        <v>266.2000000000001</v>
      </c>
      <c r="GO342" s="98"/>
      <c r="GP342" s="649">
        <f>GN342*1.1</f>
        <v>292.82000000000016</v>
      </c>
      <c r="GQ342" s="98"/>
      <c r="GR342" s="649">
        <f>GP342*1.1</f>
        <v>322.1020000000002</v>
      </c>
      <c r="GS342" s="98"/>
      <c r="GT342" s="649">
        <f>GR342*1.1</f>
        <v>354.31220000000025</v>
      </c>
      <c r="GU342" s="98"/>
      <c r="GV342" s="649">
        <f>GT342*1.1</f>
        <v>389.7434200000003</v>
      </c>
      <c r="GW342" s="98"/>
      <c r="GX342" s="649">
        <f>GV342*1.1</f>
        <v>428.71776200000039</v>
      </c>
      <c r="GY342" s="98"/>
      <c r="GZ342" s="98"/>
      <c r="HA342" s="98"/>
      <c r="HB342" s="10"/>
      <c r="HC342"/>
      <c r="HD342"/>
      <c r="HE342"/>
      <c r="HF342"/>
      <c r="HG342"/>
      <c r="HH342"/>
      <c r="HI342" s="10"/>
    </row>
    <row r="343" spans="2:217" s="2" customFormat="1" ht="12.75" hidden="1" customHeight="1" outlineLevel="1" x14ac:dyDescent="0.2">
      <c r="B343" s="179" t="s">
        <v>84</v>
      </c>
      <c r="C343" s="117"/>
      <c r="D343" s="98"/>
      <c r="E343" s="117"/>
      <c r="F343" s="98"/>
      <c r="G343" s="117"/>
      <c r="H343" s="98"/>
      <c r="I343" s="117"/>
      <c r="J343" s="98"/>
      <c r="K343" s="117"/>
      <c r="L343" s="98"/>
      <c r="M343" s="117"/>
      <c r="N343" s="98"/>
      <c r="O343" s="117"/>
      <c r="P343" s="98"/>
      <c r="Q343" s="117"/>
      <c r="R343" s="98"/>
      <c r="S343" s="182"/>
      <c r="T343" s="98"/>
      <c r="U343" s="182"/>
      <c r="V343" s="98"/>
      <c r="W343" s="182"/>
      <c r="X343" s="98"/>
      <c r="Y343" s="182"/>
      <c r="Z343" s="98"/>
      <c r="AA343" s="182"/>
      <c r="AB343" s="98"/>
      <c r="AC343" s="182"/>
      <c r="AD343" s="98"/>
      <c r="AE343" s="182"/>
      <c r="AF343" s="98"/>
      <c r="AG343" s="182"/>
      <c r="AH343" s="98"/>
      <c r="AI343" s="182"/>
      <c r="AJ343" s="98"/>
      <c r="AK343" s="182"/>
      <c r="AL343" s="98"/>
      <c r="AM343" s="182"/>
      <c r="AN343" s="98"/>
      <c r="AO343" s="182"/>
      <c r="AP343" s="98"/>
      <c r="AQ343" s="182"/>
      <c r="AR343" s="98"/>
      <c r="AS343" s="182"/>
      <c r="AT343" s="98"/>
      <c r="AU343" s="182"/>
      <c r="AV343" s="98"/>
      <c r="AW343" s="182"/>
      <c r="AX343" s="98"/>
      <c r="AY343" s="182"/>
      <c r="AZ343" s="98"/>
      <c r="BA343" s="182"/>
      <c r="BB343" s="98"/>
      <c r="BC343" s="182"/>
      <c r="BD343" s="98"/>
      <c r="BE343" s="182"/>
      <c r="BF343" s="98"/>
      <c r="BG343" s="182"/>
      <c r="BH343" s="98"/>
      <c r="BI343" s="182"/>
      <c r="BJ343" s="98"/>
      <c r="BK343" s="182"/>
      <c r="BL343" s="98"/>
      <c r="BM343" s="182"/>
      <c r="BN343" s="98"/>
      <c r="BO343" s="182"/>
      <c r="BP343" s="98"/>
      <c r="BQ343" s="182"/>
      <c r="BR343" s="98"/>
      <c r="BS343" s="182"/>
      <c r="BT343" s="98"/>
      <c r="BU343" s="182"/>
      <c r="BV343" s="98"/>
      <c r="BW343" s="182"/>
      <c r="BX343" s="98"/>
      <c r="BY343" s="182"/>
      <c r="BZ343" s="98"/>
      <c r="CA343" s="182"/>
      <c r="CB343" s="98"/>
      <c r="CC343" s="182"/>
      <c r="CD343" s="98"/>
      <c r="CE343" s="182"/>
      <c r="CF343" s="98"/>
      <c r="CG343" s="182"/>
      <c r="CH343" s="98"/>
      <c r="CI343" s="182"/>
      <c r="CJ343" s="98"/>
      <c r="CK343" s="182"/>
      <c r="CL343" s="98"/>
      <c r="CM343" s="182"/>
      <c r="CN343" s="98"/>
      <c r="CO343" s="182"/>
      <c r="CP343" s="98"/>
      <c r="CQ343" s="182"/>
      <c r="CR343" s="98"/>
      <c r="CS343" s="182"/>
      <c r="CT343" s="98"/>
      <c r="CU343" s="182"/>
      <c r="CV343" s="98"/>
      <c r="CW343" s="182"/>
      <c r="CX343" s="98"/>
      <c r="CY343" s="182"/>
      <c r="CZ343" s="98"/>
      <c r="DA343" s="182"/>
      <c r="DB343" s="98"/>
      <c r="DC343" s="182"/>
      <c r="DD343" s="98"/>
      <c r="DE343" s="182"/>
      <c r="DF343" s="98"/>
      <c r="DG343" s="182"/>
      <c r="DH343" s="98"/>
      <c r="DI343" s="182"/>
      <c r="DJ343" s="98"/>
      <c r="DK343" s="182"/>
      <c r="DL343" s="98"/>
      <c r="DM343" s="182"/>
      <c r="DN343" s="98"/>
      <c r="DO343" s="182"/>
      <c r="DP343" s="98"/>
      <c r="DQ343" s="182"/>
      <c r="DR343" s="98"/>
      <c r="DS343" s="182"/>
      <c r="DT343" s="98"/>
      <c r="DU343" s="182"/>
      <c r="DV343" s="98"/>
      <c r="DW343" s="182"/>
      <c r="DX343" s="98"/>
      <c r="DY343" s="182"/>
      <c r="DZ343" s="98"/>
      <c r="EA343" s="182"/>
      <c r="EB343" s="98"/>
      <c r="EC343" s="182"/>
      <c r="ED343" s="98"/>
      <c r="EE343" s="182"/>
      <c r="EF343" s="860"/>
      <c r="EG343" s="182"/>
      <c r="EH343" s="860"/>
      <c r="EI343" s="182"/>
      <c r="EJ343" s="860"/>
      <c r="EK343" s="182"/>
      <c r="EL343" s="860"/>
      <c r="EM343" s="182"/>
      <c r="EN343" s="860"/>
      <c r="EO343" s="182"/>
      <c r="EP343" s="98"/>
      <c r="EQ343" s="795"/>
      <c r="ER343" s="98"/>
      <c r="ES343" s="795"/>
      <c r="ET343" s="98"/>
      <c r="EU343" s="795"/>
      <c r="EV343" s="98"/>
      <c r="EW343" s="795"/>
      <c r="EX343" s="98"/>
      <c r="EY343" s="282"/>
      <c r="EZ343" s="594"/>
      <c r="FA343" s="405"/>
      <c r="FB343" s="279"/>
      <c r="FC343" s="98"/>
      <c r="FD343" s="278"/>
      <c r="FE343" s="98"/>
      <c r="FF343" s="279"/>
      <c r="FG343" s="98"/>
      <c r="FH343" s="279"/>
      <c r="FI343" s="98"/>
      <c r="FJ343" s="282"/>
      <c r="FK343" s="98"/>
      <c r="FL343" s="282"/>
      <c r="FM343" s="98"/>
      <c r="FN343" s="282"/>
      <c r="FO343" s="98"/>
      <c r="FP343" s="282"/>
      <c r="FQ343" s="98"/>
      <c r="FR343" s="283"/>
      <c r="FS343" s="120"/>
      <c r="FT343" s="283"/>
      <c r="FU343" s="120"/>
      <c r="FV343" s="283"/>
      <c r="FW343" s="98"/>
      <c r="FX343" s="520"/>
      <c r="FY343" s="98"/>
      <c r="FZ343" s="283"/>
      <c r="GA343" s="98"/>
      <c r="GB343" s="520"/>
      <c r="GC343" s="98"/>
      <c r="GD343" s="283"/>
      <c r="GE343" s="98"/>
      <c r="GF343" s="649">
        <v>517</v>
      </c>
      <c r="GG343" s="98"/>
      <c r="GH343" s="649">
        <f>GF343*1.1</f>
        <v>568.70000000000005</v>
      </c>
      <c r="GI343" s="98"/>
      <c r="GJ343" s="649">
        <f>GH343*1.1</f>
        <v>625.57000000000005</v>
      </c>
      <c r="GK343" s="98"/>
      <c r="GL343" s="649">
        <f>GJ343*1.1</f>
        <v>688.12700000000007</v>
      </c>
      <c r="GM343" s="98"/>
      <c r="GN343" s="649">
        <f>GL343*1.1</f>
        <v>756.93970000000013</v>
      </c>
      <c r="GO343" s="98"/>
      <c r="GP343" s="649">
        <f>GN343*1.1</f>
        <v>832.63367000000017</v>
      </c>
      <c r="GQ343" s="98"/>
      <c r="GR343" s="282"/>
      <c r="GS343" s="98"/>
      <c r="GT343" s="282"/>
      <c r="GU343" s="98"/>
      <c r="GV343" s="282"/>
      <c r="GW343" s="98"/>
      <c r="GX343" s="282"/>
      <c r="GY343" s="98"/>
      <c r="GZ343" s="98"/>
      <c r="HA343" s="98"/>
      <c r="HB343" s="10"/>
      <c r="HC343"/>
      <c r="HD343"/>
      <c r="HE343"/>
      <c r="HF343"/>
      <c r="HG343"/>
      <c r="HH343"/>
      <c r="HI343" s="10"/>
    </row>
    <row r="344" spans="2:217" s="2" customFormat="1" ht="12.75" hidden="1" customHeight="1" outlineLevel="1" x14ac:dyDescent="0.2">
      <c r="B344" s="131"/>
      <c r="C344" s="117"/>
      <c r="D344" s="98"/>
      <c r="E344" s="117"/>
      <c r="F344" s="98"/>
      <c r="G344" s="117"/>
      <c r="H344" s="98"/>
      <c r="I344" s="117"/>
      <c r="J344" s="98"/>
      <c r="K344" s="117"/>
      <c r="L344" s="98"/>
      <c r="M344" s="117"/>
      <c r="N344" s="98"/>
      <c r="O344" s="117"/>
      <c r="P344" s="98"/>
      <c r="Q344" s="117"/>
      <c r="R344" s="98"/>
      <c r="S344" s="182"/>
      <c r="T344" s="98"/>
      <c r="U344" s="182"/>
      <c r="V344" s="98"/>
      <c r="W344" s="182"/>
      <c r="X344" s="98"/>
      <c r="Y344" s="182"/>
      <c r="Z344" s="98"/>
      <c r="AA344" s="182"/>
      <c r="AB344" s="98"/>
      <c r="AC344" s="182"/>
      <c r="AD344" s="98"/>
      <c r="AE344" s="182"/>
      <c r="AF344" s="98"/>
      <c r="AG344" s="182"/>
      <c r="AH344" s="98"/>
      <c r="AI344" s="182"/>
      <c r="AJ344" s="98"/>
      <c r="AK344" s="182"/>
      <c r="AL344" s="98"/>
      <c r="AM344" s="182"/>
      <c r="AN344" s="98"/>
      <c r="AO344" s="182"/>
      <c r="AP344" s="98"/>
      <c r="AQ344" s="182"/>
      <c r="AR344" s="98"/>
      <c r="AS344" s="182"/>
      <c r="AT344" s="98"/>
      <c r="AU344" s="182"/>
      <c r="AV344" s="98"/>
      <c r="AW344" s="182"/>
      <c r="AX344" s="98"/>
      <c r="AY344" s="182"/>
      <c r="AZ344" s="98"/>
      <c r="BA344" s="182"/>
      <c r="BB344" s="98"/>
      <c r="BC344" s="182"/>
      <c r="BD344" s="98"/>
      <c r="BE344" s="182"/>
      <c r="BF344" s="98"/>
      <c r="BG344" s="182"/>
      <c r="BH344" s="98"/>
      <c r="BI344" s="182"/>
      <c r="BJ344" s="98"/>
      <c r="BK344" s="182"/>
      <c r="BL344" s="98"/>
      <c r="BM344" s="182"/>
      <c r="BN344" s="98"/>
      <c r="BO344" s="182"/>
      <c r="BP344" s="98"/>
      <c r="BQ344" s="182"/>
      <c r="BR344" s="98"/>
      <c r="BS344" s="182"/>
      <c r="BT344" s="98"/>
      <c r="BU344" s="182"/>
      <c r="BV344" s="98"/>
      <c r="BW344" s="182"/>
      <c r="BX344" s="98"/>
      <c r="BY344" s="182"/>
      <c r="BZ344" s="98"/>
      <c r="CA344" s="182"/>
      <c r="CB344" s="98"/>
      <c r="CC344" s="182"/>
      <c r="CD344" s="98"/>
      <c r="CE344" s="182"/>
      <c r="CF344" s="98"/>
      <c r="CG344" s="182"/>
      <c r="CH344" s="98"/>
      <c r="CI344" s="182"/>
      <c r="CJ344" s="98"/>
      <c r="CK344" s="182"/>
      <c r="CL344" s="98"/>
      <c r="CM344" s="182"/>
      <c r="CN344" s="98"/>
      <c r="CO344" s="182"/>
      <c r="CP344" s="98"/>
      <c r="CQ344" s="182"/>
      <c r="CR344" s="98"/>
      <c r="CS344" s="182"/>
      <c r="CT344" s="98"/>
      <c r="CU344" s="182"/>
      <c r="CV344" s="98"/>
      <c r="CW344" s="182"/>
      <c r="CX344" s="98"/>
      <c r="CY344" s="182"/>
      <c r="CZ344" s="98"/>
      <c r="DA344" s="182"/>
      <c r="DB344" s="98"/>
      <c r="DC344" s="182"/>
      <c r="DD344" s="98"/>
      <c r="DE344" s="182"/>
      <c r="DF344" s="98"/>
      <c r="DG344" s="182"/>
      <c r="DH344" s="98"/>
      <c r="DI344" s="182"/>
      <c r="DJ344" s="98"/>
      <c r="DK344" s="182"/>
      <c r="DL344" s="98"/>
      <c r="DM344" s="182"/>
      <c r="DN344" s="98"/>
      <c r="DO344" s="182"/>
      <c r="DP344" s="98"/>
      <c r="DQ344" s="182"/>
      <c r="DR344" s="98"/>
      <c r="DS344" s="182"/>
      <c r="DT344" s="98"/>
      <c r="DU344" s="182"/>
      <c r="DV344" s="98"/>
      <c r="DW344" s="182"/>
      <c r="DX344" s="98"/>
      <c r="DY344" s="182"/>
      <c r="DZ344" s="98"/>
      <c r="EA344" s="182"/>
      <c r="EB344" s="98"/>
      <c r="EC344" s="182"/>
      <c r="ED344" s="98"/>
      <c r="EE344" s="182"/>
      <c r="EF344" s="860"/>
      <c r="EG344" s="182"/>
      <c r="EH344" s="860"/>
      <c r="EI344" s="182"/>
      <c r="EJ344" s="860"/>
      <c r="EK344" s="182"/>
      <c r="EL344" s="860"/>
      <c r="EM344" s="182"/>
      <c r="EN344" s="860"/>
      <c r="EO344" s="182"/>
      <c r="EP344" s="98"/>
      <c r="EQ344" s="795"/>
      <c r="ER344" s="98"/>
      <c r="ES344" s="795"/>
      <c r="ET344" s="98"/>
      <c r="EU344" s="795"/>
      <c r="EV344" s="98"/>
      <c r="EW344" s="795"/>
      <c r="EX344" s="98"/>
      <c r="EY344" s="282"/>
      <c r="EZ344" s="594"/>
      <c r="FA344" s="405"/>
      <c r="FB344" s="279"/>
      <c r="FC344" s="98"/>
      <c r="FD344" s="278"/>
      <c r="FE344" s="98"/>
      <c r="FF344" s="279"/>
      <c r="FG344" s="98"/>
      <c r="FH344" s="279"/>
      <c r="FI344" s="98"/>
      <c r="FJ344" s="282"/>
      <c r="FK344" s="98"/>
      <c r="FL344" s="282"/>
      <c r="FM344" s="98"/>
      <c r="FN344" s="282"/>
      <c r="FO344" s="98"/>
      <c r="FP344" s="282"/>
      <c r="FQ344" s="98"/>
      <c r="FR344" s="283"/>
      <c r="FS344" s="120"/>
      <c r="FT344" s="283"/>
      <c r="FU344" s="120"/>
      <c r="FV344" s="283"/>
      <c r="FW344" s="98"/>
      <c r="FX344" s="520"/>
      <c r="FY344" s="98"/>
      <c r="FZ344" s="283"/>
      <c r="GA344" s="98"/>
      <c r="GB344" s="520"/>
      <c r="GC344" s="98"/>
      <c r="GD344" s="283"/>
      <c r="GE344" s="98"/>
      <c r="GF344" s="283"/>
      <c r="GG344" s="98"/>
      <c r="GH344" s="280">
        <f>GH342+GH343</f>
        <v>768.7</v>
      </c>
      <c r="GI344" s="98" t="str">
        <f>IF(ISERROR((GH344/GF344-1)*100),"NA",IF(((GH344/GF344-1)*100)&gt;100,"NM",IF(((GH344/GF344-1)*100)&lt;-50,"NM",(GH344/GF344-1)*100)))</f>
        <v>NA</v>
      </c>
      <c r="GJ344" s="280">
        <f>GJ342+GJ343</f>
        <v>845.57</v>
      </c>
      <c r="GK344" s="98">
        <f>IF(ISERROR((GJ344/GH344-1)*100),"NA",IF(((GJ344/GH344-1)*100)&gt;100,"NM",IF(((GJ344/GH344-1)*100)&lt;-50,"NM",(GJ344/GH344-1)*100)))</f>
        <v>10.000000000000009</v>
      </c>
      <c r="GL344" s="280">
        <f>GL342+GL343</f>
        <v>930.12700000000018</v>
      </c>
      <c r="GM344" s="98">
        <f>IF(ISERROR((GL344/GJ344-1)*100),"NA",IF(((GL344/GJ344-1)*100)&gt;100,"NM",IF(((GL344/GJ344-1)*100)&lt;-50,"NM",(GL344/GJ344-1)*100)))</f>
        <v>10.000000000000009</v>
      </c>
      <c r="GN344" s="280">
        <f>GN342+GN343</f>
        <v>1023.1397000000002</v>
      </c>
      <c r="GO344" s="98">
        <f>IF(ISERROR((GN344/GL344-1)*100),"NA",IF(((GN344/GL344-1)*100)&gt;100,"NM",IF(((GN344/GL344-1)*100)&lt;-50,"NM",(GN344/GL344-1)*100)))</f>
        <v>9.9999999999999858</v>
      </c>
      <c r="GP344" s="280">
        <f>GP342+GP343</f>
        <v>1125.4536700000003</v>
      </c>
      <c r="GQ344" s="98">
        <f>IF(ISERROR((GP344/GN344-1)*100),"NA",IF(((GP344/GN344-1)*100)&gt;100,"NM",IF(((GP344/GN344-1)*100)&lt;-50,"NM",(GP344/GN344-1)*100)))</f>
        <v>10.000000000000009</v>
      </c>
      <c r="GR344" s="282"/>
      <c r="GS344" s="98" t="str">
        <f>IF(ISERROR((GR344/GP344-1)*100),"NA",IF(((GR344/GP344-1)*100)&gt;100,"NM",IF(((GR344/GP344-1)*100)&lt;-50,"NM",(GR344/GP344-1)*100)))</f>
        <v>NM</v>
      </c>
      <c r="GT344" s="282"/>
      <c r="GU344" s="98" t="str">
        <f>IF(ISERROR((GT344/GR344-1)*100),"NA",IF(((GT344/GR344-1)*100)&gt;100,"NM",IF(((GT344/GR344-1)*100)&lt;-50,"NM",(GT344/GR344-1)*100)))</f>
        <v>NA</v>
      </c>
      <c r="GV344" s="282"/>
      <c r="GW344" s="98" t="str">
        <f>IF(ISERROR((GV344/GT344-1)*100),"NA",IF(((GV344/GT344-1)*100)&gt;100,"NM",IF(((GV344/GT344-1)*100)&lt;-50,"NM",(GV344/GT344-1)*100)))</f>
        <v>NA</v>
      </c>
      <c r="GX344" s="282"/>
      <c r="GY344" s="98" t="str">
        <f>IF(ISERROR((GX344/GV344-1)*100),"NA",IF(((GX344/GV344-1)*100)&gt;100,"NM",IF(((GX344/GV344-1)*100)&lt;-50,"NM",(GX344/GV344-1)*100)))</f>
        <v>NA</v>
      </c>
      <c r="GZ344" s="98"/>
      <c r="HA344" s="98"/>
      <c r="HB344" s="10"/>
      <c r="HC344"/>
      <c r="HD344"/>
      <c r="HE344"/>
      <c r="HF344"/>
      <c r="HG344"/>
      <c r="HH344"/>
      <c r="HI344" s="10"/>
    </row>
    <row r="345" spans="2:217" s="2" customFormat="1" ht="12.75" customHeight="1" collapsed="1" x14ac:dyDescent="0.2">
      <c r="B345" s="93"/>
      <c r="C345" s="293"/>
      <c r="D345" s="98"/>
      <c r="E345" s="293"/>
      <c r="F345" s="98"/>
      <c r="G345" s="293"/>
      <c r="H345" s="98"/>
      <c r="I345" s="293"/>
      <c r="J345" s="233"/>
      <c r="K345" s="293"/>
      <c r="L345" s="233"/>
      <c r="M345" s="293"/>
      <c r="N345" s="233"/>
      <c r="O345" s="293"/>
      <c r="P345" s="233"/>
      <c r="Q345" s="293"/>
      <c r="R345" s="233"/>
      <c r="S345" s="293"/>
      <c r="T345" s="233"/>
      <c r="U345" s="293"/>
      <c r="V345" s="233"/>
      <c r="W345" s="293"/>
      <c r="X345" s="233"/>
      <c r="Y345" s="293"/>
      <c r="Z345" s="233"/>
      <c r="AA345" s="293"/>
      <c r="AB345" s="233"/>
      <c r="AC345" s="293"/>
      <c r="AD345" s="233"/>
      <c r="AE345" s="293"/>
      <c r="AF345" s="233"/>
      <c r="AG345" s="124"/>
      <c r="AH345" s="233"/>
      <c r="AI345" s="124"/>
      <c r="AJ345" s="233"/>
      <c r="AK345" s="124"/>
      <c r="AL345" s="233"/>
      <c r="AM345" s="124"/>
      <c r="AN345" s="233"/>
      <c r="AO345" s="124"/>
      <c r="AP345" s="233"/>
      <c r="AQ345" s="124"/>
      <c r="AR345" s="233"/>
      <c r="AS345" s="124"/>
      <c r="AT345" s="233"/>
      <c r="AU345" s="124"/>
      <c r="AV345" s="233"/>
      <c r="AW345" s="124"/>
      <c r="AX345" s="233"/>
      <c r="AY345" s="137"/>
      <c r="AZ345" s="233"/>
      <c r="BA345" s="137"/>
      <c r="BB345" s="233"/>
      <c r="BC345" s="137"/>
      <c r="BD345" s="233"/>
      <c r="BE345" s="137"/>
      <c r="BF345" s="233"/>
      <c r="BG345" s="137"/>
      <c r="BH345" s="233"/>
      <c r="BI345" s="137"/>
      <c r="BJ345" s="233"/>
      <c r="BK345" s="137"/>
      <c r="BL345" s="233"/>
      <c r="BM345" s="137"/>
      <c r="BN345" s="233"/>
      <c r="BO345" s="137"/>
      <c r="BP345" s="233"/>
      <c r="BQ345" s="137"/>
      <c r="BR345" s="233"/>
      <c r="BS345" s="137"/>
      <c r="BT345" s="233"/>
      <c r="BU345" s="137"/>
      <c r="BV345" s="233"/>
      <c r="BW345" s="137"/>
      <c r="BX345" s="233"/>
      <c r="BY345" s="137"/>
      <c r="BZ345" s="233"/>
      <c r="CA345" s="137"/>
      <c r="CB345" s="233"/>
      <c r="CC345" s="137"/>
      <c r="CD345" s="233"/>
      <c r="CE345" s="137"/>
      <c r="CF345" s="233"/>
      <c r="CG345" s="137"/>
      <c r="CH345" s="233"/>
      <c r="CI345" s="137"/>
      <c r="CJ345" s="233"/>
      <c r="CK345" s="137"/>
      <c r="CL345" s="233"/>
      <c r="CM345" s="137"/>
      <c r="CN345" s="233"/>
      <c r="CO345" s="137"/>
      <c r="CP345" s="233"/>
      <c r="CQ345" s="494"/>
      <c r="CR345" s="233"/>
      <c r="CS345" s="137"/>
      <c r="CT345" s="233"/>
      <c r="CU345" s="137"/>
      <c r="CV345" s="233"/>
      <c r="CW345" s="137"/>
      <c r="CX345" s="233"/>
      <c r="CY345" s="137"/>
      <c r="CZ345" s="233"/>
      <c r="DA345" s="137"/>
      <c r="DB345" s="233"/>
      <c r="DC345" s="137"/>
      <c r="DD345" s="233"/>
      <c r="DE345" s="137"/>
      <c r="DF345" s="233"/>
      <c r="DG345" s="137"/>
      <c r="DH345" s="233"/>
      <c r="DI345" s="137"/>
      <c r="DJ345" s="233"/>
      <c r="DK345" s="137"/>
      <c r="DL345" s="233"/>
      <c r="DM345" s="137"/>
      <c r="DN345" s="233"/>
      <c r="DO345" s="137"/>
      <c r="DP345" s="233"/>
      <c r="DQ345" s="137"/>
      <c r="DR345" s="233"/>
      <c r="DS345" s="137"/>
      <c r="DT345" s="233"/>
      <c r="DU345" s="137"/>
      <c r="DV345" s="233"/>
      <c r="DW345" s="137"/>
      <c r="DX345" s="233"/>
      <c r="DY345" s="137"/>
      <c r="DZ345" s="233"/>
      <c r="EA345" s="137"/>
      <c r="EB345" s="233"/>
      <c r="EC345" s="137"/>
      <c r="ED345" s="233"/>
      <c r="EE345" s="137"/>
      <c r="EF345" s="872"/>
      <c r="EG345" s="137"/>
      <c r="EH345" s="872"/>
      <c r="EI345" s="137"/>
      <c r="EJ345" s="872"/>
      <c r="EK345" s="137"/>
      <c r="EL345" s="872"/>
      <c r="EM345" s="137"/>
      <c r="EN345" s="872"/>
      <c r="EO345" s="137"/>
      <c r="EP345" s="233"/>
      <c r="EQ345" s="1046"/>
      <c r="ER345" s="233"/>
      <c r="ES345" s="1046"/>
      <c r="ET345" s="233"/>
      <c r="EU345" s="1046"/>
      <c r="EV345" s="233"/>
      <c r="EW345" s="1046"/>
      <c r="EX345" s="233"/>
      <c r="EY345" s="301"/>
      <c r="EZ345" s="601"/>
      <c r="FA345" s="411"/>
      <c r="FB345" s="242"/>
      <c r="FC345" s="233"/>
      <c r="FD345" s="291"/>
      <c r="FE345" s="233"/>
      <c r="FF345" s="291"/>
      <c r="FG345" s="233"/>
      <c r="FH345" s="291"/>
      <c r="FI345" s="233"/>
      <c r="FJ345" s="291"/>
      <c r="FK345" s="233"/>
      <c r="FL345" s="291"/>
      <c r="FM345" s="233"/>
      <c r="FN345" s="291"/>
      <c r="FO345" s="233"/>
      <c r="FP345" s="291"/>
      <c r="FQ345" s="233"/>
      <c r="FR345" s="292"/>
      <c r="FS345" s="120"/>
      <c r="FT345" s="292"/>
      <c r="FU345" s="120"/>
      <c r="FV345" s="292"/>
      <c r="FW345" s="233"/>
      <c r="FX345" s="483"/>
      <c r="FY345" s="233"/>
      <c r="FZ345" s="301"/>
      <c r="GA345" s="233"/>
      <c r="GB345" s="514"/>
      <c r="GC345" s="233"/>
      <c r="GD345" s="250"/>
      <c r="GE345" s="233"/>
      <c r="GF345" s="250"/>
      <c r="GG345" s="233"/>
      <c r="GH345" s="250"/>
      <c r="GI345" s="233"/>
      <c r="GJ345" s="250"/>
      <c r="GK345" s="233"/>
      <c r="GL345" s="250"/>
      <c r="GM345" s="233"/>
      <c r="GN345" s="250"/>
      <c r="GO345" s="233"/>
      <c r="GP345" s="250"/>
      <c r="GQ345" s="233"/>
      <c r="GR345" s="250"/>
      <c r="GS345" s="233"/>
      <c r="GT345" s="250"/>
      <c r="GU345" s="233"/>
      <c r="GV345" s="250"/>
      <c r="GW345" s="233"/>
      <c r="GX345" s="250"/>
      <c r="GY345" s="233"/>
      <c r="GZ345" s="233"/>
      <c r="HA345" s="233"/>
      <c r="HB345" s="10"/>
      <c r="HC345"/>
      <c r="HD345"/>
      <c r="HE345"/>
      <c r="HF345"/>
      <c r="HG345"/>
      <c r="HH345"/>
      <c r="HI345" s="10"/>
    </row>
    <row r="346" spans="2:217" s="708" customFormat="1" ht="12.75" customHeight="1" collapsed="1" x14ac:dyDescent="0.2">
      <c r="B346" s="709" t="s">
        <v>698</v>
      </c>
      <c r="C346" s="710"/>
      <c r="D346" s="710"/>
      <c r="E346" s="710"/>
      <c r="F346" s="710"/>
      <c r="G346" s="710"/>
      <c r="H346" s="710"/>
      <c r="I346" s="710"/>
      <c r="J346" s="710"/>
      <c r="K346" s="710"/>
      <c r="L346" s="710"/>
      <c r="M346" s="710"/>
      <c r="N346" s="710"/>
      <c r="O346" s="710"/>
      <c r="P346" s="710"/>
      <c r="Q346" s="710"/>
      <c r="R346" s="710"/>
      <c r="S346" s="710"/>
      <c r="T346" s="710"/>
      <c r="U346" s="710"/>
      <c r="V346" s="710"/>
      <c r="W346" s="710"/>
      <c r="X346" s="710"/>
      <c r="Y346" s="710"/>
      <c r="Z346" s="710"/>
      <c r="AA346" s="710"/>
      <c r="AB346" s="710"/>
      <c r="AC346" s="710"/>
      <c r="AD346" s="710"/>
      <c r="AE346" s="710"/>
      <c r="AF346" s="710"/>
      <c r="AG346" s="710"/>
      <c r="AH346" s="710"/>
      <c r="AI346" s="710"/>
      <c r="AJ346" s="710"/>
      <c r="AK346" s="710"/>
      <c r="AL346" s="710"/>
      <c r="AM346" s="710"/>
      <c r="AN346" s="710"/>
      <c r="AO346" s="710"/>
      <c r="AP346" s="710"/>
      <c r="AQ346" s="710"/>
      <c r="AR346" s="710"/>
      <c r="AS346" s="710"/>
      <c r="AT346" s="710"/>
      <c r="AU346" s="710"/>
      <c r="AV346" s="710"/>
      <c r="AW346" s="710"/>
      <c r="AX346" s="710"/>
      <c r="AY346" s="710"/>
      <c r="AZ346" s="710"/>
      <c r="BA346" s="710"/>
      <c r="BB346" s="710"/>
      <c r="BC346" s="710"/>
      <c r="BD346" s="710"/>
      <c r="BE346" s="710"/>
      <c r="BF346" s="710"/>
      <c r="BG346" s="710"/>
      <c r="BH346" s="710"/>
      <c r="BI346" s="710"/>
      <c r="BJ346" s="710"/>
      <c r="BK346" s="710"/>
      <c r="BL346" s="710"/>
      <c r="BM346" s="710"/>
      <c r="BN346" s="710"/>
      <c r="BO346" s="710"/>
      <c r="BP346" s="710"/>
      <c r="BQ346" s="710"/>
      <c r="BR346" s="710"/>
      <c r="BS346" s="711"/>
      <c r="BT346" s="710"/>
      <c r="BU346" s="711"/>
      <c r="BV346" s="710"/>
      <c r="BW346" s="711"/>
      <c r="BX346" s="710"/>
      <c r="BY346" s="711"/>
      <c r="BZ346" s="710"/>
      <c r="CA346" s="711"/>
      <c r="CB346" s="710"/>
      <c r="CC346" s="711"/>
      <c r="CD346" s="710"/>
      <c r="CE346" s="711"/>
      <c r="CF346" s="710"/>
      <c r="CG346" s="711"/>
      <c r="CH346" s="710"/>
      <c r="CI346" s="711"/>
      <c r="CJ346" s="710"/>
      <c r="CK346" s="711"/>
      <c r="CL346" s="710"/>
      <c r="CM346" s="711"/>
      <c r="CN346" s="710"/>
      <c r="CO346" s="711"/>
      <c r="CP346" s="710"/>
      <c r="CQ346" s="711"/>
      <c r="CR346" s="710"/>
      <c r="CS346" s="711"/>
      <c r="CT346" s="710"/>
      <c r="CU346" s="711"/>
      <c r="CV346" s="710"/>
      <c r="CW346" s="711"/>
      <c r="CX346" s="710"/>
      <c r="CY346" s="711"/>
      <c r="CZ346" s="710"/>
      <c r="DA346" s="711"/>
      <c r="DB346" s="710"/>
      <c r="DC346" s="711"/>
      <c r="DD346" s="710"/>
      <c r="DE346" s="711"/>
      <c r="DF346" s="710"/>
      <c r="DG346" s="711"/>
      <c r="DH346" s="710"/>
      <c r="DI346" s="711"/>
      <c r="DJ346" s="710"/>
      <c r="DK346" s="711"/>
      <c r="DL346" s="710"/>
      <c r="DM346" s="711"/>
      <c r="DN346" s="710"/>
      <c r="DO346" s="711"/>
      <c r="DP346" s="710"/>
      <c r="DQ346" s="711"/>
      <c r="DR346" s="710"/>
      <c r="DS346" s="711"/>
      <c r="DT346" s="710"/>
      <c r="DU346" s="711"/>
      <c r="DV346" s="710"/>
      <c r="DW346" s="711"/>
      <c r="DX346" s="710"/>
      <c r="DY346" s="711"/>
      <c r="DZ346" s="710"/>
      <c r="EA346" s="711"/>
      <c r="EB346" s="710"/>
      <c r="EC346" s="711"/>
      <c r="ED346" s="711"/>
      <c r="EE346" s="711"/>
      <c r="EF346" s="711"/>
      <c r="EG346" s="711"/>
      <c r="EH346" s="711"/>
      <c r="EI346" s="711"/>
      <c r="EJ346" s="711"/>
      <c r="EK346" s="711"/>
      <c r="EL346" s="711"/>
      <c r="EM346" s="711"/>
      <c r="EN346" s="711"/>
      <c r="EO346" s="711"/>
      <c r="EP346" s="710"/>
      <c r="EQ346" s="711"/>
      <c r="ER346" s="710"/>
      <c r="ES346" s="711"/>
      <c r="ET346" s="710"/>
      <c r="EU346" s="711"/>
      <c r="EV346" s="710"/>
      <c r="EW346" s="711"/>
      <c r="EX346" s="710"/>
      <c r="EY346" s="712"/>
      <c r="EZ346" s="713"/>
      <c r="FA346" s="714"/>
      <c r="FB346" s="711"/>
      <c r="FC346" s="710"/>
      <c r="FD346" s="711"/>
      <c r="FE346" s="710"/>
      <c r="FF346" s="712"/>
      <c r="FG346" s="710"/>
      <c r="FH346" s="712"/>
      <c r="FI346" s="710"/>
      <c r="FJ346" s="712"/>
      <c r="FK346" s="710"/>
      <c r="FL346" s="712"/>
      <c r="FM346" s="710"/>
      <c r="FN346" s="712"/>
      <c r="FO346" s="710"/>
      <c r="FP346" s="712"/>
      <c r="FQ346" s="710"/>
      <c r="FR346" s="712"/>
      <c r="FS346" s="715"/>
      <c r="FT346" s="712"/>
      <c r="FU346" s="715"/>
      <c r="FV346" s="712"/>
      <c r="FW346" s="710"/>
      <c r="FX346" s="716"/>
      <c r="FY346" s="710"/>
      <c r="FZ346" s="712"/>
      <c r="GA346" s="710"/>
      <c r="GB346" s="716"/>
      <c r="GC346" s="710"/>
      <c r="GD346" s="712"/>
      <c r="GE346" s="710"/>
      <c r="GF346" s="712"/>
      <c r="GG346" s="710"/>
      <c r="GH346" s="712"/>
      <c r="GI346" s="710"/>
      <c r="GJ346" s="712"/>
      <c r="GK346" s="710"/>
      <c r="GL346" s="712"/>
      <c r="GM346" s="710"/>
      <c r="GN346" s="712"/>
      <c r="GO346" s="710"/>
      <c r="GP346" s="712"/>
      <c r="GQ346" s="710"/>
      <c r="GR346" s="712"/>
      <c r="GS346" s="710"/>
      <c r="GT346" s="712"/>
      <c r="GU346" s="710"/>
      <c r="GV346" s="712"/>
      <c r="GW346" s="710"/>
      <c r="GX346" s="712"/>
      <c r="GY346" s="710"/>
      <c r="GZ346" s="710"/>
      <c r="HA346" s="710"/>
      <c r="HC346"/>
      <c r="HD346"/>
      <c r="HE346"/>
      <c r="HF346"/>
      <c r="HG346"/>
      <c r="HH346"/>
    </row>
    <row r="347" spans="2:217" s="2" customFormat="1" ht="12.75" customHeight="1" x14ac:dyDescent="0.2">
      <c r="C347" s="243"/>
      <c r="D347" s="302"/>
      <c r="E347" s="243"/>
      <c r="F347" s="302"/>
      <c r="G347" s="243"/>
      <c r="H347" s="302"/>
      <c r="I347" s="243"/>
      <c r="J347" s="302"/>
      <c r="K347" s="243"/>
      <c r="L347" s="302"/>
      <c r="M347" s="243"/>
      <c r="N347" s="302"/>
      <c r="O347" s="243"/>
      <c r="P347" s="302"/>
      <c r="Q347" s="243"/>
      <c r="R347" s="302"/>
      <c r="S347" s="243"/>
      <c r="T347" s="302"/>
      <c r="U347" s="243"/>
      <c r="V347" s="302"/>
      <c r="W347" s="243"/>
      <c r="X347" s="302"/>
      <c r="Y347" s="243"/>
      <c r="Z347" s="302"/>
      <c r="AA347" s="243"/>
      <c r="AB347" s="302"/>
      <c r="AC347" s="243"/>
      <c r="AD347" s="302"/>
      <c r="AE347" s="243"/>
      <c r="AF347" s="302"/>
      <c r="AG347" s="94"/>
      <c r="AH347" s="302"/>
      <c r="AI347" s="94"/>
      <c r="AJ347" s="302"/>
      <c r="AK347" s="94"/>
      <c r="AL347" s="302"/>
      <c r="AM347" s="94"/>
      <c r="AN347" s="302"/>
      <c r="AO347" s="94"/>
      <c r="AP347" s="302"/>
      <c r="AQ347" s="94"/>
      <c r="AR347" s="302"/>
      <c r="AS347" s="94"/>
      <c r="AT347" s="302"/>
      <c r="AU347" s="94"/>
      <c r="AV347" s="302"/>
      <c r="AW347" s="94"/>
      <c r="AX347" s="302"/>
      <c r="AY347" s="94"/>
      <c r="AZ347" s="302"/>
      <c r="BA347" s="94"/>
      <c r="BB347" s="302"/>
      <c r="BC347" s="94"/>
      <c r="BD347" s="302"/>
      <c r="BE347" s="94"/>
      <c r="BF347" s="302"/>
      <c r="BG347" s="94"/>
      <c r="BH347" s="302"/>
      <c r="BI347" s="94"/>
      <c r="BJ347" s="302"/>
      <c r="BK347" s="94"/>
      <c r="BL347" s="302"/>
      <c r="BM347" s="94"/>
      <c r="BN347" s="302"/>
      <c r="BO347" s="94"/>
      <c r="BP347" s="302"/>
      <c r="BQ347" s="94"/>
      <c r="BR347" s="302"/>
      <c r="BS347" s="94"/>
      <c r="BT347" s="302"/>
      <c r="BU347" s="94"/>
      <c r="BV347" s="302"/>
      <c r="BW347" s="94"/>
      <c r="BX347" s="302"/>
      <c r="BY347" s="94"/>
      <c r="BZ347" s="302"/>
      <c r="CA347" s="94"/>
      <c r="CB347" s="302"/>
      <c r="CC347" s="94"/>
      <c r="CD347" s="302"/>
      <c r="CE347" s="94"/>
      <c r="CF347" s="302"/>
      <c r="CG347" s="94"/>
      <c r="CH347" s="302"/>
      <c r="CI347" s="94"/>
      <c r="CJ347" s="302"/>
      <c r="CK347" s="94"/>
      <c r="CL347" s="302"/>
      <c r="CM347" s="94"/>
      <c r="CN347" s="302"/>
      <c r="CO347" s="94"/>
      <c r="CP347" s="302"/>
      <c r="CQ347" s="533"/>
      <c r="CR347" s="302"/>
      <c r="CS347" s="94"/>
      <c r="CT347" s="302"/>
      <c r="CU347" s="94"/>
      <c r="CV347" s="302"/>
      <c r="CW347" s="94"/>
      <c r="CX347" s="302"/>
      <c r="CY347" s="94"/>
      <c r="CZ347" s="302"/>
      <c r="DA347" s="94"/>
      <c r="DB347" s="302"/>
      <c r="DC347" s="94"/>
      <c r="DD347" s="302"/>
      <c r="DE347" s="94"/>
      <c r="DF347" s="302"/>
      <c r="DG347" s="94"/>
      <c r="DH347" s="302"/>
      <c r="DI347" s="94"/>
      <c r="DJ347" s="302"/>
      <c r="DK347" s="94"/>
      <c r="DL347" s="302"/>
      <c r="DM347" s="94"/>
      <c r="DN347" s="302"/>
      <c r="DO347" s="94"/>
      <c r="DP347" s="302"/>
      <c r="DQ347" s="94"/>
      <c r="DR347" s="302"/>
      <c r="DS347" s="94"/>
      <c r="DT347" s="302"/>
      <c r="DU347" s="94"/>
      <c r="DV347" s="302"/>
      <c r="DW347" s="94"/>
      <c r="DX347" s="302"/>
      <c r="DY347" s="94"/>
      <c r="DZ347" s="302"/>
      <c r="EA347" s="94"/>
      <c r="EB347" s="302"/>
      <c r="EC347" s="94"/>
      <c r="ED347" s="94"/>
      <c r="EE347" s="94"/>
      <c r="EF347" s="94"/>
      <c r="EG347" s="94"/>
      <c r="EH347" s="94"/>
      <c r="EI347" s="94"/>
      <c r="EJ347" s="94"/>
      <c r="EK347" s="94"/>
      <c r="EL347" s="94"/>
      <c r="EM347" s="94"/>
      <c r="EN347" s="94"/>
      <c r="EO347" s="94"/>
      <c r="EP347" s="302"/>
      <c r="EQ347" s="94"/>
      <c r="ER347" s="302"/>
      <c r="ES347" s="94"/>
      <c r="ET347" s="302"/>
      <c r="EU347" s="94"/>
      <c r="EV347" s="302"/>
      <c r="EW347" s="94"/>
      <c r="EX347" s="302"/>
      <c r="EY347" s="244"/>
      <c r="EZ347" s="594"/>
      <c r="FA347" s="405"/>
      <c r="FB347" s="244"/>
      <c r="FC347" s="302"/>
      <c r="FD347" s="243"/>
      <c r="FE347" s="302"/>
      <c r="FF347" s="114"/>
      <c r="FG347" s="302"/>
      <c r="FH347" s="114"/>
      <c r="FI347" s="302"/>
      <c r="FJ347" s="114"/>
      <c r="FK347" s="302"/>
      <c r="FL347" s="114"/>
      <c r="FM347" s="302"/>
      <c r="FN347" s="114"/>
      <c r="FO347" s="302"/>
      <c r="FP347" s="114"/>
      <c r="FQ347" s="302"/>
      <c r="FR347" s="245"/>
      <c r="FS347" s="303"/>
      <c r="FT347" s="245"/>
      <c r="FU347" s="303"/>
      <c r="FV347" s="245"/>
      <c r="FW347" s="302"/>
      <c r="FX347" s="480"/>
      <c r="FY347" s="302"/>
      <c r="FZ347" s="245"/>
      <c r="GA347" s="302"/>
      <c r="GB347" s="480"/>
      <c r="GC347" s="302"/>
      <c r="GD347" s="245"/>
      <c r="GE347" s="302"/>
      <c r="GF347" s="245"/>
      <c r="GG347" s="302"/>
      <c r="GH347" s="245"/>
      <c r="GI347" s="302"/>
      <c r="GJ347" s="245"/>
      <c r="GK347" s="302"/>
      <c r="GL347" s="245"/>
      <c r="GM347" s="302"/>
      <c r="GN347" s="245"/>
      <c r="GO347" s="302"/>
      <c r="GP347" s="245"/>
      <c r="GQ347" s="302"/>
      <c r="GR347" s="244"/>
      <c r="GS347" s="302"/>
      <c r="GT347" s="244"/>
      <c r="GU347" s="302"/>
      <c r="GV347" s="244"/>
      <c r="GW347" s="302"/>
      <c r="GX347" s="244"/>
      <c r="GY347" s="302"/>
      <c r="GZ347" s="302"/>
      <c r="HA347" s="302"/>
      <c r="HB347" s="10"/>
      <c r="HC347"/>
      <c r="HD347"/>
      <c r="HE347"/>
      <c r="HF347"/>
      <c r="HG347"/>
      <c r="HH347"/>
      <c r="HI347" s="10"/>
    </row>
    <row r="348" spans="2:217" s="2" customFormat="1" ht="12.75" customHeight="1" x14ac:dyDescent="0.2">
      <c r="B348" s="93" t="s">
        <v>161</v>
      </c>
      <c r="C348" s="112"/>
      <c r="D348" s="113"/>
      <c r="E348" s="112"/>
      <c r="F348" s="113"/>
      <c r="G348" s="112"/>
      <c r="H348" s="113"/>
      <c r="I348" s="112"/>
      <c r="J348" s="113"/>
      <c r="K348" s="112"/>
      <c r="L348" s="113"/>
      <c r="M348" s="112"/>
      <c r="N348" s="113"/>
      <c r="O348" s="112"/>
      <c r="P348" s="113"/>
      <c r="Q348" s="112"/>
      <c r="R348" s="113"/>
      <c r="S348" s="112"/>
      <c r="T348" s="113"/>
      <c r="U348" s="112"/>
      <c r="V348" s="113"/>
      <c r="W348" s="112"/>
      <c r="X348" s="113"/>
      <c r="Y348" s="112"/>
      <c r="Z348" s="113"/>
      <c r="AA348" s="112"/>
      <c r="AB348" s="113"/>
      <c r="AC348" s="112"/>
      <c r="AD348" s="113"/>
      <c r="AE348" s="112"/>
      <c r="AF348" s="113"/>
      <c r="AG348" s="112"/>
      <c r="AH348" s="113"/>
      <c r="AI348" s="112"/>
      <c r="AJ348" s="113"/>
      <c r="AK348" s="112"/>
      <c r="AL348" s="113"/>
      <c r="AM348" s="112"/>
      <c r="AN348" s="113"/>
      <c r="AO348" s="112"/>
      <c r="AP348" s="113"/>
      <c r="AQ348" s="112"/>
      <c r="AR348" s="113"/>
      <c r="AS348" s="112"/>
      <c r="AT348" s="113"/>
      <c r="AU348" s="112"/>
      <c r="AV348" s="113"/>
      <c r="AW348" s="112"/>
      <c r="AX348" s="113"/>
      <c r="AY348" s="112"/>
      <c r="AZ348" s="113"/>
      <c r="BA348" s="112"/>
      <c r="BB348" s="113"/>
      <c r="BC348" s="112"/>
      <c r="BD348" s="113"/>
      <c r="BE348" s="112"/>
      <c r="BF348" s="113"/>
      <c r="BG348" s="112"/>
      <c r="BH348" s="113"/>
      <c r="BI348" s="112"/>
      <c r="BJ348" s="113"/>
      <c r="BK348" s="112"/>
      <c r="BL348" s="113"/>
      <c r="BM348" s="112"/>
      <c r="BN348" s="113"/>
      <c r="BO348" s="112"/>
      <c r="BP348" s="113"/>
      <c r="BQ348" s="112"/>
      <c r="BR348" s="113"/>
      <c r="BS348" s="112"/>
      <c r="BT348" s="113"/>
      <c r="BU348" s="112"/>
      <c r="BV348" s="113"/>
      <c r="BW348" s="112"/>
      <c r="BX348" s="113"/>
      <c r="BY348" s="112"/>
      <c r="BZ348" s="113"/>
      <c r="CA348" s="112"/>
      <c r="CB348" s="113"/>
      <c r="CC348" s="112"/>
      <c r="CD348" s="113"/>
      <c r="CE348" s="112"/>
      <c r="CF348" s="113"/>
      <c r="CG348" s="112"/>
      <c r="CH348" s="113"/>
      <c r="CI348" s="112"/>
      <c r="CJ348" s="113"/>
      <c r="CK348" s="112"/>
      <c r="CL348" s="113"/>
      <c r="CM348" s="112"/>
      <c r="CN348" s="113"/>
      <c r="CO348" s="112"/>
      <c r="CP348" s="113"/>
      <c r="CQ348" s="543"/>
      <c r="CR348" s="113"/>
      <c r="CS348" s="112"/>
      <c r="CT348" s="113"/>
      <c r="CU348" s="112"/>
      <c r="CV348" s="113"/>
      <c r="CW348" s="112"/>
      <c r="CX348" s="113"/>
      <c r="CY348" s="112"/>
      <c r="CZ348" s="113"/>
      <c r="DA348" s="112"/>
      <c r="DB348" s="113"/>
      <c r="DC348" s="112"/>
      <c r="DD348" s="113"/>
      <c r="DE348" s="112"/>
      <c r="DF348" s="113"/>
      <c r="DG348" s="112"/>
      <c r="DH348" s="113"/>
      <c r="DI348" s="112"/>
      <c r="DJ348" s="113"/>
      <c r="DK348" s="112"/>
      <c r="DL348" s="113"/>
      <c r="DM348" s="112"/>
      <c r="DN348" s="113"/>
      <c r="DO348" s="112"/>
      <c r="DP348" s="113"/>
      <c r="DQ348" s="112"/>
      <c r="DR348" s="113"/>
      <c r="DS348" s="112"/>
      <c r="DT348" s="113"/>
      <c r="DU348" s="112"/>
      <c r="DV348" s="113"/>
      <c r="DW348" s="112"/>
      <c r="DX348" s="113"/>
      <c r="DY348" s="112"/>
      <c r="DZ348" s="113"/>
      <c r="EA348" s="112"/>
      <c r="EB348" s="113"/>
      <c r="EC348" s="112"/>
      <c r="ED348" s="113"/>
      <c r="EE348" s="112"/>
      <c r="EF348" s="859"/>
      <c r="EG348" s="112"/>
      <c r="EH348" s="859"/>
      <c r="EI348" s="112"/>
      <c r="EJ348" s="859"/>
      <c r="EK348" s="112"/>
      <c r="EL348" s="859"/>
      <c r="EM348" s="112"/>
      <c r="EN348" s="859"/>
      <c r="EO348" s="112"/>
      <c r="EP348" s="113"/>
      <c r="EQ348" s="1022"/>
      <c r="ER348" s="113"/>
      <c r="ES348" s="1022"/>
      <c r="ET348" s="113"/>
      <c r="EU348" s="1022"/>
      <c r="EV348" s="113"/>
      <c r="EW348" s="1022"/>
      <c r="EX348" s="113"/>
      <c r="EY348" s="114"/>
      <c r="EZ348" s="594"/>
      <c r="FA348" s="405"/>
      <c r="FB348" s="114"/>
      <c r="FC348" s="113"/>
      <c r="FD348" s="112"/>
      <c r="FE348" s="113"/>
      <c r="FF348" s="114"/>
      <c r="FG348" s="113"/>
      <c r="FH348" s="114"/>
      <c r="FI348" s="113"/>
      <c r="FJ348" s="114"/>
      <c r="FK348" s="113"/>
      <c r="FL348" s="114"/>
      <c r="FM348" s="113"/>
      <c r="FN348" s="114"/>
      <c r="FO348" s="113"/>
      <c r="FP348" s="114"/>
      <c r="FQ348" s="113"/>
      <c r="FR348" s="115"/>
      <c r="FS348" s="116"/>
      <c r="FT348" s="115"/>
      <c r="FU348" s="116"/>
      <c r="FV348" s="115"/>
      <c r="FW348" s="113"/>
      <c r="FX348" s="484"/>
      <c r="FY348" s="113"/>
      <c r="FZ348" s="115"/>
      <c r="GA348" s="113"/>
      <c r="GB348" s="484"/>
      <c r="GC348" s="113"/>
      <c r="GD348" s="115"/>
      <c r="GE348" s="113"/>
      <c r="GF348" s="115"/>
      <c r="GG348" s="113"/>
      <c r="GH348" s="115"/>
      <c r="GI348" s="98"/>
      <c r="GJ348" s="115"/>
      <c r="GK348" s="98"/>
      <c r="GL348" s="115"/>
      <c r="GM348" s="98"/>
      <c r="GN348" s="115"/>
      <c r="GO348" s="98"/>
      <c r="GP348" s="115"/>
      <c r="GQ348" s="98"/>
      <c r="GR348" s="115"/>
      <c r="GS348" s="98"/>
      <c r="GT348" s="115"/>
      <c r="GU348" s="98"/>
      <c r="GV348" s="115"/>
      <c r="GW348" s="98"/>
      <c r="GX348" s="115"/>
      <c r="GY348" s="98"/>
      <c r="GZ348" s="113"/>
      <c r="HA348" s="113"/>
      <c r="HB348" s="10"/>
      <c r="HC348"/>
      <c r="HD348"/>
      <c r="HE348"/>
      <c r="HF348"/>
      <c r="HG348"/>
      <c r="HH348"/>
      <c r="HI348" s="10"/>
    </row>
    <row r="349" spans="2:217" s="2" customFormat="1" ht="12.75" customHeight="1" x14ac:dyDescent="0.2">
      <c r="B349" s="91" t="s">
        <v>493</v>
      </c>
      <c r="C349" s="101">
        <v>146</v>
      </c>
      <c r="D349" s="98"/>
      <c r="E349" s="101">
        <v>173</v>
      </c>
      <c r="F349" s="98"/>
      <c r="G349" s="101">
        <v>162</v>
      </c>
      <c r="H349" s="98"/>
      <c r="I349" s="101">
        <v>179</v>
      </c>
      <c r="J349" s="98"/>
      <c r="K349" s="101">
        <v>177</v>
      </c>
      <c r="L349" s="98">
        <f>IF(ISERROR((K349/C349-1)*100),"NA",IF(((K349/C349-1)*100)&gt;100,"NM",IF(((K349/C349-1)*100)&lt;-50,"NM",(K349/C349-1)*100)))</f>
        <v>21.232876712328764</v>
      </c>
      <c r="M349" s="101">
        <v>196</v>
      </c>
      <c r="N349" s="98">
        <f>IF(ISERROR((M349/E349-1)*100),"NA",IF(((M349/E349-1)*100)&gt;100,"NM",IF(((M349/E349-1)*100)&lt;-50,"NM",(M349/E349-1)*100)))</f>
        <v>13.294797687861282</v>
      </c>
      <c r="O349" s="101">
        <v>210</v>
      </c>
      <c r="P349" s="98">
        <f>IF(ISERROR((O349/G349-1)*100),"NA",IF(((O349/G349-1)*100)&gt;100,"NM",IF(((O349/G349-1)*100)&lt;-50,"NM",(O349/G349-1)*100)))</f>
        <v>29.629629629629626</v>
      </c>
      <c r="Q349" s="101">
        <v>263</v>
      </c>
      <c r="R349" s="98">
        <f>IF(ISERROR((Q349/I349-1)*100),"NA",IF(((Q349/I349-1)*100)&gt;100,"NM",IF(((Q349/I349-1)*100)&lt;-50,"NM",(Q349/I349-1)*100)))</f>
        <v>46.927374301675975</v>
      </c>
      <c r="S349" s="101">
        <v>375</v>
      </c>
      <c r="T349" s="98" t="str">
        <f>IF(ISERROR((S349/K349-1)*100),"NA",IF(((S349/K349-1)*100)&gt;100,"NM",IF(((S349/K349-1)*100)&lt;-50,"NM",(S349/K349-1)*100)))</f>
        <v>NM</v>
      </c>
      <c r="U349" s="101">
        <v>274</v>
      </c>
      <c r="V349" s="98">
        <f>IF(ISERROR((U349/M349-1)*100),"NA",IF(((U349/M349-1)*100)&gt;100,"NM",IF(((U349/M349-1)*100)&lt;-50,"NM",(U349/M349-1)*100)))</f>
        <v>39.79591836734695</v>
      </c>
      <c r="W349" s="101">
        <v>381</v>
      </c>
      <c r="X349" s="98">
        <f>IF(ISERROR((W349/O349-1)*100),"NA",IF(((W349/O349-1)*100)&gt;100,"NM",IF(((W349/O349-1)*100)&lt;-50,"NM",(W349/O349-1)*100)))</f>
        <v>81.428571428571431</v>
      </c>
      <c r="Y349" s="101">
        <v>481</v>
      </c>
      <c r="Z349" s="98">
        <f>IF(ISERROR((Y349/Q349-1)*100),"NA",IF(((Y349/Q349-1)*100)&gt;100,"NM",IF(((Y349/Q349-1)*100)&lt;-50,"NM",(Y349/Q349-1)*100)))</f>
        <v>82.889733840304174</v>
      </c>
      <c r="AA349" s="101">
        <v>395</v>
      </c>
      <c r="AB349" s="98">
        <f>IF(ISERROR((AA349/S349-1)*100),"NA",IF(((AA349/S349-1)*100)&gt;100,"NM",IF(((AA349/S349-1)*100)&lt;-50,"NM",(AA349/S349-1)*100)))</f>
        <v>5.3333333333333233</v>
      </c>
      <c r="AC349" s="101">
        <v>390</v>
      </c>
      <c r="AD349" s="98">
        <f>IF(ISERROR((AC349/U349-1)*100),"NA",IF(((AC349/U349-1)*100)&gt;100,"NM",IF(((AC349/U349-1)*100)&lt;-50,"NM",(AC349/U349-1)*100)))</f>
        <v>42.335766423357654</v>
      </c>
      <c r="AE349" s="101">
        <v>445</v>
      </c>
      <c r="AF349" s="98">
        <f>IF(ISERROR((AE349/W349-1)*100),"NA",IF(((AE349/W349-1)*100)&gt;100,"NM",IF(((AE349/W349-1)*100)&lt;-50,"NM",(AE349/W349-1)*100)))</f>
        <v>16.797900262467191</v>
      </c>
      <c r="AG349" s="101">
        <v>448</v>
      </c>
      <c r="AH349" s="98">
        <f>IF(ISERROR((AG349/Y349-1)*100),"NA",IF(((AG349/Y349-1)*100)&gt;100,"NM",IF(((AG349/Y349-1)*100)&lt;-50,"NM",(AG349/Y349-1)*100)))</f>
        <v>-6.8607068607068555</v>
      </c>
      <c r="AI349" s="101">
        <v>402</v>
      </c>
      <c r="AJ349" s="98">
        <f>IF(ISERROR((AI349/AA349-1)*100),"NA",IF(((AI349/AA349-1)*100)&gt;100,"NM",IF(((AI349/AA349-1)*100)&lt;-50,"NM",(AI349/AA349-1)*100)))</f>
        <v>1.7721518987341867</v>
      </c>
      <c r="AK349" s="101">
        <v>392</v>
      </c>
      <c r="AL349" s="98">
        <f>IF(ISERROR((AK349/AC349-1)*100),"NA",IF(((AK349/AC349-1)*100)&gt;100,"NM",IF(((AK349/AC349-1)*100)&lt;-50,"NM",(AK349/AC349-1)*100)))</f>
        <v>0.512820512820511</v>
      </c>
      <c r="AM349" s="101">
        <v>437</v>
      </c>
      <c r="AN349" s="98">
        <f>IF(ISERROR((AM349/AE349-1)*100),"NA",IF(((AM349/AE349-1)*100)&gt;100,"NM",IF(((AM349/AE349-1)*100)&lt;-50,"NM",(AM349/AE349-1)*100)))</f>
        <v>-1.7977528089887618</v>
      </c>
      <c r="AO349" s="101">
        <v>461</v>
      </c>
      <c r="AP349" s="98">
        <f>IF(ISERROR((AO349/AG349-1)*100),"NA",IF(((AO349/AG349-1)*100)&gt;100,"NM",IF(((AO349/AG349-1)*100)&lt;-50,"NM",(AO349/AG349-1)*100)))</f>
        <v>2.9017857142857206</v>
      </c>
      <c r="AQ349" s="101">
        <v>466</v>
      </c>
      <c r="AR349" s="98">
        <f>IF(ISERROR((AQ349/AI349-1)*100),"NA",IF(((AQ349/AI349-1)*100)&gt;100,"NM",IF(((AQ349/AI349-1)*100)&lt;-50,"NM",(AQ349/AI349-1)*100)))</f>
        <v>15.920398009950244</v>
      </c>
      <c r="AS349" s="101">
        <v>470</v>
      </c>
      <c r="AT349" s="98">
        <f>IF(ISERROR((AS349/AK349-1)*100),"NA",IF(((AS349/AK349-1)*100)&gt;100,"NM",IF(((AS349/AK349-1)*100)&lt;-50,"NM",(AS349/AK349-1)*100)))</f>
        <v>19.897959183673475</v>
      </c>
      <c r="AU349" s="101">
        <v>614</v>
      </c>
      <c r="AV349" s="98">
        <f>IF(ISERROR((AU349/AM349-1)*100),"NA",IF(((AU349/AM349-1)*100)&gt;100,"NM",IF(((AU349/AM349-1)*100)&lt;-50,"NM",(AU349/AM349-1)*100)))</f>
        <v>40.503432494279167</v>
      </c>
      <c r="AW349" s="101">
        <v>636</v>
      </c>
      <c r="AX349" s="98">
        <f>IF(ISERROR((AW349/AO349-1)*100),"NA",IF(((AW349/AO349-1)*100)&gt;100,"NM",IF(((AW349/AO349-1)*100)&lt;-50,"NM",(AW349/AO349-1)*100)))</f>
        <v>37.960954446854657</v>
      </c>
      <c r="AY349" s="101">
        <v>631</v>
      </c>
      <c r="AZ349" s="98">
        <f>IF(ISERROR((AY349/AQ349-1)*100),"NA",IF(((AY349/AQ349-1)*100)&gt;100,"NM",IF(((AY349/AQ349-1)*100)&lt;-50,"NM",(AY349/AQ349-1)*100)))</f>
        <v>35.407725321888407</v>
      </c>
      <c r="BA349" s="101">
        <v>676</v>
      </c>
      <c r="BB349" s="98">
        <f>IF(ISERROR((BA349/AS349-1)*100),"NA",IF(((BA349/AS349-1)*100)&gt;100,"NM",IF(((BA349/AS349-1)*100)&lt;-50,"NM",(BA349/AS349-1)*100)))</f>
        <v>43.829787234042563</v>
      </c>
      <c r="BC349" s="101">
        <v>675</v>
      </c>
      <c r="BD349" s="98">
        <f>IF(ISERROR((BC349/AU349-1)*100),"NA",IF(((BC349/AU349-1)*100)&gt;100,"NM",IF(((BC349/AU349-1)*100)&lt;-50,"NM",(BC349/AU349-1)*100)))</f>
        <v>9.934853420195445</v>
      </c>
      <c r="BE349" s="101">
        <v>740</v>
      </c>
      <c r="BF349" s="98">
        <f>IF(ISERROR((BE349/AW349-1)*100),"NA",IF(((BE349/AW349-1)*100)&gt;100,"NM",IF(((BE349/AW349-1)*100)&lt;-50,"NM",(BE349/AW349-1)*100)))</f>
        <v>16.35220125786163</v>
      </c>
      <c r="BG349" s="101">
        <v>715</v>
      </c>
      <c r="BH349" s="98">
        <f>IF(ISERROR((BG349/AY349-1)*100),"NA",IF(((BG349/AY349-1)*100)&gt;100,"NM",IF(((BG349/AY349-1)*100)&lt;-50,"NM",(BG349/AY349-1)*100)))</f>
        <v>13.312202852614895</v>
      </c>
      <c r="BI349" s="101">
        <v>777</v>
      </c>
      <c r="BJ349" s="98">
        <f>IF(ISERROR((BI349/BA349-1)*100),"NA",IF(((BI349/BA349-1)*100)&gt;100,"NM",IF(((BI349/BA349-1)*100)&lt;-50,"NM",(BI349/BA349-1)*100)))</f>
        <v>14.940828402366858</v>
      </c>
      <c r="BK349" s="101">
        <v>780</v>
      </c>
      <c r="BL349" s="98">
        <f>IF(ISERROR((BK349/BC349-1)*100),"NA",IF(((BK349/BC349-1)*100)&gt;100,"NM",IF(((BK349/BC349-1)*100)&lt;-50,"NM",(BK349/BC349-1)*100)))</f>
        <v>15.555555555555545</v>
      </c>
      <c r="BM349" s="101">
        <v>824</v>
      </c>
      <c r="BN349" s="98">
        <f>IF(ISERROR((BM349/BE349-1)*100),"NA",IF(((BM349/BE349-1)*100)&gt;100,"NM",IF(((BM349/BE349-1)*100)&lt;-50,"NM",(BM349/BE349-1)*100)))</f>
        <v>11.351351351351347</v>
      </c>
      <c r="BO349" s="101">
        <v>904</v>
      </c>
      <c r="BP349" s="98">
        <f>IF(ISERROR((BO349/BG349-1)*100),"NA",IF(((BO349/BG349-1)*100)&gt;100,"NM",IF(((BO349/BG349-1)*100)&lt;-50,"NM",(BO349/BG349-1)*100)))</f>
        <v>26.433566433566426</v>
      </c>
      <c r="BQ349" s="101">
        <v>920</v>
      </c>
      <c r="BR349" s="98">
        <f>IF(ISERROR((BQ349/BI349-1)*100),"NA",IF(((BQ349/BI349-1)*100)&gt;100,"NM",IF(((BQ349/BI349-1)*100)&lt;-50,"NM",(BQ349/BI349-1)*100)))</f>
        <v>18.404118404118396</v>
      </c>
      <c r="BS349" s="101">
        <v>893</v>
      </c>
      <c r="BT349" s="98">
        <f>IF(ISERROR((BS349/BK349-1)*100),"NA",IF(((BS349/BK349-1)*100)&gt;100,"NM",IF(((BS349/BK349-1)*100)&lt;-50,"NM",(BS349/BK349-1)*100)))</f>
        <v>14.48717948717948</v>
      </c>
      <c r="BU349" s="101">
        <v>753</v>
      </c>
      <c r="BV349" s="98">
        <f>IF(ISERROR((BU349/BM349-1)*100),"NA",IF(((BU349/BM349-1)*100)&gt;100,"NM",IF(((BU349/BM349-1)*100)&lt;-50,"NM",(BU349/BM349-1)*100)))</f>
        <v>-8.6165048543689338</v>
      </c>
      <c r="BW349" s="101">
        <v>721</v>
      </c>
      <c r="BX349" s="98">
        <f>IF(ISERROR((BW349/BO349-1)*100),"NA",IF(((BW349/BO349-1)*100)&gt;100,"NM",IF(((BW349/BO349-1)*100)&lt;-50,"NM",(BW349/BO349-1)*100)))</f>
        <v>-20.243362831858402</v>
      </c>
      <c r="BY349" s="101">
        <v>777</v>
      </c>
      <c r="BZ349" s="98">
        <f>IF(ISERROR((BY349/BQ349-1)*100),"NA",IF(((BY349/BQ349-1)*100)&gt;100,"NM",IF(((BY349/BQ349-1)*100)&lt;-50,"NM",(BY349/BQ349-1)*100)))</f>
        <v>-15.54347826086957</v>
      </c>
      <c r="CA349" s="101">
        <v>868</v>
      </c>
      <c r="CB349" s="98">
        <f>IF(ISERROR((CA349/BS349-1)*100),"NA",IF(((CA349/BS349-1)*100)&gt;100,"NM",IF(((CA349/BS349-1)*100)&lt;-50,"NM",(CA349/BS349-1)*100)))</f>
        <v>-2.7995520716685318</v>
      </c>
      <c r="CC349" s="101">
        <v>821</v>
      </c>
      <c r="CD349" s="98">
        <f>IF(ISERROR((CC349/BU349-1)*100),"NA",IF(((CC349/BU349-1)*100)&gt;100,"NM",IF(((CC349/BU349-1)*100)&lt;-50,"NM",(CC349/BU349-1)*100)))</f>
        <v>9.0305444887118114</v>
      </c>
      <c r="CE349" s="101">
        <v>827</v>
      </c>
      <c r="CF349" s="98">
        <f>IF(ISERROR((CE349/BW349-1)*100),"NA",IF(((CE349/BW349-1)*100)&gt;100,"NM",IF(((CE349/BW349-1)*100)&lt;-50,"NM",(CE349/BW349-1)*100)))</f>
        <v>14.701803051317608</v>
      </c>
      <c r="CG349" s="101">
        <v>817</v>
      </c>
      <c r="CH349" s="98">
        <f>IF(ISERROR((CG349/BY349-1)*100),"NA",IF(((CG349/BY349-1)*100)&gt;100,"NM",IF(((CG349/BY349-1)*100)&lt;-50,"NM",(CG349/BY349-1)*100)))</f>
        <v>5.1480051480051525</v>
      </c>
      <c r="CI349" s="101">
        <v>878</v>
      </c>
      <c r="CJ349" s="98">
        <f>IF(ISERROR((CI349/CA349-1)*100),"NA",IF(((CI349/CA349-1)*100)&gt;100,"NM",IF(((CI349/CA349-1)*100)&lt;-50,"NM",(CI349/CA349-1)*100)))</f>
        <v>1.1520737327188835</v>
      </c>
      <c r="CK349" s="101">
        <v>1103</v>
      </c>
      <c r="CL349" s="98">
        <f>IF(ISERROR((CK349/CC349-1)*100),"NA",IF(((CK349/CC349-1)*100)&gt;100,"NM",IF(((CK349/CC349-1)*100)&lt;-50,"NM",(CK349/CC349-1)*100)))</f>
        <v>34.348355663824613</v>
      </c>
      <c r="CM349" s="101">
        <v>697</v>
      </c>
      <c r="CN349" s="98">
        <f>IF(ISERROR((CM349/CE349-1)*100),"NA",IF(((CM349/CE349-1)*100)&gt;100,"NM",IF(((CM349/CE349-1)*100)&lt;-50,"NM",(CM349/CE349-1)*100)))</f>
        <v>-15.719467956469169</v>
      </c>
      <c r="CO349" s="101">
        <v>689</v>
      </c>
      <c r="CP349" s="98">
        <f>IF(ISERROR((CO349/CG349-1)*100),"NA",IF(((CO349/CG349-1)*100)&gt;100,"NM",IF(((CO349/CG349-1)*100)&lt;-50,"NM",(CO349/CG349-1)*100)))</f>
        <v>-15.667074663402691</v>
      </c>
      <c r="CQ349" s="542">
        <v>630</v>
      </c>
      <c r="CR349" s="98">
        <f>IF(ISERROR((CQ349/CI349-1)*100),"NA",IF(((CQ349/CI349-1)*100)&gt;100,"NM",IF(((CQ349/CI349-1)*100)&lt;-50,"NM",(CQ349/CI349-1)*100)))</f>
        <v>-28.246013667425974</v>
      </c>
      <c r="CS349" s="101">
        <v>581</v>
      </c>
      <c r="CT349" s="98">
        <f>IF(ISERROR((CS349/CK349-1)*100),"NA",IF(((CS349/CK349-1)*100)&gt;100,"NM",IF(((CS349/CK349-1)*100)&lt;-50,"NM",(CS349/CK349-1)*100)))</f>
        <v>-47.325475974614683</v>
      </c>
      <c r="CU349" s="101">
        <v>652</v>
      </c>
      <c r="CV349" s="98">
        <f>IF(ISERROR((CU349/CM349-1)*100),"NA",IF(((CU349/CM349-1)*100)&gt;100,"NM",IF(((CU349/CM349-1)*100)&lt;-50,"NM",(CU349/CM349-1)*100)))</f>
        <v>-6.456241032998566</v>
      </c>
      <c r="CW349" s="101">
        <v>627</v>
      </c>
      <c r="CX349" s="98">
        <f>IF(ISERROR((CW349/CO349-1)*100),"NA",IF(((CW349/CO349-1)*100)&gt;100,"NM",IF(((CW349/CO349-1)*100)&lt;-50,"NM",(CW349/CO349-1)*100)))</f>
        <v>-8.9985486211901282</v>
      </c>
      <c r="CY349" s="101">
        <v>536</v>
      </c>
      <c r="CZ349" s="98">
        <f>IF(ISERROR((CY349/CQ349-1)*100),"NA",IF(((CY349/CQ349-1)*100)&gt;100,"NM",IF(((CY349/CQ349-1)*100)&lt;-50,"NM",(CY349/CQ349-1)*100)))</f>
        <v>-14.920634920634923</v>
      </c>
      <c r="DA349" s="101">
        <v>555</v>
      </c>
      <c r="DB349" s="98">
        <f>IF(ISERROR((DA349/CS349-1)*100),"NA",IF(((DA349/CS349-1)*100)&gt;100,"NM",IF(((DA349/CS349-1)*100)&lt;-50,"NM",(DA349/CS349-1)*100)))</f>
        <v>-4.4750430292598953</v>
      </c>
      <c r="DC349" s="101">
        <v>567</v>
      </c>
      <c r="DD349" s="98">
        <f>IF(ISERROR((DC349/CU349-1)*100),"NA",IF(((DC349/CU349-1)*100)&gt;100,"NM",IF(((DC349/CU349-1)*100)&lt;-50,"NM",(DC349/CU349-1)*100)))</f>
        <v>-13.036809815950923</v>
      </c>
      <c r="DE349" s="101">
        <v>558</v>
      </c>
      <c r="DF349" s="98">
        <f>IF(ISERROR((DE349/CW349-1)*100),"NA",IF(((DE349/CW349-1)*100)&gt;100,"NM",IF(((DE349/CW349-1)*100)&lt;-50,"NM",(DE349/CW349-1)*100)))</f>
        <v>-11.004784688995217</v>
      </c>
      <c r="DG349" s="101">
        <v>586</v>
      </c>
      <c r="DH349" s="98">
        <f>IF(ISERROR((DG349/CY349-1)*100),"NA",IF(((DG349/CY349-1)*100)&gt;100,"NM",IF(((DG349/CY349-1)*100)&lt;-50,"NM",(DG349/CY349-1)*100)))</f>
        <v>9.3283582089552333</v>
      </c>
      <c r="DI349" s="101">
        <v>586</v>
      </c>
      <c r="DJ349" s="98">
        <f>IF(ISERROR((DI349/DA349-1)*100),"NA",IF(((DI349/DA349-1)*100)&gt;100,"NM",IF(((DI349/DA349-1)*100)&lt;-50,"NM",(DI349/DA349-1)*100)))</f>
        <v>5.5855855855855951</v>
      </c>
      <c r="DK349" s="101">
        <v>597</v>
      </c>
      <c r="DL349" s="98">
        <f>IF(ISERROR((DK349/DC349-1)*100),"NA",IF(((DK349/DC349-1)*100)&gt;100,"NM",IF(((DK349/DC349-1)*100)&lt;-50,"NM",(DK349/DC349-1)*100)))</f>
        <v>5.2910052910053018</v>
      </c>
      <c r="DM349" s="101">
        <v>584</v>
      </c>
      <c r="DN349" s="98">
        <f>IF(ISERROR((DM349/DE349-1)*100),"NA",IF(((DM349/DE349-1)*100)&gt;100,"NM",IF(((DM349/DE349-1)*100)&lt;-50,"NM",(DM349/DE349-1)*100)))</f>
        <v>4.6594982078853153</v>
      </c>
      <c r="DO349" s="101">
        <v>581</v>
      </c>
      <c r="DP349" s="98">
        <f>IF(ISERROR((DO349/DG349-1)*100),"NA",IF(((DO349/DG349-1)*100)&gt;100,"NM",IF(((DO349/DG349-1)*100)&lt;-50,"NM",(DO349/DG349-1)*100)))</f>
        <v>-0.85324232081911422</v>
      </c>
      <c r="DQ349" s="101">
        <v>547</v>
      </c>
      <c r="DR349" s="98">
        <f>IF(ISERROR((DQ349/DI349-1)*100),"NA",IF(((DQ349/DI349-1)*100)&gt;100,"NM",IF(((DQ349/DI349-1)*100)&lt;-50,"NM",(DQ349/DI349-1)*100)))</f>
        <v>-6.6552901023890776</v>
      </c>
      <c r="DS349" s="101">
        <v>508</v>
      </c>
      <c r="DT349" s="98">
        <f>IF(ISERROR((DS349/DK349-1)*100),"NA",IF(((DS349/DK349-1)*100)&gt;100,"NM",IF(((DS349/DK349-1)*100)&lt;-50,"NM",(DS349/DK349-1)*100)))</f>
        <v>-14.907872696817426</v>
      </c>
      <c r="DU349" s="101">
        <v>525</v>
      </c>
      <c r="DV349" s="98">
        <f>IF(ISERROR((DU349/DM349-1)*100),"NA",IF(((DU349/DM349-1)*100)&gt;100,"NM",IF(((DU349/DM349-1)*100)&lt;-50,"NM",(DU349/DM349-1)*100)))</f>
        <v>-10.102739726027398</v>
      </c>
      <c r="DW349" s="101">
        <v>501</v>
      </c>
      <c r="DX349" s="98">
        <f>IF(ISERROR((DW349/DO349-1)*100),"NA",IF(((DW349/DO349-1)*100)&gt;100,"NM",IF(((DW349/DO349-1)*100)&lt;-50,"NM",(DW349/DO349-1)*100)))</f>
        <v>-13.76936316695353</v>
      </c>
      <c r="DY349" s="101">
        <v>502</v>
      </c>
      <c r="DZ349" s="98">
        <f>IF(ISERROR((DY349/DQ349-1)*100),"NA",IF(((DY349/DQ349-1)*100)&gt;100,"NM",IF(((DY349/DQ349-1)*100)&lt;-50,"NM",(DY349/DQ349-1)*100)))</f>
        <v>-8.2266910420475288</v>
      </c>
      <c r="EA349" s="101">
        <v>500</v>
      </c>
      <c r="EB349" s="98">
        <f>IF(ISERROR((EA349/DS349-1)*100),"NA",IF(((EA349/DS349-1)*100)&gt;100,"NM",IF(((EA349/DS349-1)*100)&lt;-50,"NM",(EA349/DS349-1)*100)))</f>
        <v>-1.5748031496062964</v>
      </c>
      <c r="EC349" s="101">
        <v>519</v>
      </c>
      <c r="ED349" s="98">
        <f>IF(ISERROR((EC349/DU349-1)*100),"NA",IF(((EC349/DU349-1)*100)&gt;100,"NM",IF(((EC349/DU349-1)*100)&lt;-50,"NM",(EC349/DU349-1)*100)))</f>
        <v>-1.1428571428571455</v>
      </c>
      <c r="EE349" s="101">
        <v>500</v>
      </c>
      <c r="EF349" s="860">
        <f>IF(ISERROR((EE349/DW349-1)*100),"NA",IF(((EE349/DW349-1)*100)&gt;100,"NM",IF(((EE349/DW349-1)*100)&lt;-50,"NM",(EE349/DW349-1)*100)))</f>
        <v>-0.19960079840319889</v>
      </c>
      <c r="EG349" s="101">
        <v>508</v>
      </c>
      <c r="EH349" s="860">
        <f>IF(ISERROR((EG349/DY349-1)*100),"NA",IF(((EG349/DY349-1)*100)&gt;100,"NM",IF(((EG349/DY349-1)*100)&lt;-50,"NM",(EG349/DY349-1)*100)))</f>
        <v>1.195219123505975</v>
      </c>
      <c r="EI349" s="101">
        <v>502</v>
      </c>
      <c r="EJ349" s="860">
        <f t="shared" ref="EJ349:EJ353" si="1755">IF(ISERROR((EI349/EA349-1)*100),"NA",IF(((EI349/EA349-1)*100)&gt;100,"NM",IF(((EI349/EA349-1)*100)&lt;-50,"NM",(EI349/EA349-1)*100)))</f>
        <v>0.40000000000000036</v>
      </c>
      <c r="EK349" s="101">
        <v>505</v>
      </c>
      <c r="EL349" s="860">
        <f t="shared" ref="EL349:EL353" si="1756">IF(ISERROR((EK349/EC349-1)*100),"NA",IF(((EK349/EC349-1)*100)&gt;100,"NM",IF(((EK349/EC349-1)*100)&lt;-50,"NM",(EK349/EC349-1)*100)))</f>
        <v>-2.6974951830443183</v>
      </c>
      <c r="EM349" s="101">
        <v>527</v>
      </c>
      <c r="EN349" s="860">
        <f t="shared" ref="EN349:EN353" si="1757">IF(ISERROR((EM349/EE349-1)*100),"NA",IF(((EM349/EE349-1)*100)&gt;100,"NM",IF(((EM349/EE349-1)*100)&lt;-50,"NM",(EM349/EE349-1)*100)))</f>
        <v>5.4000000000000048</v>
      </c>
      <c r="EO349" s="101">
        <v>527</v>
      </c>
      <c r="EP349" s="98">
        <f t="shared" ref="EP349:EP353" si="1758">IF(ISERROR((EO349/EG349-1)*100),"NA",IF(((EO349/EG349-1)*100)&gt;100,"NM",IF(((EO349/EG349-1)*100)&lt;-50,"NM",(EO349/EG349-1)*100)))</f>
        <v>3.740157480314954</v>
      </c>
      <c r="EQ349" s="952">
        <f>EO349*1.02</f>
        <v>537.54</v>
      </c>
      <c r="ER349" s="98">
        <f t="shared" ref="ER349:ER353" si="1759">IF(ISERROR((EQ349/EI349-1)*100),"NA",IF(((EQ349/EI349-1)*100)&gt;100,"NM",IF(((EQ349/EI349-1)*100)&lt;-50,"NM",(EQ349/EI349-1)*100)))</f>
        <v>7.0796812749003957</v>
      </c>
      <c r="ES349" s="952">
        <f>EQ349*1.02</f>
        <v>548.29079999999999</v>
      </c>
      <c r="ET349" s="98">
        <f t="shared" ref="ET349:ET353" si="1760">IF(ISERROR((ES349/EK349-1)*100),"NA",IF(((ES349/EK349-1)*100)&gt;100,"NM",IF(((ES349/EK349-1)*100)&lt;-50,"NM",(ES349/EK349-1)*100)))</f>
        <v>8.5724356435643578</v>
      </c>
      <c r="EU349" s="952">
        <f>ES349*1.02</f>
        <v>559.25661600000001</v>
      </c>
      <c r="EV349" s="98">
        <f t="shared" ref="EV349:EV353" si="1761">IF(ISERROR((EU349/EM349-1)*100),"NA",IF(((EU349/EM349-1)*100)&gt;100,"NM",IF(((EU349/EM349-1)*100)&lt;-50,"NM",(EU349/EM349-1)*100)))</f>
        <v>6.1207999999999929</v>
      </c>
      <c r="EW349" s="952">
        <f>EU349*1.02</f>
        <v>570.44174831999999</v>
      </c>
      <c r="EX349" s="98">
        <f t="shared" ref="EX349:EX353" si="1762">IF(ISERROR((EW349/EO349-1)*100),"NA",IF(((EW349/EO349-1)*100)&gt;100,"NM",IF(((EW349/EO349-1)*100)&lt;-50,"NM",(EW349/EO349-1)*100)))</f>
        <v>8.2432159999999968</v>
      </c>
      <c r="EY349" s="121"/>
      <c r="EZ349" s="594"/>
      <c r="FA349" s="405"/>
      <c r="FB349" s="121">
        <v>618</v>
      </c>
      <c r="FC349" s="98"/>
      <c r="FD349" s="101">
        <v>522</v>
      </c>
      <c r="FE349" s="98">
        <f>IF(ISERROR((FD349/FB349-1)*100),"NA",IF(((FD349/FB349-1)*100)&gt;100,"NM",IF(((FD349/FB349-1)*100)&lt;-50,"NM",(FD349/FB349-1)*100)))</f>
        <v>-15.533980582524276</v>
      </c>
      <c r="FF349" s="118">
        <f>C349+E349+G349+I349</f>
        <v>660</v>
      </c>
      <c r="FG349" s="98">
        <f>IF(ISERROR((FF349/FD349-1)*100),"NA",IF(((FF349/FD349-1)*100)&gt;100,"NM",IF(((FF349/FD349-1)*100)&lt;-50,"NM",(FF349/FD349-1)*100)))</f>
        <v>26.436781609195403</v>
      </c>
      <c r="FH349" s="118">
        <f>K349+M349+O349+Q349</f>
        <v>846</v>
      </c>
      <c r="FI349" s="98">
        <f>IF(ISERROR((FH349/FF349-1)*100),"NA",IF(((FH349/FF349-1)*100)&gt;100,"NM",IF(((FH349/FF349-1)*100)&lt;-50,"NM",(FH349/FF349-1)*100)))</f>
        <v>28.181818181818173</v>
      </c>
      <c r="FJ349" s="118">
        <f>S349+U349+W349+Y349</f>
        <v>1511</v>
      </c>
      <c r="FK349" s="98">
        <f>IF(ISERROR((FJ349/FH349-1)*100),"NA",IF(((FJ349/FH349-1)*100)&gt;100,"NM",IF(((FJ349/FH349-1)*100)&lt;-50,"NM",(FJ349/FH349-1)*100)))</f>
        <v>78.605200945626478</v>
      </c>
      <c r="FL349" s="118">
        <f>AA349+AC349+AE349+AG349</f>
        <v>1678</v>
      </c>
      <c r="FM349" s="98">
        <f>IF(ISERROR((FL349/FJ349-1)*100),"NA",IF(((FL349/FJ349-1)*100)&gt;100,"NM",IF(((FL349/FJ349-1)*100)&lt;-50,"NM",(FL349/FJ349-1)*100)))</f>
        <v>11.052283256121775</v>
      </c>
      <c r="FN349" s="118">
        <f>AI349+AK349+AM349+AO349</f>
        <v>1692</v>
      </c>
      <c r="FO349" s="98">
        <f>IF(ISERROR((FN349/FL349-1)*100),"NA",IF(((FN349/FL349-1)*100)&gt;100,"NM",IF(((FN349/FL349-1)*100)&lt;-50,"NM",(FN349/FL349-1)*100)))</f>
        <v>0.83432657926103548</v>
      </c>
      <c r="FP349" s="118">
        <f>AQ349+AS349+AU349+AW349</f>
        <v>2186</v>
      </c>
      <c r="FQ349" s="98">
        <f>IF(ISERROR((FP349/FN349-1)*100),"NA",IF(((FP349/FN349-1)*100)&gt;100,"NM",IF(((FP349/FN349-1)*100)&lt;-50,"NM",(FP349/FN349-1)*100)))</f>
        <v>29.196217494089826</v>
      </c>
      <c r="FR349" s="119">
        <f>AY349+BA349+BC349+BE349</f>
        <v>2722</v>
      </c>
      <c r="FS349" s="120">
        <f>IF(ISERROR((FR349/FP349-1)*100),"NA",IF(((FR349/FP349-1)*100)&gt;100,"NM",IF(((FR349/FP349-1)*100)&lt;-50,"NM",(FR349/FP349-1)*100)))</f>
        <v>24.519670631290037</v>
      </c>
      <c r="FT349" s="119">
        <f>BG349+BI349+BK349+BM349</f>
        <v>3096</v>
      </c>
      <c r="FU349" s="120">
        <f>IF(ISERROR((FT349/FR349-1)*100),"NA",IF(((FT349/FR349-1)*100)&gt;100,"NM",IF(((FT349/FR349-1)*100)&lt;-50,"NM",(FT349/FR349-1)*100)))</f>
        <v>13.739897134459955</v>
      </c>
      <c r="FV349" s="119">
        <f>BO349+BQ349+BS349+BU349</f>
        <v>3470</v>
      </c>
      <c r="FW349" s="98">
        <f>IF(ISERROR((FV349/FT349-1)*100),"NA",IF(((FV349/FT349-1)*100)&gt;100,"NM",IF(((FV349/FT349-1)*100)&lt;-50,"NM",(FV349/FT349-1)*100)))</f>
        <v>12.080103359173133</v>
      </c>
      <c r="FX349" s="495">
        <f>BW349+BY349+CA349+CC349</f>
        <v>3187</v>
      </c>
      <c r="FY349" s="98">
        <f>IF(ISERROR((FX349/FV349-1)*100),"NA",IF(((FX349/FV349-1)*100)&gt;100,"NM",IF(((FX349/FV349-1)*100)&lt;-50,"NM",(FX349/FV349-1)*100)))</f>
        <v>-8.1556195965417864</v>
      </c>
      <c r="FZ349" s="160">
        <f>CE349+CG349+CI349+CK349</f>
        <v>3625</v>
      </c>
      <c r="GA349" s="98">
        <f>IF(ISERROR((FZ349/FX349-1)*100),"NA",IF(((FZ349/FX349-1)*100)&gt;100,"NM",IF(((FZ349/FX349-1)*100)&lt;-50,"NM",(FZ349/FX349-1)*100)))</f>
        <v>13.743332287417642</v>
      </c>
      <c r="GB349" s="542">
        <v>2477</v>
      </c>
      <c r="GC349" s="98">
        <f>IF(ISERROR((GB349/FZ349-1)*100),"NA",IF(((GB349/FZ349-1)*100)&gt;100,"NM",IF(((GB349/FZ349-1)*100)&lt;-50,"NM",(GB349/FZ349-1)*100)))</f>
        <v>-31.668965517241375</v>
      </c>
      <c r="GD349" s="160">
        <f>CU349+CW349+CY349+DA349</f>
        <v>2370</v>
      </c>
      <c r="GE349" s="98">
        <f>IF(ISERROR((GD349/GB349-1)*100),"NA",IF(((GD349/GB349-1)*100)&gt;100,"NM",IF(((GD349/GB349-1)*100)&lt;-50,"NM",(GD349/GB349-1)*100)))</f>
        <v>-4.3197416229309615</v>
      </c>
      <c r="GF349" s="160">
        <f>DC349+DE349+DG349+DI349</f>
        <v>2297</v>
      </c>
      <c r="GG349" s="98">
        <f>IF(ISERROR((GF349/GD349-1)*100),"NA",IF(((GF349/GD349-1)*100)&gt;100,"NM",IF(((GF349/GD349-1)*100)&lt;-50,"NM",(GF349/GD349-1)*100)))</f>
        <v>-3.0801687763713059</v>
      </c>
      <c r="GH349" s="160">
        <f>DK349+DM349+DO349+DQ349</f>
        <v>2309</v>
      </c>
      <c r="GI349" s="98">
        <f>IF(ISERROR((GH349/GF349-1)*100),"NA",IF(((GH349/GF349-1)*100)&gt;100,"NM",IF(((GH349/GF349-1)*100)&lt;-50,"NM",(GH349/GF349-1)*100)))</f>
        <v>0.52242054854156894</v>
      </c>
      <c r="GJ349" s="160">
        <f>DS349+DU349+DW349+DY349</f>
        <v>2036</v>
      </c>
      <c r="GK349" s="98">
        <f>IF(ISERROR((GJ349/GH349-1)*100),"NA",IF(((GJ349/GH349-1)*100)&gt;100,"NM",IF(((GJ349/GH349-1)*100)&lt;-50,"NM",(GJ349/GH349-1)*100)))</f>
        <v>-11.823300129926373</v>
      </c>
      <c r="GL349" s="160">
        <f>EA349+EC349+EE349+EG349</f>
        <v>2027</v>
      </c>
      <c r="GM349" s="98">
        <f>IF(ISERROR((GL349/GJ349-1)*100),"NA",IF(((GL349/GJ349-1)*100)&gt;100,"NM",IF(((GL349/GJ349-1)*100)&lt;-50,"NM",(GL349/GJ349-1)*100)))</f>
        <v>-0.44204322200392943</v>
      </c>
      <c r="GN349" s="160">
        <f>EI349+EK349+EM349+EO349</f>
        <v>2061</v>
      </c>
      <c r="GO349" s="98">
        <f>IF(ISERROR((GN349/GL349-1)*100),"NA",IF(((GN349/GL349-1)*100)&gt;100,"NM",IF(((GN349/GL349-1)*100)&lt;-50,"NM",(GN349/GL349-1)*100)))</f>
        <v>1.6773556980759663</v>
      </c>
      <c r="GP349" s="160">
        <f>EQ349+ES349+EU349+EW349</f>
        <v>2215.5291643199998</v>
      </c>
      <c r="GQ349" s="98">
        <f>IF(ISERROR((GP349/GN349-1)*100),"NA",IF(((GP349/GN349-1)*100)&gt;100,"NM",IF(((GP349/GN349-1)*100)&lt;-50,"NM",(GP349/GN349-1)*100)))</f>
        <v>7.4977760465793297</v>
      </c>
      <c r="GR349" s="121">
        <f>GP349*1.09</f>
        <v>2414.9267891088002</v>
      </c>
      <c r="GS349" s="98">
        <f>IF(ISERROR((GR349/GP349-1)*100),"NA",IF(((GR349/GP349-1)*100)&gt;100,"NM",IF(((GR349/GP349-1)*100)&lt;-50,"NM",(GR349/GP349-1)*100)))</f>
        <v>9.0000000000000071</v>
      </c>
      <c r="GT349" s="121">
        <f>GR349*1.09</f>
        <v>2632.2702001285925</v>
      </c>
      <c r="GU349" s="98">
        <f>IF(ISERROR((GT349/GR349-1)*100),"NA",IF(((GT349/GR349-1)*100)&gt;100,"NM",IF(((GT349/GR349-1)*100)&lt;-50,"NM",(GT349/GR349-1)*100)))</f>
        <v>9.0000000000000071</v>
      </c>
      <c r="GV349" s="121">
        <f>GT349*1.09</f>
        <v>2869.1745181401661</v>
      </c>
      <c r="GW349" s="98">
        <f>IF(ISERROR((GV349/GT349-1)*100),"NA",IF(((GV349/GT349-1)*100)&gt;100,"NM",IF(((GV349/GT349-1)*100)&lt;-50,"NM",(GV349/GT349-1)*100)))</f>
        <v>9.0000000000000071</v>
      </c>
      <c r="GX349" s="121">
        <f>GV349*1.09</f>
        <v>3127.4002247727813</v>
      </c>
      <c r="GY349" s="98">
        <f>IF(ISERROR((GX349/GV349-1)*100),"NA",IF(((GX349/GV349-1)*100)&gt;100,"NM",IF(((GX349/GV349-1)*100)&lt;-50,"NM",(GX349/GV349-1)*100)))</f>
        <v>9.0000000000000071</v>
      </c>
      <c r="GZ349" s="98">
        <f>IF(ISERROR(((GX349/GN349)^0.2-1)*100),"NA",IF((((GX349/GN349)^0.2-1)*100)&gt;100,"NM",IF((((GX349/GN349)^0.2-1)*100)&lt;-50,"NM",((GX349/GN349)^0.2-1)*100)))</f>
        <v>8.6978851032783133</v>
      </c>
      <c r="HA349" s="98"/>
      <c r="HB349" s="10"/>
      <c r="HC349"/>
      <c r="HD349"/>
      <c r="HE349"/>
      <c r="HF349"/>
      <c r="HG349"/>
      <c r="HH349"/>
      <c r="HI349" s="10"/>
    </row>
    <row r="350" spans="2:217" s="2" customFormat="1" ht="12.75" customHeight="1" x14ac:dyDescent="0.2">
      <c r="B350" s="91" t="s">
        <v>560</v>
      </c>
      <c r="C350" s="101">
        <v>13</v>
      </c>
      <c r="D350" s="98"/>
      <c r="E350" s="101">
        <v>11</v>
      </c>
      <c r="F350" s="98"/>
      <c r="G350" s="101">
        <v>14</v>
      </c>
      <c r="H350" s="98"/>
      <c r="I350" s="101">
        <v>14</v>
      </c>
      <c r="J350" s="98"/>
      <c r="K350" s="101">
        <v>11</v>
      </c>
      <c r="L350" s="98">
        <f>IF(ISERROR((K350/C350-1)*100),"NA",IF(((K350/C350-1)*100)&gt;100,"NM",IF(((K350/C350-1)*100)&lt;-50,"NM",(K350/C350-1)*100)))</f>
        <v>-15.384615384615385</v>
      </c>
      <c r="M350" s="101">
        <v>9</v>
      </c>
      <c r="N350" s="98">
        <f>IF(ISERROR((M350/E350-1)*100),"NA",IF(((M350/E350-1)*100)&gt;100,"NM",IF(((M350/E350-1)*100)&lt;-50,"NM",(M350/E350-1)*100)))</f>
        <v>-18.181818181818176</v>
      </c>
      <c r="O350" s="101">
        <v>8</v>
      </c>
      <c r="P350" s="98">
        <f>IF(ISERROR((O350/G350-1)*100),"NA",IF(((O350/G350-1)*100)&gt;100,"NM",IF(((O350/G350-1)*100)&lt;-50,"NM",(O350/G350-1)*100)))</f>
        <v>-42.857142857142861</v>
      </c>
      <c r="Q350" s="101">
        <v>10</v>
      </c>
      <c r="R350" s="98">
        <f>IF(ISERROR((Q350/I350-1)*100),"NA",IF(((Q350/I350-1)*100)&gt;100,"NM",IF(((Q350/I350-1)*100)&lt;-50,"NM",(Q350/I350-1)*100)))</f>
        <v>-28.571428571428569</v>
      </c>
      <c r="S350" s="101">
        <v>7</v>
      </c>
      <c r="T350" s="98">
        <f>IF(ISERROR((S350/K350-1)*100),"NA",IF(((S350/K350-1)*100)&gt;100,"NM",IF(((S350/K350-1)*100)&lt;-50,"NM",(S350/K350-1)*100)))</f>
        <v>-36.363636363636367</v>
      </c>
      <c r="U350" s="101">
        <v>7</v>
      </c>
      <c r="V350" s="98">
        <f>IF(ISERROR((U350/M350-1)*100),"NA",IF(((U350/M350-1)*100)&gt;100,"NM",IF(((U350/M350-1)*100)&lt;-50,"NM",(U350/M350-1)*100)))</f>
        <v>-22.222222222222221</v>
      </c>
      <c r="W350" s="101">
        <v>64</v>
      </c>
      <c r="X350" s="98" t="str">
        <f>IF(ISERROR((W350/O350-1)*100),"NA",IF(((W350/O350-1)*100)&gt;100,"NM",IF(((W350/O350-1)*100)&lt;-50,"NM",(W350/O350-1)*100)))</f>
        <v>NM</v>
      </c>
      <c r="Y350" s="101">
        <v>66</v>
      </c>
      <c r="Z350" s="98" t="str">
        <f>IF(ISERROR((Y350/Q350-1)*100),"NA",IF(((Y350/Q350-1)*100)&gt;100,"NM",IF(((Y350/Q350-1)*100)&lt;-50,"NM",(Y350/Q350-1)*100)))</f>
        <v>NM</v>
      </c>
      <c r="AA350" s="101">
        <v>51</v>
      </c>
      <c r="AB350" s="98" t="str">
        <f>IF(ISERROR((AA350/S350-1)*100),"NA",IF(((AA350/S350-1)*100)&gt;100,"NM",IF(((AA350/S350-1)*100)&lt;-50,"NM",(AA350/S350-1)*100)))</f>
        <v>NM</v>
      </c>
      <c r="AC350" s="101">
        <v>71</v>
      </c>
      <c r="AD350" s="98" t="str">
        <f>IF(ISERROR((AC350/U350-1)*100),"NA",IF(((AC350/U350-1)*100)&gt;100,"NM",IF(((AC350/U350-1)*100)&lt;-50,"NM",(AC350/U350-1)*100)))</f>
        <v>NM</v>
      </c>
      <c r="AE350" s="101">
        <v>70</v>
      </c>
      <c r="AF350" s="98">
        <f>IF(ISERROR((AE350/W350-1)*100),"NA",IF(((AE350/W350-1)*100)&gt;100,"NM",IF(((AE350/W350-1)*100)&lt;-50,"NM",(AE350/W350-1)*100)))</f>
        <v>9.375</v>
      </c>
      <c r="AG350" s="101">
        <v>80</v>
      </c>
      <c r="AH350" s="98">
        <f>IF(ISERROR((AG350/Y350-1)*100),"NA",IF(((AG350/Y350-1)*100)&gt;100,"NM",IF(((AG350/Y350-1)*100)&lt;-50,"NM",(AG350/Y350-1)*100)))</f>
        <v>21.212121212121215</v>
      </c>
      <c r="AI350" s="101">
        <v>83</v>
      </c>
      <c r="AJ350" s="98">
        <f>IF(ISERROR((AI350/AA350-1)*100),"NA",IF(((AI350/AA350-1)*100)&gt;100,"NM",IF(((AI350/AA350-1)*100)&lt;-50,"NM",(AI350/AA350-1)*100)))</f>
        <v>62.745098039215684</v>
      </c>
      <c r="AK350" s="101">
        <v>86</v>
      </c>
      <c r="AL350" s="98">
        <f>IF(ISERROR((AK350/AC350-1)*100),"NA",IF(((AK350/AC350-1)*100)&gt;100,"NM",IF(((AK350/AC350-1)*100)&lt;-50,"NM",(AK350/AC350-1)*100)))</f>
        <v>21.126760563380277</v>
      </c>
      <c r="AM350" s="101">
        <v>90</v>
      </c>
      <c r="AN350" s="98">
        <f>IF(ISERROR((AM350/AE350-1)*100),"NA",IF(((AM350/AE350-1)*100)&gt;100,"NM",IF(((AM350/AE350-1)*100)&lt;-50,"NM",(AM350/AE350-1)*100)))</f>
        <v>28.57142857142858</v>
      </c>
      <c r="AO350" s="101">
        <v>90</v>
      </c>
      <c r="AP350" s="98">
        <f>IF(ISERROR((AO350/AG350-1)*100),"NA",IF(((AO350/AG350-1)*100)&gt;100,"NM",IF(((AO350/AG350-1)*100)&lt;-50,"NM",(AO350/AG350-1)*100)))</f>
        <v>12.5</v>
      </c>
      <c r="AQ350" s="101">
        <v>119</v>
      </c>
      <c r="AR350" s="98">
        <f>IF(ISERROR((AQ350/AI350-1)*100),"NA",IF(((AQ350/AI350-1)*100)&gt;100,"NM",IF(((AQ350/AI350-1)*100)&lt;-50,"NM",(AQ350/AI350-1)*100)))</f>
        <v>43.373493975903621</v>
      </c>
      <c r="AS350" s="101">
        <v>125</v>
      </c>
      <c r="AT350" s="98">
        <f>IF(ISERROR((AS350/AK350-1)*100),"NA",IF(((AS350/AK350-1)*100)&gt;100,"NM",IF(((AS350/AK350-1)*100)&lt;-50,"NM",(AS350/AK350-1)*100)))</f>
        <v>45.348837209302317</v>
      </c>
      <c r="AU350" s="101">
        <v>170</v>
      </c>
      <c r="AV350" s="98">
        <f>IF(ISERROR((AU350/AM350-1)*100),"NA",IF(((AU350/AM350-1)*100)&gt;100,"NM",IF(((AU350/AM350-1)*100)&lt;-50,"NM",(AU350/AM350-1)*100)))</f>
        <v>88.888888888888886</v>
      </c>
      <c r="AW350" s="101">
        <v>165</v>
      </c>
      <c r="AX350" s="98">
        <f>IF(ISERROR((AW350/AO350-1)*100),"NA",IF(((AW350/AO350-1)*100)&gt;100,"NM",IF(((AW350/AO350-1)*100)&lt;-50,"NM",(AW350/AO350-1)*100)))</f>
        <v>83.333333333333329</v>
      </c>
      <c r="AY350" s="101">
        <v>184</v>
      </c>
      <c r="AZ350" s="98">
        <f>IF(ISERROR((AY350/AQ350-1)*100),"NA",IF(((AY350/AQ350-1)*100)&gt;100,"NM",IF(((AY350/AQ350-1)*100)&lt;-50,"NM",(AY350/AQ350-1)*100)))</f>
        <v>54.621848739495803</v>
      </c>
      <c r="BA350" s="101">
        <v>194</v>
      </c>
      <c r="BB350" s="98">
        <f>IF(ISERROR((BA350/AS350-1)*100),"NA",IF(((BA350/AS350-1)*100)&gt;100,"NM",IF(((BA350/AS350-1)*100)&lt;-50,"NM",(BA350/AS350-1)*100)))</f>
        <v>55.2</v>
      </c>
      <c r="BC350" s="101">
        <v>205</v>
      </c>
      <c r="BD350" s="98">
        <f>IF(ISERROR((BC350/AU350-1)*100),"NA",IF(((BC350/AU350-1)*100)&gt;100,"NM",IF(((BC350/AU350-1)*100)&lt;-50,"NM",(BC350/AU350-1)*100)))</f>
        <v>20.588235294117641</v>
      </c>
      <c r="BE350" s="101">
        <v>221</v>
      </c>
      <c r="BF350" s="98">
        <f>IF(ISERROR((BE350/AW350-1)*100),"NA",IF(((BE350/AW350-1)*100)&gt;100,"NM",IF(((BE350/AW350-1)*100)&lt;-50,"NM",(BE350/AW350-1)*100)))</f>
        <v>33.939393939393938</v>
      </c>
      <c r="BG350" s="101">
        <v>236</v>
      </c>
      <c r="BH350" s="98">
        <f>IF(ISERROR((BG350/AY350-1)*100),"NA",IF(((BG350/AY350-1)*100)&gt;100,"NM",IF(((BG350/AY350-1)*100)&lt;-50,"NM",(BG350/AY350-1)*100)))</f>
        <v>28.260869565217384</v>
      </c>
      <c r="BI350" s="101">
        <v>241</v>
      </c>
      <c r="BJ350" s="98">
        <f>IF(ISERROR((BI350/BA350-1)*100),"NA",IF(((BI350/BA350-1)*100)&gt;100,"NM",IF(((BI350/BA350-1)*100)&lt;-50,"NM",(BI350/BA350-1)*100)))</f>
        <v>24.226804123711343</v>
      </c>
      <c r="BK350" s="101">
        <v>238</v>
      </c>
      <c r="BL350" s="98">
        <f>IF(ISERROR((BK350/BC350-1)*100),"NA",IF(((BK350/BC350-1)*100)&gt;100,"NM",IF(((BK350/BC350-1)*100)&lt;-50,"NM",(BK350/BC350-1)*100)))</f>
        <v>16.097560975609749</v>
      </c>
      <c r="BM350" s="101">
        <v>280</v>
      </c>
      <c r="BN350" s="98">
        <f>IF(ISERROR((BM350/BE350-1)*100),"NA",IF(((BM350/BE350-1)*100)&gt;100,"NM",IF(((BM350/BE350-1)*100)&lt;-50,"NM",(BM350/BE350-1)*100)))</f>
        <v>26.696832579185514</v>
      </c>
      <c r="BO350" s="101">
        <v>289</v>
      </c>
      <c r="BP350" s="98">
        <f>IF(ISERROR((BO350/BG350-1)*100),"NA",IF(((BO350/BG350-1)*100)&gt;100,"NM",IF(((BO350/BG350-1)*100)&lt;-50,"NM",(BO350/BG350-1)*100)))</f>
        <v>22.457627118644076</v>
      </c>
      <c r="BQ350" s="101">
        <v>294</v>
      </c>
      <c r="BR350" s="98">
        <f>IF(ISERROR((BQ350/BI350-1)*100),"NA",IF(((BQ350/BI350-1)*100)&gt;100,"NM",IF(((BQ350/BI350-1)*100)&lt;-50,"NM",(BQ350/BI350-1)*100)))</f>
        <v>21.991701244813289</v>
      </c>
      <c r="BS350" s="101">
        <v>264</v>
      </c>
      <c r="BT350" s="98">
        <f>IF(ISERROR((BS350/BK350-1)*100),"NA",IF(((BS350/BK350-1)*100)&gt;100,"NM",IF(((BS350/BK350-1)*100)&lt;-50,"NM",(BS350/BK350-1)*100)))</f>
        <v>10.924369747899165</v>
      </c>
      <c r="BU350" s="101">
        <v>248</v>
      </c>
      <c r="BV350" s="98">
        <f>IF(ISERROR((BU350/BM350-1)*100),"NA",IF(((BU350/BM350-1)*100)&gt;100,"NM",IF(((BU350/BM350-1)*100)&lt;-50,"NM",(BU350/BM350-1)*100)))</f>
        <v>-11.428571428571432</v>
      </c>
      <c r="BW350" s="101">
        <v>210</v>
      </c>
      <c r="BX350" s="98">
        <f>IF(ISERROR((BW350/BO350-1)*100),"NA",IF(((BW350/BO350-1)*100)&gt;100,"NM",IF(((BW350/BO350-1)*100)&lt;-50,"NM",(BW350/BO350-1)*100)))</f>
        <v>-27.335640138408301</v>
      </c>
      <c r="BY350" s="101">
        <v>226</v>
      </c>
      <c r="BZ350" s="98">
        <f>IF(ISERROR((BY350/BQ350-1)*100),"NA",IF(((BY350/BQ350-1)*100)&gt;100,"NM",IF(((BY350/BQ350-1)*100)&lt;-50,"NM",(BY350/BQ350-1)*100)))</f>
        <v>-23.129251700680275</v>
      </c>
      <c r="CA350" s="101">
        <v>222</v>
      </c>
      <c r="CB350" s="98">
        <f>IF(ISERROR((CA350/BS350-1)*100),"NA",IF(((CA350/BS350-1)*100)&gt;100,"NM",IF(((CA350/BS350-1)*100)&lt;-50,"NM",(CA350/BS350-1)*100)))</f>
        <v>-15.909090909090907</v>
      </c>
      <c r="CC350" s="101">
        <v>403</v>
      </c>
      <c r="CD350" s="98">
        <f>IF(ISERROR((CC350/BU350-1)*100),"NA",IF(((CC350/BU350-1)*100)&gt;100,"NM",IF(((CC350/BU350-1)*100)&lt;-50,"NM",(CC350/BU350-1)*100)))</f>
        <v>62.5</v>
      </c>
      <c r="CE350" s="101">
        <v>289</v>
      </c>
      <c r="CF350" s="98">
        <f>IF(ISERROR((CE350/BW350-1)*100),"NA",IF(((CE350/BW350-1)*100)&gt;100,"NM",IF(((CE350/BW350-1)*100)&lt;-50,"NM",(CE350/BW350-1)*100)))</f>
        <v>37.61904761904762</v>
      </c>
      <c r="CG350" s="101">
        <v>312</v>
      </c>
      <c r="CH350" s="98">
        <f>IF(ISERROR((CG350/BY350-1)*100),"NA",IF(((CG350/BY350-1)*100)&gt;100,"NM",IF(((CG350/BY350-1)*100)&lt;-50,"NM",(CG350/BY350-1)*100)))</f>
        <v>38.053097345132734</v>
      </c>
      <c r="CI350" s="101">
        <v>301</v>
      </c>
      <c r="CJ350" s="98">
        <f>IF(ISERROR((CI350/CA350-1)*100),"NA",IF(((CI350/CA350-1)*100)&gt;100,"NM",IF(((CI350/CA350-1)*100)&lt;-50,"NM",(CI350/CA350-1)*100)))</f>
        <v>35.585585585585576</v>
      </c>
      <c r="CK350" s="101">
        <v>363</v>
      </c>
      <c r="CL350" s="98">
        <f>IF(ISERROR((CK350/CC350-1)*100),"NA",IF(((CK350/CC350-1)*100)&gt;100,"NM",IF(((CK350/CC350-1)*100)&lt;-50,"NM",(CK350/CC350-1)*100)))</f>
        <v>-9.9255583126550917</v>
      </c>
      <c r="CM350" s="101">
        <v>104</v>
      </c>
      <c r="CN350" s="98" t="str">
        <f>IF(ISERROR((CM350/CE350-1)*100),"NA",IF(((CM350/CE350-1)*100)&gt;100,"NM",IF(((CM350/CE350-1)*100)&lt;-50,"NM",(CM350/CE350-1)*100)))</f>
        <v>NM</v>
      </c>
      <c r="CO350" s="101">
        <v>135</v>
      </c>
      <c r="CP350" s="98" t="str">
        <f>IF(ISERROR((CO350/CG350-1)*100),"NA",IF(((CO350/CG350-1)*100)&gt;100,"NM",IF(((CO350/CG350-1)*100)&lt;-50,"NM",(CO350/CG350-1)*100)))</f>
        <v>NM</v>
      </c>
      <c r="CQ350" s="542">
        <v>67</v>
      </c>
      <c r="CR350" s="98" t="str">
        <f>IF(ISERROR((CQ350/CI350-1)*100),"NA",IF(((CQ350/CI350-1)*100)&gt;100,"NM",IF(((CQ350/CI350-1)*100)&lt;-50,"NM",(CQ350/CI350-1)*100)))</f>
        <v>NM</v>
      </c>
      <c r="CS350" s="101">
        <v>79</v>
      </c>
      <c r="CT350" s="98" t="str">
        <f>IF(ISERROR((CS350/CK350-1)*100),"NA",IF(((CS350/CK350-1)*100)&gt;100,"NM",IF(((CS350/CK350-1)*100)&lt;-50,"NM",(CS350/CK350-1)*100)))</f>
        <v>NM</v>
      </c>
      <c r="CU350" s="101">
        <v>80</v>
      </c>
      <c r="CV350" s="98">
        <f>IF(ISERROR((CU350/CM350-1)*100),"NA",IF(((CU350/CM350-1)*100)&gt;100,"NM",IF(((CU350/CM350-1)*100)&lt;-50,"NM",(CU350/CM350-1)*100)))</f>
        <v>-23.076923076923073</v>
      </c>
      <c r="CW350" s="101">
        <v>71</v>
      </c>
      <c r="CX350" s="98">
        <f>IF(ISERROR((CW350/CO350-1)*100),"NA",IF(((CW350/CO350-1)*100)&gt;100,"NM",IF(((CW350/CO350-1)*100)&lt;-50,"NM",(CW350/CO350-1)*100)))</f>
        <v>-47.407407407407412</v>
      </c>
      <c r="CY350" s="101">
        <v>82</v>
      </c>
      <c r="CZ350" s="98">
        <f>IF(ISERROR((CY350/CQ350-1)*100),"NA",IF(((CY350/CQ350-1)*100)&gt;100,"NM",IF(((CY350/CQ350-1)*100)&lt;-50,"NM",(CY350/CQ350-1)*100)))</f>
        <v>22.388059701492537</v>
      </c>
      <c r="DA350" s="101">
        <v>100</v>
      </c>
      <c r="DB350" s="98">
        <f>IF(ISERROR((DA350/CS350-1)*100),"NA",IF(((DA350/CS350-1)*100)&gt;100,"NM",IF(((DA350/CS350-1)*100)&lt;-50,"NM",(DA350/CS350-1)*100)))</f>
        <v>26.582278481012665</v>
      </c>
      <c r="DC350" s="101">
        <v>91</v>
      </c>
      <c r="DD350" s="98">
        <f>IF(ISERROR((DC350/CU350-1)*100),"NA",IF(((DC350/CU350-1)*100)&gt;100,"NM",IF(((DC350/CU350-1)*100)&lt;-50,"NM",(DC350/CU350-1)*100)))</f>
        <v>13.749999999999996</v>
      </c>
      <c r="DE350" s="101">
        <v>96</v>
      </c>
      <c r="DF350" s="98">
        <f>IF(ISERROR((DE350/CW350-1)*100),"NA",IF(((DE350/CW350-1)*100)&gt;100,"NM",IF(((DE350/CW350-1)*100)&lt;-50,"NM",(DE350/CW350-1)*100)))</f>
        <v>35.2112676056338</v>
      </c>
      <c r="DG350" s="101">
        <v>100</v>
      </c>
      <c r="DH350" s="98">
        <f>IF(ISERROR((DG350/CY350-1)*100),"NA",IF(((DG350/CY350-1)*100)&gt;100,"NM",IF(((DG350/CY350-1)*100)&lt;-50,"NM",(DG350/CY350-1)*100)))</f>
        <v>21.95121951219512</v>
      </c>
      <c r="DI350" s="101">
        <v>99</v>
      </c>
      <c r="DJ350" s="98">
        <f>IF(ISERROR((DI350/DA350-1)*100),"NA",IF(((DI350/DA350-1)*100)&gt;100,"NM",IF(((DI350/DA350-1)*100)&lt;-50,"NM",(DI350/DA350-1)*100)))</f>
        <v>-1.0000000000000009</v>
      </c>
      <c r="DK350" s="101">
        <v>109</v>
      </c>
      <c r="DL350" s="98">
        <f>IF(ISERROR((DK350/DC350-1)*100),"NA",IF(((DK350/DC350-1)*100)&gt;100,"NM",IF(((DK350/DC350-1)*100)&lt;-50,"NM",(DK350/DC350-1)*100)))</f>
        <v>19.780219780219777</v>
      </c>
      <c r="DM350" s="101">
        <v>117</v>
      </c>
      <c r="DN350" s="98">
        <f>IF(ISERROR((DM350/DE350-1)*100),"NA",IF(((DM350/DE350-1)*100)&gt;100,"NM",IF(((DM350/DE350-1)*100)&lt;-50,"NM",(DM350/DE350-1)*100)))</f>
        <v>21.875</v>
      </c>
      <c r="DO350" s="101">
        <v>127</v>
      </c>
      <c r="DP350" s="98">
        <f>IF(ISERROR((DO350/DG350-1)*100),"NA",IF(((DO350/DG350-1)*100)&gt;100,"NM",IF(((DO350/DG350-1)*100)&lt;-50,"NM",(DO350/DG350-1)*100)))</f>
        <v>27</v>
      </c>
      <c r="DQ350" s="101">
        <v>113</v>
      </c>
      <c r="DR350" s="98">
        <f>IF(ISERROR((DQ350/DI350-1)*100),"NA",IF(((DQ350/DI350-1)*100)&gt;100,"NM",IF(((DQ350/DI350-1)*100)&lt;-50,"NM",(DQ350/DI350-1)*100)))</f>
        <v>14.141414141414144</v>
      </c>
      <c r="DS350" s="101">
        <v>102</v>
      </c>
      <c r="DT350" s="98">
        <f>IF(ISERROR((DS350/DK350-1)*100),"NA",IF(((DS350/DK350-1)*100)&gt;100,"NM",IF(((DS350/DK350-1)*100)&lt;-50,"NM",(DS350/DK350-1)*100)))</f>
        <v>-6.4220183486238476</v>
      </c>
      <c r="DU350" s="101">
        <v>114</v>
      </c>
      <c r="DV350" s="98">
        <f>IF(ISERROR((DU350/DM350-1)*100),"NA",IF(((DU350/DM350-1)*100)&gt;100,"NM",IF(((DU350/DM350-1)*100)&lt;-50,"NM",(DU350/DM350-1)*100)))</f>
        <v>-2.5641025641025661</v>
      </c>
      <c r="DW350" s="101">
        <v>106</v>
      </c>
      <c r="DX350" s="98">
        <f>IF(ISERROR((DW350/DO350-1)*100),"NA",IF(((DW350/DO350-1)*100)&gt;100,"NM",IF(((DW350/DO350-1)*100)&lt;-50,"NM",(DW350/DO350-1)*100)))</f>
        <v>-16.535433070866144</v>
      </c>
      <c r="DY350" s="101">
        <v>102</v>
      </c>
      <c r="DZ350" s="98">
        <f>IF(ISERROR((DY350/DQ350-1)*100),"NA",IF(((DY350/DQ350-1)*100)&gt;100,"NM",IF(((DY350/DQ350-1)*100)&lt;-50,"NM",(DY350/DQ350-1)*100)))</f>
        <v>-9.7345132743362868</v>
      </c>
      <c r="EA350" s="101">
        <v>95</v>
      </c>
      <c r="EB350" s="98">
        <f>IF(ISERROR((EA350/DS350-1)*100),"NA",IF(((EA350/DS350-1)*100)&gt;100,"NM",IF(((EA350/DS350-1)*100)&lt;-50,"NM",(EA350/DS350-1)*100)))</f>
        <v>-6.8627450980392135</v>
      </c>
      <c r="EC350" s="101">
        <v>95</v>
      </c>
      <c r="ED350" s="98">
        <f>IF(ISERROR((EC350/DU350-1)*100),"NA",IF(((EC350/DU350-1)*100)&gt;100,"NM",IF(((EC350/DU350-1)*100)&lt;-50,"NM",(EC350/DU350-1)*100)))</f>
        <v>-16.666666666666664</v>
      </c>
      <c r="EE350" s="101">
        <v>104</v>
      </c>
      <c r="EF350" s="860">
        <f>IF(ISERROR((EE350/DW350-1)*100),"NA",IF(((EE350/DW350-1)*100)&gt;100,"NM",IF(((EE350/DW350-1)*100)&lt;-50,"NM",(EE350/DW350-1)*100)))</f>
        <v>-1.8867924528301883</v>
      </c>
      <c r="EG350" s="101">
        <v>97</v>
      </c>
      <c r="EH350" s="860">
        <f>IF(ISERROR((EG350/DY350-1)*100),"NA",IF(((EG350/DY350-1)*100)&gt;100,"NM",IF(((EG350/DY350-1)*100)&lt;-50,"NM",(EG350/DY350-1)*100)))</f>
        <v>-4.9019607843137303</v>
      </c>
      <c r="EI350" s="101">
        <v>95</v>
      </c>
      <c r="EJ350" s="860">
        <f t="shared" si="1755"/>
        <v>0</v>
      </c>
      <c r="EK350" s="101">
        <v>92</v>
      </c>
      <c r="EL350" s="860">
        <f t="shared" si="1756"/>
        <v>-3.157894736842104</v>
      </c>
      <c r="EM350" s="101">
        <v>109</v>
      </c>
      <c r="EN350" s="860">
        <f t="shared" si="1757"/>
        <v>4.8076923076923128</v>
      </c>
      <c r="EO350" s="101">
        <v>109</v>
      </c>
      <c r="EP350" s="98">
        <f t="shared" si="1758"/>
        <v>12.371134020618557</v>
      </c>
      <c r="EQ350" s="952">
        <f t="shared" ref="EQ350:EQ352" si="1763">EO350*1.015</f>
        <v>110.63499999999999</v>
      </c>
      <c r="ER350" s="98">
        <f t="shared" si="1759"/>
        <v>16.457894736842093</v>
      </c>
      <c r="ES350" s="952">
        <f t="shared" ref="ES350:ES352" si="1764">EQ350*1.015</f>
        <v>112.29452499999998</v>
      </c>
      <c r="ET350" s="98">
        <f t="shared" si="1760"/>
        <v>22.059266304347801</v>
      </c>
      <c r="EU350" s="952">
        <f t="shared" ref="EU350:EU352" si="1765">ES350*1.015</f>
        <v>113.97894287499997</v>
      </c>
      <c r="EV350" s="98">
        <f t="shared" si="1761"/>
        <v>4.5678374999999827</v>
      </c>
      <c r="EW350" s="952">
        <f t="shared" ref="EW350:EW352" si="1766">EU350*1.015</f>
        <v>115.68862701812496</v>
      </c>
      <c r="EX350" s="98">
        <f t="shared" si="1762"/>
        <v>6.1363550624999652</v>
      </c>
      <c r="EY350" s="121"/>
      <c r="EZ350" s="594"/>
      <c r="FA350" s="405"/>
      <c r="FB350" s="121">
        <v>68</v>
      </c>
      <c r="FC350" s="98"/>
      <c r="FD350" s="101">
        <v>48</v>
      </c>
      <c r="FE350" s="98">
        <f>IF(ISERROR((FD350/FB350-1)*100),"NA",IF(((FD350/FB350-1)*100)&gt;100,"NM",IF(((FD350/FB350-1)*100)&lt;-50,"NM",(FD350/FB350-1)*100)))</f>
        <v>-29.411764705882348</v>
      </c>
      <c r="FF350" s="118">
        <f>C350+E350+G350+I350</f>
        <v>52</v>
      </c>
      <c r="FG350" s="98">
        <f>IF(ISERROR((FF350/FD350-1)*100),"NA",IF(((FF350/FD350-1)*100)&gt;100,"NM",IF(((FF350/FD350-1)*100)&lt;-50,"NM",(FF350/FD350-1)*100)))</f>
        <v>8.333333333333325</v>
      </c>
      <c r="FH350" s="118">
        <f>K350+M350+O350+Q350</f>
        <v>38</v>
      </c>
      <c r="FI350" s="98">
        <f>IF(ISERROR((FH350/FF350-1)*100),"NA",IF(((FH350/FF350-1)*100)&gt;100,"NM",IF(((FH350/FF350-1)*100)&lt;-50,"NM",(FH350/FF350-1)*100)))</f>
        <v>-26.923076923076927</v>
      </c>
      <c r="FJ350" s="118">
        <f>S350+U350+W350+Y350</f>
        <v>144</v>
      </c>
      <c r="FK350" s="98" t="str">
        <f>IF(ISERROR((FJ350/FH350-1)*100),"NA",IF(((FJ350/FH350-1)*100)&gt;100,"NM",IF(((FJ350/FH350-1)*100)&lt;-50,"NM",(FJ350/FH350-1)*100)))</f>
        <v>NM</v>
      </c>
      <c r="FL350" s="118">
        <f>AA350+AC350+AE350+AG350</f>
        <v>272</v>
      </c>
      <c r="FM350" s="98">
        <f>IF(ISERROR((FL350/FJ350-1)*100),"NA",IF(((FL350/FJ350-1)*100)&gt;100,"NM",IF(((FL350/FJ350-1)*100)&lt;-50,"NM",(FL350/FJ350-1)*100)))</f>
        <v>88.888888888888886</v>
      </c>
      <c r="FN350" s="118">
        <f>AI350+AK350+AM350+AO350</f>
        <v>349</v>
      </c>
      <c r="FO350" s="98">
        <f>IF(ISERROR((FN350/FL350-1)*100),"NA",IF(((FN350/FL350-1)*100)&gt;100,"NM",IF(((FN350/FL350-1)*100)&lt;-50,"NM",(FN350/FL350-1)*100)))</f>
        <v>28.308823529411775</v>
      </c>
      <c r="FP350" s="118">
        <f>AQ350+AS350+AU350+AW350</f>
        <v>579</v>
      </c>
      <c r="FQ350" s="98">
        <f>IF(ISERROR((FP350/FN350-1)*100),"NA",IF(((FP350/FN350-1)*100)&gt;100,"NM",IF(((FP350/FN350-1)*100)&lt;-50,"NM",(FP350/FN350-1)*100)))</f>
        <v>65.902578796561613</v>
      </c>
      <c r="FR350" s="119">
        <f>AY350+BA350+BC350+BE350</f>
        <v>804</v>
      </c>
      <c r="FS350" s="120">
        <f>IF(ISERROR((FR350/FP350-1)*100),"NA",IF(((FR350/FP350-1)*100)&gt;100,"NM",IF(((FR350/FP350-1)*100)&lt;-50,"NM",(FR350/FP350-1)*100)))</f>
        <v>38.860103626943008</v>
      </c>
      <c r="FT350" s="119">
        <f>BG350+BI350+BK350+BM350</f>
        <v>995</v>
      </c>
      <c r="FU350" s="120">
        <f>IF(ISERROR((FT350/FR350-1)*100),"NA",IF(((FT350/FR350-1)*100)&gt;100,"NM",IF(((FT350/FR350-1)*100)&lt;-50,"NM",(FT350/FR350-1)*100)))</f>
        <v>23.756218905472636</v>
      </c>
      <c r="FV350" s="119">
        <f>BO350+BQ350+BS350+BU350</f>
        <v>1095</v>
      </c>
      <c r="FW350" s="98">
        <f>IF(ISERROR((FV350/FT350-1)*100),"NA",IF(((FV350/FT350-1)*100)&gt;100,"NM",IF(((FV350/FT350-1)*100)&lt;-50,"NM",(FV350/FT350-1)*100)))</f>
        <v>10.050251256281406</v>
      </c>
      <c r="FX350" s="495">
        <f>BW350+BY350+CA350+CC350</f>
        <v>1061</v>
      </c>
      <c r="FY350" s="98">
        <f>IF(ISERROR((FX350/FV350-1)*100),"NA",IF(((FX350/FV350-1)*100)&gt;100,"NM",IF(((FX350/FV350-1)*100)&lt;-50,"NM",(FX350/FV350-1)*100)))</f>
        <v>-3.1050228310502304</v>
      </c>
      <c r="FZ350" s="160">
        <f>CE350+CG350+CI350+CK350</f>
        <v>1265</v>
      </c>
      <c r="GA350" s="98">
        <f>IF(ISERROR((FZ350/FX350-1)*100),"NA",IF(((FZ350/FX350-1)*100)&gt;100,"NM",IF(((FZ350/FX350-1)*100)&lt;-50,"NM",(FZ350/FX350-1)*100)))</f>
        <v>19.227144203581538</v>
      </c>
      <c r="GB350" s="542">
        <v>315</v>
      </c>
      <c r="GC350" s="98" t="str">
        <f>IF(ISERROR((GB350/FZ350-1)*100),"NA",IF(((GB350/FZ350-1)*100)&gt;100,"NM",IF(((GB350/FZ350-1)*100)&lt;-50,"NM",(GB350/FZ350-1)*100)))</f>
        <v>NM</v>
      </c>
      <c r="GD350" s="160">
        <f>CU350+CW350+CY350+DA350</f>
        <v>333</v>
      </c>
      <c r="GE350" s="98">
        <f>IF(ISERROR((GD350/GB350-1)*100),"NA",IF(((GD350/GB350-1)*100)&gt;100,"NM",IF(((GD350/GB350-1)*100)&lt;-50,"NM",(GD350/GB350-1)*100)))</f>
        <v>5.7142857142857162</v>
      </c>
      <c r="GF350" s="160">
        <f>DC350+DE350+DG350+DI350</f>
        <v>386</v>
      </c>
      <c r="GG350" s="98">
        <f>IF(ISERROR((GF350/GD350-1)*100),"NA",IF(((GF350/GD350-1)*100)&gt;100,"NM",IF(((GF350/GD350-1)*100)&lt;-50,"NM",(GF350/GD350-1)*100)))</f>
        <v>15.915915915915924</v>
      </c>
      <c r="GH350" s="160">
        <f>DK350+DM350+DO350+DQ350</f>
        <v>466</v>
      </c>
      <c r="GI350" s="98">
        <f>IF(ISERROR((GH350/GF350-1)*100),"NA",IF(((GH350/GF350-1)*100)&gt;100,"NM",IF(((GH350/GF350-1)*100)&lt;-50,"NM",(GH350/GF350-1)*100)))</f>
        <v>20.725388601036276</v>
      </c>
      <c r="GJ350" s="160">
        <f>DS350+DU350+DW350+DY350</f>
        <v>424</v>
      </c>
      <c r="GK350" s="98">
        <f>IF(ISERROR((GJ350/GH350-1)*100),"NA",IF(((GJ350/GH350-1)*100)&gt;100,"NM",IF(((GJ350/GH350-1)*100)&lt;-50,"NM",(GJ350/GH350-1)*100)))</f>
        <v>-9.0128755364806921</v>
      </c>
      <c r="GL350" s="160">
        <f>EA350+EC350+EE350+EG350</f>
        <v>391</v>
      </c>
      <c r="GM350" s="98">
        <f>IF(ISERROR((GL350/GJ350-1)*100),"NA",IF(((GL350/GJ350-1)*100)&gt;100,"NM",IF(((GL350/GJ350-1)*100)&lt;-50,"NM",(GL350/GJ350-1)*100)))</f>
        <v>-7.7830188679245289</v>
      </c>
      <c r="GN350" s="160">
        <f>EI350+EK350+EM350+EO350</f>
        <v>405</v>
      </c>
      <c r="GO350" s="98">
        <f>IF(ISERROR((GN350/GL350-1)*100),"NA",IF(((GN350/GL350-1)*100)&gt;100,"NM",IF(((GN350/GL350-1)*100)&lt;-50,"NM",(GN350/GL350-1)*100)))</f>
        <v>3.5805626598465423</v>
      </c>
      <c r="GP350" s="160">
        <f>EQ350+ES350+EU350+EW350</f>
        <v>452.5970948931249</v>
      </c>
      <c r="GQ350" s="98">
        <f>IF(ISERROR((GP350/GN350-1)*100),"NA",IF(((GP350/GN350-1)*100)&gt;100,"NM",IF(((GP350/GN350-1)*100)&lt;-50,"NM",(GP350/GN350-1)*100)))</f>
        <v>11.752369109413552</v>
      </c>
      <c r="GR350" s="121">
        <f>GP350*1.09</f>
        <v>493.3308334335062</v>
      </c>
      <c r="GS350" s="98">
        <f>IF(ISERROR((GR350/GP350-1)*100),"NA",IF(((GR350/GP350-1)*100)&gt;100,"NM",IF(((GR350/GP350-1)*100)&lt;-50,"NM",(GR350/GP350-1)*100)))</f>
        <v>9.0000000000000071</v>
      </c>
      <c r="GT350" s="121">
        <f>GR350*1.09</f>
        <v>537.73060844252177</v>
      </c>
      <c r="GU350" s="98">
        <f>IF(ISERROR((GT350/GR350-1)*100),"NA",IF(((GT350/GR350-1)*100)&gt;100,"NM",IF(((GT350/GR350-1)*100)&lt;-50,"NM",(GT350/GR350-1)*100)))</f>
        <v>9.0000000000000071</v>
      </c>
      <c r="GV350" s="121">
        <f>GT350*1.09</f>
        <v>586.12636320234878</v>
      </c>
      <c r="GW350" s="98">
        <f>IF(ISERROR((GV350/GT350-1)*100),"NA",IF(((GV350/GT350-1)*100)&gt;100,"NM",IF(((GV350/GT350-1)*100)&lt;-50,"NM",(GV350/GT350-1)*100)))</f>
        <v>9.0000000000000071</v>
      </c>
      <c r="GX350" s="121">
        <f>GV350*1.09</f>
        <v>638.87773589056019</v>
      </c>
      <c r="GY350" s="98">
        <f>IF(ISERROR((GX350/GV350-1)*100),"NA",IF(((GX350/GV350-1)*100)&gt;100,"NM",IF(((GX350/GV350-1)*100)&lt;-50,"NM",(GX350/GV350-1)*100)))</f>
        <v>9.0000000000000071</v>
      </c>
      <c r="GZ350" s="98">
        <f>IF(ISERROR(((GX350/GN350)^0.2-1)*100),"NA",IF((((GX350/GN350)^0.2-1)*100)&gt;100,"NM",IF((((GX350/GN350)^0.2-1)*100)&lt;-50,"NM",((GX350/GN350)^0.2-1)*100)))</f>
        <v>9.5449965727501649</v>
      </c>
      <c r="HA350" s="98"/>
      <c r="HB350" s="10"/>
      <c r="HC350"/>
      <c r="HD350"/>
      <c r="HE350"/>
      <c r="HF350"/>
      <c r="HG350"/>
      <c r="HH350"/>
      <c r="HI350" s="10"/>
    </row>
    <row r="351" spans="2:217" s="2" customFormat="1" ht="12.75" customHeight="1" x14ac:dyDescent="0.2">
      <c r="B351" s="91" t="s">
        <v>534</v>
      </c>
      <c r="C351" s="101">
        <v>65</v>
      </c>
      <c r="D351" s="98"/>
      <c r="E351" s="101">
        <v>62</v>
      </c>
      <c r="F351" s="98"/>
      <c r="G351" s="101">
        <v>62</v>
      </c>
      <c r="H351" s="98"/>
      <c r="I351" s="101">
        <v>64</v>
      </c>
      <c r="J351" s="98"/>
      <c r="K351" s="101">
        <v>64</v>
      </c>
      <c r="L351" s="98">
        <f>IF(ISERROR((K351/C351-1)*100),"NA",IF(((K351/C351-1)*100)&gt;100,"NM",IF(((K351/C351-1)*100)&lt;-50,"NM",(K351/C351-1)*100)))</f>
        <v>-1.538461538461533</v>
      </c>
      <c r="M351" s="101">
        <v>62</v>
      </c>
      <c r="N351" s="98">
        <f>IF(ISERROR((M351/E351-1)*100),"NA",IF(((M351/E351-1)*100)&gt;100,"NM",IF(((M351/E351-1)*100)&lt;-50,"NM",(M351/E351-1)*100)))</f>
        <v>0</v>
      </c>
      <c r="O351" s="101">
        <v>63</v>
      </c>
      <c r="P351" s="98">
        <f>IF(ISERROR((O351/G351-1)*100),"NA",IF(((O351/G351-1)*100)&gt;100,"NM",IF(((O351/G351-1)*100)&lt;-50,"NM",(O351/G351-1)*100)))</f>
        <v>1.6129032258064502</v>
      </c>
      <c r="Q351" s="101">
        <v>78</v>
      </c>
      <c r="R351" s="98">
        <f>IF(ISERROR((Q351/I351-1)*100),"NA",IF(((Q351/I351-1)*100)&gt;100,"NM",IF(((Q351/I351-1)*100)&lt;-50,"NM",(Q351/I351-1)*100)))</f>
        <v>21.875</v>
      </c>
      <c r="S351" s="101">
        <v>75</v>
      </c>
      <c r="T351" s="98">
        <f>IF(ISERROR((S351/K351-1)*100),"NA",IF(((S351/K351-1)*100)&gt;100,"NM",IF(((S351/K351-1)*100)&lt;-50,"NM",(S351/K351-1)*100)))</f>
        <v>17.1875</v>
      </c>
      <c r="U351" s="101">
        <v>95</v>
      </c>
      <c r="V351" s="98">
        <f>IF(ISERROR((U351/M351-1)*100),"NA",IF(((U351/M351-1)*100)&gt;100,"NM",IF(((U351/M351-1)*100)&lt;-50,"NM",(U351/M351-1)*100)))</f>
        <v>53.225806451612897</v>
      </c>
      <c r="W351" s="101">
        <v>133</v>
      </c>
      <c r="X351" s="98" t="str">
        <f>IF(ISERROR((W351/O351-1)*100),"NA",IF(((W351/O351-1)*100)&gt;100,"NM",IF(((W351/O351-1)*100)&lt;-50,"NM",(W351/O351-1)*100)))</f>
        <v>NM</v>
      </c>
      <c r="Y351" s="101">
        <v>158</v>
      </c>
      <c r="Z351" s="98" t="str">
        <f>IF(ISERROR((Y351/Q351-1)*100),"NA",IF(((Y351/Q351-1)*100)&gt;100,"NM",IF(((Y351/Q351-1)*100)&lt;-50,"NM",(Y351/Q351-1)*100)))</f>
        <v>NM</v>
      </c>
      <c r="AA351" s="101">
        <v>123</v>
      </c>
      <c r="AB351" s="98">
        <f>IF(ISERROR((AA351/S351-1)*100),"NA",IF(((AA351/S351-1)*100)&gt;100,"NM",IF(((AA351/S351-1)*100)&lt;-50,"NM",(AA351/S351-1)*100)))</f>
        <v>63.999999999999993</v>
      </c>
      <c r="AC351" s="101">
        <v>131</v>
      </c>
      <c r="AD351" s="98">
        <f>IF(ISERROR((AC351/U351-1)*100),"NA",IF(((AC351/U351-1)*100)&gt;100,"NM",IF(((AC351/U351-1)*100)&lt;-50,"NM",(AC351/U351-1)*100)))</f>
        <v>37.894736842105267</v>
      </c>
      <c r="AE351" s="101">
        <v>119</v>
      </c>
      <c r="AF351" s="98">
        <f>IF(ISERROR((AE351/W351-1)*100),"NA",IF(((AE351/W351-1)*100)&gt;100,"NM",IF(((AE351/W351-1)*100)&lt;-50,"NM",(AE351/W351-1)*100)))</f>
        <v>-10.526315789473683</v>
      </c>
      <c r="AG351" s="101">
        <v>129</v>
      </c>
      <c r="AH351" s="98">
        <f>IF(ISERROR((AG351/Y351-1)*100),"NA",IF(((AG351/Y351-1)*100)&gt;100,"NM",IF(((AG351/Y351-1)*100)&lt;-50,"NM",(AG351/Y351-1)*100)))</f>
        <v>-18.354430379746834</v>
      </c>
      <c r="AI351" s="101">
        <v>123</v>
      </c>
      <c r="AJ351" s="98">
        <f>IF(ISERROR((AI351/AA351-1)*100),"NA",IF(((AI351/AA351-1)*100)&gt;100,"NM",IF(((AI351/AA351-1)*100)&lt;-50,"NM",(AI351/AA351-1)*100)))</f>
        <v>0</v>
      </c>
      <c r="AK351" s="101">
        <v>137</v>
      </c>
      <c r="AL351" s="98">
        <f>IF(ISERROR((AK351/AC351-1)*100),"NA",IF(((AK351/AC351-1)*100)&gt;100,"NM",IF(((AK351/AC351-1)*100)&lt;-50,"NM",(AK351/AC351-1)*100)))</f>
        <v>4.5801526717557328</v>
      </c>
      <c r="AM351" s="101">
        <v>151</v>
      </c>
      <c r="AN351" s="98">
        <f>IF(ISERROR((AM351/AE351-1)*100),"NA",IF(((AM351/AE351-1)*100)&gt;100,"NM",IF(((AM351/AE351-1)*100)&lt;-50,"NM",(AM351/AE351-1)*100)))</f>
        <v>26.890756302521002</v>
      </c>
      <c r="AO351" s="101">
        <v>175</v>
      </c>
      <c r="AP351" s="98">
        <f>IF(ISERROR((AO351/AG351-1)*100),"NA",IF(((AO351/AG351-1)*100)&gt;100,"NM",IF(((AO351/AG351-1)*100)&lt;-50,"NM",(AO351/AG351-1)*100)))</f>
        <v>35.65891472868217</v>
      </c>
      <c r="AQ351" s="101">
        <v>149</v>
      </c>
      <c r="AR351" s="98">
        <f>IF(ISERROR((AQ351/AI351-1)*100),"NA",IF(((AQ351/AI351-1)*100)&gt;100,"NM",IF(((AQ351/AI351-1)*100)&lt;-50,"NM",(AQ351/AI351-1)*100)))</f>
        <v>21.138211382113823</v>
      </c>
      <c r="AS351" s="101">
        <v>195</v>
      </c>
      <c r="AT351" s="98">
        <f>IF(ISERROR((AS351/AK351-1)*100),"NA",IF(((AS351/AK351-1)*100)&gt;100,"NM",IF(((AS351/AK351-1)*100)&lt;-50,"NM",(AS351/AK351-1)*100)))</f>
        <v>42.335766423357654</v>
      </c>
      <c r="AU351" s="101">
        <v>238</v>
      </c>
      <c r="AV351" s="98">
        <f>IF(ISERROR((AU351/AM351-1)*100),"NA",IF(((AU351/AM351-1)*100)&gt;100,"NM",IF(((AU351/AM351-1)*100)&lt;-50,"NM",(AU351/AM351-1)*100)))</f>
        <v>57.615894039735103</v>
      </c>
      <c r="AW351" s="101">
        <v>262</v>
      </c>
      <c r="AX351" s="98">
        <f>IF(ISERROR((AW351/AO351-1)*100),"NA",IF(((AW351/AO351-1)*100)&gt;100,"NM",IF(((AW351/AO351-1)*100)&lt;-50,"NM",(AW351/AO351-1)*100)))</f>
        <v>49.714285714285708</v>
      </c>
      <c r="AY351" s="101">
        <v>211</v>
      </c>
      <c r="AZ351" s="98">
        <f>IF(ISERROR((AY351/AQ351-1)*100),"NA",IF(((AY351/AQ351-1)*100)&gt;100,"NM",IF(((AY351/AQ351-1)*100)&lt;-50,"NM",(AY351/AQ351-1)*100)))</f>
        <v>41.610738255033567</v>
      </c>
      <c r="BA351" s="101">
        <v>215</v>
      </c>
      <c r="BB351" s="98">
        <f>IF(ISERROR((BA351/AS351-1)*100),"NA",IF(((BA351/AS351-1)*100)&gt;100,"NM",IF(((BA351/AS351-1)*100)&lt;-50,"NM",(BA351/AS351-1)*100)))</f>
        <v>10.256410256410264</v>
      </c>
      <c r="BC351" s="101">
        <v>265</v>
      </c>
      <c r="BD351" s="98">
        <f>IF(ISERROR((BC351/AU351-1)*100),"NA",IF(((BC351/AU351-1)*100)&gt;100,"NM",IF(((BC351/AU351-1)*100)&lt;-50,"NM",(BC351/AU351-1)*100)))</f>
        <v>11.344537815126055</v>
      </c>
      <c r="BE351" s="101">
        <v>259</v>
      </c>
      <c r="BF351" s="98">
        <f>IF(ISERROR((BE351/AW351-1)*100),"NA",IF(((BE351/AW351-1)*100)&gt;100,"NM",IF(((BE351/AW351-1)*100)&lt;-50,"NM",(BE351/AW351-1)*100)))</f>
        <v>-1.1450381679389277</v>
      </c>
      <c r="BG351" s="101">
        <v>250</v>
      </c>
      <c r="BH351" s="98">
        <f>IF(ISERROR((BG351/AY351-1)*100),"NA",IF(((BG351/AY351-1)*100)&gt;100,"NM",IF(((BG351/AY351-1)*100)&lt;-50,"NM",(BG351/AY351-1)*100)))</f>
        <v>18.483412322274884</v>
      </c>
      <c r="BI351" s="101">
        <v>271</v>
      </c>
      <c r="BJ351" s="98">
        <f>IF(ISERROR((BI351/BA351-1)*100),"NA",IF(((BI351/BA351-1)*100)&gt;100,"NM",IF(((BI351/BA351-1)*100)&lt;-50,"NM",(BI351/BA351-1)*100)))</f>
        <v>26.046511627906987</v>
      </c>
      <c r="BK351" s="101">
        <v>370</v>
      </c>
      <c r="BL351" s="98">
        <f>IF(ISERROR((BK351/BC351-1)*100),"NA",IF(((BK351/BC351-1)*100)&gt;100,"NM",IF(((BK351/BC351-1)*100)&lt;-50,"NM",(BK351/BC351-1)*100)))</f>
        <v>39.622641509433954</v>
      </c>
      <c r="BM351" s="101">
        <v>359</v>
      </c>
      <c r="BN351" s="98">
        <f>IF(ISERROR((BM351/BE351-1)*100),"NA",IF(((BM351/BE351-1)*100)&gt;100,"NM",IF(((BM351/BE351-1)*100)&lt;-50,"NM",(BM351/BE351-1)*100)))</f>
        <v>38.6100386100386</v>
      </c>
      <c r="BO351" s="101">
        <v>273</v>
      </c>
      <c r="BP351" s="98">
        <f>IF(ISERROR((BO351/BG351-1)*100),"NA",IF(((BO351/BG351-1)*100)&gt;100,"NM",IF(((BO351/BG351-1)*100)&lt;-50,"NM",(BO351/BG351-1)*100)))</f>
        <v>9.2000000000000082</v>
      </c>
      <c r="BQ351" s="101">
        <v>365</v>
      </c>
      <c r="BR351" s="98">
        <f>IF(ISERROR((BQ351/BI351-1)*100),"NA",IF(((BQ351/BI351-1)*100)&gt;100,"NM",IF(((BQ351/BI351-1)*100)&lt;-50,"NM",(BQ351/BI351-1)*100)))</f>
        <v>34.686346863468628</v>
      </c>
      <c r="BS351" s="101">
        <v>348</v>
      </c>
      <c r="BT351" s="98">
        <f>IF(ISERROR((BS351/BK351-1)*100),"NA",IF(((BS351/BK351-1)*100)&gt;100,"NM",IF(((BS351/BK351-1)*100)&lt;-50,"NM",(BS351/BK351-1)*100)))</f>
        <v>-5.9459459459459403</v>
      </c>
      <c r="BU351" s="101">
        <v>234</v>
      </c>
      <c r="BV351" s="98">
        <f>IF(ISERROR((BU351/BM351-1)*100),"NA",IF(((BU351/BM351-1)*100)&gt;100,"NM",IF(((BU351/BM351-1)*100)&lt;-50,"NM",(BU351/BM351-1)*100)))</f>
        <v>-34.818941504178269</v>
      </c>
      <c r="BW351" s="101">
        <v>168</v>
      </c>
      <c r="BX351" s="98">
        <f>IF(ISERROR((BW351/BO351-1)*100),"NA",IF(((BW351/BO351-1)*100)&gt;100,"NM",IF(((BW351/BO351-1)*100)&lt;-50,"NM",(BW351/BO351-1)*100)))</f>
        <v>-38.46153846153846</v>
      </c>
      <c r="BY351" s="101">
        <v>359</v>
      </c>
      <c r="BZ351" s="98">
        <f>IF(ISERROR((BY351/BQ351-1)*100),"NA",IF(((BY351/BQ351-1)*100)&gt;100,"NM",IF(((BY351/BQ351-1)*100)&lt;-50,"NM",(BY351/BQ351-1)*100)))</f>
        <v>-1.6438356164383605</v>
      </c>
      <c r="CA351" s="101">
        <v>395</v>
      </c>
      <c r="CB351" s="98">
        <f>IF(ISERROR((CA351/BS351-1)*100),"NA",IF(((CA351/BS351-1)*100)&gt;100,"NM",IF(((CA351/BS351-1)*100)&lt;-50,"NM",(CA351/BS351-1)*100)))</f>
        <v>13.505747126436773</v>
      </c>
      <c r="CC351" s="101">
        <v>271</v>
      </c>
      <c r="CD351" s="98">
        <f>IF(ISERROR((CC351/BU351-1)*100),"NA",IF(((CC351/BU351-1)*100)&gt;100,"NM",IF(((CC351/BU351-1)*100)&lt;-50,"NM",(CC351/BU351-1)*100)))</f>
        <v>15.811965811965823</v>
      </c>
      <c r="CE351" s="101">
        <v>428</v>
      </c>
      <c r="CF351" s="98" t="str">
        <f>IF(ISERROR((CE351/BW351-1)*100),"NA",IF(((CE351/BW351-1)*100)&gt;100,"NM",IF(((CE351/BW351-1)*100)&lt;-50,"NM",(CE351/BW351-1)*100)))</f>
        <v>NM</v>
      </c>
      <c r="CG351" s="101">
        <v>274</v>
      </c>
      <c r="CH351" s="98">
        <f>IF(ISERROR((CG351/BY351-1)*100),"NA",IF(((CG351/BY351-1)*100)&gt;100,"NM",IF(((CG351/BY351-1)*100)&lt;-50,"NM",(CG351/BY351-1)*100)))</f>
        <v>-23.676880222841223</v>
      </c>
      <c r="CI351" s="101">
        <v>451</v>
      </c>
      <c r="CJ351" s="98">
        <f>IF(ISERROR((CI351/CA351-1)*100),"NA",IF(((CI351/CA351-1)*100)&gt;100,"NM",IF(((CI351/CA351-1)*100)&lt;-50,"NM",(CI351/CA351-1)*100)))</f>
        <v>14.177215189873426</v>
      </c>
      <c r="CK351" s="101">
        <v>313</v>
      </c>
      <c r="CL351" s="98">
        <f>IF(ISERROR((CK351/CC351-1)*100),"NA",IF(((CK351/CC351-1)*100)&gt;100,"NM",IF(((CK351/CC351-1)*100)&lt;-50,"NM",(CK351/CC351-1)*100)))</f>
        <v>15.498154981549806</v>
      </c>
      <c r="CM351" s="101">
        <v>173</v>
      </c>
      <c r="CN351" s="98" t="str">
        <f>IF(ISERROR((CM351/CE351-1)*100),"NA",IF(((CM351/CE351-1)*100)&gt;100,"NM",IF(((CM351/CE351-1)*100)&lt;-50,"NM",(CM351/CE351-1)*100)))</f>
        <v>NM</v>
      </c>
      <c r="CO351" s="101">
        <v>178</v>
      </c>
      <c r="CP351" s="98">
        <f>IF(ISERROR((CO351/CG351-1)*100),"NA",IF(((CO351/CG351-1)*100)&gt;100,"NM",IF(((CO351/CG351-1)*100)&lt;-50,"NM",(CO351/CG351-1)*100)))</f>
        <v>-35.036496350364963</v>
      </c>
      <c r="CQ351" s="542">
        <v>151</v>
      </c>
      <c r="CR351" s="98" t="str">
        <f>IF(ISERROR((CQ351/CI351-1)*100),"NA",IF(((CQ351/CI351-1)*100)&gt;100,"NM",IF(((CQ351/CI351-1)*100)&lt;-50,"NM",(CQ351/CI351-1)*100)))</f>
        <v>NM</v>
      </c>
      <c r="CS351" s="101">
        <v>107</v>
      </c>
      <c r="CT351" s="98" t="str">
        <f>IF(ISERROR((CS351/CK351-1)*100),"NA",IF(((CS351/CK351-1)*100)&gt;100,"NM",IF(((CS351/CK351-1)*100)&lt;-50,"NM",(CS351/CK351-1)*100)))</f>
        <v>NM</v>
      </c>
      <c r="CU351" s="101">
        <v>157</v>
      </c>
      <c r="CV351" s="98">
        <f>IF(ISERROR((CU351/CM351-1)*100),"NA",IF(((CU351/CM351-1)*100)&gt;100,"NM",IF(((CU351/CM351-1)*100)&lt;-50,"NM",(CU351/CM351-1)*100)))</f>
        <v>-9.2485549132947931</v>
      </c>
      <c r="CW351" s="101">
        <v>127</v>
      </c>
      <c r="CX351" s="98">
        <f>IF(ISERROR((CW351/CO351-1)*100),"NA",IF(((CW351/CO351-1)*100)&gt;100,"NM",IF(((CW351/CO351-1)*100)&lt;-50,"NM",(CW351/CO351-1)*100)))</f>
        <v>-28.651685393258429</v>
      </c>
      <c r="CY351" s="101">
        <v>122</v>
      </c>
      <c r="CZ351" s="98">
        <f>IF(ISERROR((CY351/CQ351-1)*100),"NA",IF(((CY351/CQ351-1)*100)&gt;100,"NM",IF(((CY351/CQ351-1)*100)&lt;-50,"NM",(CY351/CQ351-1)*100)))</f>
        <v>-19.205298013245031</v>
      </c>
      <c r="DA351" s="101">
        <v>129</v>
      </c>
      <c r="DB351" s="98">
        <f>IF(ISERROR((DA351/CS351-1)*100),"NA",IF(((DA351/CS351-1)*100)&gt;100,"NM",IF(((DA351/CS351-1)*100)&lt;-50,"NM",(DA351/CS351-1)*100)))</f>
        <v>20.560747663551403</v>
      </c>
      <c r="DC351" s="101">
        <v>128</v>
      </c>
      <c r="DD351" s="98">
        <f>IF(ISERROR((DC351/CU351-1)*100),"NA",IF(((DC351/CU351-1)*100)&gt;100,"NM",IF(((DC351/CU351-1)*100)&lt;-50,"NM",(DC351/CU351-1)*100)))</f>
        <v>-18.471337579617831</v>
      </c>
      <c r="DE351" s="101">
        <v>120</v>
      </c>
      <c r="DF351" s="98">
        <f>IF(ISERROR((DE351/CW351-1)*100),"NA",IF(((DE351/CW351-1)*100)&gt;100,"NM",IF(((DE351/CW351-1)*100)&lt;-50,"NM",(DE351/CW351-1)*100)))</f>
        <v>-5.5118110236220481</v>
      </c>
      <c r="DG351" s="101">
        <v>124</v>
      </c>
      <c r="DH351" s="98">
        <f>IF(ISERROR((DG351/CY351-1)*100),"NA",IF(((DG351/CY351-1)*100)&gt;100,"NM",IF(((DG351/CY351-1)*100)&lt;-50,"NM",(DG351/CY351-1)*100)))</f>
        <v>1.6393442622950838</v>
      </c>
      <c r="DI351" s="101">
        <v>126</v>
      </c>
      <c r="DJ351" s="98">
        <f>IF(ISERROR((DI351/DA351-1)*100),"NA",IF(((DI351/DA351-1)*100)&gt;100,"NM",IF(((DI351/DA351-1)*100)&lt;-50,"NM",(DI351/DA351-1)*100)))</f>
        <v>-2.3255813953488413</v>
      </c>
      <c r="DK351" s="101">
        <v>107</v>
      </c>
      <c r="DL351" s="98">
        <f>IF(ISERROR((DK351/DC351-1)*100),"NA",IF(((DK351/DC351-1)*100)&gt;100,"NM",IF(((DK351/DC351-1)*100)&lt;-50,"NM",(DK351/DC351-1)*100)))</f>
        <v>-16.40625</v>
      </c>
      <c r="DM351" s="101">
        <v>112</v>
      </c>
      <c r="DN351" s="98">
        <f>IF(ISERROR((DM351/DE351-1)*100),"NA",IF(((DM351/DE351-1)*100)&gt;100,"NM",IF(((DM351/DE351-1)*100)&lt;-50,"NM",(DM351/DE351-1)*100)))</f>
        <v>-6.6666666666666652</v>
      </c>
      <c r="DO351" s="101">
        <v>109</v>
      </c>
      <c r="DP351" s="98">
        <f>IF(ISERROR((DO351/DG351-1)*100),"NA",IF(((DO351/DG351-1)*100)&gt;100,"NM",IF(((DO351/DG351-1)*100)&lt;-50,"NM",(DO351/DG351-1)*100)))</f>
        <v>-12.096774193548388</v>
      </c>
      <c r="DQ351" s="101">
        <v>100</v>
      </c>
      <c r="DR351" s="98">
        <f>IF(ISERROR((DQ351/DI351-1)*100),"NA",IF(((DQ351/DI351-1)*100)&gt;100,"NM",IF(((DQ351/DI351-1)*100)&lt;-50,"NM",(DQ351/DI351-1)*100)))</f>
        <v>-20.63492063492064</v>
      </c>
      <c r="DS351" s="101">
        <v>83</v>
      </c>
      <c r="DT351" s="98">
        <f>IF(ISERROR((DS351/DK351-1)*100),"NA",IF(((DS351/DK351-1)*100)&gt;100,"NM",IF(((DS351/DK351-1)*100)&lt;-50,"NM",(DS351/DK351-1)*100)))</f>
        <v>-22.429906542056077</v>
      </c>
      <c r="DU351" s="101">
        <v>84</v>
      </c>
      <c r="DV351" s="98">
        <f>IF(ISERROR((DU351/DM351-1)*100),"NA",IF(((DU351/DM351-1)*100)&gt;100,"NM",IF(((DU351/DM351-1)*100)&lt;-50,"NM",(DU351/DM351-1)*100)))</f>
        <v>-25</v>
      </c>
      <c r="DW351" s="101">
        <v>82</v>
      </c>
      <c r="DX351" s="98">
        <f>IF(ISERROR((DW351/DO351-1)*100),"NA",IF(((DW351/DO351-1)*100)&gt;100,"NM",IF(((DW351/DO351-1)*100)&lt;-50,"NM",(DW351/DO351-1)*100)))</f>
        <v>-24.770642201834857</v>
      </c>
      <c r="DY351" s="101">
        <v>77</v>
      </c>
      <c r="DZ351" s="98">
        <f>IF(ISERROR((DY351/DQ351-1)*100),"NA",IF(((DY351/DQ351-1)*100)&gt;100,"NM",IF(((DY351/DQ351-1)*100)&lt;-50,"NM",(DY351/DQ351-1)*100)))</f>
        <v>-23</v>
      </c>
      <c r="EA351" s="101">
        <v>80</v>
      </c>
      <c r="EB351" s="98">
        <f>IF(ISERROR((EA351/DS351-1)*100),"NA",IF(((EA351/DS351-1)*100)&gt;100,"NM",IF(((EA351/DS351-1)*100)&lt;-50,"NM",(EA351/DS351-1)*100)))</f>
        <v>-3.6144578313253017</v>
      </c>
      <c r="EC351" s="101">
        <v>83</v>
      </c>
      <c r="ED351" s="98">
        <f>IF(ISERROR((EC351/DU351-1)*100),"NA",IF(((EC351/DU351-1)*100)&gt;100,"NM",IF(((EC351/DU351-1)*100)&lt;-50,"NM",(EC351/DU351-1)*100)))</f>
        <v>-1.1904761904761862</v>
      </c>
      <c r="EE351" s="101">
        <v>81</v>
      </c>
      <c r="EF351" s="860">
        <f>IF(ISERROR((EE351/DW351-1)*100),"NA",IF(((EE351/DW351-1)*100)&gt;100,"NM",IF(((EE351/DW351-1)*100)&lt;-50,"NM",(EE351/DW351-1)*100)))</f>
        <v>-1.2195121951219523</v>
      </c>
      <c r="EG351" s="101">
        <v>74</v>
      </c>
      <c r="EH351" s="860">
        <f>IF(ISERROR((EG351/DY351-1)*100),"NA",IF(((EG351/DY351-1)*100)&gt;100,"NM",IF(((EG351/DY351-1)*100)&lt;-50,"NM",(EG351/DY351-1)*100)))</f>
        <v>-3.8961038961038974</v>
      </c>
      <c r="EI351" s="101">
        <v>74</v>
      </c>
      <c r="EJ351" s="860">
        <f t="shared" si="1755"/>
        <v>-7.4999999999999956</v>
      </c>
      <c r="EK351" s="101">
        <v>78</v>
      </c>
      <c r="EL351" s="860">
        <f t="shared" si="1756"/>
        <v>-6.0240963855421654</v>
      </c>
      <c r="EM351" s="101">
        <v>77</v>
      </c>
      <c r="EN351" s="860">
        <f t="shared" si="1757"/>
        <v>-4.9382716049382713</v>
      </c>
      <c r="EO351" s="101">
        <v>80</v>
      </c>
      <c r="EP351" s="98">
        <f t="shared" si="1758"/>
        <v>8.1081081081081141</v>
      </c>
      <c r="EQ351" s="952">
        <f t="shared" si="1763"/>
        <v>81.199999999999989</v>
      </c>
      <c r="ER351" s="98">
        <f t="shared" si="1759"/>
        <v>9.7297297297297192</v>
      </c>
      <c r="ES351" s="952">
        <f t="shared" si="1764"/>
        <v>82.417999999999978</v>
      </c>
      <c r="ET351" s="98">
        <f t="shared" si="1760"/>
        <v>5.6641025641025466</v>
      </c>
      <c r="EU351" s="952">
        <f t="shared" si="1765"/>
        <v>83.654269999999968</v>
      </c>
      <c r="EV351" s="98">
        <f t="shared" si="1761"/>
        <v>8.6419090909090492</v>
      </c>
      <c r="EW351" s="952">
        <f t="shared" si="1766"/>
        <v>84.909084049999962</v>
      </c>
      <c r="EX351" s="98">
        <f t="shared" si="1762"/>
        <v>6.136355062499943</v>
      </c>
      <c r="EY351" s="121"/>
      <c r="EZ351" s="594"/>
      <c r="FA351" s="405"/>
      <c r="FB351" s="121">
        <v>343</v>
      </c>
      <c r="FC351" s="98"/>
      <c r="FD351" s="101">
        <v>206</v>
      </c>
      <c r="FE351" s="98">
        <f>IF(ISERROR((FD351/FB351-1)*100),"NA",IF(((FD351/FB351-1)*100)&gt;100,"NM",IF(((FD351/FB351-1)*100)&lt;-50,"NM",(FD351/FB351-1)*100)))</f>
        <v>-39.941690962099131</v>
      </c>
      <c r="FF351" s="118">
        <f>C351+E351+G351+I351</f>
        <v>253</v>
      </c>
      <c r="FG351" s="98">
        <f>IF(ISERROR((FF351/FD351-1)*100),"NA",IF(((FF351/FD351-1)*100)&gt;100,"NM",IF(((FF351/FD351-1)*100)&lt;-50,"NM",(FF351/FD351-1)*100)))</f>
        <v>22.815533980582515</v>
      </c>
      <c r="FH351" s="118">
        <f>K351+M351+O351+Q351</f>
        <v>267</v>
      </c>
      <c r="FI351" s="98">
        <f>IF(ISERROR((FH351/FF351-1)*100),"NA",IF(((FH351/FF351-1)*100)&gt;100,"NM",IF(((FH351/FF351-1)*100)&lt;-50,"NM",(FH351/FF351-1)*100)))</f>
        <v>5.5335968379446543</v>
      </c>
      <c r="FJ351" s="118">
        <f>S351+U351+W351+Y351</f>
        <v>461</v>
      </c>
      <c r="FK351" s="98">
        <f>IF(ISERROR((FJ351/FH351-1)*100),"NA",IF(((FJ351/FH351-1)*100)&gt;100,"NM",IF(((FJ351/FH351-1)*100)&lt;-50,"NM",(FJ351/FH351-1)*100)))</f>
        <v>72.659176029962552</v>
      </c>
      <c r="FL351" s="118">
        <f>AA351+AC351+AE351+AG351</f>
        <v>502</v>
      </c>
      <c r="FM351" s="98">
        <f>IF(ISERROR((FL351/FJ351-1)*100),"NA",IF(((FL351/FJ351-1)*100)&gt;100,"NM",IF(((FL351/FJ351-1)*100)&lt;-50,"NM",(FL351/FJ351-1)*100)))</f>
        <v>8.8937093275488053</v>
      </c>
      <c r="FN351" s="118">
        <f>AI351+AK351+AM351+AO351</f>
        <v>586</v>
      </c>
      <c r="FO351" s="98">
        <f>IF(ISERROR((FN351/FL351-1)*100),"NA",IF(((FN351/FL351-1)*100)&gt;100,"NM",IF(((FN351/FL351-1)*100)&lt;-50,"NM",(FN351/FL351-1)*100)))</f>
        <v>16.733067729083672</v>
      </c>
      <c r="FP351" s="118">
        <f>AQ351+AS351+AU351+AW351</f>
        <v>844</v>
      </c>
      <c r="FQ351" s="98">
        <f>IF(ISERROR((FP351/FN351-1)*100),"NA",IF(((FP351/FN351-1)*100)&gt;100,"NM",IF(((FP351/FN351-1)*100)&lt;-50,"NM",(FP351/FN351-1)*100)))</f>
        <v>44.027303754266221</v>
      </c>
      <c r="FR351" s="119">
        <f>AY351+BA351+BC351+BE351</f>
        <v>950</v>
      </c>
      <c r="FS351" s="120">
        <f>IF(ISERROR((FR351/FP351-1)*100),"NA",IF(((FR351/FP351-1)*100)&gt;100,"NM",IF(((FR351/FP351-1)*100)&lt;-50,"NM",(FR351/FP351-1)*100)))</f>
        <v>12.559241706161139</v>
      </c>
      <c r="FT351" s="119">
        <f>BG351+BI351+BK351+BM351</f>
        <v>1250</v>
      </c>
      <c r="FU351" s="120">
        <f>IF(ISERROR((FT351/FR351-1)*100),"NA",IF(((FT351/FR351-1)*100)&gt;100,"NM",IF(((FT351/FR351-1)*100)&lt;-50,"NM",(FT351/FR351-1)*100)))</f>
        <v>31.578947368421062</v>
      </c>
      <c r="FV351" s="121">
        <v>1180</v>
      </c>
      <c r="FW351" s="98">
        <f>IF(ISERROR((FV351/FT351-1)*100),"NA",IF(((FV351/FT351-1)*100)&gt;100,"NM",IF(((FV351/FT351-1)*100)&lt;-50,"NM",(FV351/FT351-1)*100)))</f>
        <v>-5.600000000000005</v>
      </c>
      <c r="FX351" s="495">
        <f>BW351+BY351+CA351+CC351</f>
        <v>1193</v>
      </c>
      <c r="FY351" s="98">
        <f>IF(ISERROR((FX351/FV351-1)*100),"NA",IF(((FX351/FV351-1)*100)&gt;100,"NM",IF(((FX351/FV351-1)*100)&lt;-50,"NM",(FX351/FV351-1)*100)))</f>
        <v>1.1016949152542477</v>
      </c>
      <c r="FZ351" s="160">
        <f>CE351+CG351+CI351+CK351</f>
        <v>1466</v>
      </c>
      <c r="GA351" s="98">
        <f>IF(ISERROR((FZ351/FX351-1)*100),"NA",IF(((FZ351/FX351-1)*100)&gt;100,"NM",IF(((FZ351/FX351-1)*100)&lt;-50,"NM",(FZ351/FX351-1)*100)))</f>
        <v>22.883487007544012</v>
      </c>
      <c r="GB351" s="542">
        <v>562</v>
      </c>
      <c r="GC351" s="98" t="str">
        <f>IF(ISERROR((GB351/FZ351-1)*100),"NA",IF(((GB351/FZ351-1)*100)&gt;100,"NM",IF(((GB351/FZ351-1)*100)&lt;-50,"NM",(GB351/FZ351-1)*100)))</f>
        <v>NM</v>
      </c>
      <c r="GD351" s="160">
        <f>CU351+CW351+CY351+DA351</f>
        <v>535</v>
      </c>
      <c r="GE351" s="98">
        <f>IF(ISERROR((GD351/GB351-1)*100),"NA",IF(((GD351/GB351-1)*100)&gt;100,"NM",IF(((GD351/GB351-1)*100)&lt;-50,"NM",(GD351/GB351-1)*100)))</f>
        <v>-4.8042704626334531</v>
      </c>
      <c r="GF351" s="160">
        <f>DC351+DE351+DG351+DI351</f>
        <v>498</v>
      </c>
      <c r="GG351" s="98">
        <f>IF(ISERROR((GF351/GD351-1)*100),"NA",IF(((GF351/GD351-1)*100)&gt;100,"NM",IF(((GF351/GD351-1)*100)&lt;-50,"NM",(GF351/GD351-1)*100)))</f>
        <v>-6.9158878504672945</v>
      </c>
      <c r="GH351" s="160">
        <f>DK351+DM351+DO351+DQ351</f>
        <v>428</v>
      </c>
      <c r="GI351" s="98">
        <f>IF(ISERROR((GH351/GF351-1)*100),"NA",IF(((GH351/GF351-1)*100)&gt;100,"NM",IF(((GH351/GF351-1)*100)&lt;-50,"NM",(GH351/GF351-1)*100)))</f>
        <v>-14.056224899598391</v>
      </c>
      <c r="GJ351" s="160">
        <f>DS351+DU351+DW351+DY351</f>
        <v>326</v>
      </c>
      <c r="GK351" s="98">
        <f>IF(ISERROR((GJ351/GH351-1)*100),"NA",IF(((GJ351/GH351-1)*100)&gt;100,"NM",IF(((GJ351/GH351-1)*100)&lt;-50,"NM",(GJ351/GH351-1)*100)))</f>
        <v>-23.831775700934578</v>
      </c>
      <c r="GL351" s="160">
        <f>EA351+EC351+EE351+EG351</f>
        <v>318</v>
      </c>
      <c r="GM351" s="98">
        <f>IF(ISERROR((GL351/GJ351-1)*100),"NA",IF(((GL351/GJ351-1)*100)&gt;100,"NM",IF(((GL351/GJ351-1)*100)&lt;-50,"NM",(GL351/GJ351-1)*100)))</f>
        <v>-2.4539877300613466</v>
      </c>
      <c r="GN351" s="160">
        <f>EI351+EK351+EM351+EO351</f>
        <v>309</v>
      </c>
      <c r="GO351" s="98">
        <f>IF(ISERROR((GN351/GL351-1)*100),"NA",IF(((GN351/GL351-1)*100)&gt;100,"NM",IF(((GN351/GL351-1)*100)&lt;-50,"NM",(GN351/GL351-1)*100)))</f>
        <v>-2.8301886792452824</v>
      </c>
      <c r="GP351" s="160">
        <f>EQ351+ES351+EU351+EW351</f>
        <v>332.18135404999987</v>
      </c>
      <c r="GQ351" s="98">
        <f>IF(ISERROR((GP351/GN351-1)*100),"NA",IF(((GP351/GN351-1)*100)&gt;100,"NM",IF(((GP351/GN351-1)*100)&lt;-50,"NM",(GP351/GN351-1)*100)))</f>
        <v>7.5020563268608065</v>
      </c>
      <c r="GR351" s="121">
        <f>GP351*1.09</f>
        <v>362.07767591449988</v>
      </c>
      <c r="GS351" s="98">
        <f>IF(ISERROR((GR351/GP351-1)*100),"NA",IF(((GR351/GP351-1)*100)&gt;100,"NM",IF(((GR351/GP351-1)*100)&lt;-50,"NM",(GR351/GP351-1)*100)))</f>
        <v>9.0000000000000071</v>
      </c>
      <c r="GT351" s="121">
        <f>GR351*1.09</f>
        <v>394.66466674680487</v>
      </c>
      <c r="GU351" s="98">
        <f>IF(ISERROR((GT351/GR351-1)*100),"NA",IF(((GT351/GR351-1)*100)&gt;100,"NM",IF(((GT351/GR351-1)*100)&lt;-50,"NM",(GT351/GR351-1)*100)))</f>
        <v>9.0000000000000071</v>
      </c>
      <c r="GV351" s="121">
        <f>GT351*1.09</f>
        <v>430.18448675401731</v>
      </c>
      <c r="GW351" s="98">
        <f>IF(ISERROR((GV351/GT351-1)*100),"NA",IF(((GV351/GT351-1)*100)&gt;100,"NM",IF(((GV351/GT351-1)*100)&lt;-50,"NM",(GV351/GT351-1)*100)))</f>
        <v>9.0000000000000071</v>
      </c>
      <c r="GX351" s="121">
        <f>GV351*1.09</f>
        <v>468.9010905618789</v>
      </c>
      <c r="GY351" s="98">
        <f>IF(ISERROR((GX351/GV351-1)*100),"NA",IF(((GX351/GV351-1)*100)&gt;100,"NM",IF(((GX351/GV351-1)*100)&lt;-50,"NM",(GX351/GV351-1)*100)))</f>
        <v>9.0000000000000071</v>
      </c>
      <c r="GZ351" s="98">
        <f>IF(ISERROR(((GX351/GN351)^0.2-1)*100),"NA",IF((((GX351/GN351)^0.2-1)*100)&gt;100,"NM",IF((((GX351/GN351)^0.2-1)*100)&lt;-50,"NM",((GX351/GN351)^0.2-1)*100)))</f>
        <v>8.6987507025891198</v>
      </c>
      <c r="HA351" s="98"/>
      <c r="HB351" s="10"/>
      <c r="HC351"/>
      <c r="HD351"/>
      <c r="HE351"/>
      <c r="HF351"/>
      <c r="HG351"/>
      <c r="HH351"/>
      <c r="HI351" s="10"/>
    </row>
    <row r="352" spans="2:217" s="2" customFormat="1" ht="12.75" customHeight="1" x14ac:dyDescent="0.2">
      <c r="B352" s="91" t="s">
        <v>537</v>
      </c>
      <c r="C352" s="101">
        <v>3</v>
      </c>
      <c r="D352" s="98"/>
      <c r="E352" s="101">
        <v>2</v>
      </c>
      <c r="F352" s="98"/>
      <c r="G352" s="101">
        <v>2</v>
      </c>
      <c r="H352" s="98"/>
      <c r="I352" s="101">
        <v>2</v>
      </c>
      <c r="J352" s="98"/>
      <c r="K352" s="101">
        <v>4</v>
      </c>
      <c r="L352" s="98">
        <f>IF(ISERROR((K352/C352-1)*100),"NA",IF(((K352/C352-1)*100)&gt;100,"NM",IF(((K352/C352-1)*100)&lt;-50,"NM",(K352/C352-1)*100)))</f>
        <v>33.333333333333329</v>
      </c>
      <c r="M352" s="101">
        <v>2</v>
      </c>
      <c r="N352" s="98">
        <f>IF(ISERROR((M352/E352-1)*100),"NA",IF(((M352/E352-1)*100)&gt;100,"NM",IF(((M352/E352-1)*100)&lt;-50,"NM",(M352/E352-1)*100)))</f>
        <v>0</v>
      </c>
      <c r="O352" s="101">
        <v>4</v>
      </c>
      <c r="P352" s="98">
        <f>IF(ISERROR((O352/G352-1)*100),"NA",IF(((O352/G352-1)*100)&gt;100,"NM",IF(((O352/G352-1)*100)&lt;-50,"NM",(O352/G352-1)*100)))</f>
        <v>100</v>
      </c>
      <c r="Q352" s="101">
        <v>6</v>
      </c>
      <c r="R352" s="98" t="str">
        <f>IF(ISERROR((Q352/I352-1)*100),"NA",IF(((Q352/I352-1)*100)&gt;100,"NM",IF(((Q352/I352-1)*100)&lt;-50,"NM",(Q352/I352-1)*100)))</f>
        <v>NM</v>
      </c>
      <c r="S352" s="101">
        <v>3</v>
      </c>
      <c r="T352" s="98">
        <f>IF(ISERROR((S352/K352-1)*100),"NA",IF(((S352/K352-1)*100)&gt;100,"NM",IF(((S352/K352-1)*100)&lt;-50,"NM",(S352/K352-1)*100)))</f>
        <v>-25</v>
      </c>
      <c r="U352" s="101">
        <v>3</v>
      </c>
      <c r="V352" s="98">
        <f>IF(ISERROR((U352/M352-1)*100),"NA",IF(((U352/M352-1)*100)&gt;100,"NM",IF(((U352/M352-1)*100)&lt;-50,"NM",(U352/M352-1)*100)))</f>
        <v>50</v>
      </c>
      <c r="W352" s="101">
        <v>2</v>
      </c>
      <c r="X352" s="98">
        <f>IF(ISERROR((W352/O352-1)*100),"NA",IF(((W352/O352-1)*100)&gt;100,"NM",IF(((W352/O352-1)*100)&lt;-50,"NM",(W352/O352-1)*100)))</f>
        <v>-50</v>
      </c>
      <c r="Y352" s="101">
        <v>6</v>
      </c>
      <c r="Z352" s="98">
        <f>IF(ISERROR((Y352/Q352-1)*100),"NA",IF(((Y352/Q352-1)*100)&gt;100,"NM",IF(((Y352/Q352-1)*100)&lt;-50,"NM",(Y352/Q352-1)*100)))</f>
        <v>0</v>
      </c>
      <c r="AA352" s="101">
        <v>8</v>
      </c>
      <c r="AB352" s="98" t="str">
        <f>IF(ISERROR((AA352/S352-1)*100),"NA",IF(((AA352/S352-1)*100)&gt;100,"NM",IF(((AA352/S352-1)*100)&lt;-50,"NM",(AA352/S352-1)*100)))</f>
        <v>NM</v>
      </c>
      <c r="AC352" s="101">
        <v>26</v>
      </c>
      <c r="AD352" s="98" t="str">
        <f>IF(ISERROR((AC352/U352-1)*100),"NA",IF(((AC352/U352-1)*100)&gt;100,"NM",IF(((AC352/U352-1)*100)&lt;-50,"NM",(AC352/U352-1)*100)))</f>
        <v>NM</v>
      </c>
      <c r="AE352" s="101">
        <v>20</v>
      </c>
      <c r="AF352" s="98" t="str">
        <f>IF(ISERROR((AE352/W352-1)*100),"NA",IF(((AE352/W352-1)*100)&gt;100,"NM",IF(((AE352/W352-1)*100)&lt;-50,"NM",(AE352/W352-1)*100)))</f>
        <v>NM</v>
      </c>
      <c r="AG352" s="101">
        <v>26</v>
      </c>
      <c r="AH352" s="98" t="str">
        <f>IF(ISERROR((AG352/Y352-1)*100),"NA",IF(((AG352/Y352-1)*100)&gt;100,"NM",IF(((AG352/Y352-1)*100)&lt;-50,"NM",(AG352/Y352-1)*100)))</f>
        <v>NM</v>
      </c>
      <c r="AI352" s="101">
        <v>4</v>
      </c>
      <c r="AJ352" s="98">
        <f>IF(ISERROR((AI352/AA352-1)*100),"NA",IF(((AI352/AA352-1)*100)&gt;100,"NM",IF(((AI352/AA352-1)*100)&lt;-50,"NM",(AI352/AA352-1)*100)))</f>
        <v>-50</v>
      </c>
      <c r="AK352" s="101">
        <v>8</v>
      </c>
      <c r="AL352" s="98" t="str">
        <f>IF(ISERROR((AK352/AC352-1)*100),"NA",IF(((AK352/AC352-1)*100)&gt;100,"NM",IF(((AK352/AC352-1)*100)&lt;-50,"NM",(AK352/AC352-1)*100)))</f>
        <v>NM</v>
      </c>
      <c r="AM352" s="101">
        <v>2</v>
      </c>
      <c r="AN352" s="98" t="str">
        <f>IF(ISERROR((AM352/AE352-1)*100),"NA",IF(((AM352/AE352-1)*100)&gt;100,"NM",IF(((AM352/AE352-1)*100)&lt;-50,"NM",(AM352/AE352-1)*100)))</f>
        <v>NM</v>
      </c>
      <c r="AO352" s="101">
        <v>9</v>
      </c>
      <c r="AP352" s="98" t="str">
        <f>IF(ISERROR((AO352/AG352-1)*100),"NA",IF(((AO352/AG352-1)*100)&gt;100,"NM",IF(((AO352/AG352-1)*100)&lt;-50,"NM",(AO352/AG352-1)*100)))</f>
        <v>NM</v>
      </c>
      <c r="AQ352" s="101">
        <v>3</v>
      </c>
      <c r="AR352" s="98">
        <f>IF(ISERROR((AQ352/AI352-1)*100),"NA",IF(((AQ352/AI352-1)*100)&gt;100,"NM",IF(((AQ352/AI352-1)*100)&lt;-50,"NM",(AQ352/AI352-1)*100)))</f>
        <v>-25</v>
      </c>
      <c r="AS352" s="101">
        <v>-1</v>
      </c>
      <c r="AT352" s="98" t="str">
        <f>IF(ISERROR((AS352/AK352-1)*100),"NA",IF(((AS352/AK352-1)*100)&gt;100,"NM",IF(((AS352/AK352-1)*100)&lt;-50,"NM",(AS352/AK352-1)*100)))</f>
        <v>NM</v>
      </c>
      <c r="AU352" s="101">
        <v>9</v>
      </c>
      <c r="AV352" s="98" t="str">
        <f>IF(ISERROR((AU352/AM352-1)*100),"NA",IF(((AU352/AM352-1)*100)&gt;100,"NM",IF(((AU352/AM352-1)*100)&lt;-50,"NM",(AU352/AM352-1)*100)))</f>
        <v>NM</v>
      </c>
      <c r="AW352" s="101">
        <v>9</v>
      </c>
      <c r="AX352" s="98">
        <f>IF(ISERROR((AW352/AO352-1)*100),"NA",IF(((AW352/AO352-1)*100)&gt;100,"NM",IF(((AW352/AO352-1)*100)&lt;-50,"NM",(AW352/AO352-1)*100)))</f>
        <v>0</v>
      </c>
      <c r="AY352" s="101">
        <v>4</v>
      </c>
      <c r="AZ352" s="98">
        <f>IF(ISERROR((AY352/AQ352-1)*100),"NA",IF(((AY352/AQ352-1)*100)&gt;100,"NM",IF(((AY352/AQ352-1)*100)&lt;-50,"NM",(AY352/AQ352-1)*100)))</f>
        <v>33.333333333333329</v>
      </c>
      <c r="BA352" s="101">
        <v>4</v>
      </c>
      <c r="BB352" s="98" t="str">
        <f>IF(ISERROR((BA352/AS352-1)*100),"NA",IF(((BA352/AS352-1)*100)&gt;100,"NM",IF(((BA352/AS352-1)*100)&lt;-50,"NM",(BA352/AS352-1)*100)))</f>
        <v>NM</v>
      </c>
      <c r="BC352" s="101">
        <v>8</v>
      </c>
      <c r="BD352" s="98">
        <f>IF(ISERROR((BC352/AU352-1)*100),"NA",IF(((BC352/AU352-1)*100)&gt;100,"NM",IF(((BC352/AU352-1)*100)&lt;-50,"NM",(BC352/AU352-1)*100)))</f>
        <v>-11.111111111111116</v>
      </c>
      <c r="BE352" s="101">
        <v>12</v>
      </c>
      <c r="BF352" s="98">
        <f>IF(ISERROR((BE352/AW352-1)*100),"NA",IF(((BE352/AW352-1)*100)&gt;100,"NM",IF(((BE352/AW352-1)*100)&lt;-50,"NM",(BE352/AW352-1)*100)))</f>
        <v>33.333333333333329</v>
      </c>
      <c r="BG352" s="101">
        <v>13</v>
      </c>
      <c r="BH352" s="98" t="str">
        <f>IF(ISERROR((BG352/AY352-1)*100),"NA",IF(((BG352/AY352-1)*100)&gt;100,"NM",IF(((BG352/AY352-1)*100)&lt;-50,"NM",(BG352/AY352-1)*100)))</f>
        <v>NM</v>
      </c>
      <c r="BI352" s="101">
        <v>3</v>
      </c>
      <c r="BJ352" s="98">
        <f>IF(ISERROR((BI352/BA352-1)*100),"NA",IF(((BI352/BA352-1)*100)&gt;100,"NM",IF(((BI352/BA352-1)*100)&lt;-50,"NM",(BI352/BA352-1)*100)))</f>
        <v>-25</v>
      </c>
      <c r="BK352" s="101">
        <v>5</v>
      </c>
      <c r="BL352" s="98">
        <f>IF(ISERROR((BK352/BC352-1)*100),"NA",IF(((BK352/BC352-1)*100)&gt;100,"NM",IF(((BK352/BC352-1)*100)&lt;-50,"NM",(BK352/BC352-1)*100)))</f>
        <v>-37.5</v>
      </c>
      <c r="BM352" s="101">
        <v>2</v>
      </c>
      <c r="BN352" s="98" t="str">
        <f>IF(ISERROR((BM352/BE352-1)*100),"NA",IF(((BM352/BE352-1)*100)&gt;100,"NM",IF(((BM352/BE352-1)*100)&lt;-50,"NM",(BM352/BE352-1)*100)))</f>
        <v>NM</v>
      </c>
      <c r="BO352" s="101">
        <v>7</v>
      </c>
      <c r="BP352" s="98">
        <f>IF(ISERROR((BO352/BG352-1)*100),"NA",IF(((BO352/BG352-1)*100)&gt;100,"NM",IF(((BO352/BG352-1)*100)&lt;-50,"NM",(BO352/BG352-1)*100)))</f>
        <v>-46.153846153846153</v>
      </c>
      <c r="BQ352" s="101">
        <v>6</v>
      </c>
      <c r="BR352" s="98">
        <f>IF(ISERROR((BQ352/BI352-1)*100),"NA",IF(((BQ352/BI352-1)*100)&gt;100,"NM",IF(((BQ352/BI352-1)*100)&lt;-50,"NM",(BQ352/BI352-1)*100)))</f>
        <v>100</v>
      </c>
      <c r="BS352" s="101">
        <v>0</v>
      </c>
      <c r="BT352" s="98" t="str">
        <f>IF(ISERROR((BS352/BK352-1)*100),"NA",IF(((BS352/BK352-1)*100)&gt;100,"NM",IF(((BS352/BK352-1)*100)&lt;-50,"NM",(BS352/BK352-1)*100)))</f>
        <v>NM</v>
      </c>
      <c r="BU352" s="101">
        <v>5</v>
      </c>
      <c r="BV352" s="98" t="str">
        <f>IF(ISERROR((BU352/BM352-1)*100),"NA",IF(((BU352/BM352-1)*100)&gt;100,"NM",IF(((BU352/BM352-1)*100)&lt;-50,"NM",(BU352/BM352-1)*100)))</f>
        <v>NM</v>
      </c>
      <c r="BW352" s="101">
        <v>2</v>
      </c>
      <c r="BX352" s="98" t="str">
        <f>IF(ISERROR((BW352/BO352-1)*100),"NA",IF(((BW352/BO352-1)*100)&gt;100,"NM",IF(((BW352/BO352-1)*100)&lt;-50,"NM",(BW352/BO352-1)*100)))</f>
        <v>NM</v>
      </c>
      <c r="BY352" s="101">
        <v>2</v>
      </c>
      <c r="BZ352" s="98" t="str">
        <f>IF(ISERROR((BY352/BQ352-1)*100),"NA",IF(((BY352/BQ352-1)*100)&gt;100,"NM",IF(((BY352/BQ352-1)*100)&lt;-50,"NM",(BY352/BQ352-1)*100)))</f>
        <v>NM</v>
      </c>
      <c r="CA352" s="101">
        <v>4</v>
      </c>
      <c r="CB352" s="98" t="str">
        <f>IF(ISERROR((CA352/BS352-1)*100),"NA",IF(((CA352/BS352-1)*100)&gt;100,"NM",IF(((CA352/BS352-1)*100)&lt;-50,"NM",(CA352/BS352-1)*100)))</f>
        <v>NA</v>
      </c>
      <c r="CC352" s="101">
        <v>6</v>
      </c>
      <c r="CD352" s="98">
        <f>IF(ISERROR((CC352/BU352-1)*100),"NA",IF(((CC352/BU352-1)*100)&gt;100,"NM",IF(((CC352/BU352-1)*100)&lt;-50,"NM",(CC352/BU352-1)*100)))</f>
        <v>19.999999999999996</v>
      </c>
      <c r="CE352" s="101">
        <v>1</v>
      </c>
      <c r="CF352" s="98">
        <f>IF(ISERROR((CE352/BW352-1)*100),"NA",IF(((CE352/BW352-1)*100)&gt;100,"NM",IF(((CE352/BW352-1)*100)&lt;-50,"NM",(CE352/BW352-1)*100)))</f>
        <v>-50</v>
      </c>
      <c r="CG352" s="101">
        <v>4</v>
      </c>
      <c r="CH352" s="98">
        <f>IF(ISERROR((CG352/BY352-1)*100),"NA",IF(((CG352/BY352-1)*100)&gt;100,"NM",IF(((CG352/BY352-1)*100)&lt;-50,"NM",(CG352/BY352-1)*100)))</f>
        <v>100</v>
      </c>
      <c r="CI352" s="101">
        <v>7</v>
      </c>
      <c r="CJ352" s="98">
        <f>IF(ISERROR((CI352/CA352-1)*100),"NA",IF(((CI352/CA352-1)*100)&gt;100,"NM",IF(((CI352/CA352-1)*100)&lt;-50,"NM",(CI352/CA352-1)*100)))</f>
        <v>75</v>
      </c>
      <c r="CK352" s="101">
        <v>16</v>
      </c>
      <c r="CL352" s="98" t="str">
        <f>IF(ISERROR((CK352/CC352-1)*100),"NA",IF(((CK352/CC352-1)*100)&gt;100,"NM",IF(((CK352/CC352-1)*100)&lt;-50,"NM",(CK352/CC352-1)*100)))</f>
        <v>NM</v>
      </c>
      <c r="CM352" s="101">
        <v>26</v>
      </c>
      <c r="CN352" s="98" t="str">
        <f>IF(ISERROR((CM352/CE352-1)*100),"NA",IF(((CM352/CE352-1)*100)&gt;100,"NM",IF(((CM352/CE352-1)*100)&lt;-50,"NM",(CM352/CE352-1)*100)))</f>
        <v>NM</v>
      </c>
      <c r="CO352" s="101">
        <v>29</v>
      </c>
      <c r="CP352" s="98" t="str">
        <f>IF(ISERROR((CO352/CG352-1)*100),"NA",IF(((CO352/CG352-1)*100)&gt;100,"NM",IF(((CO352/CG352-1)*100)&lt;-50,"NM",(CO352/CG352-1)*100)))</f>
        <v>NM</v>
      </c>
      <c r="CQ352" s="542">
        <v>29</v>
      </c>
      <c r="CR352" s="98" t="str">
        <f>IF(ISERROR((CQ352/CI352-1)*100),"NA",IF(((CQ352/CI352-1)*100)&gt;100,"NM",IF(((CQ352/CI352-1)*100)&lt;-50,"NM",(CQ352/CI352-1)*100)))</f>
        <v>NM</v>
      </c>
      <c r="CS352" s="101">
        <v>39</v>
      </c>
      <c r="CT352" s="98" t="str">
        <f>IF(ISERROR((CS352/CK352-1)*100),"NA",IF(((CS352/CK352-1)*100)&gt;100,"NM",IF(((CS352/CK352-1)*100)&lt;-50,"NM",(CS352/CK352-1)*100)))</f>
        <v>NM</v>
      </c>
      <c r="CU352" s="101">
        <v>36</v>
      </c>
      <c r="CV352" s="98">
        <f>IF(ISERROR((CU352/CM352-1)*100),"NA",IF(((CU352/CM352-1)*100)&gt;100,"NM",IF(((CU352/CM352-1)*100)&lt;-50,"NM",(CU352/CM352-1)*100)))</f>
        <v>38.46153846153846</v>
      </c>
      <c r="CW352" s="101">
        <v>27</v>
      </c>
      <c r="CX352" s="98">
        <f>IF(ISERROR((CW352/CO352-1)*100),"NA",IF(((CW352/CO352-1)*100)&gt;100,"NM",IF(((CW352/CO352-1)*100)&lt;-50,"NM",(CW352/CO352-1)*100)))</f>
        <v>-6.8965517241379342</v>
      </c>
      <c r="CY352" s="101">
        <v>35</v>
      </c>
      <c r="CZ352" s="98">
        <f>IF(ISERROR((CY352/CQ352-1)*100),"NA",IF(((CY352/CQ352-1)*100)&gt;100,"NM",IF(((CY352/CQ352-1)*100)&lt;-50,"NM",(CY352/CQ352-1)*100)))</f>
        <v>20.68965517241379</v>
      </c>
      <c r="DA352" s="101">
        <v>23</v>
      </c>
      <c r="DB352" s="98">
        <f>IF(ISERROR((DA352/CS352-1)*100),"NA",IF(((DA352/CS352-1)*100)&gt;100,"NM",IF(((DA352/CS352-1)*100)&lt;-50,"NM",(DA352/CS352-1)*100)))</f>
        <v>-41.025641025641022</v>
      </c>
      <c r="DC352" s="101">
        <v>27</v>
      </c>
      <c r="DD352" s="98">
        <f>IF(ISERROR((DC352/CU352-1)*100),"NA",IF(((DC352/CU352-1)*100)&gt;100,"NM",IF(((DC352/CU352-1)*100)&lt;-50,"NM",(DC352/CU352-1)*100)))</f>
        <v>-25</v>
      </c>
      <c r="DE352" s="101">
        <v>34</v>
      </c>
      <c r="DF352" s="98">
        <f>IF(ISERROR((DE352/CW352-1)*100),"NA",IF(((DE352/CW352-1)*100)&gt;100,"NM",IF(((DE352/CW352-1)*100)&lt;-50,"NM",(DE352/CW352-1)*100)))</f>
        <v>25.925925925925931</v>
      </c>
      <c r="DG352" s="101">
        <v>21</v>
      </c>
      <c r="DH352" s="98">
        <f>IF(ISERROR((DG352/CY352-1)*100),"NA",IF(((DG352/CY352-1)*100)&gt;100,"NM",IF(((DG352/CY352-1)*100)&lt;-50,"NM",(DG352/CY352-1)*100)))</f>
        <v>-40</v>
      </c>
      <c r="DI352" s="101">
        <v>15</v>
      </c>
      <c r="DJ352" s="98">
        <f>IF(ISERROR((DI352/DA352-1)*100),"NA",IF(((DI352/DA352-1)*100)&gt;100,"NM",IF(((DI352/DA352-1)*100)&lt;-50,"NM",(DI352/DA352-1)*100)))</f>
        <v>-34.782608695652172</v>
      </c>
      <c r="DK352" s="101">
        <v>16</v>
      </c>
      <c r="DL352" s="98">
        <f>IF(ISERROR((DK352/DC352-1)*100),"NA",IF(((DK352/DC352-1)*100)&gt;100,"NM",IF(((DK352/DC352-1)*100)&lt;-50,"NM",(DK352/DC352-1)*100)))</f>
        <v>-40.740740740740748</v>
      </c>
      <c r="DM352" s="101">
        <v>11</v>
      </c>
      <c r="DN352" s="98" t="str">
        <f>IF(ISERROR((DM352/DE352-1)*100),"NA",IF(((DM352/DE352-1)*100)&gt;100,"NM",IF(((DM352/DE352-1)*100)&lt;-50,"NM",(DM352/DE352-1)*100)))</f>
        <v>NM</v>
      </c>
      <c r="DO352" s="101">
        <v>22</v>
      </c>
      <c r="DP352" s="98">
        <f>IF(ISERROR((DO352/DG352-1)*100),"NA",IF(((DO352/DG352-1)*100)&gt;100,"NM",IF(((DO352/DG352-1)*100)&lt;-50,"NM",(DO352/DG352-1)*100)))</f>
        <v>4.7619047619047672</v>
      </c>
      <c r="DQ352" s="101">
        <v>11</v>
      </c>
      <c r="DR352" s="98">
        <f>IF(ISERROR((DQ352/DI352-1)*100),"NA",IF(((DQ352/DI352-1)*100)&gt;100,"NM",IF(((DQ352/DI352-1)*100)&lt;-50,"NM",(DQ352/DI352-1)*100)))</f>
        <v>-26.666666666666671</v>
      </c>
      <c r="DS352" s="101">
        <v>10</v>
      </c>
      <c r="DT352" s="98">
        <f>IF(ISERROR((DS352/DK352-1)*100),"NA",IF(((DS352/DK352-1)*100)&gt;100,"NM",IF(((DS352/DK352-1)*100)&lt;-50,"NM",(DS352/DK352-1)*100)))</f>
        <v>-37.5</v>
      </c>
      <c r="DU352" s="101">
        <v>19</v>
      </c>
      <c r="DV352" s="98">
        <f>IF(ISERROR((DU352/DM352-1)*100),"NA",IF(((DU352/DM352-1)*100)&gt;100,"NM",IF(((DU352/DM352-1)*100)&lt;-50,"NM",(DU352/DM352-1)*100)))</f>
        <v>72.727272727272734</v>
      </c>
      <c r="DW352" s="101">
        <v>11</v>
      </c>
      <c r="DX352" s="98">
        <f>IF(ISERROR((DW352/DO352-1)*100),"NA",IF(((DW352/DO352-1)*100)&gt;100,"NM",IF(((DW352/DO352-1)*100)&lt;-50,"NM",(DW352/DO352-1)*100)))</f>
        <v>-50</v>
      </c>
      <c r="DY352" s="101">
        <v>21</v>
      </c>
      <c r="DZ352" s="98">
        <f>IF(ISERROR((DY352/DQ352-1)*100),"NA",IF(((DY352/DQ352-1)*100)&gt;100,"NM",IF(((DY352/DQ352-1)*100)&lt;-50,"NM",(DY352/DQ352-1)*100)))</f>
        <v>90.909090909090921</v>
      </c>
      <c r="EA352" s="101">
        <v>20</v>
      </c>
      <c r="EB352" s="98">
        <f>IF(ISERROR((EA352/DS352-1)*100),"NA",IF(((EA352/DS352-1)*100)&gt;100,"NM",IF(((EA352/DS352-1)*100)&lt;-50,"NM",(EA352/DS352-1)*100)))</f>
        <v>100</v>
      </c>
      <c r="EC352" s="101">
        <v>19</v>
      </c>
      <c r="ED352" s="98">
        <f>IF(ISERROR((EC352/DU352-1)*100),"NA",IF(((EC352/DU352-1)*100)&gt;100,"NM",IF(((EC352/DU352-1)*100)&lt;-50,"NM",(EC352/DU352-1)*100)))</f>
        <v>0</v>
      </c>
      <c r="EE352" s="101">
        <v>17</v>
      </c>
      <c r="EF352" s="860">
        <f>IF(ISERROR((EE352/DW352-1)*100),"NA",IF(((EE352/DW352-1)*100)&gt;100,"NM",IF(((EE352/DW352-1)*100)&lt;-50,"NM",(EE352/DW352-1)*100)))</f>
        <v>54.54545454545454</v>
      </c>
      <c r="EG352" s="101">
        <v>17</v>
      </c>
      <c r="EH352" s="860">
        <f>IF(ISERROR((EG352/DY352-1)*100),"NA",IF(((EG352/DY352-1)*100)&gt;100,"NM",IF(((EG352/DY352-1)*100)&lt;-50,"NM",(EG352/DY352-1)*100)))</f>
        <v>-19.047619047619047</v>
      </c>
      <c r="EI352" s="101">
        <v>17</v>
      </c>
      <c r="EJ352" s="860">
        <f t="shared" si="1755"/>
        <v>-15.000000000000002</v>
      </c>
      <c r="EK352" s="101">
        <v>28</v>
      </c>
      <c r="EL352" s="860">
        <f t="shared" si="1756"/>
        <v>47.368421052631568</v>
      </c>
      <c r="EM352" s="101">
        <v>-2</v>
      </c>
      <c r="EN352" s="860" t="str">
        <f t="shared" si="1757"/>
        <v>NM</v>
      </c>
      <c r="EO352" s="101">
        <v>15</v>
      </c>
      <c r="EP352" s="98">
        <f t="shared" si="1758"/>
        <v>-11.764705882352944</v>
      </c>
      <c r="EQ352" s="952">
        <f t="shared" si="1763"/>
        <v>15.224999999999998</v>
      </c>
      <c r="ER352" s="98">
        <f t="shared" si="1759"/>
        <v>-10.441176470588243</v>
      </c>
      <c r="ES352" s="952">
        <f t="shared" si="1764"/>
        <v>15.453374999999996</v>
      </c>
      <c r="ET352" s="98">
        <f t="shared" si="1760"/>
        <v>-44.809375000000017</v>
      </c>
      <c r="EU352" s="952">
        <f t="shared" si="1765"/>
        <v>15.685175624999994</v>
      </c>
      <c r="EV352" s="98" t="str">
        <f t="shared" si="1761"/>
        <v>NM</v>
      </c>
      <c r="EW352" s="952">
        <f t="shared" si="1766"/>
        <v>15.920453259374993</v>
      </c>
      <c r="EX352" s="98">
        <f t="shared" si="1762"/>
        <v>6.136355062499943</v>
      </c>
      <c r="EY352" s="121"/>
      <c r="EZ352" s="599"/>
      <c r="FA352" s="410"/>
      <c r="FB352" s="121">
        <v>32</v>
      </c>
      <c r="FC352" s="224"/>
      <c r="FD352" s="101">
        <v>13</v>
      </c>
      <c r="FE352" s="224" t="str">
        <f>IF(ISERROR((FD352/FB352-1)*100),"NA",IF(((FD352/FB352-1)*100)&gt;100,"NM",IF(((FD352/FB352-1)*100)&lt;-50,"NM",(FD352/FB352-1)*100)))</f>
        <v>NM</v>
      </c>
      <c r="FF352" s="118">
        <f>C352+E352+G352+I352</f>
        <v>9</v>
      </c>
      <c r="FG352" s="224">
        <f>IF(ISERROR((FF352/FD352-1)*100),"NA",IF(((FF352/FD352-1)*100)&gt;100,"NM",IF(((FF352/FD352-1)*100)&lt;-50,"NM",(FF352/FD352-1)*100)))</f>
        <v>-30.76923076923077</v>
      </c>
      <c r="FH352" s="118">
        <f>K352+M352+O352+Q352</f>
        <v>16</v>
      </c>
      <c r="FI352" s="224">
        <f>IF(ISERROR((FH352/FF352-1)*100),"NA",IF(((FH352/FF352-1)*100)&gt;100,"NM",IF(((FH352/FF352-1)*100)&lt;-50,"NM",(FH352/FF352-1)*100)))</f>
        <v>77.777777777777771</v>
      </c>
      <c r="FJ352" s="118">
        <f>S352+U352+W352+Y352</f>
        <v>14</v>
      </c>
      <c r="FK352" s="224">
        <f>IF(ISERROR((FJ352/FH352-1)*100),"NA",IF(((FJ352/FH352-1)*100)&gt;100,"NM",IF(((FJ352/FH352-1)*100)&lt;-50,"NM",(FJ352/FH352-1)*100)))</f>
        <v>-12.5</v>
      </c>
      <c r="FL352" s="118">
        <f>AA352+AC352+AE352+AG352</f>
        <v>80</v>
      </c>
      <c r="FM352" s="224" t="str">
        <f>IF(ISERROR((FL352/FJ352-1)*100),"NA",IF(((FL352/FJ352-1)*100)&gt;100,"NM",IF(((FL352/FJ352-1)*100)&lt;-50,"NM",(FL352/FJ352-1)*100)))</f>
        <v>NM</v>
      </c>
      <c r="FN352" s="118">
        <f>AI352+AK352+AM352+AO352</f>
        <v>23</v>
      </c>
      <c r="FO352" s="224" t="str">
        <f>IF(ISERROR((FN352/FL352-1)*100),"NA",IF(((FN352/FL352-1)*100)&gt;100,"NM",IF(((FN352/FL352-1)*100)&lt;-50,"NM",(FN352/FL352-1)*100)))</f>
        <v>NM</v>
      </c>
      <c r="FP352" s="118">
        <f>AQ352+AS352+AU352+AW352</f>
        <v>20</v>
      </c>
      <c r="FQ352" s="224">
        <f>IF(ISERROR((FP352/FN352-1)*100),"NA",IF(((FP352/FN352-1)*100)&gt;100,"NM",IF(((FP352/FN352-1)*100)&lt;-50,"NM",(FP352/FN352-1)*100)))</f>
        <v>-13.043478260869568</v>
      </c>
      <c r="FR352" s="119">
        <f>AY352+BA352+BC352+BE352</f>
        <v>28</v>
      </c>
      <c r="FS352" s="120">
        <f>IF(ISERROR((FR352/FP352-1)*100),"NA",IF(((FR352/FP352-1)*100)&gt;100,"NM",IF(((FR352/FP352-1)*100)&lt;-50,"NM",(FR352/FP352-1)*100)))</f>
        <v>39.999999999999993</v>
      </c>
      <c r="FT352" s="119">
        <f>BG352+BI352+BK352+BM352</f>
        <v>23</v>
      </c>
      <c r="FU352" s="120">
        <f>IF(ISERROR((FT352/FR352-1)*100),"NA",IF(((FT352/FR352-1)*100)&gt;100,"NM",IF(((FT352/FR352-1)*100)&lt;-50,"NM",(FT352/FR352-1)*100)))</f>
        <v>-17.857142857142861</v>
      </c>
      <c r="FV352" s="119">
        <f>BO352+BQ352+BS352+BU352</f>
        <v>18</v>
      </c>
      <c r="FW352" s="98">
        <f>IF(ISERROR((FV352/FT352-1)*100),"NA",IF(((FV352/FT352-1)*100)&gt;100,"NM",IF(((FV352/FT352-1)*100)&lt;-50,"NM",(FV352/FT352-1)*100)))</f>
        <v>-21.739130434782606</v>
      </c>
      <c r="FX352" s="495">
        <f>BW352+BY352+CA352+CC352</f>
        <v>14</v>
      </c>
      <c r="FY352" s="98">
        <f>IF(ISERROR((FX352/FV352-1)*100),"NA",IF(((FX352/FV352-1)*100)&gt;100,"NM",IF(((FX352/FV352-1)*100)&lt;-50,"NM",(FX352/FV352-1)*100)))</f>
        <v>-22.222222222222221</v>
      </c>
      <c r="FZ352" s="160">
        <f>CE352+CG352+CI352+CK352</f>
        <v>28</v>
      </c>
      <c r="GA352" s="98">
        <f>IF(ISERROR((FZ352/FX352-1)*100),"NA",IF(((FZ352/FX352-1)*100)&gt;100,"NM",IF(((FZ352/FX352-1)*100)&lt;-50,"NM",(FZ352/FX352-1)*100)))</f>
        <v>100</v>
      </c>
      <c r="GB352" s="542">
        <v>123</v>
      </c>
      <c r="GC352" s="98" t="str">
        <f>IF(ISERROR((GB352/FZ352-1)*100),"NA",IF(((GB352/FZ352-1)*100)&gt;100,"NM",IF(((GB352/FZ352-1)*100)&lt;-50,"NM",(GB352/FZ352-1)*100)))</f>
        <v>NM</v>
      </c>
      <c r="GD352" s="160">
        <f>CU352+CW352+CY352+DA352</f>
        <v>121</v>
      </c>
      <c r="GE352" s="98">
        <f>IF(ISERROR((GD352/GB352-1)*100),"NA",IF(((GD352/GB352-1)*100)&gt;100,"NM",IF(((GD352/GB352-1)*100)&lt;-50,"NM",(GD352/GB352-1)*100)))</f>
        <v>-1.6260162601625994</v>
      </c>
      <c r="GF352" s="160">
        <f>DC352+DE352+DG352+DI352</f>
        <v>97</v>
      </c>
      <c r="GG352" s="98">
        <f>IF(ISERROR((GF352/GD352-1)*100),"NA",IF(((GF352/GD352-1)*100)&gt;100,"NM",IF(((GF352/GD352-1)*100)&lt;-50,"NM",(GF352/GD352-1)*100)))</f>
        <v>-19.834710743801654</v>
      </c>
      <c r="GH352" s="160">
        <f>DK352+DM352+DO352+DQ352</f>
        <v>60</v>
      </c>
      <c r="GI352" s="98">
        <f>IF(ISERROR((GH352/GF352-1)*100),"NA",IF(((GH352/GF352-1)*100)&gt;100,"NM",IF(((GH352/GF352-1)*100)&lt;-50,"NM",(GH352/GF352-1)*100)))</f>
        <v>-38.144329896907216</v>
      </c>
      <c r="GJ352" s="160">
        <f>DS352+DU352+DW352+DY352</f>
        <v>61</v>
      </c>
      <c r="GK352" s="98">
        <f>IF(ISERROR((GJ352/GH352-1)*100),"NA",IF(((GJ352/GH352-1)*100)&gt;100,"NM",IF(((GJ352/GH352-1)*100)&lt;-50,"NM",(GJ352/GH352-1)*100)))</f>
        <v>1.6666666666666607</v>
      </c>
      <c r="GL352" s="160">
        <f>EA352+EC352+EE352+EG352</f>
        <v>73</v>
      </c>
      <c r="GM352" s="98">
        <f>IF(ISERROR((GL352/GJ352-1)*100),"NA",IF(((GL352/GJ352-1)*100)&gt;100,"NM",IF(((GL352/GJ352-1)*100)&lt;-50,"NM",(GL352/GJ352-1)*100)))</f>
        <v>19.672131147540984</v>
      </c>
      <c r="GN352" s="160">
        <f>EI352+EK352+EM352+EO352</f>
        <v>58</v>
      </c>
      <c r="GO352" s="98">
        <f>IF(ISERROR((GN352/GL352-1)*100),"NA",IF(((GN352/GL352-1)*100)&gt;100,"NM",IF(((GN352/GL352-1)*100)&lt;-50,"NM",(GN352/GL352-1)*100)))</f>
        <v>-20.547945205479458</v>
      </c>
      <c r="GP352" s="160">
        <f>EQ352+ES352+EU352+EW352</f>
        <v>62.284003884374982</v>
      </c>
      <c r="GQ352" s="98">
        <f>IF(ISERROR((GP352/GN352-1)*100),"NA",IF(((GP352/GN352-1)*100)&gt;100,"NM",IF(((GP352/GN352-1)*100)&lt;-50,"NM",(GP352/GN352-1)*100)))</f>
        <v>7.3862135937499795</v>
      </c>
      <c r="GR352" s="121">
        <f>GP352*1.09</f>
        <v>67.889564233968741</v>
      </c>
      <c r="GS352" s="98">
        <f>IF(ISERROR((GR352/GP352-1)*100),"NA",IF(((GR352/GP352-1)*100)&gt;100,"NM",IF(((GR352/GP352-1)*100)&lt;-50,"NM",(GR352/GP352-1)*100)))</f>
        <v>9.0000000000000071</v>
      </c>
      <c r="GT352" s="121">
        <f>GR352*1.09</f>
        <v>73.999625015025927</v>
      </c>
      <c r="GU352" s="98">
        <f>IF(ISERROR((GT352/GR352-1)*100),"NA",IF(((GT352/GR352-1)*100)&gt;100,"NM",IF(((GT352/GR352-1)*100)&lt;-50,"NM",(GT352/GR352-1)*100)))</f>
        <v>9.0000000000000071</v>
      </c>
      <c r="GV352" s="121">
        <f>GT352*1.09</f>
        <v>80.659591266378271</v>
      </c>
      <c r="GW352" s="98">
        <f>IF(ISERROR((GV352/GT352-1)*100),"NA",IF(((GV352/GT352-1)*100)&gt;100,"NM",IF(((GV352/GT352-1)*100)&lt;-50,"NM",(GV352/GT352-1)*100)))</f>
        <v>9.0000000000000071</v>
      </c>
      <c r="GX352" s="121">
        <f>GV352*1.09</f>
        <v>87.918954480352326</v>
      </c>
      <c r="GY352" s="98">
        <f>IF(ISERROR((GX352/GV352-1)*100),"NA",IF(((GX352/GV352-1)*100)&gt;100,"NM",IF(((GX352/GV352-1)*100)&lt;-50,"NM",(GX352/GV352-1)*100)))</f>
        <v>9.0000000000000071</v>
      </c>
      <c r="GZ352" s="98">
        <f>IF(ISERROR(((GX352/GN352)^0.2-1)*100),"NA",IF((((GX352/GN352)^0.2-1)*100)&gt;100,"NM",IF((((GX352/GN352)^0.2-1)*100)&lt;-50,"NM",((GX352/GN352)^0.2-1)*100)))</f>
        <v>8.6753141435528924</v>
      </c>
      <c r="HA352" s="98"/>
      <c r="HB352" s="10"/>
      <c r="HC352"/>
      <c r="HD352"/>
      <c r="HE352"/>
      <c r="HF352"/>
      <c r="HG352"/>
      <c r="HH352"/>
      <c r="HI352" s="10"/>
    </row>
    <row r="353" spans="1:217" s="2" customFormat="1" ht="12.75" customHeight="1" x14ac:dyDescent="0.2">
      <c r="A353" s="2" t="s">
        <v>26</v>
      </c>
      <c r="B353" s="131" t="s">
        <v>513</v>
      </c>
      <c r="C353" s="182">
        <f>+C352+C351+C350+C349</f>
        <v>227</v>
      </c>
      <c r="D353" s="98"/>
      <c r="E353" s="182">
        <f>+E352+E351+E350+E349</f>
        <v>248</v>
      </c>
      <c r="F353" s="98"/>
      <c r="G353" s="182">
        <f>+G352+G351+G350+G349</f>
        <v>240</v>
      </c>
      <c r="H353" s="98"/>
      <c r="I353" s="182">
        <f>+I352+I351+I350+I349</f>
        <v>259</v>
      </c>
      <c r="J353" s="98"/>
      <c r="K353" s="182">
        <f>+K352+K351+K350+K349</f>
        <v>256</v>
      </c>
      <c r="L353" s="98">
        <f>IF(ISERROR((K353/C353-1)*100),"NA",IF(((K353/C353-1)*100)&gt;100,"NM",IF(((K353/C353-1)*100)&lt;-50,"NM",(K353/C353-1)*100)))</f>
        <v>12.775330396475781</v>
      </c>
      <c r="M353" s="182">
        <f>+M352+M351+M350+M349</f>
        <v>269</v>
      </c>
      <c r="N353" s="98">
        <f>IF(ISERROR((M353/E353-1)*100),"NA",IF(((M353/E353-1)*100)&gt;100,"NM",IF(((M353/E353-1)*100)&lt;-50,"NM",(M353/E353-1)*100)))</f>
        <v>8.4677419354838754</v>
      </c>
      <c r="O353" s="182">
        <f>+O352+O351+O350+O349</f>
        <v>285</v>
      </c>
      <c r="P353" s="98">
        <f>IF(ISERROR((O353/G353-1)*100),"NA",IF(((O353/G353-1)*100)&gt;100,"NM",IF(((O353/G353-1)*100)&lt;-50,"NM",(O353/G353-1)*100)))</f>
        <v>18.75</v>
      </c>
      <c r="Q353" s="182">
        <f>+Q352+Q351+Q350+Q349</f>
        <v>357</v>
      </c>
      <c r="R353" s="98">
        <f>IF(ISERROR((Q353/I353-1)*100),"NA",IF(((Q353/I353-1)*100)&gt;100,"NM",IF(((Q353/I353-1)*100)&lt;-50,"NM",(Q353/I353-1)*100)))</f>
        <v>37.837837837837832</v>
      </c>
      <c r="S353" s="182">
        <f>+S352+S351+S350+S349</f>
        <v>460</v>
      </c>
      <c r="T353" s="98">
        <f>IF(ISERROR((S353/K353-1)*100),"NA",IF(((S353/K353-1)*100)&gt;100,"NM",IF(((S353/K353-1)*100)&lt;-50,"NM",(S353/K353-1)*100)))</f>
        <v>79.6875</v>
      </c>
      <c r="U353" s="182">
        <f>+U352+U351+U350+U349</f>
        <v>379</v>
      </c>
      <c r="V353" s="98">
        <f>IF(ISERROR((U353/M353-1)*100),"NA",IF(((U353/M353-1)*100)&gt;100,"NM",IF(((U353/M353-1)*100)&lt;-50,"NM",(U353/M353-1)*100)))</f>
        <v>40.892193308550183</v>
      </c>
      <c r="W353" s="182">
        <f>+W352+W351+W350+W349</f>
        <v>580</v>
      </c>
      <c r="X353" s="98" t="str">
        <f>IF(ISERROR((W353/O353-1)*100),"NA",IF(((W353/O353-1)*100)&gt;100,"NM",IF(((W353/O353-1)*100)&lt;-50,"NM",(W353/O353-1)*100)))</f>
        <v>NM</v>
      </c>
      <c r="Y353" s="182">
        <f>+Y352+Y351+Y350+Y349</f>
        <v>711</v>
      </c>
      <c r="Z353" s="98">
        <f>IF(ISERROR((Y353/Q353-1)*100),"NA",IF(((Y353/Q353-1)*100)&gt;100,"NM",IF(((Y353/Q353-1)*100)&lt;-50,"NM",(Y353/Q353-1)*100)))</f>
        <v>99.159663865546221</v>
      </c>
      <c r="AA353" s="182">
        <f>+AA352+AA351+AA350+AA349</f>
        <v>577</v>
      </c>
      <c r="AB353" s="98">
        <f>IF(ISERROR((AA353/S353-1)*100),"NA",IF(((AA353/S353-1)*100)&gt;100,"NM",IF(((AA353/S353-1)*100)&lt;-50,"NM",(AA353/S353-1)*100)))</f>
        <v>25.434782608695649</v>
      </c>
      <c r="AC353" s="182">
        <f>+AC352+AC351+AC350+AC349</f>
        <v>618</v>
      </c>
      <c r="AD353" s="98">
        <f>IF(ISERROR((AC353/U353-1)*100),"NA",IF(((AC353/U353-1)*100)&gt;100,"NM",IF(((AC353/U353-1)*100)&lt;-50,"NM",(AC353/U353-1)*100)))</f>
        <v>63.060686015831124</v>
      </c>
      <c r="AE353" s="182">
        <f>+AE352+AE351+AE350+AE349</f>
        <v>654</v>
      </c>
      <c r="AF353" s="98">
        <f>IF(ISERROR((AE353/W353-1)*100),"NA",IF(((AE353/W353-1)*100)&gt;100,"NM",IF(((AE353/W353-1)*100)&lt;-50,"NM",(AE353/W353-1)*100)))</f>
        <v>12.758620689655164</v>
      </c>
      <c r="AG353" s="182">
        <f>+AG352+AG351+AG350+AG349</f>
        <v>683</v>
      </c>
      <c r="AH353" s="98">
        <f>IF(ISERROR((AG353/Y353-1)*100),"NA",IF(((AG353/Y353-1)*100)&gt;100,"NM",IF(((AG353/Y353-1)*100)&lt;-50,"NM",(AG353/Y353-1)*100)))</f>
        <v>-3.9381153305203975</v>
      </c>
      <c r="AI353" s="182">
        <f>+AI352+AI351+AI350+AI349</f>
        <v>612</v>
      </c>
      <c r="AJ353" s="98">
        <f>IF(ISERROR((AI353/AA353-1)*100),"NA",IF(((AI353/AA353-1)*100)&gt;100,"NM",IF(((AI353/AA353-1)*100)&lt;-50,"NM",(AI353/AA353-1)*100)))</f>
        <v>6.0658578856152445</v>
      </c>
      <c r="AK353" s="182">
        <f>+AK352+AK351+AK350+AK349</f>
        <v>623</v>
      </c>
      <c r="AL353" s="98">
        <f>IF(ISERROR((AK353/AC353-1)*100),"NA",IF(((AK353/AC353-1)*100)&gt;100,"NM",IF(((AK353/AC353-1)*100)&lt;-50,"NM",(AK353/AC353-1)*100)))</f>
        <v>0.8090614886731462</v>
      </c>
      <c r="AM353" s="182">
        <f>+AM352+AM351+AM350+AM349</f>
        <v>680</v>
      </c>
      <c r="AN353" s="98">
        <f>IF(ISERROR((AM353/AE353-1)*100),"NA",IF(((AM353/AE353-1)*100)&gt;100,"NM",IF(((AM353/AE353-1)*100)&lt;-50,"NM",(AM353/AE353-1)*100)))</f>
        <v>3.9755351681957096</v>
      </c>
      <c r="AO353" s="182">
        <f>+AO352+AO351+AO350+AO349</f>
        <v>735</v>
      </c>
      <c r="AP353" s="98">
        <f>IF(ISERROR((AO353/AG353-1)*100),"NA",IF(((AO353/AG353-1)*100)&gt;100,"NM",IF(((AO353/AG353-1)*100)&lt;-50,"NM",(AO353/AG353-1)*100)))</f>
        <v>7.6134699853587007</v>
      </c>
      <c r="AQ353" s="182">
        <f>+AQ352+AQ351+AQ350+AQ349</f>
        <v>737</v>
      </c>
      <c r="AR353" s="98">
        <f>IF(ISERROR((AQ353/AI353-1)*100),"NA",IF(((AQ353/AI353-1)*100)&gt;100,"NM",IF(((AQ353/AI353-1)*100)&lt;-50,"NM",(AQ353/AI353-1)*100)))</f>
        <v>20.424836601307184</v>
      </c>
      <c r="AS353" s="182">
        <f>+AS352+AS351+AS350+AS349</f>
        <v>789</v>
      </c>
      <c r="AT353" s="98">
        <f>IF(ISERROR((AS353/AK353-1)*100),"NA",IF(((AS353/AK353-1)*100)&gt;100,"NM",IF(((AS353/AK353-1)*100)&lt;-50,"NM",(AS353/AK353-1)*100)))</f>
        <v>26.645264847512038</v>
      </c>
      <c r="AU353" s="182">
        <f>+AU352+AU351+AU350+AU349</f>
        <v>1031</v>
      </c>
      <c r="AV353" s="98">
        <f>IF(ISERROR((AU353/AM353-1)*100),"NA",IF(((AU353/AM353-1)*100)&gt;100,"NM",IF(((AU353/AM353-1)*100)&lt;-50,"NM",(AU353/AM353-1)*100)))</f>
        <v>51.617647058823522</v>
      </c>
      <c r="AW353" s="182">
        <f>+AW352+AW351+AW350+AW349</f>
        <v>1072</v>
      </c>
      <c r="AX353" s="98">
        <f>IF(ISERROR((AW353/AO353-1)*100),"NA",IF(((AW353/AO353-1)*100)&gt;100,"NM",IF(((AW353/AO353-1)*100)&lt;-50,"NM",(AW353/AO353-1)*100)))</f>
        <v>45.850340136054427</v>
      </c>
      <c r="AY353" s="182">
        <f>+AY352+AY351+AY350+AY349</f>
        <v>1030</v>
      </c>
      <c r="AZ353" s="98">
        <f>IF(ISERROR((AY353/AQ353-1)*100),"NA",IF(((AY353/AQ353-1)*100)&gt;100,"NM",IF(((AY353/AQ353-1)*100)&lt;-50,"NM",(AY353/AQ353-1)*100)))</f>
        <v>39.755766621438269</v>
      </c>
      <c r="BA353" s="182">
        <f>+BA352+BA351+BA350+BA349</f>
        <v>1089</v>
      </c>
      <c r="BB353" s="98">
        <f>IF(ISERROR((BA353/AS353-1)*100),"NA",IF(((BA353/AS353-1)*100)&gt;100,"NM",IF(((BA353/AS353-1)*100)&lt;-50,"NM",(BA353/AS353-1)*100)))</f>
        <v>38.022813688212921</v>
      </c>
      <c r="BC353" s="182">
        <f>+BC352+BC351+BC350+BC349</f>
        <v>1153</v>
      </c>
      <c r="BD353" s="98">
        <f>IF(ISERROR((BC353/AU353-1)*100),"NA",IF(((BC353/AU353-1)*100)&gt;100,"NM",IF(((BC353/AU353-1)*100)&lt;-50,"NM",(BC353/AU353-1)*100)))</f>
        <v>11.833171677982545</v>
      </c>
      <c r="BE353" s="182">
        <f>+BE352+BE351+BE350+BE349</f>
        <v>1232</v>
      </c>
      <c r="BF353" s="98">
        <f>IF(ISERROR((BE353/AW353-1)*100),"NA",IF(((BE353/AW353-1)*100)&gt;100,"NM",IF(((BE353/AW353-1)*100)&lt;-50,"NM",(BE353/AW353-1)*100)))</f>
        <v>14.925373134328357</v>
      </c>
      <c r="BG353" s="182">
        <f>+BG352+BG351+BG350+BG349</f>
        <v>1214</v>
      </c>
      <c r="BH353" s="98">
        <f>IF(ISERROR((BG353/AY353-1)*100),"NA",IF(((BG353/AY353-1)*100)&gt;100,"NM",IF(((BG353/AY353-1)*100)&lt;-50,"NM",(BG353/AY353-1)*100)))</f>
        <v>17.864077669902922</v>
      </c>
      <c r="BI353" s="182">
        <f>+BI352+BI351+BI350+BI349</f>
        <v>1292</v>
      </c>
      <c r="BJ353" s="98">
        <f>IF(ISERROR((BI353/BA353-1)*100),"NA",IF(((BI353/BA353-1)*100)&gt;100,"NM",IF(((BI353/BA353-1)*100)&lt;-50,"NM",(BI353/BA353-1)*100)))</f>
        <v>18.640955004591376</v>
      </c>
      <c r="BK353" s="182">
        <f>+BK352+BK351+BK350+BK349</f>
        <v>1393</v>
      </c>
      <c r="BL353" s="98">
        <f>IF(ISERROR((BK353/BC353-1)*100),"NA",IF(((BK353/BC353-1)*100)&gt;100,"NM",IF(((BK353/BC353-1)*100)&lt;-50,"NM",(BK353/BC353-1)*100)))</f>
        <v>20.815264527320032</v>
      </c>
      <c r="BM353" s="182">
        <f>+BM352+BM351+BM350+BM349</f>
        <v>1465</v>
      </c>
      <c r="BN353" s="98">
        <f>IF(ISERROR((BM353/BE353-1)*100),"NA",IF(((BM353/BE353-1)*100)&gt;100,"NM",IF(((BM353/BE353-1)*100)&lt;-50,"NM",(BM353/BE353-1)*100)))</f>
        <v>18.912337662337663</v>
      </c>
      <c r="BO353" s="182">
        <f>+BO352+BO351+BO350+BO349</f>
        <v>1473</v>
      </c>
      <c r="BP353" s="98">
        <f>IF(ISERROR((BO353/BG353-1)*100),"NA",IF(((BO353/BG353-1)*100)&gt;100,"NM",IF(((BO353/BG353-1)*100)&lt;-50,"NM",(BO353/BG353-1)*100)))</f>
        <v>21.334431630971995</v>
      </c>
      <c r="BQ353" s="182">
        <f>+BQ352+BQ351+BQ350+BQ349</f>
        <v>1585</v>
      </c>
      <c r="BR353" s="98">
        <f>IF(ISERROR((BQ353/BI353-1)*100),"NA",IF(((BQ353/BI353-1)*100)&gt;100,"NM",IF(((BQ353/BI353-1)*100)&lt;-50,"NM",(BQ353/BI353-1)*100)))</f>
        <v>22.678018575851389</v>
      </c>
      <c r="BS353" s="182">
        <f>+BS352+BS351+BS350+BS349</f>
        <v>1505</v>
      </c>
      <c r="BT353" s="98">
        <f>IF(ISERROR((BS353/BK353-1)*100),"NA",IF(((BS353/BK353-1)*100)&gt;100,"NM",IF(((BS353/BK353-1)*100)&lt;-50,"NM",(BS353/BK353-1)*100)))</f>
        <v>8.040201005025116</v>
      </c>
      <c r="BU353" s="182">
        <f>+BU352+BU351+BU350+BU349</f>
        <v>1240</v>
      </c>
      <c r="BV353" s="98">
        <f>IF(ISERROR((BU353/BM353-1)*100),"NA",IF(((BU353/BM353-1)*100)&gt;100,"NM",IF(((BU353/BM353-1)*100)&lt;-50,"NM",(BU353/BM353-1)*100)))</f>
        <v>-15.358361774744022</v>
      </c>
      <c r="BW353" s="182">
        <f>+BW352+BW351+BW350+BW349</f>
        <v>1101</v>
      </c>
      <c r="BX353" s="98">
        <f>IF(ISERROR((BW353/BO353-1)*100),"NA",IF(((BW353/BO353-1)*100)&gt;100,"NM",IF(((BW353/BO353-1)*100)&lt;-50,"NM",(BW353/BO353-1)*100)))</f>
        <v>-25.254582484725052</v>
      </c>
      <c r="BY353" s="182">
        <f>+BY352+BY351+BY350+BY349</f>
        <v>1364</v>
      </c>
      <c r="BZ353" s="98">
        <f>IF(ISERROR((BY353/BQ353-1)*100),"NA",IF(((BY353/BQ353-1)*100)&gt;100,"NM",IF(((BY353/BQ353-1)*100)&lt;-50,"NM",(BY353/BQ353-1)*100)))</f>
        <v>-13.943217665615137</v>
      </c>
      <c r="CA353" s="182">
        <f>+CA352+CA351+CA350+CA349</f>
        <v>1489</v>
      </c>
      <c r="CB353" s="98">
        <f>IF(ISERROR((CA353/BS353-1)*100),"NA",IF(((CA353/BS353-1)*100)&gt;100,"NM",IF(((CA353/BS353-1)*100)&lt;-50,"NM",(CA353/BS353-1)*100)))</f>
        <v>-1.0631229235880446</v>
      </c>
      <c r="CC353" s="182">
        <f>+CC352+CC351+CC350+CC349</f>
        <v>1501</v>
      </c>
      <c r="CD353" s="98">
        <f>IF(ISERROR((CC353/BU353-1)*100),"NA",IF(((CC353/BU353-1)*100)&gt;100,"NM",IF(((CC353/BU353-1)*100)&lt;-50,"NM",(CC353/BU353-1)*100)))</f>
        <v>21.048387096774192</v>
      </c>
      <c r="CE353" s="182">
        <f>+CE352+CE351+CE350+CE349</f>
        <v>1545</v>
      </c>
      <c r="CF353" s="98">
        <f>IF(ISERROR((CE353/BW353-1)*100),"NA",IF(((CE353/BW353-1)*100)&gt;100,"NM",IF(((CE353/BW353-1)*100)&lt;-50,"NM",(CE353/BW353-1)*100)))</f>
        <v>40.32697547683923</v>
      </c>
      <c r="CG353" s="182">
        <f>+CG352+CG351+CG350+CG349</f>
        <v>1407</v>
      </c>
      <c r="CH353" s="98">
        <f>IF(ISERROR((CG353/BY353-1)*100),"NA",IF(((CG353/BY353-1)*100)&gt;100,"NM",IF(((CG353/BY353-1)*100)&lt;-50,"NM",(CG353/BY353-1)*100)))</f>
        <v>3.1524926686216981</v>
      </c>
      <c r="CI353" s="182">
        <f>+CI352+CI351+CI350+CI349</f>
        <v>1637</v>
      </c>
      <c r="CJ353" s="98">
        <f>IF(ISERROR((CI353/CA353-1)*100),"NA",IF(((CI353/CA353-1)*100)&gt;100,"NM",IF(((CI353/CA353-1)*100)&lt;-50,"NM",(CI353/CA353-1)*100)))</f>
        <v>9.9395567494963153</v>
      </c>
      <c r="CK353" s="182">
        <f>+CK352+CK351+CK350+CK349</f>
        <v>1795</v>
      </c>
      <c r="CL353" s="98">
        <f>IF(ISERROR((CK353/CC353-1)*100),"NA",IF(((CK353/CC353-1)*100)&gt;100,"NM",IF(((CK353/CC353-1)*100)&lt;-50,"NM",(CK353/CC353-1)*100)))</f>
        <v>19.58694203864091</v>
      </c>
      <c r="CM353" s="182">
        <f>+CM352+CM351+CM350+CM349</f>
        <v>1000</v>
      </c>
      <c r="CN353" s="98">
        <f>IF(ISERROR((CM353/CE353-1)*100),"NA",IF(((CM353/CE353-1)*100)&gt;100,"NM",IF(((CM353/CE353-1)*100)&lt;-50,"NM",(CM353/CE353-1)*100)))</f>
        <v>-35.275080906148872</v>
      </c>
      <c r="CO353" s="182">
        <f>+CO352+CO351+CO350+CO349</f>
        <v>1031</v>
      </c>
      <c r="CP353" s="98">
        <f>IF(ISERROR((CO353/CG353-1)*100),"NA",IF(((CO353/CG353-1)*100)&gt;100,"NM",IF(((CO353/CG353-1)*100)&lt;-50,"NM",(CO353/CG353-1)*100)))</f>
        <v>-26.723525230987921</v>
      </c>
      <c r="CQ353" s="512">
        <f>+CQ352+CQ351+CQ350+CQ349</f>
        <v>877</v>
      </c>
      <c r="CR353" s="98">
        <f>IF(ISERROR((CQ353/CI353-1)*100),"NA",IF(((CQ353/CI353-1)*100)&gt;100,"NM",IF(((CQ353/CI353-1)*100)&lt;-50,"NM",(CQ353/CI353-1)*100)))</f>
        <v>-46.426389737324371</v>
      </c>
      <c r="CS353" s="182">
        <f>+CS352+CS351+CS350+CS349</f>
        <v>806</v>
      </c>
      <c r="CT353" s="98" t="str">
        <f>IF(ISERROR((CS353/CK353-1)*100),"NA",IF(((CS353/CK353-1)*100)&gt;100,"NM",IF(((CS353/CK353-1)*100)&lt;-50,"NM",(CS353/CK353-1)*100)))</f>
        <v>NM</v>
      </c>
      <c r="CU353" s="182">
        <f>+CU352+CU351+CU350+CU349</f>
        <v>925</v>
      </c>
      <c r="CV353" s="98">
        <f>IF(ISERROR((CU353/CM353-1)*100),"NA",IF(((CU353/CM353-1)*100)&gt;100,"NM",IF(((CU353/CM353-1)*100)&lt;-50,"NM",(CU353/CM353-1)*100)))</f>
        <v>-7.4999999999999956</v>
      </c>
      <c r="CW353" s="182">
        <f>+CW352+CW351+CW350+CW349</f>
        <v>852</v>
      </c>
      <c r="CX353" s="98">
        <f>IF(ISERROR((CW353/CO353-1)*100),"NA",IF(((CW353/CO353-1)*100)&gt;100,"NM",IF(((CW353/CO353-1)*100)&lt;-50,"NM",(CW353/CO353-1)*100)))</f>
        <v>-17.361784675072744</v>
      </c>
      <c r="CY353" s="182">
        <f>+CY352+CY351+CY350+CY349</f>
        <v>775</v>
      </c>
      <c r="CZ353" s="98">
        <f>IF(ISERROR((CY353/CQ353-1)*100),"NA",IF(((CY353/CQ353-1)*100)&gt;100,"NM",IF(((CY353/CQ353-1)*100)&lt;-50,"NM",(CY353/CQ353-1)*100)))</f>
        <v>-11.630558722919037</v>
      </c>
      <c r="DA353" s="182">
        <f>+DA352+DA351+DA350+DA349</f>
        <v>807</v>
      </c>
      <c r="DB353" s="98">
        <f>IF(ISERROR((DA353/CS353-1)*100),"NA",IF(((DA353/CS353-1)*100)&gt;100,"NM",IF(((DA353/CS353-1)*100)&lt;-50,"NM",(DA353/CS353-1)*100)))</f>
        <v>0.12406947890819531</v>
      </c>
      <c r="DC353" s="182">
        <f>+DC352+DC351+DC350+DC349</f>
        <v>813</v>
      </c>
      <c r="DD353" s="98">
        <f>IF(ISERROR((DC353/CU353-1)*100),"NA",IF(((DC353/CU353-1)*100)&gt;100,"NM",IF(((DC353/CU353-1)*100)&lt;-50,"NM",(DC353/CU353-1)*100)))</f>
        <v>-12.108108108108107</v>
      </c>
      <c r="DE353" s="182">
        <f>+DE352+DE351+DE350+DE349</f>
        <v>808</v>
      </c>
      <c r="DF353" s="98">
        <f>IF(ISERROR((DE353/CW353-1)*100),"NA",IF(((DE353/CW353-1)*100)&gt;100,"NM",IF(((DE353/CW353-1)*100)&lt;-50,"NM",(DE353/CW353-1)*100)))</f>
        <v>-5.1643192488262883</v>
      </c>
      <c r="DG353" s="182">
        <f>+DG352+DG351+DG350+DG349</f>
        <v>831</v>
      </c>
      <c r="DH353" s="98">
        <f>IF(ISERROR((DG353/CY353-1)*100),"NA",IF(((DG353/CY353-1)*100)&gt;100,"NM",IF(((DG353/CY353-1)*100)&lt;-50,"NM",(DG353/CY353-1)*100)))</f>
        <v>7.2258064516129039</v>
      </c>
      <c r="DI353" s="182">
        <f>+DI352+DI351+DI350+DI349</f>
        <v>826</v>
      </c>
      <c r="DJ353" s="98">
        <f>IF(ISERROR((DI353/DA353-1)*100),"NA",IF(((DI353/DA353-1)*100)&gt;100,"NM",IF(((DI353/DA353-1)*100)&lt;-50,"NM",(DI353/DA353-1)*100)))</f>
        <v>2.3543990086740907</v>
      </c>
      <c r="DK353" s="182">
        <f>+DK352+DK351+DK350+DK349</f>
        <v>829</v>
      </c>
      <c r="DL353" s="98">
        <f>IF(ISERROR((DK353/DC353-1)*100),"NA",IF(((DK353/DC353-1)*100)&gt;100,"NM",IF(((DK353/DC353-1)*100)&lt;-50,"NM",(DK353/DC353-1)*100)))</f>
        <v>1.9680196801967975</v>
      </c>
      <c r="DM353" s="182">
        <f>+DM352+DM351+DM350+DM349</f>
        <v>824</v>
      </c>
      <c r="DN353" s="98">
        <f>IF(ISERROR((DM353/DE353-1)*100),"NA",IF(((DM353/DE353-1)*100)&gt;100,"NM",IF(((DM353/DE353-1)*100)&lt;-50,"NM",(DM353/DE353-1)*100)))</f>
        <v>1.980198019801982</v>
      </c>
      <c r="DO353" s="182">
        <f>+DO352+DO351+DO350+DO349</f>
        <v>839</v>
      </c>
      <c r="DP353" s="98">
        <f>IF(ISERROR((DO353/DG353-1)*100),"NA",IF(((DO353/DG353-1)*100)&gt;100,"NM",IF(((DO353/DG353-1)*100)&lt;-50,"NM",(DO353/DG353-1)*100)))</f>
        <v>0.96269554753309894</v>
      </c>
      <c r="DQ353" s="182">
        <f>+DQ352+DQ351+DQ350+DQ349</f>
        <v>771</v>
      </c>
      <c r="DR353" s="98">
        <f>IF(ISERROR((DQ353/DI353-1)*100),"NA",IF(((DQ353/DI353-1)*100)&gt;100,"NM",IF(((DQ353/DI353-1)*100)&lt;-50,"NM",(DQ353/DI353-1)*100)))</f>
        <v>-6.6585956416464924</v>
      </c>
      <c r="DS353" s="182">
        <f>+DS352+DS351+DS350+DS349</f>
        <v>703</v>
      </c>
      <c r="DT353" s="98">
        <f>IF(ISERROR((DS353/DK353-1)*100),"NA",IF(((DS353/DK353-1)*100)&gt;100,"NM",IF(((DS353/DK353-1)*100)&lt;-50,"NM",(DS353/DK353-1)*100)))</f>
        <v>-15.199034981905912</v>
      </c>
      <c r="DU353" s="182">
        <f>+DU352+DU351+DU350+DU349</f>
        <v>742</v>
      </c>
      <c r="DV353" s="98">
        <f>IF(ISERROR((DU353/DM353-1)*100),"NA",IF(((DU353/DM353-1)*100)&gt;100,"NM",IF(((DU353/DM353-1)*100)&lt;-50,"NM",(DU353/DM353-1)*100)))</f>
        <v>-9.9514563106796068</v>
      </c>
      <c r="DW353" s="182">
        <f>+DW352+DW351+DW350+DW349</f>
        <v>700</v>
      </c>
      <c r="DX353" s="98">
        <f>IF(ISERROR((DW353/DO353-1)*100),"NA",IF(((DW353/DO353-1)*100)&gt;100,"NM",IF(((DW353/DO353-1)*100)&lt;-50,"NM",(DW353/DO353-1)*100)))</f>
        <v>-16.567342073897496</v>
      </c>
      <c r="DY353" s="182">
        <f>+DY352+DY351+DY350+DY349</f>
        <v>702</v>
      </c>
      <c r="DZ353" s="98">
        <f>IF(ISERROR((DY353/DQ353-1)*100),"NA",IF(((DY353/DQ353-1)*100)&gt;100,"NM",IF(((DY353/DQ353-1)*100)&lt;-50,"NM",(DY353/DQ353-1)*100)))</f>
        <v>-8.9494163424124533</v>
      </c>
      <c r="EA353" s="182">
        <f>+EA352+EA351+EA350+EA349</f>
        <v>695</v>
      </c>
      <c r="EB353" s="98">
        <f>IF(ISERROR((EA353/DS353-1)*100),"NA",IF(((EA353/DS353-1)*100)&gt;100,"NM",IF(((EA353/DS353-1)*100)&lt;-50,"NM",(EA353/DS353-1)*100)))</f>
        <v>-1.1379800853485111</v>
      </c>
      <c r="EC353" s="182">
        <f>+EC352+EC351+EC350+EC349</f>
        <v>716</v>
      </c>
      <c r="ED353" s="98">
        <f>IF(ISERROR((EC353/DU353-1)*100),"NA",IF(((EC353/DU353-1)*100)&gt;100,"NM",IF(((EC353/DU353-1)*100)&lt;-50,"NM",(EC353/DU353-1)*100)))</f>
        <v>-3.5040431266846306</v>
      </c>
      <c r="EE353" s="182">
        <f>+EE352+EE351+EE350+EE349</f>
        <v>702</v>
      </c>
      <c r="EF353" s="860">
        <f>IF(ISERROR((EE353/DW353-1)*100),"NA",IF(((EE353/DW353-1)*100)&gt;100,"NM",IF(((EE353/DW353-1)*100)&lt;-50,"NM",(EE353/DW353-1)*100)))</f>
        <v>0.28571428571428914</v>
      </c>
      <c r="EG353" s="182">
        <f>+EG352+EG351+EG350+EG349</f>
        <v>696</v>
      </c>
      <c r="EH353" s="860">
        <f>IF(ISERROR((EG353/DY353-1)*100),"NA",IF(((EG353/DY353-1)*100)&gt;100,"NM",IF(((EG353/DY353-1)*100)&lt;-50,"NM",(EG353/DY353-1)*100)))</f>
        <v>-0.85470085470085166</v>
      </c>
      <c r="EI353" s="182">
        <f>+EI352+EI351+EI350+EI349</f>
        <v>688</v>
      </c>
      <c r="EJ353" s="860">
        <f t="shared" si="1755"/>
        <v>-1.0071942446043147</v>
      </c>
      <c r="EK353" s="182">
        <f>+EK352+EK351+EK350+EK349</f>
        <v>703</v>
      </c>
      <c r="EL353" s="860">
        <f t="shared" si="1756"/>
        <v>-1.8156424581005637</v>
      </c>
      <c r="EM353" s="182">
        <f>+EM352+EM351+EM350+EM349</f>
        <v>711</v>
      </c>
      <c r="EN353" s="860">
        <f t="shared" si="1757"/>
        <v>1.2820512820512775</v>
      </c>
      <c r="EO353" s="182">
        <f>+EO352+EO351+EO350+EO349</f>
        <v>731</v>
      </c>
      <c r="EP353" s="98">
        <f t="shared" si="1758"/>
        <v>5.0287356321839116</v>
      </c>
      <c r="EQ353" s="795">
        <f t="shared" ref="EQ353" si="1767">+EQ352+EQ351+EQ350+EQ349</f>
        <v>744.59999999999991</v>
      </c>
      <c r="ER353" s="98">
        <f t="shared" si="1759"/>
        <v>8.2267441860464974</v>
      </c>
      <c r="ES353" s="795">
        <f t="shared" ref="ES353" si="1768">+ES352+ES351+ES350+ES349</f>
        <v>758.45669999999996</v>
      </c>
      <c r="ET353" s="98">
        <f t="shared" si="1760"/>
        <v>7.8885775248933143</v>
      </c>
      <c r="EU353" s="795">
        <f t="shared" ref="EU353" si="1769">+EU352+EU351+EU350+EU349</f>
        <v>772.57500449999998</v>
      </c>
      <c r="EV353" s="98">
        <f t="shared" si="1761"/>
        <v>8.660338185654016</v>
      </c>
      <c r="EW353" s="795">
        <f t="shared" ref="EW353" si="1770">+EW352+EW351+EW350+EW349</f>
        <v>786.95991264749989</v>
      </c>
      <c r="EX353" s="98">
        <f t="shared" si="1762"/>
        <v>7.6552548081395111</v>
      </c>
      <c r="EY353" s="183"/>
      <c r="EZ353" s="594"/>
      <c r="FA353" s="405"/>
      <c r="FB353" s="183">
        <f>+FB352+FB351+FB350+FB349</f>
        <v>1061</v>
      </c>
      <c r="FC353" s="98"/>
      <c r="FD353" s="182">
        <f>+FD352+FD351+FD350+FD349</f>
        <v>789</v>
      </c>
      <c r="FE353" s="98">
        <f>IF(ISERROR((FD353/FB353-1)*100),"NA",IF(((FD353/FB353-1)*100)&gt;100,"NM",IF(((FD353/FB353-1)*100)&lt;-50,"NM",(FD353/FB353-1)*100)))</f>
        <v>-25.636192271442038</v>
      </c>
      <c r="FF353" s="183">
        <f>+FF352+FF351+FF350+FF349+1</f>
        <v>975</v>
      </c>
      <c r="FG353" s="98">
        <f>IF(ISERROR((FF353/FD353-1)*100),"NA",IF(((FF353/FD353-1)*100)&gt;100,"NM",IF(((FF353/FD353-1)*100)&lt;-50,"NM",(FF353/FD353-1)*100)))</f>
        <v>23.574144486692017</v>
      </c>
      <c r="FH353" s="183">
        <f>+FH352+FH351+FH350+FH349</f>
        <v>1167</v>
      </c>
      <c r="FI353" s="98">
        <f>IF(ISERROR((FH353/FF353-1)*100),"NA",IF(((FH353/FF353-1)*100)&gt;100,"NM",IF(((FH353/FF353-1)*100)&lt;-50,"NM",(FH353/FF353-1)*100)))</f>
        <v>19.692307692307697</v>
      </c>
      <c r="FJ353" s="183">
        <f>+FJ352+FJ351+FJ350+FJ349</f>
        <v>2130</v>
      </c>
      <c r="FK353" s="98">
        <f>IF(ISERROR((FJ353/FH353-1)*100),"NA",IF(((FJ353/FH353-1)*100)&gt;100,"NM",IF(((FJ353/FH353-1)*100)&lt;-50,"NM",(FJ353/FH353-1)*100)))</f>
        <v>82.519280205655534</v>
      </c>
      <c r="FL353" s="183">
        <f>+FL352+FL351+FL350+FL349</f>
        <v>2532</v>
      </c>
      <c r="FM353" s="98">
        <f>IF(ISERROR((FL353/FJ353-1)*100),"NA",IF(((FL353/FJ353-1)*100)&gt;100,"NM",IF(((FL353/FJ353-1)*100)&lt;-50,"NM",(FL353/FJ353-1)*100)))</f>
        <v>18.873239436619716</v>
      </c>
      <c r="FN353" s="183">
        <f>+FN352+FN351+FN350+FN349</f>
        <v>2650</v>
      </c>
      <c r="FO353" s="98">
        <f>IF(ISERROR((FN353/FL353-1)*100),"NA",IF(((FN353/FL353-1)*100)&gt;100,"NM",IF(((FN353/FL353-1)*100)&lt;-50,"NM",(FN353/FL353-1)*100)))</f>
        <v>4.6603475513428139</v>
      </c>
      <c r="FP353" s="183">
        <f>+FP352+FP351+FP350+FP349</f>
        <v>3629</v>
      </c>
      <c r="FQ353" s="98">
        <f>IF(ISERROR((FP353/FN353-1)*100),"NA",IF(((FP353/FN353-1)*100)&gt;100,"NM",IF(((FP353/FN353-1)*100)&lt;-50,"NM",(FP353/FN353-1)*100)))</f>
        <v>36.943396226415089</v>
      </c>
      <c r="FR353" s="184">
        <f>+FR352+FR351+FR350+FR349</f>
        <v>4504</v>
      </c>
      <c r="FS353" s="120">
        <f>IF(ISERROR((FR353/FP353-1)*100),"NA",IF(((FR353/FP353-1)*100)&gt;100,"NM",IF(((FR353/FP353-1)*100)&lt;-50,"NM",(FR353/FP353-1)*100)))</f>
        <v>24.111325434003849</v>
      </c>
      <c r="FT353" s="184">
        <f>+FT352+FT351+FT350+FT349</f>
        <v>5364</v>
      </c>
      <c r="FU353" s="120">
        <f>IF(ISERROR((FT353/FR353-1)*100),"NA",IF(((FT353/FR353-1)*100)&gt;100,"NM",IF(((FT353/FR353-1)*100)&lt;-50,"NM",(FT353/FR353-1)*100)))</f>
        <v>19.09413854351687</v>
      </c>
      <c r="FV353" s="184">
        <f>+FV352+FV351+FV350+FV349</f>
        <v>5763</v>
      </c>
      <c r="FW353" s="98">
        <f>IF(ISERROR((FV353/FT353-1)*100),"NA",IF(((FV353/FT353-1)*100)&gt;100,"NM",IF(((FV353/FT353-1)*100)&lt;-50,"NM",(FV353/FT353-1)*100)))</f>
        <v>7.4384787472035807</v>
      </c>
      <c r="FX353" s="498">
        <f>+FX352+FX351+FX350+FX349</f>
        <v>5455</v>
      </c>
      <c r="FY353" s="98">
        <f>IF(ISERROR((FX353/FV353-1)*100),"NA",IF(((FX353/FV353-1)*100)&gt;100,"NM",IF(((FX353/FV353-1)*100)&lt;-50,"NM",(FX353/FV353-1)*100)))</f>
        <v>-5.3444386604199252</v>
      </c>
      <c r="FZ353" s="184">
        <f>+FZ352+FZ351+FZ350+FZ349</f>
        <v>6384</v>
      </c>
      <c r="GA353" s="98">
        <f>IF(ISERROR((FZ353/FX353-1)*100),"NA",IF(((FZ353/FX353-1)*100)&gt;100,"NM",IF(((FZ353/FX353-1)*100)&lt;-50,"NM",(FZ353/FX353-1)*100)))</f>
        <v>17.030247479376715</v>
      </c>
      <c r="GB353" s="512">
        <f>+GB352+GB351+GB350+GB349</f>
        <v>3477</v>
      </c>
      <c r="GC353" s="98">
        <f>IF(ISERROR((GB353/FZ353-1)*100),"NA",IF(((GB353/FZ353-1)*100)&gt;100,"NM",IF(((GB353/FZ353-1)*100)&lt;-50,"NM",(GB353/FZ353-1)*100)))</f>
        <v>-45.535714285714292</v>
      </c>
      <c r="GD353" s="184">
        <f>+GD352+GD351+GD350+GD349</f>
        <v>3359</v>
      </c>
      <c r="GE353" s="98">
        <f>IF(ISERROR((GD353/GB353-1)*100),"NA",IF(((GD353/GB353-1)*100)&gt;100,"NM",IF(((GD353/GB353-1)*100)&lt;-50,"NM",(GD353/GB353-1)*100)))</f>
        <v>-3.3937302272073588</v>
      </c>
      <c r="GF353" s="184">
        <f>+GF352+GF351+GF350+GF349</f>
        <v>3278</v>
      </c>
      <c r="GG353" s="98">
        <f>IF(ISERROR((GF353/GD353-1)*100),"NA",IF(((GF353/GD353-1)*100)&gt;100,"NM",IF(((GF353/GD353-1)*100)&lt;-50,"NM",(GF353/GD353-1)*100)))</f>
        <v>-2.4114319738017254</v>
      </c>
      <c r="GH353" s="184">
        <f>+GH352+GH351+GH350+GH349</f>
        <v>3263</v>
      </c>
      <c r="GI353" s="98">
        <f>IF(ISERROR((GH353/GF353-1)*100),"NA",IF(((GH353/GF353-1)*100)&gt;100,"NM",IF(((GH353/GF353-1)*100)&lt;-50,"NM",(GH353/GF353-1)*100)))</f>
        <v>-0.45759609517999067</v>
      </c>
      <c r="GJ353" s="184">
        <f>+GJ352+GJ351+GJ350+GJ349</f>
        <v>2847</v>
      </c>
      <c r="GK353" s="98">
        <f>IF(ISERROR((GJ353/GH353-1)*100),"NA",IF(((GJ353/GH353-1)*100)&gt;100,"NM",IF(((GJ353/GH353-1)*100)&lt;-50,"NM",(GJ353/GH353-1)*100)))</f>
        <v>-12.749003984063744</v>
      </c>
      <c r="GL353" s="184">
        <f>+GL352+GL351+GL350+GL349</f>
        <v>2809</v>
      </c>
      <c r="GM353" s="98">
        <f>IF(ISERROR((GL353/GJ353-1)*100),"NA",IF(((GL353/GJ353-1)*100)&gt;100,"NM",IF(((GL353/GJ353-1)*100)&lt;-50,"NM",(GL353/GJ353-1)*100)))</f>
        <v>-1.3347383210396857</v>
      </c>
      <c r="GN353" s="184">
        <f>+GN352+GN351+GN350+GN349</f>
        <v>2833</v>
      </c>
      <c r="GO353" s="98">
        <f>IF(ISERROR((GN353/GL353-1)*100),"NA",IF(((GN353/GL353-1)*100)&gt;100,"NM",IF(((GN353/GL353-1)*100)&lt;-50,"NM",(GN353/GL353-1)*100)))</f>
        <v>0.85439658241366345</v>
      </c>
      <c r="GP353" s="184">
        <f>+GP352+GP351+GP350+GP349</f>
        <v>3062.5916171474996</v>
      </c>
      <c r="GQ353" s="98">
        <f>IF(ISERROR((GP353/GN353-1)*100),"NA",IF(((GP353/GN353-1)*100)&gt;100,"NM",IF(((GP353/GN353-1)*100)&lt;-50,"NM",(GP353/GN353-1)*100)))</f>
        <v>8.1041869801447</v>
      </c>
      <c r="GR353" s="183">
        <f>+GR352+GR351+GR350+GR349</f>
        <v>3338.2248626907749</v>
      </c>
      <c r="GS353" s="98">
        <f>IF(ISERROR((GR353/GP353-1)*100),"NA",IF(((GR353/GP353-1)*100)&gt;100,"NM",IF(((GR353/GP353-1)*100)&lt;-50,"NM",(GR353/GP353-1)*100)))</f>
        <v>9.0000000000000071</v>
      </c>
      <c r="GT353" s="183">
        <f>+GT352+GT351+GT350+GT349</f>
        <v>3638.6651003329453</v>
      </c>
      <c r="GU353" s="98">
        <f>IF(ISERROR((GT353/GR353-1)*100),"NA",IF(((GT353/GR353-1)*100)&gt;100,"NM",IF(((GT353/GR353-1)*100)&lt;-50,"NM",(GT353/GR353-1)*100)))</f>
        <v>9.0000000000000071</v>
      </c>
      <c r="GV353" s="183">
        <f>+GV352+GV351+GV350+GV349</f>
        <v>3966.1449593629104</v>
      </c>
      <c r="GW353" s="98">
        <f>IF(ISERROR((GV353/GT353-1)*100),"NA",IF(((GV353/GT353-1)*100)&gt;100,"NM",IF(((GV353/GT353-1)*100)&lt;-50,"NM",(GV353/GT353-1)*100)))</f>
        <v>9.0000000000000071</v>
      </c>
      <c r="GX353" s="183">
        <f>+GX352+GX351+GX350+GX349</f>
        <v>4323.0980057055731</v>
      </c>
      <c r="GY353" s="98">
        <f>IF(ISERROR((GX353/GV353-1)*100),"NA",IF(((GX353/GV353-1)*100)&gt;100,"NM",IF(((GX353/GV353-1)*100)&lt;-50,"NM",(GX353/GV353-1)*100)))</f>
        <v>9.0000000000000071</v>
      </c>
      <c r="GZ353" s="98">
        <f>IF(ISERROR(((GX353/GN353)^0.2-1)*100),"NA",IF((((GX353/GN353)^0.2-1)*100)&gt;100,"NM",IF((((GX353/GN353)^0.2-1)*100)&lt;-50,"NM",((GX353/GN353)^0.2-1)*100)))</f>
        <v>8.8202454980670364</v>
      </c>
      <c r="HA353" s="98"/>
      <c r="HB353" s="10"/>
      <c r="HC353"/>
      <c r="HD353"/>
      <c r="HE353"/>
      <c r="HF353"/>
      <c r="HG353"/>
      <c r="HH353"/>
      <c r="HI353" s="10"/>
    </row>
    <row r="354" spans="1:217" s="2" customFormat="1" ht="12.75" customHeight="1" x14ac:dyDescent="0.2">
      <c r="B354" s="179"/>
      <c r="C354" s="94"/>
      <c r="D354" s="113"/>
      <c r="E354" s="94"/>
      <c r="F354" s="113"/>
      <c r="G354" s="94"/>
      <c r="H354" s="113"/>
      <c r="I354" s="94"/>
      <c r="J354" s="113"/>
      <c r="K354" s="94"/>
      <c r="L354" s="113"/>
      <c r="M354" s="94"/>
      <c r="N354" s="113"/>
      <c r="O354" s="94"/>
      <c r="P354" s="113"/>
      <c r="Q354" s="94"/>
      <c r="R354" s="113"/>
      <c r="S354" s="94"/>
      <c r="T354" s="113"/>
      <c r="U354" s="94"/>
      <c r="V354" s="113"/>
      <c r="W354" s="94"/>
      <c r="X354" s="113"/>
      <c r="Y354" s="94"/>
      <c r="Z354" s="113"/>
      <c r="AA354" s="94"/>
      <c r="AB354" s="113"/>
      <c r="AC354" s="94"/>
      <c r="AD354" s="113"/>
      <c r="AE354" s="94"/>
      <c r="AF354" s="113"/>
      <c r="AG354" s="94"/>
      <c r="AH354" s="113"/>
      <c r="AI354" s="94"/>
      <c r="AJ354" s="113"/>
      <c r="AK354" s="94"/>
      <c r="AL354" s="113"/>
      <c r="AM354" s="94"/>
      <c r="AN354" s="113"/>
      <c r="AO354" s="94"/>
      <c r="AP354" s="113"/>
      <c r="AQ354" s="94"/>
      <c r="AR354" s="113"/>
      <c r="AS354" s="94"/>
      <c r="AT354" s="113"/>
      <c r="AU354" s="94"/>
      <c r="AV354" s="113"/>
      <c r="AW354" s="94"/>
      <c r="AX354" s="113"/>
      <c r="AY354" s="94"/>
      <c r="AZ354" s="113"/>
      <c r="BA354" s="94"/>
      <c r="BB354" s="113"/>
      <c r="BC354" s="94"/>
      <c r="BD354" s="113"/>
      <c r="BE354" s="94"/>
      <c r="BF354" s="113"/>
      <c r="BG354" s="94"/>
      <c r="BH354" s="113"/>
      <c r="BI354" s="94"/>
      <c r="BJ354" s="113"/>
      <c r="BK354" s="94"/>
      <c r="BL354" s="113"/>
      <c r="BM354" s="94"/>
      <c r="BN354" s="113"/>
      <c r="BO354" s="94"/>
      <c r="BP354" s="113"/>
      <c r="BQ354" s="94"/>
      <c r="BR354" s="113"/>
      <c r="BS354" s="94"/>
      <c r="BT354" s="113"/>
      <c r="BU354" s="94"/>
      <c r="BV354" s="113"/>
      <c r="BW354" s="94"/>
      <c r="BX354" s="113"/>
      <c r="BY354" s="94"/>
      <c r="BZ354" s="113"/>
      <c r="CA354" s="94"/>
      <c r="CB354" s="113"/>
      <c r="CC354" s="94"/>
      <c r="CD354" s="113"/>
      <c r="CE354" s="94"/>
      <c r="CF354" s="113"/>
      <c r="CG354" s="94"/>
      <c r="CH354" s="113"/>
      <c r="CI354" s="94"/>
      <c r="CJ354" s="113"/>
      <c r="CK354" s="94"/>
      <c r="CL354" s="113"/>
      <c r="CM354" s="94"/>
      <c r="CN354" s="113"/>
      <c r="CO354" s="94"/>
      <c r="CP354" s="113"/>
      <c r="CQ354" s="533"/>
      <c r="CR354" s="113"/>
      <c r="CS354" s="94"/>
      <c r="CT354" s="113"/>
      <c r="CU354" s="94"/>
      <c r="CV354" s="113"/>
      <c r="CW354" s="94"/>
      <c r="CX354" s="113"/>
      <c r="CY354" s="94"/>
      <c r="CZ354" s="113"/>
      <c r="DA354" s="94"/>
      <c r="DB354" s="113"/>
      <c r="DC354" s="94"/>
      <c r="DD354" s="113"/>
      <c r="DE354" s="94"/>
      <c r="DF354" s="113"/>
      <c r="DG354" s="94"/>
      <c r="DH354" s="113"/>
      <c r="DI354" s="94"/>
      <c r="DJ354" s="113"/>
      <c r="DK354" s="94"/>
      <c r="DL354" s="113"/>
      <c r="DM354" s="94"/>
      <c r="DN354" s="113"/>
      <c r="DO354" s="94"/>
      <c r="DP354" s="113"/>
      <c r="DQ354" s="94"/>
      <c r="DR354" s="113"/>
      <c r="DS354" s="94"/>
      <c r="DT354" s="113"/>
      <c r="DU354" s="94"/>
      <c r="DV354" s="113"/>
      <c r="DW354" s="94"/>
      <c r="DX354" s="113"/>
      <c r="DY354" s="94"/>
      <c r="DZ354" s="113"/>
      <c r="EA354" s="94"/>
      <c r="EB354" s="113"/>
      <c r="EC354" s="94"/>
      <c r="ED354" s="113"/>
      <c r="EE354" s="94"/>
      <c r="EF354" s="859"/>
      <c r="EG354" s="94"/>
      <c r="EH354" s="859"/>
      <c r="EI354" s="94"/>
      <c r="EJ354" s="859"/>
      <c r="EK354" s="94"/>
      <c r="EL354" s="859"/>
      <c r="EM354" s="94"/>
      <c r="EN354" s="859"/>
      <c r="EO354" s="94"/>
      <c r="EP354" s="113"/>
      <c r="EQ354" s="789"/>
      <c r="ER354" s="113"/>
      <c r="ES354" s="789"/>
      <c r="ET354" s="113"/>
      <c r="EU354" s="789"/>
      <c r="EV354" s="113"/>
      <c r="EW354" s="789"/>
      <c r="EX354" s="113"/>
      <c r="EY354" s="95"/>
      <c r="EZ354" s="594"/>
      <c r="FA354" s="405"/>
      <c r="FB354" s="95"/>
      <c r="FC354" s="113"/>
      <c r="FD354" s="94"/>
      <c r="FE354" s="113"/>
      <c r="FF354" s="95"/>
      <c r="FG354" s="113"/>
      <c r="FH354" s="95"/>
      <c r="FI354" s="113"/>
      <c r="FJ354" s="95"/>
      <c r="FK354" s="113"/>
      <c r="FL354" s="95"/>
      <c r="FM354" s="113"/>
      <c r="FN354" s="95"/>
      <c r="FO354" s="113"/>
      <c r="FP354" s="95"/>
      <c r="FQ354" s="113"/>
      <c r="FR354" s="96"/>
      <c r="FS354" s="116"/>
      <c r="FT354" s="96"/>
      <c r="FU354" s="116"/>
      <c r="FV354" s="96"/>
      <c r="FW354" s="113"/>
      <c r="FX354" s="480"/>
      <c r="FY354" s="113"/>
      <c r="FZ354" s="96"/>
      <c r="GA354" s="113"/>
      <c r="GB354" s="533"/>
      <c r="GC354" s="113"/>
      <c r="GD354" s="96"/>
      <c r="GE354" s="113"/>
      <c r="GF354" s="96"/>
      <c r="GG354" s="98"/>
      <c r="GH354" s="96"/>
      <c r="GI354" s="98"/>
      <c r="GJ354" s="96"/>
      <c r="GK354" s="98"/>
      <c r="GL354" s="96"/>
      <c r="GM354" s="98"/>
      <c r="GN354" s="96"/>
      <c r="GO354" s="98"/>
      <c r="GP354" s="96"/>
      <c r="GQ354" s="98"/>
      <c r="GR354" s="95"/>
      <c r="GS354" s="98"/>
      <c r="GT354" s="95"/>
      <c r="GU354" s="98"/>
      <c r="GV354" s="95"/>
      <c r="GW354" s="98"/>
      <c r="GX354" s="95"/>
      <c r="GY354" s="98"/>
      <c r="GZ354" s="113"/>
      <c r="HA354" s="113"/>
      <c r="HB354" s="10"/>
      <c r="HC354"/>
      <c r="HD354"/>
      <c r="HE354"/>
      <c r="HF354"/>
      <c r="HG354"/>
      <c r="HH354"/>
      <c r="HI354" s="10"/>
    </row>
    <row r="355" spans="1:217" s="2" customFormat="1" ht="12.75" customHeight="1" x14ac:dyDescent="0.2">
      <c r="B355" s="131" t="s">
        <v>553</v>
      </c>
      <c r="C355" s="94"/>
      <c r="D355" s="113"/>
      <c r="E355" s="94"/>
      <c r="F355" s="113"/>
      <c r="G355" s="94"/>
      <c r="H355" s="113"/>
      <c r="I355" s="94"/>
      <c r="J355" s="113"/>
      <c r="K355" s="94"/>
      <c r="L355" s="113"/>
      <c r="M355" s="94"/>
      <c r="N355" s="113"/>
      <c r="O355" s="94"/>
      <c r="P355" s="113"/>
      <c r="Q355" s="94"/>
      <c r="R355" s="113"/>
      <c r="S355" s="94"/>
      <c r="T355" s="113"/>
      <c r="U355" s="94"/>
      <c r="V355" s="113"/>
      <c r="W355" s="94"/>
      <c r="X355" s="113"/>
      <c r="Y355" s="94"/>
      <c r="Z355" s="113"/>
      <c r="AA355" s="94"/>
      <c r="AB355" s="113"/>
      <c r="AC355" s="94"/>
      <c r="AD355" s="113"/>
      <c r="AE355" s="94"/>
      <c r="AF355" s="113"/>
      <c r="AG355" s="94"/>
      <c r="AH355" s="113"/>
      <c r="AI355" s="94"/>
      <c r="AJ355" s="113"/>
      <c r="AK355" s="94"/>
      <c r="AL355" s="113"/>
      <c r="AM355" s="94"/>
      <c r="AN355" s="113"/>
      <c r="AO355" s="94"/>
      <c r="AP355" s="113"/>
      <c r="AQ355" s="94"/>
      <c r="AR355" s="113"/>
      <c r="AS355" s="94"/>
      <c r="AT355" s="113"/>
      <c r="AU355" s="94"/>
      <c r="AV355" s="113"/>
      <c r="AW355" s="94"/>
      <c r="AX355" s="113"/>
      <c r="AY355" s="94"/>
      <c r="AZ355" s="113"/>
      <c r="BA355" s="94"/>
      <c r="BB355" s="113"/>
      <c r="BC355" s="94"/>
      <c r="BD355" s="113"/>
      <c r="BE355" s="94"/>
      <c r="BF355" s="113"/>
      <c r="BG355" s="94"/>
      <c r="BH355" s="113"/>
      <c r="BI355" s="94"/>
      <c r="BJ355" s="113"/>
      <c r="BK355" s="94"/>
      <c r="BL355" s="113"/>
      <c r="BM355" s="94"/>
      <c r="BN355" s="113"/>
      <c r="BO355" s="94"/>
      <c r="BP355" s="113"/>
      <c r="BQ355" s="94"/>
      <c r="BR355" s="113"/>
      <c r="BS355" s="94"/>
      <c r="BT355" s="113"/>
      <c r="BU355" s="94"/>
      <c r="BV355" s="113"/>
      <c r="BW355" s="94"/>
      <c r="BX355" s="113"/>
      <c r="BY355" s="94"/>
      <c r="BZ355" s="113"/>
      <c r="CA355" s="94"/>
      <c r="CB355" s="113"/>
      <c r="CC355" s="94"/>
      <c r="CD355" s="113"/>
      <c r="CE355" s="94"/>
      <c r="CF355" s="113"/>
      <c r="CG355" s="94"/>
      <c r="CH355" s="113"/>
      <c r="CI355" s="94"/>
      <c r="CJ355" s="113"/>
      <c r="CK355" s="94"/>
      <c r="CL355" s="113"/>
      <c r="CM355" s="94"/>
      <c r="CN355" s="113"/>
      <c r="CO355" s="94"/>
      <c r="CP355" s="113"/>
      <c r="CQ355" s="533"/>
      <c r="CR355" s="113"/>
      <c r="CS355" s="94"/>
      <c r="CT355" s="113"/>
      <c r="CU355" s="94"/>
      <c r="CV355" s="113"/>
      <c r="CW355" s="94"/>
      <c r="CX355" s="113"/>
      <c r="CY355" s="94"/>
      <c r="CZ355" s="113"/>
      <c r="DA355" s="94"/>
      <c r="DB355" s="113"/>
      <c r="DC355" s="94"/>
      <c r="DD355" s="113"/>
      <c r="DE355" s="94"/>
      <c r="DF355" s="113"/>
      <c r="DG355" s="94"/>
      <c r="DH355" s="113"/>
      <c r="DI355" s="94"/>
      <c r="DJ355" s="113"/>
      <c r="DK355" s="94"/>
      <c r="DL355" s="113"/>
      <c r="DM355" s="94"/>
      <c r="DN355" s="113"/>
      <c r="DO355" s="94"/>
      <c r="DP355" s="113"/>
      <c r="DQ355" s="94"/>
      <c r="DR355" s="113"/>
      <c r="DS355" s="94"/>
      <c r="DT355" s="113"/>
      <c r="DU355" s="94"/>
      <c r="DV355" s="113"/>
      <c r="DW355" s="94"/>
      <c r="DX355" s="113"/>
      <c r="DY355" s="94"/>
      <c r="DZ355" s="113"/>
      <c r="EA355" s="94"/>
      <c r="EB355" s="113"/>
      <c r="EC355" s="94"/>
      <c r="ED355" s="113"/>
      <c r="EE355" s="94"/>
      <c r="EF355" s="859"/>
      <c r="EG355" s="94"/>
      <c r="EH355" s="859"/>
      <c r="EI355" s="94"/>
      <c r="EJ355" s="859"/>
      <c r="EK355" s="94"/>
      <c r="EL355" s="859"/>
      <c r="EM355" s="94"/>
      <c r="EN355" s="859"/>
      <c r="EO355" s="94"/>
      <c r="EP355" s="113"/>
      <c r="EQ355" s="789"/>
      <c r="ER355" s="113"/>
      <c r="ES355" s="789"/>
      <c r="ET355" s="113"/>
      <c r="EU355" s="789"/>
      <c r="EV355" s="113"/>
      <c r="EW355" s="789"/>
      <c r="EX355" s="113"/>
      <c r="EY355" s="95"/>
      <c r="EZ355" s="594"/>
      <c r="FA355" s="405"/>
      <c r="FB355" s="95"/>
      <c r="FC355" s="113"/>
      <c r="FD355" s="94"/>
      <c r="FE355" s="113"/>
      <c r="FF355" s="95"/>
      <c r="FG355" s="113"/>
      <c r="FH355" s="95"/>
      <c r="FI355" s="113"/>
      <c r="FJ355" s="95"/>
      <c r="FK355" s="113"/>
      <c r="FL355" s="95"/>
      <c r="FM355" s="113"/>
      <c r="FN355" s="95"/>
      <c r="FO355" s="113"/>
      <c r="FP355" s="95"/>
      <c r="FQ355" s="113"/>
      <c r="FR355" s="96"/>
      <c r="FS355" s="116"/>
      <c r="FT355" s="96"/>
      <c r="FU355" s="116"/>
      <c r="FV355" s="96"/>
      <c r="FW355" s="113"/>
      <c r="FX355" s="480"/>
      <c r="FY355" s="113"/>
      <c r="FZ355" s="96"/>
      <c r="GA355" s="113"/>
      <c r="GB355" s="533"/>
      <c r="GC355" s="113"/>
      <c r="GD355" s="96"/>
      <c r="GE355" s="113"/>
      <c r="GF355" s="96"/>
      <c r="GG355" s="113"/>
      <c r="GH355" s="96"/>
      <c r="GI355" s="113"/>
      <c r="GJ355" s="96"/>
      <c r="GK355" s="113"/>
      <c r="GL355" s="96"/>
      <c r="GM355" s="113"/>
      <c r="GN355" s="96"/>
      <c r="GO355" s="113"/>
      <c r="GP355" s="96"/>
      <c r="GQ355" s="113"/>
      <c r="GR355" s="95"/>
      <c r="GS355" s="113"/>
      <c r="GT355" s="95"/>
      <c r="GU355" s="113"/>
      <c r="GV355" s="95"/>
      <c r="GW355" s="113"/>
      <c r="GX355" s="95"/>
      <c r="GY355" s="113"/>
      <c r="GZ355" s="113"/>
      <c r="HA355" s="113"/>
      <c r="HB355" s="10"/>
      <c r="HC355"/>
      <c r="HD355"/>
      <c r="HE355"/>
      <c r="HF355"/>
      <c r="HG355"/>
      <c r="HH355"/>
      <c r="HI355" s="10"/>
    </row>
    <row r="356" spans="1:217" s="2" customFormat="1" ht="12.75" customHeight="1" x14ac:dyDescent="0.2">
      <c r="B356" s="179" t="s">
        <v>540</v>
      </c>
      <c r="C356" s="101">
        <v>132</v>
      </c>
      <c r="D356" s="98"/>
      <c r="E356" s="101">
        <v>155</v>
      </c>
      <c r="F356" s="98"/>
      <c r="G356" s="101">
        <v>148</v>
      </c>
      <c r="H356" s="98"/>
      <c r="I356" s="101">
        <v>160</v>
      </c>
      <c r="J356" s="98"/>
      <c r="K356" s="101">
        <v>154</v>
      </c>
      <c r="L356" s="98">
        <f t="shared" ref="L356:L360" si="1771">IF(ISERROR((K356/C356-1)*100),"NA",IF(((K356/C356-1)*100)&gt;100,"NM",IF(((K356/C356-1)*100)&lt;-50,"NM",(K356/C356-1)*100)))</f>
        <v>16.666666666666675</v>
      </c>
      <c r="M356" s="101">
        <v>170</v>
      </c>
      <c r="N356" s="98">
        <f t="shared" ref="N356:N360" si="1772">IF(ISERROR((M356/E356-1)*100),"NA",IF(((M356/E356-1)*100)&gt;100,"NM",IF(((M356/E356-1)*100)&lt;-50,"NM",(M356/E356-1)*100)))</f>
        <v>9.6774193548387011</v>
      </c>
      <c r="O356" s="101">
        <v>168</v>
      </c>
      <c r="P356" s="98">
        <f t="shared" ref="P356:P360" si="1773">IF(ISERROR((O356/G356-1)*100),"NA",IF(((O356/G356-1)*100)&gt;100,"NM",IF(((O356/G356-1)*100)&lt;-50,"NM",(O356/G356-1)*100)))</f>
        <v>13.513513513513509</v>
      </c>
      <c r="Q356" s="101">
        <v>233</v>
      </c>
      <c r="R356" s="98">
        <f t="shared" ref="R356:R360" si="1774">IF(ISERROR((Q356/I356-1)*100),"NA",IF(((Q356/I356-1)*100)&gt;100,"NM",IF(((Q356/I356-1)*100)&lt;-50,"NM",(Q356/I356-1)*100)))</f>
        <v>45.625000000000007</v>
      </c>
      <c r="S356" s="101">
        <v>338</v>
      </c>
      <c r="T356" s="98" t="str">
        <f t="shared" ref="T356:T360" si="1775">IF(ISERROR((S356/K356-1)*100),"NA",IF(((S356/K356-1)*100)&gt;100,"NM",IF(((S356/K356-1)*100)&lt;-50,"NM",(S356/K356-1)*100)))</f>
        <v>NM</v>
      </c>
      <c r="U356" s="101">
        <v>268</v>
      </c>
      <c r="V356" s="98">
        <f t="shared" ref="V356:V360" si="1776">IF(ISERROR((U356/M356-1)*100),"NA",IF(((U356/M356-1)*100)&gt;100,"NM",IF(((U356/M356-1)*100)&lt;-50,"NM",(U356/M356-1)*100)))</f>
        <v>57.647058823529406</v>
      </c>
      <c r="W356" s="101">
        <v>362</v>
      </c>
      <c r="X356" s="98" t="str">
        <f t="shared" ref="X356:X360" si="1777">IF(ISERROR((W356/O356-1)*100),"NA",IF(((W356/O356-1)*100)&gt;100,"NM",IF(((W356/O356-1)*100)&lt;-50,"NM",(W356/O356-1)*100)))</f>
        <v>NM</v>
      </c>
      <c r="Y356" s="101">
        <v>455</v>
      </c>
      <c r="Z356" s="98">
        <f t="shared" ref="Z356:Z360" si="1778">IF(ISERROR((Y356/Q356-1)*100),"NA",IF(((Y356/Q356-1)*100)&gt;100,"NM",IF(((Y356/Q356-1)*100)&lt;-50,"NM",(Y356/Q356-1)*100)))</f>
        <v>95.278969957081543</v>
      </c>
      <c r="AA356" s="101">
        <v>377</v>
      </c>
      <c r="AB356" s="98">
        <f t="shared" ref="AB356:AB360" si="1779">IF(ISERROR((AA356/S356-1)*100),"NA",IF(((AA356/S356-1)*100)&gt;100,"NM",IF(((AA356/S356-1)*100)&lt;-50,"NM",(AA356/S356-1)*100)))</f>
        <v>11.538461538461542</v>
      </c>
      <c r="AC356" s="101">
        <v>294</v>
      </c>
      <c r="AD356" s="98">
        <f t="shared" ref="AD356:AD360" si="1780">IF(ISERROR((AC356/U356-1)*100),"NA",IF(((AC356/U356-1)*100)&gt;100,"NM",IF(((AC356/U356-1)*100)&lt;-50,"NM",(AC356/U356-1)*100)))</f>
        <v>9.7014925373134275</v>
      </c>
      <c r="AE356" s="101">
        <v>410</v>
      </c>
      <c r="AF356" s="98">
        <f t="shared" ref="AF356:AF360" si="1781">IF(ISERROR((AE356/W356-1)*100),"NA",IF(((AE356/W356-1)*100)&gt;100,"NM",IF(((AE356/W356-1)*100)&lt;-50,"NM",(AE356/W356-1)*100)))</f>
        <v>13.259668508287303</v>
      </c>
      <c r="AG356" s="101">
        <v>428</v>
      </c>
      <c r="AH356" s="98">
        <f t="shared" ref="AH356:AH360" si="1782">IF(ISERROR((AG356/Y356-1)*100),"NA",IF(((AG356/Y356-1)*100)&gt;100,"NM",IF(((AG356/Y356-1)*100)&lt;-50,"NM",(AG356/Y356-1)*100)))</f>
        <v>-5.9340659340659352</v>
      </c>
      <c r="AI356" s="101">
        <v>378</v>
      </c>
      <c r="AJ356" s="98">
        <f t="shared" ref="AJ356:AJ360" si="1783">IF(ISERROR((AI356/AA356-1)*100),"NA",IF(((AI356/AA356-1)*100)&gt;100,"NM",IF(((AI356/AA356-1)*100)&lt;-50,"NM",(AI356/AA356-1)*100)))</f>
        <v>0.26525198938991412</v>
      </c>
      <c r="AK356" s="101">
        <v>400</v>
      </c>
      <c r="AL356" s="98">
        <f t="shared" ref="AL356:AL360" si="1784">IF(ISERROR((AK356/AC356-1)*100),"NA",IF(((AK356/AC356-1)*100)&gt;100,"NM",IF(((AK356/AC356-1)*100)&lt;-50,"NM",(AK356/AC356-1)*100)))</f>
        <v>36.054421768707478</v>
      </c>
      <c r="AM356" s="101">
        <v>424</v>
      </c>
      <c r="AN356" s="98">
        <f t="shared" ref="AN356:AN360" si="1785">IF(ISERROR((AM356/AE356-1)*100),"NA",IF(((AM356/AE356-1)*100)&gt;100,"NM",IF(((AM356/AE356-1)*100)&lt;-50,"NM",(AM356/AE356-1)*100)))</f>
        <v>3.4146341463414664</v>
      </c>
      <c r="AO356" s="101">
        <v>448</v>
      </c>
      <c r="AP356" s="98">
        <f t="shared" ref="AP356:AP360" si="1786">IF(ISERROR((AO356/AG356-1)*100),"NA",IF(((AO356/AG356-1)*100)&gt;100,"NM",IF(((AO356/AG356-1)*100)&lt;-50,"NM",(AO356/AG356-1)*100)))</f>
        <v>4.6728971962616717</v>
      </c>
      <c r="AQ356" s="101">
        <v>410</v>
      </c>
      <c r="AR356" s="98">
        <f t="shared" ref="AR356:AR360" si="1787">IF(ISERROR((AQ356/AI356-1)*100),"NA",IF(((AQ356/AI356-1)*100)&gt;100,"NM",IF(((AQ356/AI356-1)*100)&lt;-50,"NM",(AQ356/AI356-1)*100)))</f>
        <v>8.4656084656084651</v>
      </c>
      <c r="AS356" s="101">
        <v>468</v>
      </c>
      <c r="AT356" s="98">
        <f t="shared" ref="AT356:AT360" si="1788">IF(ISERROR((AS356/AK356-1)*100),"NA",IF(((AS356/AK356-1)*100)&gt;100,"NM",IF(((AS356/AK356-1)*100)&lt;-50,"NM",(AS356/AK356-1)*100)))</f>
        <v>16.999999999999993</v>
      </c>
      <c r="AU356" s="101">
        <v>578</v>
      </c>
      <c r="AV356" s="98">
        <f t="shared" ref="AV356:AV360" si="1789">IF(ISERROR((AU356/AM356-1)*100),"NA",IF(((AU356/AM356-1)*100)&gt;100,"NM",IF(((AU356/AM356-1)*100)&lt;-50,"NM",(AU356/AM356-1)*100)))</f>
        <v>36.320754716981128</v>
      </c>
      <c r="AW356" s="101">
        <v>600</v>
      </c>
      <c r="AX356" s="98">
        <f t="shared" ref="AX356:AX360" si="1790">IF(ISERROR((AW356/AO356-1)*100),"NA",IF(((AW356/AO356-1)*100)&gt;100,"NM",IF(((AW356/AO356-1)*100)&lt;-50,"NM",(AW356/AO356-1)*100)))</f>
        <v>33.928571428571416</v>
      </c>
      <c r="AY356" s="101">
        <v>527</v>
      </c>
      <c r="AZ356" s="98">
        <f t="shared" ref="AZ356:AZ360" si="1791">IF(ISERROR((AY356/AQ356-1)*100),"NA",IF(((AY356/AQ356-1)*100)&gt;100,"NM",IF(((AY356/AQ356-1)*100)&lt;-50,"NM",(AY356/AQ356-1)*100)))</f>
        <v>28.536585365853661</v>
      </c>
      <c r="BA356" s="101">
        <v>600</v>
      </c>
      <c r="BB356" s="98">
        <f t="shared" ref="BB356:BB360" si="1792">IF(ISERROR((BA356/AS356-1)*100),"NA",IF(((BA356/AS356-1)*100)&gt;100,"NM",IF(((BA356/AS356-1)*100)&lt;-50,"NM",(BA356/AS356-1)*100)))</f>
        <v>28.205128205128215</v>
      </c>
      <c r="BC356" s="101">
        <v>581</v>
      </c>
      <c r="BD356" s="98">
        <f t="shared" ref="BD356:BD360" si="1793">IF(ISERROR((BC356/AU356-1)*100),"NA",IF(((BC356/AU356-1)*100)&gt;100,"NM",IF(((BC356/AU356-1)*100)&lt;-50,"NM",(BC356/AU356-1)*100)))</f>
        <v>0.51903114186850896</v>
      </c>
      <c r="BE356" s="101">
        <v>644</v>
      </c>
      <c r="BF356" s="98">
        <f t="shared" ref="BF356:BF360" si="1794">IF(ISERROR((BE356/AW356-1)*100),"NA",IF(((BE356/AW356-1)*100)&gt;100,"NM",IF(((BE356/AW356-1)*100)&lt;-50,"NM",(BE356/AW356-1)*100)))</f>
        <v>7.333333333333325</v>
      </c>
      <c r="BG356" s="101">
        <v>578</v>
      </c>
      <c r="BH356" s="98">
        <f t="shared" ref="BH356:BH360" si="1795">IF(ISERROR((BG356/AY356-1)*100),"NA",IF(((BG356/AY356-1)*100)&gt;100,"NM",IF(((BG356/AY356-1)*100)&lt;-50,"NM",(BG356/AY356-1)*100)))</f>
        <v>9.6774193548387011</v>
      </c>
      <c r="BI356" s="101">
        <v>661</v>
      </c>
      <c r="BJ356" s="98">
        <f t="shared" ref="BJ356:BJ360" si="1796">IF(ISERROR((BI356/BA356-1)*100),"NA",IF(((BI356/BA356-1)*100)&gt;100,"NM",IF(((BI356/BA356-1)*100)&lt;-50,"NM",(BI356/BA356-1)*100)))</f>
        <v>10.166666666666657</v>
      </c>
      <c r="BK356" s="101">
        <v>708</v>
      </c>
      <c r="BL356" s="98">
        <f t="shared" ref="BL356:BL360" si="1797">IF(ISERROR((BK356/BC356-1)*100),"NA",IF(((BK356/BC356-1)*100)&gt;100,"NM",IF(((BK356/BC356-1)*100)&lt;-50,"NM",(BK356/BC356-1)*100)))</f>
        <v>21.858864027538715</v>
      </c>
      <c r="BM356" s="101">
        <v>574</v>
      </c>
      <c r="BN356" s="98">
        <f t="shared" ref="BN356:BN360" si="1798">IF(ISERROR((BM356/BE356-1)*100),"NA",IF(((BM356/BE356-1)*100)&gt;100,"NM",IF(((BM356/BE356-1)*100)&lt;-50,"NM",(BM356/BE356-1)*100)))</f>
        <v>-10.869565217391308</v>
      </c>
      <c r="BO356" s="101">
        <v>762</v>
      </c>
      <c r="BP356" s="98">
        <f t="shared" ref="BP356:BP360" si="1799">IF(ISERROR((BO356/BG356-1)*100),"NA",IF(((BO356/BG356-1)*100)&gt;100,"NM",IF(((BO356/BG356-1)*100)&lt;-50,"NM",(BO356/BG356-1)*100)))</f>
        <v>31.833910034602077</v>
      </c>
      <c r="BQ356" s="101">
        <v>830</v>
      </c>
      <c r="BR356" s="98">
        <f t="shared" ref="BR356:BR360" si="1800">IF(ISERROR((BQ356/BI356-1)*100),"NA",IF(((BQ356/BI356-1)*100)&gt;100,"NM",IF(((BQ356/BI356-1)*100)&lt;-50,"NM",(BQ356/BI356-1)*100)))</f>
        <v>25.567322239031775</v>
      </c>
      <c r="BS356" s="101">
        <v>869</v>
      </c>
      <c r="BT356" s="98">
        <f t="shared" ref="BT356:BT360" si="1801">IF(ISERROR((BS356/BK356-1)*100),"NA",IF(((BS356/BK356-1)*100)&gt;100,"NM",IF(((BS356/BK356-1)*100)&lt;-50,"NM",(BS356/BK356-1)*100)))</f>
        <v>22.74011299435028</v>
      </c>
      <c r="BU356" s="101">
        <v>724</v>
      </c>
      <c r="BV356" s="98">
        <f t="shared" ref="BV356:BV360" si="1802">IF(ISERROR((BU356/BM356-1)*100),"NA",IF(((BU356/BM356-1)*100)&gt;100,"NM",IF(((BU356/BM356-1)*100)&lt;-50,"NM",(BU356/BM356-1)*100)))</f>
        <v>26.132404181184675</v>
      </c>
      <c r="BW356" s="101">
        <v>548</v>
      </c>
      <c r="BX356" s="98">
        <f t="shared" ref="BX356:BX360" si="1803">IF(ISERROR((BW356/BO356-1)*100),"NA",IF(((BW356/BO356-1)*100)&gt;100,"NM",IF(((BW356/BO356-1)*100)&lt;-50,"NM",(BW356/BO356-1)*100)))</f>
        <v>-28.083989501312335</v>
      </c>
      <c r="BY356" s="101">
        <v>600</v>
      </c>
      <c r="BZ356" s="98">
        <f t="shared" ref="BZ356:BZ360" si="1804">IF(ISERROR((BY356/BQ356-1)*100),"NA",IF(((BY356/BQ356-1)*100)&gt;100,"NM",IF(((BY356/BQ356-1)*100)&lt;-50,"NM",(BY356/BQ356-1)*100)))</f>
        <v>-27.710843373493976</v>
      </c>
      <c r="CA356" s="101">
        <v>705</v>
      </c>
      <c r="CB356" s="98">
        <f t="shared" ref="CB356:CB360" si="1805">IF(ISERROR((CA356/BS356-1)*100),"NA",IF(((CA356/BS356-1)*100)&gt;100,"NM",IF(((CA356/BS356-1)*100)&lt;-50,"NM",(CA356/BS356-1)*100)))</f>
        <v>-18.872266973532792</v>
      </c>
      <c r="CC356" s="101">
        <v>807</v>
      </c>
      <c r="CD356" s="98">
        <f t="shared" ref="CD356:CD360" si="1806">IF(ISERROR((CC356/BU356-1)*100),"NA",IF(((CC356/BU356-1)*100)&gt;100,"NM",IF(((CC356/BU356-1)*100)&lt;-50,"NM",(CC356/BU356-1)*100)))</f>
        <v>11.46408839779005</v>
      </c>
      <c r="CE356" s="101">
        <v>765</v>
      </c>
      <c r="CF356" s="98">
        <f t="shared" ref="CF356:CF360" si="1807">IF(ISERROR((CE356/BW356-1)*100),"NA",IF(((CE356/BW356-1)*100)&gt;100,"NM",IF(((CE356/BW356-1)*100)&lt;-50,"NM",(CE356/BW356-1)*100)))</f>
        <v>39.598540145985403</v>
      </c>
      <c r="CG356" s="101">
        <v>751</v>
      </c>
      <c r="CH356" s="98">
        <f t="shared" ref="CH356:CH360" si="1808">IF(ISERROR((CG356/BY356-1)*100),"NA",IF(((CG356/BY356-1)*100)&gt;100,"NM",IF(((CG356/BY356-1)*100)&lt;-50,"NM",(CG356/BY356-1)*100)))</f>
        <v>25.166666666666671</v>
      </c>
      <c r="CI356" s="101">
        <v>763</v>
      </c>
      <c r="CJ356" s="98">
        <f t="shared" ref="CJ356:CJ360" si="1809">IF(ISERROR((CI356/CA356-1)*100),"NA",IF(((CI356/CA356-1)*100)&gt;100,"NM",IF(((CI356/CA356-1)*100)&lt;-50,"NM",(CI356/CA356-1)*100)))</f>
        <v>8.2269503546099187</v>
      </c>
      <c r="CK356" s="101">
        <v>774</v>
      </c>
      <c r="CL356" s="98">
        <f t="shared" ref="CL356:CL360" si="1810">IF(ISERROR((CK356/CC356-1)*100),"NA",IF(((CK356/CC356-1)*100)&gt;100,"NM",IF(((CK356/CC356-1)*100)&lt;-50,"NM",(CK356/CC356-1)*100)))</f>
        <v>-4.0892193308550207</v>
      </c>
      <c r="CM356" s="101">
        <v>408</v>
      </c>
      <c r="CN356" s="98">
        <f t="shared" ref="CN356:CN360" si="1811">IF(ISERROR((CM356/CE356-1)*100),"NA",IF(((CM356/CE356-1)*100)&gt;100,"NM",IF(((CM356/CE356-1)*100)&lt;-50,"NM",(CM356/CE356-1)*100)))</f>
        <v>-46.666666666666664</v>
      </c>
      <c r="CO356" s="101">
        <v>395</v>
      </c>
      <c r="CP356" s="98">
        <f t="shared" ref="CP356:CT360" si="1812">IF(ISERROR((CO356/CG356-1)*100),"NA",IF(((CO356/CG356-1)*100)&gt;100,"NM",IF(((CO356/CG356-1)*100)&lt;-50,"NM",(CO356/CG356-1)*100)))</f>
        <v>-47.403462050599202</v>
      </c>
      <c r="CQ356" s="542">
        <v>341</v>
      </c>
      <c r="CR356" s="98" t="str">
        <f t="shared" si="1812"/>
        <v>NM</v>
      </c>
      <c r="CS356" s="101">
        <v>282</v>
      </c>
      <c r="CT356" s="98" t="str">
        <f t="shared" si="1812"/>
        <v>NM</v>
      </c>
      <c r="CU356" s="101">
        <v>343</v>
      </c>
      <c r="CV356" s="98">
        <f t="shared" ref="CV356:CV360" si="1813">IF(ISERROR((CU356/CM356-1)*100),"NA",IF(((CU356/CM356-1)*100)&gt;100,"NM",IF(((CU356/CM356-1)*100)&lt;-50,"NM",(CU356/CM356-1)*100)))</f>
        <v>-15.931372549019606</v>
      </c>
      <c r="CW356" s="101">
        <v>343</v>
      </c>
      <c r="CX356" s="98">
        <f t="shared" ref="CX356:CX360" si="1814">IF(ISERROR((CW356/CO356-1)*100),"NA",IF(((CW356/CO356-1)*100)&gt;100,"NM",IF(((CW356/CO356-1)*100)&lt;-50,"NM",(CW356/CO356-1)*100)))</f>
        <v>-13.164556962025319</v>
      </c>
      <c r="CY356" s="101">
        <v>255</v>
      </c>
      <c r="CZ356" s="98">
        <f t="shared" ref="CZ356:CZ360" si="1815">IF(ISERROR((CY356/CQ356-1)*100),"NA",IF(((CY356/CQ356-1)*100)&gt;100,"NM",IF(((CY356/CQ356-1)*100)&lt;-50,"NM",(CY356/CQ356-1)*100)))</f>
        <v>-25.219941348973606</v>
      </c>
      <c r="DA356" s="101">
        <v>255</v>
      </c>
      <c r="DB356" s="98">
        <f t="shared" ref="DB356:DB360" si="1816">IF(ISERROR((DA356/CS356-1)*100),"NA",IF(((DA356/CS356-1)*100)&gt;100,"NM",IF(((DA356/CS356-1)*100)&lt;-50,"NM",(DA356/CS356-1)*100)))</f>
        <v>-9.5744680851063801</v>
      </c>
      <c r="DC356" s="101">
        <v>237</v>
      </c>
      <c r="DD356" s="98">
        <f t="shared" ref="DD356:DD360" si="1817">IF(ISERROR((DC356/CU356-1)*100),"NA",IF(((DC356/CU356-1)*100)&gt;100,"NM",IF(((DC356/CU356-1)*100)&lt;-50,"NM",(DC356/CU356-1)*100)))</f>
        <v>-30.903790087463555</v>
      </c>
      <c r="DE356" s="101">
        <v>256</v>
      </c>
      <c r="DF356" s="98">
        <f t="shared" ref="DF356:DF360" si="1818">IF(ISERROR((DE356/CW356-1)*100),"NA",IF(((DE356/CW356-1)*100)&gt;100,"NM",IF(((DE356/CW356-1)*100)&lt;-50,"NM",(DE356/CW356-1)*100)))</f>
        <v>-25.364431486880466</v>
      </c>
      <c r="DG356" s="101">
        <v>243</v>
      </c>
      <c r="DH356" s="98">
        <f t="shared" ref="DH356:DH360" si="1819">IF(ISERROR((DG356/CY356-1)*100),"NA",IF(((DG356/CY356-1)*100)&gt;100,"NM",IF(((DG356/CY356-1)*100)&lt;-50,"NM",(DG356/CY356-1)*100)))</f>
        <v>-4.705882352941182</v>
      </c>
      <c r="DI356" s="101">
        <v>303</v>
      </c>
      <c r="DJ356" s="98">
        <f t="shared" ref="DJ356:DJ360" si="1820">IF(ISERROR((DI356/DA356-1)*100),"NA",IF(((DI356/DA356-1)*100)&gt;100,"NM",IF(((DI356/DA356-1)*100)&lt;-50,"NM",(DI356/DA356-1)*100)))</f>
        <v>18.823529411764707</v>
      </c>
      <c r="DK356" s="101">
        <v>261</v>
      </c>
      <c r="DL356" s="98">
        <f t="shared" ref="DL356:DL360" si="1821">IF(ISERROR((DK356/DC356-1)*100),"NA",IF(((DK356/DC356-1)*100)&gt;100,"NM",IF(((DK356/DC356-1)*100)&lt;-50,"NM",(DK356/DC356-1)*100)))</f>
        <v>10.126582278481022</v>
      </c>
      <c r="DM356" s="101">
        <v>271</v>
      </c>
      <c r="DN356" s="98">
        <f t="shared" ref="DN356:DZ360" si="1822">IF(ISERROR((DM356/DE356-1)*100),"NA",IF(((DM356/DE356-1)*100)&gt;100,"NM",IF(((DM356/DE356-1)*100)&lt;-50,"NM",(DM356/DE356-1)*100)))</f>
        <v>5.859375</v>
      </c>
      <c r="DO356" s="101">
        <v>252</v>
      </c>
      <c r="DP356" s="98">
        <f t="shared" si="1822"/>
        <v>3.7037037037036979</v>
      </c>
      <c r="DQ356" s="101">
        <v>269</v>
      </c>
      <c r="DR356" s="98">
        <f t="shared" si="1822"/>
        <v>-11.221122112211223</v>
      </c>
      <c r="DS356" s="101">
        <v>239</v>
      </c>
      <c r="DT356" s="98">
        <f t="shared" si="1822"/>
        <v>-8.4291187739463638</v>
      </c>
      <c r="DU356" s="101">
        <v>265</v>
      </c>
      <c r="DV356" s="98">
        <f t="shared" si="1822"/>
        <v>-2.2140221402214055</v>
      </c>
      <c r="DW356" s="101">
        <v>233</v>
      </c>
      <c r="DX356" s="98">
        <f t="shared" si="1822"/>
        <v>-7.5396825396825351</v>
      </c>
      <c r="DY356" s="101">
        <v>251</v>
      </c>
      <c r="DZ356" s="98">
        <f t="shared" si="1822"/>
        <v>-6.6914498141263934</v>
      </c>
      <c r="EA356" s="101">
        <v>261</v>
      </c>
      <c r="EB356" s="98">
        <f t="shared" ref="EB356:EB360" si="1823">IF(ISERROR((EA356/DS356-1)*100),"NA",IF(((EA356/DS356-1)*100)&gt;100,"NM",IF(((EA356/DS356-1)*100)&lt;-50,"NM",(EA356/DS356-1)*100)))</f>
        <v>9.2050209205020828</v>
      </c>
      <c r="EC356" s="101">
        <v>283</v>
      </c>
      <c r="ED356" s="98">
        <f t="shared" ref="ED356:ED360" si="1824">IF(ISERROR((EC356/DU356-1)*100),"NA",IF(((EC356/DU356-1)*100)&gt;100,"NM",IF(((EC356/DU356-1)*100)&lt;-50,"NM",(EC356/DU356-1)*100)))</f>
        <v>6.7924528301886777</v>
      </c>
      <c r="EE356" s="101">
        <v>257</v>
      </c>
      <c r="EF356" s="860">
        <f t="shared" ref="EF356:EF360" si="1825">IF(ISERROR((EE356/DW356-1)*100),"NA",IF(((EE356/DW356-1)*100)&gt;100,"NM",IF(((EE356/DW356-1)*100)&lt;-50,"NM",(EE356/DW356-1)*100)))</f>
        <v>10.300429184549365</v>
      </c>
      <c r="EG356" s="101">
        <v>266</v>
      </c>
      <c r="EH356" s="860">
        <f t="shared" ref="EH356:EH360" si="1826">IF(ISERROR((EG356/DY356-1)*100),"NA",IF(((EG356/DY356-1)*100)&gt;100,"NM",IF(((EG356/DY356-1)*100)&lt;-50,"NM",(EG356/DY356-1)*100)))</f>
        <v>5.9760956175298752</v>
      </c>
      <c r="EI356" s="101">
        <v>269</v>
      </c>
      <c r="EJ356" s="860">
        <f t="shared" ref="EJ356:EJ360" si="1827">IF(ISERROR((EI356/EA356-1)*100),"NA",IF(((EI356/EA356-1)*100)&gt;100,"NM",IF(((EI356/EA356-1)*100)&lt;-50,"NM",(EI356/EA356-1)*100)))</f>
        <v>3.0651340996168619</v>
      </c>
      <c r="EK356" s="101">
        <v>270</v>
      </c>
      <c r="EL356" s="860">
        <f t="shared" ref="EL356:EL360" si="1828">IF(ISERROR((EK356/EC356-1)*100),"NA",IF(((EK356/EC356-1)*100)&gt;100,"NM",IF(((EK356/EC356-1)*100)&lt;-50,"NM",(EK356/EC356-1)*100)))</f>
        <v>-4.5936395759717303</v>
      </c>
      <c r="EM356" s="101">
        <v>282</v>
      </c>
      <c r="EN356" s="860">
        <f t="shared" ref="EN356:EN360" si="1829">IF(ISERROR((EM356/EE356-1)*100),"NA",IF(((EM356/EE356-1)*100)&gt;100,"NM",IF(((EM356/EE356-1)*100)&lt;-50,"NM",(EM356/EE356-1)*100)))</f>
        <v>9.7276264591439787</v>
      </c>
      <c r="EO356" s="101">
        <v>256</v>
      </c>
      <c r="EP356" s="98">
        <f t="shared" ref="EP356:EP360" si="1830">IF(ISERROR((EO356/EG356-1)*100),"NA",IF(((EO356/EG356-1)*100)&gt;100,"NM",IF(((EO356/EG356-1)*100)&lt;-50,"NM",(EO356/EG356-1)*100)))</f>
        <v>-3.7593984962406068</v>
      </c>
      <c r="EQ356" s="1023">
        <f>EQ363/100*EQ349</f>
        <v>279.52080000000001</v>
      </c>
      <c r="ER356" s="98">
        <f t="shared" ref="ER356:ER360" si="1831">IF(ISERROR((EQ356/EI356-1)*100),"NA",IF(((EQ356/EI356-1)*100)&gt;100,"NM",IF(((EQ356/EI356-1)*100)&lt;-50,"NM",(EQ356/EI356-1)*100)))</f>
        <v>3.9110780669145084</v>
      </c>
      <c r="ES356" s="1023">
        <f t="shared" ref="ES356" si="1832">ES363/100*ES349</f>
        <v>285.11121600000001</v>
      </c>
      <c r="ET356" s="98">
        <f t="shared" ref="ET356:ET360" si="1833">IF(ISERROR((ES356/EK356-1)*100),"NA",IF(((ES356/EK356-1)*100)&gt;100,"NM",IF(((ES356/EK356-1)*100)&lt;-50,"NM",(ES356/EK356-1)*100)))</f>
        <v>5.5967466666666743</v>
      </c>
      <c r="EU356" s="1023">
        <f t="shared" ref="EU356" si="1834">EU363/100*EU349</f>
        <v>290.81344032000004</v>
      </c>
      <c r="EV356" s="98">
        <f t="shared" ref="EV356:EV360" si="1835">IF(ISERROR((EU356/EM356-1)*100),"NA",IF(((EU356/EM356-1)*100)&gt;100,"NM",IF(((EU356/EM356-1)*100)&lt;-50,"NM",(EU356/EM356-1)*100)))</f>
        <v>3.1253334468085203</v>
      </c>
      <c r="EW356" s="1023">
        <f t="shared" ref="EW356" si="1836">EW363/100*EW349</f>
        <v>296.62970912640003</v>
      </c>
      <c r="EX356" s="98">
        <f t="shared" ref="EX356:EX360" si="1837">IF(ISERROR((EW356/EO356-1)*100),"NA",IF(((EW356/EO356-1)*100)&gt;100,"NM",IF(((EW356/EO356-1)*100)&lt;-50,"NM",(EW356/EO356-1)*100)))</f>
        <v>15.870980127500012</v>
      </c>
      <c r="EY356" s="119"/>
      <c r="EZ356" s="594"/>
      <c r="FA356" s="405"/>
      <c r="FB356" s="121">
        <v>662</v>
      </c>
      <c r="FC356" s="98"/>
      <c r="FD356" s="101">
        <v>485</v>
      </c>
      <c r="FE356" s="98">
        <f>IF(ISERROR((FD356/FB356-1)*100),"NA",IF(((FD356/FB356-1)*100)&gt;100,"NM",IF(((FD356/FB356-1)*100)&lt;-50,"NM",(FD356/FB356-1)*100)))</f>
        <v>-26.737160120845928</v>
      </c>
      <c r="FF356" s="118">
        <f>C356+E356+G356+I356</f>
        <v>595</v>
      </c>
      <c r="FG356" s="98">
        <f>IF(ISERROR((FF356/FD356-1)*100),"NA",IF(((FF356/FD356-1)*100)&gt;100,"NM",IF(((FF356/FD356-1)*100)&lt;-50,"NM",(FF356/FD356-1)*100)))</f>
        <v>22.680412371134029</v>
      </c>
      <c r="FH356" s="118">
        <f>K356+M356+O356+Q356</f>
        <v>725</v>
      </c>
      <c r="FI356" s="98">
        <f>IF(ISERROR((FH356/FF356-1)*100),"NA",IF(((FH356/FF356-1)*100)&gt;100,"NM",IF(((FH356/FF356-1)*100)&lt;-50,"NM",(FH356/FF356-1)*100)))</f>
        <v>21.848739495798309</v>
      </c>
      <c r="FJ356" s="118">
        <f>S356+U356+W356+Y356</f>
        <v>1423</v>
      </c>
      <c r="FK356" s="98">
        <f>IF(ISERROR((FJ356/FH356-1)*100),"NA",IF(((FJ356/FH356-1)*100)&gt;100,"NM",IF(((FJ356/FH356-1)*100)&lt;-50,"NM",(FJ356/FH356-1)*100)))</f>
        <v>96.275862068965523</v>
      </c>
      <c r="FL356" s="118">
        <f>AA356+AC356+AE356+AG356</f>
        <v>1509</v>
      </c>
      <c r="FM356" s="98">
        <f>IF(ISERROR((FL356/FJ356-1)*100),"NA",IF(((FL356/FJ356-1)*100)&gt;100,"NM",IF(((FL356/FJ356-1)*100)&lt;-50,"NM",(FL356/FJ356-1)*100)))</f>
        <v>6.0435699226985218</v>
      </c>
      <c r="FN356" s="118">
        <f>AI356+AK356+AM356+AO356</f>
        <v>1650</v>
      </c>
      <c r="FO356" s="98">
        <f>IF(ISERROR((FN356/FL356-1)*100),"NA",IF(((FN356/FL356-1)*100)&gt;100,"NM",IF(((FN356/FL356-1)*100)&lt;-50,"NM",(FN356/FL356-1)*100)))</f>
        <v>9.3439363817097387</v>
      </c>
      <c r="FP356" s="118">
        <f>AQ356+AS356+AU356+AW356</f>
        <v>2056</v>
      </c>
      <c r="FQ356" s="98">
        <f>IF(ISERROR((FP356/FN356-1)*100),"NA",IF(((FP356/FN356-1)*100)&gt;100,"NM",IF(((FP356/FN356-1)*100)&lt;-50,"NM",(FP356/FN356-1)*100)))</f>
        <v>24.606060606060609</v>
      </c>
      <c r="FR356" s="119">
        <f>AY356+BA356+BC356+BE356</f>
        <v>2352</v>
      </c>
      <c r="FS356" s="120">
        <f>IF(ISERROR((FR356/FP356-1)*100),"NA",IF(((FR356/FP356-1)*100)&gt;100,"NM",IF(((FR356/FP356-1)*100)&lt;-50,"NM",(FR356/FP356-1)*100)))</f>
        <v>14.396887159533067</v>
      </c>
      <c r="FT356" s="119">
        <f>BG356+BI356+BK356+BM356</f>
        <v>2521</v>
      </c>
      <c r="FU356" s="120">
        <f>IF(ISERROR((FT356/FR356-1)*100),"NA",IF(((FT356/FR356-1)*100)&gt;100,"NM",IF(((FT356/FR356-1)*100)&lt;-50,"NM",(FT356/FR356-1)*100)))</f>
        <v>7.1853741496598733</v>
      </c>
      <c r="FV356" s="119">
        <f>BO356+BQ356+BS356+BU356</f>
        <v>3185</v>
      </c>
      <c r="FW356" s="98">
        <f>IF(ISERROR((FV356/FT356-1)*100),"NA",IF(((FV356/FT356-1)*100)&gt;100,"NM",IF(((FV356/FT356-1)*100)&lt;-50,"NM",(FV356/FT356-1)*100)))</f>
        <v>26.338754462514878</v>
      </c>
      <c r="FX356" s="495">
        <f>BW356+BY356+CA356+CC356</f>
        <v>2660</v>
      </c>
      <c r="FY356" s="98">
        <f>IF(ISERROR((FX356/FV356-1)*100),"NA",IF(((FX356/FV356-1)*100)&gt;100,"NM",IF(((FX356/FV356-1)*100)&lt;-50,"NM",(FX356/FV356-1)*100)))</f>
        <v>-16.483516483516482</v>
      </c>
      <c r="FZ356" s="160">
        <f>CE356+CG356+CI356+CK356</f>
        <v>3053</v>
      </c>
      <c r="GA356" s="98">
        <f>IF(ISERROR((FZ356/FX356-1)*100),"NA",IF(((FZ356/FX356-1)*100)&gt;100,"NM",IF(((FZ356/FX356-1)*100)&lt;-50,"NM",(FZ356/FX356-1)*100)))</f>
        <v>14.774436090225574</v>
      </c>
      <c r="GB356" s="542">
        <v>1290</v>
      </c>
      <c r="GC356" s="98" t="str">
        <f>IF(ISERROR((GB356/FZ356-1)*100),"NA",IF(((GB356/FZ356-1)*100)&gt;100,"NM",IF(((GB356/FZ356-1)*100)&lt;-50,"NM",(GB356/FZ356-1)*100)))</f>
        <v>NM</v>
      </c>
      <c r="GD356" s="160">
        <f>CU356+CW356+CY356+DA356</f>
        <v>1196</v>
      </c>
      <c r="GE356" s="98">
        <f t="shared" ref="GE356:GW360" si="1838">IF(ISERROR((GD356/GB356-1)*100),"NA",IF(((GD356/GB356-1)*100)&gt;100,"NM",IF(((GD356/GB356-1)*100)&lt;-50,"NM",(GD356/GB356-1)*100)))</f>
        <v>-7.2868217054263607</v>
      </c>
      <c r="GF356" s="160">
        <f>DC356+DE356+DG356+DI356</f>
        <v>1039</v>
      </c>
      <c r="GG356" s="98">
        <f t="shared" si="1838"/>
        <v>-13.127090301003342</v>
      </c>
      <c r="GH356" s="160">
        <f>DK356+DM356+DO356+DQ356</f>
        <v>1053</v>
      </c>
      <c r="GI356" s="98">
        <f t="shared" si="1838"/>
        <v>1.3474494706448459</v>
      </c>
      <c r="GJ356" s="160">
        <f>DS356+DU356+DW356+DY356</f>
        <v>988</v>
      </c>
      <c r="GK356" s="98">
        <f t="shared" si="1838"/>
        <v>-6.1728395061728447</v>
      </c>
      <c r="GL356" s="160">
        <f>EA356+EC356+EE356+EG356</f>
        <v>1067</v>
      </c>
      <c r="GM356" s="98">
        <f t="shared" si="1838"/>
        <v>7.9959514170040435</v>
      </c>
      <c r="GN356" s="160">
        <f>EI356+EK356+EM356+EO356</f>
        <v>1077</v>
      </c>
      <c r="GO356" s="98">
        <f t="shared" si="1838"/>
        <v>0.93720712277414187</v>
      </c>
      <c r="GP356" s="160">
        <f>EQ356+ES356+EU356+EW356</f>
        <v>1152.0751654464002</v>
      </c>
      <c r="GQ356" s="98">
        <f t="shared" si="1838"/>
        <v>6.9707674509192463</v>
      </c>
      <c r="GR356" s="119">
        <f>GR363/100*GR349</f>
        <v>1260.591783914794</v>
      </c>
      <c r="GS356" s="98">
        <f t="shared" si="1838"/>
        <v>9.4192307692307899</v>
      </c>
      <c r="GT356" s="119">
        <f>GT363/100*GT349</f>
        <v>1374.0450444671255</v>
      </c>
      <c r="GU356" s="98">
        <f t="shared" si="1838"/>
        <v>9.0000000000000071</v>
      </c>
      <c r="GV356" s="119">
        <f>GV363/100*GV349</f>
        <v>1497.7090984691672</v>
      </c>
      <c r="GW356" s="98">
        <f t="shared" si="1838"/>
        <v>9.0000000000000302</v>
      </c>
      <c r="GX356" s="119">
        <f>GX363/100*GX349</f>
        <v>1663.77691957912</v>
      </c>
      <c r="GY356" s="98">
        <f t="shared" ref="GY356:GY360" si="1839">IF(ISERROR((GX356/GV356-1)*100),"NA",IF(((GX356/GV356-1)*100)&gt;100,"NM",IF(((GX356/GV356-1)*100)&lt;-50,"NM",(GX356/GV356-1)*100)))</f>
        <v>11.088122605363981</v>
      </c>
      <c r="GZ356" s="98">
        <f>IF(ISERROR(((GX356/GN356)^0.2-1)*100),"NA",IF((((GX356/GN356)^0.2-1)*100)&gt;100,"NM",IF((((GX356/GN356)^0.2-1)*100)&lt;-50,"NM",((GX356/GN356)^0.2-1)*100)))</f>
        <v>9.0877234109471914</v>
      </c>
      <c r="HA356" s="98"/>
      <c r="HB356" s="10"/>
      <c r="HC356"/>
      <c r="HD356"/>
      <c r="HE356"/>
      <c r="HF356"/>
      <c r="HG356"/>
      <c r="HH356"/>
      <c r="HI356" s="10"/>
    </row>
    <row r="357" spans="1:217" s="2" customFormat="1" ht="12.75" customHeight="1" x14ac:dyDescent="0.2">
      <c r="B357" s="179" t="s">
        <v>306</v>
      </c>
      <c r="C357" s="101">
        <v>15</v>
      </c>
      <c r="D357" s="98"/>
      <c r="E357" s="101">
        <v>13</v>
      </c>
      <c r="F357" s="98"/>
      <c r="G357" s="101">
        <v>15</v>
      </c>
      <c r="H357" s="98"/>
      <c r="I357" s="101">
        <v>13</v>
      </c>
      <c r="J357" s="98"/>
      <c r="K357" s="101">
        <v>16</v>
      </c>
      <c r="L357" s="98">
        <f t="shared" si="1771"/>
        <v>6.6666666666666652</v>
      </c>
      <c r="M357" s="101">
        <v>10</v>
      </c>
      <c r="N357" s="98">
        <f t="shared" si="1772"/>
        <v>-23.076923076923073</v>
      </c>
      <c r="O357" s="101">
        <v>15</v>
      </c>
      <c r="P357" s="98">
        <f t="shared" si="1773"/>
        <v>0</v>
      </c>
      <c r="Q357" s="101">
        <v>10</v>
      </c>
      <c r="R357" s="98">
        <f t="shared" si="1774"/>
        <v>-23.076923076923073</v>
      </c>
      <c r="S357" s="101">
        <v>9</v>
      </c>
      <c r="T357" s="98">
        <f t="shared" si="1775"/>
        <v>-43.75</v>
      </c>
      <c r="U357" s="101">
        <v>11</v>
      </c>
      <c r="V357" s="98">
        <f t="shared" si="1776"/>
        <v>10.000000000000009</v>
      </c>
      <c r="W357" s="101">
        <v>32</v>
      </c>
      <c r="X357" s="98" t="str">
        <f t="shared" si="1777"/>
        <v>NM</v>
      </c>
      <c r="Y357" s="101">
        <v>27</v>
      </c>
      <c r="Z357" s="98" t="str">
        <f t="shared" si="1778"/>
        <v>NM</v>
      </c>
      <c r="AA357" s="101">
        <v>37</v>
      </c>
      <c r="AB357" s="98" t="str">
        <f t="shared" si="1779"/>
        <v>NM</v>
      </c>
      <c r="AC357" s="101">
        <v>36</v>
      </c>
      <c r="AD357" s="98" t="str">
        <f t="shared" si="1780"/>
        <v>NM</v>
      </c>
      <c r="AE357" s="101">
        <v>34</v>
      </c>
      <c r="AF357" s="98">
        <f t="shared" si="1781"/>
        <v>6.25</v>
      </c>
      <c r="AG357" s="101">
        <v>36</v>
      </c>
      <c r="AH357" s="98">
        <f t="shared" si="1782"/>
        <v>33.333333333333329</v>
      </c>
      <c r="AI357" s="101">
        <v>37</v>
      </c>
      <c r="AJ357" s="98">
        <f t="shared" si="1783"/>
        <v>0</v>
      </c>
      <c r="AK357" s="101">
        <v>32</v>
      </c>
      <c r="AL357" s="98">
        <f t="shared" si="1784"/>
        <v>-11.111111111111116</v>
      </c>
      <c r="AM357" s="101">
        <v>37</v>
      </c>
      <c r="AN357" s="98">
        <f t="shared" si="1785"/>
        <v>8.8235294117646959</v>
      </c>
      <c r="AO357" s="101">
        <v>45</v>
      </c>
      <c r="AP357" s="98">
        <f t="shared" si="1786"/>
        <v>25</v>
      </c>
      <c r="AQ357" s="101">
        <v>47</v>
      </c>
      <c r="AR357" s="98">
        <f t="shared" si="1787"/>
        <v>27.027027027027017</v>
      </c>
      <c r="AS357" s="101">
        <v>55</v>
      </c>
      <c r="AT357" s="98">
        <f t="shared" si="1788"/>
        <v>71.875</v>
      </c>
      <c r="AU357" s="101">
        <v>84</v>
      </c>
      <c r="AV357" s="98" t="str">
        <f t="shared" si="1789"/>
        <v>NM</v>
      </c>
      <c r="AW357" s="101">
        <v>92</v>
      </c>
      <c r="AX357" s="98" t="str">
        <f t="shared" si="1790"/>
        <v>NM</v>
      </c>
      <c r="AY357" s="101">
        <v>69</v>
      </c>
      <c r="AZ357" s="98">
        <f t="shared" si="1791"/>
        <v>46.808510638297875</v>
      </c>
      <c r="BA357" s="101">
        <v>68</v>
      </c>
      <c r="BB357" s="98">
        <f t="shared" si="1792"/>
        <v>23.636363636363633</v>
      </c>
      <c r="BC357" s="101">
        <v>75</v>
      </c>
      <c r="BD357" s="98">
        <f t="shared" si="1793"/>
        <v>-10.71428571428571</v>
      </c>
      <c r="BE357" s="101">
        <v>77</v>
      </c>
      <c r="BF357" s="98">
        <f t="shared" si="1794"/>
        <v>-16.30434782608695</v>
      </c>
      <c r="BG357" s="101">
        <v>78</v>
      </c>
      <c r="BH357" s="98">
        <f t="shared" si="1795"/>
        <v>13.043478260869556</v>
      </c>
      <c r="BI357" s="101">
        <v>81</v>
      </c>
      <c r="BJ357" s="98">
        <f t="shared" si="1796"/>
        <v>19.117647058823529</v>
      </c>
      <c r="BK357" s="101">
        <v>110</v>
      </c>
      <c r="BL357" s="98">
        <f t="shared" si="1797"/>
        <v>46.666666666666657</v>
      </c>
      <c r="BM357" s="101">
        <v>86</v>
      </c>
      <c r="BN357" s="98">
        <f t="shared" si="1798"/>
        <v>11.688311688311682</v>
      </c>
      <c r="BO357" s="101">
        <v>47</v>
      </c>
      <c r="BP357" s="98">
        <f t="shared" si="1799"/>
        <v>-39.743589743589745</v>
      </c>
      <c r="BQ357" s="101">
        <v>89</v>
      </c>
      <c r="BR357" s="98">
        <f t="shared" si="1800"/>
        <v>9.8765432098765427</v>
      </c>
      <c r="BS357" s="101">
        <v>6</v>
      </c>
      <c r="BT357" s="98" t="str">
        <f t="shared" si="1801"/>
        <v>NM</v>
      </c>
      <c r="BU357" s="101">
        <v>29</v>
      </c>
      <c r="BV357" s="98" t="str">
        <f t="shared" si="1802"/>
        <v>NM</v>
      </c>
      <c r="BW357" s="101">
        <v>78</v>
      </c>
      <c r="BX357" s="98">
        <f t="shared" si="1803"/>
        <v>65.957446808510639</v>
      </c>
      <c r="BY357" s="101">
        <v>159</v>
      </c>
      <c r="BZ357" s="98">
        <f t="shared" si="1804"/>
        <v>78.651685393258418</v>
      </c>
      <c r="CA357" s="101">
        <v>198</v>
      </c>
      <c r="CB357" s="98" t="str">
        <f t="shared" si="1805"/>
        <v>NM</v>
      </c>
      <c r="CC357" s="101">
        <v>146</v>
      </c>
      <c r="CD357" s="98" t="str">
        <f t="shared" si="1806"/>
        <v>NM</v>
      </c>
      <c r="CE357" s="101">
        <v>150</v>
      </c>
      <c r="CF357" s="98">
        <f t="shared" si="1807"/>
        <v>92.307692307692307</v>
      </c>
      <c r="CG357" s="101">
        <v>41</v>
      </c>
      <c r="CH357" s="98" t="str">
        <f t="shared" si="1808"/>
        <v>NM</v>
      </c>
      <c r="CI357" s="101">
        <v>242</v>
      </c>
      <c r="CJ357" s="98">
        <f t="shared" si="1809"/>
        <v>22.222222222222232</v>
      </c>
      <c r="CK357" s="101">
        <v>121</v>
      </c>
      <c r="CL357" s="98">
        <f t="shared" si="1810"/>
        <v>-17.12328767123288</v>
      </c>
      <c r="CM357" s="101">
        <v>39</v>
      </c>
      <c r="CN357" s="98" t="str">
        <f t="shared" si="1811"/>
        <v>NM</v>
      </c>
      <c r="CO357" s="101">
        <v>45</v>
      </c>
      <c r="CP357" s="98">
        <f t="shared" si="1812"/>
        <v>9.7560975609756184</v>
      </c>
      <c r="CQ357" s="542">
        <v>35</v>
      </c>
      <c r="CR357" s="98" t="str">
        <f t="shared" si="1812"/>
        <v>NM</v>
      </c>
      <c r="CS357" s="101">
        <v>48</v>
      </c>
      <c r="CT357" s="98" t="str">
        <f t="shared" si="1812"/>
        <v>NM</v>
      </c>
      <c r="CU357" s="101">
        <v>33</v>
      </c>
      <c r="CV357" s="98">
        <f t="shared" si="1813"/>
        <v>-15.384615384615385</v>
      </c>
      <c r="CW357" s="101">
        <v>26</v>
      </c>
      <c r="CX357" s="98">
        <f t="shared" si="1814"/>
        <v>-42.222222222222229</v>
      </c>
      <c r="CY357" s="101">
        <v>32</v>
      </c>
      <c r="CZ357" s="98">
        <f t="shared" si="1815"/>
        <v>-8.5714285714285747</v>
      </c>
      <c r="DA357" s="101">
        <v>35</v>
      </c>
      <c r="DB357" s="98">
        <f t="shared" si="1816"/>
        <v>-27.083333333333336</v>
      </c>
      <c r="DC357" s="101">
        <v>35</v>
      </c>
      <c r="DD357" s="98">
        <f t="shared" si="1817"/>
        <v>6.0606060606060552</v>
      </c>
      <c r="DE357" s="101">
        <v>37</v>
      </c>
      <c r="DF357" s="98">
        <f t="shared" si="1818"/>
        <v>42.307692307692314</v>
      </c>
      <c r="DG357" s="101">
        <v>37</v>
      </c>
      <c r="DH357" s="98">
        <f t="shared" si="1819"/>
        <v>15.625</v>
      </c>
      <c r="DI357" s="101">
        <v>38</v>
      </c>
      <c r="DJ357" s="98">
        <f t="shared" si="1820"/>
        <v>8.5714285714285623</v>
      </c>
      <c r="DK357" s="101">
        <v>34</v>
      </c>
      <c r="DL357" s="98">
        <f t="shared" si="1821"/>
        <v>-2.8571428571428581</v>
      </c>
      <c r="DM357" s="101">
        <v>35</v>
      </c>
      <c r="DN357" s="98">
        <f t="shared" si="1822"/>
        <v>-5.4054054054054053</v>
      </c>
      <c r="DO357" s="101">
        <v>43</v>
      </c>
      <c r="DP357" s="98">
        <f t="shared" si="1822"/>
        <v>16.216216216216207</v>
      </c>
      <c r="DQ357" s="101">
        <v>36</v>
      </c>
      <c r="DR357" s="98">
        <f t="shared" si="1822"/>
        <v>-5.2631578947368478</v>
      </c>
      <c r="DS357" s="101">
        <v>30</v>
      </c>
      <c r="DT357" s="98">
        <f t="shared" si="1822"/>
        <v>-11.764705882352944</v>
      </c>
      <c r="DU357" s="101">
        <v>34</v>
      </c>
      <c r="DV357" s="98">
        <f t="shared" si="1822"/>
        <v>-2.8571428571428581</v>
      </c>
      <c r="DW357" s="101">
        <v>27</v>
      </c>
      <c r="DX357" s="98">
        <f t="shared" si="1822"/>
        <v>-37.209302325581397</v>
      </c>
      <c r="DY357" s="101">
        <v>29</v>
      </c>
      <c r="DZ357" s="98">
        <f t="shared" si="1822"/>
        <v>-19.444444444444443</v>
      </c>
      <c r="EA357" s="101">
        <v>29</v>
      </c>
      <c r="EB357" s="98">
        <f t="shared" si="1823"/>
        <v>-3.3333333333333326</v>
      </c>
      <c r="EC357" s="101">
        <v>30</v>
      </c>
      <c r="ED357" s="98">
        <f t="shared" si="1824"/>
        <v>-11.764705882352944</v>
      </c>
      <c r="EE357" s="101">
        <v>28</v>
      </c>
      <c r="EF357" s="860">
        <f t="shared" si="1825"/>
        <v>3.7037037037036979</v>
      </c>
      <c r="EG357" s="101">
        <v>25</v>
      </c>
      <c r="EH357" s="860">
        <f t="shared" si="1826"/>
        <v>-13.793103448275868</v>
      </c>
      <c r="EI357" s="101">
        <v>24</v>
      </c>
      <c r="EJ357" s="860">
        <f t="shared" si="1827"/>
        <v>-17.241379310344829</v>
      </c>
      <c r="EK357" s="101">
        <v>25</v>
      </c>
      <c r="EL357" s="860">
        <f t="shared" si="1828"/>
        <v>-16.666666666666664</v>
      </c>
      <c r="EM357" s="101">
        <v>26</v>
      </c>
      <c r="EN357" s="860">
        <f t="shared" si="1829"/>
        <v>-7.1428571428571397</v>
      </c>
      <c r="EO357" s="101">
        <v>25</v>
      </c>
      <c r="EP357" s="98">
        <f t="shared" si="1830"/>
        <v>0</v>
      </c>
      <c r="EQ357" s="1023">
        <f t="shared" ref="EQ357" si="1840">EO357/EO351*EQ351</f>
        <v>25.374999999999996</v>
      </c>
      <c r="ER357" s="98">
        <f t="shared" si="1831"/>
        <v>5.7291666666666519</v>
      </c>
      <c r="ES357" s="1023">
        <f t="shared" ref="ES357" si="1841">EQ357/EQ351*ES351</f>
        <v>25.755624999999995</v>
      </c>
      <c r="ET357" s="98">
        <f t="shared" si="1833"/>
        <v>3.0224999999999724</v>
      </c>
      <c r="EU357" s="1023">
        <f t="shared" ref="EU357" si="1842">ES357/ES351*EU351</f>
        <v>26.141959374999992</v>
      </c>
      <c r="EV357" s="98">
        <f t="shared" si="1835"/>
        <v>0.54599759615381327</v>
      </c>
      <c r="EW357" s="1023">
        <f t="shared" ref="EW357" si="1843">EU357/EU351*EW351</f>
        <v>26.534088765624986</v>
      </c>
      <c r="EX357" s="98">
        <f t="shared" si="1837"/>
        <v>6.136355062499943</v>
      </c>
      <c r="EY357" s="121"/>
      <c r="EZ357" s="594"/>
      <c r="FA357" s="405"/>
      <c r="FB357" s="121">
        <v>89</v>
      </c>
      <c r="FC357" s="98"/>
      <c r="FD357" s="101">
        <v>52</v>
      </c>
      <c r="FE357" s="98">
        <f>IF(ISERROR((FD357/FB357-1)*100),"NA",IF(((FD357/FB357-1)*100)&gt;100,"NM",IF(((FD357/FB357-1)*100)&lt;-50,"NM",(FD357/FB357-1)*100)))</f>
        <v>-41.573033707865171</v>
      </c>
      <c r="FF357" s="118">
        <f>C357+E357+G357+I357</f>
        <v>56</v>
      </c>
      <c r="FG357" s="98">
        <f>IF(ISERROR((FF357/FD357-1)*100),"NA",IF(((FF357/FD357-1)*100)&gt;100,"NM",IF(((FF357/FD357-1)*100)&lt;-50,"NM",(FF357/FD357-1)*100)))</f>
        <v>7.6923076923076872</v>
      </c>
      <c r="FH357" s="118">
        <f>K357+M357+O357+Q357</f>
        <v>51</v>
      </c>
      <c r="FI357" s="98">
        <f>IF(ISERROR((FH357/FF357-1)*100),"NA",IF(((FH357/FF357-1)*100)&gt;100,"NM",IF(((FH357/FF357-1)*100)&lt;-50,"NM",(FH357/FF357-1)*100)))</f>
        <v>-8.9285714285714306</v>
      </c>
      <c r="FJ357" s="118">
        <f>S357+U357+W357+Y357</f>
        <v>79</v>
      </c>
      <c r="FK357" s="98">
        <f>IF(ISERROR((FJ357/FH357-1)*100),"NA",IF(((FJ357/FH357-1)*100)&gt;100,"NM",IF(((FJ357/FH357-1)*100)&lt;-50,"NM",(FJ357/FH357-1)*100)))</f>
        <v>54.901960784313729</v>
      </c>
      <c r="FL357" s="118">
        <f>AA357+AC357+AE357+AG357</f>
        <v>143</v>
      </c>
      <c r="FM357" s="98">
        <f>IF(ISERROR((FL357/FJ357-1)*100),"NA",IF(((FL357/FJ357-1)*100)&gt;100,"NM",IF(((FL357/FJ357-1)*100)&lt;-50,"NM",(FL357/FJ357-1)*100)))</f>
        <v>81.012658227848107</v>
      </c>
      <c r="FN357" s="118">
        <f>AI357+AK357+AM357+AO357</f>
        <v>151</v>
      </c>
      <c r="FO357" s="98">
        <f>IF(ISERROR((FN357/FL357-1)*100),"NA",IF(((FN357/FL357-1)*100)&gt;100,"NM",IF(((FN357/FL357-1)*100)&lt;-50,"NM",(FN357/FL357-1)*100)))</f>
        <v>5.5944055944056048</v>
      </c>
      <c r="FP357" s="118">
        <f>AQ357+AS357+AU357+AW357</f>
        <v>278</v>
      </c>
      <c r="FQ357" s="98">
        <f>IF(ISERROR((FP357/FN357-1)*100),"NA",IF(((FP357/FN357-1)*100)&gt;100,"NM",IF(((FP357/FN357-1)*100)&lt;-50,"NM",(FP357/FN357-1)*100)))</f>
        <v>84.105960264900673</v>
      </c>
      <c r="FR357" s="119">
        <f>AY357+BA357+BC357+BE357</f>
        <v>289</v>
      </c>
      <c r="FS357" s="120">
        <f>IF(ISERROR((FR357/FP357-1)*100),"NA",IF(((FR357/FP357-1)*100)&gt;100,"NM",IF(((FR357/FP357-1)*100)&lt;-50,"NM",(FR357/FP357-1)*100)))</f>
        <v>3.9568345323740983</v>
      </c>
      <c r="FT357" s="119">
        <f>BG357+BI357+BK357+BM357</f>
        <v>355</v>
      </c>
      <c r="FU357" s="120">
        <f>IF(ISERROR((FT357/FR357-1)*100),"NA",IF(((FT357/FR357-1)*100)&gt;100,"NM",IF(((FT357/FR357-1)*100)&lt;-50,"NM",(FT357/FR357-1)*100)))</f>
        <v>22.837370242214526</v>
      </c>
      <c r="FV357" s="119">
        <f>BO357+BQ357+BS357+BU357</f>
        <v>171</v>
      </c>
      <c r="FW357" s="98" t="str">
        <f>IF(ISERROR((FV357/FT357-1)*100),"NA",IF(((FV357/FT357-1)*100)&gt;100,"NM",IF(((FV357/FT357-1)*100)&lt;-50,"NM",(FV357/FT357-1)*100)))</f>
        <v>NM</v>
      </c>
      <c r="FX357" s="495">
        <f>BW357+BY357+CA357+CC357</f>
        <v>581</v>
      </c>
      <c r="FY357" s="98" t="str">
        <f>IF(ISERROR((FX357/FV357-1)*100),"NA",IF(((FX357/FV357-1)*100)&gt;100,"NM",IF(((FX357/FV357-1)*100)&lt;-50,"NM",(FX357/FV357-1)*100)))</f>
        <v>NM</v>
      </c>
      <c r="FZ357" s="160">
        <f>CE357+CG357+CI357+CK357</f>
        <v>554</v>
      </c>
      <c r="GA357" s="98">
        <f>IF(ISERROR((FZ357/FX357-1)*100),"NA",IF(((FZ357/FX357-1)*100)&gt;100,"NM",IF(((FZ357/FX357-1)*100)&lt;-50,"NM",(FZ357/FX357-1)*100)))</f>
        <v>-4.6471600688468122</v>
      </c>
      <c r="GB357" s="542">
        <v>166</v>
      </c>
      <c r="GC357" s="98" t="str">
        <f>IF(ISERROR((GB357/FZ357-1)*100),"NA",IF(((GB357/FZ357-1)*100)&gt;100,"NM",IF(((GB357/FZ357-1)*100)&lt;-50,"NM",(GB357/FZ357-1)*100)))</f>
        <v>NM</v>
      </c>
      <c r="GD357" s="160">
        <f>CU357+CW357+CY357+DA357</f>
        <v>126</v>
      </c>
      <c r="GE357" s="98">
        <f t="shared" si="1838"/>
        <v>-24.096385542168676</v>
      </c>
      <c r="GF357" s="160">
        <f>DC357+DE357+DG357+DI357</f>
        <v>147</v>
      </c>
      <c r="GG357" s="98">
        <f t="shared" si="1838"/>
        <v>16.666666666666675</v>
      </c>
      <c r="GH357" s="160">
        <f>DK357+DM357+DO357+DQ357</f>
        <v>148</v>
      </c>
      <c r="GI357" s="98">
        <f t="shared" si="1838"/>
        <v>0.68027210884353817</v>
      </c>
      <c r="GJ357" s="160">
        <f>DS357+DU357+DW357+DY357</f>
        <v>120</v>
      </c>
      <c r="GK357" s="98">
        <f t="shared" si="1838"/>
        <v>-18.918918918918916</v>
      </c>
      <c r="GL357" s="160">
        <f>EA357+EC357+EE357+EG357</f>
        <v>112</v>
      </c>
      <c r="GM357" s="98">
        <f t="shared" si="1838"/>
        <v>-6.6666666666666652</v>
      </c>
      <c r="GN357" s="160">
        <f>EI357+EK357+EM357+EO357</f>
        <v>100</v>
      </c>
      <c r="GO357" s="98">
        <f t="shared" si="1838"/>
        <v>-10.71428571428571</v>
      </c>
      <c r="GP357" s="160">
        <f>EQ357+ES357+EU357+EW357</f>
        <v>103.80667314062497</v>
      </c>
      <c r="GQ357" s="98">
        <f t="shared" si="1838"/>
        <v>3.8066731406249721</v>
      </c>
      <c r="GR357" s="119">
        <f>GP357/GP351*GR351</f>
        <v>113.14927372328121</v>
      </c>
      <c r="GS357" s="98">
        <f t="shared" si="1838"/>
        <v>9.0000000000000071</v>
      </c>
      <c r="GT357" s="119">
        <f>GR357/GR351*GT351</f>
        <v>123.33270835837652</v>
      </c>
      <c r="GU357" s="98">
        <f t="shared" si="1838"/>
        <v>9.0000000000000071</v>
      </c>
      <c r="GV357" s="119">
        <f>GT357/GT351*GV351</f>
        <v>134.43265211063041</v>
      </c>
      <c r="GW357" s="98">
        <f t="shared" si="1838"/>
        <v>9.0000000000000071</v>
      </c>
      <c r="GX357" s="119">
        <f>GV357/GV351*GX351</f>
        <v>146.53159080058717</v>
      </c>
      <c r="GY357" s="98">
        <f t="shared" si="1839"/>
        <v>9.0000000000000071</v>
      </c>
      <c r="GZ357" s="98">
        <f>IF(ISERROR(((GX357/GN357)^0.2-1)*100),"NA",IF((((GX357/GN357)^0.2-1)*100)&gt;100,"NM",IF((((GX357/GN357)^0.2-1)*100)&lt;-50,"NM",((GX357/GN357)^0.2-1)*100)))</f>
        <v>7.9409541954321927</v>
      </c>
      <c r="HA357" s="98"/>
      <c r="HB357" s="10"/>
      <c r="HC357"/>
      <c r="HD357"/>
      <c r="HE357"/>
      <c r="HF357"/>
      <c r="HG357"/>
      <c r="HH357"/>
      <c r="HI357" s="10"/>
    </row>
    <row r="358" spans="1:217" s="2" customFormat="1" ht="12.75" customHeight="1" x14ac:dyDescent="0.2">
      <c r="B358" s="179" t="s">
        <v>120</v>
      </c>
      <c r="C358" s="101">
        <v>-15</v>
      </c>
      <c r="D358" s="101"/>
      <c r="E358" s="101">
        <v>-19</v>
      </c>
      <c r="F358" s="101"/>
      <c r="G358" s="101">
        <v>-14</v>
      </c>
      <c r="H358" s="101"/>
      <c r="I358" s="101">
        <v>-22</v>
      </c>
      <c r="J358" s="98"/>
      <c r="K358" s="101">
        <v>-20</v>
      </c>
      <c r="L358" s="98">
        <f t="shared" si="1771"/>
        <v>33.333333333333329</v>
      </c>
      <c r="M358" s="101">
        <v>-18</v>
      </c>
      <c r="N358" s="98">
        <f t="shared" si="1772"/>
        <v>-5.2631578947368478</v>
      </c>
      <c r="O358" s="101">
        <v>-24</v>
      </c>
      <c r="P358" s="98">
        <f t="shared" si="1773"/>
        <v>71.428571428571416</v>
      </c>
      <c r="Q358" s="101">
        <v>-14</v>
      </c>
      <c r="R358" s="98">
        <f t="shared" si="1774"/>
        <v>-36.363636363636367</v>
      </c>
      <c r="S358" s="101">
        <v>-13</v>
      </c>
      <c r="T358" s="98">
        <f t="shared" si="1775"/>
        <v>-35</v>
      </c>
      <c r="U358" s="101">
        <v>-18</v>
      </c>
      <c r="V358" s="98">
        <f t="shared" si="1776"/>
        <v>0</v>
      </c>
      <c r="W358" s="101">
        <v>-36</v>
      </c>
      <c r="X358" s="98">
        <f t="shared" si="1777"/>
        <v>50</v>
      </c>
      <c r="Y358" s="101">
        <v>4</v>
      </c>
      <c r="Z358" s="98" t="str">
        <f t="shared" si="1778"/>
        <v>NM</v>
      </c>
      <c r="AA358" s="101">
        <v>-32</v>
      </c>
      <c r="AB358" s="98" t="str">
        <f t="shared" si="1779"/>
        <v>NM</v>
      </c>
      <c r="AC358" s="101">
        <v>18</v>
      </c>
      <c r="AD358" s="98" t="str">
        <f t="shared" si="1780"/>
        <v>NM</v>
      </c>
      <c r="AE358" s="101">
        <v>-31</v>
      </c>
      <c r="AF358" s="98">
        <f t="shared" si="1781"/>
        <v>-13.888888888888884</v>
      </c>
      <c r="AG358" s="101">
        <v>-17</v>
      </c>
      <c r="AH358" s="98" t="str">
        <f t="shared" si="1782"/>
        <v>NM</v>
      </c>
      <c r="AI358" s="101">
        <f>31-71</f>
        <v>-40</v>
      </c>
      <c r="AJ358" s="98">
        <f t="shared" si="1783"/>
        <v>25</v>
      </c>
      <c r="AK358" s="101">
        <v>-57</v>
      </c>
      <c r="AL358" s="98" t="str">
        <f t="shared" si="1784"/>
        <v>NM</v>
      </c>
      <c r="AM358" s="101">
        <f>-103+32</f>
        <v>-71</v>
      </c>
      <c r="AN358" s="98" t="str">
        <f t="shared" si="1785"/>
        <v>NM</v>
      </c>
      <c r="AO358" s="101">
        <f>40-117</f>
        <v>-77</v>
      </c>
      <c r="AP358" s="98" t="str">
        <f t="shared" si="1786"/>
        <v>NM</v>
      </c>
      <c r="AQ358" s="101">
        <f>56-125</f>
        <v>-69</v>
      </c>
      <c r="AR358" s="98">
        <f t="shared" si="1787"/>
        <v>72.500000000000014</v>
      </c>
      <c r="AS358" s="101">
        <f>56-138</f>
        <v>-82</v>
      </c>
      <c r="AT358" s="98">
        <f t="shared" si="1788"/>
        <v>43.859649122807021</v>
      </c>
      <c r="AU358" s="101">
        <f>68-137</f>
        <v>-69</v>
      </c>
      <c r="AV358" s="98">
        <f t="shared" si="1789"/>
        <v>-2.8169014084507005</v>
      </c>
      <c r="AW358" s="101">
        <f>-141+43</f>
        <v>-98</v>
      </c>
      <c r="AX358" s="98">
        <f t="shared" si="1790"/>
        <v>27.27272727272727</v>
      </c>
      <c r="AY358" s="101">
        <f>-151+83</f>
        <v>-68</v>
      </c>
      <c r="AZ358" s="98">
        <f t="shared" si="1791"/>
        <v>-1.4492753623188359</v>
      </c>
      <c r="BA358" s="101">
        <f>-145+80</f>
        <v>-65</v>
      </c>
      <c r="BB358" s="98">
        <f t="shared" si="1792"/>
        <v>-20.731707317073166</v>
      </c>
      <c r="BC358" s="101">
        <f>-146+92</f>
        <v>-54</v>
      </c>
      <c r="BD358" s="98">
        <f t="shared" si="1793"/>
        <v>-21.739130434782606</v>
      </c>
      <c r="BE358" s="101">
        <f>-138+107</f>
        <v>-31</v>
      </c>
      <c r="BF358" s="98" t="str">
        <f t="shared" si="1794"/>
        <v>NM</v>
      </c>
      <c r="BG358" s="101">
        <f>-146+97</f>
        <v>-49</v>
      </c>
      <c r="BH358" s="98">
        <f t="shared" si="1795"/>
        <v>-27.941176470588236</v>
      </c>
      <c r="BI358" s="101">
        <f>-132+81</f>
        <v>-51</v>
      </c>
      <c r="BJ358" s="98">
        <f t="shared" si="1796"/>
        <v>-21.53846153846154</v>
      </c>
      <c r="BK358" s="101">
        <f>-208+38</f>
        <v>-170</v>
      </c>
      <c r="BL358" s="98" t="str">
        <f t="shared" si="1797"/>
        <v>NM</v>
      </c>
      <c r="BM358" s="101">
        <f>-257+93</f>
        <v>-164</v>
      </c>
      <c r="BN358" s="98" t="str">
        <f t="shared" si="1798"/>
        <v>NM</v>
      </c>
      <c r="BO358" s="101">
        <f>-239+113</f>
        <v>-126</v>
      </c>
      <c r="BP358" s="98" t="str">
        <f t="shared" si="1799"/>
        <v>NM</v>
      </c>
      <c r="BQ358" s="101">
        <f>-203+99</f>
        <v>-104</v>
      </c>
      <c r="BR358" s="98" t="str">
        <f t="shared" si="1800"/>
        <v>NM</v>
      </c>
      <c r="BS358" s="101">
        <f>-204+36</f>
        <v>-168</v>
      </c>
      <c r="BT358" s="98">
        <f t="shared" si="1801"/>
        <v>-1.1764705882352899</v>
      </c>
      <c r="BU358" s="101">
        <f>-152+133</f>
        <v>-19</v>
      </c>
      <c r="BV358" s="98" t="str">
        <f t="shared" si="1802"/>
        <v>NM</v>
      </c>
      <c r="BW358" s="101">
        <f>-145+95</f>
        <v>-50</v>
      </c>
      <c r="BX358" s="98" t="str">
        <f t="shared" si="1803"/>
        <v>NM</v>
      </c>
      <c r="BY358" s="101">
        <f>-140+98</f>
        <v>-42</v>
      </c>
      <c r="BZ358" s="98" t="str">
        <f t="shared" si="1804"/>
        <v>NM</v>
      </c>
      <c r="CA358" s="101">
        <f>-164+79</f>
        <v>-85</v>
      </c>
      <c r="CB358" s="98">
        <f t="shared" si="1805"/>
        <v>-49.404761904761905</v>
      </c>
      <c r="CC358" s="101">
        <f>-181+143</f>
        <v>-38</v>
      </c>
      <c r="CD358" s="98">
        <f t="shared" si="1806"/>
        <v>100</v>
      </c>
      <c r="CE358" s="101">
        <f>-181+100</f>
        <v>-81</v>
      </c>
      <c r="CF358" s="98">
        <f t="shared" si="1807"/>
        <v>62.000000000000014</v>
      </c>
      <c r="CG358" s="101">
        <f>-157+109</f>
        <v>-48</v>
      </c>
      <c r="CH358" s="98">
        <f t="shared" si="1808"/>
        <v>14.285714285714279</v>
      </c>
      <c r="CI358" s="101">
        <f>-168+104</f>
        <v>-64</v>
      </c>
      <c r="CJ358" s="98">
        <f t="shared" si="1809"/>
        <v>-24.705882352941178</v>
      </c>
      <c r="CK358" s="101">
        <f>-269+177-8</f>
        <v>-100</v>
      </c>
      <c r="CL358" s="98" t="str">
        <f t="shared" si="1810"/>
        <v>NM</v>
      </c>
      <c r="CM358" s="101">
        <f>-181+164-15</f>
        <v>-32</v>
      </c>
      <c r="CN358" s="98" t="str">
        <f t="shared" si="1811"/>
        <v>NM</v>
      </c>
      <c r="CO358" s="101">
        <f>-193+181-20</f>
        <v>-32</v>
      </c>
      <c r="CP358" s="98">
        <f t="shared" si="1812"/>
        <v>-33.333333333333336</v>
      </c>
      <c r="CQ358" s="542">
        <f>-157+142-13</f>
        <v>-28</v>
      </c>
      <c r="CR358" s="98" t="str">
        <f t="shared" si="1812"/>
        <v>NM</v>
      </c>
      <c r="CS358" s="101">
        <f>-174+152-7</f>
        <v>-29</v>
      </c>
      <c r="CT358" s="98" t="str">
        <f t="shared" si="1812"/>
        <v>NM</v>
      </c>
      <c r="CU358" s="101">
        <f>-177+146-4</f>
        <v>-35</v>
      </c>
      <c r="CV358" s="98">
        <f t="shared" si="1813"/>
        <v>9.375</v>
      </c>
      <c r="CW358" s="101">
        <f>-200+180-35</f>
        <v>-55</v>
      </c>
      <c r="CX358" s="98">
        <f t="shared" si="1814"/>
        <v>71.875</v>
      </c>
      <c r="CY358" s="101">
        <f>-158+130-26</f>
        <v>-54</v>
      </c>
      <c r="CZ358" s="98">
        <f t="shared" si="1815"/>
        <v>92.857142857142861</v>
      </c>
      <c r="DA358" s="101">
        <f>-188+170-29</f>
        <v>-47</v>
      </c>
      <c r="DB358" s="98">
        <f t="shared" si="1816"/>
        <v>62.068965517241367</v>
      </c>
      <c r="DC358" s="101">
        <f>-177+165-17</f>
        <v>-29</v>
      </c>
      <c r="DD358" s="98">
        <f t="shared" si="1817"/>
        <v>-17.142857142857139</v>
      </c>
      <c r="DE358" s="101">
        <f>-192+195-11</f>
        <v>-8</v>
      </c>
      <c r="DF358" s="98" t="str">
        <f t="shared" si="1818"/>
        <v>NM</v>
      </c>
      <c r="DG358" s="101">
        <f>-173+166-13</f>
        <v>-20</v>
      </c>
      <c r="DH358" s="98" t="str">
        <f t="shared" si="1819"/>
        <v>NM</v>
      </c>
      <c r="DI358" s="101">
        <f>-172+157-54</f>
        <v>-69</v>
      </c>
      <c r="DJ358" s="98">
        <f t="shared" si="1820"/>
        <v>46.808510638297875</v>
      </c>
      <c r="DK358" s="101">
        <f>-176+164-9</f>
        <v>-21</v>
      </c>
      <c r="DL358" s="98">
        <f t="shared" si="1821"/>
        <v>-27.586206896551722</v>
      </c>
      <c r="DM358" s="101">
        <f>-170+160-6</f>
        <v>-16</v>
      </c>
      <c r="DN358" s="98">
        <f t="shared" si="1822"/>
        <v>100</v>
      </c>
      <c r="DO358" s="101">
        <f>-165+152-7</f>
        <v>-20</v>
      </c>
      <c r="DP358" s="98">
        <f t="shared" si="1822"/>
        <v>0</v>
      </c>
      <c r="DQ358" s="101">
        <f>-169+137-9</f>
        <v>-41</v>
      </c>
      <c r="DR358" s="98">
        <f t="shared" si="1822"/>
        <v>-40.579710144927539</v>
      </c>
      <c r="DS358" s="101">
        <f>-133+128-4</f>
        <v>-9</v>
      </c>
      <c r="DT358" s="98" t="str">
        <f t="shared" si="1822"/>
        <v>NM</v>
      </c>
      <c r="DU358" s="101">
        <f>-132+133-4</f>
        <v>-3</v>
      </c>
      <c r="DV358" s="98" t="str">
        <f t="shared" si="1822"/>
        <v>NM</v>
      </c>
      <c r="DW358" s="101">
        <f>-107+127-5</f>
        <v>15</v>
      </c>
      <c r="DX358" s="98" t="str">
        <f t="shared" si="1822"/>
        <v>NM</v>
      </c>
      <c r="DY358" s="101">
        <f>-100+109-3</f>
        <v>6</v>
      </c>
      <c r="DZ358" s="98" t="str">
        <f t="shared" si="1822"/>
        <v>NM</v>
      </c>
      <c r="EA358" s="101">
        <f>-101+102-3</f>
        <v>-2</v>
      </c>
      <c r="EB358" s="98" t="str">
        <f t="shared" si="1823"/>
        <v>NM</v>
      </c>
      <c r="EC358" s="101">
        <f>-106+103-4</f>
        <v>-7</v>
      </c>
      <c r="ED358" s="98" t="str">
        <f t="shared" si="1824"/>
        <v>NM</v>
      </c>
      <c r="EE358" s="101">
        <f>-103+106-3</f>
        <v>0</v>
      </c>
      <c r="EF358" s="860" t="str">
        <f t="shared" si="1825"/>
        <v>NM</v>
      </c>
      <c r="EG358" s="101">
        <f>-93+97-3</f>
        <v>1</v>
      </c>
      <c r="EH358" s="860" t="str">
        <f t="shared" si="1826"/>
        <v>NM</v>
      </c>
      <c r="EI358" s="101">
        <f>-92+87-3</f>
        <v>-8</v>
      </c>
      <c r="EJ358" s="860" t="str">
        <f t="shared" si="1827"/>
        <v>NM</v>
      </c>
      <c r="EK358" s="101">
        <f>-100+95-5</f>
        <v>-10</v>
      </c>
      <c r="EL358" s="860">
        <f t="shared" si="1828"/>
        <v>42.857142857142861</v>
      </c>
      <c r="EM358" s="101">
        <f>-109+78-5</f>
        <v>-36</v>
      </c>
      <c r="EN358" s="860" t="str">
        <f t="shared" si="1829"/>
        <v>NA</v>
      </c>
      <c r="EO358" s="101">
        <f>-113+97-6</f>
        <v>-22</v>
      </c>
      <c r="EP358" s="98" t="str">
        <f t="shared" si="1830"/>
        <v>NM</v>
      </c>
      <c r="EQ358" s="952">
        <f t="shared" ref="EQ358" si="1844">EO358*1.02</f>
        <v>-22.44</v>
      </c>
      <c r="ER358" s="98" t="str">
        <f t="shared" si="1831"/>
        <v>NM</v>
      </c>
      <c r="ES358" s="952">
        <f t="shared" ref="ES358" si="1845">EQ358*1.02</f>
        <v>-22.888800000000003</v>
      </c>
      <c r="ET358" s="98" t="str">
        <f t="shared" si="1833"/>
        <v>NM</v>
      </c>
      <c r="EU358" s="952">
        <f t="shared" ref="EU358" si="1846">ES358*1.02</f>
        <v>-23.346576000000002</v>
      </c>
      <c r="EV358" s="98">
        <f t="shared" si="1835"/>
        <v>-35.148399999999988</v>
      </c>
      <c r="EW358" s="952">
        <f t="shared" ref="EW358" si="1847">EU358*1.02</f>
        <v>-23.813507520000002</v>
      </c>
      <c r="EX358" s="98">
        <f t="shared" si="1837"/>
        <v>8.2432159999999968</v>
      </c>
      <c r="EY358" s="121"/>
      <c r="EZ358" s="594"/>
      <c r="FA358" s="405"/>
      <c r="FB358" s="101">
        <v>-25</v>
      </c>
      <c r="FC358" s="101"/>
      <c r="FD358" s="101">
        <v>-61</v>
      </c>
      <c r="FE358" s="98" t="str">
        <f>IF(ISERROR((FD358/FB358-1)*100),"NA",IF(((FD358/FB358-1)*100)&gt;100,"NM",IF(((FD358/FB358-1)*100)&lt;-50,"NM",(FD358/FB358-1)*100)))</f>
        <v>NM</v>
      </c>
      <c r="FF358" s="101">
        <v>-70</v>
      </c>
      <c r="FG358" s="98">
        <f>IF(ISERROR((FF358/FD358-1)*100),"NA",IF(((FF358/FD358-1)*100)&gt;100,"NM",IF(((FF358/FD358-1)*100)&lt;-50,"NM",(FF358/FD358-1)*100)))</f>
        <v>14.754098360655732</v>
      </c>
      <c r="FH358" s="101">
        <v>-76</v>
      </c>
      <c r="FI358" s="98">
        <f>IF(ISERROR((FH358/FF358-1)*100),"NA",IF(((FH358/FF358-1)*100)&gt;100,"NM",IF(((FH358/FF358-1)*100)&lt;-50,"NM",(FH358/FF358-1)*100)))</f>
        <v>8.5714285714285623</v>
      </c>
      <c r="FJ358" s="101">
        <v>-63</v>
      </c>
      <c r="FK358" s="98">
        <f>IF(ISERROR((FJ358/FH358-1)*100),"NA",IF(((FJ358/FH358-1)*100)&gt;100,"NM",IF(((FJ358/FH358-1)*100)&lt;-50,"NM",(FJ358/FH358-1)*100)))</f>
        <v>-17.105263157894733</v>
      </c>
      <c r="FL358" s="101">
        <v>-62</v>
      </c>
      <c r="FM358" s="98">
        <f>IF(ISERROR((FL358/FJ358-1)*100),"NA",IF(((FL358/FJ358-1)*100)&gt;100,"NM",IF(((FL358/FJ358-1)*100)&lt;-50,"NM",(FL358/FJ358-1)*100)))</f>
        <v>-1.5873015873015928</v>
      </c>
      <c r="FN358" s="118">
        <f>AI358+AK358+AM358+AO358</f>
        <v>-245</v>
      </c>
      <c r="FO358" s="98" t="str">
        <f>IF(ISERROR((FN358/FL358-1)*100),"NA",IF(((FN358/FL358-1)*100)&gt;100,"NM",IF(((FN358/FL358-1)*100)&lt;-50,"NM",(FN358/FL358-1)*100)))</f>
        <v>NM</v>
      </c>
      <c r="FP358" s="118">
        <f>AQ358+AS358+AU358+AW358</f>
        <v>-318</v>
      </c>
      <c r="FQ358" s="98">
        <f>IF(ISERROR((FP358/FN358-1)*100),"NA",IF(((FP358/FN358-1)*100)&gt;100,"NM",IF(((FP358/FN358-1)*100)&lt;-50,"NM",(FP358/FN358-1)*100)))</f>
        <v>29.795918367346943</v>
      </c>
      <c r="FR358" s="119">
        <f>AY358+BA358+BC358+BE358</f>
        <v>-218</v>
      </c>
      <c r="FS358" s="120">
        <f>IF(ISERROR((FR358/FP358-1)*100),"NA",IF(((FR358/FP358-1)*100)&gt;100,"NM",IF(((FR358/FP358-1)*100)&lt;-50,"NM",(FR358/FP358-1)*100)))</f>
        <v>-31.44654088050315</v>
      </c>
      <c r="FT358" s="119">
        <f>BG358+BI358+BK358+BM358</f>
        <v>-434</v>
      </c>
      <c r="FU358" s="120">
        <f>IF(ISERROR((FT358/FR358-1)*100),"NA",IF(((FT358/FR358-1)*100)&gt;100,"NM",IF(((FT358/FR358-1)*100)&lt;-50,"NM",(FT358/FR358-1)*100)))</f>
        <v>99.082568807339456</v>
      </c>
      <c r="FV358" s="119">
        <f>BO358+BQ358+BS358+BU358</f>
        <v>-417</v>
      </c>
      <c r="FW358" s="98">
        <f>IF(ISERROR((FV358/FT358-1)*100),"NA",IF(((FV358/FT358-1)*100)&gt;100,"NM",IF(((FV358/FT358-1)*100)&lt;-50,"NM",(FV358/FT358-1)*100)))</f>
        <v>-3.9170506912442393</v>
      </c>
      <c r="FX358" s="485">
        <f>BW358+BY358+CA358+CC358</f>
        <v>-215</v>
      </c>
      <c r="FY358" s="98">
        <f>IF(ISERROR((FX358/FV358-1)*100),"NA",IF(((FX358/FV358-1)*100)&gt;100,"NM",IF(((FX358/FV358-1)*100)&lt;-50,"NM",(FX358/FV358-1)*100)))</f>
        <v>-48.441247002398079</v>
      </c>
      <c r="FZ358" s="119">
        <f>CE358+CG358+CI358+CK358</f>
        <v>-293</v>
      </c>
      <c r="GA358" s="98">
        <f>IF(ISERROR((FZ358/FX358-1)*100),"NA",IF(((FZ358/FX358-1)*100)&gt;100,"NM",IF(((FZ358/FX358-1)*100)&lt;-50,"NM",(FZ358/FX358-1)*100)))</f>
        <v>36.279069767441861</v>
      </c>
      <c r="GB358" s="542">
        <f>-669+613-53</f>
        <v>-109</v>
      </c>
      <c r="GC358" s="98" t="str">
        <f>IF(ISERROR((GB358/FZ358-1)*100),"NA",IF(((GB358/FZ358-1)*100)&gt;100,"NM",IF(((GB358/FZ358-1)*100)&lt;-50,"NM",(GB358/FZ358-1)*100)))</f>
        <v>NM</v>
      </c>
      <c r="GD358" s="119">
        <f>CU358+CW358+CY358+DA358</f>
        <v>-191</v>
      </c>
      <c r="GE358" s="98">
        <f t="shared" si="1838"/>
        <v>75.229357798165125</v>
      </c>
      <c r="GF358" s="119">
        <f>DC358+DE358+DG358+DI358</f>
        <v>-126</v>
      </c>
      <c r="GG358" s="98">
        <f t="shared" si="1838"/>
        <v>-34.031413612565444</v>
      </c>
      <c r="GH358" s="119">
        <f>DK358+DM358+DO358+DQ358</f>
        <v>-98</v>
      </c>
      <c r="GI358" s="98">
        <f t="shared" si="1838"/>
        <v>-22.222222222222221</v>
      </c>
      <c r="GJ358" s="119">
        <f>DS358+DU358+DW358+DY358</f>
        <v>9</v>
      </c>
      <c r="GK358" s="98" t="str">
        <f t="shared" si="1838"/>
        <v>NM</v>
      </c>
      <c r="GL358" s="119">
        <f>EA358+EC358+EE358+EG358</f>
        <v>-8</v>
      </c>
      <c r="GM358" s="98" t="str">
        <f t="shared" si="1838"/>
        <v>NM</v>
      </c>
      <c r="GN358" s="119">
        <f>EI358+EK358+EM358+EO358</f>
        <v>-76</v>
      </c>
      <c r="GO358" s="98" t="str">
        <f t="shared" si="1838"/>
        <v>NM</v>
      </c>
      <c r="GP358" s="119">
        <f>EQ358+ES358+EU358+EW358</f>
        <v>-92.488883520000002</v>
      </c>
      <c r="GQ358" s="98">
        <f t="shared" si="1838"/>
        <v>21.695899368421045</v>
      </c>
      <c r="GR358" s="121">
        <f>GP358*1.09</f>
        <v>-100.8128830368</v>
      </c>
      <c r="GS358" s="98">
        <f t="shared" si="1838"/>
        <v>9.0000000000000071</v>
      </c>
      <c r="GT358" s="121">
        <f>GR358*1.09</f>
        <v>-109.88604251011201</v>
      </c>
      <c r="GU358" s="98">
        <f t="shared" si="1838"/>
        <v>9.0000000000000071</v>
      </c>
      <c r="GV358" s="121">
        <f>GT358*1.09</f>
        <v>-119.77578633602209</v>
      </c>
      <c r="GW358" s="98">
        <f t="shared" si="1838"/>
        <v>9.0000000000000071</v>
      </c>
      <c r="GX358" s="121">
        <f>GV358*1.09</f>
        <v>-130.55560710626409</v>
      </c>
      <c r="GY358" s="98">
        <f t="shared" si="1839"/>
        <v>9.0000000000000071</v>
      </c>
      <c r="GZ358" s="98">
        <f>IF(ISERROR(((GX358/GN358)^0.2-1)*100),"NA",IF((((GX358/GN358)^0.2-1)*100)&gt;100,"NM",IF((((GX358/GN358)^0.2-1)*100)&lt;-50,"NM",((GX358/GN358)^0.2-1)*100)))</f>
        <v>11.428526425053299</v>
      </c>
      <c r="HA358" s="98"/>
      <c r="HB358" s="10"/>
      <c r="HC358"/>
      <c r="HD358"/>
      <c r="HE358"/>
      <c r="HF358"/>
      <c r="HG358"/>
      <c r="HH358"/>
      <c r="HI358" s="10"/>
    </row>
    <row r="359" spans="1:217" s="2" customFormat="1" ht="12.75" customHeight="1" x14ac:dyDescent="0.2">
      <c r="B359" s="179" t="s">
        <v>266</v>
      </c>
      <c r="C359" s="101">
        <v>79</v>
      </c>
      <c r="D359" s="98"/>
      <c r="E359" s="101">
        <v>91</v>
      </c>
      <c r="F359" s="98"/>
      <c r="G359" s="101">
        <v>80</v>
      </c>
      <c r="H359" s="98"/>
      <c r="I359" s="101">
        <v>107</v>
      </c>
      <c r="J359" s="98"/>
      <c r="K359" s="101">
        <v>87</v>
      </c>
      <c r="L359" s="98">
        <f t="shared" si="1771"/>
        <v>10.126582278481022</v>
      </c>
      <c r="M359" s="101">
        <v>93</v>
      </c>
      <c r="N359" s="98">
        <f t="shared" si="1772"/>
        <v>2.19780219780219</v>
      </c>
      <c r="O359" s="101">
        <v>109</v>
      </c>
      <c r="P359" s="98">
        <f t="shared" si="1773"/>
        <v>36.250000000000007</v>
      </c>
      <c r="Q359" s="101">
        <v>116</v>
      </c>
      <c r="R359" s="98">
        <f t="shared" si="1774"/>
        <v>8.411214953271017</v>
      </c>
      <c r="S359" s="101">
        <v>106</v>
      </c>
      <c r="T359" s="98">
        <f t="shared" si="1775"/>
        <v>21.839080459770123</v>
      </c>
      <c r="U359" s="101">
        <v>114</v>
      </c>
      <c r="V359" s="98">
        <f t="shared" si="1776"/>
        <v>22.580645161290324</v>
      </c>
      <c r="W359" s="101">
        <v>167</v>
      </c>
      <c r="X359" s="98">
        <f t="shared" si="1777"/>
        <v>53.211009174311918</v>
      </c>
      <c r="Y359" s="101">
        <v>183</v>
      </c>
      <c r="Z359" s="98">
        <f t="shared" si="1778"/>
        <v>57.758620689655181</v>
      </c>
      <c r="AA359" s="101">
        <v>153</v>
      </c>
      <c r="AB359" s="98">
        <f t="shared" si="1779"/>
        <v>44.339622641509436</v>
      </c>
      <c r="AC359" s="101">
        <v>177</v>
      </c>
      <c r="AD359" s="98">
        <f t="shared" si="1780"/>
        <v>55.263157894736835</v>
      </c>
      <c r="AE359" s="101">
        <v>187</v>
      </c>
      <c r="AF359" s="98">
        <f t="shared" si="1781"/>
        <v>11.976047904191622</v>
      </c>
      <c r="AG359" s="101">
        <v>204</v>
      </c>
      <c r="AH359" s="98">
        <f t="shared" si="1782"/>
        <v>11.475409836065564</v>
      </c>
      <c r="AI359" s="101">
        <v>172</v>
      </c>
      <c r="AJ359" s="98">
        <f t="shared" si="1783"/>
        <v>12.418300653594772</v>
      </c>
      <c r="AK359" s="101">
        <v>194</v>
      </c>
      <c r="AL359" s="98">
        <f t="shared" si="1784"/>
        <v>9.6045197740112886</v>
      </c>
      <c r="AM359" s="101">
        <v>219</v>
      </c>
      <c r="AN359" s="98">
        <f t="shared" si="1785"/>
        <v>17.112299465240643</v>
      </c>
      <c r="AO359" s="101">
        <v>279</v>
      </c>
      <c r="AP359" s="98">
        <f t="shared" si="1786"/>
        <v>36.764705882352942</v>
      </c>
      <c r="AQ359" s="101">
        <v>244</v>
      </c>
      <c r="AR359" s="98">
        <f t="shared" si="1787"/>
        <v>41.86046511627908</v>
      </c>
      <c r="AS359" s="101">
        <v>274</v>
      </c>
      <c r="AT359" s="98">
        <f t="shared" si="1788"/>
        <v>41.237113402061865</v>
      </c>
      <c r="AU359" s="101">
        <f>359</f>
        <v>359</v>
      </c>
      <c r="AV359" s="98">
        <f t="shared" si="1789"/>
        <v>63.926940639269404</v>
      </c>
      <c r="AW359" s="101">
        <f>441</f>
        <v>441</v>
      </c>
      <c r="AX359" s="98">
        <f t="shared" si="1790"/>
        <v>58.064516129032249</v>
      </c>
      <c r="AY359" s="101">
        <f>392</f>
        <v>392</v>
      </c>
      <c r="AZ359" s="98">
        <f t="shared" si="1791"/>
        <v>60.655737704918032</v>
      </c>
      <c r="BA359" s="101">
        <f>409</f>
        <v>409</v>
      </c>
      <c r="BB359" s="98">
        <f t="shared" si="1792"/>
        <v>49.270072992700719</v>
      </c>
      <c r="BC359" s="101">
        <f>435</f>
        <v>435</v>
      </c>
      <c r="BD359" s="98">
        <f t="shared" si="1793"/>
        <v>21.169916434540383</v>
      </c>
      <c r="BE359" s="101">
        <f>511</f>
        <v>511</v>
      </c>
      <c r="BF359" s="98">
        <f t="shared" si="1794"/>
        <v>15.873015873015884</v>
      </c>
      <c r="BG359" s="101">
        <v>436</v>
      </c>
      <c r="BH359" s="98">
        <f t="shared" si="1795"/>
        <v>11.22448979591837</v>
      </c>
      <c r="BI359" s="101">
        <v>440</v>
      </c>
      <c r="BJ359" s="98">
        <f t="shared" si="1796"/>
        <v>7.5794621026894937</v>
      </c>
      <c r="BK359" s="101">
        <v>544</v>
      </c>
      <c r="BL359" s="98">
        <f t="shared" si="1797"/>
        <v>25.057471264367813</v>
      </c>
      <c r="BM359" s="101">
        <v>762</v>
      </c>
      <c r="BN359" s="98">
        <f t="shared" si="1798"/>
        <v>49.119373776908027</v>
      </c>
      <c r="BO359" s="101">
        <v>555</v>
      </c>
      <c r="BP359" s="98">
        <f t="shared" si="1799"/>
        <v>27.293577981651374</v>
      </c>
      <c r="BQ359" s="101">
        <v>575</v>
      </c>
      <c r="BR359" s="98">
        <f t="shared" si="1800"/>
        <v>30.681818181818187</v>
      </c>
      <c r="BS359" s="101">
        <v>580</v>
      </c>
      <c r="BT359" s="98">
        <f t="shared" si="1801"/>
        <v>6.6176470588235281</v>
      </c>
      <c r="BU359" s="101">
        <v>378</v>
      </c>
      <c r="BV359" s="98" t="str">
        <f t="shared" si="1802"/>
        <v>NM</v>
      </c>
      <c r="BW359" s="101">
        <v>338</v>
      </c>
      <c r="BX359" s="98">
        <f t="shared" si="1803"/>
        <v>-39.099099099099099</v>
      </c>
      <c r="BY359" s="101">
        <v>437</v>
      </c>
      <c r="BZ359" s="98">
        <f t="shared" si="1804"/>
        <v>-24</v>
      </c>
      <c r="CA359" s="101">
        <v>484</v>
      </c>
      <c r="CB359" s="98">
        <f t="shared" si="1805"/>
        <v>-16.551724137931036</v>
      </c>
      <c r="CC359" s="101">
        <f>544+2</f>
        <v>546</v>
      </c>
      <c r="CD359" s="98">
        <f t="shared" si="1806"/>
        <v>44.444444444444443</v>
      </c>
      <c r="CE359" s="101">
        <f>506+1</f>
        <v>507</v>
      </c>
      <c r="CF359" s="98">
        <f t="shared" si="1807"/>
        <v>50</v>
      </c>
      <c r="CG359" s="101">
        <f>477+2</f>
        <v>479</v>
      </c>
      <c r="CH359" s="98">
        <f t="shared" si="1808"/>
        <v>9.6109839816933551</v>
      </c>
      <c r="CI359" s="101">
        <f>506-1</f>
        <v>505</v>
      </c>
      <c r="CJ359" s="98">
        <f t="shared" si="1809"/>
        <v>4.3388429752066138</v>
      </c>
      <c r="CK359" s="101">
        <f>744+1</f>
        <v>745</v>
      </c>
      <c r="CL359" s="98">
        <f t="shared" si="1810"/>
        <v>36.446886446886452</v>
      </c>
      <c r="CM359" s="101">
        <f>458+1</f>
        <v>459</v>
      </c>
      <c r="CN359" s="98">
        <f t="shared" si="1811"/>
        <v>-9.4674556213017791</v>
      </c>
      <c r="CO359" s="101">
        <v>514</v>
      </c>
      <c r="CP359" s="98">
        <f t="shared" si="1812"/>
        <v>7.3068893528183798</v>
      </c>
      <c r="CQ359" s="542">
        <v>423</v>
      </c>
      <c r="CR359" s="98">
        <f t="shared" si="1812"/>
        <v>-16.237623762376241</v>
      </c>
      <c r="CS359" s="101">
        <f>-1+433</f>
        <v>432</v>
      </c>
      <c r="CT359" s="98">
        <f t="shared" si="1812"/>
        <v>-42.013422818791945</v>
      </c>
      <c r="CU359" s="101">
        <v>471</v>
      </c>
      <c r="CV359" s="98">
        <f t="shared" si="1813"/>
        <v>2.614379084967311</v>
      </c>
      <c r="CW359" s="101">
        <f>1+422</f>
        <v>423</v>
      </c>
      <c r="CX359" s="98">
        <f t="shared" si="1814"/>
        <v>-17.704280155642028</v>
      </c>
      <c r="CY359" s="101">
        <f>2+440</f>
        <v>442</v>
      </c>
      <c r="CZ359" s="98">
        <f t="shared" si="1815"/>
        <v>4.4917257683215084</v>
      </c>
      <c r="DA359" s="101">
        <f>-2+477</f>
        <v>475</v>
      </c>
      <c r="DB359" s="98">
        <f t="shared" si="1816"/>
        <v>9.9537037037036988</v>
      </c>
      <c r="DC359" s="101">
        <f>1+448</f>
        <v>449</v>
      </c>
      <c r="DD359" s="98">
        <f t="shared" si="1817"/>
        <v>-4.6709129511677272</v>
      </c>
      <c r="DE359" s="101">
        <f>-1+460</f>
        <v>459</v>
      </c>
      <c r="DF359" s="98">
        <f t="shared" si="1818"/>
        <v>8.5106382978723296</v>
      </c>
      <c r="DG359" s="101">
        <v>443</v>
      </c>
      <c r="DH359" s="98">
        <f t="shared" si="1819"/>
        <v>0.22624434389140191</v>
      </c>
      <c r="DI359" s="101">
        <f>1+459</f>
        <v>460</v>
      </c>
      <c r="DJ359" s="98">
        <f t="shared" si="1820"/>
        <v>-3.157894736842104</v>
      </c>
      <c r="DK359" s="101">
        <v>464</v>
      </c>
      <c r="DL359" s="98">
        <f t="shared" si="1821"/>
        <v>3.3407572383073569</v>
      </c>
      <c r="DM359" s="101">
        <v>456</v>
      </c>
      <c r="DN359" s="98">
        <f t="shared" si="1822"/>
        <v>-0.65359477124182774</v>
      </c>
      <c r="DO359" s="101">
        <v>463</v>
      </c>
      <c r="DP359" s="98">
        <f t="shared" si="1822"/>
        <v>4.5146726862302478</v>
      </c>
      <c r="DQ359" s="101">
        <v>463</v>
      </c>
      <c r="DR359" s="98">
        <f t="shared" si="1822"/>
        <v>0.6521739130434856</v>
      </c>
      <c r="DS359" s="101">
        <v>362</v>
      </c>
      <c r="DT359" s="98">
        <f t="shared" si="1822"/>
        <v>-21.982758620689658</v>
      </c>
      <c r="DU359" s="101">
        <v>389</v>
      </c>
      <c r="DV359" s="98">
        <f t="shared" si="1822"/>
        <v>-14.692982456140346</v>
      </c>
      <c r="DW359" s="101">
        <v>352</v>
      </c>
      <c r="DX359" s="98">
        <f t="shared" si="1822"/>
        <v>-23.974082073434122</v>
      </c>
      <c r="DY359" s="101">
        <v>366</v>
      </c>
      <c r="DZ359" s="98">
        <f t="shared" si="1822"/>
        <v>-20.950323974082075</v>
      </c>
      <c r="EA359" s="101">
        <v>333</v>
      </c>
      <c r="EB359" s="98">
        <f t="shared" si="1823"/>
        <v>-8.0110497237569014</v>
      </c>
      <c r="EC359" s="101">
        <v>336</v>
      </c>
      <c r="ED359" s="98">
        <f t="shared" si="1824"/>
        <v>-13.624678663239076</v>
      </c>
      <c r="EE359" s="101">
        <v>332</v>
      </c>
      <c r="EF359" s="860">
        <f t="shared" si="1825"/>
        <v>-5.6818181818181763</v>
      </c>
      <c r="EG359" s="101">
        <v>322</v>
      </c>
      <c r="EH359" s="860">
        <f t="shared" si="1826"/>
        <v>-12.02185792349727</v>
      </c>
      <c r="EI359" s="101">
        <v>316</v>
      </c>
      <c r="EJ359" s="860">
        <f t="shared" si="1827"/>
        <v>-5.1051051051051015</v>
      </c>
      <c r="EK359" s="101">
        <v>332</v>
      </c>
      <c r="EL359" s="860">
        <f t="shared" si="1828"/>
        <v>-1.1904761904761862</v>
      </c>
      <c r="EM359" s="101">
        <v>347</v>
      </c>
      <c r="EN359" s="860">
        <f t="shared" si="1829"/>
        <v>4.5180722891566161</v>
      </c>
      <c r="EO359" s="101">
        <v>381</v>
      </c>
      <c r="EP359" s="98">
        <f t="shared" si="1830"/>
        <v>18.322981366459622</v>
      </c>
      <c r="EQ359" s="1023">
        <f>EQ353*EQ365/100</f>
        <v>372.29999999999995</v>
      </c>
      <c r="ER359" s="98">
        <f t="shared" si="1831"/>
        <v>17.816455696202517</v>
      </c>
      <c r="ES359" s="1023">
        <f t="shared" ref="ES359" si="1848">ES353*ES365/100</f>
        <v>379.22834999999998</v>
      </c>
      <c r="ET359" s="98">
        <f t="shared" si="1833"/>
        <v>14.225406626506022</v>
      </c>
      <c r="EU359" s="1023">
        <f t="shared" ref="EU359" si="1849">EU353*EU365/100</f>
        <v>386.28750224999999</v>
      </c>
      <c r="EV359" s="98">
        <f t="shared" si="1835"/>
        <v>11.322046757925076</v>
      </c>
      <c r="EW359" s="1023">
        <f t="shared" ref="EW359" si="1850">EW353*EW365/100</f>
        <v>393.47995632374995</v>
      </c>
      <c r="EX359" s="98">
        <f t="shared" si="1837"/>
        <v>3.2755790875984125</v>
      </c>
      <c r="EY359" s="119"/>
      <c r="EZ359" s="594"/>
      <c r="FA359" s="405"/>
      <c r="FB359" s="121">
        <v>376</v>
      </c>
      <c r="FC359" s="98"/>
      <c r="FD359" s="101">
        <v>309</v>
      </c>
      <c r="FE359" s="98">
        <f>IF(ISERROR((FD359/FB359-1)*100),"NA",IF(((FD359/FB359-1)*100)&gt;100,"NM",IF(((FD359/FB359-1)*100)&lt;-50,"NM",(FD359/FB359-1)*100)))</f>
        <v>-17.819148936170215</v>
      </c>
      <c r="FF359" s="118">
        <f>C359+E359+G359+I359</f>
        <v>357</v>
      </c>
      <c r="FG359" s="98">
        <f>IF(ISERROR((FF359/FD359-1)*100),"NA",IF(((FF359/FD359-1)*100)&gt;100,"NM",IF(((FF359/FD359-1)*100)&lt;-50,"NM",(FF359/FD359-1)*100)))</f>
        <v>15.533980582524265</v>
      </c>
      <c r="FH359" s="118">
        <f>K359+M359+O359+Q359</f>
        <v>405</v>
      </c>
      <c r="FI359" s="98">
        <f>IF(ISERROR((FH359/FF359-1)*100),"NA",IF(((FH359/FF359-1)*100)&gt;100,"NM",IF(((FH359/FF359-1)*100)&lt;-50,"NM",(FH359/FF359-1)*100)))</f>
        <v>13.445378151260501</v>
      </c>
      <c r="FJ359" s="118">
        <f>S359+U359+W359+Y359</f>
        <v>570</v>
      </c>
      <c r="FK359" s="98">
        <f>IF(ISERROR((FJ359/FH359-1)*100),"NA",IF(((FJ359/FH359-1)*100)&gt;100,"NM",IF(((FJ359/FH359-1)*100)&lt;-50,"NM",(FJ359/FH359-1)*100)))</f>
        <v>40.740740740740748</v>
      </c>
      <c r="FL359" s="118">
        <f>AA359+AC359+AE359+AG359</f>
        <v>721</v>
      </c>
      <c r="FM359" s="98">
        <f>IF(ISERROR((FL359/FJ359-1)*100),"NA",IF(((FL359/FJ359-1)*100)&gt;100,"NM",IF(((FL359/FJ359-1)*100)&lt;-50,"NM",(FL359/FJ359-1)*100)))</f>
        <v>26.491228070175431</v>
      </c>
      <c r="FN359" s="118">
        <f>AI359+AK359+AM359+AO359</f>
        <v>864</v>
      </c>
      <c r="FO359" s="98">
        <f>IF(ISERROR((FN359/FL359-1)*100),"NA",IF(((FN359/FL359-1)*100)&gt;100,"NM",IF(((FN359/FL359-1)*100)&lt;-50,"NM",(FN359/FL359-1)*100)))</f>
        <v>19.833564493758658</v>
      </c>
      <c r="FP359" s="118">
        <f>AQ359+AS359+AU359+AW359</f>
        <v>1318</v>
      </c>
      <c r="FQ359" s="98">
        <f>IF(ISERROR((FP359/FN359-1)*100),"NA",IF(((FP359/FN359-1)*100)&gt;100,"NM",IF(((FP359/FN359-1)*100)&lt;-50,"NM",(FP359/FN359-1)*100)))</f>
        <v>52.546296296296305</v>
      </c>
      <c r="FR359" s="119">
        <f>AY359+BA359+BC359+BE359</f>
        <v>1747</v>
      </c>
      <c r="FS359" s="120">
        <f>IF(ISERROR((FR359/FP359-1)*100),"NA",IF(((FR359/FP359-1)*100)&gt;100,"NM",IF(((FR359/FP359-1)*100)&lt;-50,"NM",(FR359/FP359-1)*100)))</f>
        <v>32.54931714719271</v>
      </c>
      <c r="FT359" s="119">
        <f>BG359+BI359+BK359+BM359</f>
        <v>2182</v>
      </c>
      <c r="FU359" s="120">
        <f>IF(ISERROR((FT359/FR359-1)*100),"NA",IF(((FT359/FR359-1)*100)&gt;100,"NM",IF(((FT359/FR359-1)*100)&lt;-50,"NM",(FT359/FR359-1)*100)))</f>
        <v>24.899828277046353</v>
      </c>
      <c r="FV359" s="119">
        <f>BO359+BQ359+BS359+BU359</f>
        <v>2088</v>
      </c>
      <c r="FW359" s="98">
        <f>IF(ISERROR((FV359/FT359-1)*100),"NA",IF(((FV359/FT359-1)*100)&gt;100,"NM",IF(((FV359/FT359-1)*100)&lt;-50,"NM",(FV359/FT359-1)*100)))</f>
        <v>-4.3079743354720428</v>
      </c>
      <c r="FX359" s="495">
        <f>BW359+BY359+CA359+CC359</f>
        <v>1805</v>
      </c>
      <c r="FY359" s="98">
        <f>IF(ISERROR((FX359/FV359-1)*100),"NA",IF(((FX359/FV359-1)*100)&gt;100,"NM",IF(((FX359/FV359-1)*100)&lt;-50,"NM",(FX359/FV359-1)*100)))</f>
        <v>-13.553639846743293</v>
      </c>
      <c r="FZ359" s="119">
        <f>CE359+CG359+CI359+CK359</f>
        <v>2236</v>
      </c>
      <c r="GA359" s="98">
        <f>IF(ISERROR((FZ359/FX359-1)*100),"NA",IF(((FZ359/FX359-1)*100)&gt;100,"NM",IF(((FZ359/FX359-1)*100)&lt;-50,"NM",(FZ359/FX359-1)*100)))</f>
        <v>23.878116343490309</v>
      </c>
      <c r="GB359" s="542">
        <v>1723</v>
      </c>
      <c r="GC359" s="98">
        <f>IF(ISERROR((GB359/FZ359-1)*100),"NA",IF(((GB359/FZ359-1)*100)&gt;100,"NM",IF(((GB359/FZ359-1)*100)&lt;-50,"NM",(GB359/FZ359-1)*100)))</f>
        <v>-22.942754919499109</v>
      </c>
      <c r="GD359" s="160">
        <f>CU359+CW359+CY359+DA359</f>
        <v>1811</v>
      </c>
      <c r="GE359" s="98">
        <f t="shared" si="1838"/>
        <v>5.107370864770755</v>
      </c>
      <c r="GF359" s="160">
        <f>DC359+DE359+DG359+DI359</f>
        <v>1811</v>
      </c>
      <c r="GG359" s="98">
        <f t="shared" si="1838"/>
        <v>0</v>
      </c>
      <c r="GH359" s="160">
        <f>DK359+DM359+DO359+DQ359</f>
        <v>1846</v>
      </c>
      <c r="GI359" s="98">
        <f t="shared" si="1838"/>
        <v>1.9326339039204887</v>
      </c>
      <c r="GJ359" s="160">
        <f>DS359+DU359+DW359+DY359</f>
        <v>1469</v>
      </c>
      <c r="GK359" s="98">
        <f t="shared" si="1838"/>
        <v>-20.422535211267601</v>
      </c>
      <c r="GL359" s="160">
        <f>EA359+EC359+EE359+EG359</f>
        <v>1323</v>
      </c>
      <c r="GM359" s="98">
        <f t="shared" si="1838"/>
        <v>-9.9387338325391372</v>
      </c>
      <c r="GN359" s="160">
        <f>EI359+EK359+EM359+EO359</f>
        <v>1376</v>
      </c>
      <c r="GO359" s="98">
        <f t="shared" si="1838"/>
        <v>4.0060468631897272</v>
      </c>
      <c r="GP359" s="160">
        <f>EQ359+ES359+EU359+EW359</f>
        <v>1531.2958085737498</v>
      </c>
      <c r="GQ359" s="98">
        <f t="shared" si="1838"/>
        <v>11.286032599836471</v>
      </c>
      <c r="GR359" s="119">
        <f>GR353*GR365/100</f>
        <v>1635.7301827184797</v>
      </c>
      <c r="GS359" s="98">
        <f t="shared" si="1838"/>
        <v>6.8200000000000038</v>
      </c>
      <c r="GT359" s="119">
        <f>GT353*GT365/100</f>
        <v>1782.9458991631432</v>
      </c>
      <c r="GU359" s="98">
        <f t="shared" si="1838"/>
        <v>9.0000000000000302</v>
      </c>
      <c r="GV359" s="119">
        <f>GV353*GV365/100</f>
        <v>1943.411030087826</v>
      </c>
      <c r="GW359" s="98">
        <f t="shared" si="1838"/>
        <v>9.0000000000000071</v>
      </c>
      <c r="GX359" s="119">
        <f>GX353*GX365/100</f>
        <v>2118.3180227957309</v>
      </c>
      <c r="GY359" s="98">
        <f t="shared" si="1839"/>
        <v>9.0000000000000302</v>
      </c>
      <c r="GZ359" s="98">
        <f>IF(ISERROR(((GX359/GN359)^0.2-1)*100),"NA",IF((((GX359/GN359)^0.2-1)*100)&gt;100,"NM",IF((((GX359/GN359)^0.2-1)*100)&lt;-50,"NM",((GX359/GN359)^0.2-1)*100)))</f>
        <v>9.0120597207064002</v>
      </c>
      <c r="HA359" s="98"/>
      <c r="HB359" s="10"/>
      <c r="HC359"/>
      <c r="HD359"/>
      <c r="HE359"/>
      <c r="HF359"/>
      <c r="HG359"/>
      <c r="HH359"/>
      <c r="HI359" s="10"/>
    </row>
    <row r="360" spans="1:217" s="2" customFormat="1" ht="12.75" customHeight="1" x14ac:dyDescent="0.2">
      <c r="B360" s="131" t="s">
        <v>548</v>
      </c>
      <c r="C360" s="182">
        <f>C358+C359+C356+C357</f>
        <v>211</v>
      </c>
      <c r="D360" s="98"/>
      <c r="E360" s="182">
        <f>E358+E359+E356+E357</f>
        <v>240</v>
      </c>
      <c r="F360" s="98"/>
      <c r="G360" s="182">
        <f>G358+G359+G356+G357</f>
        <v>229</v>
      </c>
      <c r="H360" s="98"/>
      <c r="I360" s="182">
        <f>I358+I359+I356+I357</f>
        <v>258</v>
      </c>
      <c r="J360" s="182"/>
      <c r="K360" s="182">
        <f>K358+K359+K356+K357</f>
        <v>237</v>
      </c>
      <c r="L360" s="98">
        <f t="shared" si="1771"/>
        <v>12.322274881516581</v>
      </c>
      <c r="M360" s="182">
        <f>M358+M359+M356+M357</f>
        <v>255</v>
      </c>
      <c r="N360" s="98">
        <f t="shared" si="1772"/>
        <v>6.25</v>
      </c>
      <c r="O360" s="182">
        <f>O358+O359+O356+O357</f>
        <v>268</v>
      </c>
      <c r="P360" s="98">
        <f t="shared" si="1773"/>
        <v>17.030567685589524</v>
      </c>
      <c r="Q360" s="182">
        <f>Q358+Q359+Q356+Q357</f>
        <v>345</v>
      </c>
      <c r="R360" s="98">
        <f t="shared" si="1774"/>
        <v>33.720930232558132</v>
      </c>
      <c r="S360" s="182">
        <f>S358+S359+S356+S357</f>
        <v>440</v>
      </c>
      <c r="T360" s="98">
        <f t="shared" si="1775"/>
        <v>85.654008438818565</v>
      </c>
      <c r="U360" s="182">
        <f>U358+U359+U356+U357</f>
        <v>375</v>
      </c>
      <c r="V360" s="98">
        <f t="shared" si="1776"/>
        <v>47.058823529411775</v>
      </c>
      <c r="W360" s="182">
        <f>W358+W359+W356+W357</f>
        <v>525</v>
      </c>
      <c r="X360" s="98">
        <f t="shared" si="1777"/>
        <v>95.895522388059689</v>
      </c>
      <c r="Y360" s="182">
        <f>Y358+Y359+Y356+Y357</f>
        <v>669</v>
      </c>
      <c r="Z360" s="98">
        <f t="shared" si="1778"/>
        <v>93.91304347826086</v>
      </c>
      <c r="AA360" s="182">
        <f>AA358+AA359+AA356+AA357</f>
        <v>535</v>
      </c>
      <c r="AB360" s="98">
        <f t="shared" si="1779"/>
        <v>21.590909090909083</v>
      </c>
      <c r="AC360" s="182">
        <f>AC358+AC359+AC356+AC357</f>
        <v>525</v>
      </c>
      <c r="AD360" s="98">
        <f t="shared" si="1780"/>
        <v>39.999999999999993</v>
      </c>
      <c r="AE360" s="182">
        <f>AE358+AE359+AE356+AE357</f>
        <v>600</v>
      </c>
      <c r="AF360" s="98">
        <f t="shared" si="1781"/>
        <v>14.285714285714279</v>
      </c>
      <c r="AG360" s="182">
        <f>AG358+AG359+AG356+AG357</f>
        <v>651</v>
      </c>
      <c r="AH360" s="98">
        <f t="shared" si="1782"/>
        <v>-2.6905829596412523</v>
      </c>
      <c r="AI360" s="182">
        <f>AI358+AI359+AI356+AI357</f>
        <v>547</v>
      </c>
      <c r="AJ360" s="98">
        <f t="shared" si="1783"/>
        <v>2.2429906542056122</v>
      </c>
      <c r="AK360" s="182">
        <f>AK358+AK359+AK356+AK357</f>
        <v>569</v>
      </c>
      <c r="AL360" s="98">
        <f t="shared" si="1784"/>
        <v>8.3809523809523778</v>
      </c>
      <c r="AM360" s="182">
        <f>AM358+AM359+AM356+AM357</f>
        <v>609</v>
      </c>
      <c r="AN360" s="98">
        <f t="shared" si="1785"/>
        <v>1.4999999999999902</v>
      </c>
      <c r="AO360" s="182">
        <f>AO358+AO359+AO356+AO357</f>
        <v>695</v>
      </c>
      <c r="AP360" s="98">
        <f t="shared" si="1786"/>
        <v>6.7588325652841785</v>
      </c>
      <c r="AQ360" s="182">
        <f>AQ358+AQ359+AQ356+AQ357</f>
        <v>632</v>
      </c>
      <c r="AR360" s="98">
        <f t="shared" si="1787"/>
        <v>15.539305301645335</v>
      </c>
      <c r="AS360" s="182">
        <f>AS358+AS359+AS356+AS357</f>
        <v>715</v>
      </c>
      <c r="AT360" s="98">
        <f t="shared" si="1788"/>
        <v>25.659050966608078</v>
      </c>
      <c r="AU360" s="182">
        <f>AU358+AU359+AU356+AU357</f>
        <v>952</v>
      </c>
      <c r="AV360" s="98">
        <f t="shared" si="1789"/>
        <v>56.321839080459782</v>
      </c>
      <c r="AW360" s="182">
        <f>AW358+AW359+AW356+AW357</f>
        <v>1035</v>
      </c>
      <c r="AX360" s="98">
        <f t="shared" si="1790"/>
        <v>48.920863309352526</v>
      </c>
      <c r="AY360" s="182">
        <f>AY358+AY359+AY356+AY357</f>
        <v>920</v>
      </c>
      <c r="AZ360" s="98">
        <f t="shared" si="1791"/>
        <v>45.569620253164558</v>
      </c>
      <c r="BA360" s="182">
        <f>BA358+BA359+BA356+BA357</f>
        <v>1012</v>
      </c>
      <c r="BB360" s="98">
        <f t="shared" si="1792"/>
        <v>41.538461538461547</v>
      </c>
      <c r="BC360" s="182">
        <f>BC358+BC359+BC356+BC357</f>
        <v>1037</v>
      </c>
      <c r="BD360" s="98">
        <f t="shared" si="1793"/>
        <v>8.9285714285714199</v>
      </c>
      <c r="BE360" s="182">
        <f>BE358+BE359+BE356+BE357</f>
        <v>1201</v>
      </c>
      <c r="BF360" s="98">
        <f t="shared" si="1794"/>
        <v>16.038647342995162</v>
      </c>
      <c r="BG360" s="182">
        <f>BG358+BG359+BG356+BG357</f>
        <v>1043</v>
      </c>
      <c r="BH360" s="98">
        <f t="shared" si="1795"/>
        <v>13.369565217391299</v>
      </c>
      <c r="BI360" s="182">
        <f>BI358+BI359+BI356+BI357</f>
        <v>1131</v>
      </c>
      <c r="BJ360" s="98">
        <f t="shared" si="1796"/>
        <v>11.758893280632421</v>
      </c>
      <c r="BK360" s="182">
        <f>BK358+BK359+BK356+BK357</f>
        <v>1192</v>
      </c>
      <c r="BL360" s="98">
        <f t="shared" si="1797"/>
        <v>14.946962391513985</v>
      </c>
      <c r="BM360" s="182">
        <f>BM358+BM359+BM356+BM357</f>
        <v>1258</v>
      </c>
      <c r="BN360" s="98">
        <f t="shared" si="1798"/>
        <v>4.7460449625312151</v>
      </c>
      <c r="BO360" s="182">
        <f>BO358+BO359+BO356+BO357</f>
        <v>1238</v>
      </c>
      <c r="BP360" s="98">
        <f t="shared" si="1799"/>
        <v>18.696069031639496</v>
      </c>
      <c r="BQ360" s="182">
        <f>BQ358+BQ359+BQ356+BQ357</f>
        <v>1390</v>
      </c>
      <c r="BR360" s="98">
        <f t="shared" si="1800"/>
        <v>22.900088417329801</v>
      </c>
      <c r="BS360" s="182">
        <f>BS358+BS359+BS356+BS357</f>
        <v>1287</v>
      </c>
      <c r="BT360" s="98">
        <f t="shared" si="1801"/>
        <v>7.969798657718119</v>
      </c>
      <c r="BU360" s="182">
        <f>BU358+BU359+BU356+BU357</f>
        <v>1112</v>
      </c>
      <c r="BV360" s="98">
        <f t="shared" si="1802"/>
        <v>-11.605723370429255</v>
      </c>
      <c r="BW360" s="182">
        <f>BW358+BW359+BW356+BW357</f>
        <v>914</v>
      </c>
      <c r="BX360" s="98">
        <f t="shared" si="1803"/>
        <v>-26.171243941841681</v>
      </c>
      <c r="BY360" s="182">
        <f>BY358+BY359+BY356+BY357</f>
        <v>1154</v>
      </c>
      <c r="BZ360" s="98">
        <f t="shared" si="1804"/>
        <v>-16.978417266187051</v>
      </c>
      <c r="CA360" s="182">
        <f>CA358+CA359+CA356+CA357</f>
        <v>1302</v>
      </c>
      <c r="CB360" s="98">
        <f t="shared" si="1805"/>
        <v>1.1655011655011593</v>
      </c>
      <c r="CC360" s="182">
        <f>CC358+CC359+CC356+CC357</f>
        <v>1461</v>
      </c>
      <c r="CD360" s="98">
        <f t="shared" si="1806"/>
        <v>31.384892086330929</v>
      </c>
      <c r="CE360" s="182">
        <f>CE358+CE359+CE356+CE357</f>
        <v>1341</v>
      </c>
      <c r="CF360" s="98">
        <f t="shared" si="1807"/>
        <v>46.717724288840266</v>
      </c>
      <c r="CG360" s="182">
        <f>CG358+CG359+CG356+CG357</f>
        <v>1223</v>
      </c>
      <c r="CH360" s="98">
        <f t="shared" si="1808"/>
        <v>5.9792027729635988</v>
      </c>
      <c r="CI360" s="182">
        <f>CI358+CI359+CI356+CI357</f>
        <v>1446</v>
      </c>
      <c r="CJ360" s="98">
        <f t="shared" si="1809"/>
        <v>11.059907834101379</v>
      </c>
      <c r="CK360" s="182">
        <f>CK358+CK359+CK356+CK357</f>
        <v>1540</v>
      </c>
      <c r="CL360" s="98">
        <f t="shared" si="1810"/>
        <v>5.4072553045859006</v>
      </c>
      <c r="CM360" s="182">
        <f>CM358+CM359+CM356+CM357</f>
        <v>874</v>
      </c>
      <c r="CN360" s="98">
        <f t="shared" si="1811"/>
        <v>-34.824757643549589</v>
      </c>
      <c r="CO360" s="182">
        <f>CO358+CO359+CO356+CO357</f>
        <v>922</v>
      </c>
      <c r="CP360" s="98">
        <f t="shared" si="1812"/>
        <v>-24.611610793131643</v>
      </c>
      <c r="CQ360" s="182">
        <f>CQ358+CQ359+CQ356+CQ357</f>
        <v>771</v>
      </c>
      <c r="CR360" s="98">
        <f t="shared" si="1812"/>
        <v>-46.680497925311201</v>
      </c>
      <c r="CS360" s="182">
        <f>CS358+CS359+CS356+CS357</f>
        <v>733</v>
      </c>
      <c r="CT360" s="98" t="str">
        <f t="shared" si="1812"/>
        <v>NM</v>
      </c>
      <c r="CU360" s="182">
        <f>CU358+CU359+CU356+CU357</f>
        <v>812</v>
      </c>
      <c r="CV360" s="98">
        <f t="shared" si="1813"/>
        <v>-7.0938215102974826</v>
      </c>
      <c r="CW360" s="182">
        <f>CW358+CW359+CW356+CW357</f>
        <v>737</v>
      </c>
      <c r="CX360" s="98">
        <f t="shared" si="1814"/>
        <v>-20.065075921908893</v>
      </c>
      <c r="CY360" s="182">
        <f>CY358+CY359+CY356+CY357</f>
        <v>675</v>
      </c>
      <c r="CZ360" s="98">
        <f t="shared" si="1815"/>
        <v>-12.45136186770428</v>
      </c>
      <c r="DA360" s="182">
        <f>DA358+DA359+DA356+DA357</f>
        <v>718</v>
      </c>
      <c r="DB360" s="98">
        <f t="shared" si="1816"/>
        <v>-2.046384720327421</v>
      </c>
      <c r="DC360" s="182">
        <f>DC358+DC359+DC356+DC357</f>
        <v>692</v>
      </c>
      <c r="DD360" s="98">
        <f t="shared" si="1817"/>
        <v>-14.778325123152714</v>
      </c>
      <c r="DE360" s="182">
        <f>DE358+DE359+DE356+DE357</f>
        <v>744</v>
      </c>
      <c r="DF360" s="98">
        <f t="shared" si="1818"/>
        <v>0.94979647218453866</v>
      </c>
      <c r="DG360" s="182">
        <f>DG358+DG359+DG356+DG357</f>
        <v>703</v>
      </c>
      <c r="DH360" s="98">
        <f t="shared" si="1819"/>
        <v>4.1481481481481453</v>
      </c>
      <c r="DI360" s="182">
        <f>DI358+DI359+DI356+DI357</f>
        <v>732</v>
      </c>
      <c r="DJ360" s="98">
        <f t="shared" si="1820"/>
        <v>1.9498607242339761</v>
      </c>
      <c r="DK360" s="182">
        <f>DK358+DK359+DK356+DK357</f>
        <v>738</v>
      </c>
      <c r="DL360" s="98">
        <f t="shared" si="1821"/>
        <v>6.6473988439306408</v>
      </c>
      <c r="DM360" s="182">
        <f>DM358+DM359+DM356+DM357</f>
        <v>746</v>
      </c>
      <c r="DN360" s="98">
        <f t="shared" si="1822"/>
        <v>0.26881720430107503</v>
      </c>
      <c r="DO360" s="182">
        <f>DO358+DO359+DO356+DO357</f>
        <v>738</v>
      </c>
      <c r="DP360" s="98">
        <f t="shared" si="1822"/>
        <v>4.9786628733997196</v>
      </c>
      <c r="DQ360" s="182">
        <f>DQ358+DQ359+DQ356+DQ357</f>
        <v>727</v>
      </c>
      <c r="DR360" s="98">
        <f t="shared" si="1822"/>
        <v>-0.68306010928961269</v>
      </c>
      <c r="DS360" s="182">
        <f>DS358+DS359+DS356+DS357</f>
        <v>622</v>
      </c>
      <c r="DT360" s="98">
        <f t="shared" si="1822"/>
        <v>-15.718157181571812</v>
      </c>
      <c r="DU360" s="182">
        <f>DU358+DU359+DU356+DU357</f>
        <v>685</v>
      </c>
      <c r="DV360" s="98">
        <f t="shared" si="1822"/>
        <v>-8.1769436997319094</v>
      </c>
      <c r="DW360" s="182">
        <f>DW358+DW359+DW356+DW357</f>
        <v>627</v>
      </c>
      <c r="DX360" s="98">
        <f t="shared" si="1822"/>
        <v>-15.040650406504064</v>
      </c>
      <c r="DY360" s="182">
        <f>DY358+DY359+DY356+DY357</f>
        <v>652</v>
      </c>
      <c r="DZ360" s="98">
        <f t="shared" si="1822"/>
        <v>-10.316368638239338</v>
      </c>
      <c r="EA360" s="182">
        <f>EA358+EA359+EA356+EA357</f>
        <v>621</v>
      </c>
      <c r="EB360" s="98">
        <f t="shared" si="1823"/>
        <v>-0.1607717041800627</v>
      </c>
      <c r="EC360" s="182">
        <f>EC358+EC359+EC356+EC357</f>
        <v>642</v>
      </c>
      <c r="ED360" s="98">
        <f t="shared" si="1824"/>
        <v>-6.2773722627737172</v>
      </c>
      <c r="EE360" s="182">
        <f>EE358+EE359+EE356+EE357</f>
        <v>617</v>
      </c>
      <c r="EF360" s="860">
        <f t="shared" si="1825"/>
        <v>-1.5948963317384379</v>
      </c>
      <c r="EG360" s="182">
        <f>EG358+EG359+EG356+EG357</f>
        <v>614</v>
      </c>
      <c r="EH360" s="860">
        <f t="shared" si="1826"/>
        <v>-5.8282208588957047</v>
      </c>
      <c r="EI360" s="182">
        <f>EI358+EI359+EI356+EI357</f>
        <v>601</v>
      </c>
      <c r="EJ360" s="860">
        <f t="shared" si="1827"/>
        <v>-3.2206119162640934</v>
      </c>
      <c r="EK360" s="182">
        <f>EK358+EK359+EK356+EK357</f>
        <v>617</v>
      </c>
      <c r="EL360" s="860">
        <f t="shared" si="1828"/>
        <v>-3.8940809968847301</v>
      </c>
      <c r="EM360" s="182">
        <f>EM358+EM359+EM356+EM357</f>
        <v>619</v>
      </c>
      <c r="EN360" s="860">
        <f t="shared" si="1829"/>
        <v>0.32414910858995505</v>
      </c>
      <c r="EO360" s="182">
        <f>EO358+EO359+EO356+EO357</f>
        <v>640</v>
      </c>
      <c r="EP360" s="98">
        <f t="shared" si="1830"/>
        <v>4.2345276872964188</v>
      </c>
      <c r="EQ360" s="182">
        <f>EQ358+EQ359+EQ356+EQ357</f>
        <v>654.75579999999991</v>
      </c>
      <c r="ER360" s="98">
        <f t="shared" si="1831"/>
        <v>8.9443926788685282</v>
      </c>
      <c r="ES360" s="182">
        <f t="shared" ref="ES360" si="1851">ES358+ES359+ES356+ES357</f>
        <v>667.20639099999994</v>
      </c>
      <c r="ET360" s="98">
        <f t="shared" si="1833"/>
        <v>8.1371784440842596</v>
      </c>
      <c r="EU360" s="182">
        <f t="shared" ref="EU360" si="1852">EU358+EU359+EU356+EU357</f>
        <v>679.89632594499994</v>
      </c>
      <c r="EV360" s="98">
        <f t="shared" si="1835"/>
        <v>9.8378555646203569</v>
      </c>
      <c r="EW360" s="182">
        <f t="shared" ref="EW360" si="1853">EW358+EW359+EW356+EW357</f>
        <v>692.83024669577503</v>
      </c>
      <c r="EX360" s="98">
        <f t="shared" si="1837"/>
        <v>8.2547260462148451</v>
      </c>
      <c r="EY360" s="182"/>
      <c r="EZ360" s="594"/>
      <c r="FA360" s="405"/>
      <c r="FB360" s="182">
        <f>FB358+FB359+FB356+FB357</f>
        <v>1102</v>
      </c>
      <c r="FC360" s="182"/>
      <c r="FD360" s="182">
        <f>FD358+FD359+FD356+FD357</f>
        <v>785</v>
      </c>
      <c r="FE360" s="98">
        <f>IF(ISERROR((FD360/FB360-1)*100),"NA",IF(((FD360/FB360-1)*100)&gt;100,"NM",IF(((FD360/FB360-1)*100)&lt;-50,"NM",(FD360/FB360-1)*100)))</f>
        <v>-28.765880217785845</v>
      </c>
      <c r="FF360" s="182">
        <f>FF358+FF359+FF356+FF357</f>
        <v>938</v>
      </c>
      <c r="FG360" s="98">
        <f>IF(ISERROR((FF360/FD360-1)*100),"NA",IF(((FF360/FD360-1)*100)&gt;100,"NM",IF(((FF360/FD360-1)*100)&lt;-50,"NM",(FF360/FD360-1)*100)))</f>
        <v>19.490445859872608</v>
      </c>
      <c r="FH360" s="182">
        <f>FH358+FH359+FH356+FH357</f>
        <v>1105</v>
      </c>
      <c r="FI360" s="98">
        <f>IF(ISERROR((FH360/FF360-1)*100),"NA",IF(((FH360/FF360-1)*100)&gt;100,"NM",IF(((FH360/FF360-1)*100)&lt;-50,"NM",(FH360/FF360-1)*100)))</f>
        <v>17.803837953091683</v>
      </c>
      <c r="FJ360" s="182">
        <f>FJ358+FJ359+FJ356+FJ357</f>
        <v>2009</v>
      </c>
      <c r="FK360" s="98">
        <f>IF(ISERROR((FJ360/FH360-1)*100),"NA",IF(((FJ360/FH360-1)*100)&gt;100,"NM",IF(((FJ360/FH360-1)*100)&lt;-50,"NM",(FJ360/FH360-1)*100)))</f>
        <v>81.809954751131215</v>
      </c>
      <c r="FL360" s="182">
        <f>FL358+FL359+FL356+FL357</f>
        <v>2311</v>
      </c>
      <c r="FM360" s="98">
        <f>IF(ISERROR((FL360/FJ360-1)*100),"NA",IF(((FL360/FJ360-1)*100)&gt;100,"NM",IF(((FL360/FJ360-1)*100)&lt;-50,"NM",(FL360/FJ360-1)*100)))</f>
        <v>15.032354405176696</v>
      </c>
      <c r="FN360" s="182">
        <f>FN358+FN359+FN356+FN357</f>
        <v>2420</v>
      </c>
      <c r="FO360" s="98">
        <f>IF(ISERROR((FN360/FL360-1)*100),"NA",IF(((FN360/FL360-1)*100)&gt;100,"NM",IF(((FN360/FL360-1)*100)&lt;-50,"NM",(FN360/FL360-1)*100)))</f>
        <v>4.7165729121592337</v>
      </c>
      <c r="FP360" s="182">
        <f>FP358+FP359+FP356+FP357</f>
        <v>3334</v>
      </c>
      <c r="FQ360" s="98">
        <f>IF(ISERROR((FP360/FN360-1)*100),"NA",IF(((FP360/FN360-1)*100)&gt;100,"NM",IF(((FP360/FN360-1)*100)&lt;-50,"NM",(FP360/FN360-1)*100)))</f>
        <v>37.768595041322307</v>
      </c>
      <c r="FR360" s="197">
        <f>FR358+FR359+FR356+FR357</f>
        <v>4170</v>
      </c>
      <c r="FS360" s="120">
        <f>IF(ISERROR((FR360/FP360-1)*100),"NA",IF(((FR360/FP360-1)*100)&gt;100,"NM",IF(((FR360/FP360-1)*100)&lt;-50,"NM",(FR360/FP360-1)*100)))</f>
        <v>25.074985002999405</v>
      </c>
      <c r="FT360" s="197">
        <f>FT358+FT359+FT356+FT357</f>
        <v>4624</v>
      </c>
      <c r="FU360" s="120">
        <f>IF(ISERROR((FT360/FR360-1)*100),"NA",IF(((FT360/FR360-1)*100)&gt;100,"NM",IF(((FT360/FR360-1)*100)&lt;-50,"NM",(FT360/FR360-1)*100)))</f>
        <v>10.887290167865714</v>
      </c>
      <c r="FV360" s="197">
        <f>FV358+FV359+FV356+FV357</f>
        <v>5027</v>
      </c>
      <c r="FW360" s="98">
        <f>IF(ISERROR((FV360/FT360-1)*100),"NA",IF(((FV360/FT360-1)*100)&gt;100,"NM",IF(((FV360/FT360-1)*100)&lt;-50,"NM",(FV360/FT360-1)*100)))</f>
        <v>8.7153979238754342</v>
      </c>
      <c r="FX360" s="502">
        <f>FX358+FX359+FX356+FX357</f>
        <v>4831</v>
      </c>
      <c r="FY360" s="98">
        <f>IF(ISERROR((FX360/FV360-1)*100),"NA",IF(((FX360/FV360-1)*100)&gt;100,"NM",IF(((FX360/FV360-1)*100)&lt;-50,"NM",(FX360/FV360-1)*100)))</f>
        <v>-3.898945693256417</v>
      </c>
      <c r="FZ360" s="197">
        <f>FZ358+FZ359+FZ356+FZ357</f>
        <v>5550</v>
      </c>
      <c r="GA360" s="98">
        <f>IF(ISERROR((FZ360/FX360-1)*100),"NA",IF(((FZ360/FX360-1)*100)&gt;100,"NM",IF(((FZ360/FX360-1)*100)&lt;-50,"NM",(FZ360/FX360-1)*100)))</f>
        <v>14.883046988201198</v>
      </c>
      <c r="GB360" s="512">
        <f>GB358+GB359+GB356+GB357</f>
        <v>3070</v>
      </c>
      <c r="GC360" s="98">
        <f>IF(ISERROR((GB360/FZ360-1)*100),"NA",IF(((GB360/FZ360-1)*100)&gt;100,"NM",IF(((GB360/FZ360-1)*100)&lt;-50,"NM",(GB360/FZ360-1)*100)))</f>
        <v>-44.684684684684683</v>
      </c>
      <c r="GD360" s="197">
        <f>GD358+GD359+GD356+GD357</f>
        <v>2942</v>
      </c>
      <c r="GE360" s="98">
        <f t="shared" si="1838"/>
        <v>-4.1693811074918541</v>
      </c>
      <c r="GF360" s="197">
        <f>GF358+GF359+GF356+GF357</f>
        <v>2871</v>
      </c>
      <c r="GG360" s="98">
        <f t="shared" si="1838"/>
        <v>-2.4133242692046197</v>
      </c>
      <c r="GH360" s="197">
        <f>GH358+GH359+GH356+GH357</f>
        <v>2949</v>
      </c>
      <c r="GI360" s="98">
        <f t="shared" si="1838"/>
        <v>2.7168234064785857</v>
      </c>
      <c r="GJ360" s="182">
        <f>GJ358+GJ359+GJ356+GJ357</f>
        <v>2586</v>
      </c>
      <c r="GK360" s="98">
        <f t="shared" si="1838"/>
        <v>-12.309257375381488</v>
      </c>
      <c r="GL360" s="182">
        <f>GL358+GL359+GL356+GL357</f>
        <v>2494</v>
      </c>
      <c r="GM360" s="98">
        <f t="shared" si="1838"/>
        <v>-3.5576179427687538</v>
      </c>
      <c r="GN360" s="182">
        <f>GN358+GN359+GN356+GN357</f>
        <v>2477</v>
      </c>
      <c r="GO360" s="98">
        <f t="shared" si="1838"/>
        <v>-0.68163592622293434</v>
      </c>
      <c r="GP360" s="182">
        <f>GP358+GP359+GP356+GP357</f>
        <v>2694.6887636407751</v>
      </c>
      <c r="GQ360" s="98">
        <f t="shared" si="1838"/>
        <v>8.7884038611536255</v>
      </c>
      <c r="GR360" s="182">
        <f>GR358+GR359+GR356+GR357</f>
        <v>2908.6583573197549</v>
      </c>
      <c r="GS360" s="98">
        <f t="shared" si="1838"/>
        <v>7.9404195603609118</v>
      </c>
      <c r="GT360" s="182">
        <f>GT358+GT359+GT356+GT357</f>
        <v>3170.437609478533</v>
      </c>
      <c r="GU360" s="98">
        <f t="shared" si="1838"/>
        <v>9.0000000000000071</v>
      </c>
      <c r="GV360" s="182">
        <f>GV358+GV359+GV356+GV357</f>
        <v>3455.7769943316016</v>
      </c>
      <c r="GW360" s="98">
        <f t="shared" si="1838"/>
        <v>9.0000000000000302</v>
      </c>
      <c r="GX360" s="182">
        <f>GX358+GX359+GX356+GX357</f>
        <v>3798.0709260691742</v>
      </c>
      <c r="GY360" s="98">
        <f t="shared" si="1839"/>
        <v>9.904977442092644</v>
      </c>
      <c r="GZ360" s="98">
        <f>IF(ISERROR(((GX360/GN360)^0.2-1)*100),"NA",IF((((GX360/GN360)^0.2-1)*100)&gt;100,"NM",IF((((GX360/GN360)^0.2-1)*100)&lt;-50,"NM",((GX360/GN360)^0.2-1)*100)))</f>
        <v>8.9249609224052673</v>
      </c>
      <c r="HA360" s="98"/>
      <c r="HB360" s="10"/>
      <c r="HC360"/>
      <c r="HD360"/>
      <c r="HE360"/>
      <c r="HF360"/>
      <c r="HG360"/>
      <c r="HH360"/>
      <c r="HI360" s="10"/>
    </row>
    <row r="361" spans="1:217" s="2" customFormat="1" ht="12.75" customHeight="1" x14ac:dyDescent="0.2">
      <c r="B361" s="179"/>
      <c r="C361" s="101"/>
      <c r="D361" s="98"/>
      <c r="E361" s="101"/>
      <c r="F361" s="98"/>
      <c r="G361" s="101"/>
      <c r="H361" s="98"/>
      <c r="I361" s="101"/>
      <c r="J361" s="98"/>
      <c r="K361" s="101"/>
      <c r="L361" s="98"/>
      <c r="M361" s="101"/>
      <c r="N361" s="98"/>
      <c r="O361" s="101"/>
      <c r="P361" s="98"/>
      <c r="Q361" s="101"/>
      <c r="R361" s="98"/>
      <c r="S361" s="101"/>
      <c r="T361" s="98"/>
      <c r="U361" s="101"/>
      <c r="V361" s="98"/>
      <c r="W361" s="101"/>
      <c r="X361" s="98"/>
      <c r="Y361" s="101"/>
      <c r="Z361" s="98"/>
      <c r="AA361" s="101"/>
      <c r="AB361" s="98"/>
      <c r="AC361" s="101"/>
      <c r="AD361" s="98"/>
      <c r="AE361" s="101"/>
      <c r="AF361" s="98"/>
      <c r="AG361" s="101"/>
      <c r="AH361" s="98"/>
      <c r="AI361" s="101"/>
      <c r="AJ361" s="98"/>
      <c r="AK361" s="101"/>
      <c r="AL361" s="98"/>
      <c r="AM361" s="101"/>
      <c r="AN361" s="98"/>
      <c r="AO361" s="101"/>
      <c r="AP361" s="98"/>
      <c r="AQ361" s="101"/>
      <c r="AR361" s="98"/>
      <c r="AS361" s="101"/>
      <c r="AT361" s="98"/>
      <c r="AU361" s="101"/>
      <c r="AV361" s="98"/>
      <c r="AW361" s="101"/>
      <c r="AX361" s="98"/>
      <c r="AY361" s="101"/>
      <c r="AZ361" s="98"/>
      <c r="BA361" s="101"/>
      <c r="BB361" s="98"/>
      <c r="BC361" s="101"/>
      <c r="BD361" s="98"/>
      <c r="BE361" s="101"/>
      <c r="BF361" s="98"/>
      <c r="BG361" s="101"/>
      <c r="BH361" s="98"/>
      <c r="BI361" s="101"/>
      <c r="BJ361" s="98"/>
      <c r="BK361" s="101"/>
      <c r="BL361" s="98"/>
      <c r="BM361" s="101"/>
      <c r="BN361" s="98"/>
      <c r="BO361" s="101"/>
      <c r="BP361" s="98"/>
      <c r="BQ361" s="101"/>
      <c r="BR361" s="98"/>
      <c r="BS361" s="101"/>
      <c r="BT361" s="98"/>
      <c r="BU361" s="101"/>
      <c r="BV361" s="98"/>
      <c r="BW361" s="101"/>
      <c r="BX361" s="98"/>
      <c r="BY361" s="101"/>
      <c r="BZ361" s="98"/>
      <c r="CA361" s="101"/>
      <c r="CB361" s="98"/>
      <c r="CC361" s="101"/>
      <c r="CD361" s="98"/>
      <c r="CE361" s="101"/>
      <c r="CF361" s="98"/>
      <c r="CG361" s="101"/>
      <c r="CH361" s="98"/>
      <c r="CI361" s="101"/>
      <c r="CJ361" s="98"/>
      <c r="CK361" s="101"/>
      <c r="CL361" s="98"/>
      <c r="CM361" s="101"/>
      <c r="CN361" s="98"/>
      <c r="CO361" s="101"/>
      <c r="CP361" s="98"/>
      <c r="CQ361" s="542"/>
      <c r="CR361" s="98"/>
      <c r="CS361" s="101"/>
      <c r="CT361" s="98"/>
      <c r="CU361" s="101"/>
      <c r="CV361" s="98"/>
      <c r="CW361" s="101"/>
      <c r="CX361" s="98"/>
      <c r="CY361" s="101"/>
      <c r="CZ361" s="98"/>
      <c r="DA361" s="101"/>
      <c r="DB361" s="98"/>
      <c r="DC361" s="101"/>
      <c r="DD361" s="98"/>
      <c r="DE361" s="101"/>
      <c r="DF361" s="98"/>
      <c r="DG361" s="101"/>
      <c r="DH361" s="98"/>
      <c r="DI361" s="101"/>
      <c r="DJ361" s="98"/>
      <c r="DK361" s="101"/>
      <c r="DL361" s="98"/>
      <c r="DM361" s="101"/>
      <c r="DN361" s="98"/>
      <c r="DO361" s="101"/>
      <c r="DP361" s="98"/>
      <c r="DQ361" s="101"/>
      <c r="DR361" s="98"/>
      <c r="DS361" s="101"/>
      <c r="DT361" s="98"/>
      <c r="DU361" s="101"/>
      <c r="DV361" s="98"/>
      <c r="DW361" s="101"/>
      <c r="DX361" s="98"/>
      <c r="DY361" s="101"/>
      <c r="DZ361" s="98"/>
      <c r="EA361" s="101"/>
      <c r="EB361" s="98"/>
      <c r="EC361" s="101"/>
      <c r="ED361" s="98"/>
      <c r="EE361" s="101"/>
      <c r="EF361" s="860"/>
      <c r="EG361" s="101"/>
      <c r="EH361" s="860"/>
      <c r="EI361" s="101"/>
      <c r="EJ361" s="860"/>
      <c r="EK361" s="101"/>
      <c r="EL361" s="860"/>
      <c r="EM361" s="101"/>
      <c r="EN361" s="860"/>
      <c r="EO361" s="101"/>
      <c r="EP361" s="98"/>
      <c r="EQ361" s="1023"/>
      <c r="ER361" s="98"/>
      <c r="ES361" s="1023"/>
      <c r="ET361" s="98"/>
      <c r="EU361" s="1023"/>
      <c r="EV361" s="98"/>
      <c r="EW361" s="1023"/>
      <c r="EX361" s="98"/>
      <c r="EY361" s="119"/>
      <c r="EZ361" s="594"/>
      <c r="FA361" s="405"/>
      <c r="FB361" s="121"/>
      <c r="FC361" s="98"/>
      <c r="FD361" s="101"/>
      <c r="FE361" s="98"/>
      <c r="FF361" s="118"/>
      <c r="FG361" s="98"/>
      <c r="FH361" s="118"/>
      <c r="FI361" s="98"/>
      <c r="FJ361" s="118"/>
      <c r="FK361" s="98"/>
      <c r="FL361" s="118"/>
      <c r="FM361" s="98"/>
      <c r="FN361" s="118"/>
      <c r="FO361" s="98"/>
      <c r="FP361" s="118"/>
      <c r="FQ361" s="98"/>
      <c r="FR361" s="119"/>
      <c r="FS361" s="120"/>
      <c r="FT361" s="119"/>
      <c r="FU361" s="120"/>
      <c r="FV361" s="119"/>
      <c r="FW361" s="98"/>
      <c r="FX361" s="485"/>
      <c r="FY361" s="98"/>
      <c r="FZ361" s="119"/>
      <c r="GA361" s="98"/>
      <c r="GB361" s="485"/>
      <c r="GC361" s="98"/>
      <c r="GD361" s="119"/>
      <c r="GE361" s="98"/>
      <c r="GF361" s="119"/>
      <c r="GG361" s="98"/>
      <c r="GH361" s="119"/>
      <c r="GI361" s="98"/>
      <c r="GJ361" s="119"/>
      <c r="GK361" s="98"/>
      <c r="GL361" s="119"/>
      <c r="GM361" s="98"/>
      <c r="GN361" s="119"/>
      <c r="GO361" s="98"/>
      <c r="GP361" s="119"/>
      <c r="GQ361" s="98"/>
      <c r="GR361" s="119"/>
      <c r="GS361" s="98"/>
      <c r="GT361" s="119"/>
      <c r="GU361" s="98"/>
      <c r="GV361" s="119"/>
      <c r="GW361" s="98"/>
      <c r="GX361" s="119"/>
      <c r="GY361" s="98"/>
      <c r="GZ361" s="98"/>
      <c r="HA361" s="98"/>
      <c r="HB361" s="10"/>
      <c r="HC361"/>
      <c r="HD361"/>
      <c r="HE361"/>
      <c r="HF361"/>
      <c r="HG361"/>
      <c r="HH361"/>
      <c r="HI361" s="10"/>
    </row>
    <row r="362" spans="1:217" s="2" customFormat="1" ht="12.75" customHeight="1" x14ac:dyDescent="0.2">
      <c r="B362" s="91" t="s">
        <v>6</v>
      </c>
      <c r="C362" s="291">
        <f>+C356/C349*100</f>
        <v>90.410958904109577</v>
      </c>
      <c r="D362" s="98"/>
      <c r="E362" s="291">
        <f>+E356/E349*100</f>
        <v>89.595375722543352</v>
      </c>
      <c r="F362" s="98"/>
      <c r="G362" s="291">
        <f>+G356/G349*100</f>
        <v>91.358024691358025</v>
      </c>
      <c r="H362" s="98"/>
      <c r="I362" s="291">
        <f>+I356/I349*100</f>
        <v>89.385474860335194</v>
      </c>
      <c r="J362" s="98"/>
      <c r="K362" s="291">
        <f>+K356/K349*100</f>
        <v>87.005649717514117</v>
      </c>
      <c r="L362" s="98">
        <f>IF(ISERROR((K362/C362-1)*100),"NA",IF(((K362/C362-1)*100)&gt;100,"NM",IF(((K362/C362-1)*100)&lt;-50,"NM",(K362/C362-1)*100)))</f>
        <v>-3.7664783427495241</v>
      </c>
      <c r="M362" s="291">
        <f>+M356/M349*100</f>
        <v>86.734693877551024</v>
      </c>
      <c r="N362" s="98">
        <f>IF(ISERROR((M362/E362-1)*100),"NA",IF(((M362/E362-1)*100)&gt;100,"NM",IF(((M362/E362-1)*100)&lt;-50,"NM",(M362/E362-1)*100)))</f>
        <v>-3.192890059249498</v>
      </c>
      <c r="O362" s="291">
        <f>+O356/O349*100</f>
        <v>80</v>
      </c>
      <c r="P362" s="98">
        <f>IF(ISERROR((O362/G362-1)*100),"NA",IF(((O362/G362-1)*100)&gt;100,"NM",IF(((O362/G362-1)*100)&lt;-50,"NM",(O362/G362-1)*100)))</f>
        <v>-12.432432432432428</v>
      </c>
      <c r="Q362" s="291">
        <f>+Q356/Q349*100</f>
        <v>88.593155893536121</v>
      </c>
      <c r="R362" s="98">
        <f>IF(ISERROR((Q362/I362-1)*100),"NA",IF(((Q362/I362-1)*100)&gt;100,"NM",IF(((Q362/I362-1)*100)&lt;-50,"NM",(Q362/I362-1)*100)))</f>
        <v>-0.88640684410645765</v>
      </c>
      <c r="S362" s="291">
        <f>+S356/S349*100</f>
        <v>90.133333333333326</v>
      </c>
      <c r="T362" s="98">
        <f>IF(ISERROR((S362/K362-1)*100),"NA",IF(((S362/K362-1)*100)&gt;100,"NM",IF(((S362/K362-1)*100)&lt;-50,"NM",(S362/K362-1)*100)))</f>
        <v>3.5948051948051951</v>
      </c>
      <c r="U362" s="291">
        <f>+U356/U349*100</f>
        <v>97.810218978102199</v>
      </c>
      <c r="V362" s="98">
        <f>IF(ISERROR((U362/M362-1)*100),"NA",IF(((U362/M362-1)*100)&gt;100,"NM",IF(((U362/M362-1)*100)&lt;-50,"NM",(U362/M362-1)*100)))</f>
        <v>12.769428939459004</v>
      </c>
      <c r="W362" s="291">
        <f>+W356/W349*100</f>
        <v>95.01312335958005</v>
      </c>
      <c r="X362" s="98">
        <f>IF(ISERROR((W362/O362-1)*100),"NA",IF(((W362/O362-1)*100)&gt;100,"NM",IF(((W362/O362-1)*100)&lt;-50,"NM",(W362/O362-1)*100)))</f>
        <v>18.766404199475062</v>
      </c>
      <c r="Y362" s="291">
        <f>+Y356/Y349*100</f>
        <v>94.594594594594597</v>
      </c>
      <c r="Z362" s="98">
        <f>IF(ISERROR((Y362/Q362-1)*100),"NA",IF(((Y362/Q362-1)*100)&gt;100,"NM",IF(((Y362/Q362-1)*100)&lt;-50,"NM",(Y362/Q362-1)*100)))</f>
        <v>6.7741561303793052</v>
      </c>
      <c r="AA362" s="291">
        <f>+AA356/AA349*100</f>
        <v>95.443037974683548</v>
      </c>
      <c r="AB362" s="98">
        <f>IF(ISERROR((AA362/S362-1)*100),"NA",IF(((AA362/S362-1)*100)&gt;100,"NM",IF(((AA362/S362-1)*100)&lt;-50,"NM",(AA362/S362-1)*100)))</f>
        <v>5.890944498539441</v>
      </c>
      <c r="AC362" s="291">
        <f>+AC356/AC349*100</f>
        <v>75.384615384615387</v>
      </c>
      <c r="AD362" s="98">
        <f>IF(ISERROR((AC362/U362-1)*100),"NA",IF(((AC362/U362-1)*100)&gt;100,"NM",IF(((AC362/U362-1)*100)&lt;-50,"NM",(AC362/U362-1)*100)))</f>
        <v>-22.927669345579794</v>
      </c>
      <c r="AE362" s="291">
        <f>+AE356/AE349*100</f>
        <v>92.134831460674164</v>
      </c>
      <c r="AF362" s="98">
        <f>IF(ISERROR((AE362/W362-1)*100),"NA",IF(((AE362/W362-1)*100)&gt;100,"NM",IF(((AE362/W362-1)*100)&lt;-50,"NM",(AE362/W362-1)*100)))</f>
        <v>-3.0293624681854814</v>
      </c>
      <c r="AG362" s="137">
        <f>+AG356/AG349*100</f>
        <v>95.535714285714292</v>
      </c>
      <c r="AH362" s="98">
        <f>IF(ISERROR((AG362/Y362-1)*100),"NA",IF(((AG362/Y362-1)*100)&gt;100,"NM",IF(((AG362/Y362-1)*100)&lt;-50,"NM",(AG362/Y362-1)*100)))</f>
        <v>0.99489795918368262</v>
      </c>
      <c r="AI362" s="137">
        <f>+AI356/AI349*100</f>
        <v>94.029850746268664</v>
      </c>
      <c r="AJ362" s="98">
        <f>IF(ISERROR((AI362/AA362-1)*100),"NA",IF(((AI362/AA362-1)*100)&gt;100,"NM",IF(((AI362/AA362-1)*100)&lt;-50,"NM",(AI362/AA362-1)*100)))</f>
        <v>-1.4806603586840272</v>
      </c>
      <c r="AK362" s="137">
        <f>+AK356/AK349*100</f>
        <v>102.04081632653062</v>
      </c>
      <c r="AL362" s="98">
        <f>IF(ISERROR((AK362/AC362-1)*100),"NA",IF(((AK362/AC362-1)*100)&gt;100,"NM",IF(((AK362/AC362-1)*100)&lt;-50,"NM",(AK362/AC362-1)*100)))</f>
        <v>35.360266555601825</v>
      </c>
      <c r="AM362" s="137">
        <f>+AM356/AM349*100</f>
        <v>97.025171624713963</v>
      </c>
      <c r="AN362" s="98">
        <f>IF(ISERROR((AM362/AE362-1)*100),"NA",IF(((AM362/AE362-1)*100)&gt;100,"NM",IF(((AM362/AE362-1)*100)&lt;-50,"NM",(AM362/AE362-1)*100)))</f>
        <v>5.3078082268236848</v>
      </c>
      <c r="AO362" s="137">
        <f>+AO356/AO349*100</f>
        <v>97.180043383947933</v>
      </c>
      <c r="AP362" s="98">
        <f>IF(ISERROR((AO362/AG362-1)*100),"NA",IF(((AO362/AG362-1)*100)&gt;100,"NM",IF(((AO362/AG362-1)*100)&lt;-50,"NM",(AO362/AG362-1)*100)))</f>
        <v>1.7211669065623214</v>
      </c>
      <c r="AQ362" s="137">
        <f>+AQ356/AQ349*100</f>
        <v>87.982832618025753</v>
      </c>
      <c r="AR362" s="98">
        <f>IF(ISERROR((AQ362/AI362-1)*100),"NA",IF(((AQ362/AI362-1)*100)&gt;100,"NM",IF(((AQ362/AI362-1)*100)&lt;-50,"NM",(AQ362/AI362-1)*100)))</f>
        <v>-6.4309557871789718</v>
      </c>
      <c r="AS362" s="137">
        <f>+AS356/AS349*100</f>
        <v>99.574468085106389</v>
      </c>
      <c r="AT362" s="98">
        <f>IF(ISERROR((AS362/AK362-1)*100),"NA",IF(((AS362/AK362-1)*100)&gt;100,"NM",IF(((AS362/AK362-1)*100)&lt;-50,"NM",(AS362/AK362-1)*100)))</f>
        <v>-2.4170212765957433</v>
      </c>
      <c r="AU362" s="137">
        <f>+AU356/AU349*100</f>
        <v>94.13680781758957</v>
      </c>
      <c r="AV362" s="98">
        <f>IF(ISERROR((AU362/AM362-1)*100),"NA",IF(((AU362/AM362-1)*100)&gt;100,"NM",IF(((AU362/AM362-1)*100)&lt;-50,"NM",(AU362/AM362-1)*100)))</f>
        <v>-2.9769221313994287</v>
      </c>
      <c r="AW362" s="137">
        <f>+AW356/AW349*100</f>
        <v>94.339622641509436</v>
      </c>
      <c r="AX362" s="98">
        <f>IF(ISERROR((AW362/AO362-1)*100),"NA",IF(((AW362/AO362-1)*100)&gt;100,"NM",IF(((AW362/AO362-1)*100)&lt;-50,"NM",(AW362/AO362-1)*100)))</f>
        <v>-2.9228436657681822</v>
      </c>
      <c r="AY362" s="137">
        <f>+AY356/AY349*100</f>
        <v>83.518225039619651</v>
      </c>
      <c r="AZ362" s="98">
        <f>IF(ISERROR((AY362/AQ362-1)*100),"NA",IF(((AY362/AQ362-1)*100)&gt;100,"NM",IF(((AY362/AQ362-1)*100)&lt;-50,"NM",(AY362/AQ362-1)*100)))</f>
        <v>-5.0744076378957175</v>
      </c>
      <c r="BA362" s="137">
        <f>+BA356/BA349*100</f>
        <v>88.757396449704146</v>
      </c>
      <c r="BB362" s="98">
        <f>IF(ISERROR((BA362/AS362-1)*100),"NA",IF(((BA362/AS362-1)*100)&gt;100,"NM",IF(((BA362/AS362-1)*100)&lt;-50,"NM",(BA362/AS362-1)*100)))</f>
        <v>-10.863298437262936</v>
      </c>
      <c r="BC362" s="137">
        <f>+BC356/BC349*100</f>
        <v>86.074074074074076</v>
      </c>
      <c r="BD362" s="98">
        <f>IF(ISERROR((BC362/AU362-1)*100),"NA",IF(((BC362/AU362-1)*100)&gt;100,"NM",IF(((BC362/AU362-1)*100)&lt;-50,"NM",(BC362/AU362-1)*100)))</f>
        <v>-8.5649109316929266</v>
      </c>
      <c r="BE362" s="137">
        <f>+BE356/BE349*100</f>
        <v>87.027027027027032</v>
      </c>
      <c r="BF362" s="98">
        <f>IF(ISERROR((BE362/AW362-1)*100),"NA",IF(((BE362/AW362-1)*100)&gt;100,"NM",IF(((BE362/AW362-1)*100)&lt;-50,"NM",(BE362/AW362-1)*100)))</f>
        <v>-7.7513513513513432</v>
      </c>
      <c r="BG362" s="137">
        <f>+BG356/BG349*100</f>
        <v>80.83916083916084</v>
      </c>
      <c r="BH362" s="98">
        <f>IF(ISERROR((BG362/AY362-1)*100),"NA",IF(((BG362/AY362-1)*100)&gt;100,"NM",IF(((BG362/AY362-1)*100)&lt;-50,"NM",(BG362/AY362-1)*100)))</f>
        <v>-3.2077599819535285</v>
      </c>
      <c r="BI362" s="137">
        <f>+BI356/BI349*100</f>
        <v>85.070785070785064</v>
      </c>
      <c r="BJ362" s="98">
        <f>IF(ISERROR((BI362/BA362-1)*100),"NA",IF(((BI362/BA362-1)*100)&gt;100,"NM",IF(((BI362/BA362-1)*100)&lt;-50,"NM",(BI362/BA362-1)*100)))</f>
        <v>-4.1535821535821693</v>
      </c>
      <c r="BK362" s="137">
        <f>+BK356/BK349*100</f>
        <v>90.769230769230774</v>
      </c>
      <c r="BL362" s="98">
        <f>IF(ISERROR((BK362/BC362-1)*100),"NA",IF(((BK362/BC362-1)*100)&gt;100,"NM",IF(((BK362/BC362-1)*100)&lt;-50,"NM",(BK362/BC362-1)*100)))</f>
        <v>5.4547861776777395</v>
      </c>
      <c r="BM362" s="137">
        <f>+BM356/BM349*100</f>
        <v>69.660194174757279</v>
      </c>
      <c r="BN362" s="98">
        <f>IF(ISERROR((BM362/BE362-1)*100),"NA",IF(((BM362/BE362-1)*100)&gt;100,"NM",IF(((BM362/BE362-1)*100)&lt;-50,"NM",(BM362/BE362-1)*100)))</f>
        <v>-19.955677501055302</v>
      </c>
      <c r="BO362" s="137">
        <f>+BO356/BO349*100</f>
        <v>84.292035398230098</v>
      </c>
      <c r="BP362" s="98">
        <f>IF(ISERROR((BO362/BG362-1)*100),"NA",IF(((BO362/BG362-1)*100)&gt;100,"NM",IF(((BO362/BG362-1)*100)&lt;-50,"NM",(BO362/BG362-1)*100)))</f>
        <v>4.2712894632085163</v>
      </c>
      <c r="BQ362" s="137">
        <f>+BQ356/BQ349*100</f>
        <v>90.217391304347828</v>
      </c>
      <c r="BR362" s="98">
        <f>IF(ISERROR((BQ362/BI362-1)*100),"NA",IF(((BQ362/BI362-1)*100)&gt;100,"NM",IF(((BQ362/BI362-1)*100)&lt;-50,"NM",(BQ362/BI362-1)*100)))</f>
        <v>6.0497928040518456</v>
      </c>
      <c r="BS362" s="137">
        <f>+BS356/BS349*100</f>
        <v>97.312430011198202</v>
      </c>
      <c r="BT362" s="98">
        <f>IF(ISERROR((BS362/BK362-1)*100),"NA",IF(((BS362/BK362-1)*100)&gt;100,"NM",IF(((BS362/BK362-1)*100)&lt;-50,"NM",(BS362/BK362-1)*100)))</f>
        <v>7.2086093343708857</v>
      </c>
      <c r="BU362" s="137">
        <f>+BU356/BU349*100</f>
        <v>96.148738379814077</v>
      </c>
      <c r="BV362" s="98">
        <f>IF(ISERROR((BU362/BM362-1)*100),"NA",IF(((BU362/BM362-1)*100)&gt;100,"NM",IF(((BU362/BM362-1)*100)&lt;-50,"NM",(BU362/BM362-1)*100)))</f>
        <v>38.025366594018827</v>
      </c>
      <c r="BW362" s="137">
        <f>+BW356/BW349*100</f>
        <v>76.005547850208046</v>
      </c>
      <c r="BX362" s="98">
        <f>IF(ISERROR((BW362/BO362-1)*100),"NA",IF(((BW362/BO362-1)*100)&gt;100,"NM",IF(((BW362/BO362-1)*100)&lt;-50,"NM",(BW362/BO362-1)*100)))</f>
        <v>-9.8306886396482103</v>
      </c>
      <c r="BY362" s="137">
        <f>+BY356/BY349*100</f>
        <v>77.220077220077215</v>
      </c>
      <c r="BZ362" s="98">
        <f>IF(ISERROR((BY362/BQ362-1)*100),"NA",IF(((BY362/BQ362-1)*100)&gt;100,"NM",IF(((BY362/BQ362-1)*100)&lt;-50,"NM",(BY362/BQ362-1)*100)))</f>
        <v>-14.406661394613208</v>
      </c>
      <c r="CA362" s="137">
        <f>+CA356/CA349*100</f>
        <v>81.221198156682021</v>
      </c>
      <c r="CB362" s="98">
        <f>IF(ISERROR((CA362/BS362-1)*100),"NA",IF(((CA362/BS362-1)*100)&gt;100,"NM",IF(((CA362/BS362-1)*100)&lt;-50,"NM",(CA362/BS362-1)*100)))</f>
        <v>-16.535638718162193</v>
      </c>
      <c r="CC362" s="137">
        <f>+CC356/CC349*100</f>
        <v>98.294762484774665</v>
      </c>
      <c r="CD362" s="98">
        <f>IF(ISERROR((CC362/BU362-1)*100),"NA",IF(((CC362/BU362-1)*100)&gt;100,"NM",IF(((CC362/BU362-1)*100)&lt;-50,"NM",(CC362/BU362-1)*100)))</f>
        <v>2.2319836340266797</v>
      </c>
      <c r="CE362" s="137">
        <f>+CE356/CE349*100</f>
        <v>92.503022974607021</v>
      </c>
      <c r="CF362" s="98">
        <f>IF(ISERROR((CE362/BW362-1)*100),"NA",IF(((CE362/BW362-1)*100)&gt;100,"NM",IF(((CE362/BW362-1)*100)&lt;-50,"NM",(CE362/BW362-1)*100)))</f>
        <v>21.705619643597917</v>
      </c>
      <c r="CG362" s="137">
        <f>+CG356/CG349*100</f>
        <v>91.921664626682983</v>
      </c>
      <c r="CH362" s="98">
        <f>IF(ISERROR((CG362/BY362-1)*100),"NA",IF(((CG362/BY362-1)*100)&gt;100,"NM",IF(((CG362/BY362-1)*100)&lt;-50,"NM",(CG362/BY362-1)*100)))</f>
        <v>19.03855569155446</v>
      </c>
      <c r="CI362" s="137">
        <f>+CI356/CI349*100</f>
        <v>86.902050113895214</v>
      </c>
      <c r="CJ362" s="98">
        <f>IF(ISERROR((CI362/CA362-1)*100),"NA",IF(((CI362/CA362-1)*100)&gt;100,"NM",IF(((CI362/CA362-1)*100)&lt;-50,"NM",(CI362/CA362-1)*100)))</f>
        <v>6.9942971615050364</v>
      </c>
      <c r="CK362" s="137">
        <f>+CK356/CK349*100</f>
        <v>70.172257479601086</v>
      </c>
      <c r="CL362" s="98">
        <f>IF(ISERROR((CK362/CC362-1)*100),"NA",IF(((CK362/CC362-1)*100)&gt;100,"NM",IF(((CK362/CC362-1)*100)&lt;-50,"NM",(CK362/CC362-1)*100)))</f>
        <v>-28.610379937109677</v>
      </c>
      <c r="CM362" s="137">
        <f>+CM356/CM349*100</f>
        <v>58.536585365853654</v>
      </c>
      <c r="CN362" s="98">
        <f>IF(ISERROR((CM362/CE362-1)*100),"NA",IF(((CM362/CE362-1)*100)&gt;100,"NM",IF(((CM362/CE362-1)*100)&lt;-50,"NM",(CM362/CE362-1)*100)))</f>
        <v>-36.719273075083706</v>
      </c>
      <c r="CO362" s="137">
        <f>+CO356/CO349*100</f>
        <v>57.329462989840351</v>
      </c>
      <c r="CP362" s="98">
        <f>IF(ISERROR((CO362/CG362-1)*100),"NA",IF(((CO362/CG362-1)*100)&gt;100,"NM",IF(((CO362/CG362-1)*100)&lt;-50,"NM",(CO362/CG362-1)*100)))</f>
        <v>-37.632261967111091</v>
      </c>
      <c r="CQ362" s="494">
        <f>+CQ356/CQ349*100</f>
        <v>54.126984126984127</v>
      </c>
      <c r="CR362" s="98">
        <f>IF(ISERROR((CQ362/CI362-1)*100),"NA",IF(((CQ362/CI362-1)*100)&gt;100,"NM",IF(((CQ362/CI362-1)*100)&lt;-50,"NM",(CQ362/CI362-1)*100)))</f>
        <v>-37.71495142399467</v>
      </c>
      <c r="CS362" s="137">
        <f>+CS356/CS349*100</f>
        <v>48.537005163511189</v>
      </c>
      <c r="CT362" s="98">
        <f>IF(ISERROR((CS362/CK362-1)*100),"NA",IF(((CS362/CK362-1)*100)&gt;100,"NM",IF(((CS362/CK362-1)*100)&lt;-50,"NM",(CS362/CK362-1)*100)))</f>
        <v>-30.831632176546719</v>
      </c>
      <c r="CU362" s="137">
        <f>+CU356/CU349*100</f>
        <v>52.607361963190179</v>
      </c>
      <c r="CV362" s="98">
        <f>IF(ISERROR((CU362/CM362-1)*100),"NA",IF(((CU362/CM362-1)*100)&gt;100,"NM",IF(((CU362/CM362-1)*100)&lt;-50,"NM",(CU362/CM362-1)*100)))</f>
        <v>-10.129089979550098</v>
      </c>
      <c r="CW362" s="137">
        <f>+CW356/CW349*100</f>
        <v>54.704944178628388</v>
      </c>
      <c r="CX362" s="98">
        <f>IF(ISERROR((CW362/CO362-1)*100),"NA",IF(((CW362/CO362-1)*100)&gt;100,"NM",IF(((CW362/CO362-1)*100)&lt;-50,"NM",(CW362/CO362-1)*100)))</f>
        <v>-4.5779581289241644</v>
      </c>
      <c r="CY362" s="137">
        <f>+CY356/CY349*100</f>
        <v>47.574626865671647</v>
      </c>
      <c r="CZ362" s="98">
        <f>IF(ISERROR((CY362/CQ362-1)*100),"NA",IF(((CY362/CQ362-1)*100)&gt;100,"NM",IF(((CY362/CQ362-1)*100)&lt;-50,"NM",(CY362/CQ362-1)*100)))</f>
        <v>-12.105528078084637</v>
      </c>
      <c r="DA362" s="137">
        <f>+DA356/DA349*100</f>
        <v>45.945945945945951</v>
      </c>
      <c r="DB362" s="98">
        <f>IF(ISERROR((DA362/CS362-1)*100),"NA",IF(((DA362/CS362-1)*100)&gt;100,"NM",IF(((DA362/CS362-1)*100)&lt;-50,"NM",(DA362/CS362-1)*100)))</f>
        <v>-5.3383170404446956</v>
      </c>
      <c r="DC362" s="137">
        <f>+DC356/DC349*100</f>
        <v>41.798941798941797</v>
      </c>
      <c r="DD362" s="98">
        <f>IF(ISERROR((DC362/CU362-1)*100),"NA",IF(((DC362/CU362-1)*100)&gt;100,"NM",IF(((DC362/CU362-1)*100)&lt;-50,"NM",(DC362/CU362-1)*100)))</f>
        <v>-20.545451740787012</v>
      </c>
      <c r="DE362" s="137">
        <f>+DE356/DE349*100</f>
        <v>45.878136200716845</v>
      </c>
      <c r="DF362" s="98">
        <f>IF(ISERROR((DE362/CW362-1)*100),"NA",IF(((DE362/CW362-1)*100)&gt;100,"NM",IF(((DE362/CW362-1)*100)&lt;-50,"NM",(DE362/CW362-1)*100)))</f>
        <v>-16.135302047086121</v>
      </c>
      <c r="DG362" s="137">
        <f>+DG356/DG349*100</f>
        <v>41.467576791808874</v>
      </c>
      <c r="DH362" s="98">
        <f>IF(ISERROR((DG362/CY362-1)*100),"NA",IF(((DG362/CY362-1)*100)&gt;100,"NM",IF(((DG362/CY362-1)*100)&lt;-50,"NM",(DG362/CY362-1)*100)))</f>
        <v>-12.836779763099793</v>
      </c>
      <c r="DI362" s="137">
        <f>+DI356/DI349*100</f>
        <v>51.706484641638227</v>
      </c>
      <c r="DJ362" s="98">
        <f>IF(ISERROR((DI362/DA362-1)*100),"NA",IF(((DI362/DA362-1)*100)&gt;100,"NM",IF(((DI362/DA362-1)*100)&lt;-50,"NM",(DI362/DA362-1)*100)))</f>
        <v>12.537643043565549</v>
      </c>
      <c r="DK362" s="137">
        <f>+DK356/DK349*100</f>
        <v>43.718592964824118</v>
      </c>
      <c r="DL362" s="98">
        <f>IF(ISERROR((DK362/DC362-1)*100),"NA",IF(((DK362/DC362-1)*100)&gt;100,"NM",IF(((DK362/DC362-1)*100)&lt;-50,"NM",(DK362/DC362-1)*100)))</f>
        <v>4.5925831690096119</v>
      </c>
      <c r="DM362" s="137">
        <f>+DM356/DM349*100</f>
        <v>46.404109589041099</v>
      </c>
      <c r="DN362" s="98">
        <f>IF(ISERROR((DM362/DE362-1)*100),"NA",IF(((DM362/DE362-1)*100)&gt;100,"NM",IF(((DM362/DE362-1)*100)&lt;-50,"NM",(DM362/DE362-1)*100)))</f>
        <v>1.1464576198630283</v>
      </c>
      <c r="DO362" s="137">
        <f>+DO356/DO349*100</f>
        <v>43.373493975903614</v>
      </c>
      <c r="DP362" s="98">
        <f>IF(ISERROR((DO362/DG362-1)*100),"NA",IF(((DO362/DG362-1)*100)&gt;100,"NM",IF(((DO362/DG362-1)*100)&lt;-50,"NM",(DO362/DG362-1)*100)))</f>
        <v>4.5961624274877266</v>
      </c>
      <c r="DQ362" s="137">
        <f>+DQ356/DQ349*100</f>
        <v>49.177330895795244</v>
      </c>
      <c r="DR362" s="98">
        <f>IF(ISERROR((DQ362/DI362-1)*100),"NA",IF(((DQ362/DI362-1)*100)&gt;100,"NM",IF(((DQ362/DI362-1)*100)&lt;-50,"NM",(DQ362/DI362-1)*100)))</f>
        <v>-4.8913666503761943</v>
      </c>
      <c r="DS362" s="137">
        <f>+DS356/DS349*100</f>
        <v>47.047244094488185</v>
      </c>
      <c r="DT362" s="98">
        <f>IF(ISERROR((DS362/DK362-1)*100),"NA",IF(((DS362/DK362-1)*100)&gt;100,"NM",IF(((DS362/DK362-1)*100)&lt;-50,"NM",(DS362/DK362-1)*100)))</f>
        <v>7.6138112046338913</v>
      </c>
      <c r="DU362" s="137">
        <f>+DU356/DU349*100</f>
        <v>50.476190476190474</v>
      </c>
      <c r="DV362" s="98">
        <f>IF(ISERROR((DU362/DM362-1)*100),"NA",IF(((DU362/DM362-1)*100)&gt;100,"NM",IF(((DU362/DM362-1)*100)&lt;-50,"NM",(DU362/DM362-1)*100)))</f>
        <v>8.7752591811632197</v>
      </c>
      <c r="DW362" s="137">
        <f>+DW356/DW349*100</f>
        <v>46.506986027944116</v>
      </c>
      <c r="DX362" s="98">
        <f>IF(ISERROR((DW362/DO362-1)*100),"NA",IF(((DW362/DO362-1)*100)&gt;100,"NM",IF(((DW362/DO362-1)*100)&lt;-50,"NM",(DW362/DO362-1)*100)))</f>
        <v>7.2244400088711469</v>
      </c>
      <c r="DY362" s="137">
        <f>+DY356/DY349*100</f>
        <v>50</v>
      </c>
      <c r="DZ362" s="98">
        <f>IF(ISERROR((DY362/DQ362-1)*100),"NA",IF(((DY362/DQ362-1)*100)&gt;100,"NM",IF(((DY362/DQ362-1)*100)&lt;-50,"NM",(DY362/DQ362-1)*100)))</f>
        <v>1.6728624535315983</v>
      </c>
      <c r="EA362" s="137">
        <f>+EA356/EA349*100</f>
        <v>52.2</v>
      </c>
      <c r="EB362" s="98">
        <f>IF(ISERROR((EA362/DS362-1)*100),"NA",IF(((EA362/DS362-1)*100)&gt;100,"NM",IF(((EA362/DS362-1)*100)&lt;-50,"NM",(EA362/DS362-1)*100)))</f>
        <v>10.952301255230147</v>
      </c>
      <c r="EC362" s="137">
        <f>+EC356/EC349*100</f>
        <v>54.527938342967239</v>
      </c>
      <c r="ED362" s="98">
        <f>IF(ISERROR((EC362/DU362-1)*100),"NA",IF(((EC362/DU362-1)*100)&gt;100,"NM",IF(((EC362/DU362-1)*100)&lt;-50,"NM",(EC362/DU362-1)*100)))</f>
        <v>8.0270476605954766</v>
      </c>
      <c r="EE362" s="137">
        <f>+EE356/EE349*100</f>
        <v>51.4</v>
      </c>
      <c r="EF362" s="860">
        <f>IF(ISERROR((EE362/DW362-1)*100),"NA",IF(((EE362/DW362-1)*100)&gt;100,"NM",IF(((EE362/DW362-1)*100)&lt;-50,"NM",(EE362/DW362-1)*100)))</f>
        <v>10.521030042918444</v>
      </c>
      <c r="EG362" s="137">
        <f>+EG356/EG349*100</f>
        <v>52.362204724409445</v>
      </c>
      <c r="EH362" s="860">
        <f>IF(ISERROR((EG362/DY362-1)*100),"NA",IF(((EG362/DY362-1)*100)&gt;100,"NM",IF(((EG362/DY362-1)*100)&lt;-50,"NM",(EG362/DY362-1)*100)))</f>
        <v>4.7244094488188892</v>
      </c>
      <c r="EI362" s="137">
        <f>+EI356/EI349*100</f>
        <v>53.585657370517922</v>
      </c>
      <c r="EJ362" s="860">
        <f t="shared" ref="EJ362" si="1854">IF(ISERROR((EI362/EA362-1)*100),"NA",IF(((EI362/EA362-1)*100)&gt;100,"NM",IF(((EI362/EA362-1)*100)&lt;-50,"NM",(EI362/EA362-1)*100)))</f>
        <v>2.6545160354749298</v>
      </c>
      <c r="EK362" s="137">
        <f>+EK356/EK349*100</f>
        <v>53.46534653465347</v>
      </c>
      <c r="EL362" s="860">
        <f t="shared" ref="EL362" si="1855">IF(ISERROR((EK362/EC362-1)*100),"NA",IF(((EK362/EC362-1)*100)&gt;100,"NM",IF(((EK362/EC362-1)*100)&lt;-50,"NM",(EK362/EC362-1)*100)))</f>
        <v>-1.9487107721372632</v>
      </c>
      <c r="EM362" s="137">
        <f>+EM356/EM349*100</f>
        <v>53.510436432637576</v>
      </c>
      <c r="EN362" s="860">
        <f t="shared" ref="EN362" si="1856">IF(ISERROR((EM362/EE362-1)*100),"NA",IF(((EM362/EE362-1)*100)&gt;100,"NM",IF(((EM362/EE362-1)*100)&lt;-50,"NM",(EM362/EE362-1)*100)))</f>
        <v>4.1059074564933518</v>
      </c>
      <c r="EO362" s="137">
        <f>+EO356/EO349*100</f>
        <v>48.576850094876662</v>
      </c>
      <c r="EP362" s="98">
        <f t="shared" ref="EP362" si="1857">IF(ISERROR((EO362/EG362-1)*100),"NA",IF(((EO362/EG362-1)*100)&gt;100,"NM",IF(((EO362/EG362-1)*100)&lt;-50,"NM",(EO362/EG362-1)*100)))</f>
        <v>-7.2291735030174937</v>
      </c>
      <c r="EQ362" s="1026">
        <v>52</v>
      </c>
      <c r="ER362" s="98">
        <f t="shared" ref="ER362" si="1858">IF(ISERROR((EQ362/EI362-1)*100),"NA",IF(((EQ362/EI362-1)*100)&gt;100,"NM",IF(((EQ362/EI362-1)*100)&lt;-50,"NM",(EQ362/EI362-1)*100)))</f>
        <v>-2.9591078066914411</v>
      </c>
      <c r="ES362" s="1026">
        <f t="shared" ref="ES362" si="1859">EQ362</f>
        <v>52</v>
      </c>
      <c r="ET362" s="98">
        <f t="shared" ref="ET362" si="1860">IF(ISERROR((ES362/EK362-1)*100),"NA",IF(((ES362/EK362-1)*100)&gt;100,"NM",IF(((ES362/EK362-1)*100)&lt;-50,"NM",(ES362/EK362-1)*100)))</f>
        <v>-2.7407407407407547</v>
      </c>
      <c r="EU362" s="1026">
        <f t="shared" ref="EU362" si="1861">ES362</f>
        <v>52</v>
      </c>
      <c r="EV362" s="98">
        <f t="shared" ref="EV362" si="1862">IF(ISERROR((EU362/EM362-1)*100),"NA",IF(((EU362/EM362-1)*100)&gt;100,"NM",IF(((EU362/EM362-1)*100)&lt;-50,"NM",(EU362/EM362-1)*100)))</f>
        <v>-2.8226950354609981</v>
      </c>
      <c r="EW362" s="1026">
        <f t="shared" ref="EW362" si="1863">EU362</f>
        <v>52</v>
      </c>
      <c r="EX362" s="98">
        <f t="shared" ref="EX362" si="1864">IF(ISERROR((EW362/EO362-1)*100),"NA",IF(((EW362/EO362-1)*100)&gt;100,"NM",IF(((EW362/EO362-1)*100)&lt;-50,"NM",(EW362/EO362-1)*100)))</f>
        <v>7.046875000000008</v>
      </c>
      <c r="EY362" s="80"/>
      <c r="EZ362" s="594"/>
      <c r="FA362" s="405"/>
      <c r="FB362" s="289">
        <f>+FB356/FB349*100</f>
        <v>107.11974110032362</v>
      </c>
      <c r="FC362" s="98"/>
      <c r="FD362" s="291">
        <f>+FD356/FD349*100</f>
        <v>92.911877394636008</v>
      </c>
      <c r="FE362" s="98">
        <f>IF(ISERROR((FD362/FB362-1)*100),"NA",IF(((FD362/FB362-1)*100)&gt;100,"NM",IF(((FD362/FB362-1)*100)&lt;-50,"NM",(FD362/FB362-1)*100)))</f>
        <v>-13.263534395944031</v>
      </c>
      <c r="FF362" s="289">
        <f>+FF356/FF349*100</f>
        <v>90.151515151515156</v>
      </c>
      <c r="FG362" s="98">
        <f>IF(ISERROR((FF362/FD362-1)*100),"NA",IF(((FF362/FD362-1)*100)&gt;100,"NM",IF(((FF362/FD362-1)*100)&lt;-50,"NM",(FF362/FD362-1)*100)))</f>
        <v>-2.9709465791939893</v>
      </c>
      <c r="FH362" s="289">
        <f>+FH356/FH349*100</f>
        <v>85.697399527186761</v>
      </c>
      <c r="FI362" s="98">
        <f>IF(ISERROR((FH362/FF362-1)*100),"NA",IF(((FH362/FF362-1)*100)&gt;100,"NM",IF(((FH362/FF362-1)*100)&lt;-50,"NM",(FH362/FF362-1)*100)))</f>
        <v>-4.9406996841289796</v>
      </c>
      <c r="FJ362" s="289">
        <f>+FJ356/FJ349*100</f>
        <v>94.176042356055589</v>
      </c>
      <c r="FK362" s="98">
        <f>IF(ISERROR((FJ362/FH362-1)*100),"NA",IF(((FJ362/FH362-1)*100)&gt;100,"NM",IF(((FJ362/FH362-1)*100)&lt;-50,"NM",(FJ362/FH362-1)*100)))</f>
        <v>9.8936990803076164</v>
      </c>
      <c r="FL362" s="289">
        <f>+FL356/FL349*100</f>
        <v>89.928486293206205</v>
      </c>
      <c r="FM362" s="98">
        <f>IF(ISERROR((FL362/FJ362-1)*100),"NA",IF(((FL362/FJ362-1)*100)&gt;100,"NM",IF(((FL362/FJ362-1)*100)&lt;-50,"NM",(FL362/FJ362-1)*100)))</f>
        <v>-4.5102299444591871</v>
      </c>
      <c r="FN362" s="289">
        <f>+FN356/FN349*100</f>
        <v>97.517730496453908</v>
      </c>
      <c r="FO362" s="98">
        <f>IF(ISERROR((FN362/FL362-1)*100),"NA",IF(((FN362/FL362-1)*100)&gt;100,"NM",IF(((FN362/FL362-1)*100)&lt;-50,"NM",(FN362/FL362-1)*100)))</f>
        <v>8.4391993194497203</v>
      </c>
      <c r="FP362" s="289">
        <f>+FP356/FP349*100</f>
        <v>94.053064958828912</v>
      </c>
      <c r="FQ362" s="98">
        <f>IF(ISERROR((FP362/FN362-1)*100),"NA",IF(((FP362/FN362-1)*100)&gt;100,"NM",IF(((FP362/FN362-1)*100)&lt;-50,"NM",(FP362/FN362-1)*100)))</f>
        <v>-3.5528570240372703</v>
      </c>
      <c r="FR362" s="130">
        <f>+FR356/FR349*100</f>
        <v>86.407053637031595</v>
      </c>
      <c r="FS362" s="120">
        <f>IF(ISERROR((FR362/FP362-1)*100),"NA",IF(((FR362/FP362-1)*100)&gt;100,"NM",IF(((FR362/FP362-1)*100)&lt;-50,"NM",(FR362/FP362-1)*100)))</f>
        <v>-8.1294653450627141</v>
      </c>
      <c r="FT362" s="130">
        <f>+FT356/FT349*100</f>
        <v>81.427648578811372</v>
      </c>
      <c r="FU362" s="120">
        <f>IF(ISERROR((FT362/FR362-1)*100),"NA",IF(((FT362/FR362-1)*100)&gt;100,"NM",IF(((FT362/FR362-1)*100)&lt;-50,"NM",(FT362/FR362-1)*100)))</f>
        <v>-5.7627298335354844</v>
      </c>
      <c r="FV362" s="130">
        <f>+FV356/FV349*100</f>
        <v>91.786743515850148</v>
      </c>
      <c r="FW362" s="98">
        <f>IF(ISERROR((FV362/FT362-1)*100),"NA",IF(((FV362/FT362-1)*100)&gt;100,"NM",IF(((FV362/FT362-1)*100)&lt;-50,"NM",(FV362/FT362-1)*100)))</f>
        <v>12.721839716410965</v>
      </c>
      <c r="FX362" s="487">
        <f>+FX356/FX349*100</f>
        <v>83.464072795732676</v>
      </c>
      <c r="FY362" s="98">
        <f>IF(ISERROR((FX362/FV362-1)*100),"NA",IF(((FX362/FV362-1)*100)&gt;100,"NM",IF(((FX362/FV362-1)*100)&lt;-50,"NM",(FX362/FV362-1)*100)))</f>
        <v>-9.0673994972708449</v>
      </c>
      <c r="FZ362" s="130">
        <f>+FZ356/FZ349*100</f>
        <v>84.220689655172407</v>
      </c>
      <c r="GA362" s="98">
        <f>IF(ISERROR((FZ362/FX362-1)*100),"NA",IF(((FZ362/FX362-1)*100)&gt;100,"NM",IF(((FZ362/FX362-1)*100)&lt;-50,"NM",(FZ362/FX362-1)*100)))</f>
        <v>0.90651801918586461</v>
      </c>
      <c r="GB362" s="487">
        <f>+GB356/GB349*100</f>
        <v>52.079127977392005</v>
      </c>
      <c r="GC362" s="98">
        <f>IF(ISERROR((GB362/FZ362-1)*100),"NA",IF(((GB362/FZ362-1)*100)&gt;100,"NM",IF(((GB362/FZ362-1)*100)&lt;-50,"NM",(GB362/FZ362-1)*100)))</f>
        <v>-38.163498552883709</v>
      </c>
      <c r="GD362" s="130">
        <f>+GD356/GD349*100</f>
        <v>50.464135021097043</v>
      </c>
      <c r="GE362" s="98">
        <f>IF(ISERROR((GD362/GB362-1)*100),"NA",IF(((GD362/GB362-1)*100)&gt;100,"NM",IF(((GD362/GB362-1)*100)&lt;-50,"NM",(GD362/GB362-1)*100)))</f>
        <v>-3.1010368625911777</v>
      </c>
      <c r="GF362" s="130">
        <f>+GF356/GF349*100</f>
        <v>45.232912494558121</v>
      </c>
      <c r="GG362" s="98">
        <f>IF(ISERROR((GF362/GD362-1)*100),"NA",IF(((GF362/GD362-1)*100)&gt;100,"NM",IF(((GF362/GD362-1)*100)&lt;-50,"NM",(GF362/GD362-1)*100)))</f>
        <v>-10.366218551753548</v>
      </c>
      <c r="GH362" s="130">
        <f>+GH356/GH349*100</f>
        <v>45.604157644001731</v>
      </c>
      <c r="GI362" s="98">
        <f>IF(ISERROR((GH362/GF362-1)*100),"NA",IF(((GH362/GF362-1)*100)&gt;100,"NM",IF(((GH362/GF362-1)*100)&lt;-50,"NM",(GH362/GF362-1)*100)))</f>
        <v>0.82074120141670814</v>
      </c>
      <c r="GJ362" s="130">
        <f>+GJ356/GJ349*100</f>
        <v>48.526522593320237</v>
      </c>
      <c r="GK362" s="98">
        <f>IF(ISERROR((GJ362/GH362-1)*100),"NA",IF(((GJ362/GH362-1)*100)&gt;100,"NM",IF(((GJ362/GH362-1)*100)&lt;-50,"NM",(GJ362/GH362-1)*100)))</f>
        <v>6.4081107957990824</v>
      </c>
      <c r="GL362" s="130">
        <f>+GL356/GL349*100</f>
        <v>52.639368524913664</v>
      </c>
      <c r="GM362" s="98">
        <f>IF(ISERROR((GL362/GJ362-1)*100),"NA",IF(((GL362/GJ362-1)*100)&gt;100,"NM",IF(((GL362/GJ362-1)*100)&lt;-50,"NM",(GL362/GJ362-1)*100)))</f>
        <v>8.4754598347411161</v>
      </c>
      <c r="GN362" s="130">
        <f>+GN356/GN349*100</f>
        <v>52.256186317321685</v>
      </c>
      <c r="GO362" s="98">
        <f>IF(ISERROR((GN362/GL362-1)*100),"NA",IF(((GN362/GL362-1)*100)&gt;100,"NM",IF(((GN362/GL362-1)*100)&lt;-50,"NM",(GN362/GL362-1)*100)))</f>
        <v>-0.72793845809647761</v>
      </c>
      <c r="GP362" s="130">
        <f>+GP356/GP349*100</f>
        <v>52.000000000000014</v>
      </c>
      <c r="GQ362" s="98">
        <f>IF(ISERROR((GP362/GN362-1)*100),"NA",IF(((GP362/GN362-1)*100)&gt;100,"NM",IF(((GP362/GN362-1)*100)&lt;-50,"NM",(GP362/GN362-1)*100)))</f>
        <v>-0.49025069637879115</v>
      </c>
      <c r="GR362" s="80">
        <f>GP362+0.2</f>
        <v>52.200000000000017</v>
      </c>
      <c r="GS362" s="98">
        <f>IF(ISERROR((GR362/GP362-1)*100),"NA",IF(((GR362/GP362-1)*100)&gt;100,"NM",IF(((GR362/GP362-1)*100)&lt;-50,"NM",(GR362/GP362-1)*100)))</f>
        <v>0.38461538461538325</v>
      </c>
      <c r="GT362" s="80">
        <f>GR362</f>
        <v>52.200000000000017</v>
      </c>
      <c r="GU362" s="98">
        <f>IF(ISERROR((GT362/GR362-1)*100),"NA",IF(((GT362/GR362-1)*100)&gt;100,"NM",IF(((GT362/GR362-1)*100)&lt;-50,"NM",(GT362/GR362-1)*100)))</f>
        <v>0</v>
      </c>
      <c r="GV362" s="80">
        <f>GT362</f>
        <v>52.200000000000017</v>
      </c>
      <c r="GW362" s="98">
        <f>IF(ISERROR((GV362/GT362-1)*100),"NA",IF(((GV362/GT362-1)*100)&gt;100,"NM",IF(((GV362/GT362-1)*100)&lt;-50,"NM",(GV362/GT362-1)*100)))</f>
        <v>0</v>
      </c>
      <c r="GX362" s="80">
        <f>GV362+1</f>
        <v>53.200000000000017</v>
      </c>
      <c r="GY362" s="98">
        <f>IF(ISERROR((GX362/GV362-1)*100),"NA",IF(((GX362/GV362-1)*100)&gt;100,"NM",IF(((GX362/GV362-1)*100)&lt;-50,"NM",(GX362/GV362-1)*100)))</f>
        <v>1.9157088122605304</v>
      </c>
      <c r="GZ362" s="98">
        <f>IF(ISERROR(((GX362/GN362)^0.2-1)*100),"NA",IF((((GX362/GN362)^0.2-1)*100)&gt;100,"NM",IF((((GX362/GN362)^0.2-1)*100)&lt;-50,"NM",((GX362/GN362)^0.2-1)*100)))</f>
        <v>0.35864387545210263</v>
      </c>
      <c r="HA362" s="98"/>
      <c r="HB362" s="10"/>
      <c r="HC362"/>
      <c r="HD362"/>
      <c r="HE362"/>
      <c r="HF362"/>
      <c r="HG362"/>
      <c r="HH362"/>
      <c r="HI362" s="10"/>
    </row>
    <row r="363" spans="1:217" s="143" customFormat="1" ht="12.75" hidden="1" customHeight="1" outlineLevel="1" x14ac:dyDescent="0.2">
      <c r="B363" s="140" t="s">
        <v>169</v>
      </c>
      <c r="C363" s="105"/>
      <c r="D363" s="104"/>
      <c r="E363" s="105"/>
      <c r="F363" s="104"/>
      <c r="G363" s="105"/>
      <c r="H363" s="104"/>
      <c r="I363" s="105"/>
      <c r="J363" s="109"/>
      <c r="K363" s="105"/>
      <c r="L363" s="109"/>
      <c r="M363" s="105"/>
      <c r="N363" s="109"/>
      <c r="O363" s="105"/>
      <c r="P363" s="109"/>
      <c r="Q363" s="105"/>
      <c r="R363" s="109"/>
      <c r="S363" s="105"/>
      <c r="T363" s="109"/>
      <c r="U363" s="105"/>
      <c r="V363" s="109"/>
      <c r="W363" s="105"/>
      <c r="X363" s="109"/>
      <c r="Y363" s="105"/>
      <c r="Z363" s="109"/>
      <c r="AA363" s="105"/>
      <c r="AB363" s="109"/>
      <c r="AC363" s="105"/>
      <c r="AD363" s="109"/>
      <c r="AE363" s="105"/>
      <c r="AF363" s="109"/>
      <c r="AG363" s="105"/>
      <c r="AH363" s="109"/>
      <c r="AI363" s="105"/>
      <c r="AJ363" s="109"/>
      <c r="AK363" s="105"/>
      <c r="AL363" s="109"/>
      <c r="AM363" s="105"/>
      <c r="AN363" s="109"/>
      <c r="AO363" s="105"/>
      <c r="AP363" s="109"/>
      <c r="AQ363" s="105"/>
      <c r="AR363" s="109"/>
      <c r="AS363" s="105"/>
      <c r="AT363" s="109"/>
      <c r="AU363" s="105"/>
      <c r="AV363" s="109"/>
      <c r="AW363" s="105"/>
      <c r="AX363" s="109"/>
      <c r="AY363" s="105"/>
      <c r="AZ363" s="109"/>
      <c r="BA363" s="105"/>
      <c r="BB363" s="109"/>
      <c r="BC363" s="105"/>
      <c r="BD363" s="109"/>
      <c r="BE363" s="105"/>
      <c r="BF363" s="109"/>
      <c r="BG363" s="105"/>
      <c r="BH363" s="109"/>
      <c r="BI363" s="105"/>
      <c r="BJ363" s="109"/>
      <c r="BK363" s="105"/>
      <c r="BL363" s="109"/>
      <c r="BM363" s="105"/>
      <c r="BN363" s="109"/>
      <c r="BO363" s="105"/>
      <c r="BP363" s="109"/>
      <c r="BQ363" s="105"/>
      <c r="BR363" s="109"/>
      <c r="BS363" s="105"/>
      <c r="BT363" s="109"/>
      <c r="BU363" s="105"/>
      <c r="BV363" s="109"/>
      <c r="BW363" s="105"/>
      <c r="BX363" s="109"/>
      <c r="BY363" s="105"/>
      <c r="BZ363" s="109"/>
      <c r="CA363" s="105"/>
      <c r="CB363" s="109"/>
      <c r="CC363" s="105"/>
      <c r="CD363" s="109"/>
      <c r="CE363" s="105"/>
      <c r="CF363" s="109"/>
      <c r="CG363" s="105"/>
      <c r="CH363" s="109"/>
      <c r="CI363" s="105"/>
      <c r="CJ363" s="109"/>
      <c r="CK363" s="105"/>
      <c r="CL363" s="109"/>
      <c r="CM363" s="105"/>
      <c r="CN363" s="109"/>
      <c r="CO363" s="105"/>
      <c r="CP363" s="109"/>
      <c r="CQ363" s="522"/>
      <c r="CR363" s="109"/>
      <c r="CS363" s="105"/>
      <c r="CT363" s="109"/>
      <c r="CU363" s="105"/>
      <c r="CV363" s="109"/>
      <c r="CW363" s="105"/>
      <c r="CX363" s="109"/>
      <c r="CY363" s="105"/>
      <c r="CZ363" s="109"/>
      <c r="DA363" s="105"/>
      <c r="DB363" s="109"/>
      <c r="DC363" s="105"/>
      <c r="DD363" s="109"/>
      <c r="DE363" s="105"/>
      <c r="DF363" s="109"/>
      <c r="DG363" s="105"/>
      <c r="DH363" s="109"/>
      <c r="DI363" s="105"/>
      <c r="DJ363" s="109"/>
      <c r="DK363" s="105"/>
      <c r="DL363" s="109"/>
      <c r="DM363" s="105"/>
      <c r="DN363" s="109"/>
      <c r="DO363" s="105"/>
      <c r="DP363" s="109"/>
      <c r="DQ363" s="105"/>
      <c r="DR363" s="109"/>
      <c r="DS363" s="105"/>
      <c r="DT363" s="109"/>
      <c r="DU363" s="105"/>
      <c r="DV363" s="109"/>
      <c r="DW363" s="105"/>
      <c r="DX363" s="109"/>
      <c r="DY363" s="105"/>
      <c r="DZ363" s="109"/>
      <c r="EA363" s="105"/>
      <c r="EB363" s="109"/>
      <c r="EC363" s="105"/>
      <c r="ED363" s="109"/>
      <c r="EE363" s="105"/>
      <c r="EF363" s="1027"/>
      <c r="EG363" s="105"/>
      <c r="EH363" s="1027"/>
      <c r="EI363" s="105"/>
      <c r="EJ363" s="1027"/>
      <c r="EK363" s="105"/>
      <c r="EL363" s="1027"/>
      <c r="EM363" s="105"/>
      <c r="EN363" s="1027"/>
      <c r="EO363" s="105"/>
      <c r="EP363" s="109"/>
      <c r="EQ363" s="1018">
        <f>IF($B$6=1,EQ362,IF($B$6=2,EQ362+EQ884,IF($B$6=3,EQ362+EQ885)))</f>
        <v>52</v>
      </c>
      <c r="ER363" s="109"/>
      <c r="ES363" s="1018">
        <f>IF($B$6=1,ES362,IF($B$6=2,ES362+ES884,IF($B$6=3,ES362+ES885)))</f>
        <v>52</v>
      </c>
      <c r="ET363" s="109"/>
      <c r="EU363" s="1018">
        <f>IF($B$6=1,EU362,IF($B$6=2,EU362+EU884,IF($B$6=3,EU362+EU885)))</f>
        <v>52</v>
      </c>
      <c r="EV363" s="109"/>
      <c r="EW363" s="1018">
        <f>IF($B$6=1,EW362,IF($B$6=2,EW362+EW884,IF($B$6=3,EW362+EW885)))</f>
        <v>52</v>
      </c>
      <c r="EX363" s="109"/>
      <c r="EY363" s="141"/>
      <c r="EZ363" s="595"/>
      <c r="FA363" s="406"/>
      <c r="FB363" s="142"/>
      <c r="FC363" s="104"/>
      <c r="FD363" s="142"/>
      <c r="FE363" s="109"/>
      <c r="FF363" s="142"/>
      <c r="FG363" s="109"/>
      <c r="FH363" s="142"/>
      <c r="FI363" s="109"/>
      <c r="FJ363" s="142"/>
      <c r="FK363" s="109"/>
      <c r="FL363" s="142"/>
      <c r="FM363" s="109"/>
      <c r="FN363" s="142"/>
      <c r="FO363" s="109"/>
      <c r="FP363" s="142"/>
      <c r="FQ363" s="109"/>
      <c r="FR363" s="141"/>
      <c r="FS363" s="109"/>
      <c r="FT363" s="141"/>
      <c r="FU363" s="109"/>
      <c r="FV363" s="141"/>
      <c r="FW363" s="109"/>
      <c r="FX363" s="491"/>
      <c r="FY363" s="109"/>
      <c r="FZ363" s="141"/>
      <c r="GA363" s="109"/>
      <c r="GB363" s="491"/>
      <c r="GC363" s="109"/>
      <c r="GD363" s="141"/>
      <c r="GE363" s="109"/>
      <c r="GF363" s="141"/>
      <c r="GG363" s="109"/>
      <c r="GH363" s="141"/>
      <c r="GI363" s="109"/>
      <c r="GJ363" s="141"/>
      <c r="GK363" s="109"/>
      <c r="GL363" s="141"/>
      <c r="GM363" s="109"/>
      <c r="GN363" s="141"/>
      <c r="GO363" s="109"/>
      <c r="GP363" s="141"/>
      <c r="GQ363" s="109"/>
      <c r="GR363" s="141">
        <f>IF($B$6=1,GR362,IF($B$6=2,GR362+GR884,IF($B$6=3,GR362+GR885)))</f>
        <v>52.200000000000017</v>
      </c>
      <c r="GS363" s="109"/>
      <c r="GT363" s="141">
        <f>IF($B$6=1,GT362,IF($B$6=2,GT362+GT884,IF($B$6=3,GT362+GT885)))</f>
        <v>52.200000000000017</v>
      </c>
      <c r="GU363" s="109"/>
      <c r="GV363" s="141">
        <f>IF($B$6=1,GV362,IF($B$6=2,GV362+GV884,IF($B$6=3,GV362+GV885)))</f>
        <v>52.200000000000017</v>
      </c>
      <c r="GW363" s="109"/>
      <c r="GX363" s="141">
        <f>IF($B$6=1,GX362,IF($B$6=2,GX362+GX884,IF($B$6=3,GX362+GX885)))</f>
        <v>53.200000000000017</v>
      </c>
      <c r="GY363" s="109"/>
      <c r="GZ363" s="109"/>
      <c r="HA363" s="109"/>
      <c r="HB363" s="111"/>
      <c r="HC363"/>
      <c r="HD363"/>
      <c r="HE363"/>
      <c r="HF363"/>
      <c r="HG363"/>
      <c r="HH363"/>
      <c r="HI363" s="111"/>
    </row>
    <row r="364" spans="1:217" s="2" customFormat="1" ht="12.75" customHeight="1" collapsed="1" x14ac:dyDescent="0.2">
      <c r="B364" s="91" t="s">
        <v>314</v>
      </c>
      <c r="C364" s="291">
        <f>+C359/C353*100</f>
        <v>34.801762114537446</v>
      </c>
      <c r="D364" s="98"/>
      <c r="E364" s="291">
        <f>+E359/E353*100</f>
        <v>36.693548387096776</v>
      </c>
      <c r="F364" s="98"/>
      <c r="G364" s="291">
        <f>+G359/G353*100</f>
        <v>33.333333333333329</v>
      </c>
      <c r="H364" s="98"/>
      <c r="I364" s="291">
        <f>+I359/I353*100</f>
        <v>41.312741312741316</v>
      </c>
      <c r="J364" s="98"/>
      <c r="K364" s="291">
        <f>+K359/K353*100</f>
        <v>33.984375</v>
      </c>
      <c r="L364" s="98">
        <f>IF(ISERROR((K364/C364-1)*100),"NA",IF(((K364/C364-1)*100)&gt;100,"NM",IF(((K364/C364-1)*100)&lt;-50,"NM",(K364/C364-1)*100)))</f>
        <v>-2.3486946202531667</v>
      </c>
      <c r="M364" s="291">
        <f>+M359/M353*100</f>
        <v>34.572490706319705</v>
      </c>
      <c r="N364" s="98">
        <f>IF(ISERROR((M364/E364-1)*100),"NA",IF(((M364/E364-1)*100)&gt;100,"NM",IF(((M364/E364-1)*100)&lt;-50,"NM",(M364/E364-1)*100)))</f>
        <v>-5.7804648882715748</v>
      </c>
      <c r="O364" s="291">
        <f>+O359/O353*100</f>
        <v>38.245614035087719</v>
      </c>
      <c r="P364" s="98">
        <f>IF(ISERROR((O364/G364-1)*100),"NA",IF(((O364/G364-1)*100)&gt;100,"NM",IF(((O364/G364-1)*100)&lt;-50,"NM",(O364/G364-1)*100)))</f>
        <v>14.736842105263182</v>
      </c>
      <c r="Q364" s="291">
        <f>+Q359/Q353*100</f>
        <v>32.49299719887955</v>
      </c>
      <c r="R364" s="98">
        <f>IF(ISERROR((Q364/I364-1)*100),"NA",IF(((Q364/I364-1)*100)&gt;100,"NM",IF(((Q364/I364-1)*100)&lt;-50,"NM",(Q364/I364-1)*100)))</f>
        <v>-21.348726406450446</v>
      </c>
      <c r="S364" s="291">
        <f>+S359/S353*100</f>
        <v>23.043478260869566</v>
      </c>
      <c r="T364" s="98">
        <f>IF(ISERROR((S364/K364-1)*100),"NA",IF(((S364/K364-1)*100)&gt;100,"NM",IF(((S364/K364-1)*100)&lt;-50,"NM",(S364/K364-1)*100)))</f>
        <v>-32.193903048475761</v>
      </c>
      <c r="U364" s="291">
        <f>+U359/U353*100</f>
        <v>30.079155672823219</v>
      </c>
      <c r="V364" s="98">
        <f>IF(ISERROR((U364/M364-1)*100),"NA",IF(((U364/M364-1)*100)&gt;100,"NM",IF(((U364/M364-1)*100)&lt;-50,"NM",(U364/M364-1)*100)))</f>
        <v>-12.99685079581241</v>
      </c>
      <c r="W364" s="291">
        <f>+W359/W353*100</f>
        <v>28.793103448275865</v>
      </c>
      <c r="X364" s="98">
        <f>IF(ISERROR((W364/O364-1)*100),"NA",IF(((W364/O364-1)*100)&gt;100,"NM",IF(((W364/O364-1)*100)&lt;-50,"NM",(W364/O364-1)*100)))</f>
        <v>-24.715279974691551</v>
      </c>
      <c r="Y364" s="291">
        <f>+Y359/Y353*100</f>
        <v>25.738396624472575</v>
      </c>
      <c r="Z364" s="98">
        <f>IF(ISERROR((Y364/Q364-1)*100),"NA",IF(((Y364/Q364-1)*100)&gt;100,"NM",IF(((Y364/Q364-1)*100)&lt;-50,"NM",(Y364/Q364-1)*100)))</f>
        <v>-20.787865560890427</v>
      </c>
      <c r="AA364" s="291">
        <f>+AA359/AA353*100</f>
        <v>26.516464471403811</v>
      </c>
      <c r="AB364" s="98">
        <f>IF(ISERROR((AA364/S364-1)*100),"NA",IF(((AA364/S364-1)*100)&gt;100,"NM",IF(((AA364/S364-1)*100)&lt;-50,"NM",(AA364/S364-1)*100)))</f>
        <v>15.071449592884466</v>
      </c>
      <c r="AC364" s="291">
        <f>+AC359/AC353*100</f>
        <v>28.640776699029125</v>
      </c>
      <c r="AD364" s="98">
        <f>IF(ISERROR((AC364/U364-1)*100),"NA",IF(((AC364/U364-1)*100)&gt;100,"NM",IF(((AC364/U364-1)*100)&lt;-50,"NM",(AC364/U364-1)*100)))</f>
        <v>-4.7819792198944056</v>
      </c>
      <c r="AE364" s="291">
        <f>+AE359/AE353*100</f>
        <v>28.593272171253826</v>
      </c>
      <c r="AF364" s="98">
        <f>IF(ISERROR((AE364/W364-1)*100),"NA",IF(((AE364/W364-1)*100)&gt;100,"NM",IF(((AE364/W364-1)*100)&lt;-50,"NM",(AE364/W364-1)*100)))</f>
        <v>-0.69402479444780063</v>
      </c>
      <c r="AG364" s="137">
        <f>+AG359/AG353*100</f>
        <v>29.868228404099561</v>
      </c>
      <c r="AH364" s="98">
        <f>IF(ISERROR((AG364/Y364-1)*100),"NA",IF(((AG364/Y364-1)*100)&gt;100,"NM",IF(((AG364/Y364-1)*100)&lt;-50,"NM",(AG364/Y364-1)*100)))</f>
        <v>16.045411996255666</v>
      </c>
      <c r="AI364" s="137">
        <f>+AI359/AI353*100</f>
        <v>28.104575163398692</v>
      </c>
      <c r="AJ364" s="98">
        <f>IF(ISERROR((AI364/AA364-1)*100),"NA",IF(((AI364/AA364-1)*100)&gt;100,"NM",IF(((AI364/AA364-1)*100)&lt;-50,"NM",(AI364/AA364-1)*100)))</f>
        <v>5.9891494724251482</v>
      </c>
      <c r="AK364" s="137">
        <f>+AK359/AK353*100</f>
        <v>31.139646869983949</v>
      </c>
      <c r="AL364" s="98">
        <f>IF(ISERROR((AK364/AC364-1)*100),"NA",IF(((AK364/AC364-1)*100)&gt;100,"NM",IF(((AK364/AC364-1)*100)&lt;-50,"NM",(AK364/AC364-1)*100)))</f>
        <v>8.7248687324863248</v>
      </c>
      <c r="AM364" s="137">
        <f>+AM359/AM353*100</f>
        <v>32.205882352941181</v>
      </c>
      <c r="AN364" s="98">
        <f>IF(ISERROR((AM364/AE364-1)*100),"NA",IF(((AM364/AE364-1)*100)&gt;100,"NM",IF(((AM364/AE364-1)*100)&lt;-50,"NM",(AM364/AE364-1)*100)))</f>
        <v>12.634476250393201</v>
      </c>
      <c r="AO364" s="137">
        <f>+AO359/AO353*100</f>
        <v>37.95918367346939</v>
      </c>
      <c r="AP364" s="98">
        <f>IF(ISERROR((AO364/AG364-1)*100),"NA",IF(((AO364/AG364-1)*100)&gt;100,"NM",IF(((AO364/AG364-1)*100)&lt;-50,"NM",(AO364/AG364-1)*100)))</f>
        <v>27.088835534213686</v>
      </c>
      <c r="AQ364" s="137">
        <f>+AQ359/AQ353*100</f>
        <v>33.10719131614654</v>
      </c>
      <c r="AR364" s="98">
        <f>IF(ISERROR((AQ364/AI364-1)*100),"NA",IF(((AQ364/AI364-1)*100)&gt;100,"NM",IF(((AQ364/AI364-1)*100)&lt;-50,"NM",(AQ364/AI364-1)*100)))</f>
        <v>17.80000631094001</v>
      </c>
      <c r="AS364" s="137">
        <f>+AS359/AS353*100</f>
        <v>34.727503168567807</v>
      </c>
      <c r="AT364" s="98">
        <f>IF(ISERROR((AS364/AK364-1)*100),"NA",IF(((AS364/AK364-1)*100)&gt;100,"NM",IF(((AS364/AK364-1)*100)&lt;-50,"NM",(AS364/AK364-1)*100)))</f>
        <v>11.521827185658484</v>
      </c>
      <c r="AU364" s="137">
        <f>+AU359/AU353*100</f>
        <v>34.820562560620758</v>
      </c>
      <c r="AV364" s="98">
        <f>IF(ISERROR((AU364/AM364-1)*100),"NA",IF(((AU364/AM364-1)*100)&gt;100,"NM",IF(((AU364/AM364-1)*100)&lt;-50,"NM",(AU364/AM364-1)*100)))</f>
        <v>8.1186417407402409</v>
      </c>
      <c r="AW364" s="137">
        <f>+AW359/AW353*100</f>
        <v>41.138059701492537</v>
      </c>
      <c r="AX364" s="98">
        <f>IF(ISERROR((AW364/AO364-1)*100),"NA",IF(((AW364/AO364-1)*100)&gt;100,"NM",IF(((AW364/AO364-1)*100)&lt;-50,"NM",(AW364/AO364-1)*100)))</f>
        <v>8.3744583533943207</v>
      </c>
      <c r="AY364" s="137">
        <f>+AY359/AY353*100</f>
        <v>38.058252427184463</v>
      </c>
      <c r="AZ364" s="98">
        <f>IF(ISERROR((AY364/AQ364-1)*100),"NA",IF(((AY364/AQ364-1)*100)&gt;100,"NM",IF(((AY364/AQ364-1)*100)&lt;-50,"NM",(AY364/AQ364-1)*100)))</f>
        <v>14.95463950342193</v>
      </c>
      <c r="BA364" s="137">
        <f>+BA359/BA353*100</f>
        <v>37.557392102846649</v>
      </c>
      <c r="BB364" s="98">
        <f>IF(ISERROR((BA364/AS364-1)*100),"NA",IF(((BA364/AS364-1)*100)&gt;100,"NM",IF(((BA364/AS364-1)*100)&lt;-50,"NM",(BA364/AS364-1)*100)))</f>
        <v>8.1488407633065982</v>
      </c>
      <c r="BC364" s="137">
        <f>+BC359/BC353*100</f>
        <v>37.72766695576756</v>
      </c>
      <c r="BD364" s="98">
        <f>IF(ISERROR((BC364/AU364-1)*100),"NA",IF(((BC364/AU364-1)*100)&gt;100,"NM",IF(((BC364/AU364-1)*100)&lt;-50,"NM",(BC364/AU364-1)*100)))</f>
        <v>8.348815129237753</v>
      </c>
      <c r="BE364" s="137">
        <f>+BE359/BE353*100</f>
        <v>41.477272727272727</v>
      </c>
      <c r="BF364" s="98">
        <f>IF(ISERROR((BE364/AW364-1)*100),"NA",IF(((BE364/AW364-1)*100)&gt;100,"NM",IF(((BE364/AW364-1)*100)&lt;-50,"NM",(BE364/AW364-1)*100)))</f>
        <v>0.82457225314367388</v>
      </c>
      <c r="BG364" s="137">
        <f>+BG359/BG353*100</f>
        <v>35.914332784184516</v>
      </c>
      <c r="BH364" s="98">
        <f>IF(ISERROR((BG364/AY364-1)*100),"NA",IF(((BG364/AY364-1)*100)&gt;100,"NM",IF(((BG364/AY364-1)*100)&lt;-50,"NM",(BG364/AY364-1)*100)))</f>
        <v>-5.6332582456376183</v>
      </c>
      <c r="BI364" s="137">
        <f>+BI359/BI353*100</f>
        <v>34.055727554179569</v>
      </c>
      <c r="BJ364" s="98">
        <f>IF(ISERROR((BI364/BA364-1)*100),"NA",IF(((BI364/BA364-1)*100)&gt;100,"NM",IF(((BI364/BA364-1)*100)&lt;-50,"NM",(BI364/BA364-1)*100)))</f>
        <v>-9.3235029180891225</v>
      </c>
      <c r="BK364" s="137">
        <f>+BK359/BK353*100</f>
        <v>39.052404881550615</v>
      </c>
      <c r="BL364" s="98">
        <f>IF(ISERROR((BK364/BC364-1)*100),"NA",IF(((BK364/BC364-1)*100)&gt;100,"NM",IF(((BK364/BC364-1)*100)&lt;-50,"NM",(BK364/BC364-1)*100)))</f>
        <v>3.5113168469605993</v>
      </c>
      <c r="BM364" s="137">
        <f>+BM359/BM353*100</f>
        <v>52.013651877133107</v>
      </c>
      <c r="BN364" s="98">
        <f>IF(ISERROR((BM364/BE364-1)*100),"NA",IF(((BM364/BE364-1)*100)&gt;100,"NM",IF(((BM364/BE364-1)*100)&lt;-50,"NM",(BM364/BE364-1)*100)))</f>
        <v>25.402777128430508</v>
      </c>
      <c r="BO364" s="137">
        <f>+BO359/BO353*100</f>
        <v>37.678207739307531</v>
      </c>
      <c r="BP364" s="98">
        <f>IF(ISERROR((BO364/BG364-1)*100),"NA",IF(((BO364/BG364-1)*100)&gt;100,"NM",IF(((BO364/BG364-1)*100)&lt;-50,"NM",(BO364/BG364-1)*100)))</f>
        <v>4.9113398979801381</v>
      </c>
      <c r="BQ364" s="137">
        <f>+BQ359/BQ353*100</f>
        <v>36.277602523659311</v>
      </c>
      <c r="BR364" s="98">
        <f>IF(ISERROR((BQ364/BI364-1)*100),"NA",IF(((BQ364/BI364-1)*100)&gt;100,"NM",IF(((BQ364/BI364-1)*100)&lt;-50,"NM",(BQ364/BI364-1)*100)))</f>
        <v>6.524232864926871</v>
      </c>
      <c r="BS364" s="137">
        <f>+BS359/BS353*100</f>
        <v>38.538205980066451</v>
      </c>
      <c r="BT364" s="98">
        <f>IF(ISERROR((BS364/BK364-1)*100),"NA",IF(((BS364/BK364-1)*100)&gt;100,"NM",IF(((BS364/BK364-1)*100)&lt;-50,"NM",(BS364/BK364-1)*100)))</f>
        <v>-1.3166894664842665</v>
      </c>
      <c r="BU364" s="137">
        <f>+BU359/BU353*100</f>
        <v>30.483870967741932</v>
      </c>
      <c r="BV364" s="98">
        <f>IF(ISERROR((BU364/BM364-1)*100),"NA",IF(((BU364/BM364-1)*100)&gt;100,"NM",IF(((BU364/BM364-1)*100)&lt;-50,"NM",(BU364/BM364-1)*100)))</f>
        <v>-41.392557785115578</v>
      </c>
      <c r="BW364" s="137">
        <f>+BW359/BW353*100</f>
        <v>30.699364214350588</v>
      </c>
      <c r="BX364" s="98">
        <f>IF(ISERROR((BW364/BO364-1)*100),"NA",IF(((BW364/BO364-1)*100)&gt;100,"NM",IF(((BW364/BO364-1)*100)&lt;-50,"NM",(BW364/BO364-1)*100)))</f>
        <v>-18.522227950020863</v>
      </c>
      <c r="BY364" s="137">
        <f>+BY359/BY353*100</f>
        <v>32.038123167155426</v>
      </c>
      <c r="BZ364" s="98">
        <f>IF(ISERROR((BY364/BQ364-1)*100),"NA",IF(((BY364/BQ364-1)*100)&gt;100,"NM",IF(((BY364/BQ364-1)*100)&lt;-50,"NM",(BY364/BQ364-1)*100)))</f>
        <v>-11.686217008797662</v>
      </c>
      <c r="CA364" s="137">
        <f>+CA359/CA353*100</f>
        <v>32.505036937541973</v>
      </c>
      <c r="CB364" s="98">
        <f>IF(ISERROR((CA364/BS364-1)*100),"NA",IF(((CA364/BS364-1)*100)&gt;100,"NM",IF(((CA364/BS364-1)*100)&lt;-50,"NM",(CA364/BS364-1)*100)))</f>
        <v>-15.655033463791955</v>
      </c>
      <c r="CC364" s="137">
        <f>+CC359/CC353*100</f>
        <v>36.375749500333107</v>
      </c>
      <c r="CD364" s="98">
        <f>IF(ISERROR((CC364/BU364-1)*100),"NA",IF(((CC364/BU364-1)*100)&gt;100,"NM",IF(((CC364/BU364-1)*100)&lt;-50,"NM",(CC364/BU364-1)*100)))</f>
        <v>19.327855503738256</v>
      </c>
      <c r="CE364" s="137">
        <f>+CE359/CE353*100</f>
        <v>32.815533980582522</v>
      </c>
      <c r="CF364" s="98">
        <f>IF(ISERROR((CE364/BW364-1)*100),"NA",IF(((CE364/BW364-1)*100)&gt;100,"NM",IF(((CE364/BW364-1)*100)&lt;-50,"NM",(CE364/BW364-1)*100)))</f>
        <v>6.893203883495147</v>
      </c>
      <c r="CG364" s="137">
        <f>+CG359/CG353*100</f>
        <v>34.044065387348972</v>
      </c>
      <c r="CH364" s="98">
        <f>IF(ISERROR((CG364/BY364-1)*100),"NA",IF(((CG364/BY364-1)*100)&gt;100,"NM",IF(((CG364/BY364-1)*100)&lt;-50,"NM",(CG364/BY364-1)*100)))</f>
        <v>6.2611102708100663</v>
      </c>
      <c r="CI364" s="137">
        <f>+CI359/CI353*100</f>
        <v>30.849114233353696</v>
      </c>
      <c r="CJ364" s="98">
        <f>IF(ISERROR((CI364/CA364-1)*100),"NA",IF(((CI364/CA364-1)*100)&gt;100,"NM",IF(((CI364/CA364-1)*100)&lt;-50,"NM",(CI364/CA364-1)*100)))</f>
        <v>-5.0943572449098085</v>
      </c>
      <c r="CK364" s="137">
        <f>+CK359/CK353*100</f>
        <v>41.504178272980504</v>
      </c>
      <c r="CL364" s="98">
        <f>IF(ISERROR((CK364/CC364-1)*100),"NA",IF(((CK364/CC364-1)*100)&gt;100,"NM",IF(((CK364/CC364-1)*100)&lt;-50,"NM",(CK364/CC364-1)*100)))</f>
        <v>14.098482761435417</v>
      </c>
      <c r="CM364" s="137">
        <f>+CM359/CM353*100</f>
        <v>45.9</v>
      </c>
      <c r="CN364" s="98">
        <f>IF(ISERROR((CM364/CE364-1)*100),"NA",IF(((CM364/CE364-1)*100)&gt;100,"NM",IF(((CM364/CE364-1)*100)&lt;-50,"NM",(CM364/CE364-1)*100)))</f>
        <v>39.872781065088759</v>
      </c>
      <c r="CO364" s="137">
        <f>+CO359/CO353*100</f>
        <v>49.854510184287101</v>
      </c>
      <c r="CP364" s="98">
        <f>IF(ISERROR((CO364/CG364-1)*100),"NA",IF(((CO364/CG364-1)*100)&gt;100,"NM",IF(((CO364/CG364-1)*100)&lt;-50,"NM",(CO364/CG364-1)*100)))</f>
        <v>46.441118641528064</v>
      </c>
      <c r="CQ364" s="494">
        <f>+CQ359/CQ353*100</f>
        <v>48.232611174458377</v>
      </c>
      <c r="CR364" s="98">
        <f>IF(ISERROR((CQ364/CI364-1)*100),"NA",IF(((CQ364/CI364-1)*100)&gt;100,"NM",IF(((CQ364/CI364-1)*100)&lt;-50,"NM",(CQ364/CI364-1)*100)))</f>
        <v>56.350068302155165</v>
      </c>
      <c r="CS364" s="137">
        <f>+CS359/CS353*100</f>
        <v>53.598014888337467</v>
      </c>
      <c r="CT364" s="98">
        <f>IF(ISERROR((CS364/CK364-1)*100),"NA",IF(((CS364/CK364-1)*100)&gt;100,"NM",IF(((CS364/CK364-1)*100)&lt;-50,"NM",(CS364/CK364-1)*100)))</f>
        <v>29.138841241027858</v>
      </c>
      <c r="CU364" s="137">
        <f>+CU359/CU353*100</f>
        <v>50.918918918918919</v>
      </c>
      <c r="CV364" s="98">
        <f>IF(ISERROR((CU364/CM364-1)*100),"NA",IF(((CU364/CM364-1)*100)&gt;100,"NM",IF(((CU364/CM364-1)*100)&lt;-50,"NM",(CU364/CM364-1)*100)))</f>
        <v>10.934463875640343</v>
      </c>
      <c r="CW364" s="137">
        <f>+CW359/CW353*100</f>
        <v>49.647887323943664</v>
      </c>
      <c r="CX364" s="98">
        <f>IF(ISERROR((CW364/CO364-1)*100),"NA",IF(((CW364/CO364-1)*100)&gt;100,"NM",IF(((CW364/CO364-1)*100)&lt;-50,"NM",(CW364/CO364-1)*100)))</f>
        <v>-0.41445169068887733</v>
      </c>
      <c r="CY364" s="137">
        <f>+CY359/CY353*100</f>
        <v>57.032258064516128</v>
      </c>
      <c r="CZ364" s="98">
        <f>IF(ISERROR((CY364/CQ364-1)*100),"NA",IF(((CY364/CQ364-1)*100)&gt;100,"NM",IF(((CY364/CQ364-1)*100)&lt;-50,"NM",(CY364/CQ364-1)*100)))</f>
        <v>18.244185159765138</v>
      </c>
      <c r="DA364" s="137">
        <f>+DA359/DA353*100</f>
        <v>58.859975216852547</v>
      </c>
      <c r="DB364" s="98">
        <f>IF(ISERROR((DA364/CS364-1)*100),"NA",IF(((DA364/CS364-1)*100)&gt;100,"NM",IF(((DA364/CS364-1)*100)&lt;-50,"NM",(DA364/CS364-1)*100)))</f>
        <v>9.8174537610721266</v>
      </c>
      <c r="DC364" s="137">
        <f>+DC359/DC353*100</f>
        <v>55.227552275522754</v>
      </c>
      <c r="DD364" s="98">
        <f>IF(ISERROR((DC364/CU364-1)*100),"NA",IF(((DC364/CU364-1)*100)&gt;100,"NM",IF(((DC364/CU364-1)*100)&lt;-50,"NM",(DC364/CU364-1)*100)))</f>
        <v>8.4617534073429859</v>
      </c>
      <c r="DE364" s="137">
        <f>+DE359/DE353*100</f>
        <v>56.806930693069305</v>
      </c>
      <c r="DF364" s="98">
        <f>IF(ISERROR((DE364/CW364-1)*100),"NA",IF(((DE364/CW364-1)*100)&gt;100,"NM",IF(((DE364/CW364-1)*100)&lt;-50,"NM",(DE364/CW364-1)*100)))</f>
        <v>14.419633452706959</v>
      </c>
      <c r="DG364" s="137">
        <f>+DG359/DG353*100</f>
        <v>53.309265944644999</v>
      </c>
      <c r="DH364" s="98">
        <f>IF(ISERROR((DG364/CY364-1)*100),"NA",IF(((DG364/CY364-1)*100)&gt;100,"NM",IF(((DG364/CY364-1)*100)&lt;-50,"NM",(DG364/CY364-1)*100)))</f>
        <v>-6.5278707984165685</v>
      </c>
      <c r="DI364" s="137">
        <f>+DI359/DI353*100</f>
        <v>55.690072639225185</v>
      </c>
      <c r="DJ364" s="98">
        <f>IF(ISERROR((DI364/DA364-1)*100),"NA",IF(((DI364/DA364-1)*100)&gt;100,"NM",IF(((DI364/DA364-1)*100)&lt;-50,"NM",(DI364/DA364-1)*100)))</f>
        <v>-5.3854976424111189</v>
      </c>
      <c r="DK364" s="137">
        <f>+DK359/DK353*100</f>
        <v>55.971049457177322</v>
      </c>
      <c r="DL364" s="98">
        <f>IF(ISERROR((DK364/DC364-1)*100),"NA",IF(((DK364/DC364-1)*100)&gt;100,"NM",IF(((DK364/DC364-1)*100)&lt;-50,"NM",(DK364/DC364-1)*100)))</f>
        <v>1.3462432264703006</v>
      </c>
      <c r="DM364" s="137">
        <f>+DM359/DM353*100</f>
        <v>55.339805825242713</v>
      </c>
      <c r="DN364" s="98">
        <f>IF(ISERROR((DM364/DE364-1)*100),"NA",IF(((DM364/DE364-1)*100)&gt;100,"NM",IF(((DM364/DE364-1)*100)&lt;-50,"NM",(DM364/DE364-1)*100)))</f>
        <v>-2.5826511834507349</v>
      </c>
      <c r="DO364" s="137">
        <f>+DO359/DO353*100</f>
        <v>55.184743742550658</v>
      </c>
      <c r="DP364" s="98">
        <f>IF(ISERROR((DO364/DG364-1)*100),"NA",IF(((DO364/DG364-1)*100)&gt;100,"NM",IF(((DO364/DG364-1)*100)&lt;-50,"NM",(DO364/DG364-1)*100)))</f>
        <v>3.5181084651458416</v>
      </c>
      <c r="DQ364" s="137">
        <f>+DQ359/DQ353*100</f>
        <v>60.051880674448768</v>
      </c>
      <c r="DR364" s="98">
        <f>IF(ISERROR((DQ364/DI364-1)*100),"NA",IF(((DQ364/DI364-1)*100)&gt;100,"NM",IF(((DQ364/DI364-1)*100)&lt;-50,"NM",(DQ364/DI364-1)*100)))</f>
        <v>7.8322900806406137</v>
      </c>
      <c r="DS364" s="137">
        <f>+DS359/DS353*100</f>
        <v>51.493598862019915</v>
      </c>
      <c r="DT364" s="98">
        <f>IF(ISERROR((DS364/DK364-1)*100),"NA",IF(((DS364/DK364-1)*100)&gt;100,"NM",IF(((DS364/DK364-1)*100)&lt;-50,"NM",(DS364/DK364-1)*100)))</f>
        <v>-7.9995830676411472</v>
      </c>
      <c r="DU364" s="137">
        <f>+DU359/DU353*100</f>
        <v>52.425876010781671</v>
      </c>
      <c r="DV364" s="98">
        <f>IF(ISERROR((DU364/DM364-1)*100),"NA",IF(((DU364/DM364-1)*100)&gt;100,"NM",IF(((DU364/DM364-1)*100)&lt;-50,"NM",(DU364/DM364-1)*100)))</f>
        <v>-5.2655222963067905</v>
      </c>
      <c r="DW364" s="137">
        <f>+DW359/DW353*100</f>
        <v>50.285714285714292</v>
      </c>
      <c r="DX364" s="98">
        <f>IF(ISERROR((DW364/DO364-1)*100),"NA",IF(((DW364/DO364-1)*100)&gt;100,"NM",IF(((DW364/DO364-1)*100)&lt;-50,"NM",(DW364/DO364-1)*100)))</f>
        <v>-8.8775069423017499</v>
      </c>
      <c r="DY364" s="137">
        <f>+DY359/DY353*100</f>
        <v>52.136752136752143</v>
      </c>
      <c r="DZ364" s="98">
        <f>IF(ISERROR((DY364/DQ364-1)*100),"NA",IF(((DY364/DQ364-1)*100)&gt;100,"NM",IF(((DY364/DQ364-1)*100)&lt;-50,"NM",(DY364/DQ364-1)*100)))</f>
        <v>-13.18048402281663</v>
      </c>
      <c r="EA364" s="137">
        <f>+EA359/EA353*100</f>
        <v>47.913669064748198</v>
      </c>
      <c r="EB364" s="98">
        <f>IF(ISERROR((EA364/DS364-1)*100),"NA",IF(((EA364/DS364-1)*100)&gt;100,"NM",IF(((EA364/DS364-1)*100)&lt;-50,"NM",(EA364/DS364-1)*100)))</f>
        <v>-6.9521841090663505</v>
      </c>
      <c r="EC364" s="137">
        <f>+EC359/EC353*100</f>
        <v>46.927374301675975</v>
      </c>
      <c r="ED364" s="98">
        <f>IF(ISERROR((EC364/DU364-1)*100),"NA",IF(((EC364/DU364-1)*100)&gt;100,"NM",IF(((EC364/DU364-1)*100)&lt;-50,"NM",(EC364/DU364-1)*100)))</f>
        <v>-10.488144648217034</v>
      </c>
      <c r="EE364" s="137">
        <f>+EE359/EE353*100</f>
        <v>47.293447293447294</v>
      </c>
      <c r="EF364" s="860">
        <f>IF(ISERROR((EE364/DW364-1)*100),"NA",IF(((EE364/DW364-1)*100)&gt;100,"NM",IF(((EE364/DW364-1)*100)&lt;-50,"NM",(EE364/DW364-1)*100)))</f>
        <v>-5.9505309505309629</v>
      </c>
      <c r="EG364" s="137">
        <f>+EG359/EG353*100</f>
        <v>46.264367816091955</v>
      </c>
      <c r="EH364" s="860">
        <f>IF(ISERROR((EG364/DY364-1)*100),"NA",IF(((EG364/DY364-1)*100)&gt;100,"NM",IF(((EG364/DY364-1)*100)&lt;-50,"NM",(EG364/DY364-1)*100)))</f>
        <v>-11.263425664217086</v>
      </c>
      <c r="EI364" s="137">
        <f>+EI359/EI353*100</f>
        <v>45.930232558139537</v>
      </c>
      <c r="EJ364" s="860">
        <f t="shared" ref="EJ364" si="1865">IF(ISERROR((EI364/EA364-1)*100),"NA",IF(((EI364/EA364-1)*100)&gt;100,"NM",IF(((EI364/EA364-1)*100)&lt;-50,"NM",(EI364/EA364-1)*100)))</f>
        <v>-4.1396047210000564</v>
      </c>
      <c r="EK364" s="137">
        <f>+EK359/EK353*100</f>
        <v>47.226173541963021</v>
      </c>
      <c r="EL364" s="860">
        <f t="shared" ref="EL364" si="1866">IF(ISERROR((EK364/EC364-1)*100),"NA",IF(((EK364/EC364-1)*100)&gt;100,"NM",IF(((EK364/EC364-1)*100)&lt;-50,"NM",(EK364/EC364-1)*100)))</f>
        <v>0.63672695251644207</v>
      </c>
      <c r="EM364" s="137">
        <f>+EM359/EM353*100</f>
        <v>48.804500703234879</v>
      </c>
      <c r="EN364" s="860">
        <f t="shared" ref="EN364" si="1867">IF(ISERROR((EM364/EE364-1)*100),"NA",IF(((EM364/EE364-1)*100)&gt;100,"NM",IF(((EM364/EE364-1)*100)&lt;-50,"NM",(EM364/EE364-1)*100)))</f>
        <v>3.1950587158761534</v>
      </c>
      <c r="EO364" s="137">
        <f>+EO359/EO353*100</f>
        <v>52.120383036935699</v>
      </c>
      <c r="EP364" s="98">
        <f t="shared" ref="EP364" si="1868">IF(ISERROR((EO364/EG364-1)*100),"NA",IF(((EO364/EG364-1)*100)&gt;100,"NM",IF(((EO364/EG364-1)*100)&lt;-50,"NM",(EO364/EG364-1)*100)))</f>
        <v>12.657722340705725</v>
      </c>
      <c r="EQ364" s="1026">
        <v>50</v>
      </c>
      <c r="ER364" s="98">
        <f t="shared" ref="ER364" si="1869">IF(ISERROR((EQ364/EI364-1)*100),"NA",IF(((EQ364/EI364-1)*100)&gt;100,"NM",IF(((EQ364/EI364-1)*100)&lt;-50,"NM",(EQ364/EI364-1)*100)))</f>
        <v>8.8607594936708889</v>
      </c>
      <c r="ES364" s="1026">
        <f t="shared" ref="ES364" si="1870">EQ364</f>
        <v>50</v>
      </c>
      <c r="ET364" s="98">
        <f t="shared" ref="ET364" si="1871">IF(ISERROR((ES364/EK364-1)*100),"NA",IF(((ES364/EK364-1)*100)&gt;100,"NM",IF(((ES364/EK364-1)*100)&lt;-50,"NM",(ES364/EK364-1)*100)))</f>
        <v>5.8734939759035987</v>
      </c>
      <c r="EU364" s="1026">
        <f t="shared" ref="EU364" si="1872">ES364</f>
        <v>50</v>
      </c>
      <c r="EV364" s="98">
        <f t="shared" ref="EV364" si="1873">IF(ISERROR((EU364/EM364-1)*100),"NA",IF(((EU364/EM364-1)*100)&gt;100,"NM",IF(((EU364/EM364-1)*100)&lt;-50,"NM",(EU364/EM364-1)*100)))</f>
        <v>2.4495677233429491</v>
      </c>
      <c r="EW364" s="1026">
        <f t="shared" ref="EW364" si="1874">EU364</f>
        <v>50</v>
      </c>
      <c r="EX364" s="98">
        <f t="shared" ref="EX364" si="1875">IF(ISERROR((EW364/EO364-1)*100),"NA",IF(((EW364/EO364-1)*100)&gt;100,"NM",IF(((EW364/EO364-1)*100)&lt;-50,"NM",(EW364/EO364-1)*100)))</f>
        <v>-4.0682414698162583</v>
      </c>
      <c r="EY364" s="80"/>
      <c r="EZ364" s="594"/>
      <c r="FA364" s="405"/>
      <c r="FB364" s="289">
        <f>+FB359/FB353*100</f>
        <v>35.438265786993398</v>
      </c>
      <c r="FC364" s="98"/>
      <c r="FD364" s="291">
        <f>+FD359/FD353*100</f>
        <v>39.163498098859314</v>
      </c>
      <c r="FE364" s="98">
        <f>IF(ISERROR((FD364/FB364-1)*100),"NA",IF(((FD364/FB364-1)*100)&gt;100,"NM",IF(((FD364/FB364-1)*100)&lt;-50,"NM",(FD364/FB364-1)*100)))</f>
        <v>10.511892241728017</v>
      </c>
      <c r="FF364" s="289">
        <f>+FF359/FF353*100</f>
        <v>36.615384615384613</v>
      </c>
      <c r="FG364" s="98">
        <f>IF(ISERROR((FF364/FD364-1)*100),"NA",IF(((FF364/FD364-1)*100)&gt;100,"NM",IF(((FF364/FD364-1)*100)&lt;-50,"NM",(FF364/FD364-1)*100)))</f>
        <v>-6.5063480209111351</v>
      </c>
      <c r="FH364" s="289">
        <f>+FH359/FH353*100</f>
        <v>34.704370179948583</v>
      </c>
      <c r="FI364" s="98">
        <f>IF(ISERROR((FH364/FF364-1)*100),"NA",IF(((FH364/FF364-1)*100)&gt;100,"NM",IF(((FH364/FF364-1)*100)&lt;-50,"NM",(FH364/FF364-1)*100)))</f>
        <v>-5.2191570715689917</v>
      </c>
      <c r="FJ364" s="289">
        <f>+FJ359/FJ353*100</f>
        <v>26.760563380281688</v>
      </c>
      <c r="FK364" s="98">
        <f>IF(ISERROR((FJ364/FH364-1)*100),"NA",IF(((FJ364/FH364-1)*100)&gt;100,"NM",IF(((FJ364/FH364-1)*100)&lt;-50,"NM",(FJ364/FH364-1)*100)))</f>
        <v>-22.889932185706829</v>
      </c>
      <c r="FL364" s="289">
        <f>+FL359/FL353*100</f>
        <v>28.475513428120063</v>
      </c>
      <c r="FM364" s="98">
        <f>IF(ISERROR((FL364/FJ364-1)*100),"NA",IF(((FL364/FJ364-1)*100)&gt;100,"NM",IF(((FL364/FJ364-1)*100)&lt;-50,"NM",(FL364/FJ364-1)*100)))</f>
        <v>6.4084975471855099</v>
      </c>
      <c r="FN364" s="289">
        <f>+FN359/FN353*100</f>
        <v>32.60377358490566</v>
      </c>
      <c r="FO364" s="98">
        <f>IF(ISERROR((FN364/FL364-1)*100),"NA",IF(((FN364/FL364-1)*100)&gt;100,"NM",IF(((FN364/FL364-1)*100)&lt;-50,"NM",(FN364/FL364-1)*100)))</f>
        <v>14.497579357810174</v>
      </c>
      <c r="FP364" s="289">
        <f>+FP359/FP353*100</f>
        <v>36.318545053733807</v>
      </c>
      <c r="FQ364" s="98">
        <f>IF(ISERROR((FP364/FN364-1)*100),"NA",IF(((FP364/FN364-1)*100)&gt;100,"NM",IF(((FP364/FN364-1)*100)&lt;-50,"NM",(FP364/FN364-1)*100)))</f>
        <v>11.393685639345597</v>
      </c>
      <c r="FR364" s="130">
        <f>+FR359/FR353*100</f>
        <v>38.787744227353464</v>
      </c>
      <c r="FS364" s="120">
        <f>IF(ISERROR((FR364/FP364-1)*100),"NA",IF(((FR364/FP364-1)*100)&gt;100,"NM",IF(((FR364/FP364-1)*100)&lt;-50,"NM",(FR364/FP364-1)*100)))</f>
        <v>6.7987282253912928</v>
      </c>
      <c r="FT364" s="130">
        <f>+FT359/FT353*100</f>
        <v>40.678598061148399</v>
      </c>
      <c r="FU364" s="120">
        <f>IF(ISERROR((FT364/FR364-1)*100),"NA",IF(((FT364/FR364-1)*100)&gt;100,"NM",IF(((FT364/FR364-1)*100)&lt;-50,"NM",(FT364/FR364-1)*100)))</f>
        <v>4.8748744518674281</v>
      </c>
      <c r="FV364" s="130">
        <f>+FV359/FV353*100</f>
        <v>36.231129619989588</v>
      </c>
      <c r="FW364" s="98">
        <f>IF(ISERROR((FV364/FT364-1)*100),"NA",IF(((FV364/FT364-1)*100)&gt;100,"NM",IF(((FV364/FT364-1)*100)&lt;-50,"NM",(FV364/FT364-1)*100)))</f>
        <v>-10.933190063416987</v>
      </c>
      <c r="FX364" s="487">
        <f>+FX359/FX353*100</f>
        <v>33.088909257561873</v>
      </c>
      <c r="FY364" s="98">
        <f>IF(ISERROR((FX364/FV364-1)*100),"NA",IF(((FX364/FV364-1)*100)&gt;100,"NM",IF(((FX364/FV364-1)*100)&lt;-50,"NM",(FX364/FV364-1)*100)))</f>
        <v>-8.6727087876776405</v>
      </c>
      <c r="FZ364" s="130">
        <f>+FZ359/FZ353*100</f>
        <v>35.025062656641602</v>
      </c>
      <c r="GA364" s="98">
        <f>IF(ISERROR((FZ364/FX364-1)*100),"NA",IF(((FZ364/FX364-1)*100)&gt;100,"NM",IF(((FZ364/FX364-1)*100)&lt;-50,"NM",(FZ364/FX364-1)*100)))</f>
        <v>5.851366643756184</v>
      </c>
      <c r="GB364" s="487">
        <f>+GB359/GB353*100</f>
        <v>49.554213402358357</v>
      </c>
      <c r="GC364" s="98">
        <f>IF(ISERROR((GB364/FZ364-1)*100),"NA",IF(((GB364/FZ364-1)*100)&gt;100,"NM",IF(((GB364/FZ364-1)*100)&lt;-50,"NM",(GB364/FZ364-1)*100)))</f>
        <v>41.4821549019033</v>
      </c>
      <c r="GD364" s="130">
        <f>+GD359/GD353*100</f>
        <v>53.914855611789228</v>
      </c>
      <c r="GE364" s="98">
        <f>IF(ISERROR((GD364/GB364-1)*100),"NA",IF(((GD364/GB364-1)*100)&gt;100,"NM",IF(((GD364/GB364-1)*100)&lt;-50,"NM",(GD364/GB364-1)*100)))</f>
        <v>8.7997405468317691</v>
      </c>
      <c r="GF364" s="130">
        <f>+GF359/GF353*100</f>
        <v>55.2471018913972</v>
      </c>
      <c r="GG364" s="98">
        <f>IF(ISERROR((GF364/GD364-1)*100),"NA",IF(((GF364/GD364-1)*100)&gt;100,"NM",IF(((GF364/GD364-1)*100)&lt;-50,"NM",(GF364/GD364-1)*100)))</f>
        <v>2.4710189139719452</v>
      </c>
      <c r="GH364" s="130">
        <f>+GH359/GH353*100</f>
        <v>56.573705179282875</v>
      </c>
      <c r="GI364" s="98">
        <f>IF(ISERROR((GH364/GF364-1)*100),"NA",IF(((GH364/GF364-1)*100)&gt;100,"NM",IF(((GH364/GF364-1)*100)&lt;-50,"NM",(GH364/GF364-1)*100)))</f>
        <v>2.4012178783485494</v>
      </c>
      <c r="GJ364" s="130">
        <f>+GJ359/GJ353*100</f>
        <v>51.598173515981735</v>
      </c>
      <c r="GK364" s="98">
        <f>IF(ISERROR((GJ364/GH364-1)*100),"NA",IF(((GJ364/GH364-1)*100)&gt;100,"NM",IF(((GJ364/GH364-1)*100)&lt;-50,"NM",(GJ364/GH364-1)*100)))</f>
        <v>-8.7947777992153924</v>
      </c>
      <c r="GL364" s="130">
        <f>+GL359/GL353*100</f>
        <v>47.098611605553572</v>
      </c>
      <c r="GM364" s="98">
        <f>IF(ISERROR((GL364/GJ364-1)*100),"NA",IF(((GL364/GJ364-1)*100)&gt;100,"NM",IF(((GL364/GJ364-1)*100)&lt;-50,"NM",(GL364/GJ364-1)*100)))</f>
        <v>-8.7203898972014855</v>
      </c>
      <c r="GN364" s="130">
        <f>+GN359/GN353*100</f>
        <v>48.570420049417578</v>
      </c>
      <c r="GO364" s="98">
        <f>IF(ISERROR((GN364/GL364-1)*100),"NA",IF(((GN364/GL364-1)*100)&gt;100,"NM",IF(((GN364/GL364-1)*100)&lt;-50,"NM",(GN364/GL364-1)*100)))</f>
        <v>3.124950807871496</v>
      </c>
      <c r="GP364" s="130">
        <f>+GP359/GP353*100</f>
        <v>50</v>
      </c>
      <c r="GQ364" s="98">
        <f>IF(ISERROR((GP364/GN364-1)*100),"NA",IF(((GP364/GN364-1)*100)&gt;100,"NM",IF(((GP364/GN364-1)*100)&lt;-50,"NM",(GP364/GN364-1)*100)))</f>
        <v>2.943313953488369</v>
      </c>
      <c r="GR364" s="80">
        <v>49</v>
      </c>
      <c r="GS364" s="98">
        <f>IF(ISERROR((GR364/GP364-1)*100),"NA",IF(((GR364/GP364-1)*100)&gt;100,"NM",IF(((GR364/GP364-1)*100)&lt;-50,"NM",(GR364/GP364-1)*100)))</f>
        <v>-2.0000000000000018</v>
      </c>
      <c r="GT364" s="80">
        <f>GR364</f>
        <v>49</v>
      </c>
      <c r="GU364" s="98">
        <f>IF(ISERROR((GT364/GR364-1)*100),"NA",IF(((GT364/GR364-1)*100)&gt;100,"NM",IF(((GT364/GR364-1)*100)&lt;-50,"NM",(GT364/GR364-1)*100)))</f>
        <v>0</v>
      </c>
      <c r="GV364" s="80">
        <f>GT364</f>
        <v>49</v>
      </c>
      <c r="GW364" s="98">
        <f>IF(ISERROR((GV364/GT364-1)*100),"NA",IF(((GV364/GT364-1)*100)&gt;100,"NM",IF(((GV364/GT364-1)*100)&lt;-50,"NM",(GV364/GT364-1)*100)))</f>
        <v>0</v>
      </c>
      <c r="GX364" s="80">
        <f>GV364</f>
        <v>49</v>
      </c>
      <c r="GY364" s="98">
        <f>IF(ISERROR((GX364/GV364-1)*100),"NA",IF(((GX364/GV364-1)*100)&gt;100,"NM",IF(((GX364/GV364-1)*100)&lt;-50,"NM",(GX364/GV364-1)*100)))</f>
        <v>0</v>
      </c>
      <c r="GZ364" s="98">
        <f>IF(ISERROR(((GX364/GN364)^0.2-1)*100),"NA",IF((((GX364/GN364)^0.2-1)*100)&gt;100,"NM",IF((((GX364/GN364)^0.2-1)*100)&lt;-50,"NM",((GX364/GN364)^0.2-1)*100)))</f>
        <v>0.17626703722402048</v>
      </c>
      <c r="HA364" s="98"/>
      <c r="HB364" s="10"/>
      <c r="HC364"/>
      <c r="HD364"/>
      <c r="HE364"/>
      <c r="HF364"/>
      <c r="HG364"/>
      <c r="HH364"/>
      <c r="HI364" s="10"/>
    </row>
    <row r="365" spans="1:217" s="143" customFormat="1" ht="12.75" hidden="1" customHeight="1" outlineLevel="1" x14ac:dyDescent="0.2">
      <c r="B365" s="140" t="s">
        <v>203</v>
      </c>
      <c r="C365" s="225"/>
      <c r="D365" s="226"/>
      <c r="E365" s="225"/>
      <c r="F365" s="226"/>
      <c r="G365" s="225"/>
      <c r="H365" s="226"/>
      <c r="I365" s="225"/>
      <c r="J365" s="109"/>
      <c r="K365" s="225"/>
      <c r="L365" s="109"/>
      <c r="M365" s="225"/>
      <c r="N365" s="109"/>
      <c r="O365" s="225"/>
      <c r="P365" s="109"/>
      <c r="Q365" s="225"/>
      <c r="R365" s="109"/>
      <c r="S365" s="225"/>
      <c r="T365" s="109"/>
      <c r="U365" s="225"/>
      <c r="V365" s="109"/>
      <c r="W365" s="225"/>
      <c r="X365" s="109"/>
      <c r="Y365" s="225"/>
      <c r="Z365" s="109"/>
      <c r="AA365" s="225"/>
      <c r="AB365" s="109"/>
      <c r="AC365" s="225"/>
      <c r="AD365" s="109"/>
      <c r="AE365" s="225"/>
      <c r="AF365" s="109"/>
      <c r="AG365" s="225"/>
      <c r="AH365" s="109"/>
      <c r="AI365" s="225"/>
      <c r="AJ365" s="109"/>
      <c r="AK365" s="225"/>
      <c r="AL365" s="109"/>
      <c r="AM365" s="225"/>
      <c r="AN365" s="109"/>
      <c r="AO365" s="225"/>
      <c r="AP365" s="109"/>
      <c r="AQ365" s="227"/>
      <c r="AR365" s="109"/>
      <c r="AS365" s="227"/>
      <c r="AT365" s="109"/>
      <c r="AU365" s="227"/>
      <c r="AV365" s="109"/>
      <c r="AW365" s="227"/>
      <c r="AX365" s="109"/>
      <c r="AY365" s="227"/>
      <c r="AZ365" s="109"/>
      <c r="BA365" s="227"/>
      <c r="BB365" s="109"/>
      <c r="BC365" s="227"/>
      <c r="BD365" s="109"/>
      <c r="BE365" s="227"/>
      <c r="BF365" s="109"/>
      <c r="BG365" s="227"/>
      <c r="BH365" s="109"/>
      <c r="BI365" s="227"/>
      <c r="BJ365" s="109"/>
      <c r="BK365" s="227"/>
      <c r="BL365" s="109"/>
      <c r="BM365" s="227"/>
      <c r="BN365" s="109"/>
      <c r="BO365" s="227"/>
      <c r="BP365" s="109"/>
      <c r="BQ365" s="227"/>
      <c r="BR365" s="109"/>
      <c r="BS365" s="227"/>
      <c r="BT365" s="109"/>
      <c r="BU365" s="227"/>
      <c r="BV365" s="109"/>
      <c r="BW365" s="227"/>
      <c r="BX365" s="109"/>
      <c r="BY365" s="227"/>
      <c r="BZ365" s="109"/>
      <c r="CA365" s="227"/>
      <c r="CB365" s="109"/>
      <c r="CC365" s="227"/>
      <c r="CD365" s="109"/>
      <c r="CE365" s="227"/>
      <c r="CF365" s="109"/>
      <c r="CG365" s="227"/>
      <c r="CH365" s="109"/>
      <c r="CI365" s="227"/>
      <c r="CJ365" s="109"/>
      <c r="CK365" s="227"/>
      <c r="CL365" s="109"/>
      <c r="CM365" s="227"/>
      <c r="CN365" s="109"/>
      <c r="CO365" s="227"/>
      <c r="CP365" s="109"/>
      <c r="CQ365" s="555"/>
      <c r="CR365" s="109"/>
      <c r="CS365" s="227"/>
      <c r="CT365" s="109"/>
      <c r="CU365" s="227"/>
      <c r="CV365" s="109"/>
      <c r="CW365" s="227"/>
      <c r="CX365" s="109"/>
      <c r="CY365" s="227"/>
      <c r="CZ365" s="109"/>
      <c r="DA365" s="227"/>
      <c r="DB365" s="109"/>
      <c r="DC365" s="227"/>
      <c r="DD365" s="109"/>
      <c r="DE365" s="227"/>
      <c r="DF365" s="109"/>
      <c r="DG365" s="227"/>
      <c r="DH365" s="109"/>
      <c r="DI365" s="227"/>
      <c r="DJ365" s="109"/>
      <c r="DK365" s="227"/>
      <c r="DL365" s="109"/>
      <c r="DM365" s="227"/>
      <c r="DN365" s="109"/>
      <c r="DO365" s="227"/>
      <c r="DP365" s="109"/>
      <c r="DQ365" s="227"/>
      <c r="DR365" s="109"/>
      <c r="DS365" s="227"/>
      <c r="DT365" s="109"/>
      <c r="DU365" s="227"/>
      <c r="DV365" s="109"/>
      <c r="DW365" s="227"/>
      <c r="DX365" s="109"/>
      <c r="DY365" s="227"/>
      <c r="DZ365" s="109"/>
      <c r="EA365" s="227"/>
      <c r="EB365" s="109"/>
      <c r="EC365" s="227"/>
      <c r="ED365" s="109"/>
      <c r="EE365" s="227"/>
      <c r="EF365" s="1027"/>
      <c r="EG365" s="227"/>
      <c r="EH365" s="1027"/>
      <c r="EI365" s="227"/>
      <c r="EJ365" s="1027"/>
      <c r="EK365" s="227"/>
      <c r="EL365" s="1027"/>
      <c r="EM365" s="227"/>
      <c r="EN365" s="1027"/>
      <c r="EO365" s="227"/>
      <c r="EP365" s="109"/>
      <c r="EQ365" s="1018">
        <f>IF($B$6=1,EQ364,IF($B$6=2,EQ364+EQ889,IF($B$6=3,EQ364+EQ890)))</f>
        <v>50</v>
      </c>
      <c r="ER365" s="109"/>
      <c r="ES365" s="1018">
        <f>IF($B$6=1,ES364,IF($B$6=2,ES364+ES889,IF($B$6=3,ES364+ES890)))</f>
        <v>50</v>
      </c>
      <c r="ET365" s="109"/>
      <c r="EU365" s="1018">
        <f>IF($B$6=1,EU364,IF($B$6=2,EU364+EU889,IF($B$6=3,EU364+EU890)))</f>
        <v>50</v>
      </c>
      <c r="EV365" s="109"/>
      <c r="EW365" s="1018">
        <f>IF($B$6=1,EW364,IF($B$6=2,EW364+EW889,IF($B$6=3,EW364+EW890)))</f>
        <v>50</v>
      </c>
      <c r="EX365" s="109"/>
      <c r="EY365" s="141"/>
      <c r="EZ365" s="600"/>
      <c r="FA365" s="111"/>
      <c r="FB365" s="228"/>
      <c r="FC365" s="229"/>
      <c r="FD365" s="228"/>
      <c r="FE365" s="109"/>
      <c r="FF365" s="228"/>
      <c r="FG365" s="109"/>
      <c r="FH365" s="228"/>
      <c r="FI365" s="109"/>
      <c r="FJ365" s="228"/>
      <c r="FK365" s="109"/>
      <c r="FL365" s="228"/>
      <c r="FM365" s="109"/>
      <c r="FN365" s="228"/>
      <c r="FO365" s="109"/>
      <c r="FP365" s="228"/>
      <c r="FQ365" s="109"/>
      <c r="FR365" s="141"/>
      <c r="FS365" s="109"/>
      <c r="FT365" s="141"/>
      <c r="FU365" s="109"/>
      <c r="FV365" s="141"/>
      <c r="FW365" s="109"/>
      <c r="FX365" s="491"/>
      <c r="FY365" s="109"/>
      <c r="FZ365" s="141"/>
      <c r="GA365" s="109"/>
      <c r="GB365" s="491"/>
      <c r="GC365" s="109"/>
      <c r="GD365" s="141"/>
      <c r="GE365" s="109"/>
      <c r="GF365" s="141"/>
      <c r="GG365" s="109"/>
      <c r="GH365" s="141"/>
      <c r="GI365" s="109"/>
      <c r="GJ365" s="141"/>
      <c r="GK365" s="109"/>
      <c r="GL365" s="141"/>
      <c r="GM365" s="109"/>
      <c r="GN365" s="141"/>
      <c r="GO365" s="109"/>
      <c r="GP365" s="141"/>
      <c r="GQ365" s="109"/>
      <c r="GR365" s="141">
        <f>IF($B$6=1,GR364,IF($B$6=2,GR364+GR889,IF($B$6=3,GR364+GR890)))</f>
        <v>49</v>
      </c>
      <c r="GS365" s="109"/>
      <c r="GT365" s="141">
        <f>IF($B$6=1,GT364,IF($B$6=2,GT364+GT889,IF($B$6=3,GT364+GT890)))</f>
        <v>49</v>
      </c>
      <c r="GU365" s="109"/>
      <c r="GV365" s="141">
        <f>IF($B$6=1,GV364,IF($B$6=2,GV364+GV889,IF($B$6=3,GV364+GV890)))</f>
        <v>49</v>
      </c>
      <c r="GW365" s="109"/>
      <c r="GX365" s="141">
        <f>IF($B$6=1,GX364,IF($B$6=2,GX364+GX889,IF($B$6=3,GX364+GX890)))</f>
        <v>49</v>
      </c>
      <c r="GY365" s="109"/>
      <c r="GZ365" s="109"/>
      <c r="HA365" s="109"/>
      <c r="HB365" s="111"/>
      <c r="HC365"/>
      <c r="HD365"/>
      <c r="HE365"/>
      <c r="HF365"/>
      <c r="HG365"/>
      <c r="HH365"/>
      <c r="HI365" s="111"/>
    </row>
    <row r="366" spans="1:217" s="2" customFormat="1" ht="12.75" customHeight="1" collapsed="1" x14ac:dyDescent="0.2">
      <c r="B366" s="179"/>
      <c r="C366" s="94"/>
      <c r="D366" s="113"/>
      <c r="E366" s="94"/>
      <c r="F366" s="113"/>
      <c r="G366" s="94"/>
      <c r="H366" s="113"/>
      <c r="I366" s="94"/>
      <c r="J366" s="113"/>
      <c r="K366" s="94"/>
      <c r="L366" s="113"/>
      <c r="M366" s="94"/>
      <c r="N366" s="113"/>
      <c r="O366" s="94"/>
      <c r="P366" s="113"/>
      <c r="Q366" s="94"/>
      <c r="R366" s="113"/>
      <c r="S366" s="94"/>
      <c r="T366" s="113"/>
      <c r="U366" s="94"/>
      <c r="V366" s="113"/>
      <c r="W366" s="94"/>
      <c r="X366" s="113"/>
      <c r="Y366" s="94"/>
      <c r="Z366" s="113"/>
      <c r="AA366" s="94"/>
      <c r="AB366" s="113"/>
      <c r="AC366" s="94"/>
      <c r="AD366" s="113"/>
      <c r="AE366" s="94"/>
      <c r="AF366" s="113"/>
      <c r="AG366" s="94"/>
      <c r="AH366" s="113"/>
      <c r="AI366" s="94"/>
      <c r="AJ366" s="113"/>
      <c r="AK366" s="94"/>
      <c r="AL366" s="113"/>
      <c r="AM366" s="94"/>
      <c r="AN366" s="113"/>
      <c r="AO366" s="94"/>
      <c r="AP366" s="113"/>
      <c r="AQ366" s="94"/>
      <c r="AR366" s="113"/>
      <c r="AS366" s="94"/>
      <c r="AT366" s="113"/>
      <c r="AU366" s="94"/>
      <c r="AV366" s="113"/>
      <c r="AW366" s="94"/>
      <c r="AX366" s="113"/>
      <c r="AY366" s="94"/>
      <c r="AZ366" s="113"/>
      <c r="BA366" s="94"/>
      <c r="BB366" s="113"/>
      <c r="BC366" s="94"/>
      <c r="BD366" s="113"/>
      <c r="BE366" s="94"/>
      <c r="BF366" s="113"/>
      <c r="BG366" s="94"/>
      <c r="BH366" s="113"/>
      <c r="BI366" s="94"/>
      <c r="BJ366" s="113"/>
      <c r="BK366" s="94"/>
      <c r="BL366" s="113"/>
      <c r="BM366" s="94"/>
      <c r="BN366" s="113"/>
      <c r="BO366" s="94"/>
      <c r="BP366" s="113"/>
      <c r="BQ366" s="94"/>
      <c r="BR366" s="113"/>
      <c r="BS366" s="94"/>
      <c r="BT366" s="113"/>
      <c r="BU366" s="94"/>
      <c r="BV366" s="113"/>
      <c r="BW366" s="94"/>
      <c r="BX366" s="113"/>
      <c r="BY366" s="94"/>
      <c r="BZ366" s="113"/>
      <c r="CA366" s="94"/>
      <c r="CB366" s="113"/>
      <c r="CC366" s="94"/>
      <c r="CD366" s="113"/>
      <c r="CE366" s="94"/>
      <c r="CF366" s="113"/>
      <c r="CG366" s="94"/>
      <c r="CH366" s="113"/>
      <c r="CI366" s="94"/>
      <c r="CJ366" s="113"/>
      <c r="CK366" s="94"/>
      <c r="CL366" s="113"/>
      <c r="CM366" s="94"/>
      <c r="CN366" s="113"/>
      <c r="CO366" s="94"/>
      <c r="CP366" s="113"/>
      <c r="CQ366" s="533"/>
      <c r="CR366" s="113"/>
      <c r="CS366" s="94"/>
      <c r="CT366" s="113"/>
      <c r="CU366" s="94"/>
      <c r="CV366" s="113"/>
      <c r="CW366" s="94"/>
      <c r="CX366" s="113"/>
      <c r="CY366" s="94"/>
      <c r="CZ366" s="113"/>
      <c r="DA366" s="94"/>
      <c r="DB366" s="113"/>
      <c r="DC366" s="94"/>
      <c r="DD366" s="113"/>
      <c r="DE366" s="94"/>
      <c r="DF366" s="113"/>
      <c r="DG366" s="94"/>
      <c r="DH366" s="113"/>
      <c r="DI366" s="94"/>
      <c r="DJ366" s="113"/>
      <c r="DK366" s="94"/>
      <c r="DL366" s="113"/>
      <c r="DM366" s="94"/>
      <c r="DN366" s="113"/>
      <c r="DO366" s="94"/>
      <c r="DP366" s="113"/>
      <c r="DQ366" s="94"/>
      <c r="DR366" s="113"/>
      <c r="DS366" s="94"/>
      <c r="DT366" s="113"/>
      <c r="DU366" s="94"/>
      <c r="DV366" s="113"/>
      <c r="DW366" s="94"/>
      <c r="DX366" s="113"/>
      <c r="DY366" s="94"/>
      <c r="DZ366" s="113"/>
      <c r="EA366" s="94"/>
      <c r="EB366" s="113"/>
      <c r="EC366" s="94"/>
      <c r="ED366" s="113"/>
      <c r="EE366" s="94"/>
      <c r="EF366" s="859"/>
      <c r="EG366" s="94"/>
      <c r="EH366" s="859"/>
      <c r="EI366" s="94"/>
      <c r="EJ366" s="859"/>
      <c r="EK366" s="94"/>
      <c r="EL366" s="859"/>
      <c r="EM366" s="94"/>
      <c r="EN366" s="859"/>
      <c r="EO366" s="94"/>
      <c r="EP366" s="113"/>
      <c r="EQ366" s="789"/>
      <c r="ER366" s="113"/>
      <c r="ES366" s="789"/>
      <c r="ET366" s="113"/>
      <c r="EU366" s="789"/>
      <c r="EV366" s="113"/>
      <c r="EW366" s="789"/>
      <c r="EX366" s="113"/>
      <c r="EY366" s="95"/>
      <c r="EZ366" s="594"/>
      <c r="FA366" s="405"/>
      <c r="FB366" s="95"/>
      <c r="FC366" s="113"/>
      <c r="FD366" s="94"/>
      <c r="FE366" s="113"/>
      <c r="FF366" s="95"/>
      <c r="FG366" s="113"/>
      <c r="FH366" s="95"/>
      <c r="FI366" s="113"/>
      <c r="FJ366" s="95"/>
      <c r="FK366" s="113"/>
      <c r="FL366" s="95"/>
      <c r="FM366" s="113"/>
      <c r="FN366" s="95"/>
      <c r="FO366" s="113"/>
      <c r="FP366" s="95"/>
      <c r="FQ366" s="113"/>
      <c r="FR366" s="96"/>
      <c r="FS366" s="116"/>
      <c r="FT366" s="96"/>
      <c r="FU366" s="116"/>
      <c r="FV366" s="96"/>
      <c r="FW366" s="113"/>
      <c r="FX366" s="480"/>
      <c r="FY366" s="113"/>
      <c r="FZ366" s="96"/>
      <c r="GA366" s="113"/>
      <c r="GB366" s="480"/>
      <c r="GC366" s="113"/>
      <c r="GD366" s="96"/>
      <c r="GE366" s="113"/>
      <c r="GF366" s="96"/>
      <c r="GG366" s="113"/>
      <c r="GH366" s="96"/>
      <c r="GI366" s="113"/>
      <c r="GJ366" s="96"/>
      <c r="GK366" s="113"/>
      <c r="GL366" s="96"/>
      <c r="GM366" s="113"/>
      <c r="GN366" s="96"/>
      <c r="GO366" s="113"/>
      <c r="GP366" s="96"/>
      <c r="GQ366" s="113"/>
      <c r="GR366" s="95"/>
      <c r="GS366" s="113"/>
      <c r="GT366" s="95"/>
      <c r="GU366" s="113"/>
      <c r="GV366" s="95"/>
      <c r="GW366" s="113"/>
      <c r="GX366" s="95"/>
      <c r="GY366" s="113"/>
      <c r="GZ366" s="113"/>
      <c r="HA366" s="113"/>
      <c r="HB366" s="10"/>
      <c r="HC366"/>
      <c r="HD366"/>
      <c r="HE366"/>
      <c r="HF366"/>
      <c r="HG366"/>
      <c r="HH366"/>
      <c r="HI366" s="10"/>
    </row>
    <row r="367" spans="1:217" s="5" customFormat="1" ht="12.75" customHeight="1" x14ac:dyDescent="0.2">
      <c r="A367" s="2" t="s">
        <v>69</v>
      </c>
      <c r="B367" s="19" t="s">
        <v>477</v>
      </c>
      <c r="C367" s="182">
        <f>+C353-C360</f>
        <v>16</v>
      </c>
      <c r="D367" s="230"/>
      <c r="E367" s="182">
        <f>+E353-E360</f>
        <v>8</v>
      </c>
      <c r="F367" s="230"/>
      <c r="G367" s="182">
        <f>+G353-G360</f>
        <v>11</v>
      </c>
      <c r="H367" s="230"/>
      <c r="I367" s="182">
        <f>+I353-I360</f>
        <v>1</v>
      </c>
      <c r="J367" s="98"/>
      <c r="K367" s="182">
        <f>+K353-K360</f>
        <v>19</v>
      </c>
      <c r="L367" s="98">
        <f t="shared" ref="L367:L373" si="1876">IF(ISERROR((K367/C367-1)*100),"NA",IF(((K367/C367-1)*100)&gt;100,"NM",IF(((K367/C367-1)*100)&lt;-50,"NM",(K367/C367-1)*100)))</f>
        <v>18.75</v>
      </c>
      <c r="M367" s="182">
        <f>+M353-M360</f>
        <v>14</v>
      </c>
      <c r="N367" s="98">
        <f t="shared" ref="N367:N373" si="1877">IF(ISERROR((M367/E367-1)*100),"NA",IF(((M367/E367-1)*100)&gt;100,"NM",IF(((M367/E367-1)*100)&lt;-50,"NM",(M367/E367-1)*100)))</f>
        <v>75</v>
      </c>
      <c r="O367" s="182">
        <f>+O353-O360</f>
        <v>17</v>
      </c>
      <c r="P367" s="98">
        <f t="shared" ref="P367:P373" si="1878">IF(ISERROR((O367/G367-1)*100),"NA",IF(((O367/G367-1)*100)&gt;100,"NM",IF(((O367/G367-1)*100)&lt;-50,"NM",(O367/G367-1)*100)))</f>
        <v>54.54545454545454</v>
      </c>
      <c r="Q367" s="182">
        <f>+Q353-Q360</f>
        <v>12</v>
      </c>
      <c r="R367" s="98" t="str">
        <f t="shared" ref="R367:R373" si="1879">IF(ISERROR((Q367/I367-1)*100),"NA",IF(((Q367/I367-1)*100)&gt;100,"NM",IF(((Q367/I367-1)*100)&lt;-50,"NM",(Q367/I367-1)*100)))</f>
        <v>NM</v>
      </c>
      <c r="S367" s="182">
        <f>+S353-S360</f>
        <v>20</v>
      </c>
      <c r="T367" s="98">
        <f t="shared" ref="T367:T373" si="1880">IF(ISERROR((S367/K367-1)*100),"NA",IF(((S367/K367-1)*100)&gt;100,"NM",IF(((S367/K367-1)*100)&lt;-50,"NM",(S367/K367-1)*100)))</f>
        <v>5.2631578947368363</v>
      </c>
      <c r="U367" s="182">
        <f>+U353-U360</f>
        <v>4</v>
      </c>
      <c r="V367" s="98" t="str">
        <f t="shared" ref="V367:V373" si="1881">IF(ISERROR((U367/M367-1)*100),"NA",IF(((U367/M367-1)*100)&gt;100,"NM",IF(((U367/M367-1)*100)&lt;-50,"NM",(U367/M367-1)*100)))</f>
        <v>NM</v>
      </c>
      <c r="W367" s="182">
        <f>+W353-W360</f>
        <v>55</v>
      </c>
      <c r="X367" s="98" t="str">
        <f t="shared" ref="X367:X373" si="1882">IF(ISERROR((W367/O367-1)*100),"NA",IF(((W367/O367-1)*100)&gt;100,"NM",IF(((W367/O367-1)*100)&lt;-50,"NM",(W367/O367-1)*100)))</f>
        <v>NM</v>
      </c>
      <c r="Y367" s="182">
        <f>+Y353-Y360</f>
        <v>42</v>
      </c>
      <c r="Z367" s="98" t="str">
        <f t="shared" ref="Z367:Z373" si="1883">IF(ISERROR((Y367/Q367-1)*100),"NA",IF(((Y367/Q367-1)*100)&gt;100,"NM",IF(((Y367/Q367-1)*100)&lt;-50,"NM",(Y367/Q367-1)*100)))</f>
        <v>NM</v>
      </c>
      <c r="AA367" s="182">
        <f>+AA353-AA360</f>
        <v>42</v>
      </c>
      <c r="AB367" s="98" t="str">
        <f t="shared" ref="AB367:AB373" si="1884">IF(ISERROR((AA367/S367-1)*100),"NA",IF(((AA367/S367-1)*100)&gt;100,"NM",IF(((AA367/S367-1)*100)&lt;-50,"NM",(AA367/S367-1)*100)))</f>
        <v>NM</v>
      </c>
      <c r="AC367" s="182">
        <f>+AC353-AC360</f>
        <v>93</v>
      </c>
      <c r="AD367" s="98" t="str">
        <f t="shared" ref="AD367:AD373" si="1885">IF(ISERROR((AC367/U367-1)*100),"NA",IF(((AC367/U367-1)*100)&gt;100,"NM",IF(((AC367/U367-1)*100)&lt;-50,"NM",(AC367/U367-1)*100)))</f>
        <v>NM</v>
      </c>
      <c r="AE367" s="182">
        <f>+AE353-AE360</f>
        <v>54</v>
      </c>
      <c r="AF367" s="98">
        <f t="shared" ref="AF367:AF373" si="1886">IF(ISERROR((AE367/W367-1)*100),"NA",IF(((AE367/W367-1)*100)&gt;100,"NM",IF(((AE367/W367-1)*100)&lt;-50,"NM",(AE367/W367-1)*100)))</f>
        <v>-1.8181818181818188</v>
      </c>
      <c r="AG367" s="182">
        <f>+AG353-AG360</f>
        <v>32</v>
      </c>
      <c r="AH367" s="98">
        <f t="shared" ref="AH367:AH373" si="1887">IF(ISERROR((AG367/Y367-1)*100),"NA",IF(((AG367/Y367-1)*100)&gt;100,"NM",IF(((AG367/Y367-1)*100)&lt;-50,"NM",(AG367/Y367-1)*100)))</f>
        <v>-23.809523809523814</v>
      </c>
      <c r="AI367" s="182">
        <f>+AI353-AI360</f>
        <v>65</v>
      </c>
      <c r="AJ367" s="98">
        <f t="shared" ref="AJ367:AJ373" si="1888">IF(ISERROR((AI367/AA367-1)*100),"NA",IF(((AI367/AA367-1)*100)&gt;100,"NM",IF(((AI367/AA367-1)*100)&lt;-50,"NM",(AI367/AA367-1)*100)))</f>
        <v>54.761904761904766</v>
      </c>
      <c r="AK367" s="182">
        <f>+AK353-AK360</f>
        <v>54</v>
      </c>
      <c r="AL367" s="98">
        <f t="shared" ref="AL367:AL373" si="1889">IF(ISERROR((AK367/AC367-1)*100),"NA",IF(((AK367/AC367-1)*100)&gt;100,"NM",IF(((AK367/AC367-1)*100)&lt;-50,"NM",(AK367/AC367-1)*100)))</f>
        <v>-41.935483870967737</v>
      </c>
      <c r="AM367" s="182">
        <f>+AM353-AM360</f>
        <v>71</v>
      </c>
      <c r="AN367" s="98">
        <f t="shared" ref="AN367:AN373" si="1890">IF(ISERROR((AM367/AE367-1)*100),"NA",IF(((AM367/AE367-1)*100)&gt;100,"NM",IF(((AM367/AE367-1)*100)&lt;-50,"NM",(AM367/AE367-1)*100)))</f>
        <v>31.481481481481488</v>
      </c>
      <c r="AO367" s="182">
        <f>+AO353-AO360</f>
        <v>40</v>
      </c>
      <c r="AP367" s="98">
        <f t="shared" ref="AP367:AP373" si="1891">IF(ISERROR((AO367/AG367-1)*100),"NA",IF(((AO367/AG367-1)*100)&gt;100,"NM",IF(((AO367/AG367-1)*100)&lt;-50,"NM",(AO367/AG367-1)*100)))</f>
        <v>25</v>
      </c>
      <c r="AQ367" s="182">
        <f>+AQ353-AQ360</f>
        <v>105</v>
      </c>
      <c r="AR367" s="98">
        <f t="shared" ref="AR367:AR373" si="1892">IF(ISERROR((AQ367/AI367-1)*100),"NA",IF(((AQ367/AI367-1)*100)&gt;100,"NM",IF(((AQ367/AI367-1)*100)&lt;-50,"NM",(AQ367/AI367-1)*100)))</f>
        <v>61.53846153846154</v>
      </c>
      <c r="AS367" s="182">
        <f>+AS353-AS360</f>
        <v>74</v>
      </c>
      <c r="AT367" s="98">
        <f t="shared" ref="AT367:AT373" si="1893">IF(ISERROR((AS367/AK367-1)*100),"NA",IF(((AS367/AK367-1)*100)&gt;100,"NM",IF(((AS367/AK367-1)*100)&lt;-50,"NM",(AS367/AK367-1)*100)))</f>
        <v>37.037037037037045</v>
      </c>
      <c r="AU367" s="182">
        <f>+AU353-AU360</f>
        <v>79</v>
      </c>
      <c r="AV367" s="98">
        <f t="shared" ref="AV367:AV373" si="1894">IF(ISERROR((AU367/AM367-1)*100),"NA",IF(((AU367/AM367-1)*100)&gt;100,"NM",IF(((AU367/AM367-1)*100)&lt;-50,"NM",(AU367/AM367-1)*100)))</f>
        <v>11.267605633802823</v>
      </c>
      <c r="AW367" s="182">
        <f>+AW353-AW360</f>
        <v>37</v>
      </c>
      <c r="AX367" s="98">
        <f t="shared" ref="AX367:AX373" si="1895">IF(ISERROR((AW367/AO367-1)*100),"NA",IF(((AW367/AO367-1)*100)&gt;100,"NM",IF(((AW367/AO367-1)*100)&lt;-50,"NM",(AW367/AO367-1)*100)))</f>
        <v>-7.4999999999999956</v>
      </c>
      <c r="AY367" s="182">
        <f>+AY353-AY360</f>
        <v>110</v>
      </c>
      <c r="AZ367" s="98">
        <f t="shared" ref="AZ367:AZ373" si="1896">IF(ISERROR((AY367/AQ367-1)*100),"NA",IF(((AY367/AQ367-1)*100)&gt;100,"NM",IF(((AY367/AQ367-1)*100)&lt;-50,"NM",(AY367/AQ367-1)*100)))</f>
        <v>4.7619047619047672</v>
      </c>
      <c r="BA367" s="182">
        <f>+BA353-BA360</f>
        <v>77</v>
      </c>
      <c r="BB367" s="98">
        <f t="shared" ref="BB367:BB373" si="1897">IF(ISERROR((BA367/AS367-1)*100),"NA",IF(((BA367/AS367-1)*100)&gt;100,"NM",IF(((BA367/AS367-1)*100)&lt;-50,"NM",(BA367/AS367-1)*100)))</f>
        <v>4.0540540540540571</v>
      </c>
      <c r="BC367" s="182">
        <f>+BC353-BC360</f>
        <v>116</v>
      </c>
      <c r="BD367" s="98">
        <f t="shared" ref="BD367:BD373" si="1898">IF(ISERROR((BC367/AU367-1)*100),"NA",IF(((BC367/AU367-1)*100)&gt;100,"NM",IF(((BC367/AU367-1)*100)&lt;-50,"NM",(BC367/AU367-1)*100)))</f>
        <v>46.835443037974692</v>
      </c>
      <c r="BE367" s="182">
        <f>+BE353-BE360</f>
        <v>31</v>
      </c>
      <c r="BF367" s="98">
        <f t="shared" ref="BF367:BF373" si="1899">IF(ISERROR((BE367/AW367-1)*100),"NA",IF(((BE367/AW367-1)*100)&gt;100,"NM",IF(((BE367/AW367-1)*100)&lt;-50,"NM",(BE367/AW367-1)*100)))</f>
        <v>-16.216216216216218</v>
      </c>
      <c r="BG367" s="182">
        <f>+BG353-BG360</f>
        <v>171</v>
      </c>
      <c r="BH367" s="98">
        <f t="shared" ref="BH367:BH373" si="1900">IF(ISERROR((BG367/AY367-1)*100),"NA",IF(((BG367/AY367-1)*100)&gt;100,"NM",IF(((BG367/AY367-1)*100)&lt;-50,"NM",(BG367/AY367-1)*100)))</f>
        <v>55.454545454545446</v>
      </c>
      <c r="BI367" s="182">
        <f>+BI353-BI360</f>
        <v>161</v>
      </c>
      <c r="BJ367" s="98" t="str">
        <f t="shared" ref="BJ367:BJ373" si="1901">IF(ISERROR((BI367/BA367-1)*100),"NA",IF(((BI367/BA367-1)*100)&gt;100,"NM",IF(((BI367/BA367-1)*100)&lt;-50,"NM",(BI367/BA367-1)*100)))</f>
        <v>NM</v>
      </c>
      <c r="BK367" s="182">
        <f>+BK353-BK360</f>
        <v>201</v>
      </c>
      <c r="BL367" s="98">
        <f t="shared" ref="BL367:BL373" si="1902">IF(ISERROR((BK367/BC367-1)*100),"NA",IF(((BK367/BC367-1)*100)&gt;100,"NM",IF(((BK367/BC367-1)*100)&lt;-50,"NM",(BK367/BC367-1)*100)))</f>
        <v>73.275862068965523</v>
      </c>
      <c r="BM367" s="182">
        <f>+BM353-BM360</f>
        <v>207</v>
      </c>
      <c r="BN367" s="98" t="str">
        <f t="shared" ref="BN367:BN373" si="1903">IF(ISERROR((BM367/BE367-1)*100),"NA",IF(((BM367/BE367-1)*100)&gt;100,"NM",IF(((BM367/BE367-1)*100)&lt;-50,"NM",(BM367/BE367-1)*100)))</f>
        <v>NM</v>
      </c>
      <c r="BO367" s="182">
        <f>+BO353-BO360</f>
        <v>235</v>
      </c>
      <c r="BP367" s="98">
        <f t="shared" ref="BP367:BP373" si="1904">IF(ISERROR((BO367/BG367-1)*100),"NA",IF(((BO367/BG367-1)*100)&gt;100,"NM",IF(((BO367/BG367-1)*100)&lt;-50,"NM",(BO367/BG367-1)*100)))</f>
        <v>37.42690058479532</v>
      </c>
      <c r="BQ367" s="182">
        <f>+BQ353-BQ360</f>
        <v>195</v>
      </c>
      <c r="BR367" s="98">
        <f t="shared" ref="BR367:BR373" si="1905">IF(ISERROR((BQ367/BI367-1)*100),"NA",IF(((BQ367/BI367-1)*100)&gt;100,"NM",IF(((BQ367/BI367-1)*100)&lt;-50,"NM",(BQ367/BI367-1)*100)))</f>
        <v>21.118012422360245</v>
      </c>
      <c r="BS367" s="182">
        <f>+BS353-BS360</f>
        <v>218</v>
      </c>
      <c r="BT367" s="98">
        <f t="shared" ref="BT367:BT373" si="1906">IF(ISERROR((BS367/BK367-1)*100),"NA",IF(((BS367/BK367-1)*100)&gt;100,"NM",IF(((BS367/BK367-1)*100)&lt;-50,"NM",(BS367/BK367-1)*100)))</f>
        <v>8.4577114427860636</v>
      </c>
      <c r="BU367" s="182">
        <f>+BU353-BU360</f>
        <v>128</v>
      </c>
      <c r="BV367" s="98">
        <f t="shared" ref="BV367:BV373" si="1907">IF(ISERROR((BU367/BM367-1)*100),"NA",IF(((BU367/BM367-1)*100)&gt;100,"NM",IF(((BU367/BM367-1)*100)&lt;-50,"NM",(BU367/BM367-1)*100)))</f>
        <v>-38.164251207729471</v>
      </c>
      <c r="BW367" s="182">
        <f>+BW353-BW360</f>
        <v>187</v>
      </c>
      <c r="BX367" s="98">
        <f t="shared" ref="BX367:BX373" si="1908">IF(ISERROR((BW367/BO367-1)*100),"NA",IF(((BW367/BO367-1)*100)&gt;100,"NM",IF(((BW367/BO367-1)*100)&lt;-50,"NM",(BW367/BO367-1)*100)))</f>
        <v>-20.425531914893615</v>
      </c>
      <c r="BY367" s="182">
        <f>+BY353-BY360</f>
        <v>210</v>
      </c>
      <c r="BZ367" s="98">
        <f t="shared" ref="BZ367:BZ373" si="1909">IF(ISERROR((BY367/BQ367-1)*100),"NA",IF(((BY367/BQ367-1)*100)&gt;100,"NM",IF(((BY367/BQ367-1)*100)&lt;-50,"NM",(BY367/BQ367-1)*100)))</f>
        <v>7.6923076923076872</v>
      </c>
      <c r="CA367" s="182">
        <f>+CA353-CA360</f>
        <v>187</v>
      </c>
      <c r="CB367" s="98">
        <f t="shared" ref="CB367:CB373" si="1910">IF(ISERROR((CA367/BS367-1)*100),"NA",IF(((CA367/BS367-1)*100)&gt;100,"NM",IF(((CA367/BS367-1)*100)&lt;-50,"NM",(CA367/BS367-1)*100)))</f>
        <v>-14.220183486238536</v>
      </c>
      <c r="CC367" s="182">
        <f>+CC353-CC360</f>
        <v>40</v>
      </c>
      <c r="CD367" s="98" t="str">
        <f t="shared" ref="CD367:CD373" si="1911">IF(ISERROR((CC367/BU367-1)*100),"NA",IF(((CC367/BU367-1)*100)&gt;100,"NM",IF(((CC367/BU367-1)*100)&lt;-50,"NM",(CC367/BU367-1)*100)))</f>
        <v>NM</v>
      </c>
      <c r="CE367" s="182">
        <f>+CE353-CE360</f>
        <v>204</v>
      </c>
      <c r="CF367" s="98">
        <f t="shared" ref="CF367:CF373" si="1912">IF(ISERROR((CE367/BW367-1)*100),"NA",IF(((CE367/BW367-1)*100)&gt;100,"NM",IF(((CE367/BW367-1)*100)&lt;-50,"NM",(CE367/BW367-1)*100)))</f>
        <v>9.0909090909090828</v>
      </c>
      <c r="CG367" s="182">
        <f>+CG353-CG360</f>
        <v>184</v>
      </c>
      <c r="CH367" s="98">
        <f t="shared" ref="CH367:CH373" si="1913">IF(ISERROR((CG367/BY367-1)*100),"NA",IF(((CG367/BY367-1)*100)&gt;100,"NM",IF(((CG367/BY367-1)*100)&lt;-50,"NM",(CG367/BY367-1)*100)))</f>
        <v>-12.380952380952381</v>
      </c>
      <c r="CI367" s="182">
        <f>+CI353-CI360</f>
        <v>191</v>
      </c>
      <c r="CJ367" s="98">
        <f t="shared" ref="CJ367:CJ373" si="1914">IF(ISERROR((CI367/CA367-1)*100),"NA",IF(((CI367/CA367-1)*100)&gt;100,"NM",IF(((CI367/CA367-1)*100)&lt;-50,"NM",(CI367/CA367-1)*100)))</f>
        <v>2.1390374331550888</v>
      </c>
      <c r="CK367" s="182">
        <f>+CK353-CK360</f>
        <v>255</v>
      </c>
      <c r="CL367" s="98" t="str">
        <f t="shared" ref="CL367:CL373" si="1915">IF(ISERROR((CK367/CC367-1)*100),"NA",IF(((CK367/CC367-1)*100)&gt;100,"NM",IF(((CK367/CC367-1)*100)&lt;-50,"NM",(CK367/CC367-1)*100)))</f>
        <v>NM</v>
      </c>
      <c r="CM367" s="182">
        <f>+CM353-CM360</f>
        <v>126</v>
      </c>
      <c r="CN367" s="98">
        <f t="shared" ref="CN367:CN373" si="1916">IF(ISERROR((CM367/CE367-1)*100),"NA",IF(((CM367/CE367-1)*100)&gt;100,"NM",IF(((CM367/CE367-1)*100)&lt;-50,"NM",(CM367/CE367-1)*100)))</f>
        <v>-38.235294117647058</v>
      </c>
      <c r="CO367" s="182">
        <f>+CO353-CO360</f>
        <v>109</v>
      </c>
      <c r="CP367" s="98">
        <f t="shared" ref="CP367:CP373" si="1917">IF(ISERROR((CO367/CG367-1)*100),"NA",IF(((CO367/CG367-1)*100)&gt;100,"NM",IF(((CO367/CG367-1)*100)&lt;-50,"NM",(CO367/CG367-1)*100)))</f>
        <v>-40.760869565217398</v>
      </c>
      <c r="CQ367" s="512">
        <f>+CQ353-CQ360</f>
        <v>106</v>
      </c>
      <c r="CR367" s="98">
        <f t="shared" ref="CR367:CR373" si="1918">IF(ISERROR((CQ367/CI367-1)*100),"NA",IF(((CQ367/CI367-1)*100)&gt;100,"NM",IF(((CQ367/CI367-1)*100)&lt;-50,"NM",(CQ367/CI367-1)*100)))</f>
        <v>-44.502617801047116</v>
      </c>
      <c r="CS367" s="182">
        <f>+CS353-CS360</f>
        <v>73</v>
      </c>
      <c r="CT367" s="98" t="str">
        <f t="shared" ref="CT367:CT373" si="1919">IF(ISERROR((CS367/CK367-1)*100),"NA",IF(((CS367/CK367-1)*100)&gt;100,"NM",IF(((CS367/CK367-1)*100)&lt;-50,"NM",(CS367/CK367-1)*100)))</f>
        <v>NM</v>
      </c>
      <c r="CU367" s="182">
        <f>+CU353-CU360</f>
        <v>113</v>
      </c>
      <c r="CV367" s="98">
        <f t="shared" ref="CV367:CV373" si="1920">IF(ISERROR((CU367/CM367-1)*100),"NA",IF(((CU367/CM367-1)*100)&gt;100,"NM",IF(((CU367/CM367-1)*100)&lt;-50,"NM",(CU367/CM367-1)*100)))</f>
        <v>-10.317460317460315</v>
      </c>
      <c r="CW367" s="182">
        <f>+CW353-CW360</f>
        <v>115</v>
      </c>
      <c r="CX367" s="98">
        <f t="shared" ref="CX367:CX373" si="1921">IF(ISERROR((CW367/CO367-1)*100),"NA",IF(((CW367/CO367-1)*100)&gt;100,"NM",IF(((CW367/CO367-1)*100)&lt;-50,"NM",(CW367/CO367-1)*100)))</f>
        <v>5.504587155963292</v>
      </c>
      <c r="CY367" s="182">
        <f>+CY353-CY360</f>
        <v>100</v>
      </c>
      <c r="CZ367" s="98">
        <f t="shared" ref="CZ367:CZ373" si="1922">IF(ISERROR((CY367/CQ367-1)*100),"NA",IF(((CY367/CQ367-1)*100)&gt;100,"NM",IF(((CY367/CQ367-1)*100)&lt;-50,"NM",(CY367/CQ367-1)*100)))</f>
        <v>-5.6603773584905648</v>
      </c>
      <c r="DA367" s="182">
        <f>+DA353-DA360</f>
        <v>89</v>
      </c>
      <c r="DB367" s="98">
        <f t="shared" ref="DB367:DB373" si="1923">IF(ISERROR((DA367/CS367-1)*100),"NA",IF(((DA367/CS367-1)*100)&gt;100,"NM",IF(((DA367/CS367-1)*100)&lt;-50,"NM",(DA367/CS367-1)*100)))</f>
        <v>21.917808219178081</v>
      </c>
      <c r="DC367" s="182">
        <f>+DC353-DC360</f>
        <v>121</v>
      </c>
      <c r="DD367" s="98">
        <f t="shared" ref="DD367:DD373" si="1924">IF(ISERROR((DC367/CU367-1)*100),"NA",IF(((DC367/CU367-1)*100)&gt;100,"NM",IF(((DC367/CU367-1)*100)&lt;-50,"NM",(DC367/CU367-1)*100)))</f>
        <v>7.079646017699126</v>
      </c>
      <c r="DE367" s="182">
        <f>+DE353-DE360</f>
        <v>64</v>
      </c>
      <c r="DF367" s="98">
        <f t="shared" ref="DF367:DF373" si="1925">IF(ISERROR((DE367/CW367-1)*100),"NA",IF(((DE367/CW367-1)*100)&gt;100,"NM",IF(((DE367/CW367-1)*100)&lt;-50,"NM",(DE367/CW367-1)*100)))</f>
        <v>-44.347826086956523</v>
      </c>
      <c r="DG367" s="182">
        <f>+DG353-DG360</f>
        <v>128</v>
      </c>
      <c r="DH367" s="98">
        <f t="shared" ref="DH367:DH373" si="1926">IF(ISERROR((DG367/CY367-1)*100),"NA",IF(((DG367/CY367-1)*100)&gt;100,"NM",IF(((DG367/CY367-1)*100)&lt;-50,"NM",(DG367/CY367-1)*100)))</f>
        <v>28.000000000000004</v>
      </c>
      <c r="DI367" s="182">
        <f>+DI353-DI360</f>
        <v>94</v>
      </c>
      <c r="DJ367" s="98">
        <f t="shared" ref="DJ367:DJ373" si="1927">IF(ISERROR((DI367/DA367-1)*100),"NA",IF(((DI367/DA367-1)*100)&gt;100,"NM",IF(((DI367/DA367-1)*100)&lt;-50,"NM",(DI367/DA367-1)*100)))</f>
        <v>5.6179775280898792</v>
      </c>
      <c r="DK367" s="182">
        <f>+DK353-DK360</f>
        <v>91</v>
      </c>
      <c r="DL367" s="98">
        <f t="shared" ref="DL367:DL373" si="1928">IF(ISERROR((DK367/DC367-1)*100),"NA",IF(((DK367/DC367-1)*100)&gt;100,"NM",IF(((DK367/DC367-1)*100)&lt;-50,"NM",(DK367/DC367-1)*100)))</f>
        <v>-24.79338842975206</v>
      </c>
      <c r="DM367" s="182">
        <f>+DM353-DM360</f>
        <v>78</v>
      </c>
      <c r="DN367" s="98">
        <f t="shared" ref="DN367:DN373" si="1929">IF(ISERROR((DM367/DE367-1)*100),"NA",IF(((DM367/DE367-1)*100)&gt;100,"NM",IF(((DM367/DE367-1)*100)&lt;-50,"NM",(DM367/DE367-1)*100)))</f>
        <v>21.875</v>
      </c>
      <c r="DO367" s="182">
        <f>+DO353-DO360</f>
        <v>101</v>
      </c>
      <c r="DP367" s="98">
        <f t="shared" ref="DP367:DP373" si="1930">IF(ISERROR((DO367/DG367-1)*100),"NA",IF(((DO367/DG367-1)*100)&gt;100,"NM",IF(((DO367/DG367-1)*100)&lt;-50,"NM",(DO367/DG367-1)*100)))</f>
        <v>-21.09375</v>
      </c>
      <c r="DQ367" s="182">
        <f>+DQ353-DQ360</f>
        <v>44</v>
      </c>
      <c r="DR367" s="98" t="str">
        <f t="shared" ref="DR367:DR373" si="1931">IF(ISERROR((DQ367/DI367-1)*100),"NA",IF(((DQ367/DI367-1)*100)&gt;100,"NM",IF(((DQ367/DI367-1)*100)&lt;-50,"NM",(DQ367/DI367-1)*100)))</f>
        <v>NM</v>
      </c>
      <c r="DS367" s="182">
        <f>+DS353-DS360</f>
        <v>81</v>
      </c>
      <c r="DT367" s="98">
        <f t="shared" ref="DT367:DT373" si="1932">IF(ISERROR((DS367/DK367-1)*100),"NA",IF(((DS367/DK367-1)*100)&gt;100,"NM",IF(((DS367/DK367-1)*100)&lt;-50,"NM",(DS367/DK367-1)*100)))</f>
        <v>-10.989010989010994</v>
      </c>
      <c r="DU367" s="182">
        <f>+DU353-DU360</f>
        <v>57</v>
      </c>
      <c r="DV367" s="98">
        <f t="shared" ref="DV367:DV373" si="1933">IF(ISERROR((DU367/DM367-1)*100),"NA",IF(((DU367/DM367-1)*100)&gt;100,"NM",IF(((DU367/DM367-1)*100)&lt;-50,"NM",(DU367/DM367-1)*100)))</f>
        <v>-26.923076923076927</v>
      </c>
      <c r="DW367" s="182">
        <f>+DW353-DW360</f>
        <v>73</v>
      </c>
      <c r="DX367" s="98">
        <f t="shared" ref="DX367:DX373" si="1934">IF(ISERROR((DW367/DO367-1)*100),"NA",IF(((DW367/DO367-1)*100)&gt;100,"NM",IF(((DW367/DO367-1)*100)&lt;-50,"NM",(DW367/DO367-1)*100)))</f>
        <v>-27.722772277227726</v>
      </c>
      <c r="DY367" s="182">
        <f>+DY353-DY360</f>
        <v>50</v>
      </c>
      <c r="DZ367" s="98">
        <f t="shared" ref="DZ367:DZ373" si="1935">IF(ISERROR((DY367/DQ367-1)*100),"NA",IF(((DY367/DQ367-1)*100)&gt;100,"NM",IF(((DY367/DQ367-1)*100)&lt;-50,"NM",(DY367/DQ367-1)*100)))</f>
        <v>13.636363636363647</v>
      </c>
      <c r="EA367" s="182">
        <f>+EA353-EA360</f>
        <v>74</v>
      </c>
      <c r="EB367" s="98">
        <f t="shared" ref="EB367:EB373" si="1936">IF(ISERROR((EA367/DS367-1)*100),"NA",IF(((EA367/DS367-1)*100)&gt;100,"NM",IF(((EA367/DS367-1)*100)&lt;-50,"NM",(EA367/DS367-1)*100)))</f>
        <v>-8.6419753086419799</v>
      </c>
      <c r="EC367" s="182">
        <f>+EC353-EC360</f>
        <v>74</v>
      </c>
      <c r="ED367" s="98">
        <f t="shared" ref="ED367:ED373" si="1937">IF(ISERROR((EC367/DU367-1)*100),"NA",IF(((EC367/DU367-1)*100)&gt;100,"NM",IF(((EC367/DU367-1)*100)&lt;-50,"NM",(EC367/DU367-1)*100)))</f>
        <v>29.824561403508774</v>
      </c>
      <c r="EE367" s="182">
        <f>+EE353-EE360</f>
        <v>85</v>
      </c>
      <c r="EF367" s="860">
        <f t="shared" ref="EF367:EF373" si="1938">IF(ISERROR((EE367/DW367-1)*100),"NA",IF(((EE367/DW367-1)*100)&gt;100,"NM",IF(((EE367/DW367-1)*100)&lt;-50,"NM",(EE367/DW367-1)*100)))</f>
        <v>16.43835616438356</v>
      </c>
      <c r="EG367" s="182">
        <f>+EG353-EG360</f>
        <v>82</v>
      </c>
      <c r="EH367" s="860">
        <f t="shared" ref="EH367:EH373" si="1939">IF(ISERROR((EG367/DY367-1)*100),"NA",IF(((EG367/DY367-1)*100)&gt;100,"NM",IF(((EG367/DY367-1)*100)&lt;-50,"NM",(EG367/DY367-1)*100)))</f>
        <v>63.999999999999993</v>
      </c>
      <c r="EI367" s="182">
        <f>+EI353-EI360</f>
        <v>87</v>
      </c>
      <c r="EJ367" s="860">
        <f t="shared" ref="EJ367:EJ370" si="1940">IF(ISERROR((EI367/EA367-1)*100),"NA",IF(((EI367/EA367-1)*100)&gt;100,"NM",IF(((EI367/EA367-1)*100)&lt;-50,"NM",(EI367/EA367-1)*100)))</f>
        <v>17.567567567567565</v>
      </c>
      <c r="EK367" s="182">
        <f>+EK353-EK360</f>
        <v>86</v>
      </c>
      <c r="EL367" s="860">
        <f t="shared" ref="EL367:EL370" si="1941">IF(ISERROR((EK367/EC367-1)*100),"NA",IF(((EK367/EC367-1)*100)&gt;100,"NM",IF(((EK367/EC367-1)*100)&lt;-50,"NM",(EK367/EC367-1)*100)))</f>
        <v>16.216216216216207</v>
      </c>
      <c r="EM367" s="182">
        <f>+EM353-EM360</f>
        <v>92</v>
      </c>
      <c r="EN367" s="860">
        <f t="shared" ref="EN367:EN370" si="1942">IF(ISERROR((EM367/EE367-1)*100),"NA",IF(((EM367/EE367-1)*100)&gt;100,"NM",IF(((EM367/EE367-1)*100)&lt;-50,"NM",(EM367/EE367-1)*100)))</f>
        <v>8.2352941176470509</v>
      </c>
      <c r="EO367" s="182">
        <f>+EO353-EO360</f>
        <v>91</v>
      </c>
      <c r="EP367" s="98">
        <f t="shared" ref="EP367:EP370" si="1943">IF(ISERROR((EO367/EG367-1)*100),"NA",IF(((EO367/EG367-1)*100)&gt;100,"NM",IF(((EO367/EG367-1)*100)&lt;-50,"NM",(EO367/EG367-1)*100)))</f>
        <v>10.975609756097571</v>
      </c>
      <c r="EQ367" s="1021">
        <f>+EQ353-EQ360</f>
        <v>89.844200000000001</v>
      </c>
      <c r="ER367" s="98">
        <f t="shared" ref="ER367:ER373" si="1944">IF(ISERROR((EQ367/EI367-1)*100),"NA",IF(((EQ367/EI367-1)*100)&gt;100,"NM",IF(((EQ367/EI367-1)*100)&lt;-50,"NM",(EQ367/EI367-1)*100)))</f>
        <v>3.2691954022988412</v>
      </c>
      <c r="ES367" s="1021">
        <f t="shared" ref="ES367" si="1945">+ES353-ES360</f>
        <v>91.250309000000016</v>
      </c>
      <c r="ET367" s="98">
        <f t="shared" ref="ET367:ET373" si="1946">IF(ISERROR((ES367/EK367-1)*100),"NA",IF(((ES367/EK367-1)*100)&gt;100,"NM",IF(((ES367/EK367-1)*100)&lt;-50,"NM",(ES367/EK367-1)*100)))</f>
        <v>6.1050104651162895</v>
      </c>
      <c r="EU367" s="1021">
        <f t="shared" ref="EU367" si="1947">+EU353-EU360</f>
        <v>92.678678555000033</v>
      </c>
      <c r="EV367" s="98">
        <f t="shared" ref="EV367:EV373" si="1948">IF(ISERROR((EU367/EM367-1)*100),"NA",IF(((EU367/EM367-1)*100)&gt;100,"NM",IF(((EU367/EM367-1)*100)&lt;-50,"NM",(EU367/EM367-1)*100)))</f>
        <v>0.73769408152177807</v>
      </c>
      <c r="EW367" s="1021">
        <f t="shared" ref="EW367" si="1949">+EW353-EW360</f>
        <v>94.12966595172486</v>
      </c>
      <c r="EX367" s="98">
        <f t="shared" ref="EX367:EX373" si="1950">IF(ISERROR((EW367/EO367-1)*100),"NA",IF(((EW367/EO367-1)*100)&gt;100,"NM",IF(((EW367/EO367-1)*100)&lt;-50,"NM",(EW367/EO367-1)*100)))</f>
        <v>3.4391933535438124</v>
      </c>
      <c r="EY367" s="182"/>
      <c r="EZ367" s="594"/>
      <c r="FA367" s="405"/>
      <c r="FB367" s="183">
        <f>+FB353-FB360</f>
        <v>-41</v>
      </c>
      <c r="FC367" s="230"/>
      <c r="FD367" s="182">
        <f>+FD353-FD360</f>
        <v>4</v>
      </c>
      <c r="FE367" s="98" t="str">
        <f>IF(ISERROR((FD367/FB367-1)*100),"NA",IF(((FD367/FB367-1)*100)&gt;100,"NM",IF(((FD367/FB367-1)*100)&lt;-50,"NM",(FD367/FB367-1)*100)))</f>
        <v>NM</v>
      </c>
      <c r="FF367" s="183">
        <f>+FF353-FF360</f>
        <v>37</v>
      </c>
      <c r="FG367" s="98" t="str">
        <f>IF(ISERROR((FF367/FD367-1)*100),"NA",IF(((FF367/FD367-1)*100)&gt;100,"NM",IF(((FF367/FD367-1)*100)&lt;-50,"NM",(FF367/FD367-1)*100)))</f>
        <v>NM</v>
      </c>
      <c r="FH367" s="183">
        <f>+FH353-FH360</f>
        <v>62</v>
      </c>
      <c r="FI367" s="98">
        <f>IF(ISERROR((FH367/FF367-1)*100),"NA",IF(((FH367/FF367-1)*100)&gt;100,"NM",IF(((FH367/FF367-1)*100)&lt;-50,"NM",(FH367/FF367-1)*100)))</f>
        <v>67.567567567567565</v>
      </c>
      <c r="FJ367" s="182">
        <f>+FJ353-FJ360</f>
        <v>121</v>
      </c>
      <c r="FK367" s="98">
        <f>IF(ISERROR((FJ367/FH367-1)*100),"NA",IF(((FJ367/FH367-1)*100)&gt;100,"NM",IF(((FJ367/FH367-1)*100)&lt;-50,"NM",(FJ367/FH367-1)*100)))</f>
        <v>95.161290322580655</v>
      </c>
      <c r="FL367" s="182">
        <f>+FL353-FL360</f>
        <v>221</v>
      </c>
      <c r="FM367" s="98">
        <f>IF(ISERROR((FL367/FJ367-1)*100),"NA",IF(((FL367/FJ367-1)*100)&gt;100,"NM",IF(((FL367/FJ367-1)*100)&lt;-50,"NM",(FL367/FJ367-1)*100)))</f>
        <v>82.644628099173545</v>
      </c>
      <c r="FN367" s="182">
        <f>+FN353-FN360</f>
        <v>230</v>
      </c>
      <c r="FO367" s="98">
        <f>IF(ISERROR((FN367/FL367-1)*100),"NA",IF(((FN367/FL367-1)*100)&gt;100,"NM",IF(((FN367/FL367-1)*100)&lt;-50,"NM",(FN367/FL367-1)*100)))</f>
        <v>4.0723981900452566</v>
      </c>
      <c r="FP367" s="182">
        <f>+FP353-FP360</f>
        <v>295</v>
      </c>
      <c r="FQ367" s="98">
        <f>IF(ISERROR((FP367/FN367-1)*100),"NA",IF(((FP367/FN367-1)*100)&gt;100,"NM",IF(((FP367/FN367-1)*100)&lt;-50,"NM",(FP367/FN367-1)*100)))</f>
        <v>28.260869565217384</v>
      </c>
      <c r="FR367" s="197">
        <f>+FR353-FR360</f>
        <v>334</v>
      </c>
      <c r="FS367" s="120">
        <f>IF(ISERROR((FR367/FP367-1)*100),"NA",IF(((FR367/FP367-1)*100)&gt;100,"NM",IF(((FR367/FP367-1)*100)&lt;-50,"NM",(FR367/FP367-1)*100)))</f>
        <v>13.220338983050839</v>
      </c>
      <c r="FT367" s="197">
        <f>+FT353-FT360</f>
        <v>740</v>
      </c>
      <c r="FU367" s="120" t="str">
        <f>IF(ISERROR((FT367/FR367-1)*100),"NA",IF(((FT367/FR367-1)*100)&gt;100,"NM",IF(((FT367/FR367-1)*100)&lt;-50,"NM",(FT367/FR367-1)*100)))</f>
        <v>NM</v>
      </c>
      <c r="FV367" s="197">
        <f>+FV353-FV360</f>
        <v>736</v>
      </c>
      <c r="FW367" s="98">
        <f>IF(ISERROR((FV367/FT367-1)*100),"NA",IF(((FV367/FT367-1)*100)&gt;100,"NM",IF(((FV367/FT367-1)*100)&lt;-50,"NM",(FV367/FT367-1)*100)))</f>
        <v>-0.54054054054053502</v>
      </c>
      <c r="FX367" s="502">
        <f>+FX353-FX360</f>
        <v>624</v>
      </c>
      <c r="FY367" s="98">
        <f>IF(ISERROR((FX367/FV367-1)*100),"NA",IF(((FX367/FV367-1)*100)&gt;100,"NM",IF(((FX367/FV367-1)*100)&lt;-50,"NM",(FX367/FV367-1)*100)))</f>
        <v>-15.217391304347828</v>
      </c>
      <c r="FZ367" s="197">
        <f>+FZ353-FZ360</f>
        <v>834</v>
      </c>
      <c r="GA367" s="98">
        <f>IF(ISERROR((FZ367/FX367-1)*100),"NA",IF(((FZ367/FX367-1)*100)&gt;100,"NM",IF(((FZ367/FX367-1)*100)&lt;-50,"NM",(FZ367/FX367-1)*100)))</f>
        <v>33.653846153846146</v>
      </c>
      <c r="GB367" s="502">
        <f>+GB353-GB360</f>
        <v>407</v>
      </c>
      <c r="GC367" s="98" t="str">
        <f>IF(ISERROR((GB367/FZ367-1)*100),"NA",IF(((GB367/FZ367-1)*100)&gt;100,"NM",IF(((GB367/FZ367-1)*100)&lt;-50,"NM",(GB367/FZ367-1)*100)))</f>
        <v>NM</v>
      </c>
      <c r="GD367" s="197">
        <f>+GD353-GD360</f>
        <v>417</v>
      </c>
      <c r="GE367" s="98">
        <f>IF(ISERROR((GD367/GB367-1)*100),"NA",IF(((GD367/GB367-1)*100)&gt;100,"NM",IF(((GD367/GB367-1)*100)&lt;-50,"NM",(GD367/GB367-1)*100)))</f>
        <v>2.4570024570024662</v>
      </c>
      <c r="GF367" s="197">
        <f>+GF353-GF360</f>
        <v>407</v>
      </c>
      <c r="GG367" s="98">
        <f>IF(ISERROR((GF367/GD367-1)*100),"NA",IF(((GF367/GD367-1)*100)&gt;100,"NM",IF(((GF367/GD367-1)*100)&lt;-50,"NM",(GF367/GD367-1)*100)))</f>
        <v>-2.3980815347721784</v>
      </c>
      <c r="GH367" s="197">
        <f>+GH353-GH360</f>
        <v>314</v>
      </c>
      <c r="GI367" s="98">
        <f>IF(ISERROR((GH367/GF367-1)*100),"NA",IF(((GH367/GF367-1)*100)&gt;100,"NM",IF(((GH367/GF367-1)*100)&lt;-50,"NM",(GH367/GF367-1)*100)))</f>
        <v>-22.850122850122844</v>
      </c>
      <c r="GJ367" s="197">
        <f>+GJ353-GJ360</f>
        <v>261</v>
      </c>
      <c r="GK367" s="98">
        <f>IF(ISERROR((GJ367/GH367-1)*100),"NA",IF(((GJ367/GH367-1)*100)&gt;100,"NM",IF(((GJ367/GH367-1)*100)&lt;-50,"NM",(GJ367/GH367-1)*100)))</f>
        <v>-16.878980891719742</v>
      </c>
      <c r="GL367" s="197">
        <f>+GL353-GL360</f>
        <v>315</v>
      </c>
      <c r="GM367" s="98">
        <f>IF(ISERROR((GL367/GJ367-1)*100),"NA",IF(((GL367/GJ367-1)*100)&gt;100,"NM",IF(((GL367/GJ367-1)*100)&lt;-50,"NM",(GL367/GJ367-1)*100)))</f>
        <v>20.68965517241379</v>
      </c>
      <c r="GN367" s="197">
        <f>+GN353-GN360</f>
        <v>356</v>
      </c>
      <c r="GO367" s="98">
        <f>IF(ISERROR((GN367/GL367-1)*100),"NA",IF(((GN367/GL367-1)*100)&gt;100,"NM",IF(((GN367/GL367-1)*100)&lt;-50,"NM",(GN367/GL367-1)*100)))</f>
        <v>13.015873015873014</v>
      </c>
      <c r="GP367" s="197">
        <f>+GP353-GP360</f>
        <v>367.90285350672457</v>
      </c>
      <c r="GQ367" s="98">
        <f>IF(ISERROR((GP367/GN367-1)*100),"NA",IF(((GP367/GN367-1)*100)&gt;100,"NM",IF(((GP367/GN367-1)*100)&lt;-50,"NM",(GP367/GN367-1)*100)))</f>
        <v>3.3434981760462223</v>
      </c>
      <c r="GR367" s="182">
        <f>+GR353-GR360</f>
        <v>429.56650537101996</v>
      </c>
      <c r="GS367" s="98">
        <f>IF(ISERROR((GR367/GP367-1)*100),"NA",IF(((GR367/GP367-1)*100)&gt;100,"NM",IF(((GR367/GP367-1)*100)&lt;-50,"NM",(GR367/GP367-1)*100)))</f>
        <v>16.760851751090943</v>
      </c>
      <c r="GT367" s="182">
        <f>+GT353-GT360</f>
        <v>468.22749085441228</v>
      </c>
      <c r="GU367" s="98">
        <f>IF(ISERROR((GT367/GR367-1)*100),"NA",IF(((GT367/GR367-1)*100)&gt;100,"NM",IF(((GT367/GR367-1)*100)&lt;-50,"NM",(GT367/GR367-1)*100)))</f>
        <v>9.000000000000119</v>
      </c>
      <c r="GV367" s="182">
        <f>+GV353-GV360</f>
        <v>510.36796503130881</v>
      </c>
      <c r="GW367" s="98">
        <f>IF(ISERROR((GV367/GT367-1)*100),"NA",IF(((GV367/GT367-1)*100)&gt;100,"NM",IF(((GV367/GT367-1)*100)&lt;-50,"NM",(GV367/GT367-1)*100)))</f>
        <v>8.9999999999998757</v>
      </c>
      <c r="GX367" s="182">
        <f>+GX353-GX360</f>
        <v>525.02707963639887</v>
      </c>
      <c r="GY367" s="98">
        <f>IF(ISERROR((GX367/GV367-1)*100),"NA",IF(((GX367/GV367-1)*100)&gt;100,"NM",IF(((GX367/GV367-1)*100)&lt;-50,"NM",(GX367/GV367-1)*100)))</f>
        <v>2.8722638585262361</v>
      </c>
      <c r="GZ367" s="98">
        <f t="shared" ref="GZ367:GZ373" si="1951">IF(ISERROR(((GX367/GN367)^0.2-1)*100),"NA",IF((((GX367/GN367)^0.2-1)*100)&gt;100,"NM",IF((((GX367/GN367)^0.2-1)*100)&lt;-50,"NM",((GX367/GN367)^0.2-1)*100)))</f>
        <v>8.0802501482054581</v>
      </c>
      <c r="HA367" s="98"/>
      <c r="HB367" s="15"/>
      <c r="HC367"/>
      <c r="HD367"/>
      <c r="HE367"/>
      <c r="HF367"/>
      <c r="HG367"/>
      <c r="HH367"/>
      <c r="HI367" s="10"/>
    </row>
    <row r="368" spans="1:217" s="5" customFormat="1" ht="12.75" customHeight="1" x14ac:dyDescent="0.2">
      <c r="B368" s="2" t="s">
        <v>478</v>
      </c>
      <c r="C368" s="112">
        <v>5</v>
      </c>
      <c r="D368" s="230"/>
      <c r="E368" s="112">
        <v>1</v>
      </c>
      <c r="F368" s="230"/>
      <c r="G368" s="112">
        <v>6</v>
      </c>
      <c r="H368" s="230"/>
      <c r="I368" s="112">
        <v>-2</v>
      </c>
      <c r="J368" s="98"/>
      <c r="K368" s="112">
        <v>1</v>
      </c>
      <c r="L368" s="98" t="str">
        <f t="shared" si="1876"/>
        <v>NM</v>
      </c>
      <c r="M368" s="112">
        <v>3</v>
      </c>
      <c r="N368" s="98" t="str">
        <f t="shared" si="1877"/>
        <v>NM</v>
      </c>
      <c r="O368" s="112">
        <v>6</v>
      </c>
      <c r="P368" s="98">
        <f t="shared" si="1878"/>
        <v>0</v>
      </c>
      <c r="Q368" s="112">
        <v>20</v>
      </c>
      <c r="R368" s="98" t="str">
        <f t="shared" si="1879"/>
        <v>NM</v>
      </c>
      <c r="S368" s="112">
        <v>6</v>
      </c>
      <c r="T368" s="98" t="str">
        <f t="shared" si="1880"/>
        <v>NM</v>
      </c>
      <c r="U368" s="112">
        <v>2</v>
      </c>
      <c r="V368" s="98">
        <f t="shared" si="1881"/>
        <v>-33.333333333333336</v>
      </c>
      <c r="W368" s="112">
        <v>15</v>
      </c>
      <c r="X368" s="98" t="str">
        <f t="shared" si="1882"/>
        <v>NM</v>
      </c>
      <c r="Y368" s="112">
        <v>4</v>
      </c>
      <c r="Z368" s="98" t="str">
        <f t="shared" si="1883"/>
        <v>NM</v>
      </c>
      <c r="AA368" s="112">
        <v>14</v>
      </c>
      <c r="AB368" s="98" t="str">
        <f t="shared" si="1884"/>
        <v>NM</v>
      </c>
      <c r="AC368" s="112">
        <v>-9</v>
      </c>
      <c r="AD368" s="98" t="str">
        <f t="shared" si="1885"/>
        <v>NM</v>
      </c>
      <c r="AE368" s="112">
        <v>17</v>
      </c>
      <c r="AF368" s="98">
        <f t="shared" si="1886"/>
        <v>13.33333333333333</v>
      </c>
      <c r="AG368" s="112">
        <v>-2</v>
      </c>
      <c r="AH368" s="98" t="str">
        <f t="shared" si="1887"/>
        <v>NM</v>
      </c>
      <c r="AI368" s="112">
        <v>21</v>
      </c>
      <c r="AJ368" s="98">
        <f t="shared" si="1888"/>
        <v>50</v>
      </c>
      <c r="AK368" s="112">
        <v>13</v>
      </c>
      <c r="AL368" s="98" t="str">
        <f t="shared" si="1889"/>
        <v>NM</v>
      </c>
      <c r="AM368" s="112">
        <v>24</v>
      </c>
      <c r="AN368" s="98">
        <f t="shared" si="1890"/>
        <v>41.176470588235304</v>
      </c>
      <c r="AO368" s="112">
        <v>10</v>
      </c>
      <c r="AP368" s="98" t="str">
        <f t="shared" si="1891"/>
        <v>NM</v>
      </c>
      <c r="AQ368" s="112">
        <v>37</v>
      </c>
      <c r="AR368" s="98">
        <f t="shared" si="1892"/>
        <v>76.19047619047619</v>
      </c>
      <c r="AS368" s="112">
        <v>23</v>
      </c>
      <c r="AT368" s="98">
        <f t="shared" si="1893"/>
        <v>76.92307692307692</v>
      </c>
      <c r="AU368" s="112">
        <v>13</v>
      </c>
      <c r="AV368" s="98">
        <f t="shared" si="1894"/>
        <v>-45.833333333333336</v>
      </c>
      <c r="AW368" s="112">
        <v>-11</v>
      </c>
      <c r="AX368" s="98" t="str">
        <f t="shared" si="1895"/>
        <v>NM</v>
      </c>
      <c r="AY368" s="112">
        <v>34</v>
      </c>
      <c r="AZ368" s="98">
        <f t="shared" si="1896"/>
        <v>-8.1081081081081035</v>
      </c>
      <c r="BA368" s="112">
        <v>13</v>
      </c>
      <c r="BB368" s="98">
        <f t="shared" si="1897"/>
        <v>-43.478260869565219</v>
      </c>
      <c r="BC368" s="112">
        <v>44</v>
      </c>
      <c r="BD368" s="98" t="str">
        <f t="shared" si="1898"/>
        <v>NM</v>
      </c>
      <c r="BE368" s="112">
        <v>15</v>
      </c>
      <c r="BF368" s="98" t="str">
        <f t="shared" si="1899"/>
        <v>NM</v>
      </c>
      <c r="BG368" s="112">
        <v>47</v>
      </c>
      <c r="BH368" s="98">
        <f t="shared" si="1900"/>
        <v>38.235294117647058</v>
      </c>
      <c r="BI368" s="112">
        <v>44</v>
      </c>
      <c r="BJ368" s="98" t="str">
        <f t="shared" si="1901"/>
        <v>NM</v>
      </c>
      <c r="BK368" s="112">
        <v>67</v>
      </c>
      <c r="BL368" s="98">
        <f t="shared" si="1902"/>
        <v>52.272727272727273</v>
      </c>
      <c r="BM368" s="112">
        <v>14</v>
      </c>
      <c r="BN368" s="98">
        <f t="shared" si="1903"/>
        <v>-6.6666666666666652</v>
      </c>
      <c r="BO368" s="112">
        <v>99</v>
      </c>
      <c r="BP368" s="98" t="str">
        <f t="shared" si="1904"/>
        <v>NM</v>
      </c>
      <c r="BQ368" s="112">
        <v>48</v>
      </c>
      <c r="BR368" s="98">
        <f t="shared" si="1905"/>
        <v>9.0909090909090828</v>
      </c>
      <c r="BS368" s="112">
        <v>74</v>
      </c>
      <c r="BT368" s="98">
        <f t="shared" si="1906"/>
        <v>10.447761194029859</v>
      </c>
      <c r="BU368" s="112">
        <v>50</v>
      </c>
      <c r="BV368" s="98" t="str">
        <f t="shared" si="1907"/>
        <v>NM</v>
      </c>
      <c r="BW368" s="112">
        <v>56</v>
      </c>
      <c r="BX368" s="98">
        <f t="shared" si="1908"/>
        <v>-43.43434343434344</v>
      </c>
      <c r="BY368" s="112">
        <v>52</v>
      </c>
      <c r="BZ368" s="98">
        <f t="shared" si="1909"/>
        <v>8.333333333333325</v>
      </c>
      <c r="CA368" s="112">
        <v>34</v>
      </c>
      <c r="CB368" s="98" t="str">
        <f t="shared" si="1910"/>
        <v>NM</v>
      </c>
      <c r="CC368" s="112">
        <v>19</v>
      </c>
      <c r="CD368" s="98" t="str">
        <f t="shared" si="1911"/>
        <v>NM</v>
      </c>
      <c r="CE368" s="112">
        <v>57</v>
      </c>
      <c r="CF368" s="98">
        <f t="shared" si="1912"/>
        <v>1.7857142857142794</v>
      </c>
      <c r="CG368" s="112">
        <v>42</v>
      </c>
      <c r="CH368" s="98">
        <f t="shared" si="1913"/>
        <v>-19.23076923076923</v>
      </c>
      <c r="CI368" s="112">
        <v>2</v>
      </c>
      <c r="CJ368" s="98" t="str">
        <f t="shared" si="1914"/>
        <v>NM</v>
      </c>
      <c r="CK368" s="112">
        <v>47</v>
      </c>
      <c r="CL368" s="98" t="str">
        <f t="shared" si="1915"/>
        <v>NM</v>
      </c>
      <c r="CM368" s="112">
        <v>47</v>
      </c>
      <c r="CN368" s="98">
        <f t="shared" si="1916"/>
        <v>-17.543859649122805</v>
      </c>
      <c r="CO368" s="112">
        <v>45</v>
      </c>
      <c r="CP368" s="98">
        <f t="shared" si="1917"/>
        <v>7.1428571428571397</v>
      </c>
      <c r="CQ368" s="543">
        <v>41</v>
      </c>
      <c r="CR368" s="98" t="str">
        <f t="shared" si="1918"/>
        <v>NM</v>
      </c>
      <c r="CS368" s="112">
        <v>26</v>
      </c>
      <c r="CT368" s="98">
        <f t="shared" si="1919"/>
        <v>-44.680851063829785</v>
      </c>
      <c r="CU368" s="112">
        <v>41</v>
      </c>
      <c r="CV368" s="98">
        <f t="shared" si="1920"/>
        <v>-12.765957446808507</v>
      </c>
      <c r="CW368" s="112">
        <v>37</v>
      </c>
      <c r="CX368" s="98">
        <f t="shared" si="1921"/>
        <v>-17.777777777777782</v>
      </c>
      <c r="CY368" s="112">
        <v>38</v>
      </c>
      <c r="CZ368" s="98">
        <f t="shared" si="1922"/>
        <v>-7.3170731707317032</v>
      </c>
      <c r="DA368" s="112">
        <v>30</v>
      </c>
      <c r="DB368" s="98">
        <f t="shared" si="1923"/>
        <v>15.384615384615374</v>
      </c>
      <c r="DC368" s="112">
        <v>34</v>
      </c>
      <c r="DD368" s="98">
        <f t="shared" si="1924"/>
        <v>-17.073170731707322</v>
      </c>
      <c r="DE368" s="112">
        <v>-4</v>
      </c>
      <c r="DF368" s="98" t="str">
        <f t="shared" si="1925"/>
        <v>NM</v>
      </c>
      <c r="DG368" s="112">
        <v>43</v>
      </c>
      <c r="DH368" s="98">
        <f t="shared" si="1926"/>
        <v>13.157894736842103</v>
      </c>
      <c r="DI368" s="112">
        <v>5</v>
      </c>
      <c r="DJ368" s="98" t="str">
        <f t="shared" si="1927"/>
        <v>NM</v>
      </c>
      <c r="DK368" s="112">
        <v>20</v>
      </c>
      <c r="DL368" s="98">
        <f t="shared" si="1928"/>
        <v>-41.17647058823529</v>
      </c>
      <c r="DM368" s="112">
        <v>6</v>
      </c>
      <c r="DN368" s="98" t="str">
        <f t="shared" si="1929"/>
        <v>NM</v>
      </c>
      <c r="DO368" s="112">
        <v>23</v>
      </c>
      <c r="DP368" s="98">
        <f t="shared" si="1930"/>
        <v>-46.511627906976749</v>
      </c>
      <c r="DQ368" s="112">
        <v>-20</v>
      </c>
      <c r="DR368" s="98" t="str">
        <f t="shared" si="1931"/>
        <v>NM</v>
      </c>
      <c r="DS368" s="112">
        <v>11</v>
      </c>
      <c r="DT368" s="98">
        <f t="shared" si="1932"/>
        <v>-44.999999999999993</v>
      </c>
      <c r="DU368" s="112">
        <v>7</v>
      </c>
      <c r="DV368" s="98">
        <f t="shared" si="1933"/>
        <v>16.666666666666675</v>
      </c>
      <c r="DW368" s="112">
        <v>7</v>
      </c>
      <c r="DX368" s="98" t="str">
        <f t="shared" si="1934"/>
        <v>NM</v>
      </c>
      <c r="DY368" s="112">
        <v>-4</v>
      </c>
      <c r="DZ368" s="98" t="str">
        <f t="shared" si="1935"/>
        <v>NM</v>
      </c>
      <c r="EA368" s="112">
        <v>11</v>
      </c>
      <c r="EB368" s="98">
        <f t="shared" si="1936"/>
        <v>0</v>
      </c>
      <c r="EC368" s="112">
        <v>10</v>
      </c>
      <c r="ED368" s="98">
        <f t="shared" si="1937"/>
        <v>42.857142857142861</v>
      </c>
      <c r="EE368" s="112">
        <v>11</v>
      </c>
      <c r="EF368" s="860">
        <f t="shared" si="1938"/>
        <v>57.142857142857139</v>
      </c>
      <c r="EG368" s="112">
        <v>10</v>
      </c>
      <c r="EH368" s="860" t="str">
        <f t="shared" si="1939"/>
        <v>NM</v>
      </c>
      <c r="EI368" s="112">
        <v>12</v>
      </c>
      <c r="EJ368" s="860">
        <f t="shared" si="1940"/>
        <v>9.0909090909090828</v>
      </c>
      <c r="EK368" s="112">
        <v>14</v>
      </c>
      <c r="EL368" s="860">
        <f t="shared" si="1941"/>
        <v>39.999999999999993</v>
      </c>
      <c r="EM368" s="112">
        <v>21</v>
      </c>
      <c r="EN368" s="860">
        <f t="shared" si="1942"/>
        <v>90.909090909090921</v>
      </c>
      <c r="EO368" s="112">
        <v>12</v>
      </c>
      <c r="EP368" s="98">
        <f t="shared" si="1943"/>
        <v>19.999999999999996</v>
      </c>
      <c r="EQ368" s="878">
        <f t="shared" ref="EQ368" si="1952">+EQ367*EQ369/100</f>
        <v>12.578188000000001</v>
      </c>
      <c r="ER368" s="98">
        <f t="shared" si="1944"/>
        <v>4.8182333333333327</v>
      </c>
      <c r="ES368" s="878">
        <f t="shared" ref="ES368" si="1953">+ES367*ES369/100</f>
        <v>12.775043260000002</v>
      </c>
      <c r="ET368" s="98">
        <f t="shared" si="1946"/>
        <v>-8.7496909999999808</v>
      </c>
      <c r="EU368" s="878">
        <f t="shared" ref="EU368" si="1954">+EU367*EU369/100</f>
        <v>12.975014997700004</v>
      </c>
      <c r="EV368" s="98">
        <f t="shared" si="1948"/>
        <v>-38.214214296666647</v>
      </c>
      <c r="EW368" s="878">
        <f t="shared" ref="EW368" si="1955">+EW367*EW369/100</f>
        <v>13.178153233241481</v>
      </c>
      <c r="EX368" s="98">
        <f t="shared" si="1950"/>
        <v>9.8179436103456688</v>
      </c>
      <c r="EY368" s="160"/>
      <c r="EZ368" s="594"/>
      <c r="FA368" s="405"/>
      <c r="FB368" s="200" t="s">
        <v>494</v>
      </c>
      <c r="FC368" s="230"/>
      <c r="FD368" s="121">
        <v>-14</v>
      </c>
      <c r="FE368" s="98" t="str">
        <f>IF(ISERROR((FD368/FB368-1)*100),"NA",IF(((FD368/FB368-1)*100)&gt;100,"NM",IF(((FD368/FB368-1)*100)&lt;-50,"NM",(FD368/FB368-1)*100)))</f>
        <v>NA</v>
      </c>
      <c r="FF368" s="121">
        <v>9</v>
      </c>
      <c r="FG368" s="98" t="str">
        <f>IF(ISERROR((FF368/FD368-1)*100),"NA",IF(((FF368/FD368-1)*100)&gt;100,"NM",IF(((FF368/FD368-1)*100)&lt;-50,"NM",(FF368/FD368-1)*100)))</f>
        <v>NM</v>
      </c>
      <c r="FH368" s="118">
        <f>K368+M368+O368+Q368</f>
        <v>30</v>
      </c>
      <c r="FI368" s="98" t="str">
        <f>IF(ISERROR((FH368/FF368-1)*100),"NA",IF(((FH368/FF368-1)*100)&gt;100,"NM",IF(((FH368/FF368-1)*100)&lt;-50,"NM",(FH368/FF368-1)*100)))</f>
        <v>NM</v>
      </c>
      <c r="FJ368" s="118">
        <f>S368+U368+W368+Y368</f>
        <v>27</v>
      </c>
      <c r="FK368" s="98">
        <f>IF(ISERROR((FJ368/FH368-1)*100),"NA",IF(((FJ368/FH368-1)*100)&gt;100,"NM",IF(((FJ368/FH368-1)*100)&lt;-50,"NM",(FJ368/FH368-1)*100)))</f>
        <v>-9.9999999999999982</v>
      </c>
      <c r="FL368" s="118">
        <f>AA368+AC368+AE368+AG368</f>
        <v>20</v>
      </c>
      <c r="FM368" s="98">
        <f>IF(ISERROR((FL368/FJ368-1)*100),"NA",IF(((FL368/FJ368-1)*100)&gt;100,"NM",IF(((FL368/FJ368-1)*100)&lt;-50,"NM",(FL368/FJ368-1)*100)))</f>
        <v>-25.925925925925931</v>
      </c>
      <c r="FN368" s="118">
        <f>AI368+AK368+AM368+AO368</f>
        <v>68</v>
      </c>
      <c r="FO368" s="98" t="str">
        <f>IF(ISERROR((FN368/FL368-1)*100),"NA",IF(((FN368/FL368-1)*100)&gt;100,"NM",IF(((FN368/FL368-1)*100)&lt;-50,"NM",(FN368/FL368-1)*100)))</f>
        <v>NM</v>
      </c>
      <c r="FP368" s="118">
        <f>AQ368+AS368+AU368+AW368</f>
        <v>62</v>
      </c>
      <c r="FQ368" s="98">
        <f>IF(ISERROR((FP368/FN368-1)*100),"NA",IF(((FP368/FN368-1)*100)&gt;100,"NM",IF(((FP368/FN368-1)*100)&lt;-50,"NM",(FP368/FN368-1)*100)))</f>
        <v>-8.8235294117647083</v>
      </c>
      <c r="FR368" s="160">
        <f>AY368+BA368+BC368+BE368</f>
        <v>106</v>
      </c>
      <c r="FS368" s="120">
        <f>IF(ISERROR((FR368/FP368-1)*100),"NA",IF(((FR368/FP368-1)*100)&gt;100,"NM",IF(((FR368/FP368-1)*100)&lt;-50,"NM",(FR368/FP368-1)*100)))</f>
        <v>70.967741935483872</v>
      </c>
      <c r="FT368" s="160">
        <f>BG368+BI368+BK368+BM368</f>
        <v>172</v>
      </c>
      <c r="FU368" s="120">
        <f>IF(ISERROR((FT368/FR368-1)*100),"NA",IF(((FT368/FR368-1)*100)&gt;100,"NM",IF(((FT368/FR368-1)*100)&lt;-50,"NM",(FT368/FR368-1)*100)))</f>
        <v>62.264150943396231</v>
      </c>
      <c r="FV368" s="112">
        <v>257</v>
      </c>
      <c r="FW368" s="98">
        <f>IF(ISERROR((FV368/FT368-1)*100),"NA",IF(((FV368/FT368-1)*100)&gt;100,"NM",IF(((FV368/FT368-1)*100)&lt;-50,"NM",(FV368/FT368-1)*100)))</f>
        <v>49.418604651162788</v>
      </c>
      <c r="FX368" s="495">
        <f>BW368+BY368+CA368+CC368</f>
        <v>161</v>
      </c>
      <c r="FY368" s="98">
        <f>IF(ISERROR((FX368/FV368-1)*100),"NA",IF(((FX368/FV368-1)*100)&gt;100,"NM",IF(((FX368/FV368-1)*100)&lt;-50,"NM",(FX368/FV368-1)*100)))</f>
        <v>-37.354085603112843</v>
      </c>
      <c r="FZ368" s="160">
        <f>CE368+CG368+CI368+CK368</f>
        <v>148</v>
      </c>
      <c r="GA368" s="98">
        <f>IF(ISERROR((FZ368/FX368-1)*100),"NA",IF(((FZ368/FX368-1)*100)&gt;100,"NM",IF(((FZ368/FX368-1)*100)&lt;-50,"NM",(FZ368/FX368-1)*100)))</f>
        <v>-8.0745341614906874</v>
      </c>
      <c r="GB368" s="543">
        <v>156</v>
      </c>
      <c r="GC368" s="98">
        <f>IF(ISERROR((GB368/FZ368-1)*100),"NA",IF(((GB368/FZ368-1)*100)&gt;100,"NM",IF(((GB368/FZ368-1)*100)&lt;-50,"NM",(GB368/FZ368-1)*100)))</f>
        <v>5.4054054054053946</v>
      </c>
      <c r="GD368" s="160">
        <f>CU368+CW368+CY368+DA368</f>
        <v>146</v>
      </c>
      <c r="GE368" s="98">
        <f>IF(ISERROR((GD368/GB368-1)*100),"NA",IF(((GD368/GB368-1)*100)&gt;100,"NM",IF(((GD368/GB368-1)*100)&lt;-50,"NM",(GD368/GB368-1)*100)))</f>
        <v>-6.4102564102564097</v>
      </c>
      <c r="GF368" s="160">
        <f>DC368+DE368+DG368+DI368</f>
        <v>78</v>
      </c>
      <c r="GG368" s="98">
        <f>IF(ISERROR((GF368/GD368-1)*100),"NA",IF(((GF368/GD368-1)*100)&gt;100,"NM",IF(((GF368/GD368-1)*100)&lt;-50,"NM",(GF368/GD368-1)*100)))</f>
        <v>-46.575342465753423</v>
      </c>
      <c r="GH368" s="160">
        <f>DK368+DM368+DO368+DQ368</f>
        <v>29</v>
      </c>
      <c r="GI368" s="98" t="str">
        <f>IF(ISERROR((GH368/GF368-1)*100),"NA",IF(((GH368/GF368-1)*100)&gt;100,"NM",IF(((GH368/GF368-1)*100)&lt;-50,"NM",(GH368/GF368-1)*100)))</f>
        <v>NM</v>
      </c>
      <c r="GJ368" s="160">
        <f>DS368+DU368+DW368+DY368</f>
        <v>21</v>
      </c>
      <c r="GK368" s="98">
        <f>IF(ISERROR((GJ368/GH368-1)*100),"NA",IF(((GJ368/GH368-1)*100)&gt;100,"NM",IF(((GJ368/GH368-1)*100)&lt;-50,"NM",(GJ368/GH368-1)*100)))</f>
        <v>-27.586206896551722</v>
      </c>
      <c r="GL368" s="160">
        <f>EA368+EC368+EE368+EG368</f>
        <v>42</v>
      </c>
      <c r="GM368" s="98">
        <f>IF(ISERROR((GL368/GJ368-1)*100),"NA",IF(((GL368/GJ368-1)*100)&gt;100,"NM",IF(((GL368/GJ368-1)*100)&lt;-50,"NM",(GL368/GJ368-1)*100)))</f>
        <v>100</v>
      </c>
      <c r="GN368" s="160">
        <f>EI368+EK368+EM368+EO368</f>
        <v>59</v>
      </c>
      <c r="GO368" s="98">
        <f>IF(ISERROR((GN368/GL368-1)*100),"NA",IF(((GN368/GL368-1)*100)&gt;100,"NM",IF(((GN368/GL368-1)*100)&lt;-50,"NM",(GN368/GL368-1)*100)))</f>
        <v>40.476190476190467</v>
      </c>
      <c r="GP368" s="160">
        <f>EQ368+ES368+EU368+EW368</f>
        <v>51.506399490941483</v>
      </c>
      <c r="GQ368" s="98">
        <f>IF(ISERROR((GP368/GN368-1)*100),"NA",IF(((GP368/GN368-1)*100)&gt;100,"NM",IF(((GP368/GN368-1)*100)&lt;-50,"NM",(GP368/GN368-1)*100)))</f>
        <v>-12.701017811963588</v>
      </c>
      <c r="GR368" s="160">
        <f>+GR367*GR369/100</f>
        <v>60.139310751942851</v>
      </c>
      <c r="GS368" s="98">
        <f>IF(ISERROR((GR368/GP368-1)*100),"NA",IF(((GR368/GP368-1)*100)&gt;100,"NM",IF(((GR368/GP368-1)*100)&lt;-50,"NM",(GR368/GP368-1)*100)))</f>
        <v>16.760851751090943</v>
      </c>
      <c r="GT368" s="160">
        <f>+GT367*GT369/100</f>
        <v>65.55184871961778</v>
      </c>
      <c r="GU368" s="98">
        <f>IF(ISERROR((GT368/GR368-1)*100),"NA",IF(((GT368/GR368-1)*100)&gt;100,"NM",IF(((GT368/GR368-1)*100)&lt;-50,"NM",(GT368/GR368-1)*100)))</f>
        <v>9.000000000000119</v>
      </c>
      <c r="GV368" s="160">
        <f>+GV367*GV369/100</f>
        <v>71.451515104383304</v>
      </c>
      <c r="GW368" s="98">
        <f>IF(ISERROR((GV368/GT368-1)*100),"NA",IF(((GV368/GT368-1)*100)&gt;100,"NM",IF(((GV368/GT368-1)*100)&lt;-50,"NM",(GV368/GT368-1)*100)))</f>
        <v>8.9999999999998757</v>
      </c>
      <c r="GX368" s="160">
        <f>+GX367*GX369/100</f>
        <v>73.503791149095903</v>
      </c>
      <c r="GY368" s="98">
        <f>IF(ISERROR((GX368/GV368-1)*100),"NA",IF(((GX368/GV368-1)*100)&gt;100,"NM",IF(((GX368/GV368-1)*100)&lt;-50,"NM",(GX368/GV368-1)*100)))</f>
        <v>2.8722638585262139</v>
      </c>
      <c r="GZ368" s="98">
        <f t="shared" si="1951"/>
        <v>4.4940460555398243</v>
      </c>
      <c r="HA368" s="98"/>
      <c r="HB368" s="15"/>
      <c r="HC368"/>
      <c r="HD368"/>
      <c r="HE368"/>
      <c r="HF368"/>
      <c r="HG368"/>
      <c r="HH368"/>
      <c r="HI368" s="10"/>
    </row>
    <row r="369" spans="1:217" s="5" customFormat="1" ht="12.75" customHeight="1" x14ac:dyDescent="0.2">
      <c r="B369" s="2" t="s">
        <v>170</v>
      </c>
      <c r="C369" s="202">
        <f>+C368/C367*100</f>
        <v>31.25</v>
      </c>
      <c r="D369" s="230"/>
      <c r="E369" s="202">
        <f>+E368/E367*100</f>
        <v>12.5</v>
      </c>
      <c r="F369" s="230"/>
      <c r="G369" s="202">
        <f>+G368/G367*100</f>
        <v>54.54545454545454</v>
      </c>
      <c r="H369" s="230"/>
      <c r="I369" s="202">
        <f>+I368/I367*100</f>
        <v>-200</v>
      </c>
      <c r="J369" s="98"/>
      <c r="K369" s="202">
        <f>+K368/K367*100</f>
        <v>5.2631578947368416</v>
      </c>
      <c r="L369" s="98" t="str">
        <f t="shared" si="1876"/>
        <v>NM</v>
      </c>
      <c r="M369" s="202">
        <f>+M368/M367*100</f>
        <v>21.428571428571427</v>
      </c>
      <c r="N369" s="98">
        <f t="shared" si="1877"/>
        <v>71.428571428571416</v>
      </c>
      <c r="O369" s="202">
        <f>+O368/O367*100</f>
        <v>35.294117647058826</v>
      </c>
      <c r="P369" s="98">
        <f t="shared" si="1878"/>
        <v>-35.294117647058812</v>
      </c>
      <c r="Q369" s="202">
        <f>+Q368/Q367*100</f>
        <v>166.66666666666669</v>
      </c>
      <c r="R369" s="98" t="str">
        <f t="shared" si="1879"/>
        <v>NM</v>
      </c>
      <c r="S369" s="202">
        <f>+S368/S367*100</f>
        <v>30</v>
      </c>
      <c r="T369" s="98" t="str">
        <f t="shared" si="1880"/>
        <v>NM</v>
      </c>
      <c r="U369" s="202">
        <f>+U368/U367*100</f>
        <v>50</v>
      </c>
      <c r="V369" s="98" t="str">
        <f t="shared" si="1881"/>
        <v>NM</v>
      </c>
      <c r="W369" s="202">
        <f>+W368/W367*100</f>
        <v>27.27272727272727</v>
      </c>
      <c r="X369" s="98">
        <f t="shared" si="1882"/>
        <v>-22.727272727272741</v>
      </c>
      <c r="Y369" s="202">
        <f>+Y368/Y367*100</f>
        <v>9.5238095238095237</v>
      </c>
      <c r="Z369" s="98" t="str">
        <f t="shared" si="1883"/>
        <v>NM</v>
      </c>
      <c r="AA369" s="202">
        <f>+AA368/AA367*100</f>
        <v>33.333333333333329</v>
      </c>
      <c r="AB369" s="98">
        <f t="shared" si="1884"/>
        <v>11.111111111111093</v>
      </c>
      <c r="AC369" s="202">
        <f>+AC368/AC367*100</f>
        <v>-9.67741935483871</v>
      </c>
      <c r="AD369" s="98" t="str">
        <f t="shared" si="1885"/>
        <v>NM</v>
      </c>
      <c r="AE369" s="202">
        <f>+AE368/AE367*100</f>
        <v>31.481481481481481</v>
      </c>
      <c r="AF369" s="98">
        <f t="shared" si="1886"/>
        <v>15.432098765432102</v>
      </c>
      <c r="AG369" s="202">
        <f>+AG368/AG367*100</f>
        <v>-6.25</v>
      </c>
      <c r="AH369" s="98" t="str">
        <f t="shared" si="1887"/>
        <v>NM</v>
      </c>
      <c r="AI369" s="202">
        <f>+AI368/AI367*100</f>
        <v>32.307692307692307</v>
      </c>
      <c r="AJ369" s="98">
        <f t="shared" si="1888"/>
        <v>-3.076923076923066</v>
      </c>
      <c r="AK369" s="202">
        <f>+AK368/AK367*100</f>
        <v>24.074074074074073</v>
      </c>
      <c r="AL369" s="98" t="str">
        <f t="shared" si="1889"/>
        <v>NM</v>
      </c>
      <c r="AM369" s="202">
        <f>+AM368/AM367*100</f>
        <v>33.802816901408448</v>
      </c>
      <c r="AN369" s="98">
        <f t="shared" si="1890"/>
        <v>7.373653686826831</v>
      </c>
      <c r="AO369" s="202">
        <f>+AO368/AO367*100</f>
        <v>25</v>
      </c>
      <c r="AP369" s="98" t="str">
        <f t="shared" si="1891"/>
        <v>NM</v>
      </c>
      <c r="AQ369" s="202">
        <f>+AQ368/AQ367*100</f>
        <v>35.238095238095241</v>
      </c>
      <c r="AR369" s="98">
        <f t="shared" si="1892"/>
        <v>9.0702947845805006</v>
      </c>
      <c r="AS369" s="202">
        <f>+AS368/AS367*100</f>
        <v>31.081081081081081</v>
      </c>
      <c r="AT369" s="98">
        <f t="shared" si="1893"/>
        <v>29.106029106029109</v>
      </c>
      <c r="AU369" s="202">
        <f>+AU368/AU367*100</f>
        <v>16.455696202531644</v>
      </c>
      <c r="AV369" s="98" t="str">
        <f t="shared" si="1894"/>
        <v>NM</v>
      </c>
      <c r="AW369" s="202">
        <f>+AW368/AW367*100</f>
        <v>-29.72972972972973</v>
      </c>
      <c r="AX369" s="98" t="str">
        <f t="shared" si="1895"/>
        <v>NM</v>
      </c>
      <c r="AY369" s="202">
        <f>+AY368/AY367*100</f>
        <v>30.909090909090907</v>
      </c>
      <c r="AZ369" s="98">
        <f t="shared" si="1896"/>
        <v>-12.285012285012298</v>
      </c>
      <c r="BA369" s="202">
        <f>+BA368/BA367*100</f>
        <v>16.883116883116884</v>
      </c>
      <c r="BB369" s="98">
        <f t="shared" si="1897"/>
        <v>-45.680406549971764</v>
      </c>
      <c r="BC369" s="202">
        <f>+BC368/BC367*100</f>
        <v>37.931034482758619</v>
      </c>
      <c r="BD369" s="98" t="str">
        <f t="shared" si="1898"/>
        <v>NM</v>
      </c>
      <c r="BE369" s="202">
        <f>+BE368/BE367*100</f>
        <v>48.387096774193552</v>
      </c>
      <c r="BF369" s="98" t="str">
        <f t="shared" si="1899"/>
        <v>NM</v>
      </c>
      <c r="BG369" s="202">
        <f>+BG368/BG367*100</f>
        <v>27.485380116959064</v>
      </c>
      <c r="BH369" s="98">
        <f t="shared" si="1900"/>
        <v>-11.076711386308901</v>
      </c>
      <c r="BI369" s="202">
        <f>+BI368/BI367*100</f>
        <v>27.329192546583851</v>
      </c>
      <c r="BJ369" s="98">
        <f t="shared" si="1901"/>
        <v>61.872909698996658</v>
      </c>
      <c r="BK369" s="202">
        <f>+BK368/BK367*100</f>
        <v>33.333333333333329</v>
      </c>
      <c r="BL369" s="98">
        <f t="shared" si="1902"/>
        <v>-12.121212121212132</v>
      </c>
      <c r="BM369" s="202">
        <f>+BM368/BM367*100</f>
        <v>6.7632850241545892</v>
      </c>
      <c r="BN369" s="98" t="str">
        <f t="shared" si="1903"/>
        <v>NM</v>
      </c>
      <c r="BO369" s="202">
        <f>+BO368/BO367*100</f>
        <v>42.127659574468083</v>
      </c>
      <c r="BP369" s="98">
        <f t="shared" si="1904"/>
        <v>53.272974196468994</v>
      </c>
      <c r="BQ369" s="202">
        <f>+BQ368/BQ367*100</f>
        <v>24.615384615384617</v>
      </c>
      <c r="BR369" s="98">
        <f t="shared" si="1905"/>
        <v>-9.93006993006993</v>
      </c>
      <c r="BS369" s="202">
        <f>+BS368/BS367*100</f>
        <v>33.944954128440372</v>
      </c>
      <c r="BT369" s="98">
        <f t="shared" si="1906"/>
        <v>1.8348623853211343</v>
      </c>
      <c r="BU369" s="202">
        <f>+BU368/BU367*100</f>
        <v>39.0625</v>
      </c>
      <c r="BV369" s="98" t="str">
        <f t="shared" si="1907"/>
        <v>NM</v>
      </c>
      <c r="BW369" s="202">
        <f>+BW368/BW367*100</f>
        <v>29.946524064171122</v>
      </c>
      <c r="BX369" s="98">
        <f t="shared" si="1908"/>
        <v>-28.914816615351381</v>
      </c>
      <c r="BY369" s="202">
        <f>+BY368/BY367*100</f>
        <v>24.761904761904763</v>
      </c>
      <c r="BZ369" s="98">
        <f t="shared" si="1909"/>
        <v>0.59523809523809312</v>
      </c>
      <c r="CA369" s="202">
        <f>+CA368/CA367*100</f>
        <v>18.181818181818183</v>
      </c>
      <c r="CB369" s="98">
        <f t="shared" si="1910"/>
        <v>-46.437346437346442</v>
      </c>
      <c r="CC369" s="202">
        <f>+CC368/CC367*100</f>
        <v>47.5</v>
      </c>
      <c r="CD369" s="98">
        <f t="shared" si="1911"/>
        <v>21.599999999999998</v>
      </c>
      <c r="CE369" s="202">
        <f>+CE368/CE367*100</f>
        <v>27.941176470588236</v>
      </c>
      <c r="CF369" s="98">
        <f t="shared" si="1912"/>
        <v>-6.6964285714285694</v>
      </c>
      <c r="CG369" s="202">
        <f>+CG368/CG367*100</f>
        <v>22.826086956521738</v>
      </c>
      <c r="CH369" s="98">
        <f t="shared" si="1913"/>
        <v>-7.8177257525083643</v>
      </c>
      <c r="CI369" s="202">
        <f>+CI368/CI367*100</f>
        <v>1.0471204188481675</v>
      </c>
      <c r="CJ369" s="98" t="str">
        <f t="shared" si="1914"/>
        <v>NM</v>
      </c>
      <c r="CK369" s="202">
        <f>+CK368/CK367*100</f>
        <v>18.43137254901961</v>
      </c>
      <c r="CL369" s="98" t="str">
        <f t="shared" si="1915"/>
        <v>NM</v>
      </c>
      <c r="CM369" s="202">
        <f>+CM368/CM367*100</f>
        <v>37.301587301587304</v>
      </c>
      <c r="CN369" s="98">
        <f t="shared" si="1916"/>
        <v>33.500417710944028</v>
      </c>
      <c r="CO369" s="202">
        <f>+CO368/CO367*100</f>
        <v>41.284403669724774</v>
      </c>
      <c r="CP369" s="98">
        <f t="shared" si="1917"/>
        <v>80.865006553079979</v>
      </c>
      <c r="CQ369" s="551">
        <f>+CQ368/CQ367*100</f>
        <v>38.679245283018872</v>
      </c>
      <c r="CR369" s="98" t="str">
        <f t="shared" si="1918"/>
        <v>NM</v>
      </c>
      <c r="CS369" s="202">
        <f>+CS368/CS367*100</f>
        <v>35.61643835616438</v>
      </c>
      <c r="CT369" s="98">
        <f t="shared" si="1919"/>
        <v>93.238122996210976</v>
      </c>
      <c r="CU369" s="202">
        <f>+CU368/CU367*100</f>
        <v>36.283185840707965</v>
      </c>
      <c r="CV369" s="98">
        <f t="shared" si="1920"/>
        <v>-2.7301826398041906</v>
      </c>
      <c r="CW369" s="202">
        <f>+CW368/CW367*100</f>
        <v>32.173913043478258</v>
      </c>
      <c r="CX369" s="98">
        <f t="shared" si="1921"/>
        <v>-22.067632850241559</v>
      </c>
      <c r="CY369" s="202">
        <f>+CY368/CY367*100</f>
        <v>38</v>
      </c>
      <c r="CZ369" s="98">
        <f t="shared" si="1922"/>
        <v>-1.7560975609756224</v>
      </c>
      <c r="DA369" s="202">
        <f>+DA368/DA367*100</f>
        <v>33.707865168539328</v>
      </c>
      <c r="DB369" s="98">
        <f t="shared" si="1923"/>
        <v>-5.3586862575626508</v>
      </c>
      <c r="DC369" s="202">
        <f>+DC368/DC367*100</f>
        <v>28.099173553719009</v>
      </c>
      <c r="DD369" s="98">
        <f t="shared" si="1924"/>
        <v>-22.555936303164682</v>
      </c>
      <c r="DE369" s="202">
        <f>+DE368/DE367*100</f>
        <v>-6.25</v>
      </c>
      <c r="DF369" s="98" t="str">
        <f t="shared" si="1925"/>
        <v>NM</v>
      </c>
      <c r="DG369" s="202">
        <f>+DG368/DG367*100</f>
        <v>33.59375</v>
      </c>
      <c r="DH369" s="98">
        <f t="shared" si="1926"/>
        <v>-11.595394736842103</v>
      </c>
      <c r="DI369" s="202">
        <f>+DI368/DI367*100</f>
        <v>5.3191489361702127</v>
      </c>
      <c r="DJ369" s="98" t="str">
        <f t="shared" si="1927"/>
        <v>NM</v>
      </c>
      <c r="DK369" s="202">
        <f>+DK368/DK367*100</f>
        <v>21.978021978021978</v>
      </c>
      <c r="DL369" s="98">
        <f t="shared" si="1928"/>
        <v>-21.784098254686491</v>
      </c>
      <c r="DM369" s="202">
        <f>+DM368/DM367*100</f>
        <v>7.6923076923076925</v>
      </c>
      <c r="DN369" s="98" t="str">
        <f t="shared" si="1929"/>
        <v>NM</v>
      </c>
      <c r="DO369" s="202">
        <f>+DO368/DO367*100</f>
        <v>22.772277227722775</v>
      </c>
      <c r="DP369" s="98">
        <f t="shared" si="1930"/>
        <v>-32.212756159336855</v>
      </c>
      <c r="DQ369" s="202">
        <f>+DQ368/DQ367*100</f>
        <v>-45.454545454545453</v>
      </c>
      <c r="DR369" s="98" t="str">
        <f t="shared" si="1931"/>
        <v>NM</v>
      </c>
      <c r="DS369" s="202">
        <f>+DS368/DS367*100</f>
        <v>13.580246913580247</v>
      </c>
      <c r="DT369" s="98">
        <f t="shared" si="1932"/>
        <v>-38.209876543209873</v>
      </c>
      <c r="DU369" s="202">
        <f>+DU368/DU367*100</f>
        <v>12.280701754385964</v>
      </c>
      <c r="DV369" s="98">
        <f t="shared" si="1933"/>
        <v>59.649122807017527</v>
      </c>
      <c r="DW369" s="202">
        <f>+DW368/DW367*100</f>
        <v>9.5890410958904102</v>
      </c>
      <c r="DX369" s="98" t="str">
        <f t="shared" si="1934"/>
        <v>NM</v>
      </c>
      <c r="DY369" s="202">
        <f>+DY368/DY367*100</f>
        <v>-8</v>
      </c>
      <c r="DZ369" s="98" t="str">
        <f t="shared" si="1935"/>
        <v>NM</v>
      </c>
      <c r="EA369" s="202">
        <f>+EA368/EA367*100</f>
        <v>14.864864864864865</v>
      </c>
      <c r="EB369" s="98">
        <f t="shared" si="1936"/>
        <v>9.4594594594594525</v>
      </c>
      <c r="EC369" s="202">
        <f>+EC368/EC367*100</f>
        <v>13.513513513513514</v>
      </c>
      <c r="ED369" s="98">
        <f t="shared" si="1937"/>
        <v>10.038610038610042</v>
      </c>
      <c r="EE369" s="202">
        <f>+EE368/EE367*100</f>
        <v>12.941176470588237</v>
      </c>
      <c r="EF369" s="860">
        <f t="shared" si="1938"/>
        <v>34.957983193277343</v>
      </c>
      <c r="EG369" s="202">
        <f>+EG368/EG367*100</f>
        <v>12.195121951219512</v>
      </c>
      <c r="EH369" s="860" t="str">
        <f t="shared" si="1939"/>
        <v>NM</v>
      </c>
      <c r="EI369" s="202">
        <f>+EI368/EI367*100</f>
        <v>13.793103448275861</v>
      </c>
      <c r="EJ369" s="860">
        <f t="shared" si="1940"/>
        <v>-7.2100313479623868</v>
      </c>
      <c r="EK369" s="202">
        <f>+EK368/EK367*100</f>
        <v>16.279069767441861</v>
      </c>
      <c r="EL369" s="860">
        <f t="shared" si="1941"/>
        <v>20.465116279069772</v>
      </c>
      <c r="EM369" s="202">
        <f>+EM368/EM367*100</f>
        <v>22.826086956521738</v>
      </c>
      <c r="EN369" s="860">
        <f t="shared" si="1942"/>
        <v>76.383399209486129</v>
      </c>
      <c r="EO369" s="202">
        <f>+EO368/EO367*100</f>
        <v>13.186813186813188</v>
      </c>
      <c r="EP369" s="98">
        <f t="shared" si="1943"/>
        <v>8.1318681318681474</v>
      </c>
      <c r="EQ369" s="1026">
        <v>14</v>
      </c>
      <c r="ER369" s="98">
        <f t="shared" si="1944"/>
        <v>1.5000000000000124</v>
      </c>
      <c r="ES369" s="1026">
        <f t="shared" ref="ES369" si="1956">EQ369</f>
        <v>14</v>
      </c>
      <c r="ET369" s="98">
        <f t="shared" si="1946"/>
        <v>-14.000000000000002</v>
      </c>
      <c r="EU369" s="1026">
        <f t="shared" ref="EU369" si="1957">ES369</f>
        <v>14</v>
      </c>
      <c r="EV369" s="98">
        <f t="shared" si="1948"/>
        <v>-38.666666666666657</v>
      </c>
      <c r="EW369" s="1026">
        <f t="shared" ref="EW369" si="1958">EU369</f>
        <v>14</v>
      </c>
      <c r="EX369" s="98">
        <f t="shared" si="1950"/>
        <v>6.1666666666666536</v>
      </c>
      <c r="EY369" s="80"/>
      <c r="EZ369" s="594"/>
      <c r="FA369" s="405"/>
      <c r="FB369" s="200" t="s">
        <v>494</v>
      </c>
      <c r="FC369" s="230"/>
      <c r="FD369" s="200" t="s">
        <v>621</v>
      </c>
      <c r="FE369" s="98" t="str">
        <f>IF(ISERROR((FD369/FB369-1)*100),"NA",IF(((FD369/FB369-1)*100)&gt;100,"NM",IF(((FD369/FB369-1)*100)&lt;-50,"NM",(FD369/FB369-1)*100)))</f>
        <v>NA</v>
      </c>
      <c r="FF369" s="125">
        <f>+FF368/FF367*100</f>
        <v>24.324324324324326</v>
      </c>
      <c r="FG369" s="98" t="str">
        <f>IF(ISERROR((FF369/FD369-1)*100),"NA",IF(((FF369/FD369-1)*100)&gt;100,"NM",IF(((FF369/FD369-1)*100)&lt;-50,"NM",(FF369/FD369-1)*100)))</f>
        <v>NA</v>
      </c>
      <c r="FH369" s="125">
        <f>+FH368/FH367*100</f>
        <v>48.387096774193552</v>
      </c>
      <c r="FI369" s="98">
        <f>IF(ISERROR((FH369/FF369-1)*100),"NA",IF(((FH369/FF369-1)*100)&gt;100,"NM",IF(((FH369/FF369-1)*100)&lt;-50,"NM",(FH369/FF369-1)*100)))</f>
        <v>98.924731182795696</v>
      </c>
      <c r="FJ369" s="125">
        <f>+FJ368/FJ367*100</f>
        <v>22.314049586776861</v>
      </c>
      <c r="FK369" s="98" t="str">
        <f>IF(ISERROR((FJ369/FH369-1)*100),"NA",IF(((FJ369/FH369-1)*100)&gt;100,"NM",IF(((FJ369/FH369-1)*100)&lt;-50,"NM",(FJ369/FH369-1)*100)))</f>
        <v>NM</v>
      </c>
      <c r="FL369" s="125">
        <f>+FL368/FL367*100</f>
        <v>9.0497737556561084</v>
      </c>
      <c r="FM369" s="98" t="str">
        <f>IF(ISERROR((FL369/FJ369-1)*100),"NA",IF(((FL369/FJ369-1)*100)&gt;100,"NM",IF(((FL369/FJ369-1)*100)&lt;-50,"NM",(FL369/FJ369-1)*100)))</f>
        <v>NM</v>
      </c>
      <c r="FN369" s="125">
        <f>+FN368/FN367*100</f>
        <v>29.565217391304348</v>
      </c>
      <c r="FO369" s="98" t="str">
        <f>IF(ISERROR((FN369/FL369-1)*100),"NA",IF(((FN369/FL369-1)*100)&gt;100,"NM",IF(((FN369/FL369-1)*100)&lt;-50,"NM",(FN369/FL369-1)*100)))</f>
        <v>NM</v>
      </c>
      <c r="FP369" s="125">
        <f>+FP368/FP367*100</f>
        <v>21.01694915254237</v>
      </c>
      <c r="FQ369" s="98">
        <f>IF(ISERROR((FP369/FN369-1)*100),"NA",IF(((FP369/FN369-1)*100)&gt;100,"NM",IF(((FP369/FN369-1)*100)&lt;-50,"NM",(FP369/FN369-1)*100)))</f>
        <v>-28.913260219341986</v>
      </c>
      <c r="FR369" s="130">
        <f>+FR368/FR367*100</f>
        <v>31.736526946107784</v>
      </c>
      <c r="FS369" s="120">
        <f>IF(ISERROR((FR369/FP369-1)*100),"NA",IF(((FR369/FP369-1)*100)&gt;100,"NM",IF(((FR369/FP369-1)*100)&lt;-50,"NM",(FR369/FP369-1)*100)))</f>
        <v>51.00444272744835</v>
      </c>
      <c r="FT369" s="130">
        <f>+FT368/FT367*100</f>
        <v>23.243243243243246</v>
      </c>
      <c r="FU369" s="120">
        <f>IF(ISERROR((FT369/FR369-1)*100),"NA",IF(((FT369/FR369-1)*100)&gt;100,"NM",IF(((FT369/FR369-1)*100)&lt;-50,"NM",(FT369/FR369-1)*100)))</f>
        <v>-26.761856195818446</v>
      </c>
      <c r="FV369" s="130">
        <f>+FV368/FV367*100</f>
        <v>34.91847826086957</v>
      </c>
      <c r="FW369" s="98">
        <f>IF(ISERROR((FV369/FT369-1)*100),"NA",IF(((FV369/FT369-1)*100)&gt;100,"NM",IF(((FV369/FT369-1)*100)&lt;-50,"NM",(FV369/FT369-1)*100)))</f>
        <v>50.230662285136503</v>
      </c>
      <c r="FX369" s="487">
        <f>+FX368/FX367*100</f>
        <v>25.801282051282055</v>
      </c>
      <c r="FY369" s="98">
        <f>IF(ISERROR((FX369/FV369-1)*100),"NA",IF(((FX369/FV369-1)*100)&gt;100,"NM",IF(((FX369/FV369-1)*100)&lt;-50,"NM",(FX369/FV369-1)*100)))</f>
        <v>-26.109947121620269</v>
      </c>
      <c r="FZ369" s="130">
        <f>+FZ368/FZ367*100</f>
        <v>17.745803357314148</v>
      </c>
      <c r="GA369" s="98">
        <f>IF(ISERROR((FZ369/FX369-1)*100),"NA",IF(((FZ369/FX369-1)*100)&gt;100,"NM",IF(((FZ369/FX369-1)*100)&lt;-50,"NM",(FZ369/FX369-1)*100)))</f>
        <v>-31.221234192770019</v>
      </c>
      <c r="GB369" s="487">
        <f>+GB368/GB367*100</f>
        <v>38.329238329238329</v>
      </c>
      <c r="GC369" s="98" t="str">
        <f>IF(ISERROR((GB369/FZ369-1)*100),"NA",IF(((GB369/FZ369-1)*100)&gt;100,"NM",IF(((GB369/FZ369-1)*100)&lt;-50,"NM",(GB369/FZ369-1)*100)))</f>
        <v>NM</v>
      </c>
      <c r="GD369" s="130">
        <f>+GD368/GD367*100</f>
        <v>35.011990407673856</v>
      </c>
      <c r="GE369" s="98">
        <f>IF(ISERROR((GD369/GB369-1)*100),"NA",IF(((GD369/GB369-1)*100)&gt;100,"NM",IF(((GD369/GB369-1)*100)&lt;-50,"NM",(GD369/GB369-1)*100)))</f>
        <v>-8.6546147697226914</v>
      </c>
      <c r="GF369" s="130">
        <f>+GF368/GF367*100</f>
        <v>19.164619164619165</v>
      </c>
      <c r="GG369" s="98">
        <f>IF(ISERROR((GF369/GD369-1)*100),"NA",IF(((GF369/GD369-1)*100)&gt;100,"NM",IF(((GF369/GD369-1)*100)&lt;-50,"NM",(GF369/GD369-1)*100)))</f>
        <v>-45.262697317491828</v>
      </c>
      <c r="GH369" s="130">
        <f>+GH368/GH367*100</f>
        <v>9.2356687898089174</v>
      </c>
      <c r="GI369" s="98" t="str">
        <f>IF(ISERROR((GH369/GF369-1)*100),"NA",IF(((GH369/GF369-1)*100)&gt;100,"NM",IF(((GH369/GF369-1)*100)&lt;-50,"NM",(GH369/GF369-1)*100)))</f>
        <v>NM</v>
      </c>
      <c r="GJ369" s="130">
        <f>+GJ368/GJ367*100</f>
        <v>8.0459770114942533</v>
      </c>
      <c r="GK369" s="98">
        <f>IF(ISERROR((GJ369/GH369-1)*100),"NA",IF(((GJ369/GH369-1)*100)&gt;100,"NM",IF(((GJ369/GH369-1)*100)&lt;-50,"NM",(GJ369/GH369-1)*100)))</f>
        <v>-12.881490289338082</v>
      </c>
      <c r="GL369" s="130">
        <f>+GL368/GL367*100</f>
        <v>13.333333333333334</v>
      </c>
      <c r="GM369" s="98">
        <f>IF(ISERROR((GL369/GJ369-1)*100),"NA",IF(((GL369/GJ369-1)*100)&gt;100,"NM",IF(((GL369/GJ369-1)*100)&lt;-50,"NM",(GL369/GJ369-1)*100)))</f>
        <v>65.714285714285708</v>
      </c>
      <c r="GN369" s="130">
        <f>+GN368/GN367*100</f>
        <v>16.573033707865168</v>
      </c>
      <c r="GO369" s="98">
        <f>IF(ISERROR((GN369/GL369-1)*100),"NA",IF(((GN369/GL369-1)*100)&gt;100,"NM",IF(((GN369/GL369-1)*100)&lt;-50,"NM",(GN369/GL369-1)*100)))</f>
        <v>24.297752808988761</v>
      </c>
      <c r="GP369" s="130">
        <f>+GP368/GP367*100</f>
        <v>14.000000000000012</v>
      </c>
      <c r="GQ369" s="98">
        <f>IF(ISERROR((GP369/GN369-1)*100),"NA",IF(((GP369/GN369-1)*100)&gt;100,"NM",IF(((GP369/GN369-1)*100)&lt;-50,"NM",(GP369/GN369-1)*100)))</f>
        <v>-15.525423728813481</v>
      </c>
      <c r="GR369" s="80">
        <f>GP369</f>
        <v>14.000000000000012</v>
      </c>
      <c r="GS369" s="98">
        <f>IF(ISERROR((GR369/GP369-1)*100),"NA",IF(((GR369/GP369-1)*100)&gt;100,"NM",IF(((GR369/GP369-1)*100)&lt;-50,"NM",(GR369/GP369-1)*100)))</f>
        <v>0</v>
      </c>
      <c r="GT369" s="80">
        <f>GR369</f>
        <v>14.000000000000012</v>
      </c>
      <c r="GU369" s="98">
        <f>IF(ISERROR((GT369/GR369-1)*100),"NA",IF(((GT369/GR369-1)*100)&gt;100,"NM",IF(((GT369/GR369-1)*100)&lt;-50,"NM",(GT369/GR369-1)*100)))</f>
        <v>0</v>
      </c>
      <c r="GV369" s="80">
        <f>GT369</f>
        <v>14.000000000000012</v>
      </c>
      <c r="GW369" s="98">
        <f>IF(ISERROR((GV369/GT369-1)*100),"NA",IF(((GV369/GT369-1)*100)&gt;100,"NM",IF(((GV369/GT369-1)*100)&lt;-50,"NM",(GV369/GT369-1)*100)))</f>
        <v>0</v>
      </c>
      <c r="GX369" s="80">
        <f>GV369</f>
        <v>14.000000000000012</v>
      </c>
      <c r="GY369" s="98">
        <f>IF(ISERROR((GX369/GV369-1)*100),"NA",IF(((GX369/GV369-1)*100)&gt;100,"NM",IF(((GX369/GV369-1)*100)&lt;-50,"NM",(GX369/GV369-1)*100)))</f>
        <v>0</v>
      </c>
      <c r="GZ369" s="98">
        <f t="shared" si="1951"/>
        <v>-3.3180938124662385</v>
      </c>
      <c r="HA369" s="98"/>
      <c r="HB369" s="15"/>
      <c r="HC369"/>
      <c r="HD369"/>
      <c r="HE369"/>
      <c r="HF369"/>
      <c r="HG369"/>
      <c r="HH369"/>
      <c r="HI369" s="10"/>
    </row>
    <row r="370" spans="1:217" s="5" customFormat="1" ht="12.75" customHeight="1" x14ac:dyDescent="0.2">
      <c r="A370" s="2" t="s">
        <v>208</v>
      </c>
      <c r="B370" s="93" t="s">
        <v>28</v>
      </c>
      <c r="C370" s="204">
        <f>+C367-C368</f>
        <v>11</v>
      </c>
      <c r="D370" s="230"/>
      <c r="E370" s="204">
        <f>+E367-E368</f>
        <v>7</v>
      </c>
      <c r="F370" s="230"/>
      <c r="G370" s="204">
        <f>+G367-G368</f>
        <v>5</v>
      </c>
      <c r="H370" s="230"/>
      <c r="I370" s="204">
        <f>+I367-I368</f>
        <v>3</v>
      </c>
      <c r="J370" s="98"/>
      <c r="K370" s="204">
        <f>+K367-K368</f>
        <v>18</v>
      </c>
      <c r="L370" s="98">
        <f t="shared" si="1876"/>
        <v>63.636363636363647</v>
      </c>
      <c r="M370" s="204">
        <f>+M367-M368</f>
        <v>11</v>
      </c>
      <c r="N370" s="98">
        <f t="shared" si="1877"/>
        <v>57.142857142857139</v>
      </c>
      <c r="O370" s="204">
        <f>+O367-O368</f>
        <v>11</v>
      </c>
      <c r="P370" s="98" t="str">
        <f t="shared" si="1878"/>
        <v>NM</v>
      </c>
      <c r="Q370" s="204">
        <f>+Q367-Q368</f>
        <v>-8</v>
      </c>
      <c r="R370" s="98" t="str">
        <f t="shared" si="1879"/>
        <v>NM</v>
      </c>
      <c r="S370" s="204">
        <f>+S367-S368</f>
        <v>14</v>
      </c>
      <c r="T370" s="98">
        <f t="shared" si="1880"/>
        <v>-22.222222222222221</v>
      </c>
      <c r="U370" s="204">
        <f>+U367-U368</f>
        <v>2</v>
      </c>
      <c r="V370" s="98" t="str">
        <f t="shared" si="1881"/>
        <v>NM</v>
      </c>
      <c r="W370" s="204">
        <f>+W367-W368</f>
        <v>40</v>
      </c>
      <c r="X370" s="98" t="str">
        <f t="shared" si="1882"/>
        <v>NM</v>
      </c>
      <c r="Y370" s="204">
        <f>+Y367-Y368</f>
        <v>38</v>
      </c>
      <c r="Z370" s="98" t="str">
        <f t="shared" si="1883"/>
        <v>NM</v>
      </c>
      <c r="AA370" s="204">
        <f>+AA367-AA368</f>
        <v>28</v>
      </c>
      <c r="AB370" s="98">
        <f t="shared" si="1884"/>
        <v>100</v>
      </c>
      <c r="AC370" s="204">
        <f>+AC367-AC368</f>
        <v>102</v>
      </c>
      <c r="AD370" s="98" t="str">
        <f t="shared" si="1885"/>
        <v>NM</v>
      </c>
      <c r="AE370" s="204">
        <f>+AE367-AE368</f>
        <v>37</v>
      </c>
      <c r="AF370" s="98">
        <f t="shared" si="1886"/>
        <v>-7.4999999999999956</v>
      </c>
      <c r="AG370" s="204">
        <f>+AG367-AG368</f>
        <v>34</v>
      </c>
      <c r="AH370" s="98">
        <f t="shared" si="1887"/>
        <v>-10.526315789473683</v>
      </c>
      <c r="AI370" s="204">
        <f>+AI367-AI368</f>
        <v>44</v>
      </c>
      <c r="AJ370" s="98">
        <f t="shared" si="1888"/>
        <v>57.142857142857139</v>
      </c>
      <c r="AK370" s="204">
        <f>+AK367-AK368</f>
        <v>41</v>
      </c>
      <c r="AL370" s="98" t="str">
        <f t="shared" si="1889"/>
        <v>NM</v>
      </c>
      <c r="AM370" s="204">
        <f>+AM367-AM368</f>
        <v>47</v>
      </c>
      <c r="AN370" s="98">
        <f t="shared" si="1890"/>
        <v>27.027027027027017</v>
      </c>
      <c r="AO370" s="204">
        <f>+AO367-AO368</f>
        <v>30</v>
      </c>
      <c r="AP370" s="98">
        <f t="shared" si="1891"/>
        <v>-11.764705882352944</v>
      </c>
      <c r="AQ370" s="204">
        <f>+AQ367-AQ368</f>
        <v>68</v>
      </c>
      <c r="AR370" s="98">
        <f t="shared" si="1892"/>
        <v>54.54545454545454</v>
      </c>
      <c r="AS370" s="204">
        <f>+AS367-AS368</f>
        <v>51</v>
      </c>
      <c r="AT370" s="98">
        <f t="shared" si="1893"/>
        <v>24.390243902439025</v>
      </c>
      <c r="AU370" s="204">
        <f>+AU367-AU368</f>
        <v>66</v>
      </c>
      <c r="AV370" s="98">
        <f t="shared" si="1894"/>
        <v>40.425531914893618</v>
      </c>
      <c r="AW370" s="204">
        <f>+AW367-AW368</f>
        <v>48</v>
      </c>
      <c r="AX370" s="98">
        <f t="shared" si="1895"/>
        <v>60.000000000000007</v>
      </c>
      <c r="AY370" s="204">
        <f>+AY367-AY368</f>
        <v>76</v>
      </c>
      <c r="AZ370" s="98">
        <f t="shared" si="1896"/>
        <v>11.764705882352944</v>
      </c>
      <c r="BA370" s="204">
        <f>+BA367-BA368</f>
        <v>64</v>
      </c>
      <c r="BB370" s="98">
        <f t="shared" si="1897"/>
        <v>25.490196078431371</v>
      </c>
      <c r="BC370" s="204">
        <f>+BC367-BC368</f>
        <v>72</v>
      </c>
      <c r="BD370" s="98">
        <f t="shared" si="1898"/>
        <v>9.0909090909090828</v>
      </c>
      <c r="BE370" s="204">
        <f>+BE367-BE368</f>
        <v>16</v>
      </c>
      <c r="BF370" s="98" t="str">
        <f t="shared" si="1899"/>
        <v>NM</v>
      </c>
      <c r="BG370" s="204">
        <f>+BG367-BG368</f>
        <v>124</v>
      </c>
      <c r="BH370" s="98">
        <f t="shared" si="1900"/>
        <v>63.157894736842103</v>
      </c>
      <c r="BI370" s="204">
        <f>+BI367-BI368</f>
        <v>117</v>
      </c>
      <c r="BJ370" s="98">
        <f t="shared" si="1901"/>
        <v>82.8125</v>
      </c>
      <c r="BK370" s="204">
        <f>+BK367-BK368</f>
        <v>134</v>
      </c>
      <c r="BL370" s="98">
        <f t="shared" si="1902"/>
        <v>86.111111111111114</v>
      </c>
      <c r="BM370" s="204">
        <f>+BM367-BM368</f>
        <v>193</v>
      </c>
      <c r="BN370" s="98" t="str">
        <f t="shared" si="1903"/>
        <v>NM</v>
      </c>
      <c r="BO370" s="204">
        <f>+BO367-BO368</f>
        <v>136</v>
      </c>
      <c r="BP370" s="98">
        <f t="shared" si="1904"/>
        <v>9.6774193548387011</v>
      </c>
      <c r="BQ370" s="204">
        <f>+BQ367-BQ368</f>
        <v>147</v>
      </c>
      <c r="BR370" s="98">
        <f t="shared" si="1905"/>
        <v>25.641025641025639</v>
      </c>
      <c r="BS370" s="204">
        <f>+BS367-BS368</f>
        <v>144</v>
      </c>
      <c r="BT370" s="98">
        <f t="shared" si="1906"/>
        <v>7.4626865671641784</v>
      </c>
      <c r="BU370" s="204">
        <f>+BU367-BU368</f>
        <v>78</v>
      </c>
      <c r="BV370" s="98" t="str">
        <f t="shared" si="1907"/>
        <v>NM</v>
      </c>
      <c r="BW370" s="204">
        <f>+BW367-BW368</f>
        <v>131</v>
      </c>
      <c r="BX370" s="98">
        <f t="shared" si="1908"/>
        <v>-3.6764705882352922</v>
      </c>
      <c r="BY370" s="204">
        <f>+BY367-BY368</f>
        <v>158</v>
      </c>
      <c r="BZ370" s="98">
        <f t="shared" si="1909"/>
        <v>7.4829931972789199</v>
      </c>
      <c r="CA370" s="204">
        <f>+CA367-CA368</f>
        <v>153</v>
      </c>
      <c r="CB370" s="98">
        <f t="shared" si="1910"/>
        <v>6.25</v>
      </c>
      <c r="CC370" s="204">
        <f>+CC367-CC368</f>
        <v>21</v>
      </c>
      <c r="CD370" s="98" t="str">
        <f t="shared" si="1911"/>
        <v>NM</v>
      </c>
      <c r="CE370" s="204">
        <f>+CE367-CE368</f>
        <v>147</v>
      </c>
      <c r="CF370" s="98">
        <f t="shared" si="1912"/>
        <v>12.213740458015266</v>
      </c>
      <c r="CG370" s="204">
        <f>+CG367-CG368</f>
        <v>142</v>
      </c>
      <c r="CH370" s="98">
        <f t="shared" si="1913"/>
        <v>-10.126582278481012</v>
      </c>
      <c r="CI370" s="204">
        <f>+CI367-CI368</f>
        <v>189</v>
      </c>
      <c r="CJ370" s="98">
        <f t="shared" si="1914"/>
        <v>23.529411764705888</v>
      </c>
      <c r="CK370" s="204">
        <f>+CK367-CK368</f>
        <v>208</v>
      </c>
      <c r="CL370" s="98" t="str">
        <f t="shared" si="1915"/>
        <v>NM</v>
      </c>
      <c r="CM370" s="204">
        <f>+CM367-CM368</f>
        <v>79</v>
      </c>
      <c r="CN370" s="98">
        <f t="shared" si="1916"/>
        <v>-46.258503401360542</v>
      </c>
      <c r="CO370" s="204">
        <f>+CO367-CO368</f>
        <v>64</v>
      </c>
      <c r="CP370" s="98" t="str">
        <f t="shared" si="1917"/>
        <v>NM</v>
      </c>
      <c r="CQ370" s="505">
        <f>+CQ367-CQ368</f>
        <v>65</v>
      </c>
      <c r="CR370" s="98" t="str">
        <f t="shared" si="1918"/>
        <v>NM</v>
      </c>
      <c r="CS370" s="204">
        <f>+CS367-CS368</f>
        <v>47</v>
      </c>
      <c r="CT370" s="98" t="str">
        <f t="shared" si="1919"/>
        <v>NM</v>
      </c>
      <c r="CU370" s="204">
        <f>+CU367-CU368</f>
        <v>72</v>
      </c>
      <c r="CV370" s="98">
        <f t="shared" si="1920"/>
        <v>-8.8607594936708889</v>
      </c>
      <c r="CW370" s="204">
        <f>+CW367-CW368</f>
        <v>78</v>
      </c>
      <c r="CX370" s="98">
        <f t="shared" si="1921"/>
        <v>21.875</v>
      </c>
      <c r="CY370" s="204">
        <f>+CY367-CY368</f>
        <v>62</v>
      </c>
      <c r="CZ370" s="98">
        <f t="shared" si="1922"/>
        <v>-4.6153846153846096</v>
      </c>
      <c r="DA370" s="204">
        <f>+DA367-DA368</f>
        <v>59</v>
      </c>
      <c r="DB370" s="98">
        <f t="shared" si="1923"/>
        <v>25.531914893617014</v>
      </c>
      <c r="DC370" s="204">
        <f>+DC367-DC368</f>
        <v>87</v>
      </c>
      <c r="DD370" s="98">
        <f t="shared" si="1924"/>
        <v>20.833333333333325</v>
      </c>
      <c r="DE370" s="204">
        <f>+DE367-DE368</f>
        <v>68</v>
      </c>
      <c r="DF370" s="98">
        <f t="shared" si="1925"/>
        <v>-12.820512820512819</v>
      </c>
      <c r="DG370" s="204">
        <f>+DG367-DG368</f>
        <v>85</v>
      </c>
      <c r="DH370" s="98">
        <f t="shared" si="1926"/>
        <v>37.096774193548377</v>
      </c>
      <c r="DI370" s="204">
        <f>+DI367-DI368</f>
        <v>89</v>
      </c>
      <c r="DJ370" s="98">
        <f t="shared" si="1927"/>
        <v>50.847457627118644</v>
      </c>
      <c r="DK370" s="204">
        <f>+DK367-DK368</f>
        <v>71</v>
      </c>
      <c r="DL370" s="98">
        <f t="shared" si="1928"/>
        <v>-18.390804597701148</v>
      </c>
      <c r="DM370" s="204">
        <f>+DM367-DM368</f>
        <v>72</v>
      </c>
      <c r="DN370" s="98">
        <f t="shared" si="1929"/>
        <v>5.8823529411764719</v>
      </c>
      <c r="DO370" s="204">
        <f>+DO367-DO368</f>
        <v>78</v>
      </c>
      <c r="DP370" s="98">
        <f t="shared" si="1930"/>
        <v>-8.2352941176470633</v>
      </c>
      <c r="DQ370" s="204">
        <f>+DQ367-DQ368</f>
        <v>64</v>
      </c>
      <c r="DR370" s="98">
        <f t="shared" si="1931"/>
        <v>-28.08988764044944</v>
      </c>
      <c r="DS370" s="204">
        <f>+DS367-DS368</f>
        <v>70</v>
      </c>
      <c r="DT370" s="98">
        <f t="shared" si="1932"/>
        <v>-1.4084507042253502</v>
      </c>
      <c r="DU370" s="204">
        <f>+DU367-DU368</f>
        <v>50</v>
      </c>
      <c r="DV370" s="98">
        <f t="shared" si="1933"/>
        <v>-30.555555555555557</v>
      </c>
      <c r="DW370" s="204">
        <f>+DW367-DW368</f>
        <v>66</v>
      </c>
      <c r="DX370" s="98">
        <f t="shared" si="1934"/>
        <v>-15.384615384615385</v>
      </c>
      <c r="DY370" s="204">
        <f>+DY367-DY368</f>
        <v>54</v>
      </c>
      <c r="DZ370" s="98">
        <f t="shared" si="1935"/>
        <v>-15.625</v>
      </c>
      <c r="EA370" s="204">
        <f>+EA367-EA368</f>
        <v>63</v>
      </c>
      <c r="EB370" s="98">
        <f t="shared" si="1936"/>
        <v>-9.9999999999999982</v>
      </c>
      <c r="EC370" s="204">
        <f>+EC367-EC368</f>
        <v>64</v>
      </c>
      <c r="ED370" s="98">
        <f t="shared" si="1937"/>
        <v>28.000000000000004</v>
      </c>
      <c r="EE370" s="204">
        <f>+EE367-EE368</f>
        <v>74</v>
      </c>
      <c r="EF370" s="860">
        <f t="shared" si="1938"/>
        <v>12.12121212121211</v>
      </c>
      <c r="EG370" s="204">
        <f>+EG367-EG368</f>
        <v>72</v>
      </c>
      <c r="EH370" s="860">
        <f t="shared" si="1939"/>
        <v>33.333333333333329</v>
      </c>
      <c r="EI370" s="204">
        <f>+EI367-EI368</f>
        <v>75</v>
      </c>
      <c r="EJ370" s="860">
        <f t="shared" si="1940"/>
        <v>19.047619047619047</v>
      </c>
      <c r="EK370" s="204">
        <f>+EK367-EK368</f>
        <v>72</v>
      </c>
      <c r="EL370" s="860">
        <f t="shared" si="1941"/>
        <v>12.5</v>
      </c>
      <c r="EM370" s="204">
        <f>+EM367-EM368</f>
        <v>71</v>
      </c>
      <c r="EN370" s="860">
        <f t="shared" si="1942"/>
        <v>-4.0540540540540571</v>
      </c>
      <c r="EO370" s="204">
        <f>+EO367-EO368</f>
        <v>79</v>
      </c>
      <c r="EP370" s="98">
        <f t="shared" si="1943"/>
        <v>9.7222222222222321</v>
      </c>
      <c r="EQ370" s="1028">
        <f t="shared" ref="EQ370" si="1959">+EQ367-EQ368</f>
        <v>77.266012000000003</v>
      </c>
      <c r="ER370" s="98">
        <f t="shared" si="1944"/>
        <v>3.0213493333333341</v>
      </c>
      <c r="ES370" s="1028">
        <f t="shared" ref="ES370" si="1960">+ES367-ES368</f>
        <v>78.475265740000012</v>
      </c>
      <c r="ET370" s="98">
        <f t="shared" si="1946"/>
        <v>8.9934246388889036</v>
      </c>
      <c r="EU370" s="1028">
        <f t="shared" ref="EU370" si="1961">+EU367-EU368</f>
        <v>79.703663557300032</v>
      </c>
      <c r="EV370" s="98">
        <f t="shared" si="1948"/>
        <v>12.258681066619758</v>
      </c>
      <c r="EW370" s="1028">
        <f t="shared" ref="EW370" si="1962">+EW367-EW368</f>
        <v>80.951512718483372</v>
      </c>
      <c r="EX370" s="98">
        <f t="shared" si="1950"/>
        <v>2.4702692639029911</v>
      </c>
      <c r="EY370" s="204"/>
      <c r="EZ370" s="594"/>
      <c r="FA370" s="405"/>
      <c r="FB370" s="200" t="s">
        <v>494</v>
      </c>
      <c r="FC370" s="230"/>
      <c r="FD370" s="183">
        <f>+FD367-FD368</f>
        <v>18</v>
      </c>
      <c r="FE370" s="98" t="str">
        <f>IF(ISERROR((FD370/FB370-1)*100),"NA",IF(((FD370/FB370-1)*100)&gt;100,"NM",IF(((FD370/FB370-1)*100)&lt;-50,"NM",(FD370/FB370-1)*100)))</f>
        <v>NA</v>
      </c>
      <c r="FF370" s="183">
        <f>+FF367-FF368</f>
        <v>28</v>
      </c>
      <c r="FG370" s="98">
        <f>IF(ISERROR((FF370/FD370-1)*100),"NA",IF(((FF370/FD370-1)*100)&gt;100,"NM",IF(((FF370/FD370-1)*100)&lt;-50,"NM",(FF370/FD370-1)*100)))</f>
        <v>55.555555555555557</v>
      </c>
      <c r="FH370" s="183">
        <f>+FH367-FH368</f>
        <v>32</v>
      </c>
      <c r="FI370" s="98">
        <f>IF(ISERROR((FH370/FF370-1)*100),"NA",IF(((FH370/FF370-1)*100)&gt;100,"NM",IF(((FH370/FF370-1)*100)&lt;-50,"NM",(FH370/FF370-1)*100)))</f>
        <v>14.285714285714279</v>
      </c>
      <c r="FJ370" s="183">
        <f>+FJ367-FJ368</f>
        <v>94</v>
      </c>
      <c r="FK370" s="98" t="str">
        <f>IF(ISERROR((FJ370/FH370-1)*100),"NA",IF(((FJ370/FH370-1)*100)&gt;100,"NM",IF(((FJ370/FH370-1)*100)&lt;-50,"NM",(FJ370/FH370-1)*100)))</f>
        <v>NM</v>
      </c>
      <c r="FL370" s="183">
        <f>+FL367-FL368</f>
        <v>201</v>
      </c>
      <c r="FM370" s="98" t="str">
        <f>IF(ISERROR((FL370/FJ370-1)*100),"NA",IF(((FL370/FJ370-1)*100)&gt;100,"NM",IF(((FL370/FJ370-1)*100)&lt;-50,"NM",(FL370/FJ370-1)*100)))</f>
        <v>NM</v>
      </c>
      <c r="FN370" s="183">
        <f>+FN367-FN368</f>
        <v>162</v>
      </c>
      <c r="FO370" s="98">
        <f>IF(ISERROR((FN370/FL370-1)*100),"NA",IF(((FN370/FL370-1)*100)&gt;100,"NM",IF(((FN370/FL370-1)*100)&lt;-50,"NM",(FN370/FL370-1)*100)))</f>
        <v>-19.402985074626866</v>
      </c>
      <c r="FP370" s="183">
        <f>+FP367-FP368</f>
        <v>233</v>
      </c>
      <c r="FQ370" s="98">
        <f>IF(ISERROR((FP370/FN370-1)*100),"NA",IF(((FP370/FN370-1)*100)&gt;100,"NM",IF(((FP370/FN370-1)*100)&lt;-50,"NM",(FP370/FN370-1)*100)))</f>
        <v>43.827160493827158</v>
      </c>
      <c r="FR370" s="205">
        <f>+FR367-FR368</f>
        <v>228</v>
      </c>
      <c r="FS370" s="120">
        <f>IF(ISERROR((FR370/FP370-1)*100),"NA",IF(((FR370/FP370-1)*100)&gt;100,"NM",IF(((FR370/FP370-1)*100)&lt;-50,"NM",(FR370/FP370-1)*100)))</f>
        <v>-2.1459227467811148</v>
      </c>
      <c r="FT370" s="205">
        <f>+FT367-FT368</f>
        <v>568</v>
      </c>
      <c r="FU370" s="120" t="str">
        <f>IF(ISERROR((FT370/FR370-1)*100),"NA",IF(((FT370/FR370-1)*100)&gt;100,"NM",IF(((FT370/FR370-1)*100)&lt;-50,"NM",(FT370/FR370-1)*100)))</f>
        <v>NM</v>
      </c>
      <c r="FV370" s="205">
        <f>+FV367-FV368</f>
        <v>479</v>
      </c>
      <c r="FW370" s="98">
        <f>IF(ISERROR((FV370/FT370-1)*100),"NA",IF(((FV370/FT370-1)*100)&gt;100,"NM",IF(((FV370/FT370-1)*100)&lt;-50,"NM",(FV370/FT370-1)*100)))</f>
        <v>-15.669014084507038</v>
      </c>
      <c r="FX370" s="503">
        <f>+FX367-FX368</f>
        <v>463</v>
      </c>
      <c r="FY370" s="98">
        <f>IF(ISERROR((FX370/FV370-1)*100),"NA",IF(((FX370/FV370-1)*100)&gt;100,"NM",IF(((FX370/FV370-1)*100)&lt;-50,"NM",(FX370/FV370-1)*100)))</f>
        <v>-3.3402922755741082</v>
      </c>
      <c r="FZ370" s="205">
        <f>+FZ367-FZ368</f>
        <v>686</v>
      </c>
      <c r="GA370" s="98">
        <f>IF(ISERROR((FZ370/FX370-1)*100),"NA",IF(((FZ370/FX370-1)*100)&gt;100,"NM",IF(((FZ370/FX370-1)*100)&lt;-50,"NM",(FZ370/FX370-1)*100)))</f>
        <v>48.164146868250548</v>
      </c>
      <c r="GB370" s="503">
        <f>+GB367-GB368</f>
        <v>251</v>
      </c>
      <c r="GC370" s="98" t="str">
        <f>IF(ISERROR((GB370/FZ370-1)*100),"NA",IF(((GB370/FZ370-1)*100)&gt;100,"NM",IF(((GB370/FZ370-1)*100)&lt;-50,"NM",(GB370/FZ370-1)*100)))</f>
        <v>NM</v>
      </c>
      <c r="GD370" s="205">
        <f>+GD367-GD368</f>
        <v>271</v>
      </c>
      <c r="GE370" s="98">
        <f>IF(ISERROR((GD370/GB370-1)*100),"NA",IF(((GD370/GB370-1)*100)&gt;100,"NM",IF(((GD370/GB370-1)*100)&lt;-50,"NM",(GD370/GB370-1)*100)))</f>
        <v>7.9681274900398336</v>
      </c>
      <c r="GF370" s="205">
        <f>+GF367-GF368</f>
        <v>329</v>
      </c>
      <c r="GG370" s="98">
        <f>IF(ISERROR((GF370/GD370-1)*100),"NA",IF(((GF370/GD370-1)*100)&gt;100,"NM",IF(((GF370/GD370-1)*100)&lt;-50,"NM",(GF370/GD370-1)*100)))</f>
        <v>21.402214022140221</v>
      </c>
      <c r="GH370" s="205">
        <f>+GH367-GH368</f>
        <v>285</v>
      </c>
      <c r="GI370" s="98">
        <f>IF(ISERROR((GH370/GF370-1)*100),"NA",IF(((GH370/GF370-1)*100)&gt;100,"NM",IF(((GH370/GF370-1)*100)&lt;-50,"NM",(GH370/GF370-1)*100)))</f>
        <v>-13.373860182370823</v>
      </c>
      <c r="GJ370" s="205">
        <f>+GJ367-GJ368</f>
        <v>240</v>
      </c>
      <c r="GK370" s="98">
        <f>IF(ISERROR((GJ370/GH370-1)*100),"NA",IF(((GJ370/GH370-1)*100)&gt;100,"NM",IF(((GJ370/GH370-1)*100)&lt;-50,"NM",(GJ370/GH370-1)*100)))</f>
        <v>-15.789473684210531</v>
      </c>
      <c r="GL370" s="205">
        <f>+GL367-GL368</f>
        <v>273</v>
      </c>
      <c r="GM370" s="98">
        <f>IF(ISERROR((GL370/GJ370-1)*100),"NA",IF(((GL370/GJ370-1)*100)&gt;100,"NM",IF(((GL370/GJ370-1)*100)&lt;-50,"NM",(GL370/GJ370-1)*100)))</f>
        <v>13.749999999999996</v>
      </c>
      <c r="GN370" s="205">
        <f>+GN367-GN368</f>
        <v>297</v>
      </c>
      <c r="GO370" s="98">
        <f>IF(ISERROR((GN370/GL370-1)*100),"NA",IF(((GN370/GL370-1)*100)&gt;100,"NM",IF(((GN370/GL370-1)*100)&lt;-50,"NM",(GN370/GL370-1)*100)))</f>
        <v>8.7912087912087813</v>
      </c>
      <c r="GP370" s="205">
        <f>+GP367-GP368</f>
        <v>316.39645401578309</v>
      </c>
      <c r="GQ370" s="98">
        <f>IF(ISERROR((GP370/GN370-1)*100),"NA",IF(((GP370/GN370-1)*100)&gt;100,"NM",IF(((GP370/GN370-1)*100)&lt;-50,"NM",(GP370/GN370-1)*100)))</f>
        <v>6.5307925979067649</v>
      </c>
      <c r="GR370" s="204">
        <f>+GR367-GR368</f>
        <v>369.42719461907711</v>
      </c>
      <c r="GS370" s="98">
        <f>IF(ISERROR((GR370/GP370-1)*100),"NA",IF(((GR370/GP370-1)*100)&gt;100,"NM",IF(((GR370/GP370-1)*100)&lt;-50,"NM",(GR370/GP370-1)*100)))</f>
        <v>16.760851751090943</v>
      </c>
      <c r="GT370" s="204">
        <f>+GT367-GT368</f>
        <v>402.67564213479449</v>
      </c>
      <c r="GU370" s="98">
        <f>IF(ISERROR((GT370/GR370-1)*100),"NA",IF(((GT370/GR370-1)*100)&gt;100,"NM",IF(((GT370/GR370-1)*100)&lt;-50,"NM",(GT370/GR370-1)*100)))</f>
        <v>9.000000000000119</v>
      </c>
      <c r="GV370" s="204">
        <f>+GV367-GV368</f>
        <v>438.91644992692551</v>
      </c>
      <c r="GW370" s="98">
        <f>IF(ISERROR((GV370/GT370-1)*100),"NA",IF(((GV370/GT370-1)*100)&gt;100,"NM",IF(((GV370/GT370-1)*100)&lt;-50,"NM",(GV370/GT370-1)*100)))</f>
        <v>8.9999999999998757</v>
      </c>
      <c r="GX370" s="204">
        <f>+GX367-GX368</f>
        <v>451.52328848730298</v>
      </c>
      <c r="GY370" s="98">
        <f>IF(ISERROR((GX370/GV370-1)*100),"NA",IF(((GX370/GV370-1)*100)&gt;100,"NM",IF(((GX370/GV370-1)*100)&lt;-50,"NM",(GX370/GV370-1)*100)))</f>
        <v>2.8722638585262361</v>
      </c>
      <c r="GZ370" s="98">
        <f t="shared" si="1951"/>
        <v>8.7388513709953699</v>
      </c>
      <c r="HA370" s="98"/>
      <c r="HB370" s="15"/>
      <c r="HC370"/>
      <c r="HD370"/>
      <c r="HE370"/>
      <c r="HF370"/>
      <c r="HG370"/>
      <c r="HH370"/>
      <c r="HI370" s="10"/>
    </row>
    <row r="371" spans="1:217" s="10" customFormat="1" ht="12.75" customHeight="1" x14ac:dyDescent="0.2">
      <c r="B371" s="102" t="s">
        <v>60</v>
      </c>
      <c r="C371" s="231"/>
      <c r="D371" s="98"/>
      <c r="E371" s="231"/>
      <c r="F371" s="98"/>
      <c r="G371" s="231"/>
      <c r="H371" s="98"/>
      <c r="I371" s="231"/>
      <c r="J371" s="98"/>
      <c r="K371" s="231"/>
      <c r="L371" s="98"/>
      <c r="M371" s="231"/>
      <c r="N371" s="98"/>
      <c r="O371" s="231"/>
      <c r="P371" s="98"/>
      <c r="Q371" s="231"/>
      <c r="R371" s="98"/>
      <c r="S371" s="231"/>
      <c r="T371" s="98"/>
      <c r="U371" s="231"/>
      <c r="V371" s="98"/>
      <c r="W371" s="231"/>
      <c r="X371" s="98"/>
      <c r="Y371" s="231"/>
      <c r="Z371" s="98"/>
      <c r="AA371" s="231"/>
      <c r="AB371" s="98"/>
      <c r="AC371" s="231"/>
      <c r="AD371" s="98"/>
      <c r="AE371" s="231"/>
      <c r="AF371" s="98"/>
      <c r="AG371" s="231"/>
      <c r="AH371" s="98"/>
      <c r="AI371" s="231"/>
      <c r="AJ371" s="98"/>
      <c r="AK371" s="112"/>
      <c r="AL371" s="98"/>
      <c r="AM371" s="112">
        <v>8</v>
      </c>
      <c r="AN371" s="98" t="str">
        <f t="shared" si="1890"/>
        <v>NA</v>
      </c>
      <c r="AO371" s="112">
        <v>0</v>
      </c>
      <c r="AP371" s="98" t="str">
        <f t="shared" si="1891"/>
        <v>NA</v>
      </c>
      <c r="AQ371" s="221">
        <v>17</v>
      </c>
      <c r="AR371" s="98" t="str">
        <f t="shared" si="1892"/>
        <v>NA</v>
      </c>
      <c r="AS371" s="112"/>
      <c r="AT371" s="98" t="str">
        <f t="shared" si="1893"/>
        <v>NA</v>
      </c>
      <c r="AU371" s="221">
        <v>13</v>
      </c>
      <c r="AV371" s="98">
        <f t="shared" si="1894"/>
        <v>62.5</v>
      </c>
      <c r="AW371" s="221">
        <v>-5</v>
      </c>
      <c r="AX371" s="98" t="str">
        <f t="shared" si="1895"/>
        <v>NA</v>
      </c>
      <c r="AY371" s="221">
        <v>12</v>
      </c>
      <c r="AZ371" s="98">
        <f t="shared" si="1896"/>
        <v>-29.411764705882348</v>
      </c>
      <c r="BA371" s="221">
        <v>-9</v>
      </c>
      <c r="BB371" s="98" t="str">
        <f t="shared" si="1897"/>
        <v>NA</v>
      </c>
      <c r="BC371" s="221">
        <f>-9+5</f>
        <v>-4</v>
      </c>
      <c r="BD371" s="98" t="str">
        <f t="shared" si="1898"/>
        <v>NM</v>
      </c>
      <c r="BE371" s="221">
        <f>-16-61-9+38</f>
        <v>-48</v>
      </c>
      <c r="BF371" s="98" t="str">
        <f t="shared" si="1899"/>
        <v>NM</v>
      </c>
      <c r="BG371" s="221">
        <f>9+8</f>
        <v>17</v>
      </c>
      <c r="BH371" s="98">
        <f t="shared" si="1900"/>
        <v>41.666666666666671</v>
      </c>
      <c r="BI371" s="221">
        <v>11</v>
      </c>
      <c r="BJ371" s="98" t="str">
        <f t="shared" si="1901"/>
        <v>NM</v>
      </c>
      <c r="BK371" s="221">
        <f>10+8+7</f>
        <v>25</v>
      </c>
      <c r="BL371" s="98" t="str">
        <f t="shared" si="1902"/>
        <v>NM</v>
      </c>
      <c r="BM371" s="221">
        <f>51+54-9</f>
        <v>96</v>
      </c>
      <c r="BN371" s="98" t="str">
        <f t="shared" si="1903"/>
        <v>NM</v>
      </c>
      <c r="BO371" s="221">
        <f>-25+15+24</f>
        <v>14</v>
      </c>
      <c r="BP371" s="98">
        <f t="shared" si="1904"/>
        <v>-17.647058823529417</v>
      </c>
      <c r="BQ371" s="221">
        <v>0</v>
      </c>
      <c r="BR371" s="98" t="str">
        <f t="shared" si="1905"/>
        <v>NM</v>
      </c>
      <c r="BS371" s="221">
        <f>24-7</f>
        <v>17</v>
      </c>
      <c r="BT371" s="98">
        <f t="shared" si="1906"/>
        <v>-31.999999999999996</v>
      </c>
      <c r="BU371" s="221">
        <v>-13</v>
      </c>
      <c r="BV371" s="98" t="str">
        <f t="shared" si="1907"/>
        <v>NM</v>
      </c>
      <c r="BW371" s="221">
        <f>-34-28+95</f>
        <v>33</v>
      </c>
      <c r="BX371" s="98" t="str">
        <f t="shared" si="1908"/>
        <v>NM</v>
      </c>
      <c r="BY371" s="221">
        <v>17</v>
      </c>
      <c r="BZ371" s="98" t="str">
        <f t="shared" si="1909"/>
        <v>NA</v>
      </c>
      <c r="CA371" s="221">
        <f>15+6+7-14</f>
        <v>14</v>
      </c>
      <c r="CB371" s="98">
        <f t="shared" si="1910"/>
        <v>-17.647058823529417</v>
      </c>
      <c r="CC371" s="221">
        <f>-104+9</f>
        <v>-95</v>
      </c>
      <c r="CD371" s="98" t="str">
        <f t="shared" si="1911"/>
        <v>NM</v>
      </c>
      <c r="CE371" s="221">
        <v>-13</v>
      </c>
      <c r="CF371" s="98" t="str">
        <f t="shared" si="1912"/>
        <v>NM</v>
      </c>
      <c r="CG371" s="221">
        <v>-11</v>
      </c>
      <c r="CH371" s="98" t="str">
        <f t="shared" si="1913"/>
        <v>NM</v>
      </c>
      <c r="CI371" s="221">
        <v>45</v>
      </c>
      <c r="CJ371" s="98" t="str">
        <f t="shared" si="1914"/>
        <v>NM</v>
      </c>
      <c r="CK371" s="221">
        <f>15+22-3</f>
        <v>34</v>
      </c>
      <c r="CL371" s="98" t="str">
        <f t="shared" si="1915"/>
        <v>NM</v>
      </c>
      <c r="CM371" s="221">
        <v>0</v>
      </c>
      <c r="CN371" s="98" t="str">
        <f t="shared" si="1916"/>
        <v>NM</v>
      </c>
      <c r="CO371" s="221">
        <v>0</v>
      </c>
      <c r="CP371" s="98" t="str">
        <f t="shared" si="1917"/>
        <v>NM</v>
      </c>
      <c r="CQ371" s="556">
        <v>0</v>
      </c>
      <c r="CR371" s="98" t="str">
        <f t="shared" si="1918"/>
        <v>NM</v>
      </c>
      <c r="CS371" s="221">
        <v>0</v>
      </c>
      <c r="CT371" s="98" t="str">
        <f t="shared" si="1919"/>
        <v>NM</v>
      </c>
      <c r="CU371" s="221">
        <v>0</v>
      </c>
      <c r="CV371" s="98" t="str">
        <f t="shared" si="1920"/>
        <v>NA</v>
      </c>
      <c r="CW371" s="221">
        <v>12</v>
      </c>
      <c r="CX371" s="98" t="str">
        <f t="shared" si="1921"/>
        <v>NA</v>
      </c>
      <c r="CY371" s="221">
        <v>0</v>
      </c>
      <c r="CZ371" s="98" t="str">
        <f t="shared" si="1922"/>
        <v>NA</v>
      </c>
      <c r="DA371" s="221">
        <v>0</v>
      </c>
      <c r="DB371" s="98" t="str">
        <f t="shared" si="1923"/>
        <v>NA</v>
      </c>
      <c r="DC371" s="221">
        <v>0</v>
      </c>
      <c r="DD371" s="98" t="str">
        <f t="shared" si="1924"/>
        <v>NA</v>
      </c>
      <c r="DE371" s="221">
        <f>-26+22</f>
        <v>-4</v>
      </c>
      <c r="DF371" s="98" t="str">
        <f t="shared" si="1925"/>
        <v>NM</v>
      </c>
      <c r="DG371" s="221">
        <v>4</v>
      </c>
      <c r="DH371" s="98" t="str">
        <f t="shared" si="1926"/>
        <v>NA</v>
      </c>
      <c r="DI371" s="221">
        <v>11</v>
      </c>
      <c r="DJ371" s="98" t="str">
        <f t="shared" si="1927"/>
        <v>NA</v>
      </c>
      <c r="DK371" s="221">
        <v>0</v>
      </c>
      <c r="DL371" s="98" t="str">
        <f t="shared" si="1928"/>
        <v>NA</v>
      </c>
      <c r="DM371" s="221">
        <v>0</v>
      </c>
      <c r="DN371" s="98" t="str">
        <f t="shared" si="1929"/>
        <v>NM</v>
      </c>
      <c r="DO371" s="221">
        <v>10</v>
      </c>
      <c r="DP371" s="98" t="str">
        <f t="shared" si="1930"/>
        <v>NM</v>
      </c>
      <c r="DQ371" s="221">
        <v>14</v>
      </c>
      <c r="DR371" s="98">
        <f t="shared" si="1931"/>
        <v>27.27272727272727</v>
      </c>
      <c r="DS371" s="221">
        <v>0</v>
      </c>
      <c r="DT371" s="98" t="str">
        <f t="shared" si="1932"/>
        <v>NA</v>
      </c>
      <c r="DU371" s="221">
        <v>0</v>
      </c>
      <c r="DV371" s="98" t="str">
        <f t="shared" si="1933"/>
        <v>NA</v>
      </c>
      <c r="DW371" s="221">
        <v>6</v>
      </c>
      <c r="DX371" s="98">
        <f t="shared" si="1934"/>
        <v>-40</v>
      </c>
      <c r="DY371" s="221">
        <v>0</v>
      </c>
      <c r="DZ371" s="98" t="str">
        <f t="shared" si="1935"/>
        <v>NM</v>
      </c>
      <c r="EA371" s="221">
        <v>0</v>
      </c>
      <c r="EB371" s="98" t="str">
        <f t="shared" si="1936"/>
        <v>NA</v>
      </c>
      <c r="EC371" s="221">
        <v>0</v>
      </c>
      <c r="ED371" s="98" t="str">
        <f t="shared" si="1937"/>
        <v>NA</v>
      </c>
      <c r="EE371" s="221">
        <v>-15.5</v>
      </c>
      <c r="EF371" s="860" t="str">
        <f t="shared" si="1938"/>
        <v>NM</v>
      </c>
      <c r="EG371" s="221">
        <v>0</v>
      </c>
      <c r="EH371" s="860" t="str">
        <f t="shared" si="1939"/>
        <v>NA</v>
      </c>
      <c r="EI371" s="221">
        <v>0</v>
      </c>
      <c r="EJ371" s="860" t="str">
        <f t="shared" ref="EJ371:EJ373" si="1963">IF(ISERROR((EI371/EA371-1)*100),"NA",IF(((EI371/EA371-1)*100)&gt;100,"NM",IF(((EI371/EA371-1)*100)&lt;-50,"NM",(EI371/EA371-1)*100)))</f>
        <v>NA</v>
      </c>
      <c r="EK371" s="221">
        <v>0</v>
      </c>
      <c r="EL371" s="860" t="str">
        <f t="shared" ref="EL371:EL373" si="1964">IF(ISERROR((EK371/EC371-1)*100),"NA",IF(((EK371/EC371-1)*100)&gt;100,"NM",IF(((EK371/EC371-1)*100)&lt;-50,"NM",(EK371/EC371-1)*100)))</f>
        <v>NA</v>
      </c>
      <c r="EM371" s="221">
        <v>-8</v>
      </c>
      <c r="EN371" s="860">
        <f t="shared" ref="EN371:EN373" si="1965">IF(ISERROR((EM371/EE371-1)*100),"NA",IF(((EM371/EE371-1)*100)&gt;100,"NM",IF(((EM371/EE371-1)*100)&lt;-50,"NM",(EM371/EE371-1)*100)))</f>
        <v>-48.387096774193552</v>
      </c>
      <c r="EO371" s="221">
        <v>0</v>
      </c>
      <c r="EP371" s="98" t="str">
        <f t="shared" ref="EP371:EP373" si="1966">IF(ISERROR((EO371/EG371-1)*100),"NA",IF(((EO371/EG371-1)*100)&gt;100,"NM",IF(((EO371/EG371-1)*100)&lt;-50,"NM",(EO371/EG371-1)*100)))</f>
        <v>NA</v>
      </c>
      <c r="EQ371" s="1030">
        <v>0</v>
      </c>
      <c r="ER371" s="98" t="str">
        <f t="shared" si="1944"/>
        <v>NA</v>
      </c>
      <c r="ES371" s="1030">
        <v>0</v>
      </c>
      <c r="ET371" s="98" t="str">
        <f t="shared" si="1946"/>
        <v>NA</v>
      </c>
      <c r="EU371" s="1030">
        <v>0</v>
      </c>
      <c r="EV371" s="98" t="str">
        <f t="shared" si="1948"/>
        <v>NM</v>
      </c>
      <c r="EW371" s="1030">
        <v>0</v>
      </c>
      <c r="EX371" s="98" t="str">
        <f t="shared" si="1950"/>
        <v>NA</v>
      </c>
      <c r="EY371" s="112"/>
      <c r="EZ371" s="594"/>
      <c r="FA371" s="405"/>
      <c r="FB371" s="150"/>
      <c r="FC371" s="98"/>
      <c r="FD371" s="118"/>
      <c r="FE371" s="98"/>
      <c r="FF371" s="118"/>
      <c r="FG371" s="98"/>
      <c r="FH371" s="118"/>
      <c r="FI371" s="98"/>
      <c r="FJ371" s="118"/>
      <c r="FK371" s="98"/>
      <c r="FL371" s="118"/>
      <c r="FM371" s="98"/>
      <c r="FN371" s="118"/>
      <c r="FO371" s="98"/>
      <c r="FP371" s="118">
        <f>AQ371+AS371+AU371+AW371</f>
        <v>25</v>
      </c>
      <c r="FQ371" s="98" t="str">
        <f>IF(ISERROR((FP371/FH371-1)*100),"NA",IF(((FP371/FH371-1)*100)&gt;100,"NM",IF(((FP371/FH371-1)*100)&lt;-50,"NM",(FP371/FH371-1)*100)))</f>
        <v>NA</v>
      </c>
      <c r="FR371" s="160">
        <f>AY371+BA371+BC371+BE371</f>
        <v>-49</v>
      </c>
      <c r="FS371" s="120" t="str">
        <f>IF(ISERROR((FR371/FJ371-1)*100),"NA",IF(((FR371/FJ371-1)*100)&gt;100,"NM",IF(((FR371/FJ371-1)*100)&lt;-50,"NM",(FR371/FJ371-1)*100)))</f>
        <v>NA</v>
      </c>
      <c r="FT371" s="160">
        <f>BG371+BI371+BK371+BM371</f>
        <v>149</v>
      </c>
      <c r="FU371" s="120"/>
      <c r="FV371" s="160">
        <f>BO371+BQ371+BS371+BU371</f>
        <v>18</v>
      </c>
      <c r="FW371" s="98" t="str">
        <f>IF(ISERROR((FV371/FT543-1)*100),"NA",IF(((FV371/FT543-1)*100)&gt;100,"NM",IF(((FV371/FT543-1)*100)&lt;-50,"NM",(FV371/FT543-1)*100)))</f>
        <v>NM</v>
      </c>
      <c r="FX371" s="495">
        <f>BW371+BY371+CA371+CC371</f>
        <v>-31</v>
      </c>
      <c r="FY371" s="98" t="str">
        <f>IF(ISERROR((FX371/FV543-1)*100),"NA",IF(((FX371/FV543-1)*100)&gt;100,"NM",IF(((FX371/FV543-1)*100)&lt;-50,"NM",(FX371/FV543-1)*100)))</f>
        <v>NM</v>
      </c>
      <c r="FZ371" s="160">
        <f>CE371+CG371+CI371+CK371</f>
        <v>55</v>
      </c>
      <c r="GA371" s="98" t="str">
        <f>IF(ISERROR((FZ371/FX543-1)*100),"NA",IF(((FZ371/FX543-1)*100)&gt;100,"NM",IF(((FZ371/FX543-1)*100)&lt;-50,"NM",(FZ371/FX543-1)*100)))</f>
        <v>NM</v>
      </c>
      <c r="GB371" s="495">
        <f>CM371+CO371+CQ371+CS371</f>
        <v>0</v>
      </c>
      <c r="GC371" s="98" t="str">
        <f>IF(ISERROR((GB371/FZ543-1)*100),"NA",IF(((GB371/FZ543-1)*100)&gt;100,"NM",IF(((GB371/FZ543-1)*100)&lt;-50,"NM",(GB371/FZ543-1)*100)))</f>
        <v>NM</v>
      </c>
      <c r="GD371" s="160">
        <f>CU371+CW371+CY371+DA371</f>
        <v>12</v>
      </c>
      <c r="GE371" s="98" t="str">
        <f>IF(ISERROR((GD371/GB543-1)*100),"NA",IF(((GD371/GB543-1)*100)&gt;100,"NM",IF(((GD371/GB543-1)*100)&lt;-50,"NM",(GD371/GB543-1)*100)))</f>
        <v>NM</v>
      </c>
      <c r="GF371" s="160">
        <f>DC371+DE371+DG371+DI371</f>
        <v>11</v>
      </c>
      <c r="GG371" s="98" t="str">
        <f>IF(ISERROR((GF371/GD543-1)*100),"NA",IF(((GF371/GD543-1)*100)&gt;100,"NM",IF(((GF371/GD543-1)*100)&lt;-50,"NM",(GF371/GD543-1)*100)))</f>
        <v>NM</v>
      </c>
      <c r="GH371" s="160">
        <f>DK371+DM371+DO371+DQ371</f>
        <v>24</v>
      </c>
      <c r="GI371" s="98" t="str">
        <f>IF(ISERROR((GH371/GF543-1)*100),"NA",IF(((GH371/GF543-1)*100)&gt;100,"NM",IF(((GH371/GF543-1)*100)&lt;-50,"NM",(GH371/GF543-1)*100)))</f>
        <v>NM</v>
      </c>
      <c r="GJ371" s="160">
        <f>DS371+DU371+DW371+DY371</f>
        <v>6</v>
      </c>
      <c r="GK371" s="98" t="str">
        <f>IF(ISERROR((GJ371/GH543-1)*100),"NA",IF(((GJ371/GH543-1)*100)&gt;100,"NM",IF(((GJ371/GH543-1)*100)&lt;-50,"NM",(GJ371/GH543-1)*100)))</f>
        <v>NM</v>
      </c>
      <c r="GL371" s="160">
        <f>EA371+EC371+EE371+EG371</f>
        <v>-15.5</v>
      </c>
      <c r="GM371" s="98" t="str">
        <f>IF(ISERROR((GL371/GJ543-1)*100),"NA",IF(((GL371/GJ543-1)*100)&gt;100,"NM",IF(((GL371/GJ543-1)*100)&lt;-50,"NM",(GL371/GJ543-1)*100)))</f>
        <v>NM</v>
      </c>
      <c r="GN371" s="160">
        <f>EI371+EK371+EM371+EO371</f>
        <v>-8</v>
      </c>
      <c r="GO371" s="98">
        <f>IF(ISERROR((GN371/GL543-1)*100),"NA",IF(((GN371/GL543-1)*100)&gt;100,"NM",IF(((GN371/GL543-1)*100)&lt;-50,"NM",(GN371/GL543-1)*100)))</f>
        <v>-11.111111111111116</v>
      </c>
      <c r="GP371" s="160">
        <f>EQ371+ES371+EU371+EW371</f>
        <v>0</v>
      </c>
      <c r="GQ371" s="98" t="str">
        <f>IF(ISERROR((GP371/GN543-1)*100),"NA",IF(((GP371/GN543-1)*100)&gt;100,"NM",IF(((GP371/GN543-1)*100)&lt;-50,"NM",(GP371/GN543-1)*100)))</f>
        <v>NM</v>
      </c>
      <c r="GR371" s="160">
        <f>GP371</f>
        <v>0</v>
      </c>
      <c r="GS371" s="98" t="str">
        <f>IF(ISERROR((GR371/GP543-1)*100),"NA",IF(((GR371/GP543-1)*100)&gt;100,"NM",IF(((GR371/GP543-1)*100)&lt;-50,"NM",(GR371/GP543-1)*100)))</f>
        <v>NA</v>
      </c>
      <c r="GT371" s="160">
        <f>GR371</f>
        <v>0</v>
      </c>
      <c r="GU371" s="98" t="str">
        <f>IF(ISERROR((GT371/GR543-1)*100),"NA",IF(((GT371/GR543-1)*100)&gt;100,"NM",IF(((GT371/GR543-1)*100)&lt;-50,"NM",(GT371/GR543-1)*100)))</f>
        <v>NA</v>
      </c>
      <c r="GV371" s="160">
        <f>GT371</f>
        <v>0</v>
      </c>
      <c r="GW371" s="98" t="str">
        <f>IF(ISERROR((GV371/GT543-1)*100),"NA",IF(((GV371/GT543-1)*100)&gt;100,"NM",IF(((GV371/GT543-1)*100)&lt;-50,"NM",(GV371/GT543-1)*100)))</f>
        <v>NA</v>
      </c>
      <c r="GX371" s="160">
        <f>GV371</f>
        <v>0</v>
      </c>
      <c r="GY371" s="98" t="str">
        <f>IF(ISERROR((GX371/GV543-1)*100),"NA",IF(((GX371/GV543-1)*100)&gt;100,"NM",IF(((GX371/GV543-1)*100)&lt;-50,"NM",(GX371/GV543-1)*100)))</f>
        <v>NA</v>
      </c>
      <c r="GZ371" s="98" t="str">
        <f t="shared" si="1951"/>
        <v>NM</v>
      </c>
      <c r="HA371" s="98"/>
      <c r="HC371"/>
      <c r="HD371"/>
      <c r="HE371"/>
      <c r="HF371"/>
      <c r="HG371"/>
      <c r="HH371"/>
    </row>
    <row r="372" spans="1:217" s="10" customFormat="1" ht="12.75" customHeight="1" x14ac:dyDescent="0.2">
      <c r="B372" s="208" t="s">
        <v>570</v>
      </c>
      <c r="C372" s="204">
        <f>C370-C371</f>
        <v>11</v>
      </c>
      <c r="D372" s="98"/>
      <c r="E372" s="204">
        <f>E370-E371</f>
        <v>7</v>
      </c>
      <c r="F372" s="98"/>
      <c r="G372" s="204">
        <f>G370-G371</f>
        <v>5</v>
      </c>
      <c r="H372" s="98"/>
      <c r="I372" s="204">
        <f>I370-I371</f>
        <v>3</v>
      </c>
      <c r="J372" s="98"/>
      <c r="K372" s="204">
        <f>K370-K371</f>
        <v>18</v>
      </c>
      <c r="L372" s="98">
        <f t="shared" si="1876"/>
        <v>63.636363636363647</v>
      </c>
      <c r="M372" s="204">
        <f>M370-M371</f>
        <v>11</v>
      </c>
      <c r="N372" s="98">
        <f t="shared" si="1877"/>
        <v>57.142857142857139</v>
      </c>
      <c r="O372" s="204">
        <f>O370-O371</f>
        <v>11</v>
      </c>
      <c r="P372" s="98" t="str">
        <f t="shared" si="1878"/>
        <v>NM</v>
      </c>
      <c r="Q372" s="204">
        <f>Q370-Q371</f>
        <v>-8</v>
      </c>
      <c r="R372" s="98" t="str">
        <f t="shared" si="1879"/>
        <v>NM</v>
      </c>
      <c r="S372" s="204">
        <f>S370-S371</f>
        <v>14</v>
      </c>
      <c r="T372" s="98">
        <f t="shared" si="1880"/>
        <v>-22.222222222222221</v>
      </c>
      <c r="U372" s="204">
        <f>U370-U371</f>
        <v>2</v>
      </c>
      <c r="V372" s="98" t="str">
        <f t="shared" si="1881"/>
        <v>NM</v>
      </c>
      <c r="W372" s="204">
        <f>W370-W371</f>
        <v>40</v>
      </c>
      <c r="X372" s="98" t="str">
        <f t="shared" si="1882"/>
        <v>NM</v>
      </c>
      <c r="Y372" s="204">
        <f>Y370-Y371</f>
        <v>38</v>
      </c>
      <c r="Z372" s="98" t="str">
        <f t="shared" si="1883"/>
        <v>NM</v>
      </c>
      <c r="AA372" s="204">
        <f>AA370-AA371</f>
        <v>28</v>
      </c>
      <c r="AB372" s="98">
        <f t="shared" si="1884"/>
        <v>100</v>
      </c>
      <c r="AC372" s="204">
        <f>AC370-AC371</f>
        <v>102</v>
      </c>
      <c r="AD372" s="98" t="str">
        <f t="shared" si="1885"/>
        <v>NM</v>
      </c>
      <c r="AE372" s="204">
        <f>AE370-AE371</f>
        <v>37</v>
      </c>
      <c r="AF372" s="98">
        <f t="shared" si="1886"/>
        <v>-7.4999999999999956</v>
      </c>
      <c r="AG372" s="204">
        <f>AG370-AG371</f>
        <v>34</v>
      </c>
      <c r="AH372" s="98">
        <f t="shared" si="1887"/>
        <v>-10.526315789473683</v>
      </c>
      <c r="AI372" s="204">
        <f>AI370-AI371</f>
        <v>44</v>
      </c>
      <c r="AJ372" s="98">
        <f t="shared" si="1888"/>
        <v>57.142857142857139</v>
      </c>
      <c r="AK372" s="204">
        <f>AK370-AK371</f>
        <v>41</v>
      </c>
      <c r="AL372" s="98" t="str">
        <f t="shared" si="1889"/>
        <v>NM</v>
      </c>
      <c r="AM372" s="204">
        <f>AM370-AM371</f>
        <v>39</v>
      </c>
      <c r="AN372" s="98">
        <f t="shared" si="1890"/>
        <v>5.4054054054053946</v>
      </c>
      <c r="AO372" s="204">
        <f>AO370-AO371</f>
        <v>30</v>
      </c>
      <c r="AP372" s="98">
        <f t="shared" si="1891"/>
        <v>-11.764705882352944</v>
      </c>
      <c r="AQ372" s="204">
        <f>AQ370-AQ371</f>
        <v>51</v>
      </c>
      <c r="AR372" s="98">
        <f t="shared" si="1892"/>
        <v>15.909090909090917</v>
      </c>
      <c r="AS372" s="204">
        <f>AS370-AS371</f>
        <v>51</v>
      </c>
      <c r="AT372" s="98">
        <f t="shared" si="1893"/>
        <v>24.390243902439025</v>
      </c>
      <c r="AU372" s="204">
        <f>AU370-AU371</f>
        <v>53</v>
      </c>
      <c r="AV372" s="98">
        <f t="shared" si="1894"/>
        <v>35.897435897435905</v>
      </c>
      <c r="AW372" s="204">
        <f>AW370-AW371</f>
        <v>53</v>
      </c>
      <c r="AX372" s="98">
        <f t="shared" si="1895"/>
        <v>76.666666666666657</v>
      </c>
      <c r="AY372" s="204">
        <f>AY370-AY371</f>
        <v>64</v>
      </c>
      <c r="AZ372" s="98">
        <f t="shared" si="1896"/>
        <v>25.490196078431371</v>
      </c>
      <c r="BA372" s="204">
        <f>BA370-BA371</f>
        <v>73</v>
      </c>
      <c r="BB372" s="98">
        <f t="shared" si="1897"/>
        <v>43.137254901960787</v>
      </c>
      <c r="BC372" s="204">
        <f>BC370-BC371</f>
        <v>76</v>
      </c>
      <c r="BD372" s="98">
        <f t="shared" si="1898"/>
        <v>43.396226415094333</v>
      </c>
      <c r="BE372" s="204">
        <f>BE370-BE371</f>
        <v>64</v>
      </c>
      <c r="BF372" s="98">
        <f t="shared" si="1899"/>
        <v>20.75471698113207</v>
      </c>
      <c r="BG372" s="204">
        <f>BG370-BG371</f>
        <v>107</v>
      </c>
      <c r="BH372" s="98">
        <f t="shared" si="1900"/>
        <v>67.1875</v>
      </c>
      <c r="BI372" s="204">
        <f>BI370-BI371</f>
        <v>106</v>
      </c>
      <c r="BJ372" s="98">
        <f t="shared" si="1901"/>
        <v>45.205479452054796</v>
      </c>
      <c r="BK372" s="204">
        <f>BK370-BK371</f>
        <v>109</v>
      </c>
      <c r="BL372" s="98">
        <f t="shared" si="1902"/>
        <v>43.421052631578938</v>
      </c>
      <c r="BM372" s="204">
        <f>BM370-BM371</f>
        <v>97</v>
      </c>
      <c r="BN372" s="98">
        <f t="shared" si="1903"/>
        <v>51.5625</v>
      </c>
      <c r="BO372" s="204">
        <f>BO370-BO371</f>
        <v>122</v>
      </c>
      <c r="BP372" s="98">
        <f t="shared" si="1904"/>
        <v>14.018691588785037</v>
      </c>
      <c r="BQ372" s="204">
        <f>BQ370-BQ371</f>
        <v>147</v>
      </c>
      <c r="BR372" s="98">
        <f t="shared" si="1905"/>
        <v>38.679245283018872</v>
      </c>
      <c r="BS372" s="204">
        <f>BS370-BS371</f>
        <v>127</v>
      </c>
      <c r="BT372" s="98">
        <f t="shared" si="1906"/>
        <v>16.5137614678899</v>
      </c>
      <c r="BU372" s="204">
        <f>BU370-BU371</f>
        <v>91</v>
      </c>
      <c r="BV372" s="98">
        <f t="shared" si="1907"/>
        <v>-6.1855670103092786</v>
      </c>
      <c r="BW372" s="204">
        <f>BW370-BW371</f>
        <v>98</v>
      </c>
      <c r="BX372" s="98">
        <f t="shared" si="1908"/>
        <v>-19.672131147540984</v>
      </c>
      <c r="BY372" s="204">
        <f>BY370-BY371</f>
        <v>141</v>
      </c>
      <c r="BZ372" s="98">
        <f t="shared" si="1909"/>
        <v>-4.081632653061229</v>
      </c>
      <c r="CA372" s="204">
        <f>CA370-CA371</f>
        <v>139</v>
      </c>
      <c r="CB372" s="98">
        <f t="shared" si="1910"/>
        <v>9.4488188976377998</v>
      </c>
      <c r="CC372" s="204">
        <f>CC370-CC371</f>
        <v>116</v>
      </c>
      <c r="CD372" s="98">
        <f t="shared" si="1911"/>
        <v>27.472527472527464</v>
      </c>
      <c r="CE372" s="204">
        <f>CE370-CE371</f>
        <v>160</v>
      </c>
      <c r="CF372" s="98">
        <f t="shared" si="1912"/>
        <v>63.265306122448983</v>
      </c>
      <c r="CG372" s="204">
        <f>CG370-CG371</f>
        <v>153</v>
      </c>
      <c r="CH372" s="98">
        <f t="shared" si="1913"/>
        <v>8.5106382978723296</v>
      </c>
      <c r="CI372" s="204">
        <f>CI370-CI371</f>
        <v>144</v>
      </c>
      <c r="CJ372" s="98">
        <f t="shared" si="1914"/>
        <v>3.5971223021582732</v>
      </c>
      <c r="CK372" s="204">
        <f>CK370-CK371</f>
        <v>174</v>
      </c>
      <c r="CL372" s="98">
        <f t="shared" si="1915"/>
        <v>50</v>
      </c>
      <c r="CM372" s="204">
        <f>CM370-CM371</f>
        <v>79</v>
      </c>
      <c r="CN372" s="98" t="str">
        <f t="shared" si="1916"/>
        <v>NM</v>
      </c>
      <c r="CO372" s="204">
        <f>CO370-CO371</f>
        <v>64</v>
      </c>
      <c r="CP372" s="98" t="str">
        <f t="shared" si="1917"/>
        <v>NM</v>
      </c>
      <c r="CQ372" s="204">
        <f>CQ370-CQ371</f>
        <v>65</v>
      </c>
      <c r="CR372" s="98" t="str">
        <f t="shared" si="1918"/>
        <v>NM</v>
      </c>
      <c r="CS372" s="204">
        <f>CS370-CS371</f>
        <v>47</v>
      </c>
      <c r="CT372" s="98" t="str">
        <f t="shared" si="1919"/>
        <v>NM</v>
      </c>
      <c r="CU372" s="204">
        <f>CU370-CU371</f>
        <v>72</v>
      </c>
      <c r="CV372" s="98">
        <f t="shared" si="1920"/>
        <v>-8.8607594936708889</v>
      </c>
      <c r="CW372" s="204">
        <f>CW370-CW371</f>
        <v>66</v>
      </c>
      <c r="CX372" s="98">
        <f t="shared" si="1921"/>
        <v>3.125</v>
      </c>
      <c r="CY372" s="204">
        <f>CY370-CY371</f>
        <v>62</v>
      </c>
      <c r="CZ372" s="98">
        <f t="shared" si="1922"/>
        <v>-4.6153846153846096</v>
      </c>
      <c r="DA372" s="204">
        <f>DA370-DA371</f>
        <v>59</v>
      </c>
      <c r="DB372" s="98">
        <f t="shared" si="1923"/>
        <v>25.531914893617014</v>
      </c>
      <c r="DC372" s="204">
        <f>DC370-DC371</f>
        <v>87</v>
      </c>
      <c r="DD372" s="98">
        <f t="shared" si="1924"/>
        <v>20.833333333333325</v>
      </c>
      <c r="DE372" s="204">
        <f>DE370-DE371</f>
        <v>72</v>
      </c>
      <c r="DF372" s="98">
        <f t="shared" si="1925"/>
        <v>9.0909090909090828</v>
      </c>
      <c r="DG372" s="204">
        <f>DG370-DG371</f>
        <v>81</v>
      </c>
      <c r="DH372" s="98">
        <f t="shared" si="1926"/>
        <v>30.645161290322577</v>
      </c>
      <c r="DI372" s="204">
        <f>DI370-DI371</f>
        <v>78</v>
      </c>
      <c r="DJ372" s="98">
        <f t="shared" si="1927"/>
        <v>32.203389830508478</v>
      </c>
      <c r="DK372" s="204">
        <f>DK370-DK371</f>
        <v>71</v>
      </c>
      <c r="DL372" s="98">
        <f t="shared" si="1928"/>
        <v>-18.390804597701148</v>
      </c>
      <c r="DM372" s="204">
        <f>DM370-DM371</f>
        <v>72</v>
      </c>
      <c r="DN372" s="98">
        <f t="shared" si="1929"/>
        <v>0</v>
      </c>
      <c r="DO372" s="204">
        <f>DO370-DO371</f>
        <v>68</v>
      </c>
      <c r="DP372" s="98">
        <f t="shared" si="1930"/>
        <v>-16.049382716049386</v>
      </c>
      <c r="DQ372" s="204">
        <f>DQ370-DQ371</f>
        <v>50</v>
      </c>
      <c r="DR372" s="98">
        <f t="shared" si="1931"/>
        <v>-35.897435897435891</v>
      </c>
      <c r="DS372" s="204">
        <f>DS370-DS371</f>
        <v>70</v>
      </c>
      <c r="DT372" s="98">
        <f t="shared" si="1932"/>
        <v>-1.4084507042253502</v>
      </c>
      <c r="DU372" s="204">
        <f>DU370-DU371</f>
        <v>50</v>
      </c>
      <c r="DV372" s="98">
        <f t="shared" si="1933"/>
        <v>-30.555555555555557</v>
      </c>
      <c r="DW372" s="204">
        <f>DW370-DW371</f>
        <v>60</v>
      </c>
      <c r="DX372" s="98">
        <f t="shared" si="1934"/>
        <v>-11.764705882352944</v>
      </c>
      <c r="DY372" s="204">
        <f>DY370-DY371</f>
        <v>54</v>
      </c>
      <c r="DZ372" s="98">
        <f t="shared" si="1935"/>
        <v>8.0000000000000071</v>
      </c>
      <c r="EA372" s="204">
        <f>EA370-EA371</f>
        <v>63</v>
      </c>
      <c r="EB372" s="98">
        <f t="shared" si="1936"/>
        <v>-9.9999999999999982</v>
      </c>
      <c r="EC372" s="204">
        <f>EC370-EC371</f>
        <v>64</v>
      </c>
      <c r="ED372" s="98">
        <f t="shared" si="1937"/>
        <v>28.000000000000004</v>
      </c>
      <c r="EE372" s="204">
        <f>EE370-EE371</f>
        <v>89.5</v>
      </c>
      <c r="EF372" s="860">
        <f t="shared" si="1938"/>
        <v>49.166666666666671</v>
      </c>
      <c r="EG372" s="204">
        <f>EG370-EG371</f>
        <v>72</v>
      </c>
      <c r="EH372" s="860">
        <f t="shared" si="1939"/>
        <v>33.333333333333329</v>
      </c>
      <c r="EI372" s="204">
        <f>EI370-EI371</f>
        <v>75</v>
      </c>
      <c r="EJ372" s="860">
        <f t="shared" si="1963"/>
        <v>19.047619047619047</v>
      </c>
      <c r="EK372" s="204">
        <f>EK370-EK371</f>
        <v>72</v>
      </c>
      <c r="EL372" s="860">
        <f t="shared" si="1964"/>
        <v>12.5</v>
      </c>
      <c r="EM372" s="204">
        <f>EM370-EM371</f>
        <v>79</v>
      </c>
      <c r="EN372" s="860">
        <f t="shared" si="1965"/>
        <v>-11.731843575418999</v>
      </c>
      <c r="EO372" s="204">
        <f>EO370-EO371</f>
        <v>79</v>
      </c>
      <c r="EP372" s="98">
        <f t="shared" si="1966"/>
        <v>9.7222222222222321</v>
      </c>
      <c r="EQ372" s="204">
        <f>EQ370-EQ371</f>
        <v>77.266012000000003</v>
      </c>
      <c r="ER372" s="98">
        <f t="shared" si="1944"/>
        <v>3.0213493333333341</v>
      </c>
      <c r="ES372" s="204">
        <f t="shared" ref="ES372" si="1967">ES370-ES371</f>
        <v>78.475265740000012</v>
      </c>
      <c r="ET372" s="98">
        <f t="shared" si="1946"/>
        <v>8.9934246388889036</v>
      </c>
      <c r="EU372" s="204">
        <f t="shared" ref="EU372" si="1968">EU370-EU371</f>
        <v>79.703663557300032</v>
      </c>
      <c r="EV372" s="98">
        <f t="shared" si="1948"/>
        <v>0.89071336367092524</v>
      </c>
      <c r="EW372" s="204">
        <f t="shared" ref="EW372" si="1969">EW370-EW371</f>
        <v>80.951512718483372</v>
      </c>
      <c r="EX372" s="98">
        <f t="shared" si="1950"/>
        <v>2.4702692639029911</v>
      </c>
      <c r="EY372" s="204"/>
      <c r="EZ372" s="594"/>
      <c r="FA372" s="405"/>
      <c r="FB372" s="150"/>
      <c r="FC372" s="98"/>
      <c r="FD372" s="204">
        <f>FD370-FD371</f>
        <v>18</v>
      </c>
      <c r="FE372" s="98" t="str">
        <f>IF(ISERROR((FD372/FB372-1)*100),"NA",IF(((FD372/FB372-1)*100)&gt;100,"NM",IF(((FD372/FB372-1)*100)&lt;-50,"NM",(FD372/FB372-1)*100)))</f>
        <v>NA</v>
      </c>
      <c r="FF372" s="204">
        <f>FF370-FF371</f>
        <v>28</v>
      </c>
      <c r="FG372" s="98">
        <f>IF(ISERROR((FF372/FD372-1)*100),"NA",IF(((FF372/FD372-1)*100)&gt;100,"NM",IF(((FF372/FD372-1)*100)&lt;-50,"NM",(FF372/FD372-1)*100)))</f>
        <v>55.555555555555557</v>
      </c>
      <c r="FH372" s="204">
        <f>FH370-FH371</f>
        <v>32</v>
      </c>
      <c r="FI372" s="98">
        <f>IF(ISERROR((FH372/FF372-1)*100),"NA",IF(((FH372/FF372-1)*100)&gt;100,"NM",IF(((FH372/FF372-1)*100)&lt;-50,"NM",(FH372/FF372-1)*100)))</f>
        <v>14.285714285714279</v>
      </c>
      <c r="FJ372" s="204">
        <f>FJ370-FJ371</f>
        <v>94</v>
      </c>
      <c r="FK372" s="98" t="str">
        <f>IF(ISERROR((FJ372/FH372-1)*100),"NA",IF(((FJ372/FH372-1)*100)&gt;100,"NM",IF(((FJ372/FH372-1)*100)&lt;-50,"NM",(FJ372/FH372-1)*100)))</f>
        <v>NM</v>
      </c>
      <c r="FL372" s="204">
        <f>FL370-FL371</f>
        <v>201</v>
      </c>
      <c r="FM372" s="98" t="str">
        <f>IF(ISERROR((FL372/FJ372-1)*100),"NA",IF(((FL372/FJ372-1)*100)&gt;100,"NM",IF(((FL372/FJ372-1)*100)&lt;-50,"NM",(FL372/FJ372-1)*100)))</f>
        <v>NM</v>
      </c>
      <c r="FN372" s="204">
        <f>FN370-FN371</f>
        <v>162</v>
      </c>
      <c r="FO372" s="98">
        <f>IF(ISERROR((FN372/FL372-1)*100),"NA",IF(((FN372/FL372-1)*100)&gt;100,"NM",IF(((FN372/FL372-1)*100)&lt;-50,"NM",(FN372/FL372-1)*100)))</f>
        <v>-19.402985074626866</v>
      </c>
      <c r="FP372" s="204">
        <f>FP370-FP371</f>
        <v>208</v>
      </c>
      <c r="FQ372" s="98">
        <f>IF(ISERROR((FP372/FN372-1)*100),"NA",IF(((FP372/FN372-1)*100)&gt;100,"NM",IF(((FP372/FN372-1)*100)&lt;-50,"NM",(FP372/FN372-1)*100)))</f>
        <v>28.395061728395056</v>
      </c>
      <c r="FR372" s="204">
        <f>FR370-FR371</f>
        <v>277</v>
      </c>
      <c r="FS372" s="120">
        <f>IF(ISERROR((FR372/FP372-1)*100),"NA",IF(((FR372/FP372-1)*100)&gt;100,"NM",IF(((FR372/FP372-1)*100)&lt;-50,"NM",(FR372/FP372-1)*100)))</f>
        <v>33.17307692307692</v>
      </c>
      <c r="FT372" s="204">
        <f>FT370-FT371</f>
        <v>419</v>
      </c>
      <c r="FU372" s="120">
        <f>IF(ISERROR((FT372/FR372-1)*100),"NA",IF(((FT372/FR372-1)*100)&gt;100,"NM",IF(((FT372/FR372-1)*100)&lt;-50,"NM",(FT372/FR372-1)*100)))</f>
        <v>51.263537906137181</v>
      </c>
      <c r="FV372" s="204">
        <f>FV370-FV371</f>
        <v>461</v>
      </c>
      <c r="FW372" s="98">
        <f>IF(ISERROR((FV372/FT372-1)*100),"NA",IF(((FV372/FT372-1)*100)&gt;100,"NM",IF(((FV372/FT372-1)*100)&lt;-50,"NM",(FV372/FT372-1)*100)))</f>
        <v>10.023866348448696</v>
      </c>
      <c r="FX372" s="505">
        <f>FX370-FX371</f>
        <v>494</v>
      </c>
      <c r="FY372" s="98">
        <f>IF(ISERROR((FX372/FV372-1)*100),"NA",IF(((FX372/FV372-1)*100)&gt;100,"NM",IF(((FX372/FV372-1)*100)&lt;-50,"NM",(FX372/FV372-1)*100)))</f>
        <v>7.1583514099783141</v>
      </c>
      <c r="FZ372" s="204">
        <f>FZ370-FZ371</f>
        <v>631</v>
      </c>
      <c r="GA372" s="98">
        <f>IF(ISERROR((FZ372/FX372-1)*100),"NA",IF(((FZ372/FX372-1)*100)&gt;100,"NM",IF(((FZ372/FX372-1)*100)&lt;-50,"NM",(FZ372/FX372-1)*100)))</f>
        <v>27.732793522267208</v>
      </c>
      <c r="GB372" s="505">
        <f>GB370-GB371</f>
        <v>251</v>
      </c>
      <c r="GC372" s="98" t="str">
        <f>IF(ISERROR((GB372/FZ372-1)*100),"NA",IF(((GB372/FZ372-1)*100)&gt;100,"NM",IF(((GB372/FZ372-1)*100)&lt;-50,"NM",(GB372/FZ372-1)*100)))</f>
        <v>NM</v>
      </c>
      <c r="GD372" s="204">
        <f>GD370-GD371</f>
        <v>259</v>
      </c>
      <c r="GE372" s="98">
        <f>IF(ISERROR((GD372/GB372-1)*100),"NA",IF(((GD372/GB372-1)*100)&gt;100,"NM",IF(((GD372/GB372-1)*100)&lt;-50,"NM",(GD372/GB372-1)*100)))</f>
        <v>3.1872509960159334</v>
      </c>
      <c r="GF372" s="204">
        <f>GF370-GF371</f>
        <v>318</v>
      </c>
      <c r="GG372" s="98">
        <f>IF(ISERROR((GF372/GD372-1)*100),"NA",IF(((GF372/GD372-1)*100)&gt;100,"NM",IF(((GF372/GD372-1)*100)&lt;-50,"NM",(GF372/GD372-1)*100)))</f>
        <v>22.779922779922778</v>
      </c>
      <c r="GH372" s="204">
        <f>GH370-GH371</f>
        <v>261</v>
      </c>
      <c r="GI372" s="98">
        <f>IF(ISERROR((GH372/GF372-1)*100),"NA",IF(((GH372/GF372-1)*100)&gt;100,"NM",IF(((GH372/GF372-1)*100)&lt;-50,"NM",(GH372/GF372-1)*100)))</f>
        <v>-17.924528301886788</v>
      </c>
      <c r="GJ372" s="204">
        <f>GJ370-GJ371</f>
        <v>234</v>
      </c>
      <c r="GK372" s="98">
        <f>IF(ISERROR((GJ372/GH372-1)*100),"NA",IF(((GJ372/GH372-1)*100)&gt;100,"NM",IF(((GJ372/GH372-1)*100)&lt;-50,"NM",(GJ372/GH372-1)*100)))</f>
        <v>-10.344827586206895</v>
      </c>
      <c r="GL372" s="204">
        <f>GL370-GL371</f>
        <v>288.5</v>
      </c>
      <c r="GM372" s="98">
        <f>IF(ISERROR((GL372/GJ372-1)*100),"NA",IF(((GL372/GJ372-1)*100)&gt;100,"NM",IF(((GL372/GJ372-1)*100)&lt;-50,"NM",(GL372/GJ372-1)*100)))</f>
        <v>23.290598290598297</v>
      </c>
      <c r="GN372" s="204">
        <f>GN370-GN371</f>
        <v>305</v>
      </c>
      <c r="GO372" s="98">
        <f>IF(ISERROR((GN372/GL372-1)*100),"NA",IF(((GN372/GL372-1)*100)&gt;100,"NM",IF(((GN372/GL372-1)*100)&lt;-50,"NM",(GN372/GL372-1)*100)))</f>
        <v>5.7192374350086617</v>
      </c>
      <c r="GP372" s="204">
        <f>GP370-GP371</f>
        <v>316.39645401578309</v>
      </c>
      <c r="GQ372" s="98">
        <f>IF(ISERROR((GP372/GN372-1)*100),"NA",IF(((GP372/GN372-1)*100)&gt;100,"NM",IF(((GP372/GN372-1)*100)&lt;-50,"NM",(GP372/GN372-1)*100)))</f>
        <v>3.736542300256751</v>
      </c>
      <c r="GR372" s="204">
        <f>GR370-GR371</f>
        <v>369.42719461907711</v>
      </c>
      <c r="GS372" s="98">
        <f>IF(ISERROR((GR372/GP372-1)*100),"NA",IF(((GR372/GP372-1)*100)&gt;100,"NM",IF(((GR372/GP372-1)*100)&lt;-50,"NM",(GR372/GP372-1)*100)))</f>
        <v>16.760851751090943</v>
      </c>
      <c r="GT372" s="204">
        <f>GT370-GT371</f>
        <v>402.67564213479449</v>
      </c>
      <c r="GU372" s="98">
        <f>IF(ISERROR((GT372/GR372-1)*100),"NA",IF(((GT372/GR372-1)*100)&gt;100,"NM",IF(((GT372/GR372-1)*100)&lt;-50,"NM",(GT372/GR372-1)*100)))</f>
        <v>9.000000000000119</v>
      </c>
      <c r="GV372" s="204">
        <f>GV370-GV371</f>
        <v>438.91644992692551</v>
      </c>
      <c r="GW372" s="98">
        <f>IF(ISERROR((GV372/GT372-1)*100),"NA",IF(((GV372/GT372-1)*100)&gt;100,"NM",IF(((GV372/GT372-1)*100)&lt;-50,"NM",(GV372/GT372-1)*100)))</f>
        <v>8.9999999999998757</v>
      </c>
      <c r="GX372" s="204">
        <f>GX370-GX371</f>
        <v>451.52328848730298</v>
      </c>
      <c r="GY372" s="98">
        <f>IF(ISERROR((GX372/GV372-1)*100),"NA",IF(((GX372/GV372-1)*100)&gt;100,"NM",IF(((GX372/GV372-1)*100)&lt;-50,"NM",(GX372/GV372-1)*100)))</f>
        <v>2.8722638585262361</v>
      </c>
      <c r="GZ372" s="98">
        <f t="shared" si="1951"/>
        <v>8.1623372254112212</v>
      </c>
      <c r="HA372" s="98"/>
      <c r="HC372"/>
      <c r="HD372"/>
      <c r="HE372"/>
      <c r="HF372"/>
      <c r="HG372"/>
      <c r="HH372"/>
    </row>
    <row r="373" spans="1:217" s="210" customFormat="1" ht="12.75" customHeight="1" x14ac:dyDescent="0.2">
      <c r="B373" s="209" t="s">
        <v>138</v>
      </c>
      <c r="C373" s="117">
        <f>C367-(C371)/0.65</f>
        <v>16</v>
      </c>
      <c r="D373" s="98"/>
      <c r="E373" s="117">
        <f>E367-(E371)/0.65</f>
        <v>8</v>
      </c>
      <c r="F373" s="98"/>
      <c r="G373" s="117">
        <f>G367-(G371)/0.65</f>
        <v>11</v>
      </c>
      <c r="H373" s="98"/>
      <c r="I373" s="117">
        <f>I367-(I371)/0.65</f>
        <v>1</v>
      </c>
      <c r="J373" s="117"/>
      <c r="K373" s="117">
        <f>K367-(K371)/0.65</f>
        <v>19</v>
      </c>
      <c r="L373" s="98">
        <f t="shared" si="1876"/>
        <v>18.75</v>
      </c>
      <c r="M373" s="117">
        <f>M367-(M371)/0.65</f>
        <v>14</v>
      </c>
      <c r="N373" s="98">
        <f t="shared" si="1877"/>
        <v>75</v>
      </c>
      <c r="O373" s="117">
        <f>O367-(O371)/0.65</f>
        <v>17</v>
      </c>
      <c r="P373" s="98">
        <f t="shared" si="1878"/>
        <v>54.54545454545454</v>
      </c>
      <c r="Q373" s="117">
        <f>Q367-(Q371)/0.65</f>
        <v>12</v>
      </c>
      <c r="R373" s="98" t="str">
        <f t="shared" si="1879"/>
        <v>NM</v>
      </c>
      <c r="S373" s="117">
        <f>S367-(S371)/0.65</f>
        <v>20</v>
      </c>
      <c r="T373" s="98">
        <f t="shared" si="1880"/>
        <v>5.2631578947368363</v>
      </c>
      <c r="U373" s="117">
        <f>U367-(U371)/0.65</f>
        <v>4</v>
      </c>
      <c r="V373" s="98" t="str">
        <f t="shared" si="1881"/>
        <v>NM</v>
      </c>
      <c r="W373" s="117">
        <f>W367-(W371)/0.65</f>
        <v>55</v>
      </c>
      <c r="X373" s="98" t="str">
        <f t="shared" si="1882"/>
        <v>NM</v>
      </c>
      <c r="Y373" s="117">
        <f>Y367-(Y371)/0.65</f>
        <v>42</v>
      </c>
      <c r="Z373" s="98" t="str">
        <f t="shared" si="1883"/>
        <v>NM</v>
      </c>
      <c r="AA373" s="117">
        <f>AA367-(AA371)/0.65</f>
        <v>42</v>
      </c>
      <c r="AB373" s="98" t="str">
        <f t="shared" si="1884"/>
        <v>NM</v>
      </c>
      <c r="AC373" s="117">
        <f>AC367-(AC371)/0.65</f>
        <v>93</v>
      </c>
      <c r="AD373" s="98" t="str">
        <f t="shared" si="1885"/>
        <v>NM</v>
      </c>
      <c r="AE373" s="117">
        <f>AE367-(AE371)/0.65</f>
        <v>54</v>
      </c>
      <c r="AF373" s="98">
        <f t="shared" si="1886"/>
        <v>-1.8181818181818188</v>
      </c>
      <c r="AG373" s="117">
        <f>AG367-(AG371)/0.65</f>
        <v>32</v>
      </c>
      <c r="AH373" s="98">
        <f t="shared" si="1887"/>
        <v>-23.809523809523814</v>
      </c>
      <c r="AI373" s="117">
        <f>AI367-(AI371)/0.65</f>
        <v>65</v>
      </c>
      <c r="AJ373" s="98">
        <f t="shared" si="1888"/>
        <v>54.761904761904766</v>
      </c>
      <c r="AK373" s="117">
        <f>AK367-(AK371)/0.65</f>
        <v>54</v>
      </c>
      <c r="AL373" s="98">
        <f t="shared" si="1889"/>
        <v>-41.935483870967737</v>
      </c>
      <c r="AM373" s="117">
        <f>AM367-(AM371)/0.65</f>
        <v>58.692307692307693</v>
      </c>
      <c r="AN373" s="98">
        <f t="shared" si="1890"/>
        <v>8.6894586894586965</v>
      </c>
      <c r="AO373" s="117">
        <f>AO367-(AO371)/0.65</f>
        <v>40</v>
      </c>
      <c r="AP373" s="98">
        <f t="shared" si="1891"/>
        <v>25</v>
      </c>
      <c r="AQ373" s="117">
        <f>AQ367-(AQ371)/0.65</f>
        <v>78.84615384615384</v>
      </c>
      <c r="AR373" s="98">
        <f t="shared" si="1892"/>
        <v>21.301775147928993</v>
      </c>
      <c r="AS373" s="117">
        <f>AS367-(AS371)/0.65</f>
        <v>74</v>
      </c>
      <c r="AT373" s="98">
        <f t="shared" si="1893"/>
        <v>37.037037037037045</v>
      </c>
      <c r="AU373" s="117">
        <f>AU367-(AU371)/0.65</f>
        <v>59</v>
      </c>
      <c r="AV373" s="98">
        <f t="shared" si="1894"/>
        <v>0.52424639580601617</v>
      </c>
      <c r="AW373" s="117">
        <f>AW367-(AW371)/0.65</f>
        <v>44.692307692307693</v>
      </c>
      <c r="AX373" s="98">
        <f t="shared" si="1895"/>
        <v>11.730769230769234</v>
      </c>
      <c r="AY373" s="117">
        <f>AY367-(AY371)/0.65</f>
        <v>91.538461538461547</v>
      </c>
      <c r="AZ373" s="98">
        <f t="shared" si="1896"/>
        <v>16.09756097560977</v>
      </c>
      <c r="BA373" s="117">
        <f>BA367-(BA371)/0.65</f>
        <v>90.84615384615384</v>
      </c>
      <c r="BB373" s="98">
        <f t="shared" si="1897"/>
        <v>22.765072765072759</v>
      </c>
      <c r="BC373" s="117">
        <f>BC367-(BC371)/0.65</f>
        <v>122.15384615384616</v>
      </c>
      <c r="BD373" s="98" t="str">
        <f t="shared" si="1898"/>
        <v>NM</v>
      </c>
      <c r="BE373" s="117">
        <f>BE367-(BE371)/0.65</f>
        <v>104.84615384615384</v>
      </c>
      <c r="BF373" s="98" t="str">
        <f t="shared" si="1899"/>
        <v>NM</v>
      </c>
      <c r="BG373" s="117">
        <f>BG367-(BG371)/0.65</f>
        <v>144.84615384615384</v>
      </c>
      <c r="BH373" s="98">
        <f t="shared" si="1900"/>
        <v>58.23529411764703</v>
      </c>
      <c r="BI373" s="117">
        <f>BI367-(BI371)/0.65</f>
        <v>144.07692307692307</v>
      </c>
      <c r="BJ373" s="98">
        <f t="shared" si="1901"/>
        <v>58.594411515664689</v>
      </c>
      <c r="BK373" s="117">
        <f>BK367-(BK371)/0.65</f>
        <v>162.53846153846155</v>
      </c>
      <c r="BL373" s="98">
        <f t="shared" si="1902"/>
        <v>33.060453400503789</v>
      </c>
      <c r="BM373" s="117">
        <f>BM367-(BM371)/0.65</f>
        <v>59.307692307692321</v>
      </c>
      <c r="BN373" s="98">
        <f t="shared" si="1903"/>
        <v>-43.433602347762267</v>
      </c>
      <c r="BO373" s="117">
        <f>BO367-(BO371)/0.65</f>
        <v>213.46153846153845</v>
      </c>
      <c r="BP373" s="98">
        <f t="shared" si="1904"/>
        <v>47.371216144450344</v>
      </c>
      <c r="BQ373" s="117">
        <f>BQ367-(BQ371)/0.65</f>
        <v>195</v>
      </c>
      <c r="BR373" s="98">
        <f t="shared" si="1905"/>
        <v>35.344367325146834</v>
      </c>
      <c r="BS373" s="117">
        <f>BS367-(BS371)/0.65</f>
        <v>191.84615384615384</v>
      </c>
      <c r="BT373" s="98">
        <f t="shared" si="1906"/>
        <v>18.031235210601039</v>
      </c>
      <c r="BU373" s="117">
        <f>BU367-(BU371)/0.65</f>
        <v>148</v>
      </c>
      <c r="BV373" s="98" t="str">
        <f t="shared" si="1907"/>
        <v>NM</v>
      </c>
      <c r="BW373" s="117">
        <f>BW367-(BW371)/0.65</f>
        <v>136.23076923076923</v>
      </c>
      <c r="BX373" s="98">
        <f t="shared" si="1908"/>
        <v>-36.18018018018018</v>
      </c>
      <c r="BY373" s="117">
        <f>BY367-(BY371)/0.65</f>
        <v>183.84615384615384</v>
      </c>
      <c r="BZ373" s="98">
        <f t="shared" si="1909"/>
        <v>-5.7199211045364962</v>
      </c>
      <c r="CA373" s="117">
        <f>CA367-(CA371)/0.65</f>
        <v>165.46153846153845</v>
      </c>
      <c r="CB373" s="98">
        <f t="shared" si="1910"/>
        <v>-13.753007217321578</v>
      </c>
      <c r="CC373" s="117">
        <f>CC367-(CC371)/0.65</f>
        <v>186.15384615384616</v>
      </c>
      <c r="CD373" s="98">
        <f t="shared" si="1911"/>
        <v>25.779625779625782</v>
      </c>
      <c r="CE373" s="117">
        <f>CE367-(CE371)/0.65</f>
        <v>224</v>
      </c>
      <c r="CF373" s="98">
        <f t="shared" si="1912"/>
        <v>64.426877470355734</v>
      </c>
      <c r="CG373" s="117">
        <f>CG367-(CG371)/0.65</f>
        <v>200.92307692307693</v>
      </c>
      <c r="CH373" s="98">
        <f t="shared" si="1913"/>
        <v>9.2887029288702969</v>
      </c>
      <c r="CI373" s="117">
        <f>CI367-(CI371)/0.65</f>
        <v>121.76923076923077</v>
      </c>
      <c r="CJ373" s="98">
        <f t="shared" si="1914"/>
        <v>-26.406322640632261</v>
      </c>
      <c r="CK373" s="117">
        <f>CK367-(CK371)/0.65</f>
        <v>202.69230769230768</v>
      </c>
      <c r="CL373" s="98">
        <f t="shared" si="1915"/>
        <v>8.8842975206611552</v>
      </c>
      <c r="CM373" s="117">
        <f>CM367-(CM371)/0.65</f>
        <v>126</v>
      </c>
      <c r="CN373" s="98">
        <f t="shared" si="1916"/>
        <v>-43.75</v>
      </c>
      <c r="CO373" s="117">
        <f>CO367-(CO371)/0.65</f>
        <v>109</v>
      </c>
      <c r="CP373" s="98">
        <f t="shared" si="1917"/>
        <v>-45.750382848392036</v>
      </c>
      <c r="CQ373" s="117">
        <f>CQ367-(CQ371)/0.65</f>
        <v>106</v>
      </c>
      <c r="CR373" s="98">
        <f t="shared" si="1918"/>
        <v>-12.950094756790909</v>
      </c>
      <c r="CS373" s="117">
        <f>CS367-(CS371)/0.65</f>
        <v>73</v>
      </c>
      <c r="CT373" s="98" t="str">
        <f t="shared" si="1919"/>
        <v>NM</v>
      </c>
      <c r="CU373" s="117">
        <f>CU367-(CU371)/0.65</f>
        <v>113</v>
      </c>
      <c r="CV373" s="98">
        <f t="shared" si="1920"/>
        <v>-10.317460317460315</v>
      </c>
      <c r="CW373" s="117">
        <f>CW367-(CW371)/0.65</f>
        <v>96.538461538461547</v>
      </c>
      <c r="CX373" s="98">
        <f t="shared" si="1921"/>
        <v>-11.432604093154541</v>
      </c>
      <c r="CY373" s="117">
        <f>CY367-(CY371)/0.65</f>
        <v>100</v>
      </c>
      <c r="CZ373" s="98">
        <f t="shared" si="1922"/>
        <v>-5.6603773584905648</v>
      </c>
      <c r="DA373" s="117">
        <f>DA367-(DA371)/0.65</f>
        <v>89</v>
      </c>
      <c r="DB373" s="98">
        <f t="shared" si="1923"/>
        <v>21.917808219178081</v>
      </c>
      <c r="DC373" s="117">
        <f>DC367-(DC371)/0.65</f>
        <v>121</v>
      </c>
      <c r="DD373" s="98">
        <f t="shared" si="1924"/>
        <v>7.079646017699126</v>
      </c>
      <c r="DE373" s="117">
        <f>DE367-(DE371)/0.65</f>
        <v>70.15384615384616</v>
      </c>
      <c r="DF373" s="98">
        <f t="shared" si="1925"/>
        <v>-27.330677290836658</v>
      </c>
      <c r="DG373" s="117">
        <f>DG367-(DG371)/0.65</f>
        <v>121.84615384615384</v>
      </c>
      <c r="DH373" s="98">
        <f t="shared" si="1926"/>
        <v>21.846153846153847</v>
      </c>
      <c r="DI373" s="117">
        <f>DI367-(DI371)/0.65</f>
        <v>77.07692307692308</v>
      </c>
      <c r="DJ373" s="98">
        <f t="shared" si="1927"/>
        <v>-13.396715643906653</v>
      </c>
      <c r="DK373" s="117">
        <f>DK367-(DK371)/0.65</f>
        <v>91</v>
      </c>
      <c r="DL373" s="98">
        <f t="shared" si="1928"/>
        <v>-24.79338842975206</v>
      </c>
      <c r="DM373" s="117">
        <f>DM367-(DM371)/0.65</f>
        <v>78</v>
      </c>
      <c r="DN373" s="98">
        <f t="shared" si="1929"/>
        <v>11.184210526315773</v>
      </c>
      <c r="DO373" s="117">
        <f>DO367-(DO371)/0.65</f>
        <v>85.615384615384613</v>
      </c>
      <c r="DP373" s="98">
        <f t="shared" si="1930"/>
        <v>-29.734848484848484</v>
      </c>
      <c r="DQ373" s="117">
        <f>DQ367-(DQ371)/0.65</f>
        <v>22.461538461538463</v>
      </c>
      <c r="DR373" s="98" t="str">
        <f t="shared" si="1931"/>
        <v>NM</v>
      </c>
      <c r="DS373" s="117">
        <f>DS367-(+DS371)/0.65</f>
        <v>81</v>
      </c>
      <c r="DT373" s="98">
        <f t="shared" si="1932"/>
        <v>-10.989010989010994</v>
      </c>
      <c r="DU373" s="117">
        <f>DU367-(+DU371)/0.65</f>
        <v>57</v>
      </c>
      <c r="DV373" s="98">
        <f t="shared" si="1933"/>
        <v>-26.923076923076927</v>
      </c>
      <c r="DW373" s="117">
        <f>DW367-(+DW371)/0.65</f>
        <v>63.769230769230774</v>
      </c>
      <c r="DX373" s="98">
        <f t="shared" si="1934"/>
        <v>-25.516621743036826</v>
      </c>
      <c r="DY373" s="117">
        <f>DY367-(+DY371)/0.65</f>
        <v>50</v>
      </c>
      <c r="DZ373" s="98" t="str">
        <f t="shared" si="1935"/>
        <v>NM</v>
      </c>
      <c r="EA373" s="117">
        <f>EA367-(+EA371)/0.65</f>
        <v>74</v>
      </c>
      <c r="EB373" s="98">
        <f t="shared" si="1936"/>
        <v>-8.6419753086419799</v>
      </c>
      <c r="EC373" s="117">
        <f>EC367-(+EC371)/0.65</f>
        <v>74</v>
      </c>
      <c r="ED373" s="98">
        <f t="shared" si="1937"/>
        <v>29.824561403508774</v>
      </c>
      <c r="EE373" s="117">
        <f>EE367-(+EE371)/0.65</f>
        <v>108.84615384615384</v>
      </c>
      <c r="EF373" s="860">
        <f t="shared" si="1938"/>
        <v>70.687575392038582</v>
      </c>
      <c r="EG373" s="117">
        <f>EG367-(+EG371)/0.65</f>
        <v>82</v>
      </c>
      <c r="EH373" s="860">
        <f t="shared" si="1939"/>
        <v>63.999999999999993</v>
      </c>
      <c r="EI373" s="117">
        <f>EI367-(+EI371)/0.65</f>
        <v>87</v>
      </c>
      <c r="EJ373" s="860">
        <f t="shared" si="1963"/>
        <v>17.567567567567565</v>
      </c>
      <c r="EK373" s="117">
        <f>EK367-(+EK371)/0.65</f>
        <v>86</v>
      </c>
      <c r="EL373" s="860">
        <f t="shared" si="1964"/>
        <v>16.216216216216207</v>
      </c>
      <c r="EM373" s="117">
        <f>EM367-(+EM371)/0.65</f>
        <v>104.30769230769231</v>
      </c>
      <c r="EN373" s="860">
        <f t="shared" si="1965"/>
        <v>-4.1696113074204959</v>
      </c>
      <c r="EO373" s="117">
        <f>EO367-(+EO371)/0.65</f>
        <v>91</v>
      </c>
      <c r="EP373" s="98">
        <f t="shared" si="1966"/>
        <v>10.975609756097571</v>
      </c>
      <c r="EQ373" s="117">
        <f>EQ367-(+EQ371)/0.65</f>
        <v>89.844200000000001</v>
      </c>
      <c r="ER373" s="98">
        <f t="shared" si="1944"/>
        <v>3.2691954022988412</v>
      </c>
      <c r="ES373" s="117">
        <f t="shared" ref="ES373" si="1970">ES367-(+ES371)/0.65</f>
        <v>91.250309000000016</v>
      </c>
      <c r="ET373" s="98">
        <f t="shared" si="1946"/>
        <v>6.1050104651162895</v>
      </c>
      <c r="EU373" s="117">
        <f t="shared" ref="EU373" si="1971">EU367-(+EU371)/0.65</f>
        <v>92.678678555000033</v>
      </c>
      <c r="EV373" s="98">
        <f t="shared" si="1948"/>
        <v>-11.148759497418848</v>
      </c>
      <c r="EW373" s="117">
        <f t="shared" ref="EW373" si="1972">EW367-(+EW371)/0.65</f>
        <v>94.12966595172486</v>
      </c>
      <c r="EX373" s="98">
        <f t="shared" si="1950"/>
        <v>3.4391933535438124</v>
      </c>
      <c r="EY373" s="118"/>
      <c r="EZ373" s="598"/>
      <c r="FA373" s="409"/>
      <c r="FB373" s="118">
        <f>FB367-(+FB371)/0.65</f>
        <v>-41</v>
      </c>
      <c r="FC373" s="98"/>
      <c r="FD373" s="118">
        <f>FD367-(+FD371)/0.65</f>
        <v>4</v>
      </c>
      <c r="FE373" s="98" t="str">
        <f>IF(ISERROR((FD373/FB373-1)*100),"NA",IF(((FD373/FB373-1)*100)&gt;100,"NM",IF(((FD373/FB373-1)*100)&lt;-50,"NM",(FD373/FB373-1)*100)))</f>
        <v>NM</v>
      </c>
      <c r="FF373" s="118">
        <f>FF367-(+FF371)/0.65</f>
        <v>37</v>
      </c>
      <c r="FG373" s="98" t="str">
        <f>IF(ISERROR((FF373/FD373-1)*100),"NA",IF(((FF373/FD373-1)*100)&gt;100,"NM",IF(((FF373/FD373-1)*100)&lt;-50,"NM",(FF373/FD373-1)*100)))</f>
        <v>NM</v>
      </c>
      <c r="FH373" s="118">
        <f>FH367-(+FH371)/0.65</f>
        <v>62</v>
      </c>
      <c r="FI373" s="98">
        <f>IF(ISERROR((FH373/FF373-1)*100),"NA",IF(((FH373/FF373-1)*100)&gt;100,"NM",IF(((FH373/FF373-1)*100)&lt;-50,"NM",(FH373/FF373-1)*100)))</f>
        <v>67.567567567567565</v>
      </c>
      <c r="FJ373" s="118">
        <f>FJ367-(+FJ371)/0.65</f>
        <v>121</v>
      </c>
      <c r="FK373" s="98">
        <f>IF(ISERROR((FJ373/FH373-1)*100),"NA",IF(((FJ373/FH373-1)*100)&gt;100,"NM",IF(((FJ373/FH373-1)*100)&lt;-50,"NM",(FJ373/FH373-1)*100)))</f>
        <v>95.161290322580655</v>
      </c>
      <c r="FL373" s="118">
        <f>FL367-(+FL371)/0.65</f>
        <v>221</v>
      </c>
      <c r="FM373" s="98">
        <f>IF(ISERROR((FL373/FJ373-1)*100),"NA",IF(((FL373/FJ373-1)*100)&gt;100,"NM",IF(((FL373/FJ373-1)*100)&lt;-50,"NM",(FL373/FJ373-1)*100)))</f>
        <v>82.644628099173545</v>
      </c>
      <c r="FN373" s="118">
        <f>FN367-(+FN371)/0.65</f>
        <v>230</v>
      </c>
      <c r="FO373" s="98">
        <f>IF(ISERROR((FN373/FL373-1)*100),"NA",IF(((FN373/FL373-1)*100)&gt;100,"NM",IF(((FN373/FL373-1)*100)&lt;-50,"NM",(FN373/FL373-1)*100)))</f>
        <v>4.0723981900452566</v>
      </c>
      <c r="FP373" s="118">
        <f>FP367-(+FP371)/0.65</f>
        <v>256.53846153846155</v>
      </c>
      <c r="FQ373" s="98">
        <f>IF(ISERROR((FP373/FN373-1)*100),"NA",IF(((FP373/FN373-1)*100)&gt;100,"NM",IF(((FP373/FN373-1)*100)&lt;-50,"NM",(FP373/FN373-1)*100)))</f>
        <v>11.538461538461542</v>
      </c>
      <c r="FR373" s="118">
        <f>FR367-(+FR371)/0.65</f>
        <v>409.38461538461536</v>
      </c>
      <c r="FS373" s="98">
        <f>IF(ISERROR((FR373/FP373-1)*100),"NA",IF(((FR373/FP373-1)*100)&gt;100,"NM",IF(((FR373/FP373-1)*100)&lt;-50,"NM",(FR373/FP373-1)*100)))</f>
        <v>59.580209895052462</v>
      </c>
      <c r="FT373" s="118">
        <f>FT367-(+FT371)/0.65</f>
        <v>510.76923076923077</v>
      </c>
      <c r="FU373" s="98">
        <f>IF(ISERROR((FT373/FR373-1)*100),"NA",IF(((FT373/FR373-1)*100)&gt;100,"NM",IF(((FT373/FR373-1)*100)&lt;-50,"NM",(FT373/FR373-1)*100)))</f>
        <v>24.765125892521624</v>
      </c>
      <c r="FV373" s="119">
        <f>FV367-(+FV371)/0.65</f>
        <v>708.30769230769226</v>
      </c>
      <c r="FW373" s="98">
        <f>IF(ISERROR((FV373/FT373-1)*100),"NA",IF(((FV373/FT373-1)*100)&gt;100,"NM",IF(((FV373/FT373-1)*100)&lt;-50,"NM",(FV373/FT373-1)*100)))</f>
        <v>38.674698795180703</v>
      </c>
      <c r="FX373" s="485">
        <f>FX367-(+FX371)/0.65</f>
        <v>671.69230769230774</v>
      </c>
      <c r="FY373" s="98">
        <f>IF(ISERROR((FX373/FV373-1)*100),"NA",IF(((FX373/FV373-1)*100)&gt;100,"NM",IF(((FX373/FV373-1)*100)&lt;-50,"NM",(FX373/FV373-1)*100)))</f>
        <v>-5.1694178974804439</v>
      </c>
      <c r="FZ373" s="119">
        <f>FZ367-(+FZ371)/0.65</f>
        <v>749.38461538461536</v>
      </c>
      <c r="GA373" s="98">
        <f>IF(ISERROR((FZ373/FX373-1)*100),"NA",IF(((FZ373/FX373-1)*100)&gt;100,"NM",IF(((FZ373/FX373-1)*100)&lt;-50,"NM",(FZ373/FX373-1)*100)))</f>
        <v>11.566651397159866</v>
      </c>
      <c r="GB373" s="485">
        <f>GB367-(+GB371)/0.65</f>
        <v>407</v>
      </c>
      <c r="GC373" s="98">
        <f>IF(ISERROR((GB373/FZ373-1)*100),"NA",IF(((GB373/FZ373-1)*100)&gt;100,"NM",IF(((GB373/FZ373-1)*100)&lt;-50,"NM",(GB373/FZ373-1)*100)))</f>
        <v>-45.68877027304454</v>
      </c>
      <c r="GD373" s="119">
        <f>GD367-(+GD371)/0.65</f>
        <v>398.53846153846155</v>
      </c>
      <c r="GE373" s="98">
        <f>IF(ISERROR((GD373/GB373-1)*100),"NA",IF(((GD373/GB373-1)*100)&gt;100,"NM",IF(((GD373/GB373-1)*100)&lt;-50,"NM",(GD373/GB373-1)*100)))</f>
        <v>-2.0790020790020791</v>
      </c>
      <c r="GF373" s="119">
        <f>GF367-(+GF371)/0.65</f>
        <v>390.07692307692309</v>
      </c>
      <c r="GG373" s="98">
        <f>IF(ISERROR((GF373/GD373-1)*100),"NA",IF(((GF373/GD373-1)*100)&gt;100,"NM",IF(((GF373/GD373-1)*100)&lt;-50,"NM",(GF373/GD373-1)*100)))</f>
        <v>-2.1231422505307851</v>
      </c>
      <c r="GH373" s="119">
        <f>GH367-(+GH371)/0.65</f>
        <v>277.07692307692309</v>
      </c>
      <c r="GI373" s="98">
        <f>IF(ISERROR((GH373/GF373-1)*100),"NA",IF(((GH373/GF373-1)*100)&gt;100,"NM",IF(((GH373/GF373-1)*100)&lt;-50,"NM",(GH373/GF373-1)*100)))</f>
        <v>-28.968645237625712</v>
      </c>
      <c r="GJ373" s="117">
        <f>GJ367-(+GJ371)/0.65</f>
        <v>251.76923076923077</v>
      </c>
      <c r="GK373" s="98">
        <f>IF(ISERROR((GJ373/GH373-1)*100),"NA",IF(((GJ373/GH373-1)*100)&gt;100,"NM",IF(((GJ373/GH373-1)*100)&lt;-50,"NM",(GJ373/GH373-1)*100)))</f>
        <v>-9.1338145474736283</v>
      </c>
      <c r="GL373" s="117">
        <f>GL367-(+GL371)/0.65</f>
        <v>338.84615384615387</v>
      </c>
      <c r="GM373" s="98">
        <f>IF(ISERROR((GL373/GJ373-1)*100),"NA",IF(((GL373/GJ373-1)*100)&gt;100,"NM",IF(((GL373/GJ373-1)*100)&lt;-50,"NM",(GL373/GJ373-1)*100)))</f>
        <v>34.586006721662102</v>
      </c>
      <c r="GN373" s="117">
        <f>GN367-(+GN371)/0.65</f>
        <v>368.30769230769232</v>
      </c>
      <c r="GO373" s="98">
        <f>IF(ISERROR((GN373/GL373-1)*100),"NA",IF(((GN373/GL373-1)*100)&gt;100,"NM",IF(((GN373/GL373-1)*100)&lt;-50,"NM",(GN373/GL373-1)*100)))</f>
        <v>8.6946651532349595</v>
      </c>
      <c r="GP373" s="117">
        <f>GP367-(+GP371)/0.65</f>
        <v>367.90285350672457</v>
      </c>
      <c r="GQ373" s="98">
        <f>IF(ISERROR((GP373/GN373-1)*100),"NA",IF(((GP373/GN373-1)*100)&gt;100,"NM",IF(((GP373/GN373-1)*100)&lt;-50,"NM",(GP373/GN373-1)*100)))</f>
        <v>-0.109918638525075</v>
      </c>
      <c r="GR373" s="117">
        <f>GR367-(+GR371)/0.65</f>
        <v>429.56650537101996</v>
      </c>
      <c r="GS373" s="98">
        <f>IF(ISERROR((GR373/GP373-1)*100),"NA",IF(((GR373/GP373-1)*100)&gt;100,"NM",IF(((GR373/GP373-1)*100)&lt;-50,"NM",(GR373/GP373-1)*100)))</f>
        <v>16.760851751090943</v>
      </c>
      <c r="GT373" s="117">
        <f>GT367-(+GT371)/0.65</f>
        <v>468.22749085441228</v>
      </c>
      <c r="GU373" s="98">
        <f>IF(ISERROR((GT373/GR373-1)*100),"NA",IF(((GT373/GR373-1)*100)&gt;100,"NM",IF(((GT373/GR373-1)*100)&lt;-50,"NM",(GT373/GR373-1)*100)))</f>
        <v>9.000000000000119</v>
      </c>
      <c r="GV373" s="117">
        <f>GV367-(+GV371)/0.65</f>
        <v>510.36796503130881</v>
      </c>
      <c r="GW373" s="98">
        <f>IF(ISERROR((GV373/GT373-1)*100),"NA",IF(((GV373/GT373-1)*100)&gt;100,"NM",IF(((GV373/GT373-1)*100)&lt;-50,"NM",(GV373/GT373-1)*100)))</f>
        <v>8.9999999999998757</v>
      </c>
      <c r="GX373" s="117">
        <f>GX367-(+GX371)/0.65</f>
        <v>525.02707963639887</v>
      </c>
      <c r="GY373" s="98">
        <f>IF(ISERROR((GX373/GV373-1)*100),"NA",IF(((GX373/GV373-1)*100)&gt;100,"NM",IF(((GX373/GV373-1)*100)&lt;-50,"NM",(GX373/GV373-1)*100)))</f>
        <v>2.8722638585262361</v>
      </c>
      <c r="GZ373" s="98">
        <f t="shared" si="1951"/>
        <v>7.3480557077487907</v>
      </c>
      <c r="HA373" s="98"/>
      <c r="HB373" s="240"/>
      <c r="HC373"/>
      <c r="HD373"/>
      <c r="HE373"/>
      <c r="HF373"/>
      <c r="HG373"/>
      <c r="HH373"/>
      <c r="HI373" s="10"/>
    </row>
    <row r="374" spans="1:217" s="5" customFormat="1" ht="12.75" customHeight="1" x14ac:dyDescent="0.2">
      <c r="B374" s="19"/>
      <c r="C374" s="182"/>
      <c r="D374" s="230"/>
      <c r="E374" s="182"/>
      <c r="F374" s="230"/>
      <c r="G374" s="182"/>
      <c r="H374" s="230"/>
      <c r="I374" s="182"/>
      <c r="J374" s="98"/>
      <c r="K374" s="182"/>
      <c r="L374" s="98"/>
      <c r="M374" s="182"/>
      <c r="N374" s="98"/>
      <c r="O374" s="182"/>
      <c r="P374" s="98"/>
      <c r="Q374" s="182"/>
      <c r="R374" s="98"/>
      <c r="S374" s="182"/>
      <c r="T374" s="98"/>
      <c r="U374" s="182"/>
      <c r="V374" s="98"/>
      <c r="W374" s="182"/>
      <c r="X374" s="98"/>
      <c r="Y374" s="182"/>
      <c r="Z374" s="98"/>
      <c r="AA374" s="182"/>
      <c r="AB374" s="98"/>
      <c r="AC374" s="182"/>
      <c r="AD374" s="98"/>
      <c r="AE374" s="182"/>
      <c r="AF374" s="98"/>
      <c r="AG374" s="182"/>
      <c r="AH374" s="98"/>
      <c r="AI374" s="182"/>
      <c r="AJ374" s="98"/>
      <c r="AK374" s="182"/>
      <c r="AL374" s="98"/>
      <c r="AM374" s="182"/>
      <c r="AN374" s="98"/>
      <c r="AO374" s="182"/>
      <c r="AP374" s="98"/>
      <c r="AQ374" s="182"/>
      <c r="AR374" s="98"/>
      <c r="AS374" s="182"/>
      <c r="AT374" s="98"/>
      <c r="AU374" s="182"/>
      <c r="AV374" s="98"/>
      <c r="AW374" s="182"/>
      <c r="AX374" s="98"/>
      <c r="AY374" s="182"/>
      <c r="AZ374" s="98"/>
      <c r="BA374" s="182"/>
      <c r="BB374" s="98"/>
      <c r="BC374" s="182"/>
      <c r="BD374" s="98"/>
      <c r="BE374" s="182"/>
      <c r="BF374" s="98"/>
      <c r="BG374" s="182"/>
      <c r="BH374" s="98"/>
      <c r="BI374" s="182"/>
      <c r="BJ374" s="98"/>
      <c r="BK374" s="182"/>
      <c r="BL374" s="98"/>
      <c r="BM374" s="182"/>
      <c r="BN374" s="98"/>
      <c r="BO374" s="182"/>
      <c r="BP374" s="98"/>
      <c r="BQ374" s="182"/>
      <c r="BR374" s="98"/>
      <c r="BS374" s="182"/>
      <c r="BT374" s="98"/>
      <c r="BU374" s="182"/>
      <c r="BV374" s="98"/>
      <c r="BW374" s="182"/>
      <c r="BX374" s="98"/>
      <c r="BY374" s="182"/>
      <c r="BZ374" s="98"/>
      <c r="CA374" s="182"/>
      <c r="CB374" s="98"/>
      <c r="CC374" s="182"/>
      <c r="CD374" s="98"/>
      <c r="CE374" s="182"/>
      <c r="CF374" s="98"/>
      <c r="CG374" s="182"/>
      <c r="CH374" s="98"/>
      <c r="CI374" s="182"/>
      <c r="CJ374" s="98"/>
      <c r="CK374" s="182"/>
      <c r="CL374" s="98"/>
      <c r="CM374" s="182"/>
      <c r="CN374" s="98"/>
      <c r="CO374" s="182"/>
      <c r="CP374" s="98"/>
      <c r="CQ374" s="512"/>
      <c r="CR374" s="98"/>
      <c r="CS374" s="182"/>
      <c r="CT374" s="98"/>
      <c r="CU374" s="182"/>
      <c r="CV374" s="98"/>
      <c r="CW374" s="182"/>
      <c r="CX374" s="98"/>
      <c r="CY374" s="182"/>
      <c r="CZ374" s="98"/>
      <c r="DA374" s="182"/>
      <c r="DB374" s="98"/>
      <c r="DC374" s="182"/>
      <c r="DD374" s="98"/>
      <c r="DE374" s="182"/>
      <c r="DF374" s="98"/>
      <c r="DG374" s="182"/>
      <c r="DH374" s="98"/>
      <c r="DI374" s="182"/>
      <c r="DJ374" s="98"/>
      <c r="DK374" s="182"/>
      <c r="DL374" s="98"/>
      <c r="DM374" s="182"/>
      <c r="DN374" s="98"/>
      <c r="DO374" s="182"/>
      <c r="DP374" s="98"/>
      <c r="DQ374" s="182"/>
      <c r="DR374" s="98"/>
      <c r="DS374" s="182"/>
      <c r="DT374" s="98"/>
      <c r="DU374" s="182"/>
      <c r="DV374" s="98"/>
      <c r="DW374" s="182"/>
      <c r="DX374" s="98"/>
      <c r="DY374" s="182"/>
      <c r="DZ374" s="98"/>
      <c r="EA374" s="182"/>
      <c r="EB374" s="98"/>
      <c r="EC374" s="182"/>
      <c r="ED374" s="98"/>
      <c r="EE374" s="182"/>
      <c r="EF374" s="860"/>
      <c r="EG374" s="182"/>
      <c r="EH374" s="860"/>
      <c r="EI374" s="182"/>
      <c r="EJ374" s="860"/>
      <c r="EK374" s="182"/>
      <c r="EL374" s="860"/>
      <c r="EM374" s="182"/>
      <c r="EN374" s="860"/>
      <c r="EO374" s="182"/>
      <c r="EP374" s="98"/>
      <c r="EQ374" s="795"/>
      <c r="ER374" s="98"/>
      <c r="ES374" s="795"/>
      <c r="ET374" s="98"/>
      <c r="EU374" s="795"/>
      <c r="EV374" s="98"/>
      <c r="EW374" s="795"/>
      <c r="EX374" s="98"/>
      <c r="EY374" s="183"/>
      <c r="EZ374" s="594"/>
      <c r="FA374" s="405"/>
      <c r="FB374" s="183"/>
      <c r="FC374" s="230"/>
      <c r="FD374" s="182"/>
      <c r="FE374" s="98"/>
      <c r="FF374" s="183"/>
      <c r="FG374" s="98"/>
      <c r="FH374" s="183"/>
      <c r="FI374" s="98"/>
      <c r="FJ374" s="183"/>
      <c r="FK374" s="98"/>
      <c r="FL374" s="183"/>
      <c r="FM374" s="98"/>
      <c r="FN374" s="183"/>
      <c r="FO374" s="98"/>
      <c r="FP374" s="212"/>
      <c r="FQ374" s="213"/>
      <c r="FR374" s="184"/>
      <c r="FS374" s="120"/>
      <c r="FT374" s="184"/>
      <c r="FU374" s="120"/>
      <c r="FV374" s="184"/>
      <c r="FW374" s="98"/>
      <c r="FX374" s="498"/>
      <c r="FY374" s="98"/>
      <c r="FZ374" s="184"/>
      <c r="GA374" s="98"/>
      <c r="GB374" s="498"/>
      <c r="GC374" s="98"/>
      <c r="GD374" s="184"/>
      <c r="GE374" s="98"/>
      <c r="GF374" s="184"/>
      <c r="GG374" s="98"/>
      <c r="GH374" s="184"/>
      <c r="GI374" s="98"/>
      <c r="GJ374" s="184"/>
      <c r="GK374" s="98"/>
      <c r="GL374" s="184"/>
      <c r="GM374" s="98"/>
      <c r="GN374" s="184"/>
      <c r="GO374" s="98"/>
      <c r="GP374" s="184"/>
      <c r="GQ374" s="98"/>
      <c r="GR374" s="183"/>
      <c r="GS374" s="98"/>
      <c r="GT374" s="183"/>
      <c r="GU374" s="98"/>
      <c r="GV374" s="183"/>
      <c r="GW374" s="98"/>
      <c r="GX374" s="183"/>
      <c r="GY374" s="98"/>
      <c r="GZ374" s="98"/>
      <c r="HA374" s="98"/>
      <c r="HB374" s="15"/>
      <c r="HC374"/>
      <c r="HD374"/>
      <c r="HE374"/>
      <c r="HF374"/>
      <c r="HG374"/>
      <c r="HH374"/>
      <c r="HI374" s="10"/>
    </row>
    <row r="375" spans="1:217" s="2" customFormat="1" ht="12.75" customHeight="1" x14ac:dyDescent="0.2">
      <c r="B375" s="91" t="s">
        <v>480</v>
      </c>
      <c r="C375" s="293">
        <f>+C367/C353*100</f>
        <v>7.0484581497797363</v>
      </c>
      <c r="D375" s="98"/>
      <c r="E375" s="293">
        <f>+E367/E353*100</f>
        <v>3.225806451612903</v>
      </c>
      <c r="F375" s="98"/>
      <c r="G375" s="293">
        <f>+G367/G353*100</f>
        <v>4.583333333333333</v>
      </c>
      <c r="H375" s="98"/>
      <c r="I375" s="293">
        <f>+I367/I353*100</f>
        <v>0.38610038610038611</v>
      </c>
      <c r="J375" s="98"/>
      <c r="K375" s="293">
        <f>+K367/K353*100</f>
        <v>7.421875</v>
      </c>
      <c r="L375" s="98">
        <f>IF(ISERROR((K375/C375-1)*100),"NA",IF(((K375/C375-1)*100)&gt;100,"NM",IF(((K375/C375-1)*100)&lt;-50,"NM",(K375/C375-1)*100)))</f>
        <v>5.2978515625</v>
      </c>
      <c r="M375" s="293">
        <f>+M367/M353*100</f>
        <v>5.2044609665427508</v>
      </c>
      <c r="N375" s="98">
        <f>IF(ISERROR((M375/E375-1)*100),"NA",IF(((M375/E375-1)*100)&gt;100,"NM",IF(((M375/E375-1)*100)&lt;-50,"NM",(M375/E375-1)*100)))</f>
        <v>61.338289962825286</v>
      </c>
      <c r="O375" s="293">
        <f>+O367/O353*100</f>
        <v>5.9649122807017543</v>
      </c>
      <c r="P375" s="98">
        <f>IF(ISERROR((O375/G375-1)*100),"NA",IF(((O375/G375-1)*100)&gt;100,"NM",IF(((O375/G375-1)*100)&lt;-50,"NM",(O375/G375-1)*100)))</f>
        <v>30.143540669856471</v>
      </c>
      <c r="Q375" s="293">
        <f>+Q367/Q353*100</f>
        <v>3.3613445378151261</v>
      </c>
      <c r="R375" s="98" t="str">
        <f>IF(ISERROR((Q375/I375-1)*100),"NA",IF(((Q375/I375-1)*100)&gt;100,"NM",IF(((Q375/I375-1)*100)&lt;-50,"NM",(Q375/I375-1)*100)))</f>
        <v>NM</v>
      </c>
      <c r="S375" s="293">
        <f>+S367/S353*100</f>
        <v>4.3478260869565215</v>
      </c>
      <c r="T375" s="98">
        <f>IF(ISERROR((S375/K375-1)*100),"NA",IF(((S375/K375-1)*100)&gt;100,"NM",IF(((S375/K375-1)*100)&lt;-50,"NM",(S375/K375-1)*100)))</f>
        <v>-41.418764302059493</v>
      </c>
      <c r="U375" s="293">
        <f>+U367/U353*100</f>
        <v>1.0554089709762533</v>
      </c>
      <c r="V375" s="98" t="str">
        <f>IF(ISERROR((U375/M375-1)*100),"NA",IF(((U375/M375-1)*100)&gt;100,"NM",IF(((U375/M375-1)*100)&lt;-50,"NM",(U375/M375-1)*100)))</f>
        <v>NM</v>
      </c>
      <c r="W375" s="293">
        <f>+W367/W353*100</f>
        <v>9.4827586206896548</v>
      </c>
      <c r="X375" s="98">
        <f>IF(ISERROR((W375/O375-1)*100),"NA",IF(((W375/O375-1)*100)&gt;100,"NM",IF(((W375/O375-1)*100)&lt;-50,"NM",(W375/O375-1)*100)))</f>
        <v>58.975659229208929</v>
      </c>
      <c r="Y375" s="293">
        <f>+Y367/Y353*100</f>
        <v>5.9071729957805905</v>
      </c>
      <c r="Z375" s="98">
        <f>IF(ISERROR((Y375/Q375-1)*100),"NA",IF(((Y375/Q375-1)*100)&gt;100,"NM",IF(((Y375/Q375-1)*100)&lt;-50,"NM",(Y375/Q375-1)*100)))</f>
        <v>75.738396624472571</v>
      </c>
      <c r="AA375" s="293">
        <f>+AA367/AA353*100</f>
        <v>7.2790294627383014</v>
      </c>
      <c r="AB375" s="98">
        <f>IF(ISERROR((AA375/S375-1)*100),"NA",IF(((AA375/S375-1)*100)&gt;100,"NM",IF(((AA375/S375-1)*100)&lt;-50,"NM",(AA375/S375-1)*100)))</f>
        <v>67.417677642980948</v>
      </c>
      <c r="AC375" s="293">
        <f>+AC367/AC353*100</f>
        <v>15.048543689320388</v>
      </c>
      <c r="AD375" s="98" t="str">
        <f>IF(ISERROR((AC375/U375-1)*100),"NA",IF(((AC375/U375-1)*100)&gt;100,"NM",IF(((AC375/U375-1)*100)&lt;-50,"NM",(AC375/U375-1)*100)))</f>
        <v>NM</v>
      </c>
      <c r="AE375" s="293">
        <f>+AE367/AE353*100</f>
        <v>8.2568807339449553</v>
      </c>
      <c r="AF375" s="98">
        <f>IF(ISERROR((AE375/W375-1)*100),"NA",IF(((AE375/W375-1)*100)&gt;100,"NM",IF(((AE375/W375-1)*100)&lt;-50,"NM",(AE375/W375-1)*100)))</f>
        <v>-12.927439532944106</v>
      </c>
      <c r="AG375" s="124">
        <f>+AG367/AG353*100</f>
        <v>4.6852122986822842</v>
      </c>
      <c r="AH375" s="98">
        <f>IF(ISERROR((AG375/Y375-1)*100),"NA",IF(((AG375/Y375-1)*100)&gt;100,"NM",IF(((AG375/Y375-1)*100)&lt;-50,"NM",(AG375/Y375-1)*100)))</f>
        <v>-20.686048943735614</v>
      </c>
      <c r="AI375" s="124">
        <f>+AI367/AI353*100</f>
        <v>10.620915032679738</v>
      </c>
      <c r="AJ375" s="98">
        <f>IF(ISERROR((AI375/AA375-1)*100),"NA",IF(((AI375/AA375-1)*100)&gt;100,"NM",IF(((AI375/AA375-1)*100)&lt;-50,"NM",(AI375/AA375-1)*100)))</f>
        <v>45.911142234671651</v>
      </c>
      <c r="AK375" s="124">
        <f>+AK367/AK353*100</f>
        <v>8.6677367576243967</v>
      </c>
      <c r="AL375" s="98">
        <f>IF(ISERROR((AK375/AC375-1)*100),"NA",IF(((AK375/AC375-1)*100)&gt;100,"NM",IF(((AK375/AC375-1)*100)&lt;-50,"NM",(AK375/AC375-1)*100)))</f>
        <v>-42.401491223528197</v>
      </c>
      <c r="AM375" s="124">
        <f>+AM367/AM353*100</f>
        <v>10.441176470588236</v>
      </c>
      <c r="AN375" s="98">
        <f>IF(ISERROR((AM375/AE375-1)*100),"NA",IF(((AM375/AE375-1)*100)&gt;100,"NM",IF(((AM375/AE375-1)*100)&lt;-50,"NM",(AM375/AE375-1)*100)))</f>
        <v>26.454248366013069</v>
      </c>
      <c r="AO375" s="124">
        <f>+AO367/AO353*100</f>
        <v>5.4421768707482991</v>
      </c>
      <c r="AP375" s="98">
        <f>IF(ISERROR((AO375/AG375-1)*100),"NA",IF(((AO375/AG375-1)*100)&gt;100,"NM",IF(((AO375/AG375-1)*100)&lt;-50,"NM",(AO375/AG375-1)*100)))</f>
        <v>16.156462585034003</v>
      </c>
      <c r="AQ375" s="124">
        <f>+AQ367/AQ353*100</f>
        <v>14.246947082767978</v>
      </c>
      <c r="AR375" s="98">
        <f>IF(ISERROR((AQ375/AI375-1)*100),"NA",IF(((AQ375/AI375-1)*100)&gt;100,"NM",IF(((AQ375/AI375-1)*100)&lt;-50,"NM",(AQ375/AI375-1)*100)))</f>
        <v>34.140486379292348</v>
      </c>
      <c r="AS375" s="124">
        <f>+AS367/AS353*100</f>
        <v>9.3789607097591894</v>
      </c>
      <c r="AT375" s="98">
        <f>IF(ISERROR((AS375/AK375-1)*100),"NA",IF(((AS375/AK375-1)*100)&gt;100,"NM",IF(((AS375/AK375-1)*100)&lt;-50,"NM",(AS375/AK375-1)*100)))</f>
        <v>8.2054170774069632</v>
      </c>
      <c r="AU375" s="124">
        <f>+AU367/AU353*100</f>
        <v>7.6624636275460718</v>
      </c>
      <c r="AV375" s="98">
        <f>IF(ISERROR((AU375/AM375-1)*100),"NA",IF(((AU375/AM375-1)*100)&gt;100,"NM",IF(((AU375/AM375-1)*100)&lt;-50,"NM",(AU375/AM375-1)*100)))</f>
        <v>-26.613024412234807</v>
      </c>
      <c r="AW375" s="124">
        <f>+AW367/AW353*100</f>
        <v>3.4514925373134329</v>
      </c>
      <c r="AX375" s="98">
        <f>IF(ISERROR((AW375/AO375-1)*100),"NA",IF(((AW375/AO375-1)*100)&gt;100,"NM",IF(((AW375/AO375-1)*100)&lt;-50,"NM",(AW375/AO375-1)*100)))</f>
        <v>-36.578824626865668</v>
      </c>
      <c r="AY375" s="137">
        <f>+AY367/AY353*100</f>
        <v>10.679611650485436</v>
      </c>
      <c r="AZ375" s="98">
        <f>IF(ISERROR((AY375/AQ375-1)*100),"NA",IF(((AY375/AQ375-1)*100)&gt;100,"NM",IF(((AY375/AQ375-1)*100)&lt;-50,"NM",(AY375/AQ375-1)*100)))</f>
        <v>-25.039297272306982</v>
      </c>
      <c r="BA375" s="137">
        <f>+BA367/BA353*100</f>
        <v>7.0707070707070701</v>
      </c>
      <c r="BB375" s="98">
        <f>IF(ISERROR((BA375/AS375-1)*100),"NA",IF(((BA375/AS375-1)*100)&gt;100,"NM",IF(((BA375/AS375-1)*100)&lt;-50,"NM",(BA375/AS375-1)*100)))</f>
        <v>-24.610974610974623</v>
      </c>
      <c r="BC375" s="137">
        <f>+BC367/BC353*100</f>
        <v>10.060711188204683</v>
      </c>
      <c r="BD375" s="98">
        <f>IF(ISERROR((BC375/AU375-1)*100),"NA",IF(((BC375/AU375-1)*100)&gt;100,"NM",IF(((BC375/AU375-1)*100)&lt;-50,"NM",(BC375/AU375-1)*100)))</f>
        <v>31.298648544797825</v>
      </c>
      <c r="BE375" s="137">
        <f>+BE367/BE353*100</f>
        <v>2.5162337662337664</v>
      </c>
      <c r="BF375" s="98">
        <f>IF(ISERROR((BE375/AW375-1)*100),"NA",IF(((BE375/AW375-1)*100)&gt;100,"NM",IF(((BE375/AW375-1)*100)&lt;-50,"NM",(BE375/AW375-1)*100)))</f>
        <v>-27.097227097227094</v>
      </c>
      <c r="BG375" s="137">
        <f>+BG367/BG353*100</f>
        <v>14.085667215815487</v>
      </c>
      <c r="BH375" s="98">
        <f>IF(ISERROR((BG375/AY375-1)*100),"NA",IF(((BG375/AY375-1)*100)&gt;100,"NM",IF(((BG375/AY375-1)*100)&lt;-50,"NM",(BG375/AY375-1)*100)))</f>
        <v>31.893065748090478</v>
      </c>
      <c r="BI375" s="137">
        <f>+BI367/BI353*100</f>
        <v>12.461300309597522</v>
      </c>
      <c r="BJ375" s="98">
        <f>IF(ISERROR((BI375/BA375-1)*100),"NA",IF(((BI375/BA375-1)*100)&gt;100,"NM",IF(((BI375/BA375-1)*100)&lt;-50,"NM",(BI375/BA375-1)*100)))</f>
        <v>76.238390092879271</v>
      </c>
      <c r="BK375" s="137">
        <f>+BK367/BK353*100</f>
        <v>14.429289303661164</v>
      </c>
      <c r="BL375" s="98">
        <f>IF(ISERROR((BK375/BC375-1)*100),"NA",IF(((BK375/BC375-1)*100)&gt;100,"NM",IF(((BK375/BC375-1)*100)&lt;-50,"NM",(BK375/BC375-1)*100)))</f>
        <v>43.422160061390727</v>
      </c>
      <c r="BM375" s="137">
        <f>+BM367/BM353*100</f>
        <v>14.129692832764503</v>
      </c>
      <c r="BN375" s="98" t="str">
        <f>IF(ISERROR((BM375/BE375-1)*100),"NA",IF(((BM375/BE375-1)*100)&gt;100,"NM",IF(((BM375/BE375-1)*100)&lt;-50,"NM",(BM375/BE375-1)*100)))</f>
        <v>NM</v>
      </c>
      <c r="BO375" s="137">
        <f>+BO367/BO353*100</f>
        <v>15.953835709436524</v>
      </c>
      <c r="BP375" s="98">
        <f>IF(ISERROR((BO375/BG375-1)*100),"NA",IF(((BO375/BG375-1)*100)&gt;100,"NM",IF(((BO375/BG375-1)*100)&lt;-50,"NM",(BO375/BG375-1)*100)))</f>
        <v>13.262903808514249</v>
      </c>
      <c r="BQ375" s="137">
        <f>+BQ367/BQ353*100</f>
        <v>12.302839116719243</v>
      </c>
      <c r="BR375" s="98">
        <f>IF(ISERROR((BQ375/BI375-1)*100),"NA",IF(((BQ375/BI375-1)*100)&gt;100,"NM",IF(((BQ375/BI375-1)*100)&lt;-50,"NM",(BQ375/BI375-1)*100)))</f>
        <v>-1.2716264670729061</v>
      </c>
      <c r="BS375" s="137">
        <f>+BS367/BS353*100</f>
        <v>14.485049833887043</v>
      </c>
      <c r="BT375" s="98">
        <f>IF(ISERROR((BS375/BK375-1)*100),"NA",IF(((BS375/BK375-1)*100)&gt;100,"NM",IF(((BS375/BK375-1)*100)&lt;-50,"NM",(BS375/BK375-1)*100)))</f>
        <v>0.38643989355546804</v>
      </c>
      <c r="BU375" s="137">
        <f>+BU367/BU353*100</f>
        <v>10.32258064516129</v>
      </c>
      <c r="BV375" s="98">
        <f>IF(ISERROR((BU375/BM375-1)*100),"NA",IF(((BU375/BM375-1)*100)&gt;100,"NM",IF(((BU375/BM375-1)*100)&lt;-50,"NM",(BU375/BM375-1)*100)))</f>
        <v>-26.944054854293277</v>
      </c>
      <c r="BW375" s="137">
        <f>+BW367/BW353*100</f>
        <v>16.984559491371481</v>
      </c>
      <c r="BX375" s="98">
        <f>IF(ISERROR((BW375/BO375-1)*100),"NA",IF(((BW375/BO375-1)*100)&gt;100,"NM",IF(((BW375/BO375-1)*100)&lt;-50,"NM",(BW375/BO375-1)*100)))</f>
        <v>6.4606643863412527</v>
      </c>
      <c r="BY375" s="137">
        <f>+BY367/BY353*100</f>
        <v>15.395894428152493</v>
      </c>
      <c r="BZ375" s="98">
        <f>IF(ISERROR((BY375/BQ375-1)*100),"NA",IF(((BY375/BQ375-1)*100)&gt;100,"NM",IF(((BY375/BQ375-1)*100)&lt;-50,"NM",(BY375/BQ375-1)*100)))</f>
        <v>25.140988044213852</v>
      </c>
      <c r="CA375" s="137">
        <f>+CA367/CA353*100</f>
        <v>12.558764271323037</v>
      </c>
      <c r="CB375" s="98">
        <f>IF(ISERROR((CA375/BS375-1)*100),"NA",IF(((CA375/BS375-1)*100)&gt;100,"NM",IF(((CA375/BS375-1)*100)&lt;-50,"NM",(CA375/BS375-1)*100)))</f>
        <v>-13.298439319535916</v>
      </c>
      <c r="CC375" s="137">
        <f>+CC367/CC353*100</f>
        <v>2.6648900732844769</v>
      </c>
      <c r="CD375" s="98" t="str">
        <f>IF(ISERROR((CC375/BU375-1)*100),"NA",IF(((CC375/BU375-1)*100)&gt;100,"NM",IF(((CC375/BU375-1)*100)&lt;-50,"NM",(CC375/BU375-1)*100)))</f>
        <v>NM</v>
      </c>
      <c r="CE375" s="137">
        <f>+CE367/CE353*100</f>
        <v>13.203883495145632</v>
      </c>
      <c r="CF375" s="98">
        <f>IF(ISERROR((CE375/BW375-1)*100),"NA",IF(((CE375/BW375-1)*100)&gt;100,"NM",IF(((CE375/BW375-1)*100)&lt;-50,"NM",(CE375/BW375-1)*100)))</f>
        <v>-22.259488084730794</v>
      </c>
      <c r="CG375" s="137">
        <f>+CG367/CG353*100</f>
        <v>13.077469793887705</v>
      </c>
      <c r="CH375" s="98">
        <f>IF(ISERROR((CG375/BY375-1)*100),"NA",IF(((CG375/BY375-1)*100)&gt;100,"NM",IF(((CG375/BY375-1)*100)&lt;-50,"NM",(CG375/BY375-1)*100)))</f>
        <v>-15.058720005415104</v>
      </c>
      <c r="CI375" s="137">
        <f>+CI367/CI353*100</f>
        <v>11.667684789248625</v>
      </c>
      <c r="CJ375" s="98">
        <f>IF(ISERROR((CI375/CA375-1)*100),"NA",IF(((CI375/CA375-1)*100)&gt;100,"NM",IF(((CI375/CA375-1)*100)&lt;-50,"NM",(CI375/CA375-1)*100)))</f>
        <v>-7.0952799401540094</v>
      </c>
      <c r="CK375" s="137">
        <f>+CK367/CK353*100</f>
        <v>14.206128133704734</v>
      </c>
      <c r="CL375" s="98" t="str">
        <f>IF(ISERROR((CK375/CC375-1)*100),"NA",IF(((CK375/CC375-1)*100)&gt;100,"NM",IF(((CK375/CC375-1)*100)&lt;-50,"NM",(CK375/CC375-1)*100)))</f>
        <v>NM</v>
      </c>
      <c r="CM375" s="137">
        <f>+CM367/CM353*100</f>
        <v>12.6</v>
      </c>
      <c r="CN375" s="98">
        <f>IF(ISERROR((CM375/CE375-1)*100),"NA",IF(((CM375/CE375-1)*100)&gt;100,"NM",IF(((CM375/CE375-1)*100)&lt;-50,"NM",(CM375/CE375-1)*100)))</f>
        <v>-4.5735294117647207</v>
      </c>
      <c r="CO375" s="137">
        <f>+CO367/CO353*100</f>
        <v>10.572259941804074</v>
      </c>
      <c r="CP375" s="98">
        <f>IF(ISERROR((CO375/CG375-1)*100),"NA",IF(((CO375/CG375-1)*100)&gt;100,"NM",IF(((CO375/CG375-1)*100)&lt;-50,"NM",(CO375/CG375-1)*100)))</f>
        <v>-19.156686205878636</v>
      </c>
      <c r="CQ375" s="494">
        <f>+CQ367/CQ353*100</f>
        <v>12.086659064994299</v>
      </c>
      <c r="CR375" s="98">
        <f>IF(ISERROR((CQ375/CI375-1)*100),"NA",IF(((CQ375/CI375-1)*100)&gt;100,"NM",IF(((CQ375/CI375-1)*100)&lt;-50,"NM",(CQ375/CI375-1)*100)))</f>
        <v>3.5908947088778342</v>
      </c>
      <c r="CS375" s="137">
        <f>+CS367/CS353*100</f>
        <v>9.0570719602977654</v>
      </c>
      <c r="CT375" s="98">
        <f>IF(ISERROR((CS375/CK375-1)*100),"NA",IF(((CS375/CK375-1)*100)&gt;100,"NM",IF(((CS375/CK375-1)*100)&lt;-50,"NM",(CS375/CK375-1)*100)))</f>
        <v>-36.245316985354933</v>
      </c>
      <c r="CU375" s="137">
        <f>+CU367/CU353*100</f>
        <v>12.216216216216216</v>
      </c>
      <c r="CV375" s="98">
        <f>IF(ISERROR((CU375/CM375-1)*100),"NA",IF(((CU375/CM375-1)*100)&gt;100,"NM",IF(((CU375/CM375-1)*100)&lt;-50,"NM",(CU375/CM375-1)*100)))</f>
        <v>-3.0459030459030423</v>
      </c>
      <c r="CW375" s="137">
        <f>+CW367/CW353*100</f>
        <v>13.497652582159624</v>
      </c>
      <c r="CX375" s="98">
        <f>IF(ISERROR((CW375/CO375-1)*100),"NA",IF(((CW375/CO375-1)*100)&gt;100,"NM",IF(((CW375/CO375-1)*100)&lt;-50,"NM",(CW375/CO375-1)*100)))</f>
        <v>27.670456992720837</v>
      </c>
      <c r="CY375" s="137">
        <f>+CY367/CY353*100</f>
        <v>12.903225806451612</v>
      </c>
      <c r="CZ375" s="98">
        <f>IF(ISERROR((CY375/CQ375-1)*100),"NA",IF(((CY375/CQ375-1)*100)&gt;100,"NM",IF(((CY375/CQ375-1)*100)&lt;-50,"NM",(CY375/CQ375-1)*100)))</f>
        <v>6.7559342665855171</v>
      </c>
      <c r="DA375" s="137">
        <f>+DA367/DA353*100</f>
        <v>11.028500619578686</v>
      </c>
      <c r="DB375" s="98">
        <f>IF(ISERROR((DA375/CS375-1)*100),"NA",IF(((DA375/CS375-1)*100)&gt;100,"NM",IF(((DA375/CS375-1)*100)&lt;-50,"NM",(DA375/CS375-1)*100)))</f>
        <v>21.76673286822497</v>
      </c>
      <c r="DC375" s="137">
        <f>+DC367/DC353*100</f>
        <v>14.883148831488317</v>
      </c>
      <c r="DD375" s="98">
        <f>IF(ISERROR((DC375/CU375-1)*100),"NA",IF(((DC375/CU375-1)*100)&gt;100,"NM",IF(((DC375/CU375-1)*100)&lt;-50,"NM",(DC375/CU375-1)*100)))</f>
        <v>21.83108556749287</v>
      </c>
      <c r="DE375" s="137">
        <f>+DE367/DE353*100</f>
        <v>7.9207920792079207</v>
      </c>
      <c r="DF375" s="98">
        <f>IF(ISERROR((DE375/CW375-1)*100),"NA",IF(((DE375/CW375-1)*100)&gt;100,"NM",IF(((DE375/CW375-1)*100)&lt;-50,"NM",(DE375/CW375-1)*100)))</f>
        <v>-41.317262160998702</v>
      </c>
      <c r="DG375" s="137">
        <f>+DG367/DG353*100</f>
        <v>15.403128760529484</v>
      </c>
      <c r="DH375" s="98">
        <f>IF(ISERROR((DG375/CY375-1)*100),"NA",IF(((DG375/CY375-1)*100)&gt;100,"NM",IF(((DG375/CY375-1)*100)&lt;-50,"NM",(DG375/CY375-1)*100)))</f>
        <v>19.374247894103512</v>
      </c>
      <c r="DI375" s="137">
        <f>+DI367/DI353*100</f>
        <v>11.380145278450362</v>
      </c>
      <c r="DJ375" s="98">
        <f>IF(ISERROR((DI375/DA375-1)*100),"NA",IF(((DI375/DA375-1)*100)&gt;100,"NM",IF(((DI375/DA375-1)*100)&lt;-50,"NM",(DI375/DA375-1)*100)))</f>
        <v>3.1885083113420531</v>
      </c>
      <c r="DK375" s="137">
        <f>+DK367/DK353*100</f>
        <v>10.97708082026538</v>
      </c>
      <c r="DL375" s="98">
        <f>IF(ISERROR((DK375/DC375-1)*100),"NA",IF(((DK375/DC375-1)*100)&gt;100,"NM",IF(((DK375/DC375-1)*100)&lt;-50,"NM",(DK375/DC375-1)*100)))</f>
        <v>-26.244903248960718</v>
      </c>
      <c r="DM375" s="137">
        <f>+DM367/DM353*100</f>
        <v>9.4660194174757279</v>
      </c>
      <c r="DN375" s="98">
        <f>IF(ISERROR((DM375/DE375-1)*100),"NA",IF(((DM375/DE375-1)*100)&gt;100,"NM",IF(((DM375/DE375-1)*100)&lt;-50,"NM",(DM375/DE375-1)*100)))</f>
        <v>19.508495145631066</v>
      </c>
      <c r="DO375" s="137">
        <f>+DO367/DO353*100</f>
        <v>12.038140643623361</v>
      </c>
      <c r="DP375" s="98">
        <f>IF(ISERROR((DO375/DG375-1)*100),"NA",IF(((DO375/DG375-1)*100)&gt;100,"NM",IF(((DO375/DG375-1)*100)&lt;-50,"NM",(DO375/DG375-1)*100)))</f>
        <v>-21.846133790226464</v>
      </c>
      <c r="DQ375" s="137">
        <f>+DQ367/DQ353*100</f>
        <v>5.7068741893644619</v>
      </c>
      <c r="DR375" s="98">
        <f>IF(ISERROR((DQ375/DI375-1)*100),"NA",IF(((DQ375/DI375-1)*100)&gt;100,"NM",IF(((DQ375/DI375-1)*100)&lt;-50,"NM",(DQ375/DI375-1)*100)))</f>
        <v>-49.852360846648445</v>
      </c>
      <c r="DS375" s="137">
        <f>+DS367/DS353*100</f>
        <v>11.522048364153626</v>
      </c>
      <c r="DT375" s="98">
        <f>IF(ISERROR((DS375/DK375-1)*100),"NA",IF(((DS375/DK375-1)*100)&gt;100,"NM",IF(((DS375/DK375-1)*100)&lt;-50,"NM",(DS375/DK375-1)*100)))</f>
        <v>4.9645944382786356</v>
      </c>
      <c r="DU375" s="137">
        <f>+DU367/DU353*100</f>
        <v>7.6819407008086262</v>
      </c>
      <c r="DV375" s="98">
        <f>IF(ISERROR((DU375/DM375-1)*100),"NA",IF(((DU375/DM375-1)*100)&gt;100,"NM",IF(((DU375/DM375-1)*100)&lt;-50,"NM",(DU375/DM375-1)*100)))</f>
        <v>-18.847190545303739</v>
      </c>
      <c r="DW375" s="137">
        <f>+DW367/DW353*100</f>
        <v>10.428571428571429</v>
      </c>
      <c r="DX375" s="98">
        <f>IF(ISERROR((DW375/DO375-1)*100),"NA",IF(((DW375/DO375-1)*100)&gt;100,"NM",IF(((DW375/DO375-1)*100)&lt;-50,"NM",(DW375/DO375-1)*100)))</f>
        <v>-13.370579915134373</v>
      </c>
      <c r="DY375" s="137">
        <f>+DY367/DY353*100</f>
        <v>7.1225071225071224</v>
      </c>
      <c r="DZ375" s="98">
        <f>IF(ISERROR((DY375/DQ375-1)*100),"NA",IF(((DY375/DQ375-1)*100)&gt;100,"NM",IF(((DY375/DQ375-1)*100)&lt;-50,"NM",(DY375/DQ375-1)*100)))</f>
        <v>24.805749805749812</v>
      </c>
      <c r="EA375" s="137">
        <f>+EA367/EA353*100</f>
        <v>10.647482014388489</v>
      </c>
      <c r="EB375" s="98">
        <f>IF(ISERROR((EA375/DS375-1)*100),"NA",IF(((EA375/DS375-1)*100)&gt;100,"NM",IF(((EA375/DS375-1)*100)&lt;-50,"NM",(EA375/DS375-1)*100)))</f>
        <v>-7.590372146727054</v>
      </c>
      <c r="EC375" s="137">
        <f>+EC367/EC353*100</f>
        <v>10.335195530726256</v>
      </c>
      <c r="ED375" s="98">
        <f>IF(ISERROR((EC375/DU375-1)*100),"NA",IF(((EC375/DU375-1)*100)&gt;100,"NM",IF(((EC375/DU375-1)*100)&lt;-50,"NM",(EC375/DU375-1)*100)))</f>
        <v>34.538861119278621</v>
      </c>
      <c r="EE375" s="137">
        <f>+EE367/EE353*100</f>
        <v>12.108262108262108</v>
      </c>
      <c r="EF375" s="860">
        <f>IF(ISERROR((EE375/DW375-1)*100),"NA",IF(((EE375/DW375-1)*100)&gt;100,"NM",IF(((EE375/DW375-1)*100)&lt;-50,"NM",(EE375/DW375-1)*100)))</f>
        <v>16.106622955938033</v>
      </c>
      <c r="EG375" s="137">
        <f>+EG367/EG353*100</f>
        <v>11.781609195402298</v>
      </c>
      <c r="EH375" s="860">
        <f>IF(ISERROR((EG375/DY375-1)*100),"NA",IF(((EG375/DY375-1)*100)&gt;100,"NM",IF(((EG375/DY375-1)*100)&lt;-50,"NM",(EG375/DY375-1)*100)))</f>
        <v>65.413793103448285</v>
      </c>
      <c r="EI375" s="137">
        <f>+EI367/EI353*100</f>
        <v>12.645348837209303</v>
      </c>
      <c r="EJ375" s="860">
        <f t="shared" ref="EJ375:EJ376" si="1973">IF(ISERROR((EI375/EA375-1)*100),"NA",IF(((EI375/EA375-1)*100)&gt;100,"NM",IF(((EI375/EA375-1)*100)&lt;-50,"NM",(EI375/EA375-1)*100)))</f>
        <v>18.763749214330616</v>
      </c>
      <c r="EK375" s="137">
        <f>+EK367/EK353*100</f>
        <v>12.233285917496444</v>
      </c>
      <c r="EL375" s="860">
        <f t="shared" ref="EL375:EL376" si="1974">IF(ISERROR((EK375/EC375-1)*100),"NA",IF(((EK375/EC375-1)*100)&gt;100,"NM",IF(((EK375/EC375-1)*100)&lt;-50,"NM",(EK375/EC375-1)*100)))</f>
        <v>18.365306985506137</v>
      </c>
      <c r="EM375" s="137">
        <f>+EM367/EM353*100</f>
        <v>12.939521800281295</v>
      </c>
      <c r="EN375" s="860">
        <f t="shared" ref="EN375:EN376" si="1975">IF(ISERROR((EM375/EE375-1)*100),"NA",IF(((EM375/EE375-1)*100)&gt;100,"NM",IF(((EM375/EE375-1)*100)&lt;-50,"NM",(EM375/EE375-1)*100)))</f>
        <v>6.8652271034996382</v>
      </c>
      <c r="EO375" s="137">
        <f>+EO367/EO353*100</f>
        <v>12.448700410396716</v>
      </c>
      <c r="EP375" s="98">
        <f t="shared" ref="EP375:EP376" si="1976">IF(ISERROR((EO375/EG375-1)*100),"NA",IF(((EO375/EG375-1)*100)&gt;100,"NM",IF(((EO375/EG375-1)*100)&lt;-50,"NM",(EO375/EG375-1)*100)))</f>
        <v>5.6621400687331125</v>
      </c>
      <c r="EQ375" s="842">
        <f>+EQ367/EQ353*100</f>
        <v>12.066102605425733</v>
      </c>
      <c r="ER375" s="98">
        <f t="shared" ref="ER375:ER376" si="1977">IF(ISERROR((EQ375/EI375-1)*100),"NA",IF(((EQ375/EI375-1)*100)&gt;100,"NM",IF(((EQ375/EI375-1)*100)&lt;-50,"NM",(EQ375/EI375-1)*100)))</f>
        <v>-4.5807058329551236</v>
      </c>
      <c r="ES375" s="842">
        <f t="shared" ref="ES375" si="1978">+ES367/ES353*100</f>
        <v>12.031050553050692</v>
      </c>
      <c r="ET375" s="98">
        <f t="shared" ref="ET375:ET376" si="1979">IF(ISERROR((ES375/EK375-1)*100),"NA",IF(((ES375/EK375-1)*100)&gt;100,"NM",IF(((ES375/EK375-1)*100)&lt;-50,"NM",(ES375/EK375-1)*100)))</f>
        <v>-1.6531565256437619</v>
      </c>
      <c r="EU375" s="842">
        <f t="shared" ref="EU375" si="1980">+EU367/EU353*100</f>
        <v>11.996075205019144</v>
      </c>
      <c r="EV375" s="98">
        <f t="shared" ref="EV375:EV376" si="1981">IF(ISERROR((EU375/EM375-1)*100),"NA",IF(((EU375/EM375-1)*100)&gt;100,"NM",IF(((EU375/EM375-1)*100)&lt;-50,"NM",(EU375/EM375-1)*100)))</f>
        <v>-7.2912014046890068</v>
      </c>
      <c r="EW375" s="842">
        <f t="shared" ref="EW375" si="1982">+EW367/EW353*100</f>
        <v>11.961176730724786</v>
      </c>
      <c r="EX375" s="98">
        <f t="shared" ref="EX375:EX376" si="1983">IF(ISERROR((EW375/EO375-1)*100),"NA",IF(((EW375/EO375-1)*100)&gt;100,"NM",IF(((EW375/EO375-1)*100)&lt;-50,"NM",(EW375/EO375-1)*100)))</f>
        <v>-3.9162616465953981</v>
      </c>
      <c r="EY375" s="289"/>
      <c r="EZ375" s="601"/>
      <c r="FA375" s="411"/>
      <c r="FB375" s="289">
        <f>+FB367/FB353*100</f>
        <v>-3.8642789820923658</v>
      </c>
      <c r="FC375" s="233"/>
      <c r="FD375" s="291">
        <f>+FD367/FD353*100</f>
        <v>0.5069708491761723</v>
      </c>
      <c r="FE375" s="233" t="str">
        <f>IF(ISERROR((FD375/FB375-1)*100),"NA",IF(((FD375/FB375-1)*100)&gt;100,"NM",IF(((FD375/FB375-1)*100)&lt;-50,"NM",(FD375/FB375-1)*100)))</f>
        <v>NM</v>
      </c>
      <c r="FF375" s="291">
        <f>+FF367/FF353*100</f>
        <v>3.7948717948717952</v>
      </c>
      <c r="FG375" s="233" t="str">
        <f>IF(ISERROR((FF375/FD375-1)*100),"NA",IF(((FF375/FD375-1)*100)&gt;100,"NM",IF(((FF375/FD375-1)*100)&lt;-50,"NM",(FF375/FD375-1)*100)))</f>
        <v>NM</v>
      </c>
      <c r="FH375" s="291">
        <f>+FH367/FH353*100</f>
        <v>5.3127677806341049</v>
      </c>
      <c r="FI375" s="233">
        <f>IF(ISERROR((FH375/FF375-1)*100),"NA",IF(((FH375/FF375-1)*100)&gt;100,"NM",IF(((FH375/FF375-1)*100)&lt;-50,"NM",(FH375/FF375-1)*100)))</f>
        <v>39.998610435628422</v>
      </c>
      <c r="FJ375" s="291">
        <f>+FJ367/FJ353*100</f>
        <v>5.68075117370892</v>
      </c>
      <c r="FK375" s="233">
        <f>IF(ISERROR((FJ375/FH375-1)*100),"NA",IF(((FJ375/FH375-1)*100)&gt;100,"NM",IF(((FJ375/FH375-1)*100)&lt;-50,"NM",(FJ375/FH375-1)*100)))</f>
        <v>6.926397092230796</v>
      </c>
      <c r="FL375" s="291">
        <f>+FL367/FL353*100</f>
        <v>8.7282780410742493</v>
      </c>
      <c r="FM375" s="233">
        <f>IF(ISERROR((FL375/FJ375-1)*100),"NA",IF(((FL375/FJ375-1)*100)&gt;100,"NM",IF(((FL375/FJ375-1)*100)&lt;-50,"NM",(FL375/FJ375-1)*100)))</f>
        <v>53.646547334612826</v>
      </c>
      <c r="FN375" s="291">
        <f>+FN367/FN353*100</f>
        <v>8.6792452830188669</v>
      </c>
      <c r="FO375" s="233">
        <f>IF(ISERROR((FN375/FL375-1)*100),"NA",IF(((FN375/FL375-1)*100)&gt;100,"NM",IF(((FN375/FL375-1)*100)&lt;-50,"NM",(FN375/FL375-1)*100)))</f>
        <v>-0.56176897464356168</v>
      </c>
      <c r="FP375" s="291">
        <f>+FP367/FP353*100</f>
        <v>8.1289611463213003</v>
      </c>
      <c r="FQ375" s="233">
        <f>IF(ISERROR((FP375/FN375-1)*100),"NA",IF(((FP375/FN375-1)*100)&gt;100,"NM",IF(((FP375/FN375-1)*100)&lt;-50,"NM",(FP375/FN375-1)*100)))</f>
        <v>-6.3402302706458746</v>
      </c>
      <c r="FR375" s="290">
        <f>+FR367/FR353*100</f>
        <v>7.4156305506216702</v>
      </c>
      <c r="FS375" s="120">
        <f>IF(ISERROR((FR375/FP375-1)*100),"NA",IF(((FR375/FP375-1)*100)&gt;100,"NM",IF(((FR375/FP375-1)*100)&lt;-50,"NM",(FR375/FP375-1)*100)))</f>
        <v>-8.775175362013421</v>
      </c>
      <c r="FT375" s="290">
        <f>+FT367/FT353*100</f>
        <v>13.795674869500374</v>
      </c>
      <c r="FU375" s="120">
        <f>IF(ISERROR((FT375/FR375-1)*100),"NA",IF(((FT375/FR375-1)*100)&gt;100,"NM",IF(((FT375/FR375-1)*100)&lt;-50,"NM",(FT375/FR375-1)*100)))</f>
        <v>86.035088659370302</v>
      </c>
      <c r="FV375" s="290">
        <f>+FV367/FV353*100</f>
        <v>12.771126149574874</v>
      </c>
      <c r="FW375" s="98">
        <f>IF(ISERROR((FV375/FT375-1)*100),"NA",IF(((FV375/FT375-1)*100)&gt;100,"NM",IF(((FV375/FT375-1)*100)&lt;-50,"NM",(FV375/FT375-1)*100)))</f>
        <v>-7.4265936941626753</v>
      </c>
      <c r="FX375" s="487">
        <f>+FX367/FX353*100</f>
        <v>11.439046746104491</v>
      </c>
      <c r="FY375" s="98">
        <f>IF(ISERROR((FX375/FV375-1)*100),"NA",IF(((FX375/FV375-1)*100)&gt;100,"NM",IF(((FX375/FV375-1)*100)&lt;-50,"NM",(FX375/FV375-1)*100)))</f>
        <v>-10.430398916032358</v>
      </c>
      <c r="FZ375" s="290">
        <f>+FZ367/FZ353*100</f>
        <v>13.063909774436091</v>
      </c>
      <c r="GA375" s="98">
        <f>IF(ISERROR((FZ375/FX375-1)*100),"NA",IF(((FZ375/FX375-1)*100)&gt;100,"NM",IF(((FZ375/FX375-1)*100)&lt;-50,"NM",(FZ375/FX375-1)*100)))</f>
        <v>14.204531762097549</v>
      </c>
      <c r="GB375" s="487">
        <f>+GB367/GB353*100</f>
        <v>11.705493241299973</v>
      </c>
      <c r="GC375" s="98">
        <f>IF(ISERROR((GB375/FZ375-1)*100),"NA",IF(((GB375/FZ375-1)*100)&gt;100,"NM",IF(((GB375/FZ375-1)*100)&lt;-50,"NM",(GB375/FZ375-1)*100)))</f>
        <v>-10.398238786020364</v>
      </c>
      <c r="GD375" s="290">
        <f>+GD367/GD353*100</f>
        <v>12.414409050312592</v>
      </c>
      <c r="GE375" s="98">
        <f>IF(ISERROR((GD375/GB375-1)*100),"NA",IF(((GD375/GB375-1)*100)&gt;100,"NM",IF(((GD375/GB375-1)*100)&lt;-50,"NM",(GD375/GB375-1)*100)))</f>
        <v>6.0562660145869307</v>
      </c>
      <c r="GF375" s="290">
        <f>+GF367/GF353*100</f>
        <v>12.416107382550337</v>
      </c>
      <c r="GG375" s="98">
        <f>IF(ISERROR((GF375/GD375-1)*100),"NA",IF(((GF375/GD375-1)*100)&gt;100,"NM",IF(((GF375/GD375-1)*100)&lt;-50,"NM",(GF375/GD375-1)*100)))</f>
        <v>1.368033090307641E-2</v>
      </c>
      <c r="GH375" s="290">
        <f>+GH367/GH353*100</f>
        <v>9.6230462764327314</v>
      </c>
      <c r="GI375" s="98">
        <f>IF(ISERROR((GH375/GF375-1)*100),"NA",IF(((GH375/GF375-1)*100)&gt;100,"NM",IF(((GH375/GF375-1)*100)&lt;-50,"NM",(GH375/GF375-1)*100)))</f>
        <v>-22.495465124947202</v>
      </c>
      <c r="GJ375" s="290">
        <f>+GJ367/GJ353*100</f>
        <v>9.167544783983141</v>
      </c>
      <c r="GK375" s="98">
        <f>IF(ISERROR((GJ375/GH375-1)*100),"NA",IF(((GJ375/GH375-1)*100)&gt;100,"NM",IF(((GJ375/GH375-1)*100)&lt;-50,"NM",(GJ375/GH375-1)*100)))</f>
        <v>-4.7334438530669214</v>
      </c>
      <c r="GL375" s="290">
        <f>+GL367/GL353*100</f>
        <v>11.213955144179423</v>
      </c>
      <c r="GM375" s="98">
        <f>IF(ISERROR((GL375/GJ375-1)*100),"NA",IF(((GL375/GJ375-1)*100)&gt;100,"NM",IF(((GL375/GJ375-1)*100)&lt;-50,"NM",(GL375/GJ375-1)*100)))</f>
        <v>22.322338296853683</v>
      </c>
      <c r="GN375" s="290">
        <f>+GN367/GN353*100</f>
        <v>12.566184256971408</v>
      </c>
      <c r="GO375" s="98">
        <f>IF(ISERROR((GN375/GL375-1)*100),"NA",IF(((GN375/GL375-1)*100)&gt;100,"NM",IF(((GN375/GL375-1)*100)&lt;-50,"NM",(GN375/GL375-1)*100)))</f>
        <v>12.058449453437103</v>
      </c>
      <c r="GP375" s="290">
        <f>+GP367/GP353*100</f>
        <v>12.012795027806861</v>
      </c>
      <c r="GQ375" s="98">
        <f>IF(ISERROR((GP375/GN375-1)*100),"NA",IF(((GP375/GN375-1)*100)&gt;100,"NM",IF(((GP375/GN375-1)*100)&lt;-50,"NM",(GP375/GN375-1)*100)))</f>
        <v>-4.403796871413368</v>
      </c>
      <c r="GR375" s="289">
        <f>+GR367/GR353*100</f>
        <v>12.868111737229352</v>
      </c>
      <c r="GS375" s="98">
        <f>IF(ISERROR((GR375/GP375-1)*100),"NA",IF(((GR375/GP375-1)*100)&gt;100,"NM",IF(((GR375/GP375-1)*100)&lt;-50,"NM",(GR375/GP375-1)*100)))</f>
        <v>7.1200474780650946</v>
      </c>
      <c r="GT375" s="289">
        <f>+GT367/GT353*100</f>
        <v>12.868111737229363</v>
      </c>
      <c r="GU375" s="98">
        <f>IF(ISERROR((GT375/GR375-1)*100),"NA",IF(((GT375/GR375-1)*100)&gt;100,"NM",IF(((GT375/GR375-1)*100)&lt;-50,"NM",(GT375/GR375-1)*100)))</f>
        <v>8.8817841970012523E-14</v>
      </c>
      <c r="GV375" s="289">
        <f>+GV367/GV353*100</f>
        <v>12.868111737229349</v>
      </c>
      <c r="GW375" s="98">
        <f>IF(ISERROR((GV375/GT375-1)*100),"NA",IF(((GV375/GT375-1)*100)&gt;100,"NM",IF(((GV375/GT375-1)*100)&lt;-50,"NM",(GV375/GT375-1)*100)))</f>
        <v>-1.1102230246251565E-13</v>
      </c>
      <c r="GX375" s="289">
        <f>+GX367/GX353*100</f>
        <v>12.144695284341795</v>
      </c>
      <c r="GY375" s="98">
        <f>IF(ISERROR((GX375/GV375-1)*100),"NA",IF(((GX375/GV375-1)*100)&gt;100,"NM",IF(((GX375/GV375-1)*100)&lt;-50,"NM",(GX375/GV375-1)*100)))</f>
        <v>-5.6217762765814587</v>
      </c>
      <c r="GZ375" s="98">
        <f>IF(ISERROR(((GX375/GN375)^0.2-1)*100),"NA",IF((((GX375/GN375)^0.2-1)*100)&gt;100,"NM",IF((((GX375/GN375)^0.2-1)*100)&lt;-50,"NM",((GX375/GN375)^0.2-1)*100)))</f>
        <v>-0.6800162474130178</v>
      </c>
      <c r="HA375" s="98"/>
      <c r="HB375" s="10"/>
      <c r="HC375"/>
      <c r="HD375"/>
      <c r="HE375"/>
      <c r="HF375"/>
      <c r="HG375"/>
      <c r="HH375"/>
      <c r="HI375" s="10"/>
    </row>
    <row r="376" spans="1:217" s="2" customFormat="1" ht="12.75" customHeight="1" x14ac:dyDescent="0.2">
      <c r="B376" s="91" t="s">
        <v>105</v>
      </c>
      <c r="C376" s="293">
        <f>+C370/C353*100</f>
        <v>4.8458149779735686</v>
      </c>
      <c r="D376" s="98"/>
      <c r="E376" s="293">
        <f>+E370/E353*100</f>
        <v>2.82258064516129</v>
      </c>
      <c r="F376" s="98"/>
      <c r="G376" s="293">
        <f>+G370/G353*100</f>
        <v>2.083333333333333</v>
      </c>
      <c r="H376" s="98"/>
      <c r="I376" s="293">
        <f>+I370/I353*100</f>
        <v>1.1583011583011582</v>
      </c>
      <c r="J376" s="98"/>
      <c r="K376" s="293">
        <f>+K370/K353*100</f>
        <v>7.03125</v>
      </c>
      <c r="L376" s="98">
        <f>IF(ISERROR((K376/C376-1)*100),"NA",IF(((K376/C376-1)*100)&gt;100,"NM",IF(((K376/C376-1)*100)&lt;-50,"NM",(K376/C376-1)*100)))</f>
        <v>45.099431818181813</v>
      </c>
      <c r="M376" s="293">
        <f>+M370/M353*100</f>
        <v>4.0892193308550189</v>
      </c>
      <c r="N376" s="98">
        <f>IF(ISERROR((M376/E376-1)*100),"NA",IF(((M376/E376-1)*100)&gt;100,"NM",IF(((M376/E376-1)*100)&lt;-50,"NM",(M376/E376-1)*100)))</f>
        <v>44.875199150292119</v>
      </c>
      <c r="O376" s="293">
        <f>+O370/O353*100</f>
        <v>3.8596491228070176</v>
      </c>
      <c r="P376" s="98">
        <f>IF(ISERROR((O376/G376-1)*100),"NA",IF(((O376/G376-1)*100)&gt;100,"NM",IF(((O376/G376-1)*100)&lt;-50,"NM",(O376/G376-1)*100)))</f>
        <v>85.263157894736864</v>
      </c>
      <c r="Q376" s="293">
        <f>+Q370/Q353*100</f>
        <v>-2.2408963585434174</v>
      </c>
      <c r="R376" s="98" t="str">
        <f>IF(ISERROR((Q376/I376-1)*100),"NA",IF(((Q376/I376-1)*100)&gt;100,"NM",IF(((Q376/I376-1)*100)&lt;-50,"NM",(Q376/I376-1)*100)))</f>
        <v>NM</v>
      </c>
      <c r="S376" s="293">
        <f>+S370/S353*100</f>
        <v>3.0434782608695654</v>
      </c>
      <c r="T376" s="98" t="str">
        <f>IF(ISERROR((S376/K376-1)*100),"NA",IF(((S376/K376-1)*100)&gt;100,"NM",IF(((S376/K376-1)*100)&lt;-50,"NM",(S376/K376-1)*100)))</f>
        <v>NM</v>
      </c>
      <c r="U376" s="293">
        <f>+U370/U353*100</f>
        <v>0.52770448548812665</v>
      </c>
      <c r="V376" s="98" t="str">
        <f>IF(ISERROR((U376/M376-1)*100),"NA",IF(((U376/M376-1)*100)&gt;100,"NM",IF(((U376/M376-1)*100)&lt;-50,"NM",(U376/M376-1)*100)))</f>
        <v>NM</v>
      </c>
      <c r="W376" s="293">
        <f>+W370/W353*100</f>
        <v>6.8965517241379306</v>
      </c>
      <c r="X376" s="98">
        <f>IF(ISERROR((W376/O376-1)*100),"NA",IF(((W376/O376-1)*100)&gt;100,"NM",IF(((W376/O376-1)*100)&lt;-50,"NM",(W376/O376-1)*100)))</f>
        <v>78.68338557993728</v>
      </c>
      <c r="Y376" s="293">
        <f>+Y370/Y353*100</f>
        <v>5.3445850914205346</v>
      </c>
      <c r="Z376" s="98" t="str">
        <f>IF(ISERROR((Y376/Q376-1)*100),"NA",IF(((Y376/Q376-1)*100)&gt;100,"NM",IF(((Y376/Q376-1)*100)&lt;-50,"NM",(Y376/Q376-1)*100)))</f>
        <v>NM</v>
      </c>
      <c r="AA376" s="293">
        <f>+AA370/AA353*100</f>
        <v>4.852686308492201</v>
      </c>
      <c r="AB376" s="98">
        <f>IF(ISERROR((AA376/S376-1)*100),"NA",IF(((AA376/S376-1)*100)&gt;100,"NM",IF(((AA376/S376-1)*100)&lt;-50,"NM",(AA376/S376-1)*100)))</f>
        <v>59.445407279029453</v>
      </c>
      <c r="AC376" s="293">
        <f>+AC370/AC353*100</f>
        <v>16.50485436893204</v>
      </c>
      <c r="AD376" s="98" t="str">
        <f>IF(ISERROR((AC376/U376-1)*100),"NA",IF(((AC376/U376-1)*100)&gt;100,"NM",IF(((AC376/U376-1)*100)&lt;-50,"NM",(AC376/U376-1)*100)))</f>
        <v>NM</v>
      </c>
      <c r="AE376" s="293">
        <f>+AE370/AE353*100</f>
        <v>5.6574923547400608</v>
      </c>
      <c r="AF376" s="98">
        <f>IF(ISERROR((AE376/W376-1)*100),"NA",IF(((AE376/W376-1)*100)&gt;100,"NM",IF(((AE376/W376-1)*100)&lt;-50,"NM",(AE376/W376-1)*100)))</f>
        <v>-17.966360856269116</v>
      </c>
      <c r="AG376" s="124">
        <f>+AG370/AG353*100</f>
        <v>4.9780380673499272</v>
      </c>
      <c r="AH376" s="98">
        <f>IF(ISERROR((AG376/Y376-1)*100),"NA",IF(((AG376/Y376-1)*100)&gt;100,"NM",IF(((AG376/Y376-1)*100)&lt;-50,"NM",(AG376/Y376-1)*100)))</f>
        <v>-6.8582877398474125</v>
      </c>
      <c r="AI376" s="124">
        <f>+AI370/AI353*100</f>
        <v>7.18954248366013</v>
      </c>
      <c r="AJ376" s="98">
        <f>IF(ISERROR((AI376/AA376-1)*100),"NA",IF(((AI376/AA376-1)*100)&gt;100,"NM",IF(((AI376/AA376-1)*100)&lt;-50,"NM",(AI376/AA376-1)*100)))</f>
        <v>48.155929038281961</v>
      </c>
      <c r="AK376" s="124">
        <f>+AK370/AK353*100</f>
        <v>6.5810593900481535</v>
      </c>
      <c r="AL376" s="98" t="str">
        <f>IF(ISERROR((AK376/AC376-1)*100),"NA",IF(((AK376/AC376-1)*100)&gt;100,"NM",IF(((AK376/AC376-1)*100)&lt;-50,"NM",(AK376/AC376-1)*100)))</f>
        <v>NM</v>
      </c>
      <c r="AM376" s="124">
        <f>+AM370/AM353*100</f>
        <v>6.9117647058823533</v>
      </c>
      <c r="AN376" s="98">
        <f>IF(ISERROR((AM376/AE376-1)*100),"NA",IF(((AM376/AE376-1)*100)&gt;100,"NM",IF(((AM376/AE376-1)*100)&lt;-50,"NM",(AM376/AE376-1)*100)))</f>
        <v>22.170111287758367</v>
      </c>
      <c r="AO376" s="124">
        <f>+AO370/AO353*100</f>
        <v>4.0816326530612246</v>
      </c>
      <c r="AP376" s="98">
        <f>IF(ISERROR((AO376/AG376-1)*100),"NA",IF(((AO376/AG376-1)*100)&gt;100,"NM",IF(((AO376/AG376-1)*100)&lt;-50,"NM",(AO376/AG376-1)*100)))</f>
        <v>-18.007202881152462</v>
      </c>
      <c r="AQ376" s="124">
        <f>+AQ370/AQ353*100</f>
        <v>9.2265943012211658</v>
      </c>
      <c r="AR376" s="98">
        <f>IF(ISERROR((AQ376/AI376-1)*100),"NA",IF(((AQ376/AI376-1)*100)&gt;100,"NM",IF(((AQ376/AI376-1)*100)&lt;-50,"NM",(AQ376/AI376-1)*100)))</f>
        <v>28.333538916985312</v>
      </c>
      <c r="AS376" s="124">
        <f>+AS370/AS353*100</f>
        <v>6.4638783269961975</v>
      </c>
      <c r="AT376" s="98">
        <f>IF(ISERROR((AS376/AK376-1)*100),"NA",IF(((AS376/AK376-1)*100)&gt;100,"NM",IF(((AS376/AK376-1)*100)&lt;-50,"NM",(AS376/AK376-1)*100)))</f>
        <v>-1.7805805434480182</v>
      </c>
      <c r="AU376" s="124">
        <f>+AU370/AU353*100</f>
        <v>6.4015518913676042</v>
      </c>
      <c r="AV376" s="98">
        <f>IF(ISERROR((AU376/AM376-1)*100),"NA",IF(((AU376/AM376-1)*100)&gt;100,"NM",IF(((AU376/AM376-1)*100)&lt;-50,"NM",(AU376/AM376-1)*100)))</f>
        <v>-7.3818024227665813</v>
      </c>
      <c r="AW376" s="124">
        <f>+AW370/AW353*100</f>
        <v>4.4776119402985071</v>
      </c>
      <c r="AX376" s="98">
        <f>IF(ISERROR((AW376/AO376-1)*100),"NA",IF(((AW376/AO376-1)*100)&gt;100,"NM",IF(((AW376/AO376-1)*100)&lt;-50,"NM",(AW376/AO376-1)*100)))</f>
        <v>9.7014925373134275</v>
      </c>
      <c r="AY376" s="137">
        <f>+AY370/AY353*100</f>
        <v>7.3786407766990285</v>
      </c>
      <c r="AZ376" s="98">
        <f>IF(ISERROR((AY376/AQ376-1)*100),"NA",IF(((AY376/AQ376-1)*100)&gt;100,"NM",IF(((AY376/AQ376-1)*100)&lt;-50,"NM",(AY376/AQ376-1)*100)))</f>
        <v>-20.02855511136493</v>
      </c>
      <c r="BA376" s="137">
        <f>+BA370/BA353*100</f>
        <v>5.8769513314967856</v>
      </c>
      <c r="BB376" s="98">
        <f>IF(ISERROR((BA376/AS376-1)*100),"NA",IF(((BA376/AS376-1)*100)&gt;100,"NM",IF(((BA376/AS376-1)*100)&lt;-50,"NM",(BA376/AS376-1)*100)))</f>
        <v>-9.0801058715497263</v>
      </c>
      <c r="BC376" s="137">
        <f>+BC370/BC353*100</f>
        <v>6.2445793581960105</v>
      </c>
      <c r="BD376" s="98">
        <f>IF(ISERROR((BC376/AU376-1)*100),"NA",IF(((BC376/AU376-1)*100)&gt;100,"NM",IF(((BC376/AU376-1)*100)&lt;-50,"NM",(BC376/AU376-1)*100)))</f>
        <v>-2.4521012378774687</v>
      </c>
      <c r="BE376" s="137">
        <f>+BE370/BE353*100</f>
        <v>1.2987012987012987</v>
      </c>
      <c r="BF376" s="98" t="str">
        <f>IF(ISERROR((BE376/AW376-1)*100),"NA",IF(((BE376/AW376-1)*100)&gt;100,"NM",IF(((BE376/AW376-1)*100)&lt;-50,"NM",(BE376/AW376-1)*100)))</f>
        <v>NM</v>
      </c>
      <c r="BG376" s="137">
        <f>+BG370/BG353*100</f>
        <v>10.214168039538714</v>
      </c>
      <c r="BH376" s="98">
        <f>IF(ISERROR((BG376/AY376-1)*100),"NA",IF(((BG376/AY376-1)*100)&gt;100,"NM",IF(((BG376/AY376-1)*100)&lt;-50,"NM",(BG376/AY376-1)*100)))</f>
        <v>38.428856325327331</v>
      </c>
      <c r="BI376" s="137">
        <f>+BI370/BI353*100</f>
        <v>9.0557275541795672</v>
      </c>
      <c r="BJ376" s="98">
        <f>IF(ISERROR((BI376/BA376-1)*100),"NA",IF(((BI376/BA376-1)*100)&gt;100,"NM",IF(((BI376/BA376-1)*100)&lt;-50,"NM",(BI376/BA376-1)*100)))</f>
        <v>54.088864164086715</v>
      </c>
      <c r="BK376" s="137">
        <f>+BK370/BK353*100</f>
        <v>9.6195262024407757</v>
      </c>
      <c r="BL376" s="98">
        <f>IF(ISERROR((BK376/BC376-1)*100),"NA",IF(((BK376/BC376-1)*100)&gt;100,"NM",IF(((BK376/BC376-1)*100)&lt;-50,"NM",(BK376/BC376-1)*100)))</f>
        <v>54.04602376964187</v>
      </c>
      <c r="BM376" s="137">
        <f>+BM370/BM353*100</f>
        <v>13.174061433447099</v>
      </c>
      <c r="BN376" s="98" t="str">
        <f>IF(ISERROR((BM376/BE376-1)*100),"NA",IF(((BM376/BE376-1)*100)&gt;100,"NM",IF(((BM376/BE376-1)*100)&lt;-50,"NM",(BM376/BE376-1)*100)))</f>
        <v>NM</v>
      </c>
      <c r="BO376" s="137">
        <f>+BO370/BO353*100</f>
        <v>9.2328581126951796</v>
      </c>
      <c r="BP376" s="98">
        <f>IF(ISERROR((BO376/BG376-1)*100),"NA",IF(((BO376/BG376-1)*100)&gt;100,"NM",IF(((BO376/BG376-1)*100)&lt;-50,"NM",(BO376/BG376-1)*100)))</f>
        <v>-9.6073407353875151</v>
      </c>
      <c r="BQ376" s="137">
        <f>+BQ370/BQ353*100</f>
        <v>9.2744479495268131</v>
      </c>
      <c r="BR376" s="98">
        <f>IF(ISERROR((BQ376/BI376-1)*100),"NA",IF(((BQ376/BI376-1)*100)&gt;100,"NM",IF(((BQ376/BI376-1)*100)&lt;-50,"NM",(BQ376/BI376-1)*100)))</f>
        <v>2.4152713742618959</v>
      </c>
      <c r="BS376" s="137">
        <f>+BS370/BS353*100</f>
        <v>9.5681063122923593</v>
      </c>
      <c r="BT376" s="98">
        <f>IF(ISERROR((BS376/BK376-1)*100),"NA",IF(((BS376/BK376-1)*100)&gt;100,"NM",IF(((BS376/BK376-1)*100)&lt;-50,"NM",(BS376/BK376-1)*100)))</f>
        <v>-0.53453661922943096</v>
      </c>
      <c r="BU376" s="137">
        <f>+BU370/BU353*100</f>
        <v>6.290322580645161</v>
      </c>
      <c r="BV376" s="98" t="str">
        <f>IF(ISERROR((BU376/BM376-1)*100),"NA",IF(((BU376/BM376-1)*100)&gt;100,"NM",IF(((BU376/BM376-1)*100)&lt;-50,"NM",(BU376/BM376-1)*100)))</f>
        <v>NM</v>
      </c>
      <c r="BW376" s="137">
        <f>+BW370/BW353*100</f>
        <v>11.89827429609446</v>
      </c>
      <c r="BX376" s="98">
        <f>IF(ISERROR((BW376/BO376-1)*100),"NA",IF(((BW376/BO376-1)*100)&gt;100,"NM",IF(((BW376/BO376-1)*100)&lt;-50,"NM",(BW376/BO376-1)*100)))</f>
        <v>28.868809104023097</v>
      </c>
      <c r="BY376" s="137">
        <f>+BY370/BY353*100</f>
        <v>11.583577712609969</v>
      </c>
      <c r="BZ376" s="98">
        <f>IF(ISERROR((BY376/BQ376-1)*100),"NA",IF(((BY376/BQ376-1)*100)&gt;100,"NM",IF(((BY376/BQ376-1)*100)&lt;-50,"NM",(BY376/BQ376-1)*100)))</f>
        <v>24.897759690386412</v>
      </c>
      <c r="CA376" s="137">
        <f>+CA370/CA353*100</f>
        <v>10.275352585627937</v>
      </c>
      <c r="CB376" s="98">
        <f>IF(ISERROR((CA376/BS376-1)*100),"NA",IF(((CA376/BS376-1)*100)&gt;100,"NM",IF(((CA376/BS376-1)*100)&lt;-50,"NM",(CA376/BS376-1)*100)))</f>
        <v>7.3917058428475402</v>
      </c>
      <c r="CC376" s="137">
        <f>+CC370/CC353*100</f>
        <v>1.3990672884743505</v>
      </c>
      <c r="CD376" s="98" t="str">
        <f>IF(ISERROR((CC376/BU376-1)*100),"NA",IF(((CC376/BU376-1)*100)&gt;100,"NM",IF(((CC376/BU376-1)*100)&lt;-50,"NM",(CC376/BU376-1)*100)))</f>
        <v>NM</v>
      </c>
      <c r="CE376" s="137">
        <f>+CE370/CE353*100</f>
        <v>9.5145631067961158</v>
      </c>
      <c r="CF376" s="98">
        <f>IF(ISERROR((CE376/BW376-1)*100),"NA",IF(((CE376/BW376-1)*100)&gt;100,"NM",IF(((CE376/BW376-1)*100)&lt;-50,"NM",(CE376/BW376-1)*100)))</f>
        <v>-20.034091751278449</v>
      </c>
      <c r="CG376" s="137">
        <f>+CG370/CG353*100</f>
        <v>10.092395167022032</v>
      </c>
      <c r="CH376" s="98">
        <f>IF(ISERROR((CG376/BY376-1)*100),"NA",IF(((CG376/BY376-1)*100)&gt;100,"NM",IF(((CG376/BY376-1)*100)&lt;-50,"NM",(CG376/BY376-1)*100)))</f>
        <v>-12.87324678596169</v>
      </c>
      <c r="CI376" s="137">
        <f>+CI370/CI353*100</f>
        <v>11.54551007941356</v>
      </c>
      <c r="CJ376" s="98">
        <f>IF(ISERROR((CI376/CA376-1)*100),"NA",IF(((CI376/CA376-1)*100)&gt;100,"NM",IF(((CI376/CA376-1)*100)&lt;-50,"NM",(CI376/CA376-1)*100)))</f>
        <v>12.361205936253562</v>
      </c>
      <c r="CK376" s="137">
        <f>+CK370/CK353*100</f>
        <v>11.587743732590528</v>
      </c>
      <c r="CL376" s="98" t="str">
        <f>IF(ISERROR((CK376/CC376-1)*100),"NA",IF(((CK376/CC376-1)*100)&gt;100,"NM",IF(((CK376/CC376-1)*100)&lt;-50,"NM",(CK376/CC376-1)*100)))</f>
        <v>NM</v>
      </c>
      <c r="CM376" s="137">
        <f>+CM370/CM353*100</f>
        <v>7.9</v>
      </c>
      <c r="CN376" s="98">
        <f>IF(ISERROR((CM376/CE376-1)*100),"NA",IF(((CM376/CE376-1)*100)&gt;100,"NM",IF(((CM376/CE376-1)*100)&lt;-50,"NM",(CM376/CE376-1)*100)))</f>
        <v>-16.969387755102026</v>
      </c>
      <c r="CO376" s="137">
        <f>+CO370/CO353*100</f>
        <v>6.2075654704170713</v>
      </c>
      <c r="CP376" s="98">
        <f>IF(ISERROR((CO376/CG376-1)*100),"NA",IF(((CO376/CG376-1)*100)&gt;100,"NM",IF(((CO376/CG376-1)*100)&lt;-50,"NM",(CO376/CG376-1)*100)))</f>
        <v>-38.492643543120984</v>
      </c>
      <c r="CQ376" s="494">
        <f>+CQ370/CQ353*100</f>
        <v>7.4116305587229192</v>
      </c>
      <c r="CR376" s="98">
        <f>IF(ISERROR((CQ376/CI376-1)*100),"NA",IF(((CQ376/CI376-1)*100)&gt;100,"NM",IF(((CQ376/CI376-1)*100)&lt;-50,"NM",(CQ376/CI376-1)*100)))</f>
        <v>-35.805083467569212</v>
      </c>
      <c r="CS376" s="137">
        <f>+CS370/CS353*100</f>
        <v>5.8312655086848642</v>
      </c>
      <c r="CT376" s="98">
        <f>IF(ISERROR((CS376/CK376-1)*100),"NA",IF(((CS376/CK376-1)*100)&gt;100,"NM",IF(((CS376/CK376-1)*100)&lt;-50,"NM",(CS376/CK376-1)*100)))</f>
        <v>-49.677300057262826</v>
      </c>
      <c r="CU376" s="137">
        <f>+CU370/CU353*100</f>
        <v>7.7837837837837833</v>
      </c>
      <c r="CV376" s="98">
        <f>IF(ISERROR((CU376/CM376-1)*100),"NA",IF(((CU376/CM376-1)*100)&gt;100,"NM",IF(((CU376/CM376-1)*100)&lt;-50,"NM",(CU376/CM376-1)*100)))</f>
        <v>-1.471091344509079</v>
      </c>
      <c r="CW376" s="137">
        <f>+CW370/CW353*100</f>
        <v>9.1549295774647899</v>
      </c>
      <c r="CX376" s="98">
        <f>IF(ISERROR((CW376/CO376-1)*100),"NA",IF(((CW376/CO376-1)*100)&gt;100,"NM",IF(((CW376/CO376-1)*100)&lt;-50,"NM",(CW376/CO376-1)*100)))</f>
        <v>47.480193661971846</v>
      </c>
      <c r="CY376" s="137">
        <f>+CY370/CY353*100</f>
        <v>8</v>
      </c>
      <c r="CZ376" s="98">
        <f>IF(ISERROR((CY376/CQ376-1)*100),"NA",IF(((CY376/CQ376-1)*100)&gt;100,"NM",IF(((CY376/CQ376-1)*100)&lt;-50,"NM",(CY376/CQ376-1)*100)))</f>
        <v>7.9384615384615387</v>
      </c>
      <c r="DA376" s="137">
        <f>+DA370/DA353*100</f>
        <v>7.311028500619579</v>
      </c>
      <c r="DB376" s="98">
        <f>IF(ISERROR((DA376/CS376-1)*100),"NA",IF(((DA376/CS376-1)*100)&gt;100,"NM",IF(((DA376/CS376-1)*100)&lt;-50,"NM",(DA376/CS376-1)*100)))</f>
        <v>25.376361095731493</v>
      </c>
      <c r="DC376" s="137">
        <f>+DC370/DC353*100</f>
        <v>10.701107011070111</v>
      </c>
      <c r="DD376" s="98">
        <f>IF(ISERROR((DC376/CU376-1)*100),"NA",IF(((DC376/CU376-1)*100)&gt;100,"NM",IF(((DC376/CU376-1)*100)&lt;-50,"NM",(DC376/CU376-1)*100)))</f>
        <v>37.479499794997963</v>
      </c>
      <c r="DE376" s="137">
        <f>+DE370/DE353*100</f>
        <v>8.4158415841584162</v>
      </c>
      <c r="DF376" s="98">
        <f>IF(ISERROR((DE376/CW376-1)*100),"NA",IF(((DE376/CW376-1)*100)&gt;100,"NM",IF(((DE376/CW376-1)*100)&lt;-50,"NM",(DE376/CW376-1)*100)))</f>
        <v>-8.0731150038080841</v>
      </c>
      <c r="DG376" s="137">
        <f>+DG370/DG353*100</f>
        <v>10.22864019253911</v>
      </c>
      <c r="DH376" s="98">
        <f>IF(ISERROR((DG376/CY376-1)*100),"NA",IF(((DG376/CY376-1)*100)&gt;100,"NM",IF(((DG376/CY376-1)*100)&lt;-50,"NM",(DG376/CY376-1)*100)))</f>
        <v>27.85800240673888</v>
      </c>
      <c r="DI376" s="137">
        <f>+DI370/DI353*100</f>
        <v>10.774818401937045</v>
      </c>
      <c r="DJ376" s="98">
        <f>IF(ISERROR((DI376/DA376-1)*100),"NA",IF(((DI376/DA376-1)*100)&gt;100,"NM",IF(((DI376/DA376-1)*100)&lt;-50,"NM",(DI376/DA376-1)*100)))</f>
        <v>47.377600853613465</v>
      </c>
      <c r="DK376" s="137">
        <f>+DK370/DK353*100</f>
        <v>8.5645355850422202</v>
      </c>
      <c r="DL376" s="98">
        <f>IF(ISERROR((DK376/DC376-1)*100),"NA",IF(((DK376/DC376-1)*100)&gt;100,"NM",IF(((DK376/DC376-1)*100)&lt;-50,"NM",(DK376/DC376-1)*100)))</f>
        <v>-19.965891601846842</v>
      </c>
      <c r="DM376" s="137">
        <f>+DM370/DM353*100</f>
        <v>8.7378640776699026</v>
      </c>
      <c r="DN376" s="98">
        <f>IF(ISERROR((DM376/DE376-1)*100),"NA",IF(((DM376/DE376-1)*100)&gt;100,"NM",IF(((DM376/DE376-1)*100)&lt;-50,"NM",(DM376/DE376-1)*100)))</f>
        <v>3.8263849229011937</v>
      </c>
      <c r="DO376" s="137">
        <f>+DO370/DO353*100</f>
        <v>9.2967818831942779</v>
      </c>
      <c r="DP376" s="98">
        <f>IF(ISERROR((DO376/DG376-1)*100),"NA",IF(((DO376/DG376-1)*100)&gt;100,"NM",IF(((DO376/DG376-1)*100)&lt;-50,"NM",(DO376/DG376-1)*100)))</f>
        <v>-9.1102853537124222</v>
      </c>
      <c r="DQ376" s="137">
        <f>+DQ370/DQ353*100</f>
        <v>8.3009079118028524</v>
      </c>
      <c r="DR376" s="98">
        <f>IF(ISERROR((DQ376/DI376-1)*100),"NA",IF(((DQ376/DI376-1)*100)&gt;100,"NM",IF(((DQ376/DI376-1)*100)&lt;-50,"NM",(DQ376/DI376-1)*100)))</f>
        <v>-22.96011308821172</v>
      </c>
      <c r="DS376" s="137">
        <f>+DS370/DS353*100</f>
        <v>9.9573257467994303</v>
      </c>
      <c r="DT376" s="98">
        <f>IF(ISERROR((DS376/DK376-1)*100),"NA",IF(((DS376/DK376-1)*100)&gt;100,"NM",IF(((DS376/DK376-1)*100)&lt;-50,"NM",(DS376/DK376-1)*100)))</f>
        <v>16.262296395728558</v>
      </c>
      <c r="DU376" s="137">
        <f>+DU370/DU353*100</f>
        <v>6.7385444743935308</v>
      </c>
      <c r="DV376" s="98">
        <f>IF(ISERROR((DU376/DM376-1)*100),"NA",IF(((DU376/DM376-1)*100)&gt;100,"NM",IF(((DU376/DM376-1)*100)&lt;-50,"NM",(DU376/DM376-1)*100)))</f>
        <v>-22.881102126385144</v>
      </c>
      <c r="DW376" s="137">
        <f>+DW370/DW353*100</f>
        <v>9.4285714285714288</v>
      </c>
      <c r="DX376" s="98">
        <f>IF(ISERROR((DW376/DO376-1)*100),"NA",IF(((DW376/DO376-1)*100)&gt;100,"NM",IF(((DW376/DO376-1)*100)&lt;-50,"NM",(DW376/DO376-1)*100)))</f>
        <v>1.4175824175824303</v>
      </c>
      <c r="DY376" s="137">
        <f>+DY370/DY353*100</f>
        <v>7.6923076923076925</v>
      </c>
      <c r="DZ376" s="98">
        <f>IF(ISERROR((DY376/DQ376-1)*100),"NA",IF(((DY376/DQ376-1)*100)&gt;100,"NM",IF(((DY376/DQ376-1)*100)&lt;-50,"NM",(DY376/DQ376-1)*100)))</f>
        <v>-7.3317307692307594</v>
      </c>
      <c r="EA376" s="137">
        <f>+EA370/EA353*100</f>
        <v>9.0647482014388494</v>
      </c>
      <c r="EB376" s="98">
        <f>IF(ISERROR((EA376/DS376-1)*100),"NA",IF(((EA376/DS376-1)*100)&gt;100,"NM",IF(((EA376/DS376-1)*100)&lt;-50,"NM",(EA376/DS376-1)*100)))</f>
        <v>-8.9640287769784059</v>
      </c>
      <c r="EC376" s="137">
        <f>+EC370/EC353*100</f>
        <v>8.938547486033519</v>
      </c>
      <c r="ED376" s="98">
        <f>IF(ISERROR((EC376/DU376-1)*100),"NA",IF(((EC376/DU376-1)*100)&gt;100,"NM",IF(((EC376/DU376-1)*100)&lt;-50,"NM",(EC376/DU376-1)*100)))</f>
        <v>32.648044692737429</v>
      </c>
      <c r="EE376" s="137">
        <f>+EE370/EE353*100</f>
        <v>10.541310541310542</v>
      </c>
      <c r="EF376" s="860">
        <f>IF(ISERROR((EE376/DW376-1)*100),"NA",IF(((EE376/DW376-1)*100)&gt;100,"NM",IF(((EE376/DW376-1)*100)&lt;-50,"NM",(EE376/DW376-1)*100)))</f>
        <v>11.801778468445146</v>
      </c>
      <c r="EG376" s="137">
        <f>+EG370/EG353*100</f>
        <v>10.344827586206897</v>
      </c>
      <c r="EH376" s="860">
        <f>IF(ISERROR((EG376/DY376-1)*100),"NA",IF(((EG376/DY376-1)*100)&gt;100,"NM",IF(((EG376/DY376-1)*100)&lt;-50,"NM",(EG376/DY376-1)*100)))</f>
        <v>34.482758620689658</v>
      </c>
      <c r="EI376" s="137">
        <f>+EI370/EI353*100</f>
        <v>10.901162790697674</v>
      </c>
      <c r="EJ376" s="860">
        <f t="shared" si="1973"/>
        <v>20.258859357696558</v>
      </c>
      <c r="EK376" s="137">
        <f>+EK370/EK353*100</f>
        <v>10.241820768136558</v>
      </c>
      <c r="EL376" s="860">
        <f t="shared" si="1974"/>
        <v>14.580369843527752</v>
      </c>
      <c r="EM376" s="137">
        <f>+EM370/EM353*100</f>
        <v>9.9859353023909989</v>
      </c>
      <c r="EN376" s="860">
        <f t="shared" si="1975"/>
        <v>-5.2685596989394572</v>
      </c>
      <c r="EO376" s="137">
        <f>+EO370/EO353*100</f>
        <v>10.807113543091655</v>
      </c>
      <c r="EP376" s="98">
        <f t="shared" si="1976"/>
        <v>4.4687642498859814</v>
      </c>
      <c r="EQ376" s="1045">
        <f>+EQ370/EQ353*100</f>
        <v>10.376848240666131</v>
      </c>
      <c r="ER376" s="98">
        <f t="shared" si="1977"/>
        <v>-4.8097121389560122</v>
      </c>
      <c r="ES376" s="1045">
        <f t="shared" ref="ES376" si="1984">+ES370/ES353*100</f>
        <v>10.346703475623594</v>
      </c>
      <c r="ET376" s="98">
        <f t="shared" si="1979"/>
        <v>1.024063102269257</v>
      </c>
      <c r="EU376" s="1045">
        <f t="shared" ref="EU376" si="1985">+EU370/EU353*100</f>
        <v>10.316624676316465</v>
      </c>
      <c r="EV376" s="98">
        <f t="shared" si="1981"/>
        <v>3.3115513360705062</v>
      </c>
      <c r="EW376" s="1045">
        <f t="shared" ref="EW376" si="1986">+EW370/EW353*100</f>
        <v>10.286611988423315</v>
      </c>
      <c r="EX376" s="98">
        <f t="shared" si="1983"/>
        <v>-4.816286537500714</v>
      </c>
      <c r="EY376" s="291"/>
      <c r="EZ376" s="601"/>
      <c r="FA376" s="411"/>
      <c r="FB376" s="242" t="s">
        <v>494</v>
      </c>
      <c r="FC376" s="233"/>
      <c r="FD376" s="291">
        <f>+FD370/FD353*100</f>
        <v>2.2813688212927756</v>
      </c>
      <c r="FE376" s="233" t="str">
        <f>IF(ISERROR((FD376/FB376-1)*100),"NA",IF(((FD376/FB376-1)*100)&gt;100,"NM",IF(((FD376/FB376-1)*100)&lt;-50,"NM",(FD376/FB376-1)*100)))</f>
        <v>NA</v>
      </c>
      <c r="FF376" s="291">
        <f>+FF370/FF353*100</f>
        <v>2.8717948717948718</v>
      </c>
      <c r="FG376" s="233">
        <f>IF(ISERROR((FF376/FD376-1)*100),"NA",IF(((FF376/FD376-1)*100)&gt;100,"NM",IF(((FF376/FD376-1)*100)&lt;-50,"NM",(FF376/FD376-1)*100)))</f>
        <v>25.880341880341874</v>
      </c>
      <c r="FH376" s="291">
        <f>+FH370/FH353*100</f>
        <v>2.7420736932305059</v>
      </c>
      <c r="FI376" s="233">
        <f>IF(ISERROR((FH376/FF376-1)*100),"NA",IF(((FH376/FF376-1)*100)&gt;100,"NM",IF(((FH376/FF376-1)*100)&lt;-50,"NM",(FH376/FF376-1)*100)))</f>
        <v>-4.5170767535805956</v>
      </c>
      <c r="FJ376" s="291">
        <f>+FJ370/FJ353*100</f>
        <v>4.413145539906103</v>
      </c>
      <c r="FK376" s="233">
        <f>IF(ISERROR((FJ376/FH376-1)*100),"NA",IF(((FJ376/FH376-1)*100)&gt;100,"NM",IF(((FJ376/FH376-1)*100)&lt;-50,"NM",(FJ376/FH376-1)*100)))</f>
        <v>60.941901408450683</v>
      </c>
      <c r="FL376" s="291">
        <f>+FL370/FL353*100</f>
        <v>7.9383886255924168</v>
      </c>
      <c r="FM376" s="233">
        <f>IF(ISERROR((FL376/FJ376-1)*100),"NA",IF(((FL376/FJ376-1)*100)&gt;100,"NM",IF(((FL376/FJ376-1)*100)&lt;-50,"NM",(FL376/FJ376-1)*100)))</f>
        <v>79.880508218211162</v>
      </c>
      <c r="FN376" s="291">
        <f>+FN370/FN353*100</f>
        <v>6.1132075471698109</v>
      </c>
      <c r="FO376" s="233">
        <f>IF(ISERROR((FN376/FL376-1)*100),"NA",IF(((FN376/FL376-1)*100)&gt;100,"NM",IF(((FN376/FL376-1)*100)&lt;-50,"NM",(FN376/FL376-1)*100)))</f>
        <v>-22.991833286398201</v>
      </c>
      <c r="FP376" s="291">
        <f>+FP370/FP353*100</f>
        <v>6.4205015155690273</v>
      </c>
      <c r="FQ376" s="233">
        <f>IF(ISERROR((FP376/FN376-1)*100),"NA",IF(((FP376/FN376-1)*100)&gt;100,"NM",IF(((FP376/FN376-1)*100)&lt;-50,"NM",(FP376/FN376-1)*100)))</f>
        <v>5.0267223225797686</v>
      </c>
      <c r="FR376" s="292">
        <f>+FR370/FR353*100</f>
        <v>5.0621669626998225</v>
      </c>
      <c r="FS376" s="120">
        <f>IF(ISERROR((FR376/FP376-1)*100),"NA",IF(((FR376/FP376-1)*100)&gt;100,"NM",IF(((FR376/FP376-1)*100)&lt;-50,"NM",(FR376/FP376-1)*100)))</f>
        <v>-21.156206404988598</v>
      </c>
      <c r="FT376" s="292">
        <f>+FT370/FT353*100</f>
        <v>10.589112602535421</v>
      </c>
      <c r="FU376" s="120" t="str">
        <f>IF(ISERROR((FT376/FR376-1)*100),"NA",IF(((FT376/FR376-1)*100)&gt;100,"NM",IF(((FT376/FR376-1)*100)&lt;-50,"NM",(FT376/FR376-1)*100)))</f>
        <v>NM</v>
      </c>
      <c r="FV376" s="292">
        <f>+FV370/FV353*100</f>
        <v>8.311643241367344</v>
      </c>
      <c r="FW376" s="98">
        <f>IF(ISERROR((FV376/FT376-1)*100),"NA",IF(((FV376/FT376-1)*100)&gt;100,"NM",IF(((FV376/FT376-1)*100)&lt;-50,"NM",(FV376/FT376-1)*100)))</f>
        <v>-21.507650798073175</v>
      </c>
      <c r="FX376" s="483">
        <f>+FX370/FX353*100</f>
        <v>8.4876260311640692</v>
      </c>
      <c r="FY376" s="98">
        <f>IF(ISERROR((FX376/FV376-1)*100),"NA",IF(((FX376/FV376-1)*100)&gt;100,"NM",IF(((FX376/FV376-1)*100)&lt;-50,"NM",(FX376/FV376-1)*100)))</f>
        <v>2.1173044208737446</v>
      </c>
      <c r="FZ376" s="292">
        <f>+FZ370/FZ353*100</f>
        <v>10.745614035087719</v>
      </c>
      <c r="GA376" s="98">
        <f>IF(ISERROR((FZ376/FX376-1)*100),"NA",IF(((FZ376/FX376-1)*100)&gt;100,"NM",IF(((FZ376/FX376-1)*100)&lt;-50,"NM",(FZ376/FX376-1)*100)))</f>
        <v>26.603292789208453</v>
      </c>
      <c r="GB376" s="483">
        <f>+GB370/GB353*100</f>
        <v>7.2188668392292215</v>
      </c>
      <c r="GC376" s="98">
        <f>IF(ISERROR((GB376/FZ376-1)*100),"NA",IF(((GB376/FZ376-1)*100)&gt;100,"NM",IF(((GB376/FZ376-1)*100)&lt;-50,"NM",(GB376/FZ376-1)*100)))</f>
        <v>-32.82034125125459</v>
      </c>
      <c r="GD376" s="292">
        <f>+GD370/GD353*100</f>
        <v>8.0678773444477514</v>
      </c>
      <c r="GE376" s="98">
        <f>IF(ISERROR((GD376/GB376-1)*100),"NA",IF(((GD376/GB376-1)*100)&gt;100,"NM",IF(((GD376/GB376-1)*100)&lt;-50,"NM",(GD376/GB376-1)*100)))</f>
        <v>11.760994130059066</v>
      </c>
      <c r="GF376" s="292">
        <f>+GF370/GF353*100</f>
        <v>10.036607687614399</v>
      </c>
      <c r="GG376" s="98">
        <f>IF(ISERROR((GF376/GD376-1)*100),"NA",IF(((GF376/GD376-1)*100)&gt;100,"NM",IF(((GF376/GD376-1)*100)&lt;-50,"NM",(GF376/GD376-1)*100)))</f>
        <v>24.402085692608001</v>
      </c>
      <c r="GH376" s="292">
        <f>+GH370/GH353*100</f>
        <v>8.7342935948513638</v>
      </c>
      <c r="GI376" s="98">
        <f>IF(ISERROR((GH376/GF376-1)*100),"NA",IF(((GH376/GF376-1)*100)&gt;100,"NM",IF(((GH376/GF376-1)*100)&lt;-50,"NM",(GH376/GF376-1)*100)))</f>
        <v>-12.975640109657238</v>
      </c>
      <c r="GJ376" s="292">
        <f>+GJ370/GJ353*100</f>
        <v>8.4299262381454163</v>
      </c>
      <c r="GK376" s="98">
        <f>IF(ISERROR((GJ376/GH376-1)*100),"NA",IF(((GJ376/GH376-1)*100)&gt;100,"NM",IF(((GJ376/GH376-1)*100)&lt;-50,"NM",(GJ376/GH376-1)*100)))</f>
        <v>-3.4847392453737025</v>
      </c>
      <c r="GL376" s="292">
        <f>+GL370/GL353*100</f>
        <v>9.718761124955499</v>
      </c>
      <c r="GM376" s="98">
        <f>IF(ISERROR((GL376/GJ376-1)*100),"NA",IF(((GL376/GJ376-1)*100)&gt;100,"NM",IF(((GL376/GJ376-1)*100)&lt;-50,"NM",(GL376/GJ376-1)*100)))</f>
        <v>15.288803844784615</v>
      </c>
      <c r="GN376" s="292">
        <f>+GN370/GN353*100</f>
        <v>10.483586304271091</v>
      </c>
      <c r="GO376" s="98">
        <f>IF(ISERROR((GN376/GL376-1)*100),"NA",IF(((GN376/GL376-1)*100)&gt;100,"NM",IF(((GN376/GL376-1)*100)&lt;-50,"NM",(GN376/GL376-1)*100)))</f>
        <v>7.8695748303937663</v>
      </c>
      <c r="GP376" s="292">
        <f>+GP370/GP353*100</f>
        <v>10.331003723913899</v>
      </c>
      <c r="GQ376" s="98">
        <f>IF(ISERROR((GP376/GN376-1)*100),"NA",IF(((GP376/GN376-1)*100)&gt;100,"NM",IF(((GP376/GN376-1)*100)&lt;-50,"NM",(GP376/GN376-1)*100)))</f>
        <v>-1.4554425931041282</v>
      </c>
      <c r="GR376" s="291">
        <f>+GR370/GR353*100</f>
        <v>11.06657609401724</v>
      </c>
      <c r="GS376" s="98">
        <f>IF(ISERROR((GR376/GP376-1)*100),"NA",IF(((GR376/GP376-1)*100)&gt;100,"NM",IF(((GR376/GP376-1)*100)&lt;-50,"NM",(GR376/GP376-1)*100)))</f>
        <v>7.1200474780650724</v>
      </c>
      <c r="GT376" s="291">
        <f>+GT370/GT353*100</f>
        <v>11.06657609401725</v>
      </c>
      <c r="GU376" s="98">
        <f>IF(ISERROR((GT376/GR376-1)*100),"NA",IF(((GT376/GR376-1)*100)&gt;100,"NM",IF(((GT376/GR376-1)*100)&lt;-50,"NM",(GT376/GR376-1)*100)))</f>
        <v>8.8817841970012523E-14</v>
      </c>
      <c r="GV376" s="291">
        <f>+GV370/GV353*100</f>
        <v>11.066576094017238</v>
      </c>
      <c r="GW376" s="98">
        <f>IF(ISERROR((GV376/GT376-1)*100),"NA",IF(((GV376/GT376-1)*100)&gt;100,"NM",IF(((GV376/GT376-1)*100)&lt;-50,"NM",(GV376/GT376-1)*100)))</f>
        <v>-1.1102230246251565E-13</v>
      </c>
      <c r="GX376" s="291">
        <f>+GX370/GX353*100</f>
        <v>10.444437944533941</v>
      </c>
      <c r="GY376" s="98">
        <f>IF(ISERROR((GX376/GV376-1)*100),"NA",IF(((GX376/GV376-1)*100)&gt;100,"NM",IF(((GX376/GV376-1)*100)&lt;-50,"NM",(GX376/GV376-1)*100)))</f>
        <v>-5.6217762765814587</v>
      </c>
      <c r="GZ376" s="98">
        <f>IF(ISERROR(((GX376/GN376)^0.2-1)*100),"NA",IF((((GX376/GN376)^0.2-1)*100)&gt;100,"NM",IF((((GX376/GN376)^0.2-1)*100)&lt;-50,"NM",((GX376/GN376)^0.2-1)*100)))</f>
        <v>-7.4796860362835726E-2</v>
      </c>
      <c r="HA376" s="98"/>
      <c r="HB376" s="10"/>
      <c r="HC376"/>
      <c r="HD376"/>
      <c r="HE376"/>
      <c r="HF376"/>
      <c r="HG376"/>
      <c r="HH376"/>
      <c r="HI376" s="10"/>
    </row>
    <row r="377" spans="1:217" s="2" customFormat="1" ht="12.75" customHeight="1" x14ac:dyDescent="0.2">
      <c r="B377" s="91"/>
      <c r="C377" s="293"/>
      <c r="D377" s="98"/>
      <c r="E377" s="293"/>
      <c r="F377" s="98"/>
      <c r="G377" s="293"/>
      <c r="H377" s="98"/>
      <c r="I377" s="293"/>
      <c r="J377" s="98"/>
      <c r="K377" s="293"/>
      <c r="L377" s="98"/>
      <c r="M377" s="293"/>
      <c r="N377" s="98"/>
      <c r="O377" s="293"/>
      <c r="P377" s="98"/>
      <c r="Q377" s="293"/>
      <c r="R377" s="98"/>
      <c r="S377" s="293"/>
      <c r="T377" s="98"/>
      <c r="U377" s="293"/>
      <c r="V377" s="98"/>
      <c r="W377" s="293"/>
      <c r="X377" s="98"/>
      <c r="Y377" s="293"/>
      <c r="Z377" s="98"/>
      <c r="AA377" s="293"/>
      <c r="AB377" s="98"/>
      <c r="AC377" s="293"/>
      <c r="AD377" s="98"/>
      <c r="AE377" s="293"/>
      <c r="AF377" s="98"/>
      <c r="AG377" s="124"/>
      <c r="AH377" s="98"/>
      <c r="AI377" s="124"/>
      <c r="AJ377" s="98"/>
      <c r="AK377" s="124"/>
      <c r="AL377" s="98"/>
      <c r="AM377" s="124"/>
      <c r="AN377" s="98"/>
      <c r="AO377" s="124"/>
      <c r="AP377" s="98"/>
      <c r="AQ377" s="124"/>
      <c r="AR377" s="98"/>
      <c r="AS377" s="124"/>
      <c r="AT377" s="98"/>
      <c r="AU377" s="124"/>
      <c r="AV377" s="98"/>
      <c r="AW377" s="124"/>
      <c r="AX377" s="98"/>
      <c r="AY377" s="137"/>
      <c r="AZ377" s="98"/>
      <c r="BA377" s="137"/>
      <c r="BB377" s="98"/>
      <c r="BC377" s="137"/>
      <c r="BD377" s="98"/>
      <c r="BE377" s="137"/>
      <c r="BF377" s="98"/>
      <c r="BG377" s="137"/>
      <c r="BH377" s="98"/>
      <c r="BI377" s="137"/>
      <c r="BJ377" s="98"/>
      <c r="BK377" s="137"/>
      <c r="BL377" s="98"/>
      <c r="BM377" s="137"/>
      <c r="BN377" s="98"/>
      <c r="BO377" s="137"/>
      <c r="BP377" s="98"/>
      <c r="BQ377" s="137"/>
      <c r="BR377" s="98"/>
      <c r="BS377" s="137"/>
      <c r="BT377" s="98"/>
      <c r="BU377" s="137"/>
      <c r="BV377" s="98"/>
      <c r="BW377" s="137"/>
      <c r="BX377" s="98"/>
      <c r="BY377" s="137"/>
      <c r="BZ377" s="98"/>
      <c r="CA377" s="137"/>
      <c r="CB377" s="98"/>
      <c r="CC377" s="137"/>
      <c r="CD377" s="98"/>
      <c r="CE377" s="137"/>
      <c r="CF377" s="98"/>
      <c r="CG377" s="137"/>
      <c r="CH377" s="98"/>
      <c r="CI377" s="137"/>
      <c r="CJ377" s="98"/>
      <c r="CK377" s="137"/>
      <c r="CL377" s="98"/>
      <c r="CM377" s="137"/>
      <c r="CN377" s="98"/>
      <c r="CO377" s="137"/>
      <c r="CP377" s="98"/>
      <c r="CQ377" s="137"/>
      <c r="CR377" s="98"/>
      <c r="CS377" s="137"/>
      <c r="CT377" s="98"/>
      <c r="CU377" s="137"/>
      <c r="CV377" s="98"/>
      <c r="CW377" s="137"/>
      <c r="CX377" s="98"/>
      <c r="CY377" s="137"/>
      <c r="CZ377" s="98"/>
      <c r="DA377" s="137"/>
      <c r="DB377" s="98"/>
      <c r="DC377" s="137"/>
      <c r="DD377" s="98"/>
      <c r="DE377" s="137"/>
      <c r="DF377" s="98"/>
      <c r="DG377" s="137"/>
      <c r="DH377" s="98"/>
      <c r="DI377" s="137"/>
      <c r="DJ377" s="98"/>
      <c r="DK377" s="137"/>
      <c r="DL377" s="98"/>
      <c r="DM377" s="137"/>
      <c r="DN377" s="98"/>
      <c r="DO377" s="137"/>
      <c r="DP377" s="98"/>
      <c r="DQ377" s="137"/>
      <c r="DR377" s="98"/>
      <c r="DS377" s="137"/>
      <c r="DT377" s="98"/>
      <c r="DU377" s="137"/>
      <c r="DV377" s="98"/>
      <c r="DW377" s="137"/>
      <c r="DX377" s="98"/>
      <c r="DY377" s="137"/>
      <c r="DZ377" s="98"/>
      <c r="EA377" s="137"/>
      <c r="EB377" s="98"/>
      <c r="EC377" s="137"/>
      <c r="ED377" s="98"/>
      <c r="EE377" s="137"/>
      <c r="EF377" s="860"/>
      <c r="EG377" s="137"/>
      <c r="EH377" s="860"/>
      <c r="EI377" s="137"/>
      <c r="EJ377" s="860"/>
      <c r="EK377" s="137"/>
      <c r="EL377" s="860"/>
      <c r="EM377" s="137"/>
      <c r="EN377" s="860"/>
      <c r="EO377" s="137"/>
      <c r="EP377" s="98"/>
      <c r="EQ377" s="1045"/>
      <c r="ER377" s="98"/>
      <c r="ES377" s="1045"/>
      <c r="ET377" s="98"/>
      <c r="EU377" s="1045"/>
      <c r="EV377" s="98"/>
      <c r="EW377" s="1045"/>
      <c r="EX377" s="98"/>
      <c r="EY377" s="291"/>
      <c r="EZ377" s="601"/>
      <c r="FA377" s="411"/>
      <c r="FB377" s="242"/>
      <c r="FC377" s="233"/>
      <c r="FD377" s="291"/>
      <c r="FE377" s="233"/>
      <c r="FF377" s="291"/>
      <c r="FG377" s="233"/>
      <c r="FH377" s="291"/>
      <c r="FI377" s="233"/>
      <c r="FJ377" s="291"/>
      <c r="FK377" s="233"/>
      <c r="FL377" s="291"/>
      <c r="FM377" s="233"/>
      <c r="FN377" s="291"/>
      <c r="FO377" s="233"/>
      <c r="FP377" s="291"/>
      <c r="FQ377" s="233"/>
      <c r="FR377" s="292"/>
      <c r="FS377" s="120"/>
      <c r="FT377" s="292"/>
      <c r="FU377" s="120"/>
      <c r="FV377" s="292"/>
      <c r="FW377" s="98"/>
      <c r="FX377" s="483"/>
      <c r="FY377" s="98"/>
      <c r="FZ377" s="292"/>
      <c r="GA377" s="98"/>
      <c r="GB377" s="483"/>
      <c r="GC377" s="98"/>
      <c r="GD377" s="292"/>
      <c r="GE377" s="98"/>
      <c r="GF377" s="292"/>
      <c r="GG377" s="98"/>
      <c r="GH377" s="292"/>
      <c r="GI377" s="98"/>
      <c r="GJ377" s="292"/>
      <c r="GK377" s="98"/>
      <c r="GL377" s="292"/>
      <c r="GM377" s="98"/>
      <c r="GN377" s="292"/>
      <c r="GO377" s="98"/>
      <c r="GP377" s="292"/>
      <c r="GQ377" s="98"/>
      <c r="GR377" s="291"/>
      <c r="GS377" s="98"/>
      <c r="GT377" s="291"/>
      <c r="GU377" s="98"/>
      <c r="GV377" s="291"/>
      <c r="GW377" s="98"/>
      <c r="GX377" s="291"/>
      <c r="GY377" s="98"/>
      <c r="GZ377" s="98"/>
      <c r="HA377" s="98"/>
      <c r="HB377" s="10"/>
      <c r="HC377"/>
      <c r="HD377"/>
      <c r="HE377"/>
      <c r="HF377"/>
      <c r="HG377"/>
      <c r="HH377"/>
      <c r="HI377" s="10"/>
    </row>
    <row r="378" spans="1:217" s="708" customFormat="1" ht="12.75" customHeight="1" collapsed="1" x14ac:dyDescent="0.2">
      <c r="B378" s="709" t="s">
        <v>706</v>
      </c>
      <c r="C378" s="710"/>
      <c r="D378" s="710"/>
      <c r="E378" s="710"/>
      <c r="F378" s="710"/>
      <c r="G378" s="710"/>
      <c r="H378" s="710"/>
      <c r="I378" s="710"/>
      <c r="J378" s="710"/>
      <c r="K378" s="710"/>
      <c r="L378" s="710"/>
      <c r="M378" s="710"/>
      <c r="N378" s="710"/>
      <c r="O378" s="710"/>
      <c r="P378" s="710"/>
      <c r="Q378" s="710"/>
      <c r="R378" s="710"/>
      <c r="S378" s="710"/>
      <c r="T378" s="710"/>
      <c r="U378" s="710"/>
      <c r="V378" s="710"/>
      <c r="W378" s="710"/>
      <c r="X378" s="710"/>
      <c r="Y378" s="710"/>
      <c r="Z378" s="710"/>
      <c r="AA378" s="710"/>
      <c r="AB378" s="710"/>
      <c r="AC378" s="710"/>
      <c r="AD378" s="710"/>
      <c r="AE378" s="710"/>
      <c r="AF378" s="710"/>
      <c r="AG378" s="710"/>
      <c r="AH378" s="710"/>
      <c r="AI378" s="710"/>
      <c r="AJ378" s="710"/>
      <c r="AK378" s="710"/>
      <c r="AL378" s="710"/>
      <c r="AM378" s="710"/>
      <c r="AN378" s="710"/>
      <c r="AO378" s="710"/>
      <c r="AP378" s="710"/>
      <c r="AQ378" s="710"/>
      <c r="AR378" s="710"/>
      <c r="AS378" s="710"/>
      <c r="AT378" s="710"/>
      <c r="AU378" s="710"/>
      <c r="AV378" s="710"/>
      <c r="AW378" s="710"/>
      <c r="AX378" s="710"/>
      <c r="AY378" s="710"/>
      <c r="AZ378" s="710"/>
      <c r="BA378" s="710"/>
      <c r="BB378" s="710"/>
      <c r="BC378" s="710"/>
      <c r="BD378" s="710"/>
      <c r="BE378" s="710"/>
      <c r="BF378" s="710"/>
      <c r="BG378" s="710"/>
      <c r="BH378" s="710"/>
      <c r="BI378" s="710"/>
      <c r="BJ378" s="710"/>
      <c r="BK378" s="710"/>
      <c r="BL378" s="710"/>
      <c r="BM378" s="710"/>
      <c r="BN378" s="710"/>
      <c r="BO378" s="710"/>
      <c r="BP378" s="710"/>
      <c r="BQ378" s="710"/>
      <c r="BR378" s="710"/>
      <c r="BS378" s="711"/>
      <c r="BT378" s="710"/>
      <c r="BU378" s="711"/>
      <c r="BV378" s="710"/>
      <c r="BW378" s="711"/>
      <c r="BX378" s="710"/>
      <c r="BY378" s="711"/>
      <c r="BZ378" s="710"/>
      <c r="CA378" s="711"/>
      <c r="CB378" s="710"/>
      <c r="CC378" s="711"/>
      <c r="CD378" s="710"/>
      <c r="CE378" s="711"/>
      <c r="CF378" s="710"/>
      <c r="CG378" s="711"/>
      <c r="CH378" s="710"/>
      <c r="CI378" s="711"/>
      <c r="CJ378" s="710"/>
      <c r="CK378" s="711"/>
      <c r="CL378" s="710"/>
      <c r="CM378" s="711"/>
      <c r="CN378" s="710"/>
      <c r="CO378" s="711"/>
      <c r="CP378" s="710"/>
      <c r="CQ378" s="711"/>
      <c r="CR378" s="710"/>
      <c r="CS378" s="711"/>
      <c r="CT378" s="710"/>
      <c r="CU378" s="711"/>
      <c r="CV378" s="710"/>
      <c r="CW378" s="711"/>
      <c r="CX378" s="710"/>
      <c r="CY378" s="711"/>
      <c r="CZ378" s="710"/>
      <c r="DA378" s="711"/>
      <c r="DB378" s="710"/>
      <c r="DC378" s="712"/>
      <c r="DD378" s="710"/>
      <c r="DE378" s="712"/>
      <c r="DF378" s="710"/>
      <c r="DG378" s="712"/>
      <c r="DH378" s="710"/>
      <c r="DI378" s="712"/>
      <c r="DJ378" s="710"/>
      <c r="DK378" s="712"/>
      <c r="DL378" s="710"/>
      <c r="DM378" s="712"/>
      <c r="DN378" s="710"/>
      <c r="DO378" s="712"/>
      <c r="DP378" s="710"/>
      <c r="DQ378" s="712"/>
      <c r="DR378" s="710"/>
      <c r="DS378" s="712"/>
      <c r="DT378" s="710"/>
      <c r="DU378" s="712"/>
      <c r="DV378" s="710"/>
      <c r="DW378" s="712"/>
      <c r="DX378" s="710"/>
      <c r="DY378" s="712"/>
      <c r="DZ378" s="710"/>
      <c r="EA378" s="712"/>
      <c r="EB378" s="710"/>
      <c r="EC378" s="712"/>
      <c r="ED378" s="712"/>
      <c r="EE378" s="712"/>
      <c r="EF378" s="712"/>
      <c r="EG378" s="712"/>
      <c r="EH378" s="712"/>
      <c r="EI378" s="712"/>
      <c r="EJ378" s="712"/>
      <c r="EK378" s="712"/>
      <c r="EL378" s="712"/>
      <c r="EM378" s="712"/>
      <c r="EN378" s="712"/>
      <c r="EO378" s="712"/>
      <c r="EP378" s="712"/>
      <c r="EQ378" s="712"/>
      <c r="ER378" s="712"/>
      <c r="ES378" s="712"/>
      <c r="ET378" s="712"/>
      <c r="EU378" s="712"/>
      <c r="EV378" s="712"/>
      <c r="EW378" s="712"/>
      <c r="EX378" s="712"/>
      <c r="EY378" s="712"/>
      <c r="EZ378" s="601"/>
      <c r="FA378" s="714"/>
      <c r="FB378" s="711"/>
      <c r="FC378" s="710"/>
      <c r="FD378" s="711"/>
      <c r="FE378" s="710"/>
      <c r="FF378" s="712"/>
      <c r="FG378" s="710"/>
      <c r="FH378" s="712"/>
      <c r="FI378" s="710"/>
      <c r="FJ378" s="712"/>
      <c r="FK378" s="710"/>
      <c r="FL378" s="712"/>
      <c r="FM378" s="710"/>
      <c r="FN378" s="712"/>
      <c r="FO378" s="710"/>
      <c r="FP378" s="712"/>
      <c r="FQ378" s="710"/>
      <c r="FR378" s="712"/>
      <c r="FS378" s="715"/>
      <c r="FT378" s="712"/>
      <c r="FU378" s="715"/>
      <c r="FV378" s="712"/>
      <c r="FW378" s="710"/>
      <c r="FX378" s="716"/>
      <c r="FY378" s="710"/>
      <c r="FZ378" s="712"/>
      <c r="GA378" s="710"/>
      <c r="GB378" s="716"/>
      <c r="GC378" s="710"/>
      <c r="GD378" s="712"/>
      <c r="GE378" s="710"/>
      <c r="GF378" s="712"/>
      <c r="GG378" s="710"/>
      <c r="GH378" s="712"/>
      <c r="GI378" s="710"/>
      <c r="GJ378" s="712"/>
      <c r="GK378" s="710"/>
      <c r="GL378" s="712"/>
      <c r="GM378" s="710"/>
      <c r="GN378" s="712"/>
      <c r="GO378" s="710"/>
      <c r="GP378" s="712"/>
      <c r="GQ378" s="710"/>
      <c r="GR378" s="712"/>
      <c r="GS378" s="710"/>
      <c r="GT378" s="712"/>
      <c r="GU378" s="710"/>
      <c r="GV378" s="712"/>
      <c r="GW378" s="710"/>
      <c r="GX378" s="712"/>
      <c r="GY378" s="710"/>
      <c r="GZ378" s="710"/>
      <c r="HA378" s="710"/>
      <c r="HC378"/>
      <c r="HD378"/>
      <c r="HE378"/>
      <c r="HF378"/>
      <c r="HG378"/>
      <c r="HH378"/>
    </row>
    <row r="379" spans="1:217" s="2" customFormat="1" ht="12.75" customHeight="1" x14ac:dyDescent="0.2">
      <c r="B379" s="1120"/>
      <c r="C379" s="94"/>
      <c r="D379" s="92"/>
      <c r="E379" s="94"/>
      <c r="F379" s="92"/>
      <c r="G379" s="94"/>
      <c r="H379" s="92"/>
      <c r="I379" s="94"/>
      <c r="J379" s="92"/>
      <c r="K379" s="94"/>
      <c r="L379" s="92"/>
      <c r="M379" s="94"/>
      <c r="N379" s="92"/>
      <c r="O379" s="94"/>
      <c r="P379" s="92"/>
      <c r="Q379" s="94"/>
      <c r="R379" s="92"/>
      <c r="S379" s="94"/>
      <c r="T379" s="92"/>
      <c r="U379" s="94"/>
      <c r="V379" s="92"/>
      <c r="W379" s="94"/>
      <c r="X379" s="92"/>
      <c r="Y379" s="94"/>
      <c r="Z379" s="92"/>
      <c r="AA379" s="94"/>
      <c r="AB379" s="92"/>
      <c r="AC379" s="94"/>
      <c r="AD379" s="92"/>
      <c r="AE379" s="94"/>
      <c r="AF379" s="92"/>
      <c r="AG379" s="94"/>
      <c r="AH379" s="92"/>
      <c r="AI379" s="94"/>
      <c r="AJ379" s="92"/>
      <c r="AK379" s="94"/>
      <c r="AL379" s="92"/>
      <c r="AM379" s="94"/>
      <c r="AN379" s="92"/>
      <c r="AO379" s="94"/>
      <c r="AP379" s="92"/>
      <c r="AQ379" s="94"/>
      <c r="AR379" s="92"/>
      <c r="AS379" s="94"/>
      <c r="AT379" s="92"/>
      <c r="AU379" s="94"/>
      <c r="AV379" s="92"/>
      <c r="AW379" s="94"/>
      <c r="AX379" s="92"/>
      <c r="AY379" s="94"/>
      <c r="AZ379" s="92"/>
      <c r="BA379" s="94"/>
      <c r="BB379" s="92"/>
      <c r="BC379" s="94"/>
      <c r="BD379" s="92"/>
      <c r="BE379" s="94"/>
      <c r="BF379" s="92"/>
      <c r="BG379" s="94"/>
      <c r="BH379" s="92"/>
      <c r="BI379" s="94"/>
      <c r="BJ379" s="92"/>
      <c r="BK379" s="94"/>
      <c r="BL379" s="92"/>
      <c r="BM379" s="94"/>
      <c r="BN379" s="92"/>
      <c r="BO379" s="94"/>
      <c r="BP379" s="92"/>
      <c r="BQ379" s="94"/>
      <c r="BR379" s="92"/>
      <c r="BS379" s="94"/>
      <c r="BT379" s="92"/>
      <c r="BU379" s="94"/>
      <c r="BV379" s="92"/>
      <c r="BW379" s="94"/>
      <c r="BX379" s="92"/>
      <c r="BY379" s="94"/>
      <c r="BZ379" s="92"/>
      <c r="CA379" s="94"/>
      <c r="CB379" s="92"/>
      <c r="CC379" s="94"/>
      <c r="CD379" s="92"/>
      <c r="CE379" s="94"/>
      <c r="CF379" s="92"/>
      <c r="CG379" s="94"/>
      <c r="CH379" s="92"/>
      <c r="CI379" s="94"/>
      <c r="CJ379" s="92"/>
      <c r="CK379" s="94"/>
      <c r="CL379" s="92"/>
      <c r="CM379" s="94"/>
      <c r="CN379" s="92"/>
      <c r="CO379" s="94"/>
      <c r="CP379" s="92"/>
      <c r="CQ379" s="533"/>
      <c r="CR379" s="92"/>
      <c r="CS379" s="94"/>
      <c r="CT379" s="92"/>
      <c r="CU379" s="94"/>
      <c r="CV379" s="92"/>
      <c r="CW379" s="94"/>
      <c r="CX379" s="92"/>
      <c r="CY379" s="94"/>
      <c r="CZ379" s="92"/>
      <c r="DA379" s="94"/>
      <c r="DB379" s="92"/>
      <c r="DC379" s="94"/>
      <c r="DD379" s="92"/>
      <c r="DE379" s="94"/>
      <c r="DF379" s="92"/>
      <c r="DG379" s="94"/>
      <c r="DH379" s="92"/>
      <c r="DI379" s="94"/>
      <c r="DJ379" s="92"/>
      <c r="DK379" s="94"/>
      <c r="DL379" s="92"/>
      <c r="DM379" s="94"/>
      <c r="DN379" s="92"/>
      <c r="DO379" s="94"/>
      <c r="DP379" s="92"/>
      <c r="DQ379" s="94"/>
      <c r="DR379" s="92"/>
      <c r="DS379" s="94"/>
      <c r="DT379" s="92"/>
      <c r="DU379" s="94"/>
      <c r="DV379" s="92"/>
      <c r="DW379" s="94"/>
      <c r="DX379" s="92"/>
      <c r="DY379" s="94"/>
      <c r="DZ379" s="92"/>
      <c r="EA379" s="94"/>
      <c r="EB379" s="92"/>
      <c r="EC379" s="94"/>
      <c r="ED379" s="94"/>
      <c r="EE379" s="94"/>
      <c r="EF379" s="94"/>
      <c r="EG379" s="94"/>
      <c r="EH379" s="94"/>
      <c r="EI379" s="94"/>
      <c r="EJ379" s="94"/>
      <c r="EK379" s="94"/>
      <c r="EL379" s="94"/>
      <c r="EM379" s="94"/>
      <c r="EN379" s="94"/>
      <c r="EO379" s="94"/>
      <c r="EP379" s="94"/>
      <c r="EQ379" s="94"/>
      <c r="ER379" s="94"/>
      <c r="ES379" s="94"/>
      <c r="ET379" s="94"/>
      <c r="EU379" s="94"/>
      <c r="EV379" s="94"/>
      <c r="EW379" s="94"/>
      <c r="EX379" s="94"/>
      <c r="EY379" s="94"/>
      <c r="EZ379" s="601"/>
      <c r="FA379" s="405"/>
      <c r="FB379" s="94"/>
      <c r="FC379" s="92"/>
      <c r="FD379" s="94"/>
      <c r="FE379" s="92"/>
      <c r="FF379" s="95"/>
      <c r="FG379" s="92"/>
      <c r="FH379" s="95"/>
      <c r="FI379" s="92"/>
      <c r="FJ379" s="95"/>
      <c r="FK379" s="92"/>
      <c r="FL379" s="95"/>
      <c r="FM379" s="92"/>
      <c r="FN379" s="95"/>
      <c r="FO379" s="92"/>
      <c r="FP379" s="95"/>
      <c r="FQ379" s="92"/>
      <c r="FR379" s="96"/>
      <c r="FS379" s="97"/>
      <c r="FT379" s="96"/>
      <c r="FU379" s="97"/>
      <c r="FV379" s="96"/>
      <c r="FW379" s="92"/>
      <c r="FX379" s="480"/>
      <c r="FY379" s="92"/>
      <c r="FZ379" s="96"/>
      <c r="GA379" s="92"/>
      <c r="GB379" s="480"/>
      <c r="GC379" s="92"/>
      <c r="GD379" s="96"/>
      <c r="GE379" s="92"/>
      <c r="GF379" s="96"/>
      <c r="GG379" s="92"/>
      <c r="GH379" s="96"/>
      <c r="GI379" s="92"/>
      <c r="GJ379" s="96"/>
      <c r="GK379" s="92"/>
      <c r="GL379" s="96"/>
      <c r="GM379" s="92"/>
      <c r="GN379" s="96"/>
      <c r="GO379" s="92"/>
      <c r="GP379" s="96"/>
      <c r="GQ379" s="92"/>
      <c r="GR379" s="95"/>
      <c r="GS379" s="92"/>
      <c r="GT379" s="95"/>
      <c r="GU379" s="92"/>
      <c r="GV379" s="95"/>
      <c r="GW379" s="92"/>
      <c r="GX379" s="95"/>
      <c r="GY379" s="92"/>
      <c r="GZ379" s="92"/>
      <c r="HA379" s="92"/>
      <c r="HB379" s="10"/>
      <c r="HC379"/>
      <c r="HD379"/>
      <c r="HE379"/>
      <c r="HF379"/>
      <c r="HG379"/>
      <c r="HH379"/>
      <c r="HI379" s="10"/>
    </row>
    <row r="380" spans="1:217" s="2" customFormat="1" ht="12.75" customHeight="1" x14ac:dyDescent="0.2">
      <c r="B380" s="93" t="s">
        <v>732</v>
      </c>
      <c r="C380" s="112"/>
      <c r="D380" s="113"/>
      <c r="E380" s="112"/>
      <c r="F380" s="113"/>
      <c r="G380" s="112"/>
      <c r="H380" s="113"/>
      <c r="I380" s="112"/>
      <c r="J380" s="113"/>
      <c r="K380" s="112"/>
      <c r="L380" s="113"/>
      <c r="M380" s="112"/>
      <c r="N380" s="113"/>
      <c r="O380" s="112"/>
      <c r="P380" s="113"/>
      <c r="Q380" s="112"/>
      <c r="R380" s="113"/>
      <c r="S380" s="112"/>
      <c r="T380" s="113"/>
      <c r="U380" s="112"/>
      <c r="V380" s="113"/>
      <c r="W380" s="112"/>
      <c r="X380" s="113"/>
      <c r="Y380" s="112"/>
      <c r="Z380" s="113"/>
      <c r="AA380" s="112"/>
      <c r="AB380" s="113"/>
      <c r="AC380" s="112"/>
      <c r="AD380" s="113"/>
      <c r="AE380" s="112"/>
      <c r="AF380" s="113"/>
      <c r="AG380" s="112"/>
      <c r="AH380" s="113"/>
      <c r="AI380" s="112"/>
      <c r="AJ380" s="113"/>
      <c r="AK380" s="112"/>
      <c r="AL380" s="113"/>
      <c r="AM380" s="112"/>
      <c r="AN380" s="113"/>
      <c r="AO380" s="112"/>
      <c r="AP380" s="113"/>
      <c r="AQ380" s="112"/>
      <c r="AR380" s="113"/>
      <c r="AS380" s="112"/>
      <c r="AT380" s="113"/>
      <c r="AU380" s="112"/>
      <c r="AV380" s="113"/>
      <c r="AW380" s="112"/>
      <c r="AX380" s="113"/>
      <c r="AY380" s="112"/>
      <c r="AZ380" s="113"/>
      <c r="BA380" s="112"/>
      <c r="BB380" s="113"/>
      <c r="BC380" s="112"/>
      <c r="BD380" s="113"/>
      <c r="BE380" s="112"/>
      <c r="BF380" s="113"/>
      <c r="BG380" s="112"/>
      <c r="BH380" s="113"/>
      <c r="BI380" s="112"/>
      <c r="BJ380" s="113"/>
      <c r="BK380" s="112"/>
      <c r="BL380" s="113"/>
      <c r="BM380" s="112"/>
      <c r="BN380" s="113"/>
      <c r="BO380" s="112"/>
      <c r="BP380" s="113"/>
      <c r="BQ380" s="112"/>
      <c r="BR380" s="113"/>
      <c r="BS380" s="112"/>
      <c r="BT380" s="113"/>
      <c r="BU380" s="112"/>
      <c r="BV380" s="113"/>
      <c r="BW380" s="112"/>
      <c r="BX380" s="113"/>
      <c r="BY380" s="112"/>
      <c r="BZ380" s="113"/>
      <c r="CA380" s="112"/>
      <c r="CB380" s="113"/>
      <c r="CC380" s="112"/>
      <c r="CD380" s="113"/>
      <c r="CE380" s="112"/>
      <c r="CF380" s="113"/>
      <c r="CG380" s="112"/>
      <c r="CH380" s="113"/>
      <c r="CI380" s="112"/>
      <c r="CJ380" s="113"/>
      <c r="CK380" s="112"/>
      <c r="CL380" s="113"/>
      <c r="CM380" s="112"/>
      <c r="CN380" s="113"/>
      <c r="CO380" s="112"/>
      <c r="CP380" s="113"/>
      <c r="CQ380" s="543"/>
      <c r="CR380" s="113"/>
      <c r="CS380" s="112"/>
      <c r="CT380" s="113"/>
      <c r="CU380" s="112"/>
      <c r="CV380" s="113"/>
      <c r="CW380" s="112"/>
      <c r="CX380" s="113"/>
      <c r="CY380" s="112"/>
      <c r="CZ380" s="113"/>
      <c r="DA380" s="112"/>
      <c r="DB380" s="113"/>
      <c r="DC380" s="112"/>
      <c r="DD380" s="113"/>
      <c r="DE380" s="112"/>
      <c r="DF380" s="113"/>
      <c r="DG380" s="112"/>
      <c r="DH380" s="113"/>
      <c r="DI380" s="112"/>
      <c r="DJ380" s="113"/>
      <c r="DK380" s="112"/>
      <c r="DL380" s="113"/>
      <c r="DM380" s="112"/>
      <c r="DN380" s="113"/>
      <c r="DO380" s="112"/>
      <c r="DP380" s="113"/>
      <c r="DQ380" s="112"/>
      <c r="DR380" s="113"/>
      <c r="DS380" s="112"/>
      <c r="DT380" s="113"/>
      <c r="DU380" s="112"/>
      <c r="DV380" s="113"/>
      <c r="DW380" s="112"/>
      <c r="DX380" s="113"/>
      <c r="DY380" s="112"/>
      <c r="DZ380" s="113"/>
      <c r="EA380" s="112"/>
      <c r="EB380" s="113"/>
      <c r="EC380" s="112"/>
      <c r="ED380" s="113"/>
      <c r="EE380" s="112"/>
      <c r="EF380" s="859"/>
      <c r="EG380" s="112"/>
      <c r="EH380" s="859"/>
      <c r="EI380" s="112"/>
      <c r="EJ380" s="859"/>
      <c r="EK380" s="112"/>
      <c r="EL380" s="859"/>
      <c r="EM380" s="112"/>
      <c r="EN380" s="859"/>
      <c r="EO380" s="112"/>
      <c r="EP380" s="113"/>
      <c r="EQ380" s="1022"/>
      <c r="ER380" s="113"/>
      <c r="ES380" s="1022"/>
      <c r="ET380" s="113"/>
      <c r="EU380" s="1022"/>
      <c r="EV380" s="113"/>
      <c r="EW380" s="1022"/>
      <c r="EX380" s="113"/>
      <c r="EY380" s="114"/>
      <c r="EZ380" s="594"/>
      <c r="FA380" s="405"/>
      <c r="FB380" s="112"/>
      <c r="FC380" s="113"/>
      <c r="FD380" s="112"/>
      <c r="FE380" s="113"/>
      <c r="FF380" s="114"/>
      <c r="FG380" s="113"/>
      <c r="FH380" s="114"/>
      <c r="FI380" s="113"/>
      <c r="FJ380" s="114"/>
      <c r="FK380" s="113"/>
      <c r="FL380" s="114"/>
      <c r="FM380" s="113"/>
      <c r="FN380" s="114"/>
      <c r="FO380" s="113"/>
      <c r="FP380" s="114"/>
      <c r="FQ380" s="113"/>
      <c r="FR380" s="115"/>
      <c r="FS380" s="116"/>
      <c r="FT380" s="115"/>
      <c r="FU380" s="116"/>
      <c r="FV380" s="115"/>
      <c r="FW380" s="113"/>
      <c r="FX380" s="484"/>
      <c r="FY380" s="113"/>
      <c r="FZ380" s="115"/>
      <c r="GA380" s="113"/>
      <c r="GB380" s="484"/>
      <c r="GC380" s="113"/>
      <c r="GD380" s="114"/>
      <c r="GE380" s="113"/>
      <c r="GF380" s="114"/>
      <c r="GG380" s="113"/>
      <c r="GH380" s="114"/>
      <c r="GI380" s="98"/>
      <c r="GJ380" s="114"/>
      <c r="GK380" s="98"/>
      <c r="GL380" s="114"/>
      <c r="GM380" s="98"/>
      <c r="GN380" s="114"/>
      <c r="GO380" s="98"/>
      <c r="GP380" s="114"/>
      <c r="GQ380" s="98"/>
      <c r="GR380" s="114"/>
      <c r="GS380" s="98"/>
      <c r="GT380" s="114"/>
      <c r="GU380" s="98"/>
      <c r="GV380" s="114"/>
      <c r="GW380" s="98"/>
      <c r="GX380" s="114"/>
      <c r="GY380" s="98"/>
      <c r="GZ380" s="113"/>
      <c r="HA380" s="113"/>
      <c r="HB380" s="10"/>
      <c r="HC380"/>
      <c r="HD380"/>
      <c r="HE380"/>
      <c r="HF380"/>
      <c r="HG380"/>
      <c r="HH380"/>
      <c r="HI380" s="10"/>
    </row>
    <row r="381" spans="1:217" s="2" customFormat="1" ht="12.75" customHeight="1" x14ac:dyDescent="0.2">
      <c r="A381" s="2" t="s">
        <v>90</v>
      </c>
      <c r="B381" s="91" t="s">
        <v>310</v>
      </c>
      <c r="C381" s="117"/>
      <c r="D381" s="98"/>
      <c r="E381" s="117"/>
      <c r="F381" s="98"/>
      <c r="G381" s="117"/>
      <c r="H381" s="98"/>
      <c r="I381" s="117"/>
      <c r="J381" s="98"/>
      <c r="K381" s="117"/>
      <c r="L381" s="98"/>
      <c r="M381" s="117"/>
      <c r="N381" s="98"/>
      <c r="O381" s="117"/>
      <c r="P381" s="98"/>
      <c r="Q381" s="117"/>
      <c r="R381" s="98"/>
      <c r="S381" s="117"/>
      <c r="T381" s="98"/>
      <c r="U381" s="117"/>
      <c r="V381" s="98"/>
      <c r="W381" s="117"/>
      <c r="X381" s="98"/>
      <c r="Y381" s="117"/>
      <c r="Z381" s="98"/>
      <c r="AA381" s="117"/>
      <c r="AB381" s="98"/>
      <c r="AC381" s="117"/>
      <c r="AD381" s="98"/>
      <c r="AE381" s="117"/>
      <c r="AF381" s="98"/>
      <c r="AG381" s="117"/>
      <c r="AH381" s="98"/>
      <c r="AI381" s="117"/>
      <c r="AJ381" s="98"/>
      <c r="AK381" s="117"/>
      <c r="AL381" s="98"/>
      <c r="AM381" s="117"/>
      <c r="AN381" s="98"/>
      <c r="AO381" s="117"/>
      <c r="AP381" s="98"/>
      <c r="AQ381" s="117"/>
      <c r="AR381" s="98"/>
      <c r="AS381" s="117"/>
      <c r="AT381" s="98"/>
      <c r="AU381" s="117"/>
      <c r="AV381" s="98"/>
      <c r="AW381" s="117"/>
      <c r="AX381" s="98"/>
      <c r="AY381" s="117"/>
      <c r="AZ381" s="98"/>
      <c r="BA381" s="117"/>
      <c r="BB381" s="98"/>
      <c r="BC381" s="117"/>
      <c r="BD381" s="98"/>
      <c r="BE381" s="117"/>
      <c r="BF381" s="98"/>
      <c r="BG381" s="117"/>
      <c r="BH381" s="98"/>
      <c r="BI381" s="117"/>
      <c r="BJ381" s="98"/>
      <c r="BK381" s="117"/>
      <c r="BL381" s="98"/>
      <c r="BM381" s="117">
        <v>41305</v>
      </c>
      <c r="BN381" s="98" t="str">
        <f t="shared" ref="BN381:BN384" si="1987">IF(ISERROR((BM381/BE381-1)*100),"NA",IF(((BM381/BE381-1)*100)&gt;100,"NM",IF(((BM381/BE381-1)*100)&lt;-50,"NM",(BM381/BE381-1)*100)))</f>
        <v>NA</v>
      </c>
      <c r="BO381" s="117">
        <f>+BM387</f>
        <v>40840</v>
      </c>
      <c r="BP381" s="98" t="str">
        <f t="shared" ref="BP381:BP384" si="1988">IF(ISERROR((BO381/BG381-1)*100),"NA",IF(((BO381/BG381-1)*100)&gt;100,"NM",IF(((BO381/BG381-1)*100)&lt;-50,"NM",(BO381/BG381-1)*100)))</f>
        <v>NA</v>
      </c>
      <c r="BQ381" s="117">
        <f>+BO387</f>
        <v>41096</v>
      </c>
      <c r="BR381" s="98" t="str">
        <f t="shared" ref="BR381:BR384" si="1989">IF(ISERROR((BQ381/BI381-1)*100),"NA",IF(((BQ381/BI381-1)*100)&gt;100,"NM",IF(((BQ381/BI381-1)*100)&lt;-50,"NM",(BQ381/BI381-1)*100)))</f>
        <v>NA</v>
      </c>
      <c r="BS381" s="117">
        <f>+BQ387</f>
        <v>40916</v>
      </c>
      <c r="BT381" s="98" t="str">
        <f t="shared" ref="BT381:BT384" si="1990">IF(ISERROR((BS381/BK381-1)*100),"NA",IF(((BS381/BK381-1)*100)&gt;100,"NM",IF(((BS381/BK381-1)*100)&lt;-50,"NM",(BS381/BK381-1)*100)))</f>
        <v>NA</v>
      </c>
      <c r="BU381" s="117">
        <f>+BS387</f>
        <v>41765</v>
      </c>
      <c r="BV381" s="98">
        <f t="shared" ref="BV381:BV384" si="1991">IF(ISERROR((BU381/BM381-1)*100),"NA",IF(((BU381/BM381-1)*100)&gt;100,"NM",IF(((BU381/BM381-1)*100)&lt;-50,"NM",(BU381/BM381-1)*100)))</f>
        <v>1.113666626316423</v>
      </c>
      <c r="BW381" s="117">
        <f>+BU387</f>
        <v>47937</v>
      </c>
      <c r="BX381" s="98">
        <f t="shared" ref="BX381:BX384" si="1992">IF(ISERROR((BW381/BO381-1)*100),"NA",IF(((BW381/BO381-1)*100)&gt;100,"NM",IF(((BW381/BO381-1)*100)&lt;-50,"NM",(BW381/BO381-1)*100)))</f>
        <v>17.377571008814897</v>
      </c>
      <c r="BY381" s="117">
        <f>+BW387</f>
        <v>51415</v>
      </c>
      <c r="BZ381" s="98">
        <f t="shared" ref="BZ381:BZ384" si="1993">IF(ISERROR((BY381/BQ381-1)*100),"NA",IF(((BY381/BQ381-1)*100)&gt;100,"NM",IF(((BY381/BQ381-1)*100)&lt;-50,"NM",(BY381/BQ381-1)*100)))</f>
        <v>25.109499708000783</v>
      </c>
      <c r="CA381" s="117">
        <f>+BY387</f>
        <v>51228</v>
      </c>
      <c r="CB381" s="98">
        <f t="shared" ref="CB381:CB384" si="1994">IF(ISERROR((CA381/BS381-1)*100),"NA",IF(((CA381/BS381-1)*100)&gt;100,"NM",IF(((CA381/BS381-1)*100)&lt;-50,"NM",(CA381/BS381-1)*100)))</f>
        <v>25.202854628995986</v>
      </c>
      <c r="CC381" s="117">
        <f>+CA387</f>
        <v>55639</v>
      </c>
      <c r="CD381" s="98">
        <f t="shared" ref="CD381:CD384" si="1995">IF(ISERROR((CC381/BU381-1)*100),"NA",IF(((CC381/BU381-1)*100)&gt;100,"NM",IF(((CC381/BU381-1)*100)&lt;-50,"NM",(CC381/BU381-1)*100)))</f>
        <v>33.219202681671248</v>
      </c>
      <c r="CE381" s="117">
        <f>+CC387</f>
        <v>55081</v>
      </c>
      <c r="CF381" s="98">
        <f t="shared" ref="CF381:CF384" si="1996">IF(ISERROR((CE381/BW381-1)*100),"NA",IF(((CE381/BW381-1)*100)&gt;100,"NM",IF(((CE381/BW381-1)*100)&lt;-50,"NM",(CE381/BW381-1)*100)))</f>
        <v>14.902893380895765</v>
      </c>
      <c r="CG381" s="117">
        <f>+CE387</f>
        <v>54965</v>
      </c>
      <c r="CH381" s="98">
        <f t="shared" ref="CH381:CH384" si="1997">IF(ISERROR((CG381/BY381-1)*100),"NA",IF(((CG381/BY381-1)*100)&gt;100,"NM",IF(((CG381/BY381-1)*100)&lt;-50,"NM",(CG381/BY381-1)*100)))</f>
        <v>6.9045998249538165</v>
      </c>
      <c r="CI381" s="117">
        <f>+CG387</f>
        <v>57356</v>
      </c>
      <c r="CJ381" s="98">
        <f t="shared" ref="CJ381:CJ384" si="1998">IF(ISERROR((CI381/CA381-1)*100),"NA",IF(((CI381/CA381-1)*100)&gt;100,"NM",IF(((CI381/CA381-1)*100)&lt;-50,"NM",(CI381/CA381-1)*100)))</f>
        <v>11.96220816740845</v>
      </c>
      <c r="CK381" s="117">
        <f>+CI387</f>
        <v>57485</v>
      </c>
      <c r="CL381" s="98">
        <f t="shared" ref="CL381:CL384" si="1999">IF(ISERROR((CK381/CC381-1)*100),"NA",IF(((CK381/CC381-1)*100)&gt;100,"NM",IF(((CK381/CC381-1)*100)&lt;-50,"NM",(CK381/CC381-1)*100)))</f>
        <v>3.3178166394076003</v>
      </c>
      <c r="CM381" s="101">
        <v>50860</v>
      </c>
      <c r="CN381" s="98">
        <f t="shared" ref="CN381:CN384" si="2000">IF(ISERROR((CM381/CE381-1)*100),"NA",IF(((CM381/CE381-1)*100)&gt;100,"NM",IF(((CM381/CE381-1)*100)&lt;-50,"NM",(CM381/CE381-1)*100)))</f>
        <v>-7.6632595631887623</v>
      </c>
      <c r="CO381" s="117">
        <f>+CM387</f>
        <v>50334</v>
      </c>
      <c r="CP381" s="98">
        <f t="shared" ref="CP381:CP384" si="2001">IF(ISERROR((CO381/CG381-1)*100),"NA",IF(((CO381/CG381-1)*100)&gt;100,"NM",IF(((CO381/CG381-1)*100)&lt;-50,"NM",(CO381/CG381-1)*100)))</f>
        <v>-8.4253615937414761</v>
      </c>
      <c r="CQ381" s="486">
        <f>+CO387</f>
        <v>50885</v>
      </c>
      <c r="CR381" s="98">
        <f t="shared" ref="CR381:CR384" si="2002">IF(ISERROR((CQ381/CI381-1)*100),"NA",IF(((CQ381/CI381-1)*100)&gt;100,"NM",IF(((CQ381/CI381-1)*100)&lt;-50,"NM",(CQ381/CI381-1)*100)))</f>
        <v>-11.282167515168418</v>
      </c>
      <c r="CS381" s="117">
        <f>+CQ387</f>
        <v>54991</v>
      </c>
      <c r="CT381" s="98">
        <f t="shared" ref="CT381:CT384" si="2003">IF(ISERROR((CS381/CK381-1)*100),"NA",IF(((CS381/CK381-1)*100)&gt;100,"NM",IF(((CS381/CK381-1)*100)&lt;-50,"NM",(CS381/CK381-1)*100)))</f>
        <v>-4.3385230929807728</v>
      </c>
      <c r="CU381" s="117">
        <f>+CS387</f>
        <v>53899</v>
      </c>
      <c r="CV381" s="98">
        <f t="shared" ref="CV381:CV384" si="2004">IF(ISERROR((CU381/CM381-1)*100),"NA",IF(((CU381/CM381-1)*100)&gt;100,"NM",IF(((CU381/CM381-1)*100)&lt;-50,"NM",(CU381/CM381-1)*100)))</f>
        <v>5.9752261108926508</v>
      </c>
      <c r="CW381" s="117">
        <f>+CU387</f>
        <v>51360</v>
      </c>
      <c r="CX381" s="98">
        <f t="shared" ref="CX381:CX384" si="2005">IF(ISERROR((CW381/CO381-1)*100),"NA",IF(((CW381/CO381-1)*100)&gt;100,"NM",IF(((CW381/CO381-1)*100)&lt;-50,"NM",(CW381/CO381-1)*100)))</f>
        <v>2.0383835975682496</v>
      </c>
      <c r="CY381" s="117">
        <f>+CW387</f>
        <v>52226</v>
      </c>
      <c r="CZ381" s="98">
        <f t="shared" ref="CZ381:CZ384" si="2006">IF(ISERROR((CY381/CQ381-1)*100),"NA",IF(((CY381/CQ381-1)*100)&gt;100,"NM",IF(((CY381/CQ381-1)*100)&lt;-50,"NM",(CY381/CQ381-1)*100)))</f>
        <v>2.6353542301267519</v>
      </c>
      <c r="DA381" s="117">
        <f>+CY387</f>
        <v>51590</v>
      </c>
      <c r="DB381" s="98">
        <f t="shared" ref="DB381:DB384" si="2007">IF(ISERROR((DA381/CS381-1)*100),"NA",IF(((DA381/CS381-1)*100)&gt;100,"NM",IF(((DA381/CS381-1)*100)&lt;-50,"NM",(DA381/CS381-1)*100)))</f>
        <v>-6.1846483970104167</v>
      </c>
      <c r="DC381" s="117">
        <f>+DA387</f>
        <v>51542</v>
      </c>
      <c r="DD381" s="98">
        <f t="shared" ref="DD381:DD384" si="2008">IF(ISERROR((DC381/CU381-1)*100),"NA",IF(((DC381/CU381-1)*100)&gt;100,"NM",IF(((DC381/CU381-1)*100)&lt;-50,"NM",(DC381/CU381-1)*100)))</f>
        <v>-4.3729939330970913</v>
      </c>
      <c r="DE381" s="117">
        <f>+DC387</f>
        <v>50020</v>
      </c>
      <c r="DF381" s="98">
        <f t="shared" ref="DF381:DF384" si="2009">IF(ISERROR((DE381/CW381-1)*100),"NA",IF(((DE381/CW381-1)*100)&gt;100,"NM",IF(((DE381/CW381-1)*100)&lt;-50,"NM",(DE381/CW381-1)*100)))</f>
        <v>-2.6090342679127687</v>
      </c>
      <c r="DG381" s="117">
        <f>+DE387</f>
        <v>48990</v>
      </c>
      <c r="DH381" s="98">
        <f t="shared" ref="DH381:DH384" si="2010">IF(ISERROR((DG381/CY381-1)*100),"NA",IF(((DG381/CY381-1)*100)&gt;100,"NM",IF(((DG381/CY381-1)*100)&lt;-50,"NM",(DG381/CY381-1)*100)))</f>
        <v>-6.1961475127331189</v>
      </c>
      <c r="DI381" s="117">
        <f>+DG387</f>
        <v>48428</v>
      </c>
      <c r="DJ381" s="98">
        <f t="shared" ref="DJ381:DJ384" si="2011">IF(ISERROR((DI381/DA381-1)*100),"NA",IF(((DI381/DA381-1)*100)&gt;100,"NM",IF(((DI381/DA381-1)*100)&lt;-50,"NM",(DI381/DA381-1)*100)))</f>
        <v>-6.1290947858112066</v>
      </c>
      <c r="DK381" s="117">
        <f>+DI387</f>
        <v>46988</v>
      </c>
      <c r="DL381" s="98">
        <f t="shared" ref="DL381:DL384" si="2012">IF(ISERROR((DK381/DC381-1)*100),"NA",IF(((DK381/DC381-1)*100)&gt;100,"NM",IF(((DK381/DC381-1)*100)&lt;-50,"NM",(DK381/DC381-1)*100)))</f>
        <v>-8.8355127856893372</v>
      </c>
      <c r="DM381" s="117">
        <f>+DK387</f>
        <v>46899</v>
      </c>
      <c r="DN381" s="98">
        <f t="shared" ref="DN381:DN384" si="2013">IF(ISERROR((DM381/DE381-1)*100),"NA",IF(((DM381/DE381-1)*100)&gt;100,"NM",IF(((DM381/DE381-1)*100)&lt;-50,"NM",(DM381/DE381-1)*100)))</f>
        <v>-6.2395041983206667</v>
      </c>
      <c r="DO381" s="117">
        <f>+DM387</f>
        <v>46809</v>
      </c>
      <c r="DP381" s="98">
        <f t="shared" ref="DP381:DP384" si="2014">IF(ISERROR((DO381/DG381-1)*100),"NA",IF(((DO381/DG381-1)*100)&gt;100,"NM",IF(((DO381/DG381-1)*100)&lt;-50,"NM",(DO381/DG381-1)*100)))</f>
        <v>-4.4519289650949201</v>
      </c>
      <c r="DQ381" s="117">
        <f>+DO387</f>
        <v>47529</v>
      </c>
      <c r="DR381" s="98">
        <f t="shared" ref="DR381:DR384" si="2015">IF(ISERROR((DQ381/DI381-1)*100),"NA",IF(((DQ381/DI381-1)*100)&gt;100,"NM",IF(((DQ381/DI381-1)*100)&lt;-50,"NM",(DQ381/DI381-1)*100)))</f>
        <v>-1.8563640868918818</v>
      </c>
      <c r="DS381" s="117">
        <f t="shared" ref="DS381:DS386" si="2016">DS405+DS438</f>
        <v>99603</v>
      </c>
      <c r="DT381" s="98" t="str">
        <f t="shared" ref="DT381:DT384" si="2017">IF(ISERROR((DS381/DK381-1)*100),"NA",IF(((DS381/DK381-1)*100)&gt;100,"NM",IF(((DS381/DK381-1)*100)&lt;-50,"NM",(DS381/DK381-1)*100)))</f>
        <v>NM</v>
      </c>
      <c r="DU381" s="117">
        <f>+DS387</f>
        <v>99769</v>
      </c>
      <c r="DV381" s="98" t="str">
        <f t="shared" ref="DV381:DV384" si="2018">IF(ISERROR((DU381/DM381-1)*100),"NA",IF(((DU381/DM381-1)*100)&gt;100,"NM",IF(((DU381/DM381-1)*100)&lt;-50,"NM",(DU381/DM381-1)*100)))</f>
        <v>NM</v>
      </c>
      <c r="DW381" s="117">
        <f>+DU387</f>
        <v>99625</v>
      </c>
      <c r="DX381" s="98" t="str">
        <f t="shared" ref="DX381:DX384" si="2019">IF(ISERROR((DW381/DO381-1)*100),"NA",IF(((DW381/DO381-1)*100)&gt;100,"NM",IF(((DW381/DO381-1)*100)&lt;-50,"NM",(DW381/DO381-1)*100)))</f>
        <v>NM</v>
      </c>
      <c r="DY381" s="117">
        <f>+DW387</f>
        <v>100885</v>
      </c>
      <c r="DZ381" s="98" t="str">
        <f t="shared" ref="DZ381:DZ384" si="2020">IF(ISERROR((DY381/DQ381-1)*100),"NA",IF(((DY381/DQ381-1)*100)&gt;100,"NM",IF(((DY381/DQ381-1)*100)&lt;-50,"NM",(DY381/DQ381-1)*100)))</f>
        <v>NM</v>
      </c>
      <c r="EA381" s="117">
        <f>+DY387</f>
        <v>100981</v>
      </c>
      <c r="EB381" s="98">
        <f t="shared" ref="EB381:EB384" si="2021">IF(ISERROR((EA381/DS381-1)*100),"NA",IF(((EA381/DS381-1)*100)&gt;100,"NM",IF(((EA381/DS381-1)*100)&lt;-50,"NM",(EA381/DS381-1)*100)))</f>
        <v>1.3834924650864</v>
      </c>
      <c r="EC381" s="117">
        <f>+EA387</f>
        <v>102136</v>
      </c>
      <c r="ED381" s="98">
        <f t="shared" ref="ED381:ED384" si="2022">IF(ISERROR((EC381/DU381-1)*100),"NA",IF(((EC381/DU381-1)*100)&gt;100,"NM",IF(((EC381/DU381-1)*100)&lt;-50,"NM",(EC381/DU381-1)*100)))</f>
        <v>2.3724804297928115</v>
      </c>
      <c r="EE381" s="117">
        <f>+EC387</f>
        <v>103990</v>
      </c>
      <c r="EF381" s="860">
        <f t="shared" ref="EF381:EF388" si="2023">IF(ISERROR((EE381/DW381-1)*100),"NA",IF(((EE381/DW381-1)*100)&gt;100,"NM",IF(((EE381/DW381-1)*100)&lt;-50,"NM",(EE381/DW381-1)*100)))</f>
        <v>4.3814303638644914</v>
      </c>
      <c r="EG381" s="117">
        <f>+EE387</f>
        <v>104115</v>
      </c>
      <c r="EH381" s="860">
        <f t="shared" ref="EH381:EH388" si="2024">IF(ISERROR((EG381/DY381-1)*100),"NA",IF(((EG381/DY381-1)*100)&gt;100,"NM",IF(((EG381/DY381-1)*100)&lt;-50,"NM",(EG381/DY381-1)*100)))</f>
        <v>3.201665262427511</v>
      </c>
      <c r="EI381" s="117">
        <f>+EG387</f>
        <v>103054</v>
      </c>
      <c r="EJ381" s="860">
        <f t="shared" ref="EJ381:EJ388" si="2025">IF(ISERROR((EI381/EA381-1)*100),"NA",IF(((EI381/EA381-1)*100)&gt;100,"NM",IF(((EI381/EA381-1)*100)&lt;-50,"NM",(EI381/EA381-1)*100)))</f>
        <v>2.0528614293777947</v>
      </c>
      <c r="EK381" s="117">
        <f>+EI387</f>
        <v>102646</v>
      </c>
      <c r="EL381" s="860">
        <f t="shared" ref="EL381:EL388" si="2026">IF(ISERROR((EK381/EC381-1)*100),"NA",IF(((EK381/EC381-1)*100)&gt;100,"NM",IF(((EK381/EC381-1)*100)&lt;-50,"NM",(EK381/EC381-1)*100)))</f>
        <v>0.49933422103860536</v>
      </c>
      <c r="EM381" s="117">
        <f>+EK387</f>
        <v>102503</v>
      </c>
      <c r="EN381" s="860">
        <f t="shared" ref="EN381:EN388" si="2027">IF(ISERROR((EM381/EE381-1)*100),"NA",IF(((EM381/EE381-1)*100)&gt;100,"NM",IF(((EM381/EE381-1)*100)&lt;-50,"NM",(EM381/EE381-1)*100)))</f>
        <v>-1.4299451870372182</v>
      </c>
      <c r="EO381" s="117">
        <f>+EM387</f>
        <v>102565</v>
      </c>
      <c r="EP381" s="98">
        <f t="shared" ref="EP381:EP384" si="2028">IF(ISERROR((EO381/EG381-1)*100),"NA",IF(((EO381/EG381-1)*100)&gt;100,"NM",IF(((EO381/EG381-1)*100)&lt;-50,"NM",(EO381/EG381-1)*100)))</f>
        <v>-1.4887384142534654</v>
      </c>
      <c r="EQ381" s="792">
        <f t="shared" ref="EQ381" si="2029">+EO387</f>
        <v>102529</v>
      </c>
      <c r="ER381" s="98">
        <f t="shared" ref="ER381:ER384" si="2030">IF(ISERROR((EQ381/EI381-1)*100),"NA",IF(((EQ381/EI381-1)*100)&gt;100,"NM",IF(((EQ381/EI381-1)*100)&lt;-50,"NM",(EQ381/EI381-1)*100)))</f>
        <v>-0.50944165194946045</v>
      </c>
      <c r="ES381" s="792">
        <f t="shared" ref="ES381" si="2031">+EQ387</f>
        <v>102476.80632464431</v>
      </c>
      <c r="ET381" s="98">
        <f t="shared" ref="ET381:ET384" si="2032">IF(ISERROR((ES381/EK381-1)*100),"NA",IF(((ES381/EK381-1)*100)&gt;100,"NM",IF(((ES381/EK381-1)*100)&lt;-50,"NM",(ES381/EK381-1)*100)))</f>
        <v>-0.16483221494816291</v>
      </c>
      <c r="EU381" s="792">
        <f t="shared" ref="EU381" si="2033">+ES387</f>
        <v>102342.59223276784</v>
      </c>
      <c r="EV381" s="98">
        <f t="shared" ref="EV381:EV384" si="2034">IF(ISERROR((EU381/EM381-1)*100),"NA",IF(((EU381/EM381-1)*100)&gt;100,"NM",IF(((EU381/EM381-1)*100)&lt;-50,"NM",(EU381/EM381-1)*100)))</f>
        <v>-0.15649080244690694</v>
      </c>
      <c r="EW381" s="792">
        <f t="shared" ref="EW381" si="2035">+EU387</f>
        <v>102134.03768143737</v>
      </c>
      <c r="EX381" s="98">
        <f t="shared" ref="EX381:EX384" si="2036">IF(ISERROR((EW381/EO381-1)*100),"NA",IF(((EW381/EO381-1)*100)&gt;100,"NM",IF(((EW381/EO381-1)*100)&lt;-50,"NM",(EW381/EO381-1)*100)))</f>
        <v>-0.42018458398345171</v>
      </c>
      <c r="EY381" s="118"/>
      <c r="EZ381" s="594"/>
      <c r="FA381" s="405"/>
      <c r="FB381" s="95" t="s">
        <v>494</v>
      </c>
      <c r="FC381" s="98"/>
      <c r="FD381" s="117">
        <f>+FB387</f>
        <v>21045</v>
      </c>
      <c r="FE381" s="98" t="str">
        <f t="shared" ref="FE381:FE384" si="2037">IF(ISERROR((FD381/FB381-1)*100),"NA",IF(((FD381/FB381-1)*100)&gt;100,"NM",IF(((FD381/FB381-1)*100)&lt;-50,"NM",(FD381/FB381-1)*100)))</f>
        <v>NA</v>
      </c>
      <c r="FF381" s="118"/>
      <c r="FG381" s="98"/>
      <c r="FH381" s="118"/>
      <c r="FI381" s="98"/>
      <c r="FJ381" s="118"/>
      <c r="FK381" s="98"/>
      <c r="FL381" s="118"/>
      <c r="FM381" s="98"/>
      <c r="FN381" s="118"/>
      <c r="FO381" s="98"/>
      <c r="FP381" s="118"/>
      <c r="FQ381" s="98"/>
      <c r="FR381" s="119"/>
      <c r="FS381" s="120"/>
      <c r="FT381" s="119"/>
      <c r="FU381" s="120"/>
      <c r="FV381" s="119">
        <f>BO381</f>
        <v>40840</v>
      </c>
      <c r="FW381" s="98" t="str">
        <f t="shared" ref="FW381:FW384" si="2038">IF(ISERROR((FV381/FT381-1)*100),"NA",IF(((FV381/FT381-1)*100)&gt;100,"NM",IF(((FV381/FT381-1)*100)&lt;-50,"NM",(FV381/FT381-1)*100)))</f>
        <v>NA</v>
      </c>
      <c r="FX381" s="485">
        <f>+FV387</f>
        <v>47937</v>
      </c>
      <c r="FY381" s="98">
        <f t="shared" ref="FY381:FY384" si="2039">IF(ISERROR((FX381/FV381-1)*100),"NA",IF(((FX381/FV381-1)*100)&gt;100,"NM",IF(((FX381/FV381-1)*100)&lt;-50,"NM",(FX381/FV381-1)*100)))</f>
        <v>17.377571008814897</v>
      </c>
      <c r="FZ381" s="119">
        <f>FX387</f>
        <v>55081</v>
      </c>
      <c r="GA381" s="98">
        <f t="shared" ref="GA381:GA384" si="2040">IF(ISERROR((FZ381/FX381-1)*100),"NA",IF(((FZ381/FX381-1)*100)&gt;100,"NM",IF(((FZ381/FX381-1)*100)&lt;-50,"NM",(FZ381/FX381-1)*100)))</f>
        <v>14.902893380895765</v>
      </c>
      <c r="GB381" s="485">
        <f>CM381</f>
        <v>50860</v>
      </c>
      <c r="GC381" s="98">
        <f t="shared" ref="GC381:GC384" si="2041">IF(ISERROR((GB381/FZ381-1)*100),"NA",IF(((GB381/FZ381-1)*100)&gt;100,"NM",IF(((GB381/FZ381-1)*100)&lt;-50,"NM",(GB381/FZ381-1)*100)))</f>
        <v>-7.6632595631887623</v>
      </c>
      <c r="GD381" s="119">
        <f>CU381</f>
        <v>53899</v>
      </c>
      <c r="GE381" s="98">
        <f t="shared" ref="GE381:GE384" si="2042">IF(ISERROR((GD381/GB381-1)*100),"NA",IF(((GD381/GB381-1)*100)&gt;100,"NM",IF(((GD381/GB381-1)*100)&lt;-50,"NM",(GD381/GB381-1)*100)))</f>
        <v>5.9752261108926508</v>
      </c>
      <c r="GF381" s="119">
        <f>DC381</f>
        <v>51542</v>
      </c>
      <c r="GG381" s="98">
        <f t="shared" ref="GG381:GG384" si="2043">IF(ISERROR((GF381/GD381-1)*100),"NA",IF(((GF381/GD381-1)*100)&gt;100,"NM",IF(((GF381/GD381-1)*100)&lt;-50,"NM",(GF381/GD381-1)*100)))</f>
        <v>-4.3729939330970913</v>
      </c>
      <c r="GH381" s="119">
        <f>DK381</f>
        <v>46988</v>
      </c>
      <c r="GI381" s="98">
        <f t="shared" ref="GI381:GI384" si="2044">IF(ISERROR((GH381/GF381-1)*100),"NA",IF(((GH381/GF381-1)*100)&gt;100,"NM",IF(((GH381/GF381-1)*100)&lt;-50,"NM",(GH381/GF381-1)*100)))</f>
        <v>-8.8355127856893372</v>
      </c>
      <c r="GJ381" s="119">
        <f>DS381</f>
        <v>99603</v>
      </c>
      <c r="GK381" s="98" t="str">
        <f t="shared" ref="GK381:GK384" si="2045">IF(ISERROR((GJ381/GH381-1)*100),"NA",IF(((GJ381/GH381-1)*100)&gt;100,"NM",IF(((GJ381/GH381-1)*100)&lt;-50,"NM",(GJ381/GH381-1)*100)))</f>
        <v>NM</v>
      </c>
      <c r="GL381" s="119">
        <f>EA381</f>
        <v>100981</v>
      </c>
      <c r="GM381" s="98">
        <f t="shared" ref="GM381:GW384" si="2046">IF(ISERROR((GL381/GJ381-1)*100),"NA",IF(((GL381/GJ381-1)*100)&gt;100,"NM",IF(((GL381/GJ381-1)*100)&lt;-50,"NM",(GL381/GJ381-1)*100)))</f>
        <v>1.3834924650864</v>
      </c>
      <c r="GN381" s="119">
        <f>EI381</f>
        <v>103054</v>
      </c>
      <c r="GO381" s="98">
        <f t="shared" si="2046"/>
        <v>2.0528614293777947</v>
      </c>
      <c r="GP381" s="119">
        <f>EQ381</f>
        <v>102529</v>
      </c>
      <c r="GQ381" s="98">
        <f t="shared" si="2046"/>
        <v>-0.50944165194946045</v>
      </c>
      <c r="GR381" s="118">
        <f>+GP387</f>
        <v>101857.85661049843</v>
      </c>
      <c r="GS381" s="98">
        <f t="shared" si="2046"/>
        <v>-0.65458883779375698</v>
      </c>
      <c r="GT381" s="118">
        <f>+GR387</f>
        <v>100085.85071216927</v>
      </c>
      <c r="GU381" s="98">
        <f t="shared" si="2046"/>
        <v>-1.7396850447239154</v>
      </c>
      <c r="GV381" s="118">
        <f>+GT387</f>
        <v>97127.586730427865</v>
      </c>
      <c r="GW381" s="98">
        <f t="shared" si="2046"/>
        <v>-2.95572646951755</v>
      </c>
      <c r="GX381" s="118">
        <f>+GV387</f>
        <v>93291.743257498019</v>
      </c>
      <c r="GY381" s="98">
        <f t="shared" ref="GY381:GY384" si="2047">IF(ISERROR((GX381/GV381-1)*100),"NA",IF(((GX381/GV381-1)*100)&gt;100,"NM",IF(((GX381/GV381-1)*100)&lt;-50,"NM",(GX381/GV381-1)*100)))</f>
        <v>-3.9492832078449669</v>
      </c>
      <c r="GZ381" s="98">
        <f>IF(ISERROR(((GX381/GN381)^0.2-1)*100),"NA",IF((((GX381/GN381)^0.2-1)*100)&gt;100,"NM",IF((((GX381/GN381)^0.2-1)*100)&lt;-50,"NM",((GX381/GN381)^0.2-1)*100)))</f>
        <v>-1.9707520222324248</v>
      </c>
      <c r="HA381" s="98"/>
      <c r="HB381" s="10"/>
      <c r="HC381"/>
      <c r="HD381"/>
      <c r="HE381"/>
      <c r="HF381"/>
      <c r="HG381"/>
      <c r="HH381"/>
      <c r="HI381" s="10"/>
    </row>
    <row r="382" spans="1:217" s="2" customFormat="1" ht="12.75" customHeight="1" x14ac:dyDescent="0.2">
      <c r="A382" s="2" t="s">
        <v>68</v>
      </c>
      <c r="B382" s="91" t="s">
        <v>340</v>
      </c>
      <c r="C382" s="101"/>
      <c r="D382" s="98"/>
      <c r="E382" s="101"/>
      <c r="F382" s="98"/>
      <c r="G382" s="101"/>
      <c r="H382" s="98"/>
      <c r="I382" s="101"/>
      <c r="J382" s="98"/>
      <c r="K382" s="101"/>
      <c r="L382" s="98"/>
      <c r="M382" s="101"/>
      <c r="N382" s="98"/>
      <c r="O382" s="101"/>
      <c r="P382" s="98"/>
      <c r="Q382" s="101"/>
      <c r="R382" s="98"/>
      <c r="S382" s="101"/>
      <c r="T382" s="98"/>
      <c r="U382" s="101"/>
      <c r="V382" s="98"/>
      <c r="W382" s="101"/>
      <c r="X382" s="98"/>
      <c r="Y382" s="101"/>
      <c r="Z382" s="98"/>
      <c r="AA382" s="101"/>
      <c r="AB382" s="98"/>
      <c r="AC382" s="101"/>
      <c r="AD382" s="98"/>
      <c r="AE382" s="101"/>
      <c r="AF382" s="98"/>
      <c r="AG382" s="101"/>
      <c r="AH382" s="98"/>
      <c r="AI382" s="101"/>
      <c r="AJ382" s="98"/>
      <c r="AK382" s="101"/>
      <c r="AL382" s="98"/>
      <c r="AM382" s="101"/>
      <c r="AN382" s="98"/>
      <c r="AO382" s="101"/>
      <c r="AP382" s="98"/>
      <c r="AQ382" s="101"/>
      <c r="AR382" s="98"/>
      <c r="AS382" s="101"/>
      <c r="AT382" s="98"/>
      <c r="AU382" s="101"/>
      <c r="AV382" s="98"/>
      <c r="AW382" s="101"/>
      <c r="AX382" s="98"/>
      <c r="AY382" s="101"/>
      <c r="AZ382" s="98"/>
      <c r="BA382" s="101"/>
      <c r="BB382" s="98"/>
      <c r="BC382" s="101"/>
      <c r="BD382" s="98"/>
      <c r="BE382" s="101"/>
      <c r="BF382" s="98"/>
      <c r="BG382" s="101"/>
      <c r="BH382" s="98"/>
      <c r="BI382" s="101"/>
      <c r="BJ382" s="98"/>
      <c r="BK382" s="101"/>
      <c r="BL382" s="98"/>
      <c r="BM382" s="101">
        <v>1577</v>
      </c>
      <c r="BN382" s="98" t="str">
        <f t="shared" si="1987"/>
        <v>NA</v>
      </c>
      <c r="BO382" s="101">
        <v>1428</v>
      </c>
      <c r="BP382" s="98" t="str">
        <f t="shared" si="1988"/>
        <v>NA</v>
      </c>
      <c r="BQ382" s="101">
        <v>1635</v>
      </c>
      <c r="BR382" s="98" t="str">
        <f t="shared" si="1989"/>
        <v>NA</v>
      </c>
      <c r="BS382" s="101">
        <v>2127</v>
      </c>
      <c r="BT382" s="98" t="str">
        <f t="shared" si="1990"/>
        <v>NA</v>
      </c>
      <c r="BU382" s="101">
        <v>5622</v>
      </c>
      <c r="BV382" s="98" t="str">
        <f t="shared" si="1991"/>
        <v>NM</v>
      </c>
      <c r="BW382" s="101">
        <v>5335</v>
      </c>
      <c r="BX382" s="98" t="str">
        <f t="shared" si="1992"/>
        <v>NM</v>
      </c>
      <c r="BY382" s="101">
        <v>2768</v>
      </c>
      <c r="BZ382" s="98">
        <f t="shared" si="1993"/>
        <v>69.296636085626901</v>
      </c>
      <c r="CA382" s="101">
        <v>1944</v>
      </c>
      <c r="CB382" s="98">
        <f t="shared" si="1994"/>
        <v>-8.60366713681241</v>
      </c>
      <c r="CC382" s="101">
        <v>1847</v>
      </c>
      <c r="CD382" s="98" t="str">
        <f t="shared" si="1995"/>
        <v>NM</v>
      </c>
      <c r="CE382" s="101">
        <v>1738</v>
      </c>
      <c r="CF382" s="98" t="str">
        <f t="shared" si="1996"/>
        <v>NM</v>
      </c>
      <c r="CG382" s="101">
        <v>1828</v>
      </c>
      <c r="CH382" s="98">
        <f t="shared" si="1997"/>
        <v>-33.959537572254341</v>
      </c>
      <c r="CI382" s="101">
        <v>2038</v>
      </c>
      <c r="CJ382" s="98">
        <f t="shared" si="1998"/>
        <v>4.8353909465020495</v>
      </c>
      <c r="CK382" s="101">
        <v>1775</v>
      </c>
      <c r="CL382" s="98">
        <f t="shared" si="1999"/>
        <v>-3.8982133188955048</v>
      </c>
      <c r="CM382" s="101">
        <v>1608</v>
      </c>
      <c r="CN382" s="98">
        <f t="shared" si="2000"/>
        <v>-7.4798619102416586</v>
      </c>
      <c r="CO382" s="101">
        <v>1931</v>
      </c>
      <c r="CP382" s="98">
        <f t="shared" si="2001"/>
        <v>5.634573304157553</v>
      </c>
      <c r="CQ382" s="542">
        <v>2699</v>
      </c>
      <c r="CR382" s="98">
        <f t="shared" si="2002"/>
        <v>32.433758586849848</v>
      </c>
      <c r="CS382" s="101">
        <v>2216</v>
      </c>
      <c r="CT382" s="98">
        <f t="shared" si="2003"/>
        <v>24.845070422535208</v>
      </c>
      <c r="CU382" s="101">
        <v>1483</v>
      </c>
      <c r="CV382" s="98">
        <f t="shared" si="2004"/>
        <v>-7.7736318407960248</v>
      </c>
      <c r="CW382" s="101">
        <v>1245</v>
      </c>
      <c r="CX382" s="98">
        <f t="shared" si="2005"/>
        <v>-35.525634386328328</v>
      </c>
      <c r="CY382" s="101">
        <v>1266</v>
      </c>
      <c r="CZ382" s="98" t="str">
        <f t="shared" si="2006"/>
        <v>NM</v>
      </c>
      <c r="DA382" s="101">
        <v>1047</v>
      </c>
      <c r="DB382" s="98" t="str">
        <f t="shared" si="2007"/>
        <v>NM</v>
      </c>
      <c r="DC382" s="101">
        <v>1019</v>
      </c>
      <c r="DD382" s="98">
        <f t="shared" si="2008"/>
        <v>-31.287929871881325</v>
      </c>
      <c r="DE382" s="101">
        <v>772</v>
      </c>
      <c r="DF382" s="98">
        <f t="shared" si="2009"/>
        <v>-37.99196787148594</v>
      </c>
      <c r="DG382" s="101">
        <v>816</v>
      </c>
      <c r="DH382" s="98">
        <f t="shared" si="2010"/>
        <v>-35.545023696682463</v>
      </c>
      <c r="DI382" s="101">
        <v>816</v>
      </c>
      <c r="DJ382" s="98">
        <f t="shared" si="2011"/>
        <v>-22.063037249283667</v>
      </c>
      <c r="DK382" s="101">
        <v>842</v>
      </c>
      <c r="DL382" s="465">
        <f t="shared" si="2012"/>
        <v>-17.369970559371929</v>
      </c>
      <c r="DM382" s="101">
        <v>849</v>
      </c>
      <c r="DN382" s="465">
        <f t="shared" si="2013"/>
        <v>9.9740932642486957</v>
      </c>
      <c r="DO382" s="101">
        <v>952</v>
      </c>
      <c r="DP382" s="465">
        <f t="shared" si="2014"/>
        <v>16.666666666666675</v>
      </c>
      <c r="DQ382" s="101">
        <v>850</v>
      </c>
      <c r="DR382" s="465">
        <f t="shared" si="2015"/>
        <v>4.1666666666666741</v>
      </c>
      <c r="DS382" s="117">
        <f t="shared" si="2016"/>
        <v>1767</v>
      </c>
      <c r="DT382" s="465" t="str">
        <f t="shared" si="2017"/>
        <v>NM</v>
      </c>
      <c r="DU382" s="117">
        <f>DU406+DU439</f>
        <v>1802</v>
      </c>
      <c r="DV382" s="465" t="str">
        <f t="shared" si="2018"/>
        <v>NM</v>
      </c>
      <c r="DW382" s="117">
        <f t="shared" ref="DW382" si="2048">DW406+DW439</f>
        <v>1833</v>
      </c>
      <c r="DX382" s="465">
        <f t="shared" si="2019"/>
        <v>92.5420168067227</v>
      </c>
      <c r="DY382" s="117">
        <f t="shared" ref="DY382" si="2049">DY406+DY439</f>
        <v>1881</v>
      </c>
      <c r="DZ382" s="465" t="str">
        <f t="shared" si="2020"/>
        <v>NM</v>
      </c>
      <c r="EA382" s="117">
        <f t="shared" ref="EA382" si="2050">EA406+EA439</f>
        <v>1973</v>
      </c>
      <c r="EB382" s="465">
        <f t="shared" si="2021"/>
        <v>11.658177702320316</v>
      </c>
      <c r="EC382" s="117">
        <f t="shared" ref="EC382:EE382" si="2051">EC406+EC439</f>
        <v>1818</v>
      </c>
      <c r="ED382" s="465">
        <f t="shared" si="2022"/>
        <v>0.88790233074362845</v>
      </c>
      <c r="EE382" s="117">
        <f t="shared" si="2051"/>
        <v>1642</v>
      </c>
      <c r="EF382" s="860">
        <f t="shared" si="2023"/>
        <v>-10.420076377523191</v>
      </c>
      <c r="EG382" s="117">
        <f t="shared" ref="EG382:EI382" si="2052">EG406+EG439</f>
        <v>1722</v>
      </c>
      <c r="EH382" s="860">
        <f t="shared" si="2024"/>
        <v>-8.4529505582137112</v>
      </c>
      <c r="EI382" s="117">
        <f t="shared" si="2052"/>
        <v>1607</v>
      </c>
      <c r="EJ382" s="860">
        <f t="shared" si="2025"/>
        <v>-18.550430816016217</v>
      </c>
      <c r="EK382" s="117">
        <f t="shared" ref="EK382:EM382" si="2053">EK406+EK439</f>
        <v>1443</v>
      </c>
      <c r="EL382" s="860">
        <f t="shared" si="2026"/>
        <v>-20.627062706270628</v>
      </c>
      <c r="EM382" s="117">
        <f t="shared" si="2053"/>
        <v>1392</v>
      </c>
      <c r="EN382" s="860">
        <f t="shared" si="2027"/>
        <v>-15.225334957369064</v>
      </c>
      <c r="EO382" s="117">
        <f t="shared" ref="EO382" si="2054">EO406+EO439</f>
        <v>1484</v>
      </c>
      <c r="EP382" s="465">
        <f t="shared" si="2028"/>
        <v>-13.821138211382111</v>
      </c>
      <c r="EQ382" s="1031">
        <f t="shared" ref="EQ382" si="2055">EQ406+EQ439</f>
        <v>1393.45</v>
      </c>
      <c r="ER382" s="465">
        <f t="shared" si="2030"/>
        <v>-13.288736776602361</v>
      </c>
      <c r="ES382" s="1031">
        <f t="shared" ref="ES382" si="2056">ES406+ES439</f>
        <v>1310.6975</v>
      </c>
      <c r="ET382" s="465">
        <f t="shared" si="2032"/>
        <v>-9.1685724185724187</v>
      </c>
      <c r="EU382" s="1031">
        <f t="shared" ref="EU382" si="2057">EU406+EU439</f>
        <v>1234.698625</v>
      </c>
      <c r="EV382" s="465">
        <f t="shared" si="2034"/>
        <v>-11.300386135057472</v>
      </c>
      <c r="EW382" s="1031">
        <f t="shared" ref="EW382" si="2058">EW406+EW439</f>
        <v>1164.5924937500001</v>
      </c>
      <c r="EX382" s="465">
        <f t="shared" si="2036"/>
        <v>-21.523416863207533</v>
      </c>
      <c r="EY382" s="121"/>
      <c r="EZ382" s="594"/>
      <c r="FA382" s="405"/>
      <c r="FB382" s="95" t="s">
        <v>494</v>
      </c>
      <c r="FC382" s="98"/>
      <c r="FD382" s="101">
        <v>2552</v>
      </c>
      <c r="FE382" s="98" t="str">
        <f t="shared" si="2037"/>
        <v>NA</v>
      </c>
      <c r="FF382" s="118"/>
      <c r="FG382" s="98"/>
      <c r="FH382" s="118"/>
      <c r="FI382" s="98"/>
      <c r="FJ382" s="118"/>
      <c r="FK382" s="98"/>
      <c r="FL382" s="118"/>
      <c r="FM382" s="98"/>
      <c r="FN382" s="118"/>
      <c r="FO382" s="98"/>
      <c r="FP382" s="118"/>
      <c r="FQ382" s="98"/>
      <c r="FR382" s="119"/>
      <c r="FS382" s="120"/>
      <c r="FT382" s="119"/>
      <c r="FU382" s="120"/>
      <c r="FV382" s="119">
        <f>BO382+BQ382+BS382+BU382</f>
        <v>10812</v>
      </c>
      <c r="FW382" s="98" t="str">
        <f t="shared" si="2038"/>
        <v>NA</v>
      </c>
      <c r="FX382" s="485">
        <f>BW382+BY382+CA382+CC382</f>
        <v>11894</v>
      </c>
      <c r="FY382" s="98">
        <f t="shared" si="2039"/>
        <v>10.007399186089527</v>
      </c>
      <c r="FZ382" s="119">
        <f>CE382+CG382+CI382+CK382</f>
        <v>7379</v>
      </c>
      <c r="GA382" s="98">
        <f t="shared" si="2040"/>
        <v>-37.960316125777702</v>
      </c>
      <c r="GB382" s="485">
        <f>CM382+CO382+CQ382+CS382</f>
        <v>8454</v>
      </c>
      <c r="GC382" s="98">
        <f t="shared" si="2041"/>
        <v>14.568369697791027</v>
      </c>
      <c r="GD382" s="119">
        <f>CU382+CW382+CY382+DA382</f>
        <v>5041</v>
      </c>
      <c r="GE382" s="98">
        <f t="shared" si="2042"/>
        <v>-40.371421812159923</v>
      </c>
      <c r="GF382" s="119">
        <f>DC382+DE382+DG382+DI382</f>
        <v>3423</v>
      </c>
      <c r="GG382" s="98">
        <f t="shared" si="2043"/>
        <v>-32.096806189248163</v>
      </c>
      <c r="GH382" s="119">
        <f>DK382+DM382+DO382+DQ382</f>
        <v>3493</v>
      </c>
      <c r="GI382" s="98">
        <f t="shared" si="2044"/>
        <v>2.0449897750511203</v>
      </c>
      <c r="GJ382" s="119">
        <f>DS382+DU382+DW382+DY382</f>
        <v>7283</v>
      </c>
      <c r="GK382" s="98" t="str">
        <f t="shared" si="2045"/>
        <v>NM</v>
      </c>
      <c r="GL382" s="119">
        <f>EA382+EC382+EE382+EG382</f>
        <v>7155</v>
      </c>
      <c r="GM382" s="98">
        <f t="shared" si="2046"/>
        <v>-1.7575175065220328</v>
      </c>
      <c r="GN382" s="119">
        <f>EI382+EK382+EM382+EO382</f>
        <v>5926</v>
      </c>
      <c r="GO382" s="98">
        <f t="shared" si="2046"/>
        <v>-17.176799440950386</v>
      </c>
      <c r="GP382" s="119">
        <f>EQ382+ES382+EU382+EW382</f>
        <v>5103.4386187500004</v>
      </c>
      <c r="GQ382" s="98">
        <f t="shared" si="2046"/>
        <v>-13.880549801721219</v>
      </c>
      <c r="GR382" s="117">
        <f t="shared" ref="GR382" si="2059">GR406+GR439</f>
        <v>3763.2253640624995</v>
      </c>
      <c r="GS382" s="98">
        <f t="shared" si="2046"/>
        <v>-26.260985088829447</v>
      </c>
      <c r="GT382" s="117">
        <f t="shared" ref="GT382" si="2060">GT406+GT439</f>
        <v>2790.2422230468746</v>
      </c>
      <c r="GU382" s="98">
        <f t="shared" si="2046"/>
        <v>-25.855032502365582</v>
      </c>
      <c r="GV382" s="117">
        <f t="shared" ref="GV382:GX382" si="2061">GV406+GV439</f>
        <v>2076.5932672851563</v>
      </c>
      <c r="GW382" s="98">
        <f t="shared" si="2046"/>
        <v>-25.576595102285836</v>
      </c>
      <c r="GX382" s="117">
        <f t="shared" si="2061"/>
        <v>1549.4007504638671</v>
      </c>
      <c r="GY382" s="98">
        <f t="shared" si="2047"/>
        <v>-25.387374847387267</v>
      </c>
      <c r="GZ382" s="98">
        <f>IF(ISERROR(((GX382/GN382)^0.2-1)*100),"NA",IF((((GX382/GN382)^0.2-1)*100)&gt;100,"NM",IF((((GX382/GN382)^0.2-1)*100)&lt;-50,"NM",((GX382/GN382)^0.2-1)*100)))</f>
        <v>-23.531878247117575</v>
      </c>
      <c r="HA382" s="98"/>
      <c r="HB382" s="10"/>
      <c r="HC382"/>
      <c r="HD382"/>
      <c r="HE382"/>
      <c r="HF382"/>
      <c r="HG382"/>
      <c r="HH382"/>
      <c r="HI382" s="10"/>
    </row>
    <row r="383" spans="1:217" s="2" customFormat="1" ht="12.75" customHeight="1" x14ac:dyDescent="0.2">
      <c r="B383" s="91" t="s">
        <v>306</v>
      </c>
      <c r="C383" s="101"/>
      <c r="D383" s="98"/>
      <c r="E383" s="101"/>
      <c r="F383" s="98"/>
      <c r="G383" s="101"/>
      <c r="H383" s="98"/>
      <c r="I383" s="101"/>
      <c r="J383" s="98"/>
      <c r="K383" s="101"/>
      <c r="L383" s="98"/>
      <c r="M383" s="101"/>
      <c r="N383" s="98"/>
      <c r="O383" s="101"/>
      <c r="P383" s="98"/>
      <c r="Q383" s="101"/>
      <c r="R383" s="98"/>
      <c r="S383" s="101"/>
      <c r="T383" s="98"/>
      <c r="U383" s="101"/>
      <c r="V383" s="98"/>
      <c r="W383" s="101"/>
      <c r="X383" s="98"/>
      <c r="Y383" s="101"/>
      <c r="Z383" s="98"/>
      <c r="AA383" s="101"/>
      <c r="AB383" s="98"/>
      <c r="AC383" s="101"/>
      <c r="AD383" s="98"/>
      <c r="AE383" s="101"/>
      <c r="AF383" s="98"/>
      <c r="AG383" s="101"/>
      <c r="AH383" s="98"/>
      <c r="AI383" s="101"/>
      <c r="AJ383" s="98"/>
      <c r="AK383" s="101"/>
      <c r="AL383" s="98"/>
      <c r="AM383" s="101"/>
      <c r="AN383" s="98"/>
      <c r="AO383" s="101"/>
      <c r="AP383" s="98"/>
      <c r="AQ383" s="101"/>
      <c r="AR383" s="98"/>
      <c r="AS383" s="101"/>
      <c r="AT383" s="98"/>
      <c r="AU383" s="101"/>
      <c r="AV383" s="98"/>
      <c r="AW383" s="101"/>
      <c r="AX383" s="98"/>
      <c r="AY383" s="101"/>
      <c r="AZ383" s="98"/>
      <c r="BA383" s="101"/>
      <c r="BB383" s="98"/>
      <c r="BC383" s="101"/>
      <c r="BD383" s="98"/>
      <c r="BE383" s="101"/>
      <c r="BF383" s="98"/>
      <c r="BG383" s="101"/>
      <c r="BH383" s="98"/>
      <c r="BI383" s="101"/>
      <c r="BJ383" s="98"/>
      <c r="BK383" s="101"/>
      <c r="BL383" s="98"/>
      <c r="BM383" s="101">
        <v>417</v>
      </c>
      <c r="BN383" s="98" t="str">
        <f t="shared" si="1987"/>
        <v>NA</v>
      </c>
      <c r="BO383" s="101">
        <v>415</v>
      </c>
      <c r="BP383" s="98" t="str">
        <f t="shared" si="1988"/>
        <v>NA</v>
      </c>
      <c r="BQ383" s="101">
        <v>401</v>
      </c>
      <c r="BR383" s="98" t="str">
        <f t="shared" si="1989"/>
        <v>NA</v>
      </c>
      <c r="BS383" s="101">
        <v>405</v>
      </c>
      <c r="BT383" s="98" t="str">
        <f t="shared" si="1990"/>
        <v>NA</v>
      </c>
      <c r="BU383" s="101">
        <v>457</v>
      </c>
      <c r="BV383" s="98">
        <f t="shared" si="1991"/>
        <v>9.5923261390887369</v>
      </c>
      <c r="BW383" s="101">
        <v>495</v>
      </c>
      <c r="BX383" s="98">
        <f t="shared" si="1992"/>
        <v>19.277108433734934</v>
      </c>
      <c r="BY383" s="101">
        <v>529</v>
      </c>
      <c r="BZ383" s="98">
        <f t="shared" si="1993"/>
        <v>31.920199501246891</v>
      </c>
      <c r="CA383" s="101">
        <v>522</v>
      </c>
      <c r="CB383" s="98">
        <f t="shared" si="1994"/>
        <v>28.888888888888896</v>
      </c>
      <c r="CC383" s="101">
        <v>583</v>
      </c>
      <c r="CD383" s="98">
        <f t="shared" si="1995"/>
        <v>27.571115973741801</v>
      </c>
      <c r="CE383" s="101">
        <v>559</v>
      </c>
      <c r="CF383" s="98">
        <f t="shared" si="1996"/>
        <v>12.929292929292924</v>
      </c>
      <c r="CG383" s="101">
        <v>561</v>
      </c>
      <c r="CH383" s="98">
        <f t="shared" si="1997"/>
        <v>6.0491493383742823</v>
      </c>
      <c r="CI383" s="101">
        <v>547</v>
      </c>
      <c r="CJ383" s="98">
        <f t="shared" si="1998"/>
        <v>4.789272030651337</v>
      </c>
      <c r="CK383" s="101">
        <v>560</v>
      </c>
      <c r="CL383" s="98">
        <f t="shared" si="1999"/>
        <v>-3.9451114922813058</v>
      </c>
      <c r="CM383" s="101">
        <v>479</v>
      </c>
      <c r="CN383" s="98">
        <f t="shared" si="2000"/>
        <v>-14.311270125223619</v>
      </c>
      <c r="CO383" s="101">
        <v>479</v>
      </c>
      <c r="CP383" s="98">
        <f t="shared" si="2001"/>
        <v>-14.616755793226377</v>
      </c>
      <c r="CQ383" s="542">
        <v>484</v>
      </c>
      <c r="CR383" s="98">
        <f t="shared" si="2002"/>
        <v>-11.517367458866545</v>
      </c>
      <c r="CS383" s="101">
        <v>472</v>
      </c>
      <c r="CT383" s="98">
        <f t="shared" si="2003"/>
        <v>-15.714285714285714</v>
      </c>
      <c r="CU383" s="101">
        <v>450</v>
      </c>
      <c r="CV383" s="98">
        <f t="shared" si="2004"/>
        <v>-6.0542797494780753</v>
      </c>
      <c r="CW383" s="101">
        <v>444</v>
      </c>
      <c r="CX383" s="98">
        <f t="shared" si="2005"/>
        <v>-7.3068893528183683</v>
      </c>
      <c r="CY383" s="101">
        <v>449</v>
      </c>
      <c r="CZ383" s="98">
        <f t="shared" si="2006"/>
        <v>-7.2314049586776896</v>
      </c>
      <c r="DA383" s="101">
        <v>430</v>
      </c>
      <c r="DB383" s="98">
        <f t="shared" si="2007"/>
        <v>-8.8983050847457612</v>
      </c>
      <c r="DC383" s="101">
        <v>424</v>
      </c>
      <c r="DD383" s="98">
        <f t="shared" si="2008"/>
        <v>-5.7777777777777821</v>
      </c>
      <c r="DE383" s="101">
        <v>429</v>
      </c>
      <c r="DF383" s="98">
        <f t="shared" si="2009"/>
        <v>-3.3783783783783772</v>
      </c>
      <c r="DG383" s="101">
        <v>417</v>
      </c>
      <c r="DH383" s="98">
        <f t="shared" si="2010"/>
        <v>-7.1269487750556753</v>
      </c>
      <c r="DI383" s="101">
        <v>415</v>
      </c>
      <c r="DJ383" s="98">
        <f t="shared" si="2011"/>
        <v>-3.4883720930232509</v>
      </c>
      <c r="DK383" s="101">
        <v>395</v>
      </c>
      <c r="DL383" s="465">
        <f t="shared" si="2012"/>
        <v>-6.8396226415094352</v>
      </c>
      <c r="DM383" s="101">
        <v>397</v>
      </c>
      <c r="DN383" s="465">
        <f t="shared" si="2013"/>
        <v>-7.4592074592074624</v>
      </c>
      <c r="DO383" s="101">
        <v>402</v>
      </c>
      <c r="DP383" s="465">
        <f t="shared" si="2014"/>
        <v>-3.5971223021582732</v>
      </c>
      <c r="DQ383" s="101">
        <v>399</v>
      </c>
      <c r="DR383" s="465">
        <f t="shared" si="2015"/>
        <v>-3.8554216867469848</v>
      </c>
      <c r="DS383" s="117">
        <f t="shared" si="2016"/>
        <v>976</v>
      </c>
      <c r="DT383" s="465" t="str">
        <f t="shared" si="2017"/>
        <v>NM</v>
      </c>
      <c r="DU383" s="117">
        <f>DU407+DU440</f>
        <v>984</v>
      </c>
      <c r="DV383" s="465" t="str">
        <f t="shared" si="2018"/>
        <v>NM</v>
      </c>
      <c r="DW383" s="117">
        <f t="shared" ref="DW383" si="2062">DW407+DW440</f>
        <v>989</v>
      </c>
      <c r="DX383" s="465" t="str">
        <f t="shared" si="2019"/>
        <v>NM</v>
      </c>
      <c r="DY383" s="117">
        <f t="shared" ref="DY383" si="2063">DY407+DY440</f>
        <v>996</v>
      </c>
      <c r="DZ383" s="465" t="str">
        <f t="shared" si="2020"/>
        <v>NM</v>
      </c>
      <c r="EA383" s="117">
        <f t="shared" ref="EA383" si="2064">EA407+EA440</f>
        <v>958</v>
      </c>
      <c r="EB383" s="465">
        <f t="shared" si="2021"/>
        <v>-1.8442622950819665</v>
      </c>
      <c r="EC383" s="117">
        <f t="shared" ref="EC383:EE383" si="2065">EC407+EC440</f>
        <v>961</v>
      </c>
      <c r="ED383" s="465">
        <f t="shared" si="2022"/>
        <v>-2.3373983739837345</v>
      </c>
      <c r="EE383" s="117">
        <f t="shared" si="2065"/>
        <v>965</v>
      </c>
      <c r="EF383" s="860">
        <f t="shared" si="2023"/>
        <v>-2.4266936299292219</v>
      </c>
      <c r="EG383" s="117">
        <f t="shared" ref="EG383:EI383" si="2066">EG407+EG440</f>
        <v>964</v>
      </c>
      <c r="EH383" s="860">
        <f t="shared" si="2024"/>
        <v>-3.2128514056224855</v>
      </c>
      <c r="EI383" s="117">
        <f t="shared" si="2066"/>
        <v>972</v>
      </c>
      <c r="EJ383" s="860">
        <f t="shared" si="2025"/>
        <v>1.4613778705636848</v>
      </c>
      <c r="EK383" s="117">
        <f t="shared" ref="EK383:EM383" si="2067">EK407+EK440</f>
        <v>974</v>
      </c>
      <c r="EL383" s="860">
        <f t="shared" si="2026"/>
        <v>1.3527575442247697</v>
      </c>
      <c r="EM383" s="117">
        <f t="shared" si="2067"/>
        <v>977</v>
      </c>
      <c r="EN383" s="860">
        <f t="shared" si="2027"/>
        <v>1.2435233160621673</v>
      </c>
      <c r="EO383" s="117">
        <f t="shared" ref="EO383" si="2068">EO407+EO440</f>
        <v>981</v>
      </c>
      <c r="EP383" s="465">
        <f t="shared" si="2028"/>
        <v>1.763485477178417</v>
      </c>
      <c r="EQ383" s="1031">
        <f t="shared" ref="EQ383" si="2069">EQ407+EQ440</f>
        <v>981.71527400403886</v>
      </c>
      <c r="ER383" s="465">
        <f t="shared" si="2030"/>
        <v>0.99951378642375577</v>
      </c>
      <c r="ES383" s="1031">
        <f t="shared" ref="ES383" si="2070">ES407+ES440</f>
        <v>982.11429985951258</v>
      </c>
      <c r="ET383" s="465">
        <f t="shared" si="2032"/>
        <v>0.83309033465222004</v>
      </c>
      <c r="EU383" s="1031">
        <f t="shared" ref="EU383" si="2071">EU407+EU440</f>
        <v>981.72299294033508</v>
      </c>
      <c r="EV383" s="465">
        <f t="shared" si="2034"/>
        <v>0.48341790586847733</v>
      </c>
      <c r="EW383" s="1031">
        <f t="shared" ref="EW383" si="2072">EW407+EW440</f>
        <v>980.60813422703541</v>
      </c>
      <c r="EX383" s="465">
        <f t="shared" si="2036"/>
        <v>-3.9945542605968054E-2</v>
      </c>
      <c r="EY383" s="121"/>
      <c r="EZ383" s="594"/>
      <c r="FA383" s="405"/>
      <c r="FB383" s="95" t="s">
        <v>494</v>
      </c>
      <c r="FC383" s="98"/>
      <c r="FD383" s="101">
        <v>1018</v>
      </c>
      <c r="FE383" s="98" t="str">
        <f t="shared" si="2037"/>
        <v>NA</v>
      </c>
      <c r="FF383" s="118"/>
      <c r="FG383" s="98"/>
      <c r="FH383" s="118"/>
      <c r="FI383" s="98"/>
      <c r="FJ383" s="118"/>
      <c r="FK383" s="98"/>
      <c r="FL383" s="118"/>
      <c r="FM383" s="98"/>
      <c r="FN383" s="118"/>
      <c r="FO383" s="98"/>
      <c r="FP383" s="118"/>
      <c r="FQ383" s="98"/>
      <c r="FR383" s="119"/>
      <c r="FS383" s="120"/>
      <c r="FT383" s="119"/>
      <c r="FU383" s="120"/>
      <c r="FV383" s="119">
        <f>BO383+BQ383+BS383+BU383</f>
        <v>1678</v>
      </c>
      <c r="FW383" s="98" t="str">
        <f t="shared" si="2038"/>
        <v>NA</v>
      </c>
      <c r="FX383" s="485">
        <f>BW383+BY383+CA383+CC383</f>
        <v>2129</v>
      </c>
      <c r="FY383" s="98">
        <f t="shared" si="2039"/>
        <v>26.877234803337302</v>
      </c>
      <c r="FZ383" s="119">
        <f>CE383+CG383+CI383+CK383</f>
        <v>2227</v>
      </c>
      <c r="GA383" s="98">
        <f t="shared" si="2040"/>
        <v>4.6031000469703987</v>
      </c>
      <c r="GB383" s="485">
        <f>CM383+CO383+CQ383+CS383</f>
        <v>1914</v>
      </c>
      <c r="GC383" s="98">
        <f t="shared" si="2041"/>
        <v>-14.054782218230798</v>
      </c>
      <c r="GD383" s="119">
        <f>CU383+CW383+CY383+DA383</f>
        <v>1773</v>
      </c>
      <c r="GE383" s="98">
        <f t="shared" si="2042"/>
        <v>-7.3667711598746077</v>
      </c>
      <c r="GF383" s="119">
        <f>DC383+DE383+DG383+DI383</f>
        <v>1685</v>
      </c>
      <c r="GG383" s="98">
        <f t="shared" si="2043"/>
        <v>-4.9633389734912603</v>
      </c>
      <c r="GH383" s="119">
        <f>DK383+DM383+DO383+DQ383</f>
        <v>1593</v>
      </c>
      <c r="GI383" s="98">
        <f t="shared" si="2044"/>
        <v>-5.4599406528189949</v>
      </c>
      <c r="GJ383" s="119">
        <f>DS383+DU383+DW383+DY383</f>
        <v>3945</v>
      </c>
      <c r="GK383" s="98" t="str">
        <f t="shared" si="2045"/>
        <v>NM</v>
      </c>
      <c r="GL383" s="119">
        <f>EA383+EC383+EE383+EG383</f>
        <v>3848</v>
      </c>
      <c r="GM383" s="98">
        <f t="shared" si="2046"/>
        <v>-2.4588086185044378</v>
      </c>
      <c r="GN383" s="119">
        <f>EI383+EK383+EM383+EO383</f>
        <v>3904</v>
      </c>
      <c r="GO383" s="98">
        <f t="shared" si="2046"/>
        <v>1.4553014553014609</v>
      </c>
      <c r="GP383" s="119">
        <f>EQ383+ES383+EU383+EW383</f>
        <v>3926.1607010309222</v>
      </c>
      <c r="GQ383" s="98">
        <f t="shared" si="2046"/>
        <v>0.56764090755436758</v>
      </c>
      <c r="GR383" s="117">
        <f t="shared" ref="GR383" si="2073">GR407+GR440</f>
        <v>3915.7774017861957</v>
      </c>
      <c r="GS383" s="98">
        <f t="shared" si="2046"/>
        <v>-0.26446444848781114</v>
      </c>
      <c r="GT383" s="117">
        <f t="shared" ref="GT383" si="2074">GT407+GT440</f>
        <v>3856.542103205682</v>
      </c>
      <c r="GU383" s="98">
        <f t="shared" si="2046"/>
        <v>-1.5127340628068753</v>
      </c>
      <c r="GV383" s="117">
        <f t="shared" ref="GV383:GX383" si="2075">GV407+GV440</f>
        <v>3749.8986706508499</v>
      </c>
      <c r="GW383" s="98">
        <f t="shared" si="2046"/>
        <v>-2.7652604250368862</v>
      </c>
      <c r="GX383" s="117">
        <f t="shared" si="2075"/>
        <v>3607.8320653444234</v>
      </c>
      <c r="GY383" s="98">
        <f t="shared" si="2047"/>
        <v>-3.7885451790559688</v>
      </c>
      <c r="GZ383" s="98">
        <f>IF(ISERROR(((GX383/GN383)^0.2-1)*100),"NA",IF((((GX383/GN383)^0.2-1)*100)&gt;100,"NM",IF((((GX383/GN383)^0.2-1)*100)&lt;-50,"NM",((GX383/GN383)^0.2-1)*100)))</f>
        <v>-1.5655087488683606</v>
      </c>
      <c r="HA383" s="98"/>
      <c r="HB383" s="10"/>
      <c r="HC383"/>
      <c r="HD383"/>
      <c r="HE383"/>
      <c r="HF383"/>
      <c r="HG383"/>
      <c r="HH383"/>
      <c r="HI383" s="10"/>
    </row>
    <row r="384" spans="1:217" s="2" customFormat="1" ht="12.75" customHeight="1" x14ac:dyDescent="0.2">
      <c r="A384" s="2" t="s">
        <v>32</v>
      </c>
      <c r="B384" s="91" t="s">
        <v>307</v>
      </c>
      <c r="C384" s="101"/>
      <c r="D384" s="98"/>
      <c r="E384" s="101"/>
      <c r="F384" s="98"/>
      <c r="G384" s="101"/>
      <c r="H384" s="98"/>
      <c r="I384" s="101"/>
      <c r="J384" s="98"/>
      <c r="K384" s="101"/>
      <c r="L384" s="98"/>
      <c r="M384" s="101"/>
      <c r="N384" s="98"/>
      <c r="O384" s="101"/>
      <c r="P384" s="98"/>
      <c r="Q384" s="101"/>
      <c r="R384" s="98"/>
      <c r="S384" s="101"/>
      <c r="T384" s="98"/>
      <c r="U384" s="101"/>
      <c r="V384" s="98"/>
      <c r="W384" s="101"/>
      <c r="X384" s="98"/>
      <c r="Y384" s="101"/>
      <c r="Z384" s="98"/>
      <c r="AA384" s="101"/>
      <c r="AB384" s="98"/>
      <c r="AC384" s="101"/>
      <c r="AD384" s="98"/>
      <c r="AE384" s="101"/>
      <c r="AF384" s="98"/>
      <c r="AG384" s="101"/>
      <c r="AH384" s="98"/>
      <c r="AI384" s="101"/>
      <c r="AJ384" s="98"/>
      <c r="AK384" s="101"/>
      <c r="AL384" s="98"/>
      <c r="AM384" s="101"/>
      <c r="AN384" s="98"/>
      <c r="AO384" s="101"/>
      <c r="AP384" s="98"/>
      <c r="AQ384" s="101"/>
      <c r="AR384" s="98"/>
      <c r="AS384" s="101"/>
      <c r="AT384" s="98"/>
      <c r="AU384" s="101"/>
      <c r="AV384" s="98"/>
      <c r="AW384" s="101"/>
      <c r="AX384" s="98"/>
      <c r="AY384" s="101"/>
      <c r="AZ384" s="98"/>
      <c r="BA384" s="101"/>
      <c r="BB384" s="98"/>
      <c r="BC384" s="101"/>
      <c r="BD384" s="98"/>
      <c r="BE384" s="101"/>
      <c r="BF384" s="98"/>
      <c r="BG384" s="101"/>
      <c r="BH384" s="98"/>
      <c r="BI384" s="101"/>
      <c r="BJ384" s="98"/>
      <c r="BK384" s="101"/>
      <c r="BL384" s="98"/>
      <c r="BM384" s="101">
        <v>-1410</v>
      </c>
      <c r="BN384" s="98" t="str">
        <f t="shared" si="1987"/>
        <v>NA</v>
      </c>
      <c r="BO384" s="101">
        <v>-1245</v>
      </c>
      <c r="BP384" s="98" t="str">
        <f t="shared" si="1988"/>
        <v>NA</v>
      </c>
      <c r="BQ384" s="101">
        <v>-1154</v>
      </c>
      <c r="BR384" s="98" t="str">
        <f t="shared" si="1989"/>
        <v>NA</v>
      </c>
      <c r="BS384" s="101">
        <v>-1130</v>
      </c>
      <c r="BT384" s="98" t="str">
        <f t="shared" si="1990"/>
        <v>NA</v>
      </c>
      <c r="BU384" s="101">
        <v>-1615</v>
      </c>
      <c r="BV384" s="98">
        <f t="shared" si="1991"/>
        <v>14.539007092198574</v>
      </c>
      <c r="BW384" s="101">
        <v>-1413</v>
      </c>
      <c r="BX384" s="98">
        <f t="shared" si="1992"/>
        <v>13.493975903614452</v>
      </c>
      <c r="BY384" s="101">
        <v>-923</v>
      </c>
      <c r="BZ384" s="98">
        <f t="shared" si="1993"/>
        <v>-20.017331022530328</v>
      </c>
      <c r="CA384" s="101">
        <v>-890</v>
      </c>
      <c r="CB384" s="98">
        <f t="shared" si="1994"/>
        <v>-21.238938053097346</v>
      </c>
      <c r="CC384" s="101">
        <v>-1047</v>
      </c>
      <c r="CD384" s="98">
        <f t="shared" si="1995"/>
        <v>-35.170278637770899</v>
      </c>
      <c r="CE384" s="101">
        <v>-852</v>
      </c>
      <c r="CF384" s="98">
        <f t="shared" si="1996"/>
        <v>-39.702760084925693</v>
      </c>
      <c r="CG384" s="101">
        <v>-834</v>
      </c>
      <c r="CH384" s="98">
        <f t="shared" si="1997"/>
        <v>-9.6424702058504845</v>
      </c>
      <c r="CI384" s="101">
        <v>-1160</v>
      </c>
      <c r="CJ384" s="98">
        <f t="shared" si="1998"/>
        <v>30.337078651685403</v>
      </c>
      <c r="CK384" s="101">
        <v>-999</v>
      </c>
      <c r="CL384" s="98">
        <f t="shared" si="1999"/>
        <v>-4.584527220630374</v>
      </c>
      <c r="CM384" s="101">
        <v>-913</v>
      </c>
      <c r="CN384" s="98">
        <f t="shared" si="2000"/>
        <v>7.1596244131455489</v>
      </c>
      <c r="CO384" s="101">
        <v>-921</v>
      </c>
      <c r="CP384" s="98">
        <f t="shared" si="2001"/>
        <v>10.431654676258994</v>
      </c>
      <c r="CQ384" s="542">
        <v>-991</v>
      </c>
      <c r="CR384" s="98">
        <f t="shared" si="2002"/>
        <v>-14.568965517241384</v>
      </c>
      <c r="CS384" s="101">
        <v>-1300</v>
      </c>
      <c r="CT384" s="98">
        <f t="shared" si="2003"/>
        <v>30.130130130130127</v>
      </c>
      <c r="CU384" s="101">
        <v>-1346</v>
      </c>
      <c r="CV384" s="98">
        <f t="shared" si="2004"/>
        <v>47.426067907995616</v>
      </c>
      <c r="CW384" s="101">
        <v>-905</v>
      </c>
      <c r="CX384" s="98">
        <f t="shared" si="2005"/>
        <v>-1.7372421281216077</v>
      </c>
      <c r="CY384" s="101">
        <v>-861</v>
      </c>
      <c r="CZ384" s="98">
        <f t="shared" si="2006"/>
        <v>-13.118062563067612</v>
      </c>
      <c r="DA384" s="101">
        <v>-1214</v>
      </c>
      <c r="DB384" s="98">
        <f t="shared" si="2007"/>
        <v>-6.6153846153846114</v>
      </c>
      <c r="DC384" s="101">
        <v>-1023</v>
      </c>
      <c r="DD384" s="98">
        <f t="shared" si="2008"/>
        <v>-23.997028231797923</v>
      </c>
      <c r="DE384" s="101">
        <v>-998</v>
      </c>
      <c r="DF384" s="98">
        <f t="shared" si="2009"/>
        <v>10.276243093922655</v>
      </c>
      <c r="DG384" s="101">
        <v>-908</v>
      </c>
      <c r="DH384" s="98">
        <f t="shared" si="2010"/>
        <v>5.4587688734030193</v>
      </c>
      <c r="DI384" s="101">
        <v>-1372</v>
      </c>
      <c r="DJ384" s="98">
        <f t="shared" si="2011"/>
        <v>13.01482701812191</v>
      </c>
      <c r="DK384" s="101">
        <v>-1163</v>
      </c>
      <c r="DL384" s="98">
        <f t="shared" si="2012"/>
        <v>13.685239491691114</v>
      </c>
      <c r="DM384" s="101">
        <v>-912</v>
      </c>
      <c r="DN384" s="98">
        <f t="shared" si="2013"/>
        <v>-8.6172344689378733</v>
      </c>
      <c r="DO384" s="101">
        <v>-894</v>
      </c>
      <c r="DP384" s="98">
        <f t="shared" si="2014"/>
        <v>-1.5418502202643181</v>
      </c>
      <c r="DQ384" s="101">
        <v>-1520</v>
      </c>
      <c r="DR384" s="98">
        <f t="shared" si="2015"/>
        <v>10.787172011661816</v>
      </c>
      <c r="DS384" s="117">
        <f t="shared" si="2016"/>
        <v>-1005</v>
      </c>
      <c r="DT384" s="98">
        <f t="shared" si="2017"/>
        <v>-13.585554600171967</v>
      </c>
      <c r="DU384" s="117">
        <f>DU408+DU441</f>
        <v>-1097</v>
      </c>
      <c r="DV384" s="98">
        <f t="shared" si="2018"/>
        <v>20.285087719298247</v>
      </c>
      <c r="DW384" s="117">
        <f t="shared" ref="DW384" si="2076">DW408+DW441</f>
        <v>-989</v>
      </c>
      <c r="DX384" s="98">
        <f t="shared" si="2019"/>
        <v>10.626398210290834</v>
      </c>
      <c r="DY384" s="117">
        <f t="shared" ref="DY384" si="2077">DY408+DY441</f>
        <v>-1004</v>
      </c>
      <c r="DZ384" s="98">
        <f t="shared" si="2020"/>
        <v>-33.947368421052623</v>
      </c>
      <c r="EA384" s="117">
        <f t="shared" ref="EA384" si="2078">EA408+EA441</f>
        <v>-1053</v>
      </c>
      <c r="EB384" s="98">
        <f t="shared" si="2021"/>
        <v>4.7761194029850795</v>
      </c>
      <c r="EC384" s="117">
        <f t="shared" ref="EC384:EE384" si="2079">EC408+EC441</f>
        <v>-906</v>
      </c>
      <c r="ED384" s="98">
        <f t="shared" si="2022"/>
        <v>-17.411121239744752</v>
      </c>
      <c r="EE384" s="117">
        <f t="shared" si="2079"/>
        <v>-986</v>
      </c>
      <c r="EF384" s="860">
        <f t="shared" si="2023"/>
        <v>-0.30333670374115274</v>
      </c>
      <c r="EG384" s="117">
        <f t="shared" ref="EG384:EI384" si="2080">EG408+EG441</f>
        <v>-1007</v>
      </c>
      <c r="EH384" s="860">
        <f t="shared" si="2024"/>
        <v>0.29880478087649376</v>
      </c>
      <c r="EI384" s="117">
        <f t="shared" si="2080"/>
        <v>-976</v>
      </c>
      <c r="EJ384" s="860">
        <f t="shared" si="2025"/>
        <v>-7.312440645773977</v>
      </c>
      <c r="EK384" s="117">
        <f t="shared" ref="EK384:EM384" si="2081">EK408+EK441</f>
        <v>-986</v>
      </c>
      <c r="EL384" s="860">
        <f t="shared" si="2026"/>
        <v>8.8300220750551883</v>
      </c>
      <c r="EM384" s="117">
        <f t="shared" si="2081"/>
        <v>-956</v>
      </c>
      <c r="EN384" s="860">
        <f t="shared" si="2027"/>
        <v>-3.0425963488843855</v>
      </c>
      <c r="EO384" s="117">
        <f t="shared" ref="EO384" si="2082">EO408+EO441</f>
        <v>-1116</v>
      </c>
      <c r="EP384" s="98">
        <f t="shared" si="2028"/>
        <v>10.824230387288969</v>
      </c>
      <c r="EQ384" s="1031">
        <f t="shared" ref="EQ384" si="2083">EQ408+EQ441</f>
        <v>-1115.3691348513453</v>
      </c>
      <c r="ER384" s="98">
        <f t="shared" si="2030"/>
        <v>14.279624472473905</v>
      </c>
      <c r="ES384" s="1031">
        <f t="shared" ref="ES384" si="2084">ES408+ES441</f>
        <v>-1115.2222917050399</v>
      </c>
      <c r="ET384" s="98">
        <f t="shared" si="2032"/>
        <v>13.105709097874229</v>
      </c>
      <c r="EU384" s="1031">
        <f t="shared" ref="EU384" si="2085">EU408+EU441</f>
        <v>-1114.0323043547066</v>
      </c>
      <c r="EV384" s="98">
        <f t="shared" si="2034"/>
        <v>16.530575769320777</v>
      </c>
      <c r="EW384" s="1031">
        <f t="shared" ref="EW384" si="2086">EW408+EW441</f>
        <v>-1111.9099654930055</v>
      </c>
      <c r="EX384" s="98">
        <f t="shared" si="2036"/>
        <v>-0.36649054722173169</v>
      </c>
      <c r="EY384" s="119"/>
      <c r="EZ384" s="594"/>
      <c r="FA384" s="405"/>
      <c r="FB384" s="95" t="s">
        <v>494</v>
      </c>
      <c r="FC384" s="98"/>
      <c r="FD384" s="101">
        <v>-3475</v>
      </c>
      <c r="FE384" s="98" t="str">
        <f t="shared" si="2037"/>
        <v>NA</v>
      </c>
      <c r="FF384" s="118"/>
      <c r="FG384" s="98"/>
      <c r="FH384" s="118"/>
      <c r="FI384" s="98"/>
      <c r="FJ384" s="118"/>
      <c r="FK384" s="98"/>
      <c r="FL384" s="118"/>
      <c r="FM384" s="98"/>
      <c r="FN384" s="118"/>
      <c r="FO384" s="98"/>
      <c r="FP384" s="118"/>
      <c r="FQ384" s="98"/>
      <c r="FR384" s="119"/>
      <c r="FS384" s="120"/>
      <c r="FT384" s="119"/>
      <c r="FU384" s="120"/>
      <c r="FV384" s="119">
        <f>BO384+BQ384+BS384+BU384</f>
        <v>-5144</v>
      </c>
      <c r="FW384" s="98" t="str">
        <f t="shared" si="2038"/>
        <v>NA</v>
      </c>
      <c r="FX384" s="485">
        <f>BW384+BY384+CA384+CC384</f>
        <v>-4273</v>
      </c>
      <c r="FY384" s="98">
        <f t="shared" si="2039"/>
        <v>-16.932348367029547</v>
      </c>
      <c r="FZ384" s="119">
        <f>CE384+CG384+CI384+CK384</f>
        <v>-3845</v>
      </c>
      <c r="GA384" s="98">
        <f t="shared" si="2040"/>
        <v>-10.016381933068097</v>
      </c>
      <c r="GB384" s="485">
        <f>CM384+CO384+CQ384+CS384</f>
        <v>-4125</v>
      </c>
      <c r="GC384" s="98">
        <f t="shared" si="2041"/>
        <v>7.2821846553966285</v>
      </c>
      <c r="GD384" s="119">
        <f>CU384+CW384+CY384+DA384</f>
        <v>-4326</v>
      </c>
      <c r="GE384" s="98">
        <f t="shared" si="2042"/>
        <v>4.872727272727273</v>
      </c>
      <c r="GF384" s="119">
        <f>DC384+DE384+DG384+DI384</f>
        <v>-4301</v>
      </c>
      <c r="GG384" s="98">
        <f t="shared" si="2043"/>
        <v>-0.57790106333795999</v>
      </c>
      <c r="GH384" s="119">
        <f>DK384+DM384+DO384+DQ384</f>
        <v>-4489</v>
      </c>
      <c r="GI384" s="98">
        <f t="shared" si="2044"/>
        <v>4.3710764938386326</v>
      </c>
      <c r="GJ384" s="119">
        <f>DS384+DU384+DW384+DY384</f>
        <v>-4095</v>
      </c>
      <c r="GK384" s="98">
        <f t="shared" si="2045"/>
        <v>-8.7770104700378724</v>
      </c>
      <c r="GL384" s="119">
        <f>EA384+EC384+EE384+EG384</f>
        <v>-3952</v>
      </c>
      <c r="GM384" s="98">
        <f t="shared" si="2046"/>
        <v>-3.4920634920634908</v>
      </c>
      <c r="GN384" s="119">
        <f>EI384+EK384+EM384+EO384</f>
        <v>-4034</v>
      </c>
      <c r="GO384" s="98">
        <f t="shared" si="2046"/>
        <v>2.0748987854251055</v>
      </c>
      <c r="GP384" s="119">
        <f>EQ384+ES384+EU384+EW384</f>
        <v>-4456.533696404098</v>
      </c>
      <c r="GQ384" s="98">
        <f t="shared" si="2046"/>
        <v>10.474310768569616</v>
      </c>
      <c r="GR384" s="117">
        <f t="shared" ref="GR384" si="2087">GR408+GR441</f>
        <v>-4863.6040063337696</v>
      </c>
      <c r="GS384" s="98">
        <f t="shared" si="2046"/>
        <v>9.1342361050277709</v>
      </c>
      <c r="GT384" s="117">
        <f t="shared" ref="GT384" si="2088">GT408+GT441</f>
        <v>-5236.7930603598252</v>
      </c>
      <c r="GU384" s="98">
        <f t="shared" si="2046"/>
        <v>7.6730970190019399</v>
      </c>
      <c r="GV384" s="117">
        <f t="shared" ref="GV384:GX384" si="2089">GV408+GV441</f>
        <v>-5532.1990727215389</v>
      </c>
      <c r="GW384" s="98">
        <f t="shared" si="2046"/>
        <v>5.6409716587390912</v>
      </c>
      <c r="GX384" s="117">
        <f t="shared" si="2089"/>
        <v>-5750.8686038234482</v>
      </c>
      <c r="GY384" s="98">
        <f t="shared" si="2047"/>
        <v>3.9526692410643216</v>
      </c>
      <c r="GZ384" s="98">
        <f>IF(ISERROR(((GX384/GN384)^0.2-1)*100),"NA",IF((((GX384/GN384)^0.2-1)*100)&gt;100,"NM",IF((((GX384/GN384)^0.2-1)*100)&lt;-50,"NM",((GX384/GN384)^0.2-1)*100)))</f>
        <v>7.3493725135940213</v>
      </c>
      <c r="HA384" s="98"/>
      <c r="HB384" s="10"/>
      <c r="HC384"/>
      <c r="HD384"/>
      <c r="HE384"/>
      <c r="HF384"/>
      <c r="HG384"/>
      <c r="HH384"/>
      <c r="HI384" s="10"/>
    </row>
    <row r="385" spans="1:217" s="2" customFormat="1" ht="12.75" customHeight="1" x14ac:dyDescent="0.2">
      <c r="B385" s="91" t="s">
        <v>308</v>
      </c>
      <c r="C385" s="101"/>
      <c r="D385" s="98"/>
      <c r="E385" s="101"/>
      <c r="F385" s="98"/>
      <c r="G385" s="101"/>
      <c r="H385" s="98"/>
      <c r="I385" s="101"/>
      <c r="J385" s="98"/>
      <c r="K385" s="101"/>
      <c r="L385" s="98"/>
      <c r="M385" s="101"/>
      <c r="N385" s="98"/>
      <c r="O385" s="101"/>
      <c r="P385" s="98"/>
      <c r="Q385" s="101"/>
      <c r="R385" s="98"/>
      <c r="S385" s="101"/>
      <c r="T385" s="98"/>
      <c r="U385" s="101"/>
      <c r="V385" s="98"/>
      <c r="W385" s="101"/>
      <c r="X385" s="98"/>
      <c r="Y385" s="101"/>
      <c r="Z385" s="98"/>
      <c r="AA385" s="101"/>
      <c r="AB385" s="98"/>
      <c r="AC385" s="101"/>
      <c r="AD385" s="98"/>
      <c r="AE385" s="101"/>
      <c r="AF385" s="98"/>
      <c r="AG385" s="101"/>
      <c r="AH385" s="98"/>
      <c r="AI385" s="101"/>
      <c r="AJ385" s="98"/>
      <c r="AK385" s="101"/>
      <c r="AL385" s="98"/>
      <c r="AM385" s="101"/>
      <c r="AN385" s="98"/>
      <c r="AO385" s="101"/>
      <c r="AP385" s="98"/>
      <c r="AQ385" s="101"/>
      <c r="AR385" s="98"/>
      <c r="AS385" s="101"/>
      <c r="AT385" s="98"/>
      <c r="AU385" s="101"/>
      <c r="AV385" s="98"/>
      <c r="AW385" s="101"/>
      <c r="AX385" s="98"/>
      <c r="AY385" s="101"/>
      <c r="AZ385" s="98"/>
      <c r="BA385" s="101"/>
      <c r="BB385" s="98"/>
      <c r="BC385" s="101"/>
      <c r="BD385" s="98"/>
      <c r="BE385" s="101"/>
      <c r="BF385" s="98"/>
      <c r="BG385" s="101"/>
      <c r="BH385" s="98"/>
      <c r="BI385" s="101"/>
      <c r="BJ385" s="98"/>
      <c r="BK385" s="101"/>
      <c r="BL385" s="98"/>
      <c r="BM385" s="101"/>
      <c r="BN385" s="98"/>
      <c r="BO385" s="101"/>
      <c r="BP385" s="98"/>
      <c r="BQ385" s="101"/>
      <c r="BR385" s="98"/>
      <c r="BS385" s="101"/>
      <c r="BT385" s="98"/>
      <c r="BU385" s="101"/>
      <c r="BV385" s="98"/>
      <c r="BW385" s="101"/>
      <c r="BX385" s="98"/>
      <c r="BY385" s="101"/>
      <c r="BZ385" s="98"/>
      <c r="CA385" s="101"/>
      <c r="CB385" s="98"/>
      <c r="CC385" s="101"/>
      <c r="CD385" s="98"/>
      <c r="CE385" s="101"/>
      <c r="CF385" s="98"/>
      <c r="CG385" s="101"/>
      <c r="CH385" s="98"/>
      <c r="CI385" s="101"/>
      <c r="CJ385" s="98"/>
      <c r="CK385" s="101"/>
      <c r="CL385" s="98"/>
      <c r="CM385" s="101"/>
      <c r="CN385" s="98"/>
      <c r="CO385" s="101"/>
      <c r="CP385" s="98"/>
      <c r="CQ385" s="542"/>
      <c r="CR385" s="98"/>
      <c r="CS385" s="101"/>
      <c r="CT385" s="98"/>
      <c r="CU385" s="101"/>
      <c r="CV385" s="98"/>
      <c r="CW385" s="101"/>
      <c r="CX385" s="98"/>
      <c r="CY385" s="101"/>
      <c r="CZ385" s="98"/>
      <c r="DA385" s="101"/>
      <c r="DB385" s="98"/>
      <c r="DC385" s="101"/>
      <c r="DD385" s="98"/>
      <c r="DE385" s="101"/>
      <c r="DF385" s="98"/>
      <c r="DG385" s="101"/>
      <c r="DH385" s="98"/>
      <c r="DI385" s="101"/>
      <c r="DJ385" s="98"/>
      <c r="DK385" s="101"/>
      <c r="DL385" s="98"/>
      <c r="DM385" s="101"/>
      <c r="DN385" s="98"/>
      <c r="DO385" s="101"/>
      <c r="DP385" s="98"/>
      <c r="DQ385" s="101"/>
      <c r="DR385" s="98"/>
      <c r="DS385" s="117">
        <f t="shared" si="2016"/>
        <v>-1025</v>
      </c>
      <c r="DT385" s="98"/>
      <c r="DU385" s="117">
        <f>DU409+DU442</f>
        <v>-896</v>
      </c>
      <c r="DV385" s="98"/>
      <c r="DW385" s="117">
        <f t="shared" ref="DW385" si="2090">DW409+DW442</f>
        <v>-942</v>
      </c>
      <c r="DX385" s="98"/>
      <c r="DY385" s="117">
        <f t="shared" ref="DY385" si="2091">DY409+DY442</f>
        <v>-881</v>
      </c>
      <c r="DZ385" s="98"/>
      <c r="EA385" s="117">
        <f t="shared" ref="EA385" si="2092">EA409+EA442</f>
        <v>-970</v>
      </c>
      <c r="EB385" s="98"/>
      <c r="EC385" s="117">
        <f t="shared" ref="EC385:EE385" si="2093">EC409+EC442</f>
        <v>-933</v>
      </c>
      <c r="ED385" s="98"/>
      <c r="EE385" s="117">
        <f t="shared" si="2093"/>
        <v>-905</v>
      </c>
      <c r="EF385" s="860">
        <f t="shared" si="2023"/>
        <v>-3.9278131634819524</v>
      </c>
      <c r="EG385" s="117">
        <f t="shared" ref="EG385:EI385" si="2094">EG409+EG442</f>
        <v>-887</v>
      </c>
      <c r="EH385" s="860">
        <f t="shared" si="2024"/>
        <v>0.68104426787740646</v>
      </c>
      <c r="EI385" s="117">
        <f t="shared" si="2094"/>
        <v>-962</v>
      </c>
      <c r="EJ385" s="860">
        <f t="shared" si="2025"/>
        <v>-0.82474226804123418</v>
      </c>
      <c r="EK385" s="117">
        <f t="shared" ref="EK385:EM385" si="2095">EK409+EK442</f>
        <v>-837</v>
      </c>
      <c r="EL385" s="860">
        <f t="shared" si="2026"/>
        <v>-10.289389067524112</v>
      </c>
      <c r="EM385" s="117">
        <f t="shared" si="2095"/>
        <v>-796</v>
      </c>
      <c r="EN385" s="860">
        <f t="shared" si="2027"/>
        <v>-12.044198895027625</v>
      </c>
      <c r="EO385" s="117">
        <f t="shared" ref="EO385" si="2096">EO409+EO442</f>
        <v>-840</v>
      </c>
      <c r="EP385" s="98"/>
      <c r="EQ385" s="1031">
        <f t="shared" ref="EQ385" si="2097">EQ409+EQ442</f>
        <v>-839.98981450839062</v>
      </c>
      <c r="ER385" s="98"/>
      <c r="ES385" s="1031">
        <f t="shared" ref="ES385" si="2098">ES409+ES442</f>
        <v>-839.80360003093506</v>
      </c>
      <c r="ET385" s="98"/>
      <c r="EU385" s="1031">
        <f t="shared" ref="EU385" si="2099">EU409+EU442</f>
        <v>-838.94386491610396</v>
      </c>
      <c r="EV385" s="98"/>
      <c r="EW385" s="1031">
        <f t="shared" ref="EW385" si="2100">EW409+EW442</f>
        <v>-837.4717334229797</v>
      </c>
      <c r="EX385" s="98"/>
      <c r="EY385" s="119"/>
      <c r="EZ385" s="594"/>
      <c r="FA385" s="405"/>
      <c r="FB385" s="95"/>
      <c r="FC385" s="98"/>
      <c r="FD385" s="101"/>
      <c r="FE385" s="98"/>
      <c r="FF385" s="118"/>
      <c r="FG385" s="98"/>
      <c r="FH385" s="118"/>
      <c r="FI385" s="98"/>
      <c r="FJ385" s="118"/>
      <c r="FK385" s="98"/>
      <c r="FL385" s="118"/>
      <c r="FM385" s="98"/>
      <c r="FN385" s="118"/>
      <c r="FO385" s="98"/>
      <c r="FP385" s="118"/>
      <c r="FQ385" s="98"/>
      <c r="FR385" s="119"/>
      <c r="FS385" s="120"/>
      <c r="FT385" s="119"/>
      <c r="FU385" s="120"/>
      <c r="FV385" s="119"/>
      <c r="FW385" s="98"/>
      <c r="FX385" s="485"/>
      <c r="FY385" s="98"/>
      <c r="FZ385" s="119"/>
      <c r="GA385" s="98"/>
      <c r="GB385" s="485"/>
      <c r="GC385" s="98"/>
      <c r="GD385" s="119"/>
      <c r="GE385" s="98"/>
      <c r="GF385" s="119"/>
      <c r="GG385" s="98"/>
      <c r="GH385" s="119"/>
      <c r="GI385" s="98"/>
      <c r="GJ385" s="119">
        <f>DS385+DU385+DW385+DY385</f>
        <v>-3744</v>
      </c>
      <c r="GK385" s="98"/>
      <c r="GL385" s="119">
        <f>EA385+EC385+EE385+EG385</f>
        <v>-3695</v>
      </c>
      <c r="GM385" s="98"/>
      <c r="GN385" s="119">
        <f>EI385+EK385+EM385+EO385</f>
        <v>-3435</v>
      </c>
      <c r="GO385" s="98"/>
      <c r="GP385" s="119">
        <f>EQ385+ES385+EU385+EW385</f>
        <v>-3356.2090128784093</v>
      </c>
      <c r="GQ385" s="98"/>
      <c r="GR385" s="117">
        <f t="shared" ref="GR385" si="2101">GR409+GR442</f>
        <v>-2908.2046578440932</v>
      </c>
      <c r="GS385" s="98"/>
      <c r="GT385" s="117">
        <f t="shared" ref="GT385" si="2102">GT409+GT442</f>
        <v>-2876.9752476341323</v>
      </c>
      <c r="GU385" s="98"/>
      <c r="GV385" s="117">
        <f t="shared" ref="GV385:GX385" si="2103">GV409+GV442</f>
        <v>-2807.984338144307</v>
      </c>
      <c r="GW385" s="98"/>
      <c r="GX385" s="117">
        <f t="shared" si="2103"/>
        <v>-2710.2944432806748</v>
      </c>
      <c r="GY385" s="98"/>
      <c r="GZ385" s="98"/>
      <c r="HA385" s="98"/>
      <c r="HB385" s="10"/>
      <c r="HC385"/>
      <c r="HD385"/>
      <c r="HE385"/>
      <c r="HF385"/>
      <c r="HG385"/>
      <c r="HH385"/>
      <c r="HI385" s="10"/>
    </row>
    <row r="386" spans="1:217" s="2" customFormat="1" ht="12.75" customHeight="1" x14ac:dyDescent="0.2">
      <c r="B386" s="91" t="s">
        <v>368</v>
      </c>
      <c r="C386" s="101"/>
      <c r="D386" s="113"/>
      <c r="E386" s="101"/>
      <c r="F386" s="113"/>
      <c r="G386" s="101"/>
      <c r="H386" s="113"/>
      <c r="I386" s="101"/>
      <c r="J386" s="98"/>
      <c r="K386" s="101"/>
      <c r="L386" s="98"/>
      <c r="M386" s="101"/>
      <c r="N386" s="98"/>
      <c r="O386" s="101"/>
      <c r="P386" s="98"/>
      <c r="Q386" s="101"/>
      <c r="R386" s="98"/>
      <c r="S386" s="101"/>
      <c r="T386" s="98"/>
      <c r="U386" s="101"/>
      <c r="V386" s="98"/>
      <c r="W386" s="101"/>
      <c r="X386" s="98"/>
      <c r="Y386" s="101"/>
      <c r="Z386" s="98"/>
      <c r="AA386" s="101"/>
      <c r="AB386" s="98"/>
      <c r="AC386" s="101"/>
      <c r="AD386" s="98"/>
      <c r="AE386" s="101"/>
      <c r="AF386" s="98"/>
      <c r="AG386" s="101"/>
      <c r="AH386" s="98"/>
      <c r="AI386" s="101"/>
      <c r="AJ386" s="98"/>
      <c r="AK386" s="101"/>
      <c r="AL386" s="98"/>
      <c r="AM386" s="101"/>
      <c r="AN386" s="98"/>
      <c r="AO386" s="101"/>
      <c r="AP386" s="98"/>
      <c r="AQ386" s="101"/>
      <c r="AR386" s="98"/>
      <c r="AS386" s="101"/>
      <c r="AT386" s="98"/>
      <c r="AU386" s="101"/>
      <c r="AV386" s="98"/>
      <c r="AW386" s="101"/>
      <c r="AX386" s="98"/>
      <c r="AY386" s="101"/>
      <c r="AZ386" s="98"/>
      <c r="BA386" s="101"/>
      <c r="BB386" s="98"/>
      <c r="BC386" s="101"/>
      <c r="BD386" s="98"/>
      <c r="BE386" s="101"/>
      <c r="BF386" s="98"/>
      <c r="BG386" s="101"/>
      <c r="BH386" s="98"/>
      <c r="BI386" s="101"/>
      <c r="BJ386" s="98"/>
      <c r="BK386" s="101"/>
      <c r="BL386" s="98"/>
      <c r="BM386" s="101">
        <f>-942-276+172-3</f>
        <v>-1049</v>
      </c>
      <c r="BN386" s="98" t="str">
        <f t="shared" ref="BN386:BN388" si="2104">IF(ISERROR((BM386/BE386-1)*100),"NA",IF(((BM386/BE386-1)*100)&gt;100,"NM",IF(((BM386/BE386-1)*100)&lt;-50,"NM",(BM386/BE386-1)*100)))</f>
        <v>NA</v>
      </c>
      <c r="BO386" s="101">
        <f>-307-5-295+265</f>
        <v>-342</v>
      </c>
      <c r="BP386" s="98" t="str">
        <f t="shared" ref="BP386:BP388" si="2105">IF(ISERROR((BO386/BG386-1)*100),"NA",IF(((BO386/BG386-1)*100)&gt;100,"NM",IF(((BO386/BG386-1)*100)&lt;-50,"NM",(BO386/BG386-1)*100)))</f>
        <v>NA</v>
      </c>
      <c r="BQ386" s="101">
        <f>-683-4-287-88</f>
        <v>-1062</v>
      </c>
      <c r="BR386" s="98" t="str">
        <f t="shared" ref="BR386:BR388" si="2106">IF(ISERROR((BQ386/BI386-1)*100),"NA",IF(((BQ386/BI386-1)*100)&gt;100,"NM",IF(((BQ386/BI386-1)*100)&lt;-50,"NM",(BQ386/BI386-1)*100)))</f>
        <v>NA</v>
      </c>
      <c r="BS386" s="101">
        <f>-315-6-267+35</f>
        <v>-553</v>
      </c>
      <c r="BT386" s="98" t="str">
        <f t="shared" ref="BT386:BT388" si="2107">IF(ISERROR((BS386/BK386-1)*100),"NA",IF(((BS386/BK386-1)*100)&gt;100,"NM",IF(((BS386/BK386-1)*100)&lt;-50,"NM",(BS386/BK386-1)*100)))</f>
        <v>NA</v>
      </c>
      <c r="BU386" s="101">
        <f>1-8-287+2002</f>
        <v>1708</v>
      </c>
      <c r="BV386" s="98" t="str">
        <f t="shared" ref="BV386:BV388" si="2108">IF(ISERROR((BU386/BM386-1)*100),"NA",IF(((BU386/BM386-1)*100)&gt;100,"NM",IF(((BU386/BM386-1)*100)&lt;-50,"NM",(BU386/BM386-1)*100)))</f>
        <v>NM</v>
      </c>
      <c r="BW386" s="101">
        <f>-231-11-315-382</f>
        <v>-939</v>
      </c>
      <c r="BX386" s="98" t="str">
        <f t="shared" ref="BX386:BX388" si="2109">IF(ISERROR((BW386/BO386-1)*100),"NA",IF(((BW386/BO386-1)*100)&gt;100,"NM",IF(((BW386/BO386-1)*100)&lt;-50,"NM",(BW386/BO386-1)*100)))</f>
        <v>NM</v>
      </c>
      <c r="BY386" s="101">
        <f>-1217-12-374-958</f>
        <v>-2561</v>
      </c>
      <c r="BZ386" s="98" t="str">
        <f t="shared" ref="BZ386:BZ388" si="2110">IF(ISERROR((BY386/BQ386-1)*100),"NA",IF(((BY386/BQ386-1)*100)&gt;100,"NM",IF(((BY386/BQ386-1)*100)&lt;-50,"NM",(BY386/BQ386-1)*100)))</f>
        <v>NM</v>
      </c>
      <c r="CA386" s="101">
        <f>55639-CA384-CA383-CA382-CA381</f>
        <v>2835</v>
      </c>
      <c r="CB386" s="98" t="str">
        <f t="shared" ref="CB386:CB388" si="2111">IF(ISERROR((CA386/BS386-1)*100),"NA",IF(((CA386/BS386-1)*100)&gt;100,"NM",IF(((CA386/BS386-1)*100)&lt;-50,"NM",(CA386/BS386-1)*100)))</f>
        <v>NM</v>
      </c>
      <c r="CC386" s="101">
        <f>55081-CC384-CC383-CC382-CC381</f>
        <v>-1941</v>
      </c>
      <c r="CD386" s="98" t="str">
        <f t="shared" ref="CD386:CD388" si="2112">IF(ISERROR((CC386/BU386-1)*100),"NA",IF(((CC386/BU386-1)*100)&gt;100,"NM",IF(((CC386/BU386-1)*100)&lt;-50,"NM",(CC386/BU386-1)*100)))</f>
        <v>NM</v>
      </c>
      <c r="CE386" s="101">
        <f>54965-CE384-CE383-CE382-CE381</f>
        <v>-1561</v>
      </c>
      <c r="CF386" s="98">
        <f t="shared" ref="CF386:CF388" si="2113">IF(ISERROR((CE386/BW386-1)*100),"NA",IF(((CE386/BW386-1)*100)&gt;100,"NM",IF(((CE386/BW386-1)*100)&lt;-50,"NM",(CE386/BW386-1)*100)))</f>
        <v>66.240681576144851</v>
      </c>
      <c r="CG386" s="101">
        <f>57356-CG384-CG383-CG382-CG381</f>
        <v>836</v>
      </c>
      <c r="CH386" s="98" t="str">
        <f t="shared" ref="CH386:CH388" si="2114">IF(ISERROR((CG386/BY386-1)*100),"NA",IF(((CG386/BY386-1)*100)&gt;100,"NM",IF(((CG386/BY386-1)*100)&lt;-50,"NM",(CG386/BY386-1)*100)))</f>
        <v>NM</v>
      </c>
      <c r="CI386" s="101">
        <f>57485-CI384-CI383-CI382-CI381</f>
        <v>-1296</v>
      </c>
      <c r="CJ386" s="98" t="str">
        <f t="shared" ref="CJ386:CJ388" si="2115">IF(ISERROR((CI386/CA386-1)*100),"NA",IF(((CI386/CA386-1)*100)&gt;100,"NM",IF(((CI386/CA386-1)*100)&lt;-50,"NM",(CI386/CA386-1)*100)))</f>
        <v>NM</v>
      </c>
      <c r="CK386" s="101">
        <f>55346-CK384-CK383-CK382-CK381</f>
        <v>-3475</v>
      </c>
      <c r="CL386" s="98">
        <f t="shared" ref="CL386:CL388" si="2116">IF(ISERROR((CK386/CC386-1)*100),"NA",IF(((CK386/CC386-1)*100)&gt;100,"NM",IF(((CK386/CC386-1)*100)&lt;-50,"NM",(CK386/CC386-1)*100)))</f>
        <v>79.031427099433273</v>
      </c>
      <c r="CM386" s="101">
        <f>-372-846-17-465</f>
        <v>-1700</v>
      </c>
      <c r="CN386" s="98">
        <f t="shared" ref="CN386:CN388" si="2117">IF(ISERROR((CM386/CE386-1)*100),"NA",IF(((CM386/CE386-1)*100)&gt;100,"NM",IF(((CM386/CE386-1)*100)&lt;-50,"NM",(CM386/CE386-1)*100)))</f>
        <v>8.9045483664317757</v>
      </c>
      <c r="CO386" s="101">
        <f>-376-733-20+191</f>
        <v>-938</v>
      </c>
      <c r="CP386" s="98" t="str">
        <f t="shared" ref="CP386:CP388" si="2118">IF(ISERROR((CO386/CG386-1)*100),"NA",IF(((CO386/CG386-1)*100)&gt;100,"NM",IF(((CO386/CG386-1)*100)&lt;-50,"NM",(CO386/CG386-1)*100)))</f>
        <v>NM</v>
      </c>
      <c r="CQ386" s="542">
        <f>-384-624-19+2941</f>
        <v>1914</v>
      </c>
      <c r="CR386" s="98" t="str">
        <f t="shared" ref="CR386:CR388" si="2119">IF(ISERROR((CQ386/CI386-1)*100),"NA",IF(((CQ386/CI386-1)*100)&gt;100,"NM",IF(((CQ386/CI386-1)*100)&lt;-50,"NM",(CQ386/CI386-1)*100)))</f>
        <v>NM</v>
      </c>
      <c r="CS386" s="101">
        <f>-370-1401-15-694</f>
        <v>-2480</v>
      </c>
      <c r="CT386" s="98">
        <f t="shared" ref="CT386:CT388" si="2120">IF(ISERROR((CS386/CK386-1)*100),"NA",IF(((CS386/CK386-1)*100)&gt;100,"NM",IF(((CS386/CK386-1)*100)&lt;-50,"NM",(CS386/CK386-1)*100)))</f>
        <v>-28.633093525179852</v>
      </c>
      <c r="CU386" s="101">
        <f>-400-1251-15-1460</f>
        <v>-3126</v>
      </c>
      <c r="CV386" s="98">
        <f t="shared" ref="CV386:CV388" si="2121">IF(ISERROR((CU386/CM386-1)*100),"NA",IF(((CU386/CM386-1)*100)&gt;100,"NM",IF(((CU386/CM386-1)*100)&lt;-50,"NM",(CU386/CM386-1)*100)))</f>
        <v>83.882352941176478</v>
      </c>
      <c r="CW386" s="101">
        <f>-391-750-16+1239</f>
        <v>82</v>
      </c>
      <c r="CX386" s="98" t="str">
        <f t="shared" ref="CX386:CX388" si="2122">IF(ISERROR((CW386/CO386-1)*100),"NA",IF(((CW386/CO386-1)*100)&gt;100,"NM",IF(((CW386/CO386-1)*100)&lt;-50,"NM",(CW386/CO386-1)*100)))</f>
        <v>NM</v>
      </c>
      <c r="CY386" s="101">
        <f>-390-604-14-482</f>
        <v>-1490</v>
      </c>
      <c r="CZ386" s="98" t="str">
        <f t="shared" ref="CZ386:CZ388" si="2123">IF(ISERROR((CY386/CQ386-1)*100),"NA",IF(((CY386/CQ386-1)*100)&gt;100,"NM",IF(((CY386/CQ386-1)*100)&lt;-50,"NM",(CY386/CQ386-1)*100)))</f>
        <v>NM</v>
      </c>
      <c r="DA386" s="101">
        <f>-422-335-12+458</f>
        <v>-311</v>
      </c>
      <c r="DB386" s="98" t="str">
        <f t="shared" ref="DB386:DB388" si="2124">IF(ISERROR((DA386/CS386-1)*100),"NA",IF(((DA386/CS386-1)*100)&gt;100,"NM",IF(((DA386/CS386-1)*100)&lt;-50,"NM",(DA386/CS386-1)*100)))</f>
        <v>NM</v>
      </c>
      <c r="DC386" s="101">
        <f>-405-555-12-970</f>
        <v>-1942</v>
      </c>
      <c r="DD386" s="98">
        <f t="shared" ref="DD386:DD388" si="2125">IF(ISERROR((DC386/CU386-1)*100),"NA",IF(((DC386/CU386-1)*100)&gt;100,"NM",IF(((DC386/CU386-1)*100)&lt;-50,"NM",(DC386/CU386-1)*100)))</f>
        <v>-37.875879718490083</v>
      </c>
      <c r="DE386" s="101">
        <f>-420-214-15-584</f>
        <v>-1233</v>
      </c>
      <c r="DF386" s="98" t="str">
        <f t="shared" ref="DF386:DF388" si="2126">IF(ISERROR((DE386/CW386-1)*100),"NA",IF(((DE386/CW386-1)*100)&gt;100,"NM",IF(((DE386/CW386-1)*100)&lt;-50,"NM",(DE386/CW386-1)*100)))</f>
        <v>NM</v>
      </c>
      <c r="DG386" s="101">
        <f>-408+58-13-524</f>
        <v>-887</v>
      </c>
      <c r="DH386" s="98">
        <f t="shared" ref="DH386:DH388" si="2127">IF(ISERROR((DG386/CY386-1)*100),"NA",IF(((DG386/CY386-1)*100)&gt;100,"NM",IF(((DG386/CY386-1)*100)&lt;-50,"NM",(DG386/CY386-1)*100)))</f>
        <v>-40.469798657718123</v>
      </c>
      <c r="DI386" s="101">
        <f>-396-119-12-772</f>
        <v>-1299</v>
      </c>
      <c r="DJ386" s="98" t="str">
        <f t="shared" ref="DJ386:DJ388" si="2128">IF(ISERROR((DI386/DA386-1)*100),"NA",IF(((DI386/DA386-1)*100)&gt;100,"NM",IF(((DI386/DA386-1)*100)&lt;-50,"NM",(DI386/DA386-1)*100)))</f>
        <v>NM</v>
      </c>
      <c r="DK386" s="101">
        <f>-414-21-13+285</f>
        <v>-163</v>
      </c>
      <c r="DL386" s="98" t="str">
        <f t="shared" ref="DL386:DL388" si="2129">IF(ISERROR((DK386/DC386-1)*100),"NA",IF(((DK386/DC386-1)*100)&gt;100,"NM",IF(((DK386/DC386-1)*100)&lt;-50,"NM",(DK386/DC386-1)*100)))</f>
        <v>NM</v>
      </c>
      <c r="DM386" s="101">
        <f>-414-10-14+14</f>
        <v>-424</v>
      </c>
      <c r="DN386" s="98" t="str">
        <f t="shared" ref="DN386:DN388" si="2130">IF(ISERROR((DM386/DE386-1)*100),"NA",IF(((DM386/DE386-1)*100)&gt;100,"NM",IF(((DM386/DE386-1)*100)&lt;-50,"NM",(DM386/DE386-1)*100)))</f>
        <v>NM</v>
      </c>
      <c r="DO386" s="101">
        <f>-415+34-13+654</f>
        <v>260</v>
      </c>
      <c r="DP386" s="98" t="str">
        <f t="shared" ref="DP386:DP388" si="2131">IF(ISERROR((DO386/DG386-1)*100),"NA",IF(((DO386/DG386-1)*100)&gt;100,"NM",IF(((DO386/DG386-1)*100)&lt;-50,"NM",(DO386/DG386-1)*100)))</f>
        <v>NM</v>
      </c>
      <c r="DQ386" s="101">
        <f>-406+2+757-10</f>
        <v>343</v>
      </c>
      <c r="DR386" s="98" t="str">
        <f t="shared" ref="DR386:DR388" si="2132">IF(ISERROR((DQ386/DI386-1)*100),"NA",IF(((DQ386/DI386-1)*100)&gt;100,"NM",IF(((DQ386/DI386-1)*100)&lt;-50,"NM",(DQ386/DI386-1)*100)))</f>
        <v>NM</v>
      </c>
      <c r="DS386" s="117">
        <f t="shared" si="2016"/>
        <v>-547</v>
      </c>
      <c r="DT386" s="98" t="str">
        <f t="shared" ref="DT386:DT388" si="2133">IF(ISERROR((DS386/DK386-1)*100),"NA",IF(((DS386/DK386-1)*100)&gt;100,"NM",IF(((DS386/DK386-1)*100)&lt;-50,"NM",(DS386/DK386-1)*100)))</f>
        <v>NM</v>
      </c>
      <c r="DU386" s="117">
        <f>DU410+DU443</f>
        <v>-937</v>
      </c>
      <c r="DV386" s="98" t="str">
        <f t="shared" ref="DV386:DV388" si="2134">IF(ISERROR((DU386/DM386-1)*100),"NA",IF(((DU386/DM386-1)*100)&gt;100,"NM",IF(((DU386/DM386-1)*100)&lt;-50,"NM",(DU386/DM386-1)*100)))</f>
        <v>NM</v>
      </c>
      <c r="DW386" s="117">
        <f t="shared" ref="DW386" si="2135">DW410+DW443</f>
        <v>369</v>
      </c>
      <c r="DX386" s="98">
        <f t="shared" ref="DX386:DX388" si="2136">IF(ISERROR((DW386/DO386-1)*100),"NA",IF(((DW386/DO386-1)*100)&gt;100,"NM",IF(((DW386/DO386-1)*100)&lt;-50,"NM",(DW386/DO386-1)*100)))</f>
        <v>41.923076923076927</v>
      </c>
      <c r="DY386" s="117">
        <f t="shared" ref="DY386" si="2137">DY410+DY443</f>
        <v>-896</v>
      </c>
      <c r="DZ386" s="98" t="str">
        <f t="shared" ref="DZ386:DZ388" si="2138">IF(ISERROR((DY386/DQ386-1)*100),"NA",IF(((DY386/DQ386-1)*100)&gt;100,"NM",IF(((DY386/DQ386-1)*100)&lt;-50,"NM",(DY386/DQ386-1)*100)))</f>
        <v>NM</v>
      </c>
      <c r="EA386" s="117">
        <f t="shared" ref="EA386" si="2139">EA410+EA443</f>
        <v>247</v>
      </c>
      <c r="EB386" s="98" t="str">
        <f t="shared" ref="EB386:EB388" si="2140">IF(ISERROR((EA386/DS386-1)*100),"NA",IF(((EA386/DS386-1)*100)&gt;100,"NM",IF(((EA386/DS386-1)*100)&lt;-50,"NM",(EA386/DS386-1)*100)))</f>
        <v>NM</v>
      </c>
      <c r="EC386" s="117">
        <f t="shared" ref="EC386:EE386" si="2141">EC410+EC443</f>
        <v>914</v>
      </c>
      <c r="ED386" s="98" t="str">
        <f t="shared" ref="ED386:ED388" si="2142">IF(ISERROR((EC386/DU386-1)*100),"NA",IF(((EC386/DU386-1)*100)&gt;100,"NM",IF(((EC386/DU386-1)*100)&lt;-50,"NM",(EC386/DU386-1)*100)))</f>
        <v>NM</v>
      </c>
      <c r="EE386" s="117">
        <f t="shared" si="2141"/>
        <v>-591</v>
      </c>
      <c r="EF386" s="860" t="str">
        <f t="shared" si="2023"/>
        <v>NM</v>
      </c>
      <c r="EG386" s="117">
        <f t="shared" ref="EG386:EI386" si="2143">EG410+EG443</f>
        <v>-1853</v>
      </c>
      <c r="EH386" s="860" t="str">
        <f t="shared" si="2024"/>
        <v>NM</v>
      </c>
      <c r="EI386" s="117">
        <f t="shared" si="2143"/>
        <v>-1049</v>
      </c>
      <c r="EJ386" s="860" t="str">
        <f t="shared" si="2025"/>
        <v>NM</v>
      </c>
      <c r="EK386" s="117">
        <f t="shared" ref="EK386:EM386" si="2144">EK410+EK443</f>
        <v>-737</v>
      </c>
      <c r="EL386" s="860" t="str">
        <f t="shared" si="2026"/>
        <v>NM</v>
      </c>
      <c r="EM386" s="117">
        <f t="shared" si="2144"/>
        <v>-555</v>
      </c>
      <c r="EN386" s="860">
        <f t="shared" si="2027"/>
        <v>-6.0913705583756306</v>
      </c>
      <c r="EO386" s="117">
        <f t="shared" ref="EO386" si="2145">EO410+EO443</f>
        <v>-545</v>
      </c>
      <c r="EP386" s="98" t="str">
        <f t="shared" ref="EP386:EP388" si="2146">IF(ISERROR((EO386/EG386-1)*100),"NA",IF(((EO386/EG386-1)*100)&gt;100,"NM",IF(((EO386/EG386-1)*100)&lt;-50,"NM",(EO386/EG386-1)*100)))</f>
        <v>NM</v>
      </c>
      <c r="EQ386" s="1031">
        <f t="shared" ref="EQ386" si="2147">EQ410+EQ443</f>
        <v>-472</v>
      </c>
      <c r="ER386" s="98" t="str">
        <f t="shared" ref="ER386:ER388" si="2148">IF(ISERROR((EQ386/EI386-1)*100),"NA",IF(((EQ386/EI386-1)*100)&gt;100,"NM",IF(((EQ386/EI386-1)*100)&lt;-50,"NM",(EQ386/EI386-1)*100)))</f>
        <v>NM</v>
      </c>
      <c r="ES386" s="1031">
        <f t="shared" ref="ES386" si="2149">ES410+ES443</f>
        <v>-472</v>
      </c>
      <c r="ET386" s="98">
        <f t="shared" ref="ET386:ET388" si="2150">IF(ISERROR((ES386/EK386-1)*100),"NA",IF(((ES386/EK386-1)*100)&gt;100,"NM",IF(((ES386/EK386-1)*100)&lt;-50,"NM",(ES386/EK386-1)*100)))</f>
        <v>-35.956580732700139</v>
      </c>
      <c r="EU386" s="1031">
        <f t="shared" ref="EU386" si="2151">EU410+EU443</f>
        <v>-472</v>
      </c>
      <c r="EV386" s="98">
        <f t="shared" ref="EV386:EV388" si="2152">IF(ISERROR((EU386/EM386-1)*100),"NA",IF(((EU386/EM386-1)*100)&gt;100,"NM",IF(((EU386/EM386-1)*100)&lt;-50,"NM",(EU386/EM386-1)*100)))</f>
        <v>-14.954954954954957</v>
      </c>
      <c r="EW386" s="1031">
        <f t="shared" ref="EW386" si="2153">EW410+EW443</f>
        <v>-472</v>
      </c>
      <c r="EX386" s="98">
        <f t="shared" ref="EX386:EX388" si="2154">IF(ISERROR((EW386/EO386-1)*100),"NA",IF(((EW386/EO386-1)*100)&gt;100,"NM",IF(((EW386/EO386-1)*100)&lt;-50,"NM",(EW386/EO386-1)*100)))</f>
        <v>-13.394495412844032</v>
      </c>
      <c r="EY386" s="101"/>
      <c r="EZ386" s="594"/>
      <c r="FA386" s="405"/>
      <c r="FB386" s="101"/>
      <c r="FC386" s="113"/>
      <c r="FD386" s="101">
        <v>-174</v>
      </c>
      <c r="FE386" s="98" t="str">
        <f t="shared" ref="FE386:FE388" si="2155">IF(ISERROR((FD386/FB386-1)*100),"NA",IF(((FD386/FB386-1)*100)&gt;100,"NM",IF(((FD386/FB386-1)*100)&lt;-50,"NM",(FD386/FB386-1)*100)))</f>
        <v>NA</v>
      </c>
      <c r="FF386" s="118"/>
      <c r="FG386" s="98"/>
      <c r="FH386" s="118"/>
      <c r="FI386" s="98"/>
      <c r="FJ386" s="118"/>
      <c r="FK386" s="98"/>
      <c r="FL386" s="118"/>
      <c r="FM386" s="98"/>
      <c r="FN386" s="118"/>
      <c r="FO386" s="98"/>
      <c r="FP386" s="118"/>
      <c r="FQ386" s="98"/>
      <c r="FR386" s="100"/>
      <c r="FS386" s="120"/>
      <c r="FT386" s="100"/>
      <c r="FU386" s="120"/>
      <c r="FV386" s="100">
        <f>BO386+BQ386+BS386+BU386</f>
        <v>-249</v>
      </c>
      <c r="FW386" s="98" t="str">
        <f t="shared" ref="FW386:FW388" si="2156">IF(ISERROR((FV386/FT386-1)*100),"NA",IF(((FV386/FT386-1)*100)&gt;100,"NM",IF(((FV386/FT386-1)*100)&lt;-50,"NM",(FV386/FT386-1)*100)))</f>
        <v>NA</v>
      </c>
      <c r="FX386" s="485">
        <f>BW386+BY386+CA386+CC386</f>
        <v>-2606</v>
      </c>
      <c r="FY386" s="98" t="str">
        <f t="shared" ref="FY386:FY388" si="2157">IF(ISERROR((FX386/FV386-1)*100),"NA",IF(((FX386/FV386-1)*100)&gt;100,"NM",IF(((FX386/FV386-1)*100)&lt;-50,"NM",(FX386/FV386-1)*100)))</f>
        <v>NM</v>
      </c>
      <c r="FZ386" s="119">
        <f>CE386+CG386+CI386+CK386</f>
        <v>-5496</v>
      </c>
      <c r="GA386" s="98" t="str">
        <f t="shared" ref="GA386:GA388" si="2158">IF(ISERROR((FZ386/FX386-1)*100),"NA",IF(((FZ386/FX386-1)*100)&gt;100,"NM",IF(((FZ386/FX386-1)*100)&lt;-50,"NM",(FZ386/FX386-1)*100)))</f>
        <v>NM</v>
      </c>
      <c r="GB386" s="485">
        <f>CM386+CO386+CQ386+CS386</f>
        <v>-3204</v>
      </c>
      <c r="GC386" s="98">
        <f t="shared" ref="GC386:GC388" si="2159">IF(ISERROR((GB386/FZ386-1)*100),"NA",IF(((GB386/FZ386-1)*100)&gt;100,"NM",IF(((GB386/FZ386-1)*100)&lt;-50,"NM",(GB386/FZ386-1)*100)))</f>
        <v>-41.703056768558952</v>
      </c>
      <c r="GD386" s="119">
        <f>CU386+CW386+CY386+DA386</f>
        <v>-4845</v>
      </c>
      <c r="GE386" s="98">
        <f t="shared" ref="GE386:GE388" si="2160">IF(ISERROR((GD386/GB386-1)*100),"NA",IF(((GD386/GB386-1)*100)&gt;100,"NM",IF(((GD386/GB386-1)*100)&lt;-50,"NM",(GD386/GB386-1)*100)))</f>
        <v>51.21722846441947</v>
      </c>
      <c r="GF386" s="119">
        <f>DC386+DE386+DG386+DI386</f>
        <v>-5361</v>
      </c>
      <c r="GG386" s="98">
        <f t="shared" ref="GG386:GG388" si="2161">IF(ISERROR((GF386/GD386-1)*100),"NA",IF(((GF386/GD386-1)*100)&gt;100,"NM",IF(((GF386/GD386-1)*100)&lt;-50,"NM",(GF386/GD386-1)*100)))</f>
        <v>10.650154798761612</v>
      </c>
      <c r="GH386" s="119">
        <f>DK386+DM386+DO386+DQ386</f>
        <v>16</v>
      </c>
      <c r="GI386" s="98" t="str">
        <f t="shared" ref="GI386:GI388" si="2162">IF(ISERROR((GH386/GF386-1)*100),"NA",IF(((GH386/GF386-1)*100)&gt;100,"NM",IF(((GH386/GF386-1)*100)&lt;-50,"NM",(GH386/GF386-1)*100)))</f>
        <v>NM</v>
      </c>
      <c r="GJ386" s="119">
        <f>DS386+DU386+DW386+DY386</f>
        <v>-2011</v>
      </c>
      <c r="GK386" s="98" t="str">
        <f t="shared" ref="GK386:GK388" si="2163">IF(ISERROR((GJ386/GH386-1)*100),"NA",IF(((GJ386/GH386-1)*100)&gt;100,"NM",IF(((GJ386/GH386-1)*100)&lt;-50,"NM",(GJ386/GH386-1)*100)))</f>
        <v>NM</v>
      </c>
      <c r="GL386" s="119">
        <f>EA386+EC386+EE386+EG386</f>
        <v>-1283</v>
      </c>
      <c r="GM386" s="98">
        <f t="shared" ref="GM386:GW388" si="2164">IF(ISERROR((GL386/GJ386-1)*100),"NA",IF(((GL386/GJ386-1)*100)&gt;100,"NM",IF(((GL386/GJ386-1)*100)&lt;-50,"NM",(GL386/GJ386-1)*100)))</f>
        <v>-36.200895077076076</v>
      </c>
      <c r="GN386" s="119">
        <f>EI386+EK386+EM386+EO386</f>
        <v>-2886</v>
      </c>
      <c r="GO386" s="98" t="str">
        <f t="shared" si="2164"/>
        <v>NM</v>
      </c>
      <c r="GP386" s="119">
        <f>EQ386+ES386+EU386+EW386</f>
        <v>-1888</v>
      </c>
      <c r="GQ386" s="98">
        <f t="shared" si="2164"/>
        <v>-34.580734580734585</v>
      </c>
      <c r="GR386" s="117">
        <f t="shared" ref="GR386" si="2165">GR410+GR443</f>
        <v>-1679.2</v>
      </c>
      <c r="GS386" s="98">
        <f t="shared" si="2164"/>
        <v>-11.059322033898301</v>
      </c>
      <c r="GT386" s="117">
        <f t="shared" ref="GT386" si="2166">GT410+GT443</f>
        <v>-1491.28</v>
      </c>
      <c r="GU386" s="98">
        <f t="shared" si="2164"/>
        <v>-11.191043353978092</v>
      </c>
      <c r="GV386" s="117">
        <f t="shared" ref="GV386:GX386" si="2167">GV410+GV443</f>
        <v>-1322.152</v>
      </c>
      <c r="GW386" s="98">
        <f t="shared" si="2164"/>
        <v>-11.341129767716318</v>
      </c>
      <c r="GX386" s="117">
        <f t="shared" si="2167"/>
        <v>-1169.9368000000002</v>
      </c>
      <c r="GY386" s="98">
        <f t="shared" ref="GY386:GY388" si="2168">IF(ISERROR((GX386/GV386-1)*100),"NA",IF(((GX386/GV386-1)*100)&gt;100,"NM",IF(((GX386/GV386-1)*100)&lt;-50,"NM",(GX386/GV386-1)*100)))</f>
        <v>-11.512685379593258</v>
      </c>
      <c r="GZ386" s="98">
        <f>IF(ISERROR(((GX386/GN386)^0.2-1)*100),"NA",IF((((GX386/GN386)^0.2-1)*100)&gt;100,"NM",IF((((GX386/GN386)^0.2-1)*100)&lt;-50,"NM",((GX386/GN386)^0.2-1)*100)))</f>
        <v>-16.521773283353369</v>
      </c>
      <c r="HA386" s="98"/>
      <c r="HB386" s="10"/>
      <c r="HC386"/>
      <c r="HD386"/>
      <c r="HE386"/>
      <c r="HF386"/>
      <c r="HG386"/>
      <c r="HH386"/>
      <c r="HI386" s="10"/>
    </row>
    <row r="387" spans="1:217" s="2" customFormat="1" ht="12.75" customHeight="1" x14ac:dyDescent="0.2">
      <c r="A387" s="2" t="s">
        <v>66</v>
      </c>
      <c r="B387" s="91" t="s">
        <v>24</v>
      </c>
      <c r="C387" s="117"/>
      <c r="D387" s="98"/>
      <c r="E387" s="117"/>
      <c r="F387" s="98"/>
      <c r="G387" s="117"/>
      <c r="H387" s="98"/>
      <c r="I387" s="117"/>
      <c r="J387" s="98"/>
      <c r="K387" s="117"/>
      <c r="L387" s="98"/>
      <c r="M387" s="117"/>
      <c r="N387" s="98"/>
      <c r="O387" s="117"/>
      <c r="P387" s="98"/>
      <c r="Q387" s="117"/>
      <c r="R387" s="98"/>
      <c r="S387" s="117"/>
      <c r="T387" s="98"/>
      <c r="U387" s="117"/>
      <c r="V387" s="98"/>
      <c r="W387" s="117"/>
      <c r="X387" s="98"/>
      <c r="Y387" s="117"/>
      <c r="Z387" s="98"/>
      <c r="AA387" s="117"/>
      <c r="AB387" s="98"/>
      <c r="AC387" s="117"/>
      <c r="AD387" s="98"/>
      <c r="AE387" s="117"/>
      <c r="AF387" s="98"/>
      <c r="AG387" s="117"/>
      <c r="AH387" s="98"/>
      <c r="AI387" s="117"/>
      <c r="AJ387" s="98"/>
      <c r="AK387" s="117"/>
      <c r="AL387" s="98"/>
      <c r="AM387" s="117"/>
      <c r="AN387" s="98"/>
      <c r="AO387" s="117"/>
      <c r="AP387" s="98"/>
      <c r="AQ387" s="117"/>
      <c r="AR387" s="98"/>
      <c r="AS387" s="117"/>
      <c r="AT387" s="98"/>
      <c r="AU387" s="117"/>
      <c r="AV387" s="98"/>
      <c r="AW387" s="117"/>
      <c r="AX387" s="98"/>
      <c r="AY387" s="117"/>
      <c r="AZ387" s="98"/>
      <c r="BA387" s="117"/>
      <c r="BB387" s="98"/>
      <c r="BC387" s="117"/>
      <c r="BD387" s="98"/>
      <c r="BE387" s="117"/>
      <c r="BF387" s="98"/>
      <c r="BG387" s="117"/>
      <c r="BH387" s="98"/>
      <c r="BI387" s="117"/>
      <c r="BJ387" s="98"/>
      <c r="BK387" s="117"/>
      <c r="BL387" s="98"/>
      <c r="BM387" s="117">
        <f>SUM(BM381:BM386)</f>
        <v>40840</v>
      </c>
      <c r="BN387" s="98" t="str">
        <f t="shared" si="2104"/>
        <v>NA</v>
      </c>
      <c r="BO387" s="117">
        <f>SUM(BO381:BO386)</f>
        <v>41096</v>
      </c>
      <c r="BP387" s="98" t="str">
        <f t="shared" si="2105"/>
        <v>NA</v>
      </c>
      <c r="BQ387" s="117">
        <f>SUM(BQ381:BQ386)</f>
        <v>40916</v>
      </c>
      <c r="BR387" s="98" t="str">
        <f t="shared" si="2106"/>
        <v>NA</v>
      </c>
      <c r="BS387" s="117">
        <f>SUM(BS381:BS386)</f>
        <v>41765</v>
      </c>
      <c r="BT387" s="98" t="str">
        <f t="shared" si="2107"/>
        <v>NA</v>
      </c>
      <c r="BU387" s="117">
        <f>SUM(BU381:BU386)</f>
        <v>47937</v>
      </c>
      <c r="BV387" s="98">
        <f t="shared" si="2108"/>
        <v>17.377571008814897</v>
      </c>
      <c r="BW387" s="117">
        <f>SUM(BW381:BW386)</f>
        <v>51415</v>
      </c>
      <c r="BX387" s="98">
        <f t="shared" si="2109"/>
        <v>25.109499708000783</v>
      </c>
      <c r="BY387" s="117">
        <f>SUM(BY381:BY386)</f>
        <v>51228</v>
      </c>
      <c r="BZ387" s="98">
        <f t="shared" si="2110"/>
        <v>25.202854628995986</v>
      </c>
      <c r="CA387" s="117">
        <f>SUM(CA381:CA386)</f>
        <v>55639</v>
      </c>
      <c r="CB387" s="98">
        <f t="shared" si="2111"/>
        <v>33.219202681671248</v>
      </c>
      <c r="CC387" s="117">
        <f>SUM(CC381:CC386)</f>
        <v>55081</v>
      </c>
      <c r="CD387" s="98">
        <f t="shared" si="2112"/>
        <v>14.902893380895765</v>
      </c>
      <c r="CE387" s="117">
        <f>SUM(CE381:CE386)</f>
        <v>54965</v>
      </c>
      <c r="CF387" s="98">
        <f t="shared" si="2113"/>
        <v>6.9045998249538165</v>
      </c>
      <c r="CG387" s="117">
        <f>SUM(CG381:CG386)</f>
        <v>57356</v>
      </c>
      <c r="CH387" s="98">
        <f t="shared" si="2114"/>
        <v>11.96220816740845</v>
      </c>
      <c r="CI387" s="117">
        <f>SUM(CI381:CI386)</f>
        <v>57485</v>
      </c>
      <c r="CJ387" s="98">
        <f t="shared" si="2115"/>
        <v>3.3178166394076003</v>
      </c>
      <c r="CK387" s="117">
        <f>SUM(CK381:CK386)</f>
        <v>55346</v>
      </c>
      <c r="CL387" s="98">
        <f t="shared" si="2116"/>
        <v>0.4811096385323399</v>
      </c>
      <c r="CM387" s="117">
        <f>SUM(CM381:CM386)</f>
        <v>50334</v>
      </c>
      <c r="CN387" s="98">
        <f t="shared" si="2117"/>
        <v>-8.4253615937414761</v>
      </c>
      <c r="CO387" s="117">
        <f>SUM(CO381:CO386)</f>
        <v>50885</v>
      </c>
      <c r="CP387" s="98">
        <f t="shared" si="2118"/>
        <v>-11.282167515168418</v>
      </c>
      <c r="CQ387" s="486">
        <f>SUM(CQ381:CQ386)</f>
        <v>54991</v>
      </c>
      <c r="CR387" s="98">
        <f t="shared" si="2119"/>
        <v>-4.3385230929807728</v>
      </c>
      <c r="CS387" s="117">
        <f>SUM(CS381:CS386)</f>
        <v>53899</v>
      </c>
      <c r="CT387" s="98">
        <f t="shared" si="2120"/>
        <v>-2.6144617497199429</v>
      </c>
      <c r="CU387" s="117">
        <f>SUM(CU381:CU386)</f>
        <v>51360</v>
      </c>
      <c r="CV387" s="98">
        <f t="shared" si="2121"/>
        <v>2.0383835975682496</v>
      </c>
      <c r="CW387" s="117">
        <f>SUM(CW381:CW386)</f>
        <v>52226</v>
      </c>
      <c r="CX387" s="98">
        <f t="shared" si="2122"/>
        <v>2.6353542301267519</v>
      </c>
      <c r="CY387" s="117">
        <f>SUM(CY381:CY386)</f>
        <v>51590</v>
      </c>
      <c r="CZ387" s="98">
        <f t="shared" si="2123"/>
        <v>-6.1846483970104167</v>
      </c>
      <c r="DA387" s="117">
        <f>SUM(DA381:DA386)</f>
        <v>51542</v>
      </c>
      <c r="DB387" s="98">
        <f t="shared" si="2124"/>
        <v>-4.3729939330970913</v>
      </c>
      <c r="DC387" s="117">
        <f>SUM(DC381:DC386)</f>
        <v>50020</v>
      </c>
      <c r="DD387" s="98">
        <f t="shared" si="2125"/>
        <v>-2.6090342679127687</v>
      </c>
      <c r="DE387" s="117">
        <f>SUM(DE381:DE386)</f>
        <v>48990</v>
      </c>
      <c r="DF387" s="98">
        <f t="shared" si="2126"/>
        <v>-6.1961475127331189</v>
      </c>
      <c r="DG387" s="117">
        <f>SUM(DG381:DG386)</f>
        <v>48428</v>
      </c>
      <c r="DH387" s="98">
        <f t="shared" si="2127"/>
        <v>-6.1290947858112066</v>
      </c>
      <c r="DI387" s="117">
        <f>SUM(DI381:DI386)</f>
        <v>46988</v>
      </c>
      <c r="DJ387" s="98">
        <f t="shared" si="2128"/>
        <v>-8.8355127856893372</v>
      </c>
      <c r="DK387" s="117">
        <f>SUM(DK381:DK386)</f>
        <v>46899</v>
      </c>
      <c r="DL387" s="98">
        <f t="shared" si="2129"/>
        <v>-6.2395041983206667</v>
      </c>
      <c r="DM387" s="117">
        <f>SUM(DM381:DM386)</f>
        <v>46809</v>
      </c>
      <c r="DN387" s="98">
        <f t="shared" si="2130"/>
        <v>-4.4519289650949201</v>
      </c>
      <c r="DO387" s="117">
        <f>SUM(DO381:DO386)</f>
        <v>47529</v>
      </c>
      <c r="DP387" s="98">
        <f t="shared" si="2131"/>
        <v>-1.8563640868918818</v>
      </c>
      <c r="DQ387" s="117">
        <f>SUM(DQ381:DQ386)</f>
        <v>47601</v>
      </c>
      <c r="DR387" s="98">
        <f t="shared" si="2132"/>
        <v>1.3045884055503443</v>
      </c>
      <c r="DS387" s="117">
        <f>SUM(DS381:DS386)</f>
        <v>99769</v>
      </c>
      <c r="DT387" s="98" t="str">
        <f t="shared" si="2133"/>
        <v>NM</v>
      </c>
      <c r="DU387" s="117">
        <f>SUM(DU381:DU386)</f>
        <v>99625</v>
      </c>
      <c r="DV387" s="98" t="str">
        <f t="shared" si="2134"/>
        <v>NM</v>
      </c>
      <c r="DW387" s="117">
        <f>SUM(DW381:DW386)</f>
        <v>100885</v>
      </c>
      <c r="DX387" s="98" t="str">
        <f t="shared" si="2136"/>
        <v>NM</v>
      </c>
      <c r="DY387" s="117">
        <f>SUM(DY381:DY386)</f>
        <v>100981</v>
      </c>
      <c r="DZ387" s="98" t="str">
        <f t="shared" si="2138"/>
        <v>NM</v>
      </c>
      <c r="EA387" s="117">
        <f>SUM(EA381:EA386)</f>
        <v>102136</v>
      </c>
      <c r="EB387" s="98">
        <f t="shared" si="2140"/>
        <v>2.3724804297928115</v>
      </c>
      <c r="EC387" s="117">
        <f>SUM(EC381:EC386)</f>
        <v>103990</v>
      </c>
      <c r="ED387" s="98">
        <f t="shared" si="2142"/>
        <v>4.3814303638644914</v>
      </c>
      <c r="EE387" s="117">
        <f>SUM(EE381:EE386)</f>
        <v>104115</v>
      </c>
      <c r="EF387" s="860">
        <f t="shared" si="2023"/>
        <v>3.201665262427511</v>
      </c>
      <c r="EG387" s="117">
        <f>SUM(EG381:EG386)</f>
        <v>103054</v>
      </c>
      <c r="EH387" s="860">
        <f t="shared" si="2024"/>
        <v>2.0528614293777947</v>
      </c>
      <c r="EI387" s="117">
        <f>SUM(EI381:EI386)</f>
        <v>102646</v>
      </c>
      <c r="EJ387" s="860">
        <f t="shared" si="2025"/>
        <v>0.49933422103860536</v>
      </c>
      <c r="EK387" s="117">
        <f>SUM(EK381:EK386)</f>
        <v>102503</v>
      </c>
      <c r="EL387" s="860">
        <f t="shared" si="2026"/>
        <v>-1.4299451870372182</v>
      </c>
      <c r="EM387" s="117">
        <f>SUM(EM381:EM386)</f>
        <v>102565</v>
      </c>
      <c r="EN387" s="860">
        <f t="shared" si="2027"/>
        <v>-1.4887384142534654</v>
      </c>
      <c r="EO387" s="117">
        <f>SUM(EO381:EO386)</f>
        <v>102529</v>
      </c>
      <c r="EP387" s="98">
        <f t="shared" si="2146"/>
        <v>-0.50944165194946045</v>
      </c>
      <c r="EQ387" s="792">
        <f>SUM(EQ381:EQ386)</f>
        <v>102476.80632464431</v>
      </c>
      <c r="ER387" s="98">
        <f t="shared" si="2148"/>
        <v>-0.16483221494816291</v>
      </c>
      <c r="ES387" s="792">
        <f t="shared" ref="ES387" si="2169">SUM(ES381:ES386)</f>
        <v>102342.59223276784</v>
      </c>
      <c r="ET387" s="98">
        <f t="shared" si="2150"/>
        <v>-0.15649080244690694</v>
      </c>
      <c r="EU387" s="792">
        <f t="shared" ref="EU387" si="2170">SUM(EU381:EU386)</f>
        <v>102134.03768143737</v>
      </c>
      <c r="EV387" s="98">
        <f t="shared" si="2152"/>
        <v>-0.42018458398345171</v>
      </c>
      <c r="EW387" s="792">
        <f t="shared" ref="EW387" si="2171">SUM(EW381:EW386)</f>
        <v>101857.85661049842</v>
      </c>
      <c r="EX387" s="98">
        <f t="shared" si="2154"/>
        <v>-0.65458883779377919</v>
      </c>
      <c r="EY387" s="118"/>
      <c r="EZ387" s="594"/>
      <c r="FA387" s="405"/>
      <c r="FB387" s="101">
        <v>21045</v>
      </c>
      <c r="FC387" s="98"/>
      <c r="FD387" s="117">
        <f>SUM(FD381:FD386)</f>
        <v>20966</v>
      </c>
      <c r="FE387" s="98">
        <f t="shared" si="2155"/>
        <v>-0.37538607745307706</v>
      </c>
      <c r="FF387" s="118"/>
      <c r="FG387" s="98"/>
      <c r="FH387" s="118"/>
      <c r="FI387" s="98"/>
      <c r="FJ387" s="118"/>
      <c r="FK387" s="98"/>
      <c r="FL387" s="118"/>
      <c r="FM387" s="98"/>
      <c r="FN387" s="118"/>
      <c r="FO387" s="98"/>
      <c r="FP387" s="118"/>
      <c r="FQ387" s="98"/>
      <c r="FR387" s="119"/>
      <c r="FS387" s="120"/>
      <c r="FT387" s="119"/>
      <c r="FU387" s="120"/>
      <c r="FV387" s="119">
        <f>SUM(FV381:FV386)</f>
        <v>47937</v>
      </c>
      <c r="FW387" s="98" t="str">
        <f t="shared" si="2156"/>
        <v>NA</v>
      </c>
      <c r="FX387" s="485">
        <f>SUM(FX381:FX386)</f>
        <v>55081</v>
      </c>
      <c r="FY387" s="98">
        <f t="shared" si="2157"/>
        <v>14.902893380895765</v>
      </c>
      <c r="FZ387" s="119">
        <f>SUM(FZ381:FZ386)</f>
        <v>55346</v>
      </c>
      <c r="GA387" s="98">
        <f t="shared" si="2158"/>
        <v>0.4811096385323399</v>
      </c>
      <c r="GB387" s="485">
        <f>SUM(GB381:GB386)</f>
        <v>53899</v>
      </c>
      <c r="GC387" s="98">
        <f t="shared" si="2159"/>
        <v>-2.6144617497199429</v>
      </c>
      <c r="GD387" s="119">
        <f>SUM(GD381:GD386)</f>
        <v>51542</v>
      </c>
      <c r="GE387" s="98">
        <f t="shared" si="2160"/>
        <v>-4.3729939330970913</v>
      </c>
      <c r="GF387" s="119">
        <f>SUM(GF381:GF386)</f>
        <v>46988</v>
      </c>
      <c r="GG387" s="98">
        <f t="shared" si="2161"/>
        <v>-8.8355127856893372</v>
      </c>
      <c r="GH387" s="119">
        <f>SUM(GH381:GH386)</f>
        <v>47601</v>
      </c>
      <c r="GI387" s="98">
        <f t="shared" si="2162"/>
        <v>1.3045884055503443</v>
      </c>
      <c r="GJ387" s="119">
        <f>SUM(GJ381:GJ386)</f>
        <v>100981</v>
      </c>
      <c r="GK387" s="98" t="str">
        <f t="shared" si="2163"/>
        <v>NM</v>
      </c>
      <c r="GL387" s="119">
        <f>SUM(GL381:GL386)</f>
        <v>103054</v>
      </c>
      <c r="GM387" s="98">
        <f t="shared" si="2164"/>
        <v>2.0528614293777947</v>
      </c>
      <c r="GN387" s="119">
        <f>SUM(GN381:GN386)</f>
        <v>102529</v>
      </c>
      <c r="GO387" s="98">
        <f t="shared" si="2164"/>
        <v>-0.50944165194946045</v>
      </c>
      <c r="GP387" s="119">
        <f>SUM(GP381:GP386)</f>
        <v>101857.85661049843</v>
      </c>
      <c r="GQ387" s="98">
        <f t="shared" si="2164"/>
        <v>-0.65458883779375698</v>
      </c>
      <c r="GR387" s="118">
        <f>SUM(GR381:GR386)</f>
        <v>100085.85071216927</v>
      </c>
      <c r="GS387" s="98">
        <f t="shared" si="2164"/>
        <v>-1.7396850447239154</v>
      </c>
      <c r="GT387" s="118">
        <f>SUM(GT381:GT386)</f>
        <v>97127.586730427865</v>
      </c>
      <c r="GU387" s="98">
        <f t="shared" si="2164"/>
        <v>-2.95572646951755</v>
      </c>
      <c r="GV387" s="118">
        <f>SUM(GV381:GV386)</f>
        <v>93291.743257498019</v>
      </c>
      <c r="GW387" s="98">
        <f t="shared" si="2164"/>
        <v>-3.9492832078449669</v>
      </c>
      <c r="GX387" s="118">
        <f>SUM(GX381:GX386)</f>
        <v>88817.876226202206</v>
      </c>
      <c r="GY387" s="98">
        <f t="shared" si="2168"/>
        <v>-4.795565904420207</v>
      </c>
      <c r="GZ387" s="98">
        <f>IF(ISERROR(((GX387/GN387)^0.2-1)*100),"NA",IF((((GX387/GN387)^0.2-1)*100)&gt;100,"NM",IF((((GX387/GN387)^0.2-1)*100)&lt;-50,"NM",((GX387/GN387)^0.2-1)*100)))</f>
        <v>-2.8303289415800181</v>
      </c>
      <c r="HA387" s="98"/>
      <c r="HB387" s="10"/>
      <c r="HC387"/>
      <c r="HD387"/>
      <c r="HE387"/>
      <c r="HF387"/>
      <c r="HG387"/>
      <c r="HH387"/>
      <c r="HI387" s="10"/>
    </row>
    <row r="388" spans="1:217" s="2" customFormat="1" ht="12.75" customHeight="1" x14ac:dyDescent="0.2">
      <c r="B388" s="91" t="s">
        <v>25</v>
      </c>
      <c r="C388" s="117"/>
      <c r="D388" s="98"/>
      <c r="E388" s="117"/>
      <c r="F388" s="98"/>
      <c r="G388" s="117"/>
      <c r="H388" s="98"/>
      <c r="I388" s="117"/>
      <c r="J388" s="98"/>
      <c r="K388" s="117"/>
      <c r="L388" s="98"/>
      <c r="M388" s="117"/>
      <c r="N388" s="98"/>
      <c r="O388" s="117"/>
      <c r="P388" s="98"/>
      <c r="Q388" s="117"/>
      <c r="R388" s="98"/>
      <c r="S388" s="117"/>
      <c r="T388" s="98"/>
      <c r="U388" s="117"/>
      <c r="V388" s="98"/>
      <c r="W388" s="117"/>
      <c r="X388" s="98"/>
      <c r="Y388" s="117"/>
      <c r="Z388" s="98"/>
      <c r="AA388" s="117"/>
      <c r="AB388" s="98"/>
      <c r="AC388" s="117"/>
      <c r="AD388" s="98"/>
      <c r="AE388" s="117"/>
      <c r="AF388" s="98"/>
      <c r="AG388" s="117"/>
      <c r="AH388" s="98"/>
      <c r="AI388" s="117"/>
      <c r="AJ388" s="98"/>
      <c r="AK388" s="117"/>
      <c r="AL388" s="98"/>
      <c r="AM388" s="117"/>
      <c r="AN388" s="98"/>
      <c r="AO388" s="117"/>
      <c r="AP388" s="98"/>
      <c r="AQ388" s="117"/>
      <c r="AR388" s="98"/>
      <c r="AS388" s="117"/>
      <c r="AT388" s="98"/>
      <c r="AU388" s="117"/>
      <c r="AV388" s="98"/>
      <c r="AW388" s="117"/>
      <c r="AX388" s="98"/>
      <c r="AY388" s="117"/>
      <c r="AZ388" s="98"/>
      <c r="BA388" s="117"/>
      <c r="BB388" s="98"/>
      <c r="BC388" s="117"/>
      <c r="BD388" s="98"/>
      <c r="BE388" s="117"/>
      <c r="BF388" s="98"/>
      <c r="BG388" s="117"/>
      <c r="BH388" s="98"/>
      <c r="BI388" s="117"/>
      <c r="BJ388" s="98"/>
      <c r="BK388" s="117"/>
      <c r="BL388" s="98"/>
      <c r="BM388" s="117">
        <f>BM381+BM386+0.5*(SUM(BM382:BM384))</f>
        <v>40548</v>
      </c>
      <c r="BN388" s="98" t="str">
        <f t="shared" si="2104"/>
        <v>NA</v>
      </c>
      <c r="BO388" s="117">
        <f>BO381+BO386+0.5*(SUM(BO382:BO384))</f>
        <v>40797</v>
      </c>
      <c r="BP388" s="98" t="str">
        <f t="shared" si="2105"/>
        <v>NA</v>
      </c>
      <c r="BQ388" s="117">
        <f>BQ381+BQ386+0.5*(SUM(BQ382:BQ384))</f>
        <v>40475</v>
      </c>
      <c r="BR388" s="98" t="str">
        <f t="shared" si="2106"/>
        <v>NA</v>
      </c>
      <c r="BS388" s="117">
        <f>BS381+BS386+0.5*(SUM(BS382:BS384))</f>
        <v>41064</v>
      </c>
      <c r="BT388" s="98" t="str">
        <f t="shared" si="2107"/>
        <v>NA</v>
      </c>
      <c r="BU388" s="117">
        <f>BU381+BU386+0.5*(SUM(BU382:BU384))</f>
        <v>45705</v>
      </c>
      <c r="BV388" s="98">
        <f t="shared" si="2108"/>
        <v>12.718259840189393</v>
      </c>
      <c r="BW388" s="117">
        <f>BW381+BW386+0.5*(SUM(BW382:BW384))</f>
        <v>49206.5</v>
      </c>
      <c r="BX388" s="98">
        <f t="shared" si="2109"/>
        <v>20.613035272201397</v>
      </c>
      <c r="BY388" s="117">
        <f>BY381+BY386+0.5*(SUM(BY382:BY384))</f>
        <v>50041</v>
      </c>
      <c r="BZ388" s="98">
        <f t="shared" si="2110"/>
        <v>23.634342186534909</v>
      </c>
      <c r="CA388" s="117">
        <f>CA381+CA386+0.5*(SUM(CA382:CA384))</f>
        <v>54851</v>
      </c>
      <c r="CB388" s="98">
        <f t="shared" si="2111"/>
        <v>33.574420416910186</v>
      </c>
      <c r="CC388" s="117">
        <f>CC381+CC386+0.5*(SUM(CC382:CC384))</f>
        <v>54389.5</v>
      </c>
      <c r="CD388" s="98">
        <f t="shared" si="2112"/>
        <v>19.001203369434428</v>
      </c>
      <c r="CE388" s="117">
        <f>CE381+CE386+0.5*(SUM(CE382:CE384))</f>
        <v>54242.5</v>
      </c>
      <c r="CF388" s="98">
        <f t="shared" si="2113"/>
        <v>10.234420249357301</v>
      </c>
      <c r="CG388" s="117">
        <f>CG381+CG386+0.5*(SUM(CG382:CG384))</f>
        <v>56578.5</v>
      </c>
      <c r="CH388" s="98">
        <f t="shared" si="2114"/>
        <v>13.064287284426769</v>
      </c>
      <c r="CI388" s="117">
        <f>CI381+CI386+0.5*(SUM(CI382:CI384))</f>
        <v>56772.5</v>
      </c>
      <c r="CJ388" s="98">
        <f t="shared" si="2115"/>
        <v>3.5031266522032478</v>
      </c>
      <c r="CK388" s="117">
        <f>CK381+CK386+0.5*(SUM(CK382:CK384))</f>
        <v>54678</v>
      </c>
      <c r="CL388" s="98">
        <f t="shared" si="2116"/>
        <v>0.53043326377333333</v>
      </c>
      <c r="CM388" s="117">
        <f>CM381+CM386+0.5*(SUM(CM382:CM384))</f>
        <v>49747</v>
      </c>
      <c r="CN388" s="98">
        <f t="shared" si="2117"/>
        <v>-8.2877817209752518</v>
      </c>
      <c r="CO388" s="117">
        <f>CO381+CO386+0.5*(SUM(CO382:CO384))</f>
        <v>50140.5</v>
      </c>
      <c r="CP388" s="98">
        <f t="shared" si="2118"/>
        <v>-11.37888067021925</v>
      </c>
      <c r="CQ388" s="486">
        <f>CQ381+CQ386+0.5*(SUM(CQ382:CQ384))</f>
        <v>53895</v>
      </c>
      <c r="CR388" s="98">
        <f t="shared" si="2119"/>
        <v>-5.0684750539433665</v>
      </c>
      <c r="CS388" s="117">
        <f>CS381+CS386+0.5*(SUM(CS382:CS384))</f>
        <v>53205</v>
      </c>
      <c r="CT388" s="98">
        <f t="shared" si="2120"/>
        <v>-2.6939536925271623</v>
      </c>
      <c r="CU388" s="117">
        <f>CU381+CU386+0.5*(SUM(CU382:CU384))</f>
        <v>51066.5</v>
      </c>
      <c r="CV388" s="98">
        <f t="shared" si="2121"/>
        <v>2.652421251532755</v>
      </c>
      <c r="CW388" s="117">
        <f>CW381+CW386+0.5*(SUM(CW382:CW384))</f>
        <v>51834</v>
      </c>
      <c r="CX388" s="98">
        <f t="shared" si="2122"/>
        <v>3.3775091991503858</v>
      </c>
      <c r="CY388" s="117">
        <f>CY381+CY386+0.5*(SUM(CY382:CY384))</f>
        <v>51163</v>
      </c>
      <c r="CZ388" s="98">
        <f t="shared" si="2123"/>
        <v>-5.0691158734576529</v>
      </c>
      <c r="DA388" s="117">
        <f>DA381+DA386+0.5*(SUM(DA382:DA384))</f>
        <v>51410.5</v>
      </c>
      <c r="DB388" s="98">
        <f t="shared" si="2124"/>
        <v>-3.3728033079597819</v>
      </c>
      <c r="DC388" s="117">
        <f>DC381+DC386+0.5*(SUM(DC382:DC384))</f>
        <v>49810</v>
      </c>
      <c r="DD388" s="98">
        <f t="shared" si="2125"/>
        <v>-2.4605171687897109</v>
      </c>
      <c r="DE388" s="117">
        <f>DE381+DE386+0.5*(SUM(DE382:DE384))</f>
        <v>48888.5</v>
      </c>
      <c r="DF388" s="98">
        <f t="shared" si="2126"/>
        <v>-5.6825635683142366</v>
      </c>
      <c r="DG388" s="117">
        <f>DG381+DG386+0.5*(SUM(DG382:DG384))</f>
        <v>48265.5</v>
      </c>
      <c r="DH388" s="98">
        <f t="shared" si="2127"/>
        <v>-5.663272286613374</v>
      </c>
      <c r="DI388" s="117">
        <f>DI381+DI386+0.5*(SUM(DI382:DI384))</f>
        <v>47058.5</v>
      </c>
      <c r="DJ388" s="98">
        <f t="shared" si="2128"/>
        <v>-8.4651967983194076</v>
      </c>
      <c r="DK388" s="117">
        <f>DK381+DK386+0.5*(SUM(DK382:DK384))</f>
        <v>46862</v>
      </c>
      <c r="DL388" s="98">
        <f t="shared" si="2129"/>
        <v>-5.9184902629993985</v>
      </c>
      <c r="DM388" s="117">
        <f>DM381+DM386+0.5*(SUM(DM382:DM384))</f>
        <v>46642</v>
      </c>
      <c r="DN388" s="98">
        <f t="shared" si="2130"/>
        <v>-4.5951501886946851</v>
      </c>
      <c r="DO388" s="117">
        <f>DO381+DO386+0.5*(SUM(DO382:DO384))</f>
        <v>47299</v>
      </c>
      <c r="DP388" s="98">
        <f t="shared" si="2131"/>
        <v>-2.0024655292082305</v>
      </c>
      <c r="DQ388" s="117">
        <f>DQ381+DQ386+0.5*(SUM(DQ382:DQ384))</f>
        <v>47736.5</v>
      </c>
      <c r="DR388" s="98">
        <f t="shared" si="2132"/>
        <v>1.4407599052243425</v>
      </c>
      <c r="DS388" s="117">
        <f>DS381+DS386+0.5*(SUM(DS382:DS384))</f>
        <v>99925</v>
      </c>
      <c r="DT388" s="98" t="str">
        <f t="shared" si="2133"/>
        <v>NM</v>
      </c>
      <c r="DU388" s="117">
        <f>DU381+DU386+0.5*(SUM(DU382:DU384))</f>
        <v>99676.5</v>
      </c>
      <c r="DV388" s="98" t="str">
        <f t="shared" si="2134"/>
        <v>NM</v>
      </c>
      <c r="DW388" s="117">
        <f>DW381+DW386+0.5*(SUM(DW382:DW384))</f>
        <v>100910.5</v>
      </c>
      <c r="DX388" s="98" t="str">
        <f t="shared" si="2136"/>
        <v>NM</v>
      </c>
      <c r="DY388" s="117">
        <f>DY381+DY386+0.5*(SUM(DY382:DY384))</f>
        <v>100925.5</v>
      </c>
      <c r="DZ388" s="98" t="str">
        <f t="shared" si="2138"/>
        <v>NM</v>
      </c>
      <c r="EA388" s="117">
        <f>EA381+EA386+0.5*(SUM(EA382:EA384))</f>
        <v>102167</v>
      </c>
      <c r="EB388" s="98">
        <f t="shared" si="2140"/>
        <v>2.2436827620715638</v>
      </c>
      <c r="EC388" s="117">
        <f>EC381+EC386+0.5*(SUM(EC382:EC384))</f>
        <v>103986.5</v>
      </c>
      <c r="ED388" s="98">
        <f t="shared" si="2142"/>
        <v>4.3239881015083803</v>
      </c>
      <c r="EE388" s="117">
        <f>EE381+EE386+0.5*(SUM(EE382:EE384))</f>
        <v>104209.5</v>
      </c>
      <c r="EF388" s="860">
        <f t="shared" si="2023"/>
        <v>3.2692336278187017</v>
      </c>
      <c r="EG388" s="117">
        <f>EG381+EG386+0.5*(SUM(EG382:EG384))</f>
        <v>103101.5</v>
      </c>
      <c r="EH388" s="860">
        <f t="shared" si="2024"/>
        <v>2.1560457961565804</v>
      </c>
      <c r="EI388" s="117">
        <f>EI381+EI386+0.5*(SUM(EI382:EI384))</f>
        <v>102806.5</v>
      </c>
      <c r="EJ388" s="860">
        <f t="shared" si="2025"/>
        <v>0.62593596758249159</v>
      </c>
      <c r="EK388" s="117">
        <f>EK381+EK386+0.5*(SUM(EK382:EK384))</f>
        <v>102624.5</v>
      </c>
      <c r="EL388" s="860">
        <f t="shared" si="2026"/>
        <v>-1.3097854048362056</v>
      </c>
      <c r="EM388" s="117">
        <f>EM381+EM386+0.5*(SUM(EM382:EM384))</f>
        <v>102654.5</v>
      </c>
      <c r="EN388" s="860">
        <f t="shared" si="2027"/>
        <v>-1.4921864129469942</v>
      </c>
      <c r="EO388" s="117">
        <f>EO381+EO386+0.5*(SUM(EO382:EO384))</f>
        <v>102694.5</v>
      </c>
      <c r="EP388" s="98">
        <f t="shared" si="2146"/>
        <v>-0.39475662332749684</v>
      </c>
      <c r="EQ388" s="792">
        <f>AVERAGE(EQ381,EQ387)</f>
        <v>102502.90316232215</v>
      </c>
      <c r="ER388" s="98">
        <f t="shared" si="2148"/>
        <v>-0.29530899084965201</v>
      </c>
      <c r="ES388" s="792">
        <f t="shared" ref="ES388" si="2172">AVERAGE(ES381,ES387)</f>
        <v>102409.69927870607</v>
      </c>
      <c r="ET388" s="98">
        <f t="shared" si="2150"/>
        <v>-0.2093074473385248</v>
      </c>
      <c r="EU388" s="792">
        <f t="shared" ref="EU388" si="2173">AVERAGE(EU381,EU387)</f>
        <v>102238.31495710262</v>
      </c>
      <c r="EV388" s="98">
        <f t="shared" si="2152"/>
        <v>-0.40542308705160401</v>
      </c>
      <c r="EW388" s="792">
        <f t="shared" ref="EW388" si="2174">AVERAGE(EW381,EW387)</f>
        <v>101995.94714596789</v>
      </c>
      <c r="EX388" s="98">
        <f t="shared" si="2154"/>
        <v>-0.68022421262298183</v>
      </c>
      <c r="EY388" s="118"/>
      <c r="EZ388" s="594"/>
      <c r="FA388" s="405"/>
      <c r="FB388" s="117">
        <f>AVERAGE(FB381,FB387)</f>
        <v>21045</v>
      </c>
      <c r="FC388" s="98"/>
      <c r="FD388" s="117">
        <f>AVERAGE(FD381,FD387)</f>
        <v>21005.5</v>
      </c>
      <c r="FE388" s="98">
        <f t="shared" si="2155"/>
        <v>-0.18769303872653298</v>
      </c>
      <c r="FF388" s="118"/>
      <c r="FG388" s="98"/>
      <c r="FH388" s="118"/>
      <c r="FI388" s="98"/>
      <c r="FJ388" s="118"/>
      <c r="FK388" s="98"/>
      <c r="FL388" s="118"/>
      <c r="FM388" s="98"/>
      <c r="FN388" s="118"/>
      <c r="FO388" s="98"/>
      <c r="FP388" s="118"/>
      <c r="FQ388" s="98"/>
      <c r="FR388" s="119"/>
      <c r="FS388" s="120"/>
      <c r="FT388" s="119"/>
      <c r="FU388" s="120"/>
      <c r="FV388" s="119">
        <f>AVERAGE(FV381,FV387)</f>
        <v>44388.5</v>
      </c>
      <c r="FW388" s="98" t="str">
        <f t="shared" si="2156"/>
        <v>NA</v>
      </c>
      <c r="FX388" s="485">
        <f>AVERAGE(FX381,FX387)</f>
        <v>51509</v>
      </c>
      <c r="FY388" s="98">
        <f t="shared" si="2157"/>
        <v>16.041317007783551</v>
      </c>
      <c r="FZ388" s="119">
        <f>AVERAGE(FZ381,FZ387)</f>
        <v>55213.5</v>
      </c>
      <c r="GA388" s="98">
        <f t="shared" si="2158"/>
        <v>7.1919470383816408</v>
      </c>
      <c r="GB388" s="485">
        <f>AVERAGE(GB381,GB387)</f>
        <v>52379.5</v>
      </c>
      <c r="GC388" s="98">
        <f t="shared" si="2159"/>
        <v>-5.1328026660146575</v>
      </c>
      <c r="GD388" s="119">
        <f>AVERAGE(GD381,GD387)</f>
        <v>52720.5</v>
      </c>
      <c r="GE388" s="98">
        <f t="shared" si="2160"/>
        <v>0.65101805095504339</v>
      </c>
      <c r="GF388" s="119">
        <f>AVERAGE(GF381,GF387)</f>
        <v>49265</v>
      </c>
      <c r="GG388" s="98">
        <f t="shared" si="2161"/>
        <v>-6.5543763811041211</v>
      </c>
      <c r="GH388" s="119">
        <f>AVERAGE(GH381,GH387)</f>
        <v>47294.5</v>
      </c>
      <c r="GI388" s="98">
        <f t="shared" si="2162"/>
        <v>-3.9997970161372187</v>
      </c>
      <c r="GJ388" s="119">
        <f>AVERAGE(GJ381,GJ387)</f>
        <v>100292</v>
      </c>
      <c r="GK388" s="98" t="str">
        <f t="shared" si="2163"/>
        <v>NM</v>
      </c>
      <c r="GL388" s="119">
        <f>AVERAGE(GL381,GL387)</f>
        <v>102017.5</v>
      </c>
      <c r="GM388" s="98">
        <f t="shared" si="2164"/>
        <v>1.7204762094683579</v>
      </c>
      <c r="GN388" s="119">
        <f>AVERAGE(GN381,GN387)</f>
        <v>102791.5</v>
      </c>
      <c r="GO388" s="98">
        <f t="shared" si="2164"/>
        <v>0.75869336143308264</v>
      </c>
      <c r="GP388" s="119">
        <f>AVERAGE(GP381,GP387)</f>
        <v>102193.42830524922</v>
      </c>
      <c r="GQ388" s="98">
        <f t="shared" si="2164"/>
        <v>-0.58182991273673101</v>
      </c>
      <c r="GR388" s="118">
        <f>AVERAGE(GR381,GR387)</f>
        <v>100971.85366133385</v>
      </c>
      <c r="GS388" s="98">
        <f t="shared" si="2164"/>
        <v>-1.1953553806479222</v>
      </c>
      <c r="GT388" s="118">
        <f>AVERAGE(GT381,GT387)</f>
        <v>98606.718721298559</v>
      </c>
      <c r="GU388" s="98">
        <f t="shared" si="2164"/>
        <v>-2.3423705263133088</v>
      </c>
      <c r="GV388" s="118">
        <f>AVERAGE(GV381,GV387)</f>
        <v>95209.664993962942</v>
      </c>
      <c r="GW388" s="98">
        <f t="shared" si="2164"/>
        <v>-3.4450530059082829</v>
      </c>
      <c r="GX388" s="118">
        <f>AVERAGE(GX381,GX387)</f>
        <v>91054.809741850113</v>
      </c>
      <c r="GY388" s="98">
        <f t="shared" si="2168"/>
        <v>-4.3639007157269987</v>
      </c>
      <c r="GZ388" s="98">
        <f>IF(ISERROR(((GX388/GN388)^0.2-1)*100),"NA",IF((((GX388/GN388)^0.2-1)*100)&gt;100,"NM",IF((((GX388/GN388)^0.2-1)*100)&lt;-50,"NM",((GX388/GN388)^0.2-1)*100)))</f>
        <v>-2.3956581063815374</v>
      </c>
      <c r="HA388" s="98"/>
      <c r="HB388" s="10"/>
      <c r="HC388"/>
      <c r="HD388"/>
      <c r="HE388"/>
      <c r="HF388"/>
      <c r="HG388"/>
      <c r="HH388"/>
      <c r="HI388" s="10"/>
    </row>
    <row r="389" spans="1:217" s="2" customFormat="1" ht="12.75" customHeight="1" x14ac:dyDescent="0.2">
      <c r="B389" s="158"/>
      <c r="C389" s="112"/>
      <c r="D389" s="113"/>
      <c r="E389" s="112"/>
      <c r="F389" s="113"/>
      <c r="G389" s="112"/>
      <c r="H389" s="113"/>
      <c r="I389" s="112"/>
      <c r="J389" s="98"/>
      <c r="K389" s="112"/>
      <c r="L389" s="98"/>
      <c r="M389" s="112"/>
      <c r="N389" s="98"/>
      <c r="O389" s="112"/>
      <c r="P389" s="98"/>
      <c r="Q389" s="112"/>
      <c r="R389" s="98"/>
      <c r="S389" s="112"/>
      <c r="T389" s="98"/>
      <c r="U389" s="112"/>
      <c r="V389" s="98"/>
      <c r="W389" s="112"/>
      <c r="X389" s="98"/>
      <c r="Y389" s="112"/>
      <c r="Z389" s="98"/>
      <c r="AA389" s="112"/>
      <c r="AB389" s="98"/>
      <c r="AC389" s="112"/>
      <c r="AD389" s="98"/>
      <c r="AE389" s="112"/>
      <c r="AF389" s="98"/>
      <c r="AG389" s="112"/>
      <c r="AH389" s="98"/>
      <c r="AI389" s="112"/>
      <c r="AJ389" s="98"/>
      <c r="AK389" s="112"/>
      <c r="AL389" s="98"/>
      <c r="AM389" s="112"/>
      <c r="AN389" s="98"/>
      <c r="AO389" s="112"/>
      <c r="AP389" s="98"/>
      <c r="AQ389" s="112"/>
      <c r="AR389" s="98"/>
      <c r="AS389" s="112"/>
      <c r="AT389" s="98"/>
      <c r="AU389" s="112"/>
      <c r="AV389" s="98"/>
      <c r="AW389" s="112"/>
      <c r="AX389" s="98"/>
      <c r="AY389" s="112"/>
      <c r="AZ389" s="98"/>
      <c r="BA389" s="112"/>
      <c r="BB389" s="98"/>
      <c r="BC389" s="112"/>
      <c r="BD389" s="98"/>
      <c r="BE389" s="112"/>
      <c r="BF389" s="98"/>
      <c r="BG389" s="112"/>
      <c r="BH389" s="98"/>
      <c r="BI389" s="112"/>
      <c r="BJ389" s="98"/>
      <c r="BK389" s="112"/>
      <c r="BL389" s="98"/>
      <c r="BM389" s="112"/>
      <c r="BN389" s="98"/>
      <c r="BO389" s="112"/>
      <c r="BP389" s="98"/>
      <c r="BQ389" s="112"/>
      <c r="BR389" s="98"/>
      <c r="BS389" s="112"/>
      <c r="BT389" s="98"/>
      <c r="BU389" s="112"/>
      <c r="BV389" s="98"/>
      <c r="BW389" s="112"/>
      <c r="BX389" s="98"/>
      <c r="BY389" s="112"/>
      <c r="BZ389" s="98"/>
      <c r="CA389" s="112"/>
      <c r="CB389" s="98"/>
      <c r="CC389" s="112"/>
      <c r="CD389" s="98"/>
      <c r="CE389" s="112"/>
      <c r="CF389" s="98"/>
      <c r="CG389" s="112"/>
      <c r="CH389" s="98"/>
      <c r="CI389" s="112"/>
      <c r="CJ389" s="98"/>
      <c r="CK389" s="112"/>
      <c r="CL389" s="98"/>
      <c r="CM389" s="112"/>
      <c r="CN389" s="98"/>
      <c r="CO389" s="112"/>
      <c r="CP389" s="98"/>
      <c r="CQ389" s="543"/>
      <c r="CR389" s="98"/>
      <c r="CS389" s="112"/>
      <c r="CT389" s="98"/>
      <c r="CU389" s="112"/>
      <c r="CV389" s="98"/>
      <c r="CW389" s="112"/>
      <c r="CX389" s="98"/>
      <c r="CY389" s="112"/>
      <c r="CZ389" s="98"/>
      <c r="DA389" s="112"/>
      <c r="DB389" s="98"/>
      <c r="DC389" s="112"/>
      <c r="DD389" s="98"/>
      <c r="DE389" s="112"/>
      <c r="DF389" s="98"/>
      <c r="DG389" s="112"/>
      <c r="DH389" s="98"/>
      <c r="DI389" s="112"/>
      <c r="DJ389" s="98"/>
      <c r="DK389" s="112"/>
      <c r="DL389" s="98"/>
      <c r="DM389" s="112"/>
      <c r="DN389" s="98"/>
      <c r="DO389" s="112"/>
      <c r="DP389" s="98"/>
      <c r="DQ389" s="112"/>
      <c r="DR389" s="98"/>
      <c r="DS389" s="112"/>
      <c r="DT389" s="98"/>
      <c r="DU389" s="112"/>
      <c r="DV389" s="98"/>
      <c r="DW389" s="112"/>
      <c r="DX389" s="98"/>
      <c r="DY389" s="112"/>
      <c r="DZ389" s="98"/>
      <c r="EA389" s="112"/>
      <c r="EB389" s="98"/>
      <c r="EC389" s="112"/>
      <c r="ED389" s="98"/>
      <c r="EE389" s="112"/>
      <c r="EF389" s="860"/>
      <c r="EG389" s="112"/>
      <c r="EH389" s="860"/>
      <c r="EI389" s="112"/>
      <c r="EJ389" s="860"/>
      <c r="EK389" s="112"/>
      <c r="EL389" s="860"/>
      <c r="EM389" s="112"/>
      <c r="EN389" s="860"/>
      <c r="EO389" s="112"/>
      <c r="EP389" s="98"/>
      <c r="EQ389" s="1022"/>
      <c r="ER389" s="98"/>
      <c r="ES389" s="1022"/>
      <c r="ET389" s="98"/>
      <c r="EU389" s="1022"/>
      <c r="EV389" s="98"/>
      <c r="EW389" s="1022"/>
      <c r="EX389" s="98"/>
      <c r="EY389" s="114"/>
      <c r="EZ389" s="594"/>
      <c r="FA389" s="405"/>
      <c r="FB389" s="112"/>
      <c r="FC389" s="113"/>
      <c r="FD389" s="112"/>
      <c r="FE389" s="113"/>
      <c r="FF389" s="114"/>
      <c r="FG389" s="113"/>
      <c r="FH389" s="114"/>
      <c r="FI389" s="113"/>
      <c r="FJ389" s="114"/>
      <c r="FK389" s="113"/>
      <c r="FL389" s="114"/>
      <c r="FM389" s="113"/>
      <c r="FN389" s="114"/>
      <c r="FO389" s="113"/>
      <c r="FP389" s="114"/>
      <c r="FQ389" s="113"/>
      <c r="FR389" s="115"/>
      <c r="FS389" s="116"/>
      <c r="FT389" s="115"/>
      <c r="FU389" s="116"/>
      <c r="FV389" s="115"/>
      <c r="FW389" s="98"/>
      <c r="FX389" s="484"/>
      <c r="FY389" s="98"/>
      <c r="FZ389" s="115"/>
      <c r="GA389" s="98"/>
      <c r="GB389" s="484"/>
      <c r="GC389" s="98"/>
      <c r="GD389" s="115"/>
      <c r="GE389" s="98"/>
      <c r="GF389" s="115"/>
      <c r="GG389" s="98"/>
      <c r="GH389" s="115"/>
      <c r="GI389" s="98"/>
      <c r="GJ389" s="115"/>
      <c r="GK389" s="98"/>
      <c r="GL389" s="115"/>
      <c r="GM389" s="98"/>
      <c r="GN389" s="115"/>
      <c r="GO389" s="98"/>
      <c r="GP389" s="115"/>
      <c r="GQ389" s="98"/>
      <c r="GR389" s="114"/>
      <c r="GS389" s="98"/>
      <c r="GT389" s="114"/>
      <c r="GU389" s="98"/>
      <c r="GV389" s="114"/>
      <c r="GW389" s="98"/>
      <c r="GX389" s="114"/>
      <c r="GY389" s="98"/>
      <c r="GZ389" s="98"/>
      <c r="HA389" s="98"/>
      <c r="HB389" s="10"/>
      <c r="HC389"/>
      <c r="HD389"/>
      <c r="HE389"/>
      <c r="HF389"/>
      <c r="HG389"/>
      <c r="HH389"/>
      <c r="HI389" s="10"/>
    </row>
    <row r="390" spans="1:217" s="2" customFormat="1" ht="12.75" customHeight="1" x14ac:dyDescent="0.2">
      <c r="C390" s="10"/>
      <c r="D390" s="13"/>
      <c r="E390" s="10"/>
      <c r="F390" s="13"/>
      <c r="G390" s="10"/>
      <c r="H390" s="13"/>
      <c r="I390" s="10"/>
      <c r="J390" s="98"/>
      <c r="K390" s="10"/>
      <c r="L390" s="98"/>
      <c r="M390" s="10"/>
      <c r="N390" s="98"/>
      <c r="O390" s="10"/>
      <c r="P390" s="98"/>
      <c r="Q390" s="10"/>
      <c r="R390" s="98"/>
      <c r="S390" s="10"/>
      <c r="T390" s="98"/>
      <c r="U390" s="10"/>
      <c r="V390" s="98"/>
      <c r="W390" s="10"/>
      <c r="X390" s="98"/>
      <c r="Y390" s="10"/>
      <c r="Z390" s="98"/>
      <c r="AA390" s="10"/>
      <c r="AB390" s="98"/>
      <c r="AC390" s="10"/>
      <c r="AD390" s="98"/>
      <c r="AE390" s="10"/>
      <c r="AF390" s="98"/>
      <c r="AG390" s="23"/>
      <c r="AH390" s="98"/>
      <c r="AI390" s="23"/>
      <c r="AJ390" s="98"/>
      <c r="AK390" s="23"/>
      <c r="AL390" s="98"/>
      <c r="AM390" s="23"/>
      <c r="AN390" s="98"/>
      <c r="AO390" s="23"/>
      <c r="AP390" s="98"/>
      <c r="AQ390" s="23"/>
      <c r="AR390" s="98"/>
      <c r="AS390" s="23"/>
      <c r="AT390" s="98"/>
      <c r="AU390" s="23"/>
      <c r="AV390" s="98"/>
      <c r="AW390" s="23"/>
      <c r="AX390" s="98"/>
      <c r="AY390" s="23"/>
      <c r="AZ390" s="98"/>
      <c r="BA390" s="23"/>
      <c r="BB390" s="98"/>
      <c r="BC390" s="23"/>
      <c r="BD390" s="98"/>
      <c r="BE390" s="23"/>
      <c r="BF390" s="98"/>
      <c r="BG390" s="23"/>
      <c r="BH390" s="98"/>
      <c r="BI390" s="23"/>
      <c r="BJ390" s="98"/>
      <c r="BK390" s="23"/>
      <c r="BL390" s="98"/>
      <c r="BM390" s="23"/>
      <c r="BN390" s="98"/>
      <c r="BO390" s="23"/>
      <c r="BP390" s="98"/>
      <c r="BQ390" s="23"/>
      <c r="BR390" s="98"/>
      <c r="BS390" s="23"/>
      <c r="BT390" s="98"/>
      <c r="BU390" s="23"/>
      <c r="BV390" s="98"/>
      <c r="BW390" s="23"/>
      <c r="BX390" s="98"/>
      <c r="BY390" s="23"/>
      <c r="BZ390" s="98"/>
      <c r="CA390" s="23"/>
      <c r="CB390" s="98"/>
      <c r="CC390" s="23"/>
      <c r="CD390" s="98"/>
      <c r="CE390" s="23"/>
      <c r="CF390" s="98"/>
      <c r="CG390" s="23"/>
      <c r="CH390" s="98"/>
      <c r="CI390" s="23"/>
      <c r="CJ390" s="98"/>
      <c r="CK390" s="23"/>
      <c r="CL390" s="98"/>
      <c r="CM390" s="23"/>
      <c r="CN390" s="98"/>
      <c r="CO390" s="23"/>
      <c r="CP390" s="98"/>
      <c r="CQ390" s="541"/>
      <c r="CR390" s="98"/>
      <c r="CS390" s="23"/>
      <c r="CT390" s="98"/>
      <c r="CU390" s="23"/>
      <c r="CV390" s="98"/>
      <c r="CW390" s="23"/>
      <c r="CX390" s="98"/>
      <c r="CY390" s="23"/>
      <c r="CZ390" s="98"/>
      <c r="DA390" s="23"/>
      <c r="DB390" s="98"/>
      <c r="DC390" s="23"/>
      <c r="DD390" s="98"/>
      <c r="DE390" s="23"/>
      <c r="DF390" s="98"/>
      <c r="DG390" s="23"/>
      <c r="DH390" s="98"/>
      <c r="DI390" s="23"/>
      <c r="DJ390" s="98"/>
      <c r="DK390" s="23"/>
      <c r="DL390" s="98"/>
      <c r="DM390" s="23"/>
      <c r="DN390" s="98"/>
      <c r="DO390" s="23"/>
      <c r="DP390" s="98"/>
      <c r="DQ390" s="23"/>
      <c r="DR390" s="98"/>
      <c r="DS390" s="23"/>
      <c r="DT390" s="98"/>
      <c r="DU390" s="23"/>
      <c r="DV390" s="98"/>
      <c r="DW390" s="23"/>
      <c r="DX390" s="98"/>
      <c r="DY390" s="23"/>
      <c r="DZ390" s="98"/>
      <c r="EA390" s="23"/>
      <c r="EB390" s="98"/>
      <c r="EC390" s="23"/>
      <c r="ED390" s="98"/>
      <c r="EE390" s="23"/>
      <c r="EF390" s="860"/>
      <c r="EG390" s="23"/>
      <c r="EH390" s="860"/>
      <c r="EI390" s="23"/>
      <c r="EJ390" s="860"/>
      <c r="EK390" s="23"/>
      <c r="EL390" s="860"/>
      <c r="EM390" s="23"/>
      <c r="EN390" s="860"/>
      <c r="EO390" s="23"/>
      <c r="EP390" s="98"/>
      <c r="EQ390" s="1009"/>
      <c r="ER390" s="98"/>
      <c r="ES390" s="1009"/>
      <c r="ET390" s="98"/>
      <c r="EU390" s="1009"/>
      <c r="EV390" s="98"/>
      <c r="EW390" s="1009"/>
      <c r="EX390" s="98"/>
      <c r="EY390" s="24"/>
      <c r="EZ390" s="594"/>
      <c r="FA390" s="405"/>
      <c r="FB390" s="10"/>
      <c r="FC390" s="13"/>
      <c r="FD390" s="10"/>
      <c r="FE390" s="14"/>
      <c r="FF390" s="25"/>
      <c r="FG390" s="14"/>
      <c r="FH390" s="25"/>
      <c r="FI390" s="14"/>
      <c r="FJ390" s="25"/>
      <c r="FK390" s="14"/>
      <c r="FL390" s="25"/>
      <c r="FM390" s="14"/>
      <c r="FN390" s="25"/>
      <c r="FO390" s="14"/>
      <c r="FP390" s="25"/>
      <c r="FQ390" s="14"/>
      <c r="FR390" s="24"/>
      <c r="FS390" s="305"/>
      <c r="FT390" s="24"/>
      <c r="FU390" s="305"/>
      <c r="FV390" s="24"/>
      <c r="FW390" s="98"/>
      <c r="FX390" s="470"/>
      <c r="FY390" s="98"/>
      <c r="FZ390" s="24"/>
      <c r="GA390" s="98"/>
      <c r="GB390" s="470"/>
      <c r="GC390" s="98"/>
      <c r="GD390" s="24"/>
      <c r="GE390" s="98"/>
      <c r="GF390" s="24"/>
      <c r="GG390" s="98"/>
      <c r="GH390" s="24"/>
      <c r="GI390" s="98"/>
      <c r="GJ390" s="24"/>
      <c r="GK390" s="98"/>
      <c r="GL390" s="24"/>
      <c r="GM390" s="98"/>
      <c r="GN390" s="24"/>
      <c r="GO390" s="98"/>
      <c r="GP390" s="24"/>
      <c r="GQ390" s="98"/>
      <c r="GR390" s="24"/>
      <c r="GS390" s="98"/>
      <c r="GT390" s="24"/>
      <c r="GU390" s="98"/>
      <c r="GV390" s="24"/>
      <c r="GW390" s="98"/>
      <c r="GX390" s="24"/>
      <c r="GY390" s="98"/>
      <c r="GZ390" s="98"/>
      <c r="HA390" s="98"/>
      <c r="HB390" s="10"/>
      <c r="HC390"/>
      <c r="HD390"/>
      <c r="HE390"/>
      <c r="HF390"/>
      <c r="HG390"/>
      <c r="HH390"/>
      <c r="HI390" s="10"/>
    </row>
    <row r="391" spans="1:217" s="2" customFormat="1" ht="12.75" customHeight="1" x14ac:dyDescent="0.2">
      <c r="B391" s="93" t="s">
        <v>733</v>
      </c>
      <c r="C391" s="112"/>
      <c r="D391" s="113"/>
      <c r="E391" s="112"/>
      <c r="F391" s="113"/>
      <c r="G391" s="112"/>
      <c r="H391" s="113"/>
      <c r="I391" s="112"/>
      <c r="J391" s="98"/>
      <c r="K391" s="112"/>
      <c r="L391" s="98"/>
      <c r="M391" s="112"/>
      <c r="N391" s="98"/>
      <c r="O391" s="112"/>
      <c r="P391" s="98"/>
      <c r="Q391" s="112"/>
      <c r="R391" s="98"/>
      <c r="S391" s="112"/>
      <c r="T391" s="98"/>
      <c r="U391" s="112"/>
      <c r="V391" s="98"/>
      <c r="W391" s="112"/>
      <c r="X391" s="98"/>
      <c r="Y391" s="112"/>
      <c r="Z391" s="98"/>
      <c r="AA391" s="112"/>
      <c r="AB391" s="98"/>
      <c r="AC391" s="112"/>
      <c r="AD391" s="98"/>
      <c r="AE391" s="112"/>
      <c r="AF391" s="98"/>
      <c r="AG391" s="112"/>
      <c r="AH391" s="98"/>
      <c r="AI391" s="112"/>
      <c r="AJ391" s="98"/>
      <c r="AK391" s="112"/>
      <c r="AL391" s="98"/>
      <c r="AM391" s="23"/>
      <c r="AN391" s="98"/>
      <c r="AO391" s="23"/>
      <c r="AP391" s="98"/>
      <c r="AQ391" s="23"/>
      <c r="AR391" s="98"/>
      <c r="AS391" s="23"/>
      <c r="AT391" s="98"/>
      <c r="AU391" s="23"/>
      <c r="AV391" s="98"/>
      <c r="AW391" s="23"/>
      <c r="AX391" s="98"/>
      <c r="AY391" s="23"/>
      <c r="AZ391" s="98"/>
      <c r="BA391" s="23"/>
      <c r="BB391" s="98"/>
      <c r="BC391" s="23"/>
      <c r="BD391" s="98"/>
      <c r="BE391" s="23"/>
      <c r="BF391" s="98"/>
      <c r="BG391" s="23"/>
      <c r="BH391" s="98"/>
      <c r="BI391" s="23"/>
      <c r="BJ391" s="98"/>
      <c r="BK391" s="23"/>
      <c r="BL391" s="98"/>
      <c r="BM391" s="23"/>
      <c r="BN391" s="98"/>
      <c r="BO391" s="23"/>
      <c r="BP391" s="98"/>
      <c r="BQ391" s="23"/>
      <c r="BR391" s="98"/>
      <c r="BS391" s="23"/>
      <c r="BT391" s="98"/>
      <c r="BU391" s="23"/>
      <c r="BV391" s="98"/>
      <c r="BW391" s="23"/>
      <c r="BX391" s="98"/>
      <c r="BY391" s="23"/>
      <c r="BZ391" s="98"/>
      <c r="CA391" s="23"/>
      <c r="CB391" s="98"/>
      <c r="CC391" s="23"/>
      <c r="CD391" s="98"/>
      <c r="CE391" s="23"/>
      <c r="CF391" s="98"/>
      <c r="CG391" s="23"/>
      <c r="CH391" s="98"/>
      <c r="CI391" s="23"/>
      <c r="CJ391" s="98"/>
      <c r="CK391" s="23"/>
      <c r="CL391" s="98"/>
      <c r="CM391" s="23"/>
      <c r="CN391" s="98"/>
      <c r="CO391" s="23"/>
      <c r="CP391" s="98"/>
      <c r="CQ391" s="541"/>
      <c r="CR391" s="98"/>
      <c r="CS391" s="23"/>
      <c r="CT391" s="98"/>
      <c r="CU391" s="23"/>
      <c r="CV391" s="98"/>
      <c r="CW391" s="23"/>
      <c r="CX391" s="98"/>
      <c r="CY391" s="23"/>
      <c r="CZ391" s="98"/>
      <c r="DA391" s="23"/>
      <c r="DB391" s="98"/>
      <c r="DC391" s="23"/>
      <c r="DD391" s="98"/>
      <c r="DE391" s="23"/>
      <c r="DF391" s="98"/>
      <c r="DG391" s="23"/>
      <c r="DH391" s="98"/>
      <c r="DI391" s="23"/>
      <c r="DJ391" s="98"/>
      <c r="DK391" s="748"/>
      <c r="DL391" s="747"/>
      <c r="DM391" s="748"/>
      <c r="DN391" s="98"/>
      <c r="DO391" s="748"/>
      <c r="DP391" s="98"/>
      <c r="DQ391" s="748"/>
      <c r="DR391" s="98"/>
      <c r="DS391" s="748"/>
      <c r="DT391" s="98"/>
      <c r="DU391" s="748"/>
      <c r="DV391" s="98"/>
      <c r="DW391" s="748"/>
      <c r="DX391" s="98"/>
      <c r="DY391" s="748"/>
      <c r="DZ391" s="98"/>
      <c r="EA391" s="748"/>
      <c r="EB391" s="98"/>
      <c r="EC391" s="748"/>
      <c r="ED391" s="98"/>
      <c r="EE391" s="748"/>
      <c r="EF391" s="860"/>
      <c r="EG391" s="748"/>
      <c r="EH391" s="860"/>
      <c r="EI391" s="748"/>
      <c r="EJ391" s="860"/>
      <c r="EK391" s="748"/>
      <c r="EL391" s="860"/>
      <c r="EM391" s="748"/>
      <c r="EN391" s="860"/>
      <c r="EO391" s="748"/>
      <c r="EP391" s="98"/>
      <c r="EQ391" s="1022"/>
      <c r="ER391" s="98"/>
      <c r="ES391" s="1022"/>
      <c r="ET391" s="98"/>
      <c r="EU391" s="1022"/>
      <c r="EV391" s="98"/>
      <c r="EW391" s="1022"/>
      <c r="EX391" s="98"/>
      <c r="EY391" s="114"/>
      <c r="EZ391" s="594"/>
      <c r="FA391" s="405"/>
      <c r="FB391" s="112"/>
      <c r="FC391" s="113"/>
      <c r="FD391" s="112"/>
      <c r="FE391" s="113"/>
      <c r="FF391" s="114"/>
      <c r="FG391" s="113"/>
      <c r="FH391" s="114"/>
      <c r="FI391" s="113"/>
      <c r="FJ391" s="114"/>
      <c r="FK391" s="113"/>
      <c r="FL391" s="114"/>
      <c r="FM391" s="113"/>
      <c r="FN391" s="114"/>
      <c r="FO391" s="113"/>
      <c r="FP391" s="114"/>
      <c r="FQ391" s="113"/>
      <c r="FR391" s="115"/>
      <c r="FS391" s="116"/>
      <c r="FT391" s="115"/>
      <c r="FU391" s="116"/>
      <c r="FV391" s="115"/>
      <c r="FW391" s="98"/>
      <c r="FX391" s="484"/>
      <c r="FY391" s="98"/>
      <c r="FZ391" s="115"/>
      <c r="GA391" s="98"/>
      <c r="GB391" s="484"/>
      <c r="GC391" s="98"/>
      <c r="GD391" s="115"/>
      <c r="GE391" s="98"/>
      <c r="GF391" s="115"/>
      <c r="GG391" s="98"/>
      <c r="GH391" s="115"/>
      <c r="GI391" s="98"/>
      <c r="GJ391" s="115"/>
      <c r="GK391" s="98"/>
      <c r="GL391" s="115"/>
      <c r="GM391" s="98"/>
      <c r="GN391" s="115"/>
      <c r="GO391" s="98"/>
      <c r="GP391" s="115"/>
      <c r="GQ391" s="98"/>
      <c r="GR391" s="114"/>
      <c r="GS391" s="98"/>
      <c r="GT391" s="114"/>
      <c r="GU391" s="98"/>
      <c r="GV391" s="114"/>
      <c r="GW391" s="98"/>
      <c r="GX391" s="114"/>
      <c r="GY391" s="98"/>
      <c r="GZ391" s="98"/>
      <c r="HA391" s="98"/>
      <c r="HB391" s="10"/>
      <c r="HC391"/>
      <c r="HD391"/>
      <c r="HE391"/>
      <c r="HF391"/>
      <c r="HG391"/>
      <c r="HH391"/>
      <c r="HI391" s="10"/>
    </row>
    <row r="392" spans="1:217" s="2" customFormat="1" ht="12.75" customHeight="1" x14ac:dyDescent="0.2">
      <c r="B392" s="91" t="s">
        <v>310</v>
      </c>
      <c r="C392" s="117"/>
      <c r="D392" s="98"/>
      <c r="E392" s="117"/>
      <c r="F392" s="98"/>
      <c r="G392" s="117"/>
      <c r="H392" s="98"/>
      <c r="I392" s="117"/>
      <c r="J392" s="98"/>
      <c r="K392" s="117"/>
      <c r="L392" s="98"/>
      <c r="M392" s="117"/>
      <c r="N392" s="98"/>
      <c r="O392" s="117"/>
      <c r="P392" s="98"/>
      <c r="Q392" s="117"/>
      <c r="R392" s="98"/>
      <c r="S392" s="117"/>
      <c r="T392" s="98"/>
      <c r="U392" s="117"/>
      <c r="V392" s="98"/>
      <c r="W392" s="117"/>
      <c r="X392" s="98"/>
      <c r="Y392" s="117"/>
      <c r="Z392" s="98"/>
      <c r="AA392" s="101"/>
      <c r="AB392" s="98"/>
      <c r="AC392" s="117"/>
      <c r="AD392" s="98"/>
      <c r="AE392" s="117"/>
      <c r="AF392" s="98"/>
      <c r="AG392" s="117"/>
      <c r="AH392" s="98"/>
      <c r="AI392" s="117"/>
      <c r="AJ392" s="98"/>
      <c r="AK392" s="117"/>
      <c r="AL392" s="98"/>
      <c r="AM392" s="117"/>
      <c r="AN392" s="98"/>
      <c r="AO392" s="117"/>
      <c r="AP392" s="98"/>
      <c r="AQ392" s="117"/>
      <c r="AR392" s="98"/>
      <c r="AS392" s="117"/>
      <c r="AT392" s="98"/>
      <c r="AU392" s="117"/>
      <c r="AV392" s="98"/>
      <c r="AW392" s="117"/>
      <c r="AX392" s="98"/>
      <c r="AY392" s="117"/>
      <c r="AZ392" s="98"/>
      <c r="BA392" s="117"/>
      <c r="BB392" s="98"/>
      <c r="BC392" s="117"/>
      <c r="BD392" s="98"/>
      <c r="BE392" s="117"/>
      <c r="BF392" s="98"/>
      <c r="BG392" s="117"/>
      <c r="BH392" s="98"/>
      <c r="BI392" s="117"/>
      <c r="BJ392" s="98"/>
      <c r="BK392" s="117"/>
      <c r="BL392" s="98"/>
      <c r="BM392" s="117">
        <v>93340</v>
      </c>
      <c r="BN392" s="98" t="str">
        <f t="shared" ref="BN392:BN398" si="2175">IF(ISERROR((BM392/BE392-1)*100),"NA",IF(((BM392/BE392-1)*100)&gt;100,"NM",IF(((BM392/BE392-1)*100)&lt;-50,"NM",(BM392/BE392-1)*100)))</f>
        <v>NA</v>
      </c>
      <c r="BO392" s="117">
        <f>+BM397</f>
        <v>92080</v>
      </c>
      <c r="BP392" s="98" t="str">
        <f t="shared" ref="BP392:BP398" si="2176">IF(ISERROR((BO392/BG392-1)*100),"NA",IF(((BO392/BG392-1)*100)&gt;100,"NM",IF(((BO392/BG392-1)*100)&lt;-50,"NM",(BO392/BG392-1)*100)))</f>
        <v>NA</v>
      </c>
      <c r="BQ392" s="117">
        <f>+BO397</f>
        <v>84826</v>
      </c>
      <c r="BR392" s="98" t="str">
        <f t="shared" ref="BR392:BR398" si="2177">IF(ISERROR((BQ392/BI392-1)*100),"NA",IF(((BQ392/BI392-1)*100)&gt;100,"NM",IF(((BQ392/BI392-1)*100)&lt;-50,"NM",(BQ392/BI392-1)*100)))</f>
        <v>NA</v>
      </c>
      <c r="BS392" s="117">
        <f>+BQ397</f>
        <v>84273</v>
      </c>
      <c r="BT392" s="98" t="str">
        <f t="shared" ref="BT392:BT398" si="2178">IF(ISERROR((BS392/BK392-1)*100),"NA",IF(((BS392/BK392-1)*100)&gt;100,"NM",IF(((BS392/BK392-1)*100)&lt;-50,"NM",(BS392/BK392-1)*100)))</f>
        <v>NA</v>
      </c>
      <c r="BU392" s="117">
        <f>+BS397</f>
        <v>75938</v>
      </c>
      <c r="BV392" s="98">
        <f t="shared" ref="BV392:BV398" si="2179">IF(ISERROR((BU392/BM392-1)*100),"NA",IF(((BU392/BM392-1)*100)&gt;100,"NM",IF(((BU392/BM392-1)*100)&lt;-50,"NM",(BU392/BM392-1)*100)))</f>
        <v>-18.643668309406468</v>
      </c>
      <c r="BW392" s="117">
        <f>+BU397</f>
        <v>62264</v>
      </c>
      <c r="BX392" s="98">
        <f t="shared" ref="BX392:BX398" si="2180">IF(ISERROR((BW392/BO392-1)*100),"NA",IF(((BW392/BO392-1)*100)&gt;100,"NM",IF(((BW392/BO392-1)*100)&lt;-50,"NM",(BW392/BO392-1)*100)))</f>
        <v>-32.380538662033011</v>
      </c>
      <c r="BY392" s="117">
        <f>+BW397</f>
        <v>59194</v>
      </c>
      <c r="BZ392" s="98">
        <f t="shared" ref="BZ392:BZ398" si="2181">IF(ISERROR((BY392/BQ392-1)*100),"NA",IF(((BY392/BQ392-1)*100)&gt;100,"NM",IF(((BY392/BQ392-1)*100)&lt;-50,"NM",(BY392/BQ392-1)*100)))</f>
        <v>-30.217150401999383</v>
      </c>
      <c r="CA392" s="117">
        <f>+BY397</f>
        <v>70538</v>
      </c>
      <c r="CB392" s="98">
        <f t="shared" ref="CB392:CB398" si="2182">IF(ISERROR((CA392/BS392-1)*100),"NA",IF(((CA392/BS392-1)*100)&gt;100,"NM",IF(((CA392/BS392-1)*100)&lt;-50,"NM",(CA392/BS392-1)*100)))</f>
        <v>-16.298221257104885</v>
      </c>
      <c r="CC392" s="117">
        <f>+CA397</f>
        <v>82142</v>
      </c>
      <c r="CD392" s="98">
        <f t="shared" ref="CD392:CD398" si="2183">IF(ISERROR((CC392/BU392-1)*100),"NA",IF(((CC392/BU392-1)*100)&gt;100,"NM",IF(((CC392/BU392-1)*100)&lt;-50,"NM",(CC392/BU392-1)*100)))</f>
        <v>8.1698227501382661</v>
      </c>
      <c r="CE392" s="117">
        <f>+CC397</f>
        <v>87157</v>
      </c>
      <c r="CF392" s="98">
        <f t="shared" ref="CF392:CF398" si="2184">IF(ISERROR((CE392/BW392-1)*100),"NA",IF(((CE392/BW392-1)*100)&gt;100,"NM",IF(((CE392/BW392-1)*100)&lt;-50,"NM",(CE392/BW392-1)*100)))</f>
        <v>39.979763587305662</v>
      </c>
      <c r="CG392" s="117">
        <f>+CE397</f>
        <v>92603</v>
      </c>
      <c r="CH392" s="98">
        <f t="shared" ref="CH392:CH398" si="2185">IF(ISERROR((CG392/BY392-1)*100),"NA",IF(((CG392/BY392-1)*100)&gt;100,"NM",IF(((CG392/BY392-1)*100)&lt;-50,"NM",(CG392/BY392-1)*100)))</f>
        <v>56.439841875865795</v>
      </c>
      <c r="CI392" s="117">
        <f>+CG397</f>
        <v>87367</v>
      </c>
      <c r="CJ392" s="98">
        <f t="shared" ref="CJ392:CJ398" si="2186">IF(ISERROR((CI392/CA392-1)*100),"NA",IF(((CI392/CA392-1)*100)&gt;100,"NM",IF(((CI392/CA392-1)*100)&lt;-50,"NM",(CI392/CA392-1)*100)))</f>
        <v>23.858062321018458</v>
      </c>
      <c r="CK392" s="117">
        <f>+CI397</f>
        <v>97587</v>
      </c>
      <c r="CL392" s="98">
        <f t="shared" ref="CL392:CL398" si="2187">IF(ISERROR((CK392/CC392-1)*100),"NA",IF(((CK392/CC392-1)*100)&gt;100,"NM",IF(((CK392/CC392-1)*100)&lt;-50,"NM",(CK392/CC392-1)*100)))</f>
        <v>18.802804898833724</v>
      </c>
      <c r="CM392" s="101">
        <v>107282</v>
      </c>
      <c r="CN392" s="98">
        <f t="shared" ref="CN392:CN398" si="2188">IF(ISERROR((CM392/CE392-1)*100),"NA",IF(((CM392/CE392-1)*100)&gt;100,"NM",IF(((CM392/CE392-1)*100)&lt;-50,"NM",(CM392/CE392-1)*100)))</f>
        <v>23.090514818086906</v>
      </c>
      <c r="CO392" s="117">
        <f>+CM397</f>
        <v>114510</v>
      </c>
      <c r="CP392" s="98">
        <f t="shared" ref="CP392:CP398" si="2189">IF(ISERROR((CO392/CG392-1)*100),"NA",IF(((CO392/CG392-1)*100)&gt;100,"NM",IF(((CO392/CG392-1)*100)&lt;-50,"NM",(CO392/CG392-1)*100)))</f>
        <v>23.656900964331619</v>
      </c>
      <c r="CQ392" s="486">
        <f>+CO397</f>
        <v>118463</v>
      </c>
      <c r="CR392" s="98">
        <f t="shared" ref="CR392:CR398" si="2190">IF(ISERROR((CQ392/CI392-1)*100),"NA",IF(((CQ392/CI392-1)*100)&gt;100,"NM",IF(((CQ392/CI392-1)*100)&lt;-50,"NM",(CQ392/CI392-1)*100)))</f>
        <v>35.592386141220381</v>
      </c>
      <c r="CS392" s="117">
        <f>+CQ397</f>
        <v>108655</v>
      </c>
      <c r="CT392" s="98">
        <f t="shared" ref="CT392:CT398" si="2191">IF(ISERROR((CS392/CK392-1)*100),"NA",IF(((CS392/CK392-1)*100)&gt;100,"NM",IF(((CS392/CK392-1)*100)&lt;-50,"NM",(CS392/CK392-1)*100)))</f>
        <v>11.341674608298247</v>
      </c>
      <c r="CU392" s="117">
        <f>+CS397</f>
        <v>120263</v>
      </c>
      <c r="CV392" s="98">
        <f t="shared" ref="CV392:CV398" si="2192">IF(ISERROR((CU392/CM392-1)*100),"NA",IF(((CU392/CM392-1)*100)&gt;100,"NM",IF(((CU392/CM392-1)*100)&lt;-50,"NM",(CU392/CM392-1)*100)))</f>
        <v>12.099886281016392</v>
      </c>
      <c r="CW392" s="117">
        <f>+CU397</f>
        <v>133462</v>
      </c>
      <c r="CX392" s="98">
        <f t="shared" ref="CX392:CX398" si="2193">IF(ISERROR((CW392/CO392-1)*100),"NA",IF(((CW392/CO392-1)*100)&gt;100,"NM",IF(((CW392/CO392-1)*100)&lt;-50,"NM",(CW392/CO392-1)*100)))</f>
        <v>16.550519605274651</v>
      </c>
      <c r="CY392" s="117">
        <f>+CW397</f>
        <v>131416</v>
      </c>
      <c r="CZ392" s="98">
        <f t="shared" ref="CZ392:CZ398" si="2194">IF(ISERROR((CY392/CQ392-1)*100),"NA",IF(((CY392/CQ392-1)*100)&gt;100,"NM",IF(((CY392/CQ392-1)*100)&lt;-50,"NM",(CY392/CQ392-1)*100)))</f>
        <v>10.934215746688846</v>
      </c>
      <c r="DA392" s="117">
        <f>+CY397</f>
        <v>139484</v>
      </c>
      <c r="DB392" s="98">
        <f t="shared" ref="DB392:DB398" si="2195">IF(ISERROR((DA392/CS392-1)*100),"NA",IF(((DA392/CS392-1)*100)&gt;100,"NM",IF(((DA392/CS392-1)*100)&lt;-50,"NM",(DA392/CS392-1)*100)))</f>
        <v>28.373291611062545</v>
      </c>
      <c r="DC392" s="117">
        <f>+DA397</f>
        <v>142050</v>
      </c>
      <c r="DD392" s="98">
        <f t="shared" ref="DD392:DD398" si="2196">IF(ISERROR((DC392/CU392-1)*100),"NA",IF(((DC392/CU392-1)*100)&gt;100,"NM",IF(((DC392/CU392-1)*100)&lt;-50,"NM",(DC392/CU392-1)*100)))</f>
        <v>18.116128817674593</v>
      </c>
      <c r="DE392" s="117">
        <f>+DC397</f>
        <v>150826</v>
      </c>
      <c r="DF392" s="98">
        <f t="shared" ref="DF392:DF398" si="2197">IF(ISERROR((DE392/CW392-1)*100),"NA",IF(((DE392/CW392-1)*100)&gt;100,"NM",IF(((DE392/CW392-1)*100)&lt;-50,"NM",(DE392/CW392-1)*100)))</f>
        <v>13.010444920651576</v>
      </c>
      <c r="DG392" s="117">
        <f>+DE397</f>
        <v>149117</v>
      </c>
      <c r="DH392" s="98">
        <f t="shared" ref="DH392:DH398" si="2198">IF(ISERROR((DG392/CY392-1)*100),"NA",IF(((DG392/CY392-1)*100)&gt;100,"NM",IF(((DG392/CY392-1)*100)&lt;-50,"NM",(DG392/CY392-1)*100)))</f>
        <v>13.469440555183532</v>
      </c>
      <c r="DI392" s="117">
        <f>+DG397</f>
        <v>155977</v>
      </c>
      <c r="DJ392" s="98">
        <f t="shared" ref="DJ392:DJ398" si="2199">IF(ISERROR((DI392/DA392-1)*100),"NA",IF(((DI392/DA392-1)*100)&gt;100,"NM",IF(((DI392/DA392-1)*100)&lt;-50,"NM",(DI392/DA392-1)*100)))</f>
        <v>11.82429525967137</v>
      </c>
      <c r="DK392" s="117">
        <f>+DI397</f>
        <v>162436</v>
      </c>
      <c r="DL392" s="98">
        <f t="shared" ref="DL392:DL398" si="2200">IF(ISERROR((DK392/DC392-1)*100),"NA",IF(((DK392/DC392-1)*100)&gt;100,"NM",IF(((DK392/DC392-1)*100)&lt;-50,"NM",(DK392/DC392-1)*100)))</f>
        <v>14.351284758887717</v>
      </c>
      <c r="DM392" s="117">
        <f>+DK397</f>
        <v>162713</v>
      </c>
      <c r="DN392" s="98">
        <f t="shared" ref="DN392:DN398" si="2201">IF(ISERROR((DM392/DE392-1)*100),"NA",IF(((DM392/DE392-1)*100)&gt;100,"NM",IF(((DM392/DE392-1)*100)&lt;-50,"NM",(DM392/DE392-1)*100)))</f>
        <v>7.8812671555302138</v>
      </c>
      <c r="DO392" s="117">
        <f>+DM397</f>
        <v>166093</v>
      </c>
      <c r="DP392" s="98">
        <f t="shared" ref="DP392:DP398" si="2202">IF(ISERROR((DO392/DG392-1)*100),"NA",IF(((DO392/DG392-1)*100)&gt;100,"NM",IF(((DO392/DG392-1)*100)&lt;-50,"NM",(DO392/DG392-1)*100)))</f>
        <v>11.384349202304222</v>
      </c>
      <c r="DQ392" s="117">
        <f>+DO397</f>
        <v>160995</v>
      </c>
      <c r="DR392" s="98">
        <f t="shared" ref="DR392:DR398" si="2203">IF(ISERROR((DQ392/DI392-1)*100),"NA",IF(((DQ392/DI392-1)*100)&gt;100,"NM",IF(((DQ392/DI392-1)*100)&lt;-50,"NM",(DQ392/DI392-1)*100)))</f>
        <v>3.2171409887355118</v>
      </c>
      <c r="DS392" s="117">
        <f>DS420+DS453</f>
        <v>51021</v>
      </c>
      <c r="DT392" s="98" t="str">
        <f t="shared" ref="DT392:DT398" si="2204">IF(ISERROR((DS392/DK392-1)*100),"NA",IF(((DS392/DK392-1)*100)&gt;100,"NM",IF(((DS392/DK392-1)*100)&lt;-50,"NM",(DS392/DK392-1)*100)))</f>
        <v>NM</v>
      </c>
      <c r="DU392" s="117">
        <f>+DS397</f>
        <v>51822</v>
      </c>
      <c r="DV392" s="98" t="str">
        <f t="shared" ref="DV392:DV398" si="2205">IF(ISERROR((DU392/DM392-1)*100),"NA",IF(((DU392/DM392-1)*100)&gt;100,"NM",IF(((DU392/DM392-1)*100)&lt;-50,"NM",(DU392/DM392-1)*100)))</f>
        <v>NM</v>
      </c>
      <c r="DW392" s="117">
        <f>+DU397</f>
        <v>51091</v>
      </c>
      <c r="DX392" s="98" t="str">
        <f t="shared" ref="DX392:DX398" si="2206">IF(ISERROR((DW392/DO392-1)*100),"NA",IF(((DW392/DO392-1)*100)&gt;100,"NM",IF(((DW392/DO392-1)*100)&lt;-50,"NM",(DW392/DO392-1)*100)))</f>
        <v>NM</v>
      </c>
      <c r="DY392" s="117">
        <f>+DW397</f>
        <v>47572</v>
      </c>
      <c r="DZ392" s="98" t="str">
        <f t="shared" ref="DZ392:DZ398" si="2207">IF(ISERROR((DY392/DQ392-1)*100),"NA",IF(((DY392/DQ392-1)*100)&gt;100,"NM",IF(((DY392/DQ392-1)*100)&lt;-50,"NM",(DY392/DQ392-1)*100)))</f>
        <v>NM</v>
      </c>
      <c r="EA392" s="117">
        <f>+DY397</f>
        <v>48590</v>
      </c>
      <c r="EB392" s="98">
        <f t="shared" ref="EB392:EB398" si="2208">IF(ISERROR((EA392/DS392-1)*100),"NA",IF(((EA392/DS392-1)*100)&gt;100,"NM",IF(((EA392/DS392-1)*100)&lt;-50,"NM",(EA392/DS392-1)*100)))</f>
        <v>-4.7647047294251399</v>
      </c>
      <c r="EC392" s="117">
        <f>+EA397</f>
        <v>48433</v>
      </c>
      <c r="ED392" s="98">
        <f t="shared" ref="ED392:ED398" si="2209">IF(ISERROR((EC392/DU392-1)*100),"NA",IF(((EC392/DU392-1)*100)&gt;100,"NM",IF(((EC392/DU392-1)*100)&lt;-50,"NM",(EC392/DU392-1)*100)))</f>
        <v>-6.5396935664389648</v>
      </c>
      <c r="EE392" s="117">
        <f>+EC397</f>
        <v>48913</v>
      </c>
      <c r="EF392" s="860">
        <f t="shared" ref="EF392:EF398" si="2210">IF(ISERROR((EE392/DW392-1)*100),"NA",IF(((EE392/DW392-1)*100)&gt;100,"NM",IF(((EE392/DW392-1)*100)&lt;-50,"NM",(EE392/DW392-1)*100)))</f>
        <v>-4.2629817384666531</v>
      </c>
      <c r="EG392" s="117">
        <f>+EE397</f>
        <v>49770</v>
      </c>
      <c r="EH392" s="860">
        <f t="shared" ref="EH392:EH398" si="2211">IF(ISERROR((EG392/DY392-1)*100),"NA",IF(((EG392/DY392-1)*100)&gt;100,"NM",IF(((EG392/DY392-1)*100)&lt;-50,"NM",(EG392/DY392-1)*100)))</f>
        <v>4.6203649205414976</v>
      </c>
      <c r="EI392" s="117">
        <f>+EG397</f>
        <v>48823</v>
      </c>
      <c r="EJ392" s="860">
        <f t="shared" ref="EJ392:EJ398" si="2212">IF(ISERROR((EI392/EA392-1)*100),"NA",IF(((EI392/EA392-1)*100)&gt;100,"NM",IF(((EI392/EA392-1)*100)&lt;-50,"NM",(EI392/EA392-1)*100)))</f>
        <v>0.47952253550114232</v>
      </c>
      <c r="EK392" s="117">
        <f>+EI397</f>
        <v>50082</v>
      </c>
      <c r="EL392" s="860">
        <f t="shared" ref="EL392:EL398" si="2213">IF(ISERROR((EK392/EC392-1)*100),"NA",IF(((EK392/EC392-1)*100)&gt;100,"NM",IF(((EK392/EC392-1)*100)&lt;-50,"NM",(EK392/EC392-1)*100)))</f>
        <v>3.4047034047034019</v>
      </c>
      <c r="EM392" s="117">
        <f>+EK397</f>
        <v>50444</v>
      </c>
      <c r="EN392" s="860">
        <f t="shared" ref="EN392:EN398" si="2214">IF(ISERROR((EM392/EE392-1)*100),"NA",IF(((EM392/EE392-1)*100)&gt;100,"NM",IF(((EM392/EE392-1)*100)&lt;-50,"NM",(EM392/EE392-1)*100)))</f>
        <v>3.1300472267086432</v>
      </c>
      <c r="EO392" s="117">
        <f>+EM397</f>
        <v>50948</v>
      </c>
      <c r="EP392" s="98">
        <f t="shared" ref="EP392:EP398" si="2215">IF(ISERROR((EO392/EG392-1)*100),"NA",IF(((EO392/EG392-1)*100)&gt;100,"NM",IF(((EO392/EG392-1)*100)&lt;-50,"NM",(EO392/EG392-1)*100)))</f>
        <v>2.3668876833433883</v>
      </c>
      <c r="EQ392" s="792">
        <f t="shared" ref="EQ392" si="2216">+EO397</f>
        <v>51533</v>
      </c>
      <c r="ER392" s="98">
        <f t="shared" ref="ER392:ER398" si="2217">IF(ISERROR((EQ392/EI392-1)*100),"NA",IF(((EQ392/EI392-1)*100)&gt;100,"NM",IF(((EQ392/EI392-1)*100)&lt;-50,"NM",(EQ392/EI392-1)*100)))</f>
        <v>5.5506625975462409</v>
      </c>
      <c r="ES392" s="792">
        <f t="shared" ref="ES392" si="2218">+EQ397</f>
        <v>49674.118242916105</v>
      </c>
      <c r="ET392" s="98">
        <f t="shared" ref="ET392:ET398" si="2219">IF(ISERROR((ES392/EK392-1)*100),"NA",IF(((ES392/EK392-1)*100)&gt;100,"NM",IF(((ES392/EK392-1)*100)&lt;-50,"NM",(ES392/EK392-1)*100)))</f>
        <v>-0.8144278524897075</v>
      </c>
      <c r="EU392" s="792">
        <f t="shared" ref="EU392" si="2220">+ES397</f>
        <v>48806.330558864043</v>
      </c>
      <c r="EV392" s="98">
        <f t="shared" ref="EV392:EV398" si="2221">IF(ISERROR((EU392/EM392-1)*100),"NA",IF(((EU392/EM392-1)*100)&gt;100,"NM",IF(((EU392/EM392-1)*100)&lt;-50,"NM",(EU392/EM392-1)*100)))</f>
        <v>-3.2465098745855903</v>
      </c>
      <c r="EW392" s="792">
        <f t="shared" ref="EW392" si="2222">+EU397</f>
        <v>47932.556569508546</v>
      </c>
      <c r="EX392" s="98">
        <f t="shared" ref="EX392:EX398" si="2223">IF(ISERROR((EW392/EO392-1)*100),"NA",IF(((EW392/EO392-1)*100)&gt;100,"NM",IF(((EW392/EO392-1)*100)&lt;-50,"NM",(EW392/EO392-1)*100)))</f>
        <v>-5.9186688986642366</v>
      </c>
      <c r="EY392" s="118"/>
      <c r="EZ392" s="594"/>
      <c r="FA392" s="405"/>
      <c r="FB392" s="95" t="s">
        <v>494</v>
      </c>
      <c r="FC392" s="98"/>
      <c r="FD392" s="117">
        <f>+FB397</f>
        <v>15844</v>
      </c>
      <c r="FE392" s="98" t="str">
        <f t="shared" ref="FE392:FE398" si="2224">IF(ISERROR((FD392/FB392-1)*100),"NA",IF(((FD392/FB392-1)*100)&gt;100,"NM",IF(((FD392/FB392-1)*100)&lt;-50,"NM",(FD392/FB392-1)*100)))</f>
        <v>NA</v>
      </c>
      <c r="FF392" s="118"/>
      <c r="FG392" s="98"/>
      <c r="FH392" s="118"/>
      <c r="FI392" s="98"/>
      <c r="FJ392" s="118"/>
      <c r="FK392" s="98"/>
      <c r="FL392" s="118"/>
      <c r="FM392" s="98"/>
      <c r="FN392" s="118"/>
      <c r="FO392" s="98"/>
      <c r="FP392" s="118"/>
      <c r="FQ392" s="98"/>
      <c r="FR392" s="119"/>
      <c r="FS392" s="120"/>
      <c r="FT392" s="119"/>
      <c r="FU392" s="120"/>
      <c r="FV392" s="119">
        <f>BO392</f>
        <v>92080</v>
      </c>
      <c r="FW392" s="98" t="str">
        <f t="shared" ref="FW392:FW398" si="2225">IF(ISERROR((FV392/FT392-1)*100),"NA",IF(((FV392/FT392-1)*100)&gt;100,"NM",IF(((FV392/FT392-1)*100)&lt;-50,"NM",(FV392/FT392-1)*100)))</f>
        <v>NA</v>
      </c>
      <c r="FX392" s="485">
        <f>+FV397</f>
        <v>62264</v>
      </c>
      <c r="FY392" s="98">
        <f t="shared" ref="FY392:FY398" si="2226">IF(ISERROR((FX392/FV392-1)*100),"NA",IF(((FX392/FV392-1)*100)&gt;100,"NM",IF(((FX392/FV392-1)*100)&lt;-50,"NM",(FX392/FV392-1)*100)))</f>
        <v>-32.380538662033011</v>
      </c>
      <c r="FZ392" s="119">
        <f>+FX397</f>
        <v>87157</v>
      </c>
      <c r="GA392" s="98">
        <f t="shared" ref="GA392:GA398" si="2227">IF(ISERROR((FZ392/FX392-1)*100),"NA",IF(((FZ392/FX392-1)*100)&gt;100,"NM",IF(((FZ392/FX392-1)*100)&lt;-50,"NM",(FZ392/FX392-1)*100)))</f>
        <v>39.979763587305662</v>
      </c>
      <c r="GB392" s="485">
        <f>CM392</f>
        <v>107282</v>
      </c>
      <c r="GC392" s="98">
        <f t="shared" ref="GC392:GC398" si="2228">IF(ISERROR((GB392/FZ392-1)*100),"NA",IF(((GB392/FZ392-1)*100)&gt;100,"NM",IF(((GB392/FZ392-1)*100)&lt;-50,"NM",(GB392/FZ392-1)*100)))</f>
        <v>23.090514818086906</v>
      </c>
      <c r="GD392" s="119">
        <f>CU392</f>
        <v>120263</v>
      </c>
      <c r="GE392" s="98">
        <f t="shared" ref="GE392:GE398" si="2229">IF(ISERROR((GD392/GB392-1)*100),"NA",IF(((GD392/GB392-1)*100)&gt;100,"NM",IF(((GD392/GB392-1)*100)&lt;-50,"NM",(GD392/GB392-1)*100)))</f>
        <v>12.099886281016392</v>
      </c>
      <c r="GF392" s="119">
        <f>DC392</f>
        <v>142050</v>
      </c>
      <c r="GG392" s="98">
        <f t="shared" ref="GG392:GG398" si="2230">IF(ISERROR((GF392/GD392-1)*100),"NA",IF(((GF392/GD392-1)*100)&gt;100,"NM",IF(((GF392/GD392-1)*100)&lt;-50,"NM",(GF392/GD392-1)*100)))</f>
        <v>18.116128817674593</v>
      </c>
      <c r="GH392" s="119">
        <f>DK392</f>
        <v>162436</v>
      </c>
      <c r="GI392" s="98">
        <f t="shared" ref="GI392:GI398" si="2231">IF(ISERROR((GH392/GF392-1)*100),"NA",IF(((GH392/GF392-1)*100)&gt;100,"NM",IF(((GH392/GF392-1)*100)&lt;-50,"NM",(GH392/GF392-1)*100)))</f>
        <v>14.351284758887717</v>
      </c>
      <c r="GJ392" s="119">
        <f>DS392</f>
        <v>51021</v>
      </c>
      <c r="GK392" s="98" t="str">
        <f t="shared" ref="GK392:GK398" si="2232">IF(ISERROR((GJ392/GH392-1)*100),"NA",IF(((GJ392/GH392-1)*100)&gt;100,"NM",IF(((GJ392/GH392-1)*100)&lt;-50,"NM",(GJ392/GH392-1)*100)))</f>
        <v>NM</v>
      </c>
      <c r="GL392" s="119">
        <f>EA392</f>
        <v>48590</v>
      </c>
      <c r="GM392" s="98">
        <f t="shared" ref="GM392:GW398" si="2233">IF(ISERROR((GL392/GJ392-1)*100),"NA",IF(((GL392/GJ392-1)*100)&gt;100,"NM",IF(((GL392/GJ392-1)*100)&lt;-50,"NM",(GL392/GJ392-1)*100)))</f>
        <v>-4.7647047294251399</v>
      </c>
      <c r="GN392" s="119">
        <f>EI392</f>
        <v>48823</v>
      </c>
      <c r="GO392" s="98">
        <f t="shared" si="2233"/>
        <v>0.47952253550114232</v>
      </c>
      <c r="GP392" s="119">
        <f>EQ392</f>
        <v>51533</v>
      </c>
      <c r="GQ392" s="98">
        <f t="shared" si="2233"/>
        <v>5.5506625975462409</v>
      </c>
      <c r="GR392" s="118">
        <f>+GP397</f>
        <v>47055.725003693122</v>
      </c>
      <c r="GS392" s="98">
        <f t="shared" si="2233"/>
        <v>-8.688170679577901</v>
      </c>
      <c r="GT392" s="118">
        <f>+GR397</f>
        <v>41520.38779284434</v>
      </c>
      <c r="GU392" s="98">
        <f t="shared" si="2233"/>
        <v>-11.763366116268203</v>
      </c>
      <c r="GV392" s="118">
        <f>+GT397</f>
        <v>36207.207837148249</v>
      </c>
      <c r="GW392" s="98">
        <f t="shared" si="2233"/>
        <v>-12.796556675252846</v>
      </c>
      <c r="GX392" s="118">
        <f>+GV397</f>
        <v>31181.638171081653</v>
      </c>
      <c r="GY392" s="98">
        <f t="shared" ref="GY392:GY398" si="2234">IF(ISERROR((GX392/GV392-1)*100),"NA",IF(((GX392/GV392-1)*100)&gt;100,"NM",IF(((GX392/GV392-1)*100)&lt;-50,"NM",(GX392/GV392-1)*100)))</f>
        <v>-13.880025459766077</v>
      </c>
      <c r="GZ392" s="98">
        <f t="shared" ref="GZ392:GZ398" si="2235">IF(ISERROR(((GX392/GN392)^0.2-1)*100),"NA",IF((((GX392/GN392)^0.2-1)*100)&gt;100,"NM",IF((((GX392/GN392)^0.2-1)*100)&lt;-50,"NM",((GX392/GN392)^0.2-1)*100)))</f>
        <v>-8.5771210742886073</v>
      </c>
      <c r="HA392" s="98"/>
      <c r="HB392" s="10"/>
      <c r="HC392"/>
      <c r="HD392"/>
      <c r="HE392"/>
      <c r="HF392"/>
      <c r="HG392"/>
      <c r="HH392"/>
      <c r="HI392" s="10"/>
    </row>
    <row r="393" spans="1:217" s="2" customFormat="1" ht="12.75" customHeight="1" x14ac:dyDescent="0.2">
      <c r="A393" s="2" t="s">
        <v>67</v>
      </c>
      <c r="B393" s="91" t="s">
        <v>340</v>
      </c>
      <c r="C393" s="101"/>
      <c r="D393" s="98"/>
      <c r="E393" s="101"/>
      <c r="F393" s="98"/>
      <c r="G393" s="101"/>
      <c r="H393" s="98"/>
      <c r="I393" s="101"/>
      <c r="J393" s="98"/>
      <c r="K393" s="101"/>
      <c r="L393" s="98"/>
      <c r="M393" s="101"/>
      <c r="N393" s="98"/>
      <c r="O393" s="101"/>
      <c r="P393" s="98"/>
      <c r="Q393" s="101"/>
      <c r="R393" s="98"/>
      <c r="S393" s="101"/>
      <c r="T393" s="98"/>
      <c r="U393" s="101"/>
      <c r="V393" s="98"/>
      <c r="W393" s="101"/>
      <c r="X393" s="98"/>
      <c r="Y393" s="101"/>
      <c r="Z393" s="98"/>
      <c r="AA393" s="101"/>
      <c r="AB393" s="98"/>
      <c r="AC393" s="101"/>
      <c r="AD393" s="98"/>
      <c r="AE393" s="101"/>
      <c r="AF393" s="98"/>
      <c r="AG393" s="101"/>
      <c r="AH393" s="98"/>
      <c r="AI393" s="101"/>
      <c r="AJ393" s="98"/>
      <c r="AK393" s="101"/>
      <c r="AL393" s="98"/>
      <c r="AM393" s="101"/>
      <c r="AN393" s="98"/>
      <c r="AO393" s="101"/>
      <c r="AP393" s="98"/>
      <c r="AQ393" s="101"/>
      <c r="AR393" s="98"/>
      <c r="AS393" s="101"/>
      <c r="AT393" s="98"/>
      <c r="AU393" s="101"/>
      <c r="AV393" s="98"/>
      <c r="AW393" s="101"/>
      <c r="AX393" s="98"/>
      <c r="AY393" s="101"/>
      <c r="AZ393" s="98"/>
      <c r="BA393" s="101"/>
      <c r="BB393" s="98"/>
      <c r="BC393" s="101"/>
      <c r="BD393" s="98"/>
      <c r="BE393" s="101"/>
      <c r="BF393" s="98"/>
      <c r="BG393" s="101"/>
      <c r="BH393" s="98"/>
      <c r="BI393" s="101"/>
      <c r="BJ393" s="98"/>
      <c r="BK393" s="101"/>
      <c r="BL393" s="98"/>
      <c r="BM393" s="101">
        <v>2780</v>
      </c>
      <c r="BN393" s="98" t="str">
        <f t="shared" si="2175"/>
        <v>NA</v>
      </c>
      <c r="BO393" s="101">
        <v>2271</v>
      </c>
      <c r="BP393" s="98" t="str">
        <f t="shared" si="2176"/>
        <v>NA</v>
      </c>
      <c r="BQ393" s="101">
        <v>2477</v>
      </c>
      <c r="BR393" s="98" t="str">
        <f t="shared" si="2177"/>
        <v>NA</v>
      </c>
      <c r="BS393" s="101">
        <v>2404</v>
      </c>
      <c r="BT393" s="98" t="str">
        <f t="shared" si="2178"/>
        <v>NA</v>
      </c>
      <c r="BU393" s="101">
        <v>2149</v>
      </c>
      <c r="BV393" s="98">
        <f t="shared" si="2179"/>
        <v>-22.697841726618705</v>
      </c>
      <c r="BW393" s="101">
        <v>2260</v>
      </c>
      <c r="BX393" s="98">
        <f t="shared" si="2180"/>
        <v>-0.48436811977102812</v>
      </c>
      <c r="BY393" s="101">
        <v>2894</v>
      </c>
      <c r="BZ393" s="98">
        <f t="shared" si="2181"/>
        <v>16.83488090431975</v>
      </c>
      <c r="CA393" s="101">
        <v>2279</v>
      </c>
      <c r="CB393" s="98">
        <f t="shared" si="2182"/>
        <v>-5.1996672212978323</v>
      </c>
      <c r="CC393" s="101">
        <v>2633</v>
      </c>
      <c r="CD393" s="98">
        <f t="shared" si="2183"/>
        <v>22.522103303862263</v>
      </c>
      <c r="CE393" s="101">
        <v>3004</v>
      </c>
      <c r="CF393" s="98">
        <f t="shared" si="2184"/>
        <v>32.920353982300888</v>
      </c>
      <c r="CG393" s="101">
        <v>3348</v>
      </c>
      <c r="CH393" s="98">
        <f t="shared" si="2185"/>
        <v>15.687629578438145</v>
      </c>
      <c r="CI393" s="101">
        <v>3312</v>
      </c>
      <c r="CJ393" s="98">
        <f t="shared" si="2186"/>
        <v>45.326897762176401</v>
      </c>
      <c r="CK393" s="101">
        <v>3978</v>
      </c>
      <c r="CL393" s="98">
        <f t="shared" si="2187"/>
        <v>51.082415495632347</v>
      </c>
      <c r="CM393" s="101">
        <v>4563</v>
      </c>
      <c r="CN393" s="98">
        <f t="shared" si="2188"/>
        <v>51.897470039946739</v>
      </c>
      <c r="CO393" s="101">
        <v>5703</v>
      </c>
      <c r="CP393" s="98">
        <f t="shared" si="2189"/>
        <v>70.340501792114679</v>
      </c>
      <c r="CQ393" s="542">
        <v>6787</v>
      </c>
      <c r="CR393" s="98" t="str">
        <f t="shared" si="2190"/>
        <v>NM</v>
      </c>
      <c r="CS393" s="101">
        <v>5778</v>
      </c>
      <c r="CT393" s="98">
        <f t="shared" si="2191"/>
        <v>45.248868778280539</v>
      </c>
      <c r="CU393" s="101">
        <v>4232</v>
      </c>
      <c r="CV393" s="98">
        <f t="shared" si="2192"/>
        <v>-7.2539995616918702</v>
      </c>
      <c r="CW393" s="101">
        <v>3870</v>
      </c>
      <c r="CX393" s="98">
        <f t="shared" si="2193"/>
        <v>-32.140978432403998</v>
      </c>
      <c r="CY393" s="101">
        <v>3836</v>
      </c>
      <c r="CZ393" s="98">
        <f t="shared" si="2194"/>
        <v>-43.480182702224845</v>
      </c>
      <c r="DA393" s="101">
        <v>2961</v>
      </c>
      <c r="DB393" s="98">
        <f t="shared" si="2195"/>
        <v>-48.753894080996886</v>
      </c>
      <c r="DC393" s="101">
        <v>2964</v>
      </c>
      <c r="DD393" s="98">
        <f t="shared" si="2196"/>
        <v>-29.962192816635159</v>
      </c>
      <c r="DE393" s="101">
        <v>2382</v>
      </c>
      <c r="DF393" s="98">
        <f t="shared" si="2197"/>
        <v>-38.449612403100772</v>
      </c>
      <c r="DG393" s="101">
        <v>2240</v>
      </c>
      <c r="DH393" s="98">
        <f t="shared" si="2198"/>
        <v>-41.605839416058402</v>
      </c>
      <c r="DI393" s="101">
        <v>1451</v>
      </c>
      <c r="DJ393" s="98" t="str">
        <f t="shared" si="2199"/>
        <v>NM</v>
      </c>
      <c r="DK393" s="101">
        <v>1331</v>
      </c>
      <c r="DL393" s="465" t="str">
        <f t="shared" si="2200"/>
        <v>NM</v>
      </c>
      <c r="DM393" s="101">
        <v>1344</v>
      </c>
      <c r="DN393" s="465">
        <f t="shared" si="2201"/>
        <v>-43.576826196473547</v>
      </c>
      <c r="DO393" s="101">
        <v>1290</v>
      </c>
      <c r="DP393" s="465">
        <f t="shared" si="2202"/>
        <v>-42.410714285714292</v>
      </c>
      <c r="DQ393" s="101">
        <v>1370</v>
      </c>
      <c r="DR393" s="465">
        <f t="shared" si="2203"/>
        <v>-5.5823569951757417</v>
      </c>
      <c r="DS393" s="117">
        <f>DS421+DS454</f>
        <v>601</v>
      </c>
      <c r="DT393" s="465" t="str">
        <f t="shared" si="2204"/>
        <v>NM</v>
      </c>
      <c r="DU393" s="117">
        <f>DU421+DU454</f>
        <v>757</v>
      </c>
      <c r="DV393" s="465">
        <f t="shared" si="2205"/>
        <v>-43.675595238095234</v>
      </c>
      <c r="DW393" s="117">
        <f t="shared" ref="DW393" si="2236">DW421+DW454</f>
        <v>723</v>
      </c>
      <c r="DX393" s="465">
        <f t="shared" si="2206"/>
        <v>-43.95348837209302</v>
      </c>
      <c r="DY393" s="117">
        <f t="shared" ref="DY393" si="2237">DY421+DY454</f>
        <v>748</v>
      </c>
      <c r="DZ393" s="98">
        <f t="shared" si="2207"/>
        <v>-45.401459854014604</v>
      </c>
      <c r="EA393" s="117">
        <f t="shared" ref="EA393" si="2238">EA421+EA454</f>
        <v>689</v>
      </c>
      <c r="EB393" s="98">
        <f t="shared" si="2208"/>
        <v>14.642262895174717</v>
      </c>
      <c r="EC393" s="117">
        <f t="shared" ref="EC393:EE393" si="2239">EC421+EC454</f>
        <v>617</v>
      </c>
      <c r="ED393" s="98">
        <f t="shared" si="2209"/>
        <v>-18.494055482166448</v>
      </c>
      <c r="EE393" s="117">
        <f t="shared" si="2239"/>
        <v>306</v>
      </c>
      <c r="EF393" s="860" t="str">
        <f t="shared" si="2210"/>
        <v>NM</v>
      </c>
      <c r="EG393" s="117">
        <f t="shared" ref="EG393:EI393" si="2240">EG421+EG454</f>
        <v>260</v>
      </c>
      <c r="EH393" s="860" t="str">
        <f t="shared" si="2211"/>
        <v>NM</v>
      </c>
      <c r="EI393" s="117">
        <f t="shared" si="2240"/>
        <v>251</v>
      </c>
      <c r="EJ393" s="860" t="str">
        <f t="shared" si="2212"/>
        <v>NM</v>
      </c>
      <c r="EK393" s="117">
        <f t="shared" ref="EK393:EM393" si="2241">EK421+EK454</f>
        <v>241</v>
      </c>
      <c r="EL393" s="860" t="str">
        <f t="shared" si="2213"/>
        <v>NM</v>
      </c>
      <c r="EM393" s="117">
        <f t="shared" si="2241"/>
        <v>203</v>
      </c>
      <c r="EN393" s="860">
        <f t="shared" si="2214"/>
        <v>-33.66013071895425</v>
      </c>
      <c r="EO393" s="117">
        <f t="shared" ref="EO393" si="2242">EO421+EO454</f>
        <v>176</v>
      </c>
      <c r="EP393" s="465">
        <f t="shared" si="2215"/>
        <v>-32.307692307692307</v>
      </c>
      <c r="EQ393" s="1031">
        <f t="shared" ref="EQ393" si="2243">EQ421+EQ454</f>
        <v>151.15</v>
      </c>
      <c r="ER393" s="465">
        <f t="shared" si="2217"/>
        <v>-39.7808764940239</v>
      </c>
      <c r="ES393" s="1031">
        <f t="shared" ref="ES393" si="2244">ES421+ES454</f>
        <v>130.7525</v>
      </c>
      <c r="ET393" s="465">
        <f t="shared" si="2219"/>
        <v>-45.745850622406635</v>
      </c>
      <c r="EU393" s="1031">
        <f t="shared" ref="EU393" si="2245">EU421+EU454</f>
        <v>113.942875</v>
      </c>
      <c r="EV393" s="465">
        <f t="shared" si="2221"/>
        <v>-43.870504926108381</v>
      </c>
      <c r="EW393" s="1031">
        <f t="shared" ref="EW393" si="2246">EW421+EW454</f>
        <v>100.02813125</v>
      </c>
      <c r="EX393" s="465">
        <f t="shared" si="2223"/>
        <v>-43.165834517045454</v>
      </c>
      <c r="EY393" s="121"/>
      <c r="EZ393" s="594"/>
      <c r="FA393" s="405"/>
      <c r="FB393" s="95" t="s">
        <v>494</v>
      </c>
      <c r="FC393" s="98"/>
      <c r="FD393" s="101">
        <v>2792</v>
      </c>
      <c r="FE393" s="98" t="str">
        <f t="shared" si="2224"/>
        <v>NA</v>
      </c>
      <c r="FF393" s="118"/>
      <c r="FG393" s="98"/>
      <c r="FH393" s="118"/>
      <c r="FI393" s="98"/>
      <c r="FJ393" s="118"/>
      <c r="FK393" s="98"/>
      <c r="FL393" s="118"/>
      <c r="FM393" s="98"/>
      <c r="FN393" s="118"/>
      <c r="FO393" s="98"/>
      <c r="FP393" s="118"/>
      <c r="FQ393" s="98"/>
      <c r="FR393" s="119"/>
      <c r="FS393" s="120"/>
      <c r="FT393" s="119"/>
      <c r="FU393" s="120"/>
      <c r="FV393" s="119">
        <f>BO393+BQ393+BS393+BU393</f>
        <v>9301</v>
      </c>
      <c r="FW393" s="98" t="str">
        <f t="shared" si="2225"/>
        <v>NA</v>
      </c>
      <c r="FX393" s="485">
        <f>BW393+BY393+CA393+CC393</f>
        <v>10066</v>
      </c>
      <c r="FY393" s="98">
        <f t="shared" si="2226"/>
        <v>8.2249220513923138</v>
      </c>
      <c r="FZ393" s="119">
        <f>CE393+CG393+CI393+CK393</f>
        <v>13642</v>
      </c>
      <c r="GA393" s="98">
        <f t="shared" si="2227"/>
        <v>35.525531492151806</v>
      </c>
      <c r="GB393" s="485">
        <f>CM393+CO393+CQ393+CS393</f>
        <v>22831</v>
      </c>
      <c r="GC393" s="98">
        <f t="shared" si="2228"/>
        <v>67.358158627767196</v>
      </c>
      <c r="GD393" s="119">
        <f>CU393+CW393+CY393+DA393</f>
        <v>14899</v>
      </c>
      <c r="GE393" s="98">
        <f t="shared" si="2229"/>
        <v>-34.742236432920151</v>
      </c>
      <c r="GF393" s="119">
        <f>DC393+DE393+DG393+DI393</f>
        <v>9037</v>
      </c>
      <c r="GG393" s="98">
        <f t="shared" si="2230"/>
        <v>-39.34492247801866</v>
      </c>
      <c r="GH393" s="119">
        <f>DK393+DM393+DO393+DQ393</f>
        <v>5335</v>
      </c>
      <c r="GI393" s="98">
        <f t="shared" si="2231"/>
        <v>-40.964921987385196</v>
      </c>
      <c r="GJ393" s="119">
        <f>DS393+DU393+DW393+DY393</f>
        <v>2829</v>
      </c>
      <c r="GK393" s="98">
        <f t="shared" si="2232"/>
        <v>-46.972820993439548</v>
      </c>
      <c r="GL393" s="119">
        <f>EA393+EC393+EE393+EG393</f>
        <v>1872</v>
      </c>
      <c r="GM393" s="98">
        <f t="shared" si="2233"/>
        <v>-33.828207847295864</v>
      </c>
      <c r="GN393" s="119">
        <f>EI393+EK393+EM393+EO393</f>
        <v>871</v>
      </c>
      <c r="GO393" s="98" t="str">
        <f t="shared" si="2233"/>
        <v>NM</v>
      </c>
      <c r="GP393" s="119">
        <f>EQ393+ES393+EU393+EW393</f>
        <v>495.87350625000005</v>
      </c>
      <c r="GQ393" s="98">
        <f t="shared" si="2233"/>
        <v>-43.068483783008027</v>
      </c>
      <c r="GR393" s="117">
        <f t="shared" ref="GR393" si="2247">GR421+GR454</f>
        <v>308.7323296875</v>
      </c>
      <c r="GS393" s="98">
        <f t="shared" si="2233"/>
        <v>-37.739700589720712</v>
      </c>
      <c r="GT393" s="117">
        <f t="shared" ref="GT393" si="2248">GT421+GT454</f>
        <v>199.96284726562499</v>
      </c>
      <c r="GU393" s="98">
        <f t="shared" si="2233"/>
        <v>-35.230998493734646</v>
      </c>
      <c r="GV393" s="117">
        <f t="shared" ref="GV393:GX393" si="2249">GV421+GV454</f>
        <v>134.17893544921876</v>
      </c>
      <c r="GW393" s="98">
        <f t="shared" si="2233"/>
        <v>-32.898067173958943</v>
      </c>
      <c r="GX393" s="117">
        <f t="shared" si="2249"/>
        <v>92.737601586914053</v>
      </c>
      <c r="GY393" s="98">
        <f t="shared" si="2234"/>
        <v>-30.88512643475887</v>
      </c>
      <c r="GZ393" s="98">
        <f t="shared" si="2235"/>
        <v>-36.107844353930432</v>
      </c>
      <c r="HA393" s="98"/>
      <c r="HB393" s="10"/>
      <c r="HC393"/>
      <c r="HD393"/>
      <c r="HE393"/>
      <c r="HF393"/>
      <c r="HG393"/>
      <c r="HH393"/>
      <c r="HI393" s="10"/>
    </row>
    <row r="394" spans="1:217" s="2" customFormat="1" ht="12.75" customHeight="1" x14ac:dyDescent="0.2">
      <c r="B394" s="91" t="s">
        <v>13</v>
      </c>
      <c r="C394" s="101"/>
      <c r="D394" s="98"/>
      <c r="E394" s="101"/>
      <c r="F394" s="98"/>
      <c r="G394" s="101"/>
      <c r="H394" s="98"/>
      <c r="I394" s="101"/>
      <c r="J394" s="98"/>
      <c r="K394" s="101"/>
      <c r="L394" s="98"/>
      <c r="M394" s="101"/>
      <c r="N394" s="98"/>
      <c r="O394" s="101"/>
      <c r="P394" s="98"/>
      <c r="Q394" s="101"/>
      <c r="R394" s="98"/>
      <c r="S394" s="101"/>
      <c r="T394" s="98"/>
      <c r="U394" s="101"/>
      <c r="V394" s="98"/>
      <c r="W394" s="101"/>
      <c r="X394" s="98"/>
      <c r="Y394" s="101"/>
      <c r="Z394" s="98"/>
      <c r="AA394" s="101"/>
      <c r="AB394" s="98"/>
      <c r="AC394" s="101"/>
      <c r="AD394" s="98"/>
      <c r="AE394" s="101"/>
      <c r="AF394" s="98"/>
      <c r="AG394" s="101"/>
      <c r="AH394" s="98"/>
      <c r="AI394" s="101"/>
      <c r="AJ394" s="98"/>
      <c r="AK394" s="101"/>
      <c r="AL394" s="98"/>
      <c r="AM394" s="101"/>
      <c r="AN394" s="98"/>
      <c r="AO394" s="101"/>
      <c r="AP394" s="98"/>
      <c r="AQ394" s="101"/>
      <c r="AR394" s="98"/>
      <c r="AS394" s="101"/>
      <c r="AT394" s="98"/>
      <c r="AU394" s="101"/>
      <c r="AV394" s="98"/>
      <c r="AW394" s="101"/>
      <c r="AX394" s="98"/>
      <c r="AY394" s="101"/>
      <c r="AZ394" s="98"/>
      <c r="BA394" s="101"/>
      <c r="BB394" s="98"/>
      <c r="BC394" s="101"/>
      <c r="BD394" s="98"/>
      <c r="BE394" s="101"/>
      <c r="BF394" s="98"/>
      <c r="BG394" s="101"/>
      <c r="BH394" s="98"/>
      <c r="BI394" s="101"/>
      <c r="BJ394" s="98"/>
      <c r="BK394" s="101"/>
      <c r="BL394" s="98"/>
      <c r="BM394" s="101">
        <v>-1881</v>
      </c>
      <c r="BN394" s="98" t="str">
        <f t="shared" si="2175"/>
        <v>NA</v>
      </c>
      <c r="BO394" s="101">
        <v>-7109</v>
      </c>
      <c r="BP394" s="98" t="str">
        <f t="shared" si="2176"/>
        <v>NA</v>
      </c>
      <c r="BQ394" s="101">
        <v>-930</v>
      </c>
      <c r="BR394" s="98" t="str">
        <f t="shared" si="2177"/>
        <v>NA</v>
      </c>
      <c r="BS394" s="101">
        <v>-8645</v>
      </c>
      <c r="BT394" s="98" t="str">
        <f t="shared" si="2178"/>
        <v>NA</v>
      </c>
      <c r="BU394" s="101">
        <v>-13820</v>
      </c>
      <c r="BV394" s="98" t="str">
        <f t="shared" si="2179"/>
        <v>NM</v>
      </c>
      <c r="BW394" s="101">
        <v>-3945</v>
      </c>
      <c r="BX394" s="98">
        <f t="shared" si="2180"/>
        <v>-44.50696300464201</v>
      </c>
      <c r="BY394" s="101">
        <v>8872</v>
      </c>
      <c r="BZ394" s="98" t="str">
        <f t="shared" si="2181"/>
        <v>NM</v>
      </c>
      <c r="CA394" s="101">
        <v>9964</v>
      </c>
      <c r="CB394" s="98" t="str">
        <f t="shared" si="2182"/>
        <v>NM</v>
      </c>
      <c r="CC394" s="101">
        <v>3432</v>
      </c>
      <c r="CD394" s="98" t="str">
        <f t="shared" si="2183"/>
        <v>NM</v>
      </c>
      <c r="CE394" s="101">
        <v>3758</v>
      </c>
      <c r="CF394" s="98" t="str">
        <f t="shared" si="2184"/>
        <v>NM</v>
      </c>
      <c r="CG394" s="101">
        <v>-7004</v>
      </c>
      <c r="CH394" s="98" t="str">
        <f t="shared" si="2185"/>
        <v>NM</v>
      </c>
      <c r="CI394" s="101">
        <v>8549</v>
      </c>
      <c r="CJ394" s="98">
        <f t="shared" si="2186"/>
        <v>-14.201124046567648</v>
      </c>
      <c r="CK394" s="101">
        <v>7191</v>
      </c>
      <c r="CL394" s="98" t="str">
        <f t="shared" si="2187"/>
        <v>NM</v>
      </c>
      <c r="CM394" s="101">
        <v>4661</v>
      </c>
      <c r="CN394" s="98">
        <f t="shared" si="2188"/>
        <v>24.028738690792984</v>
      </c>
      <c r="CO394" s="101">
        <v>655</v>
      </c>
      <c r="CP394" s="98" t="str">
        <f t="shared" si="2189"/>
        <v>NM</v>
      </c>
      <c r="CQ394" s="542">
        <v>-14329</v>
      </c>
      <c r="CR394" s="98" t="str">
        <f t="shared" si="2190"/>
        <v>NM</v>
      </c>
      <c r="CS394" s="101">
        <v>7214</v>
      </c>
      <c r="CT394" s="98">
        <f t="shared" si="2191"/>
        <v>0.31984424975664005</v>
      </c>
      <c r="CU394" s="101">
        <v>10760</v>
      </c>
      <c r="CV394" s="98" t="str">
        <f t="shared" si="2192"/>
        <v>NM</v>
      </c>
      <c r="CW394" s="101">
        <v>-3587</v>
      </c>
      <c r="CX394" s="98" t="str">
        <f t="shared" si="2193"/>
        <v>NM</v>
      </c>
      <c r="CY394" s="101">
        <v>6637</v>
      </c>
      <c r="CZ394" s="98" t="str">
        <f t="shared" si="2194"/>
        <v>NM</v>
      </c>
      <c r="DA394" s="101">
        <v>2517</v>
      </c>
      <c r="DB394" s="98" t="str">
        <f t="shared" si="2195"/>
        <v>NM</v>
      </c>
      <c r="DC394" s="101">
        <v>8434</v>
      </c>
      <c r="DD394" s="98">
        <f t="shared" si="2196"/>
        <v>-21.61710037174721</v>
      </c>
      <c r="DE394" s="101">
        <v>-684</v>
      </c>
      <c r="DF394" s="98" t="str">
        <f t="shared" si="2197"/>
        <v>NM</v>
      </c>
      <c r="DG394" s="101">
        <v>8165</v>
      </c>
      <c r="DH394" s="98">
        <f t="shared" si="2198"/>
        <v>23.022449902064189</v>
      </c>
      <c r="DI394" s="101">
        <v>8664</v>
      </c>
      <c r="DJ394" s="98" t="str">
        <f t="shared" si="2199"/>
        <v>NM</v>
      </c>
      <c r="DK394" s="101">
        <v>2723</v>
      </c>
      <c r="DL394" s="98" t="str">
        <f t="shared" si="2200"/>
        <v>NM</v>
      </c>
      <c r="DM394" s="101">
        <v>6170</v>
      </c>
      <c r="DN394" s="98" t="str">
        <f t="shared" si="2201"/>
        <v>NM</v>
      </c>
      <c r="DO394" s="101">
        <v>-2261</v>
      </c>
      <c r="DP394" s="98" t="str">
        <f t="shared" si="2202"/>
        <v>NM</v>
      </c>
      <c r="DQ394" s="101">
        <v>3431</v>
      </c>
      <c r="DR394" s="98" t="str">
        <f t="shared" si="2203"/>
        <v>NM</v>
      </c>
      <c r="DS394" s="117">
        <f>DS422+DS455</f>
        <v>1477</v>
      </c>
      <c r="DT394" s="98">
        <f t="shared" si="2204"/>
        <v>-45.758354755784062</v>
      </c>
      <c r="DU394" s="117">
        <f>DU422+DU455</f>
        <v>-165</v>
      </c>
      <c r="DV394" s="98" t="str">
        <f t="shared" si="2205"/>
        <v>NM</v>
      </c>
      <c r="DW394" s="117">
        <f t="shared" ref="DW394" si="2250">DW422+DW455</f>
        <v>-2975</v>
      </c>
      <c r="DX394" s="98">
        <f t="shared" si="2206"/>
        <v>31.578947368421062</v>
      </c>
      <c r="DY394" s="117">
        <f t="shared" ref="DY394" si="2251">DY422+DY455</f>
        <v>1408</v>
      </c>
      <c r="DZ394" s="98" t="str">
        <f t="shared" si="2207"/>
        <v>NM</v>
      </c>
      <c r="EA394" s="117">
        <f t="shared" ref="EA394" si="2252">EA422+EA455</f>
        <v>287</v>
      </c>
      <c r="EB394" s="98" t="str">
        <f t="shared" si="2208"/>
        <v>NM</v>
      </c>
      <c r="EC394" s="117">
        <f t="shared" ref="EC394:EE394" si="2253">EC422+EC455</f>
        <v>1115</v>
      </c>
      <c r="ED394" s="98" t="str">
        <f t="shared" si="2209"/>
        <v>NM</v>
      </c>
      <c r="EE394" s="117">
        <f t="shared" si="2253"/>
        <v>1857</v>
      </c>
      <c r="EF394" s="860" t="str">
        <f t="shared" si="2210"/>
        <v>NM</v>
      </c>
      <c r="EG394" s="117">
        <f t="shared" ref="EG394:EI394" si="2254">EG422+EG455</f>
        <v>110</v>
      </c>
      <c r="EH394" s="860" t="str">
        <f t="shared" si="2211"/>
        <v>NM</v>
      </c>
      <c r="EI394" s="117">
        <f t="shared" si="2254"/>
        <v>2396</v>
      </c>
      <c r="EJ394" s="860" t="str">
        <f t="shared" si="2212"/>
        <v>NM</v>
      </c>
      <c r="EK394" s="117">
        <f t="shared" ref="EK394:EM394" si="2255">EK422+EK455</f>
        <v>1611</v>
      </c>
      <c r="EL394" s="860">
        <f t="shared" si="2213"/>
        <v>44.484304932735427</v>
      </c>
      <c r="EM394" s="117">
        <f t="shared" si="2255"/>
        <v>1794</v>
      </c>
      <c r="EN394" s="860">
        <f t="shared" si="2214"/>
        <v>-3.3925686591276261</v>
      </c>
      <c r="EO394" s="117">
        <f t="shared" ref="EO394" si="2256">EO422+EO455</f>
        <v>2036</v>
      </c>
      <c r="EP394" s="98" t="str">
        <f t="shared" si="2215"/>
        <v>NM</v>
      </c>
      <c r="EQ394" s="1031">
        <f t="shared" ref="EQ394" si="2257">EQ422+EQ455</f>
        <v>-371.0376</v>
      </c>
      <c r="ER394" s="98" t="str">
        <f t="shared" si="2217"/>
        <v>NM</v>
      </c>
      <c r="ES394" s="1031">
        <f t="shared" ref="ES394" si="2258">ES422+ES455</f>
        <v>596.08941891499319</v>
      </c>
      <c r="ET394" s="98" t="str">
        <f t="shared" si="2219"/>
        <v>NM</v>
      </c>
      <c r="EU394" s="1031">
        <f t="shared" ref="EU394" si="2259">EU422+EU455</f>
        <v>585.67596670636863</v>
      </c>
      <c r="EV394" s="98" t="str">
        <f t="shared" si="2221"/>
        <v>NM</v>
      </c>
      <c r="EW394" s="1031">
        <f t="shared" ref="EW394" si="2260">EW422+EW455</f>
        <v>575.19067883410253</v>
      </c>
      <c r="EX394" s="98" t="str">
        <f t="shared" si="2223"/>
        <v>NM</v>
      </c>
      <c r="EY394" s="119"/>
      <c r="EZ394" s="594"/>
      <c r="FA394" s="405"/>
      <c r="FB394" s="95" t="s">
        <v>494</v>
      </c>
      <c r="FC394" s="98"/>
      <c r="FD394" s="101">
        <v>3728</v>
      </c>
      <c r="FE394" s="98" t="str">
        <f t="shared" si="2224"/>
        <v>NA</v>
      </c>
      <c r="FF394" s="118"/>
      <c r="FG394" s="98"/>
      <c r="FH394" s="118"/>
      <c r="FI394" s="98"/>
      <c r="FJ394" s="118"/>
      <c r="FK394" s="98"/>
      <c r="FL394" s="118"/>
      <c r="FM394" s="98"/>
      <c r="FN394" s="118"/>
      <c r="FO394" s="98"/>
      <c r="FP394" s="118"/>
      <c r="FQ394" s="98"/>
      <c r="FR394" s="119"/>
      <c r="FS394" s="120"/>
      <c r="FT394" s="119"/>
      <c r="FU394" s="120"/>
      <c r="FV394" s="119">
        <f>BO394+BQ394+BS394+BU394</f>
        <v>-30504</v>
      </c>
      <c r="FW394" s="98" t="str">
        <f t="shared" si="2225"/>
        <v>NA</v>
      </c>
      <c r="FX394" s="485">
        <f>BW394+BY394+CA394+CC394</f>
        <v>18323</v>
      </c>
      <c r="FY394" s="98" t="str">
        <f t="shared" si="2226"/>
        <v>NM</v>
      </c>
      <c r="FZ394" s="119">
        <f>CE394+CG394+CI394+CK394</f>
        <v>12494</v>
      </c>
      <c r="GA394" s="98">
        <f t="shared" si="2227"/>
        <v>-31.812476122905643</v>
      </c>
      <c r="GB394" s="485">
        <f>CM394+CO394+CQ394+CS394</f>
        <v>-1799</v>
      </c>
      <c r="GC394" s="98" t="str">
        <f t="shared" si="2228"/>
        <v>NM</v>
      </c>
      <c r="GD394" s="119">
        <f>CU394+CW394+CY394+DA394</f>
        <v>16327</v>
      </c>
      <c r="GE394" s="98" t="str">
        <f t="shared" si="2229"/>
        <v>NM</v>
      </c>
      <c r="GF394" s="119">
        <f>DC394+DE394+DG394+DI394</f>
        <v>24579</v>
      </c>
      <c r="GG394" s="98">
        <f t="shared" si="2230"/>
        <v>50.542046916151165</v>
      </c>
      <c r="GH394" s="119">
        <f>DK394+DM394+DO394+DQ394</f>
        <v>10063</v>
      </c>
      <c r="GI394" s="98" t="str">
        <f t="shared" si="2231"/>
        <v>NM</v>
      </c>
      <c r="GJ394" s="119">
        <f>DS394+DU394+DW394+DY394</f>
        <v>-255</v>
      </c>
      <c r="GK394" s="98" t="str">
        <f t="shared" si="2232"/>
        <v>NM</v>
      </c>
      <c r="GL394" s="119">
        <f>EA394+EC394+EE394+EG394</f>
        <v>3369</v>
      </c>
      <c r="GM394" s="98" t="str">
        <f t="shared" si="2233"/>
        <v>NM</v>
      </c>
      <c r="GN394" s="119">
        <f>EI394+EK394+EM394+EO394</f>
        <v>7837</v>
      </c>
      <c r="GO394" s="98" t="str">
        <f t="shared" si="2233"/>
        <v>NM</v>
      </c>
      <c r="GP394" s="119">
        <f>EQ394+ES394+EU394+EW394</f>
        <v>1385.9184644554643</v>
      </c>
      <c r="GQ394" s="98" t="str">
        <f t="shared" si="2233"/>
        <v>NM</v>
      </c>
      <c r="GR394" s="117">
        <f t="shared" ref="GR394" si="2261">GR422+GR455</f>
        <v>338.52986945571018</v>
      </c>
      <c r="GS394" s="98" t="str">
        <f t="shared" si="2233"/>
        <v>NM</v>
      </c>
      <c r="GT394" s="117">
        <f t="shared" ref="GT394" si="2262">GT422+GT455</f>
        <v>332.13762408602781</v>
      </c>
      <c r="GU394" s="98">
        <f t="shared" si="2233"/>
        <v>-1.8882367396294564</v>
      </c>
      <c r="GV394" s="117">
        <f t="shared" ref="GV394:GX394" si="2263">GV422+GV455</f>
        <v>321.86946921769118</v>
      </c>
      <c r="GW394" s="98">
        <f t="shared" si="2233"/>
        <v>-3.0915361957539189</v>
      </c>
      <c r="GX394" s="117">
        <f t="shared" si="2263"/>
        <v>308.40441582671468</v>
      </c>
      <c r="GY394" s="98">
        <f t="shared" si="2234"/>
        <v>-4.1833894415967858</v>
      </c>
      <c r="GZ394" s="98">
        <f t="shared" si="2235"/>
        <v>-47.640661849569256</v>
      </c>
      <c r="HA394" s="98"/>
      <c r="HB394" s="10"/>
      <c r="HC394"/>
      <c r="HD394"/>
      <c r="HE394"/>
      <c r="HF394"/>
      <c r="HG394"/>
      <c r="HH394"/>
      <c r="HI394" s="10"/>
    </row>
    <row r="395" spans="1:217" s="2" customFormat="1" ht="12.75" customHeight="1" x14ac:dyDescent="0.2">
      <c r="B395" s="91" t="s">
        <v>307</v>
      </c>
      <c r="C395" s="101"/>
      <c r="D395" s="98"/>
      <c r="E395" s="101"/>
      <c r="F395" s="98"/>
      <c r="G395" s="101"/>
      <c r="H395" s="98"/>
      <c r="I395" s="101"/>
      <c r="J395" s="98"/>
      <c r="K395" s="101"/>
      <c r="L395" s="98"/>
      <c r="M395" s="101"/>
      <c r="N395" s="98"/>
      <c r="O395" s="101"/>
      <c r="P395" s="98"/>
      <c r="Q395" s="101"/>
      <c r="R395" s="98"/>
      <c r="S395" s="101"/>
      <c r="T395" s="98"/>
      <c r="U395" s="101"/>
      <c r="V395" s="98"/>
      <c r="W395" s="101"/>
      <c r="X395" s="98"/>
      <c r="Y395" s="101"/>
      <c r="Z395" s="98"/>
      <c r="AA395" s="101"/>
      <c r="AB395" s="98"/>
      <c r="AC395" s="101"/>
      <c r="AD395" s="98"/>
      <c r="AE395" s="101"/>
      <c r="AF395" s="98"/>
      <c r="AG395" s="101"/>
      <c r="AH395" s="98"/>
      <c r="AI395" s="101"/>
      <c r="AJ395" s="98"/>
      <c r="AK395" s="101"/>
      <c r="AL395" s="98"/>
      <c r="AM395" s="101"/>
      <c r="AN395" s="98"/>
      <c r="AO395" s="101"/>
      <c r="AP395" s="98"/>
      <c r="AQ395" s="101"/>
      <c r="AR395" s="98"/>
      <c r="AS395" s="101"/>
      <c r="AT395" s="98"/>
      <c r="AU395" s="101"/>
      <c r="AV395" s="98"/>
      <c r="AW395" s="101"/>
      <c r="AX395" s="98"/>
      <c r="AY395" s="101"/>
      <c r="AZ395" s="98"/>
      <c r="BA395" s="101"/>
      <c r="BB395" s="98"/>
      <c r="BC395" s="101"/>
      <c r="BD395" s="98"/>
      <c r="BE395" s="101"/>
      <c r="BF395" s="98"/>
      <c r="BG395" s="101"/>
      <c r="BH395" s="98"/>
      <c r="BI395" s="101"/>
      <c r="BJ395" s="98"/>
      <c r="BK395" s="101"/>
      <c r="BL395" s="98"/>
      <c r="BM395" s="101">
        <v>-2706</v>
      </c>
      <c r="BN395" s="98" t="str">
        <f t="shared" si="2175"/>
        <v>NA</v>
      </c>
      <c r="BO395" s="101">
        <v>-2363</v>
      </c>
      <c r="BP395" s="98" t="str">
        <f t="shared" si="2176"/>
        <v>NA</v>
      </c>
      <c r="BQ395" s="101">
        <v>-2397</v>
      </c>
      <c r="BR395" s="98" t="str">
        <f t="shared" si="2177"/>
        <v>NA</v>
      </c>
      <c r="BS395" s="101">
        <v>-2047</v>
      </c>
      <c r="BT395" s="98" t="str">
        <f t="shared" si="2178"/>
        <v>NA</v>
      </c>
      <c r="BU395" s="101">
        <v>-1723</v>
      </c>
      <c r="BV395" s="98">
        <f t="shared" si="2179"/>
        <v>-36.326681448632669</v>
      </c>
      <c r="BW395" s="101">
        <v>-1350</v>
      </c>
      <c r="BX395" s="98">
        <f t="shared" si="2180"/>
        <v>-42.869234024545065</v>
      </c>
      <c r="BY395" s="101">
        <v>-1317</v>
      </c>
      <c r="BZ395" s="98">
        <f t="shared" si="2181"/>
        <v>-45.056320400500624</v>
      </c>
      <c r="CA395" s="101">
        <v>-1283</v>
      </c>
      <c r="CB395" s="98">
        <f t="shared" si="2182"/>
        <v>-37.322911577918902</v>
      </c>
      <c r="CC395" s="101">
        <f>-1456</f>
        <v>-1456</v>
      </c>
      <c r="CD395" s="98">
        <f t="shared" si="2183"/>
        <v>-15.496227510156702</v>
      </c>
      <c r="CE395" s="101">
        <v>-1622</v>
      </c>
      <c r="CF395" s="98">
        <f t="shared" si="2184"/>
        <v>20.148148148148138</v>
      </c>
      <c r="CG395" s="101">
        <v>-1622</v>
      </c>
      <c r="CH395" s="98">
        <f t="shared" si="2185"/>
        <v>23.158694001518597</v>
      </c>
      <c r="CI395" s="101">
        <v>-1813</v>
      </c>
      <c r="CJ395" s="98">
        <f t="shared" si="2186"/>
        <v>41.309431021044432</v>
      </c>
      <c r="CK395" s="101">
        <v>-1851</v>
      </c>
      <c r="CL395" s="98">
        <f t="shared" si="2187"/>
        <v>27.129120879120872</v>
      </c>
      <c r="CM395" s="101">
        <v>-2106</v>
      </c>
      <c r="CN395" s="98">
        <f t="shared" si="2188"/>
        <v>29.839704069050565</v>
      </c>
      <c r="CO395" s="101">
        <v>-2330</v>
      </c>
      <c r="CP395" s="98">
        <f t="shared" si="2189"/>
        <v>43.649815043156593</v>
      </c>
      <c r="CQ395" s="542">
        <v>-2112</v>
      </c>
      <c r="CR395" s="98">
        <f t="shared" si="2190"/>
        <v>16.492002206287925</v>
      </c>
      <c r="CS395" s="101">
        <v>-1993</v>
      </c>
      <c r="CT395" s="98">
        <f t="shared" si="2191"/>
        <v>7.6715289032955214</v>
      </c>
      <c r="CU395" s="101">
        <v>-2151</v>
      </c>
      <c r="CV395" s="98">
        <f t="shared" si="2192"/>
        <v>2.1367521367521292</v>
      </c>
      <c r="CW395" s="101">
        <v>-2103</v>
      </c>
      <c r="CX395" s="98">
        <f t="shared" si="2193"/>
        <v>-9.7424892703862671</v>
      </c>
      <c r="CY395" s="101">
        <v>-2019</v>
      </c>
      <c r="CZ395" s="98">
        <f t="shared" si="2194"/>
        <v>-4.4034090909090935</v>
      </c>
      <c r="DA395" s="101">
        <v>-2177</v>
      </c>
      <c r="DB395" s="98">
        <f t="shared" si="2195"/>
        <v>9.2323130958354316</v>
      </c>
      <c r="DC395" s="101">
        <v>-2175</v>
      </c>
      <c r="DD395" s="98">
        <f t="shared" si="2196"/>
        <v>1.1157601115760141</v>
      </c>
      <c r="DE395" s="101">
        <v>-2444</v>
      </c>
      <c r="DF395" s="98">
        <f t="shared" si="2197"/>
        <v>16.214931050879699</v>
      </c>
      <c r="DG395" s="101">
        <v>-2289</v>
      </c>
      <c r="DH395" s="98">
        <f t="shared" si="2198"/>
        <v>13.372956909361067</v>
      </c>
      <c r="DI395" s="101">
        <v>-2594</v>
      </c>
      <c r="DJ395" s="98">
        <f t="shared" si="2199"/>
        <v>19.154800183739095</v>
      </c>
      <c r="DK395" s="101">
        <v>-2631</v>
      </c>
      <c r="DL395" s="98">
        <f t="shared" si="2200"/>
        <v>20.965517241379317</v>
      </c>
      <c r="DM395" s="101">
        <v>-2871</v>
      </c>
      <c r="DN395" s="98">
        <f t="shared" si="2201"/>
        <v>17.471358428805228</v>
      </c>
      <c r="DO395" s="101">
        <v>-2829</v>
      </c>
      <c r="DP395" s="98">
        <f t="shared" si="2202"/>
        <v>23.591087811271304</v>
      </c>
      <c r="DQ395" s="101">
        <v>-3000</v>
      </c>
      <c r="DR395" s="98">
        <f t="shared" si="2203"/>
        <v>15.651503469545114</v>
      </c>
      <c r="DS395" s="117">
        <f>DS423+DS456</f>
        <v>-865</v>
      </c>
      <c r="DT395" s="98" t="str">
        <f t="shared" si="2204"/>
        <v>NM</v>
      </c>
      <c r="DU395" s="117">
        <f>DU423+DU456</f>
        <v>-903</v>
      </c>
      <c r="DV395" s="98" t="str">
        <f t="shared" si="2205"/>
        <v>NM</v>
      </c>
      <c r="DW395" s="117">
        <f t="shared" ref="DW395" si="2264">DW423+DW456</f>
        <v>-784</v>
      </c>
      <c r="DX395" s="98" t="str">
        <f t="shared" si="2206"/>
        <v>NM</v>
      </c>
      <c r="DY395" s="117">
        <f t="shared" ref="DY395" si="2265">DY423+DY456</f>
        <v>-776</v>
      </c>
      <c r="DZ395" s="98" t="str">
        <f t="shared" si="2207"/>
        <v>NM</v>
      </c>
      <c r="EA395" s="117">
        <f t="shared" ref="EA395" si="2266">EA423+EA456</f>
        <v>-695</v>
      </c>
      <c r="EB395" s="98">
        <f t="shared" si="2208"/>
        <v>-19.653179190751445</v>
      </c>
      <c r="EC395" s="117">
        <f t="shared" ref="EC395:EE395" si="2267">EC423+EC456</f>
        <v>-792</v>
      </c>
      <c r="ED395" s="98">
        <f t="shared" si="2209"/>
        <v>-12.292358803986714</v>
      </c>
      <c r="EE395" s="117">
        <f t="shared" si="2267"/>
        <v>-796</v>
      </c>
      <c r="EF395" s="860">
        <f t="shared" si="2210"/>
        <v>1.5306122448979664</v>
      </c>
      <c r="EG395" s="117">
        <f t="shared" ref="EG395:EI395" si="2268">EG423+EG456</f>
        <v>-865</v>
      </c>
      <c r="EH395" s="860">
        <f t="shared" si="2211"/>
        <v>11.469072164948457</v>
      </c>
      <c r="EI395" s="117">
        <f t="shared" si="2268"/>
        <v>-964</v>
      </c>
      <c r="EJ395" s="860">
        <f t="shared" si="2212"/>
        <v>38.705035971223012</v>
      </c>
      <c r="EK395" s="117">
        <f t="shared" ref="EK395:EM395" si="2269">EK423+EK456</f>
        <v>-1040</v>
      </c>
      <c r="EL395" s="860">
        <f t="shared" si="2213"/>
        <v>31.313131313131315</v>
      </c>
      <c r="EM395" s="117">
        <f t="shared" si="2269"/>
        <v>-1020</v>
      </c>
      <c r="EN395" s="860">
        <f t="shared" si="2214"/>
        <v>28.140703517587951</v>
      </c>
      <c r="EO395" s="117">
        <f t="shared" ref="EO395" si="2270">EO423+EO456</f>
        <v>-1188</v>
      </c>
      <c r="EP395" s="98">
        <f t="shared" si="2215"/>
        <v>37.341040462427742</v>
      </c>
      <c r="EQ395" s="1031">
        <f t="shared" ref="EQ395" si="2271">EQ423+EQ456</f>
        <v>-1199.9941570838919</v>
      </c>
      <c r="ER395" s="98">
        <f t="shared" si="2217"/>
        <v>24.480721689200415</v>
      </c>
      <c r="ES395" s="1031">
        <f t="shared" ref="ES395" si="2272">ES423+ES456</f>
        <v>-1155.6296029670559</v>
      </c>
      <c r="ET395" s="98">
        <f t="shared" si="2219"/>
        <v>11.118231054524607</v>
      </c>
      <c r="EU395" s="1031">
        <f t="shared" ref="EU395" si="2273">EU423+EU456</f>
        <v>-1134.3928310618669</v>
      </c>
      <c r="EV395" s="98">
        <f t="shared" si="2221"/>
        <v>11.214983437437942</v>
      </c>
      <c r="EW395" s="1031">
        <f t="shared" ref="EW395" si="2274">EW423+EW456</f>
        <v>-1113.0503758995226</v>
      </c>
      <c r="EX395" s="98">
        <f t="shared" si="2223"/>
        <v>-6.3088909175486041</v>
      </c>
      <c r="EY395" s="119"/>
      <c r="EZ395" s="594"/>
      <c r="FA395" s="405"/>
      <c r="FB395" s="95" t="s">
        <v>494</v>
      </c>
      <c r="FC395" s="98"/>
      <c r="FD395" s="101">
        <v>-1226</v>
      </c>
      <c r="FE395" s="98" t="str">
        <f t="shared" si="2224"/>
        <v>NA</v>
      </c>
      <c r="FF395" s="118"/>
      <c r="FG395" s="98"/>
      <c r="FH395" s="118"/>
      <c r="FI395" s="98"/>
      <c r="FJ395" s="118"/>
      <c r="FK395" s="98"/>
      <c r="FL395" s="118"/>
      <c r="FM395" s="98"/>
      <c r="FN395" s="118"/>
      <c r="FO395" s="98"/>
      <c r="FP395" s="118"/>
      <c r="FQ395" s="98"/>
      <c r="FR395" s="119"/>
      <c r="FS395" s="120"/>
      <c r="FT395" s="119"/>
      <c r="FU395" s="120"/>
      <c r="FV395" s="119">
        <f>BO395+BQ395+BS395+BU395</f>
        <v>-8530</v>
      </c>
      <c r="FW395" s="98" t="str">
        <f t="shared" si="2225"/>
        <v>NA</v>
      </c>
      <c r="FX395" s="485">
        <f>BW395+BY395+CA395+CC395</f>
        <v>-5406</v>
      </c>
      <c r="FY395" s="98">
        <f t="shared" si="2226"/>
        <v>-36.623681125439624</v>
      </c>
      <c r="FZ395" s="119">
        <f>CE395+CG395+CI395+CK395</f>
        <v>-6908</v>
      </c>
      <c r="GA395" s="98">
        <f t="shared" si="2227"/>
        <v>27.783943766185715</v>
      </c>
      <c r="GB395" s="485">
        <f>CM395+CO395+CQ395+CS395</f>
        <v>-8541</v>
      </c>
      <c r="GC395" s="98">
        <f t="shared" si="2228"/>
        <v>23.639258830341635</v>
      </c>
      <c r="GD395" s="119">
        <f>CU395+CW395+CY395+DA395</f>
        <v>-8450</v>
      </c>
      <c r="GE395" s="98">
        <f t="shared" si="2229"/>
        <v>-1.0654490106544956</v>
      </c>
      <c r="GF395" s="119">
        <f>DC395+DE395+DG395+DI395</f>
        <v>-9502</v>
      </c>
      <c r="GG395" s="98">
        <f t="shared" si="2230"/>
        <v>12.44970414201183</v>
      </c>
      <c r="GH395" s="119">
        <f>DK395+DM395+DO395+DQ395</f>
        <v>-11331</v>
      </c>
      <c r="GI395" s="98">
        <f t="shared" si="2231"/>
        <v>19.248579246474428</v>
      </c>
      <c r="GJ395" s="119">
        <f>DS395+DU395+DW395+DY395</f>
        <v>-3328</v>
      </c>
      <c r="GK395" s="98" t="str">
        <f t="shared" si="2232"/>
        <v>NM</v>
      </c>
      <c r="GL395" s="119">
        <f>EA395+EC395+EE395+EG395</f>
        <v>-3148</v>
      </c>
      <c r="GM395" s="98">
        <f t="shared" si="2233"/>
        <v>-5.4086538461538431</v>
      </c>
      <c r="GN395" s="119">
        <f>EI395+EK395+EM395+EO395</f>
        <v>-4212</v>
      </c>
      <c r="GO395" s="98">
        <f t="shared" si="2233"/>
        <v>33.799237611181709</v>
      </c>
      <c r="GP395" s="119">
        <f>EQ395+ES395+EU395+EW395</f>
        <v>-4603.066967012337</v>
      </c>
      <c r="GQ395" s="98">
        <f t="shared" si="2233"/>
        <v>9.2845908597420923</v>
      </c>
      <c r="GR395" s="117">
        <f t="shared" ref="GR395" si="2275">GR423+GR456</f>
        <v>-4409.0394099919949</v>
      </c>
      <c r="GS395" s="98">
        <f t="shared" si="2233"/>
        <v>-4.215179974804439</v>
      </c>
      <c r="GT395" s="117">
        <f t="shared" ref="GT395" si="2276">GT423+GT456</f>
        <v>-4053.9848270477437</v>
      </c>
      <c r="GU395" s="98">
        <f t="shared" si="2233"/>
        <v>-8.0528784147315235</v>
      </c>
      <c r="GV395" s="117">
        <f t="shared" ref="GV395:GX395" si="2277">GV423+GV456</f>
        <v>-3672.4095147335115</v>
      </c>
      <c r="GW395" s="98">
        <f t="shared" si="2233"/>
        <v>-9.4123517623549873</v>
      </c>
      <c r="GX395" s="117">
        <f t="shared" si="2277"/>
        <v>-3274.9722706399643</v>
      </c>
      <c r="GY395" s="98">
        <f t="shared" si="2234"/>
        <v>-10.822247423634268</v>
      </c>
      <c r="GZ395" s="98">
        <f t="shared" si="2235"/>
        <v>-4.9080281936364596</v>
      </c>
      <c r="HA395" s="98"/>
      <c r="HB395" s="10"/>
      <c r="HC395"/>
      <c r="HD395"/>
      <c r="HE395"/>
      <c r="HF395"/>
      <c r="HG395"/>
      <c r="HH395"/>
      <c r="HI395" s="10"/>
    </row>
    <row r="396" spans="1:217" s="2" customFormat="1" ht="12.75" customHeight="1" x14ac:dyDescent="0.2">
      <c r="B396" s="91" t="s">
        <v>368</v>
      </c>
      <c r="C396" s="101"/>
      <c r="D396" s="113"/>
      <c r="E396" s="101"/>
      <c r="F396" s="113"/>
      <c r="G396" s="101"/>
      <c r="H396" s="113"/>
      <c r="I396" s="101"/>
      <c r="J396" s="98"/>
      <c r="K396" s="101"/>
      <c r="L396" s="98"/>
      <c r="M396" s="101"/>
      <c r="N396" s="98"/>
      <c r="O396" s="101"/>
      <c r="P396" s="98"/>
      <c r="Q396" s="101"/>
      <c r="R396" s="98"/>
      <c r="S396" s="101"/>
      <c r="T396" s="98"/>
      <c r="U396" s="101"/>
      <c r="V396" s="98"/>
      <c r="W396" s="101"/>
      <c r="X396" s="98"/>
      <c r="Y396" s="101"/>
      <c r="Z396" s="98"/>
      <c r="AA396" s="101"/>
      <c r="AB396" s="98"/>
      <c r="AC396" s="101"/>
      <c r="AD396" s="98"/>
      <c r="AE396" s="101"/>
      <c r="AF396" s="98"/>
      <c r="AG396" s="101"/>
      <c r="AH396" s="98"/>
      <c r="AI396" s="101"/>
      <c r="AJ396" s="98"/>
      <c r="AK396" s="101"/>
      <c r="AL396" s="98"/>
      <c r="AM396" s="101"/>
      <c r="AN396" s="98"/>
      <c r="AO396" s="101"/>
      <c r="AP396" s="98"/>
      <c r="AQ396" s="101"/>
      <c r="AR396" s="98"/>
      <c r="AS396" s="101"/>
      <c r="AT396" s="98"/>
      <c r="AU396" s="101"/>
      <c r="AV396" s="98"/>
      <c r="AW396" s="101"/>
      <c r="AX396" s="98"/>
      <c r="AY396" s="101"/>
      <c r="AZ396" s="98"/>
      <c r="BA396" s="101"/>
      <c r="BB396" s="98"/>
      <c r="BC396" s="101"/>
      <c r="BD396" s="98"/>
      <c r="BE396" s="101"/>
      <c r="BF396" s="98"/>
      <c r="BG396" s="101"/>
      <c r="BH396" s="98"/>
      <c r="BI396" s="101"/>
      <c r="BJ396" s="98"/>
      <c r="BK396" s="101"/>
      <c r="BL396" s="98"/>
      <c r="BM396" s="101">
        <f>942-397+2</f>
        <v>547</v>
      </c>
      <c r="BN396" s="98" t="str">
        <f t="shared" si="2175"/>
        <v>NA</v>
      </c>
      <c r="BO396" s="101">
        <f>307-364+4</f>
        <v>-53</v>
      </c>
      <c r="BP396" s="98" t="str">
        <f t="shared" si="2176"/>
        <v>NA</v>
      </c>
      <c r="BQ396" s="101">
        <f>683-384-2</f>
        <v>297</v>
      </c>
      <c r="BR396" s="98" t="str">
        <f t="shared" si="2177"/>
        <v>NA</v>
      </c>
      <c r="BS396" s="101">
        <f>315-364+2</f>
        <v>-47</v>
      </c>
      <c r="BT396" s="98" t="str">
        <f t="shared" si="2178"/>
        <v>NA</v>
      </c>
      <c r="BU396" s="101">
        <f>-1-288+9</f>
        <v>-280</v>
      </c>
      <c r="BV396" s="98" t="str">
        <f t="shared" si="2179"/>
        <v>NM</v>
      </c>
      <c r="BW396" s="101">
        <f>231-271+5</f>
        <v>-35</v>
      </c>
      <c r="BX396" s="98">
        <f t="shared" si="2180"/>
        <v>-33.962264150943398</v>
      </c>
      <c r="BY396" s="101">
        <f>1217-322</f>
        <v>895</v>
      </c>
      <c r="BZ396" s="98" t="str">
        <f t="shared" si="2181"/>
        <v>NM</v>
      </c>
      <c r="CA396" s="101">
        <f>82142-CA395-CA394-CA393-CA392</f>
        <v>644</v>
      </c>
      <c r="CB396" s="98" t="str">
        <f t="shared" si="2182"/>
        <v>NM</v>
      </c>
      <c r="CC396" s="101">
        <f>-150+946-392+2</f>
        <v>406</v>
      </c>
      <c r="CD396" s="98" t="str">
        <f t="shared" si="2183"/>
        <v>NM</v>
      </c>
      <c r="CE396" s="101">
        <f>892-406-1-179</f>
        <v>306</v>
      </c>
      <c r="CF396" s="98" t="str">
        <f t="shared" si="2184"/>
        <v>NM</v>
      </c>
      <c r="CG396" s="101">
        <f>689-454+0-193</f>
        <v>42</v>
      </c>
      <c r="CH396" s="98" t="str">
        <f t="shared" si="2185"/>
        <v>NM</v>
      </c>
      <c r="CI396" s="101">
        <f>808-453-183</f>
        <v>172</v>
      </c>
      <c r="CJ396" s="98" t="str">
        <f t="shared" si="2186"/>
        <v>NM</v>
      </c>
      <c r="CK396" s="101">
        <f>1131-496-205</f>
        <v>430</v>
      </c>
      <c r="CL396" s="98">
        <f t="shared" si="2187"/>
        <v>5.9113300492610765</v>
      </c>
      <c r="CM396" s="101">
        <f>846-529+1-208</f>
        <v>110</v>
      </c>
      <c r="CN396" s="98" t="str">
        <f t="shared" si="2188"/>
        <v>NM</v>
      </c>
      <c r="CO396" s="101">
        <f>733-589-219</f>
        <v>-75</v>
      </c>
      <c r="CP396" s="98" t="str">
        <f t="shared" si="2189"/>
        <v>NM</v>
      </c>
      <c r="CQ396" s="542">
        <f>624-574+5-209</f>
        <v>-154</v>
      </c>
      <c r="CR396" s="98" t="str">
        <f t="shared" si="2190"/>
        <v>NM</v>
      </c>
      <c r="CS396" s="101">
        <f>-203+1401-589</f>
        <v>609</v>
      </c>
      <c r="CT396" s="98">
        <f t="shared" si="2191"/>
        <v>41.627906976744185</v>
      </c>
      <c r="CU396" s="101">
        <f>-242+1251-652+1</f>
        <v>358</v>
      </c>
      <c r="CV396" s="98" t="str">
        <f t="shared" si="2192"/>
        <v>NM</v>
      </c>
      <c r="CW396" s="101">
        <f>-254+750-723+1</f>
        <v>-226</v>
      </c>
      <c r="CX396" s="98" t="str">
        <f t="shared" si="2193"/>
        <v>NM</v>
      </c>
      <c r="CY396" s="101">
        <f>-242+604-750+2</f>
        <v>-386</v>
      </c>
      <c r="CZ396" s="98" t="str">
        <f t="shared" si="2194"/>
        <v>NM</v>
      </c>
      <c r="DA396" s="101">
        <f>-283+335-788+1</f>
        <v>-735</v>
      </c>
      <c r="DB396" s="98" t="str">
        <f t="shared" si="2195"/>
        <v>NM</v>
      </c>
      <c r="DC396" s="101">
        <f>-269+555-734+1</f>
        <v>-447</v>
      </c>
      <c r="DD396" s="98" t="str">
        <f t="shared" si="2196"/>
        <v>NM</v>
      </c>
      <c r="DE396" s="101">
        <f>-317+214-860</f>
        <v>-963</v>
      </c>
      <c r="DF396" s="98" t="str">
        <f t="shared" si="2197"/>
        <v>NM</v>
      </c>
      <c r="DG396" s="101">
        <f>-295-58-903</f>
        <v>-1256</v>
      </c>
      <c r="DH396" s="98" t="str">
        <f t="shared" si="2198"/>
        <v>NM</v>
      </c>
      <c r="DI396" s="101">
        <f>-301+119-880</f>
        <v>-1062</v>
      </c>
      <c r="DJ396" s="98">
        <f t="shared" si="2199"/>
        <v>44.489795918367349</v>
      </c>
      <c r="DK396" s="101">
        <f>-320+21-849+2</f>
        <v>-1146</v>
      </c>
      <c r="DL396" s="98" t="str">
        <f t="shared" si="2200"/>
        <v>NM</v>
      </c>
      <c r="DM396" s="101">
        <f>-359+10-913-1</f>
        <v>-1263</v>
      </c>
      <c r="DN396" s="98">
        <f t="shared" si="2201"/>
        <v>31.152647975077883</v>
      </c>
      <c r="DO396" s="101">
        <f>-321-34-943</f>
        <v>-1298</v>
      </c>
      <c r="DP396" s="98">
        <f t="shared" si="2202"/>
        <v>3.3439490445859921</v>
      </c>
      <c r="DQ396" s="101">
        <f>-330+-2+-910+-1</f>
        <v>-1243</v>
      </c>
      <c r="DR396" s="98">
        <f t="shared" si="2203"/>
        <v>17.043314500941609</v>
      </c>
      <c r="DS396" s="117">
        <f>DS424+DS457</f>
        <v>-412</v>
      </c>
      <c r="DT396" s="98" t="str">
        <f t="shared" si="2204"/>
        <v>NM</v>
      </c>
      <c r="DU396" s="117">
        <f>DU424+DU457</f>
        <v>-420</v>
      </c>
      <c r="DV396" s="98" t="str">
        <f t="shared" si="2205"/>
        <v>NM</v>
      </c>
      <c r="DW396" s="117">
        <f t="shared" ref="DW396" si="2278">DW424+DW457</f>
        <v>-483</v>
      </c>
      <c r="DX396" s="98" t="str">
        <f t="shared" si="2206"/>
        <v>NM</v>
      </c>
      <c r="DY396" s="117">
        <f t="shared" ref="DY396" si="2279">DY424+DY457</f>
        <v>-362</v>
      </c>
      <c r="DZ396" s="98" t="str">
        <f t="shared" si="2207"/>
        <v>NM</v>
      </c>
      <c r="EA396" s="117">
        <f t="shared" ref="EA396" si="2280">EA424+EA457</f>
        <v>-438</v>
      </c>
      <c r="EB396" s="98">
        <f t="shared" si="2208"/>
        <v>6.3106796116504826</v>
      </c>
      <c r="EC396" s="117">
        <f t="shared" ref="EC396:EE396" si="2281">EC424+EC457</f>
        <v>-460</v>
      </c>
      <c r="ED396" s="98">
        <f t="shared" si="2209"/>
        <v>9.5238095238095344</v>
      </c>
      <c r="EE396" s="117">
        <f t="shared" si="2281"/>
        <v>-510</v>
      </c>
      <c r="EF396" s="860">
        <f t="shared" si="2210"/>
        <v>5.5900621118012417</v>
      </c>
      <c r="EG396" s="117">
        <f t="shared" ref="EG396:EI396" si="2282">EG424+EG457</f>
        <v>-452</v>
      </c>
      <c r="EH396" s="860">
        <f t="shared" si="2211"/>
        <v>24.861878453038667</v>
      </c>
      <c r="EI396" s="117">
        <f t="shared" si="2282"/>
        <v>-424</v>
      </c>
      <c r="EJ396" s="860">
        <f t="shared" si="2212"/>
        <v>-3.1963470319634757</v>
      </c>
      <c r="EK396" s="117">
        <f t="shared" ref="EK396:EM396" si="2283">EK424+EK457</f>
        <v>-450</v>
      </c>
      <c r="EL396" s="860">
        <f t="shared" si="2213"/>
        <v>-2.1739130434782594</v>
      </c>
      <c r="EM396" s="117">
        <f t="shared" si="2283"/>
        <v>-473</v>
      </c>
      <c r="EN396" s="860">
        <f t="shared" si="2214"/>
        <v>-7.2549019607843102</v>
      </c>
      <c r="EO396" s="117">
        <f t="shared" ref="EO396" si="2284">EO424+EO457</f>
        <v>-439</v>
      </c>
      <c r="EP396" s="98">
        <f t="shared" si="2215"/>
        <v>-2.8761061946902644</v>
      </c>
      <c r="EQ396" s="1031">
        <f t="shared" ref="EQ396" si="2285">EQ424+EQ457</f>
        <v>-439</v>
      </c>
      <c r="ER396" s="98">
        <f t="shared" si="2217"/>
        <v>3.5377358490566113</v>
      </c>
      <c r="ES396" s="1031">
        <f t="shared" ref="ES396" si="2286">ES424+ES457</f>
        <v>-439</v>
      </c>
      <c r="ET396" s="98">
        <f t="shared" si="2219"/>
        <v>-2.4444444444444491</v>
      </c>
      <c r="EU396" s="1031">
        <f t="shared" ref="EU396" si="2287">EU424+EU457</f>
        <v>-439</v>
      </c>
      <c r="EV396" s="98">
        <f t="shared" si="2221"/>
        <v>-7.1881606765327728</v>
      </c>
      <c r="EW396" s="1031">
        <f t="shared" ref="EW396" si="2288">EW424+EW457</f>
        <v>-439</v>
      </c>
      <c r="EX396" s="98">
        <f t="shared" si="2223"/>
        <v>0</v>
      </c>
      <c r="EY396" s="101"/>
      <c r="EZ396" s="594"/>
      <c r="FA396" s="405"/>
      <c r="FB396" s="121"/>
      <c r="FC396" s="113"/>
      <c r="FD396" s="101">
        <v>0</v>
      </c>
      <c r="FE396" s="98" t="str">
        <f t="shared" si="2224"/>
        <v>NA</v>
      </c>
      <c r="FF396" s="101"/>
      <c r="FG396" s="98"/>
      <c r="FH396" s="118"/>
      <c r="FI396" s="98"/>
      <c r="FJ396" s="118"/>
      <c r="FK396" s="98"/>
      <c r="FL396" s="118"/>
      <c r="FM396" s="98"/>
      <c r="FN396" s="118"/>
      <c r="FO396" s="98"/>
      <c r="FP396" s="118"/>
      <c r="FQ396" s="98"/>
      <c r="FR396" s="100"/>
      <c r="FS396" s="120"/>
      <c r="FT396" s="100"/>
      <c r="FU396" s="120"/>
      <c r="FV396" s="100">
        <f>BO396+BQ396+BS396+BU396</f>
        <v>-83</v>
      </c>
      <c r="FW396" s="98" t="str">
        <f t="shared" si="2225"/>
        <v>NA</v>
      </c>
      <c r="FX396" s="485">
        <f>BW396+BY396+CA396+CC396</f>
        <v>1910</v>
      </c>
      <c r="FY396" s="98" t="str">
        <f t="shared" si="2226"/>
        <v>NM</v>
      </c>
      <c r="FZ396" s="119">
        <f>CE396+CG396+CI396+CK396</f>
        <v>950</v>
      </c>
      <c r="GA396" s="98" t="str">
        <f t="shared" si="2227"/>
        <v>NM</v>
      </c>
      <c r="GB396" s="485">
        <f>CM396+CO396+CQ396+CS396</f>
        <v>490</v>
      </c>
      <c r="GC396" s="98">
        <f t="shared" si="2228"/>
        <v>-48.421052631578945</v>
      </c>
      <c r="GD396" s="119">
        <f>CU396+CW396+CY396+DA396</f>
        <v>-989</v>
      </c>
      <c r="GE396" s="98" t="str">
        <f t="shared" si="2229"/>
        <v>NM</v>
      </c>
      <c r="GF396" s="119">
        <f>DC396+DE396+DG396+DI396</f>
        <v>-3728</v>
      </c>
      <c r="GG396" s="98" t="str">
        <f t="shared" si="2230"/>
        <v>NM</v>
      </c>
      <c r="GH396" s="119">
        <f>DK396+DM396+DO396+DQ396</f>
        <v>-4950</v>
      </c>
      <c r="GI396" s="98">
        <f t="shared" si="2231"/>
        <v>32.778969957081536</v>
      </c>
      <c r="GJ396" s="119">
        <f>DS396+DU396+DW396+DY396</f>
        <v>-1677</v>
      </c>
      <c r="GK396" s="98" t="str">
        <f t="shared" si="2232"/>
        <v>NM</v>
      </c>
      <c r="GL396" s="119">
        <f>EA396+EC396+EE396+EG396</f>
        <v>-1860</v>
      </c>
      <c r="GM396" s="98">
        <f t="shared" si="2233"/>
        <v>10.912343470482998</v>
      </c>
      <c r="GN396" s="119">
        <f>EI396+EK396+EM396+EO396</f>
        <v>-1786</v>
      </c>
      <c r="GO396" s="98">
        <f t="shared" si="2233"/>
        <v>-3.9784946236559149</v>
      </c>
      <c r="GP396" s="119">
        <f>EQ396+ES396+EU396+EW396</f>
        <v>-1756</v>
      </c>
      <c r="GQ396" s="98">
        <f t="shared" si="2233"/>
        <v>-1.6797312430011146</v>
      </c>
      <c r="GR396" s="117">
        <f t="shared" ref="GR396" si="2289">GR424+GR457</f>
        <v>-1773.56</v>
      </c>
      <c r="GS396" s="98">
        <f t="shared" si="2233"/>
        <v>1.0000000000000009</v>
      </c>
      <c r="GT396" s="117">
        <f t="shared" ref="GT396" si="2290">GT424+GT457</f>
        <v>-1791.2955999999999</v>
      </c>
      <c r="GU396" s="98">
        <f t="shared" si="2233"/>
        <v>1.0000000000000009</v>
      </c>
      <c r="GV396" s="117">
        <f t="shared" ref="GV396:GX396" si="2291">GV424+GV457</f>
        <v>-1809.208556</v>
      </c>
      <c r="GW396" s="98">
        <f t="shared" si="2233"/>
        <v>1.0000000000000009</v>
      </c>
      <c r="GX396" s="117">
        <f t="shared" si="2291"/>
        <v>-1827.3006415600003</v>
      </c>
      <c r="GY396" s="98">
        <f t="shared" si="2234"/>
        <v>1.0000000000000009</v>
      </c>
      <c r="GZ396" s="98">
        <f t="shared" si="2235"/>
        <v>0.45827359973349413</v>
      </c>
      <c r="HA396" s="98"/>
      <c r="HB396" s="10"/>
      <c r="HC396"/>
      <c r="HD396"/>
      <c r="HE396"/>
      <c r="HF396"/>
      <c r="HG396"/>
      <c r="HH396"/>
      <c r="HI396" s="10"/>
    </row>
    <row r="397" spans="1:217" s="2" customFormat="1" ht="12.75" customHeight="1" x14ac:dyDescent="0.2">
      <c r="A397" s="2" t="s">
        <v>65</v>
      </c>
      <c r="B397" s="91" t="s">
        <v>12</v>
      </c>
      <c r="C397" s="117"/>
      <c r="D397" s="98"/>
      <c r="E397" s="117"/>
      <c r="F397" s="98"/>
      <c r="G397" s="117"/>
      <c r="H397" s="98"/>
      <c r="I397" s="117"/>
      <c r="J397" s="98"/>
      <c r="K397" s="117"/>
      <c r="L397" s="98"/>
      <c r="M397" s="117"/>
      <c r="N397" s="98"/>
      <c r="O397" s="117"/>
      <c r="P397" s="98"/>
      <c r="Q397" s="117"/>
      <c r="R397" s="98"/>
      <c r="S397" s="117"/>
      <c r="T397" s="98"/>
      <c r="U397" s="117"/>
      <c r="V397" s="98"/>
      <c r="W397" s="117"/>
      <c r="X397" s="98"/>
      <c r="Y397" s="117"/>
      <c r="Z397" s="98"/>
      <c r="AA397" s="117"/>
      <c r="AB397" s="98"/>
      <c r="AC397" s="117"/>
      <c r="AD397" s="98"/>
      <c r="AE397" s="117"/>
      <c r="AF397" s="98"/>
      <c r="AG397" s="117"/>
      <c r="AH397" s="98"/>
      <c r="AI397" s="117"/>
      <c r="AJ397" s="98"/>
      <c r="AK397" s="117"/>
      <c r="AL397" s="98"/>
      <c r="AM397" s="117"/>
      <c r="AN397" s="98"/>
      <c r="AO397" s="117"/>
      <c r="AP397" s="98"/>
      <c r="AQ397" s="117"/>
      <c r="AR397" s="98"/>
      <c r="AS397" s="117"/>
      <c r="AT397" s="98"/>
      <c r="AU397" s="117"/>
      <c r="AV397" s="98"/>
      <c r="AW397" s="117"/>
      <c r="AX397" s="98"/>
      <c r="AY397" s="117"/>
      <c r="AZ397" s="98"/>
      <c r="BA397" s="117"/>
      <c r="BB397" s="98"/>
      <c r="BC397" s="117"/>
      <c r="BD397" s="98"/>
      <c r="BE397" s="117"/>
      <c r="BF397" s="98"/>
      <c r="BG397" s="117"/>
      <c r="BH397" s="98"/>
      <c r="BI397" s="117"/>
      <c r="BJ397" s="98"/>
      <c r="BK397" s="117"/>
      <c r="BL397" s="98"/>
      <c r="BM397" s="117">
        <f>SUM(BM392:BM396)</f>
        <v>92080</v>
      </c>
      <c r="BN397" s="98" t="str">
        <f t="shared" si="2175"/>
        <v>NA</v>
      </c>
      <c r="BO397" s="117">
        <f>SUM(BO392:BO396)</f>
        <v>84826</v>
      </c>
      <c r="BP397" s="98" t="str">
        <f t="shared" si="2176"/>
        <v>NA</v>
      </c>
      <c r="BQ397" s="117">
        <f>SUM(BQ392:BQ396)</f>
        <v>84273</v>
      </c>
      <c r="BR397" s="98" t="str">
        <f t="shared" si="2177"/>
        <v>NA</v>
      </c>
      <c r="BS397" s="117">
        <f>SUM(BS392:BS396)</f>
        <v>75938</v>
      </c>
      <c r="BT397" s="98" t="str">
        <f t="shared" si="2178"/>
        <v>NA</v>
      </c>
      <c r="BU397" s="117">
        <f>SUM(BU392:BU396)</f>
        <v>62264</v>
      </c>
      <c r="BV397" s="98">
        <f t="shared" si="2179"/>
        <v>-32.380538662033011</v>
      </c>
      <c r="BW397" s="117">
        <f>SUM(BW392:BW396)</f>
        <v>59194</v>
      </c>
      <c r="BX397" s="98">
        <f t="shared" si="2180"/>
        <v>-30.217150401999383</v>
      </c>
      <c r="BY397" s="117">
        <f>SUM(BY392:BY396)</f>
        <v>70538</v>
      </c>
      <c r="BZ397" s="98">
        <f t="shared" si="2181"/>
        <v>-16.298221257104885</v>
      </c>
      <c r="CA397" s="117">
        <f>SUM(CA392:CA396)</f>
        <v>82142</v>
      </c>
      <c r="CB397" s="98">
        <f t="shared" si="2182"/>
        <v>8.1698227501382661</v>
      </c>
      <c r="CC397" s="117">
        <f>SUM(CC392:CC396)</f>
        <v>87157</v>
      </c>
      <c r="CD397" s="98">
        <f t="shared" si="2183"/>
        <v>39.979763587305662</v>
      </c>
      <c r="CE397" s="117">
        <f>SUM(CE392:CE396)</f>
        <v>92603</v>
      </c>
      <c r="CF397" s="98">
        <f t="shared" si="2184"/>
        <v>56.439841875865795</v>
      </c>
      <c r="CG397" s="117">
        <f>SUM(CG392:CG396)</f>
        <v>87367</v>
      </c>
      <c r="CH397" s="98">
        <f t="shared" si="2185"/>
        <v>23.858062321018458</v>
      </c>
      <c r="CI397" s="117">
        <f>SUM(CI392:CI396)</f>
        <v>97587</v>
      </c>
      <c r="CJ397" s="98">
        <f t="shared" si="2186"/>
        <v>18.802804898833724</v>
      </c>
      <c r="CK397" s="117">
        <f>SUM(CK392:CK396)</f>
        <v>107335</v>
      </c>
      <c r="CL397" s="98">
        <f t="shared" si="2187"/>
        <v>23.15132462108609</v>
      </c>
      <c r="CM397" s="117">
        <f>SUM(CM392:CM396)</f>
        <v>114510</v>
      </c>
      <c r="CN397" s="98">
        <f t="shared" si="2188"/>
        <v>23.656900964331619</v>
      </c>
      <c r="CO397" s="117">
        <f>SUM(CO392:CO396)</f>
        <v>118463</v>
      </c>
      <c r="CP397" s="98">
        <f t="shared" si="2189"/>
        <v>35.592386141220381</v>
      </c>
      <c r="CQ397" s="486">
        <f>SUM(CQ392:CQ396)</f>
        <v>108655</v>
      </c>
      <c r="CR397" s="98">
        <f t="shared" si="2190"/>
        <v>11.341674608298247</v>
      </c>
      <c r="CS397" s="117">
        <f>SUM(CS392:CS396)</f>
        <v>120263</v>
      </c>
      <c r="CT397" s="98">
        <f t="shared" si="2191"/>
        <v>12.044533469977182</v>
      </c>
      <c r="CU397" s="117">
        <f>SUM(CU392:CU396)</f>
        <v>133462</v>
      </c>
      <c r="CV397" s="98">
        <f t="shared" si="2192"/>
        <v>16.550519605274651</v>
      </c>
      <c r="CW397" s="117">
        <f>SUM(CW392:CW396)</f>
        <v>131416</v>
      </c>
      <c r="CX397" s="98">
        <f t="shared" si="2193"/>
        <v>10.934215746688846</v>
      </c>
      <c r="CY397" s="117">
        <f>SUM(CY392:CY396)</f>
        <v>139484</v>
      </c>
      <c r="CZ397" s="98">
        <f t="shared" si="2194"/>
        <v>28.373291611062545</v>
      </c>
      <c r="DA397" s="117">
        <f>SUM(DA392:DA396)</f>
        <v>142050</v>
      </c>
      <c r="DB397" s="98">
        <f t="shared" si="2195"/>
        <v>18.116128817674593</v>
      </c>
      <c r="DC397" s="117">
        <f>SUM(DC392:DC396)</f>
        <v>150826</v>
      </c>
      <c r="DD397" s="98">
        <f t="shared" si="2196"/>
        <v>13.010444920651576</v>
      </c>
      <c r="DE397" s="117">
        <f>SUM(DE392:DE396)</f>
        <v>149117</v>
      </c>
      <c r="DF397" s="98">
        <f t="shared" si="2197"/>
        <v>13.469440555183532</v>
      </c>
      <c r="DG397" s="117">
        <f>SUM(DG392:DG396)</f>
        <v>155977</v>
      </c>
      <c r="DH397" s="98">
        <f t="shared" si="2198"/>
        <v>11.82429525967137</v>
      </c>
      <c r="DI397" s="117">
        <f>SUM(DI392:DI396)</f>
        <v>162436</v>
      </c>
      <c r="DJ397" s="98">
        <f t="shared" si="2199"/>
        <v>14.351284758887717</v>
      </c>
      <c r="DK397" s="117">
        <f>SUM(DK392:DK396)</f>
        <v>162713</v>
      </c>
      <c r="DL397" s="98">
        <f t="shared" si="2200"/>
        <v>7.8812671555302138</v>
      </c>
      <c r="DM397" s="117">
        <f>SUM(DM392:DM396)</f>
        <v>166093</v>
      </c>
      <c r="DN397" s="98">
        <f t="shared" si="2201"/>
        <v>11.384349202304222</v>
      </c>
      <c r="DO397" s="117">
        <f>SUM(DO392:DO396)</f>
        <v>160995</v>
      </c>
      <c r="DP397" s="98">
        <f t="shared" si="2202"/>
        <v>3.2171409887355118</v>
      </c>
      <c r="DQ397" s="117">
        <f>SUM(DQ392:DQ396)</f>
        <v>161553</v>
      </c>
      <c r="DR397" s="98">
        <f t="shared" si="2203"/>
        <v>-0.54359870964564294</v>
      </c>
      <c r="DS397" s="117">
        <f>SUM(DS392:DS396)</f>
        <v>51822</v>
      </c>
      <c r="DT397" s="98" t="str">
        <f t="shared" si="2204"/>
        <v>NM</v>
      </c>
      <c r="DU397" s="117">
        <f>SUM(DU392:DU396)</f>
        <v>51091</v>
      </c>
      <c r="DV397" s="98" t="str">
        <f t="shared" si="2205"/>
        <v>NM</v>
      </c>
      <c r="DW397" s="117">
        <f>SUM(DW392:DW396)</f>
        <v>47572</v>
      </c>
      <c r="DX397" s="98" t="str">
        <f t="shared" si="2206"/>
        <v>NM</v>
      </c>
      <c r="DY397" s="117">
        <f>SUM(DY392:DY396)</f>
        <v>48590</v>
      </c>
      <c r="DZ397" s="98" t="str">
        <f t="shared" si="2207"/>
        <v>NM</v>
      </c>
      <c r="EA397" s="117">
        <f>SUM(EA392:EA396)</f>
        <v>48433</v>
      </c>
      <c r="EB397" s="98">
        <f t="shared" si="2208"/>
        <v>-6.5396935664389648</v>
      </c>
      <c r="EC397" s="117">
        <f>SUM(EC392:EC396)</f>
        <v>48913</v>
      </c>
      <c r="ED397" s="98">
        <f t="shared" si="2209"/>
        <v>-4.2629817384666531</v>
      </c>
      <c r="EE397" s="117">
        <f>SUM(EE392:EE396)</f>
        <v>49770</v>
      </c>
      <c r="EF397" s="860">
        <f t="shared" si="2210"/>
        <v>4.6203649205414976</v>
      </c>
      <c r="EG397" s="117">
        <f>SUM(EG392:EG396)</f>
        <v>48823</v>
      </c>
      <c r="EH397" s="860">
        <f t="shared" si="2211"/>
        <v>0.47952253550114232</v>
      </c>
      <c r="EI397" s="117">
        <f>SUM(EI392:EI396)</f>
        <v>50082</v>
      </c>
      <c r="EJ397" s="860">
        <f t="shared" si="2212"/>
        <v>3.4047034047034019</v>
      </c>
      <c r="EK397" s="117">
        <f>SUM(EK392:EK396)</f>
        <v>50444</v>
      </c>
      <c r="EL397" s="860">
        <f t="shared" si="2213"/>
        <v>3.1300472267086432</v>
      </c>
      <c r="EM397" s="117">
        <f>SUM(EM392:EM396)</f>
        <v>50948</v>
      </c>
      <c r="EN397" s="860">
        <f t="shared" si="2214"/>
        <v>2.3668876833433883</v>
      </c>
      <c r="EO397" s="117">
        <f>SUM(EO392:EO396)</f>
        <v>51533</v>
      </c>
      <c r="EP397" s="98">
        <f t="shared" si="2215"/>
        <v>5.5506625975462409</v>
      </c>
      <c r="EQ397" s="792">
        <f t="shared" ref="EQ397" si="2292">SUM(EQ392:EQ396)</f>
        <v>49674.118242916105</v>
      </c>
      <c r="ER397" s="98">
        <f t="shared" si="2217"/>
        <v>-0.8144278524897075</v>
      </c>
      <c r="ES397" s="792">
        <f t="shared" ref="ES397" si="2293">SUM(ES392:ES396)</f>
        <v>48806.330558864043</v>
      </c>
      <c r="ET397" s="98">
        <f t="shared" si="2219"/>
        <v>-3.2465098745855903</v>
      </c>
      <c r="EU397" s="792">
        <f t="shared" ref="EU397" si="2294">SUM(EU392:EU396)</f>
        <v>47932.556569508546</v>
      </c>
      <c r="EV397" s="98">
        <f t="shared" si="2221"/>
        <v>-5.9186688986642366</v>
      </c>
      <c r="EW397" s="792">
        <f t="shared" ref="EW397" si="2295">SUM(EW392:EW396)</f>
        <v>47055.725003693122</v>
      </c>
      <c r="EX397" s="98">
        <f t="shared" si="2223"/>
        <v>-8.688170679577901</v>
      </c>
      <c r="EY397" s="118"/>
      <c r="EZ397" s="594"/>
      <c r="FA397" s="405"/>
      <c r="FB397" s="121">
        <v>15844</v>
      </c>
      <c r="FC397" s="98"/>
      <c r="FD397" s="117">
        <f>SUM(FD392:FD396)</f>
        <v>21138</v>
      </c>
      <c r="FE397" s="98">
        <f t="shared" si="2224"/>
        <v>33.413279474880085</v>
      </c>
      <c r="FF397" s="118"/>
      <c r="FG397" s="98"/>
      <c r="FH397" s="118"/>
      <c r="FI397" s="98"/>
      <c r="FJ397" s="118"/>
      <c r="FK397" s="98"/>
      <c r="FL397" s="118"/>
      <c r="FM397" s="98"/>
      <c r="FN397" s="118"/>
      <c r="FO397" s="98"/>
      <c r="FP397" s="118"/>
      <c r="FQ397" s="98"/>
      <c r="FR397" s="119"/>
      <c r="FS397" s="120"/>
      <c r="FT397" s="119"/>
      <c r="FU397" s="120"/>
      <c r="FV397" s="119">
        <f>SUM(FV392:FV396)</f>
        <v>62264</v>
      </c>
      <c r="FW397" s="98" t="str">
        <f t="shared" si="2225"/>
        <v>NA</v>
      </c>
      <c r="FX397" s="485">
        <f>SUM(FX392:FX396)</f>
        <v>87157</v>
      </c>
      <c r="FY397" s="98">
        <f t="shared" si="2226"/>
        <v>39.979763587305662</v>
      </c>
      <c r="FZ397" s="119">
        <f>SUM(FZ392:FZ396)</f>
        <v>107335</v>
      </c>
      <c r="GA397" s="98">
        <f t="shared" si="2227"/>
        <v>23.15132462108609</v>
      </c>
      <c r="GB397" s="485">
        <f>SUM(GB392:GB396)</f>
        <v>120263</v>
      </c>
      <c r="GC397" s="98">
        <f t="shared" si="2228"/>
        <v>12.044533469977182</v>
      </c>
      <c r="GD397" s="119">
        <f>SUM(GD392:GD396)</f>
        <v>142050</v>
      </c>
      <c r="GE397" s="98">
        <f t="shared" si="2229"/>
        <v>18.116128817674593</v>
      </c>
      <c r="GF397" s="119">
        <f>SUM(GF392:GF396)</f>
        <v>162436</v>
      </c>
      <c r="GG397" s="98">
        <f t="shared" si="2230"/>
        <v>14.351284758887717</v>
      </c>
      <c r="GH397" s="119">
        <f>SUM(GH392:GH396)</f>
        <v>161553</v>
      </c>
      <c r="GI397" s="98">
        <f t="shared" si="2231"/>
        <v>-0.54359870964564294</v>
      </c>
      <c r="GJ397" s="119">
        <f>SUM(GJ392:GJ396)</f>
        <v>48590</v>
      </c>
      <c r="GK397" s="98" t="str">
        <f t="shared" si="2232"/>
        <v>NM</v>
      </c>
      <c r="GL397" s="119">
        <f>SUM(GL392:GL396)</f>
        <v>48823</v>
      </c>
      <c r="GM397" s="98">
        <f t="shared" si="2233"/>
        <v>0.47952253550114232</v>
      </c>
      <c r="GN397" s="119">
        <f>SUM(GN392:GN396)</f>
        <v>51533</v>
      </c>
      <c r="GO397" s="98">
        <f t="shared" si="2233"/>
        <v>5.5506625975462409</v>
      </c>
      <c r="GP397" s="119">
        <f>SUM(GP392:GP396)</f>
        <v>47055.725003693122</v>
      </c>
      <c r="GQ397" s="98">
        <f t="shared" si="2233"/>
        <v>-8.688170679577901</v>
      </c>
      <c r="GR397" s="118">
        <f>SUM(GR392:GR396)</f>
        <v>41520.38779284434</v>
      </c>
      <c r="GS397" s="98">
        <f t="shared" si="2233"/>
        <v>-11.763366116268203</v>
      </c>
      <c r="GT397" s="118">
        <f>SUM(GT392:GT396)</f>
        <v>36207.207837148249</v>
      </c>
      <c r="GU397" s="98">
        <f t="shared" si="2233"/>
        <v>-12.796556675252846</v>
      </c>
      <c r="GV397" s="118">
        <f>SUM(GV392:GV396)</f>
        <v>31181.638171081653</v>
      </c>
      <c r="GW397" s="98">
        <f t="shared" si="2233"/>
        <v>-13.880025459766077</v>
      </c>
      <c r="GX397" s="118">
        <f>SUM(GX392:GX396)</f>
        <v>26480.507276295317</v>
      </c>
      <c r="GY397" s="98">
        <f t="shared" si="2234"/>
        <v>-15.076600109952654</v>
      </c>
      <c r="GZ397" s="98">
        <f t="shared" si="2235"/>
        <v>-12.467733295436666</v>
      </c>
      <c r="HA397" s="98"/>
      <c r="HB397" s="10"/>
      <c r="HC397"/>
      <c r="HD397"/>
      <c r="HE397"/>
      <c r="HF397"/>
      <c r="HG397"/>
      <c r="HH397"/>
      <c r="HI397" s="10"/>
    </row>
    <row r="398" spans="1:217" s="2" customFormat="1" ht="12.75" customHeight="1" x14ac:dyDescent="0.2">
      <c r="B398" s="91" t="s">
        <v>313</v>
      </c>
      <c r="C398" s="117"/>
      <c r="D398" s="98"/>
      <c r="E398" s="117"/>
      <c r="F398" s="98"/>
      <c r="G398" s="117"/>
      <c r="H398" s="98"/>
      <c r="I398" s="117"/>
      <c r="J398" s="98"/>
      <c r="K398" s="117"/>
      <c r="L398" s="98"/>
      <c r="M398" s="117"/>
      <c r="N398" s="98"/>
      <c r="O398" s="117"/>
      <c r="P398" s="98"/>
      <c r="Q398" s="117"/>
      <c r="R398" s="98"/>
      <c r="S398" s="117"/>
      <c r="T398" s="98"/>
      <c r="U398" s="117"/>
      <c r="V398" s="98"/>
      <c r="W398" s="117"/>
      <c r="X398" s="98"/>
      <c r="Y398" s="117"/>
      <c r="Z398" s="98"/>
      <c r="AA398" s="117"/>
      <c r="AB398" s="98"/>
      <c r="AC398" s="117"/>
      <c r="AD398" s="98"/>
      <c r="AE398" s="117"/>
      <c r="AF398" s="98"/>
      <c r="AG398" s="117"/>
      <c r="AH398" s="98"/>
      <c r="AI398" s="117"/>
      <c r="AJ398" s="98"/>
      <c r="AK398" s="117"/>
      <c r="AL398" s="98"/>
      <c r="AM398" s="117"/>
      <c r="AN398" s="98"/>
      <c r="AO398" s="117"/>
      <c r="AP398" s="98"/>
      <c r="AQ398" s="117"/>
      <c r="AR398" s="98"/>
      <c r="AS398" s="117"/>
      <c r="AT398" s="98"/>
      <c r="AU398" s="117"/>
      <c r="AV398" s="98"/>
      <c r="AW398" s="117"/>
      <c r="AX398" s="98"/>
      <c r="AY398" s="117"/>
      <c r="AZ398" s="98"/>
      <c r="BA398" s="117"/>
      <c r="BB398" s="98"/>
      <c r="BC398" s="117"/>
      <c r="BD398" s="98"/>
      <c r="BE398" s="117"/>
      <c r="BF398" s="98"/>
      <c r="BG398" s="117"/>
      <c r="BH398" s="98"/>
      <c r="BI398" s="117"/>
      <c r="BJ398" s="98"/>
      <c r="BK398" s="117"/>
      <c r="BL398" s="98"/>
      <c r="BM398" s="117">
        <f>BM392+BM396+0.5*(SUM(BM393:BM395))</f>
        <v>92983.5</v>
      </c>
      <c r="BN398" s="98" t="str">
        <f t="shared" si="2175"/>
        <v>NA</v>
      </c>
      <c r="BO398" s="117">
        <f>BO392+BO396+0.5*(SUM(BO393:BO395))</f>
        <v>88426.5</v>
      </c>
      <c r="BP398" s="98" t="str">
        <f t="shared" si="2176"/>
        <v>NA</v>
      </c>
      <c r="BQ398" s="117">
        <f>BQ392+BQ396+0.5*(SUM(BQ393:BQ395))</f>
        <v>84698</v>
      </c>
      <c r="BR398" s="98" t="str">
        <f t="shared" si="2177"/>
        <v>NA</v>
      </c>
      <c r="BS398" s="117">
        <f>BS392+BS396+0.5*(SUM(BS393:BS395))</f>
        <v>80082</v>
      </c>
      <c r="BT398" s="98" t="str">
        <f t="shared" si="2178"/>
        <v>NA</v>
      </c>
      <c r="BU398" s="117">
        <f>BU392+BU396+0.5*(SUM(BU393:BU395))</f>
        <v>68961</v>
      </c>
      <c r="BV398" s="98">
        <f t="shared" si="2179"/>
        <v>-25.835228830921618</v>
      </c>
      <c r="BW398" s="117">
        <f>BW392+BW396+0.5*(SUM(BW393:BW395))</f>
        <v>60711.5</v>
      </c>
      <c r="BX398" s="98">
        <f t="shared" si="2180"/>
        <v>-31.342414321498644</v>
      </c>
      <c r="BY398" s="117">
        <f>BY392+BY396+0.5*(SUM(BY393:BY395))</f>
        <v>65313.5</v>
      </c>
      <c r="BZ398" s="98">
        <f t="shared" si="2181"/>
        <v>-22.886608892771964</v>
      </c>
      <c r="CA398" s="117">
        <f>CA392+CA396+0.5*(SUM(CA393:CA395))</f>
        <v>76662</v>
      </c>
      <c r="CB398" s="98">
        <f t="shared" si="2182"/>
        <v>-4.2706226118228834</v>
      </c>
      <c r="CC398" s="117">
        <f>CC392+CC396+0.5*(SUM(CC393:CC395))</f>
        <v>84852.5</v>
      </c>
      <c r="CD398" s="98">
        <f t="shared" si="2183"/>
        <v>23.044184394077803</v>
      </c>
      <c r="CE398" s="117">
        <f>CE392+CE396+0.5*(SUM(CE393:CE395))</f>
        <v>90033</v>
      </c>
      <c r="CF398" s="98">
        <f t="shared" si="2184"/>
        <v>48.296451248939661</v>
      </c>
      <c r="CG398" s="117">
        <f>CG392+CG396+0.5*(SUM(CG393:CG395))</f>
        <v>90006</v>
      </c>
      <c r="CH398" s="98">
        <f t="shared" si="2185"/>
        <v>37.806119714913457</v>
      </c>
      <c r="CI398" s="117">
        <f>CI392+CI396+0.5*(SUM(CI393:CI395))</f>
        <v>92563</v>
      </c>
      <c r="CJ398" s="98">
        <f t="shared" si="2186"/>
        <v>20.741697320706475</v>
      </c>
      <c r="CK398" s="117">
        <f>CK392+CK396+0.5*(SUM(CK393:CK395))</f>
        <v>102676</v>
      </c>
      <c r="CL398" s="98">
        <f t="shared" si="2187"/>
        <v>21.005273857576377</v>
      </c>
      <c r="CM398" s="117">
        <f>CM392+CM396+0.5*(SUM(CM393:CM395))</f>
        <v>110951</v>
      </c>
      <c r="CN398" s="98">
        <f t="shared" si="2188"/>
        <v>23.23370319771638</v>
      </c>
      <c r="CO398" s="117">
        <f>CO392+CO396+0.5*(SUM(CO393:CO395))</f>
        <v>116449</v>
      </c>
      <c r="CP398" s="98">
        <f t="shared" si="2189"/>
        <v>29.379152500944382</v>
      </c>
      <c r="CQ398" s="486">
        <f>CQ392+CQ396+0.5*(SUM(CQ393:CQ395))</f>
        <v>113482</v>
      </c>
      <c r="CR398" s="98">
        <f t="shared" si="2190"/>
        <v>22.599742877823758</v>
      </c>
      <c r="CS398" s="117">
        <f>CS392+CS396+0.5*(SUM(CS393:CS395))</f>
        <v>114763.5</v>
      </c>
      <c r="CT398" s="98">
        <f t="shared" si="2191"/>
        <v>11.772468736608355</v>
      </c>
      <c r="CU398" s="117">
        <f>CU392+CU396+0.5*(SUM(CU393:CU395))</f>
        <v>127041.5</v>
      </c>
      <c r="CV398" s="98">
        <f t="shared" si="2192"/>
        <v>14.502347883299826</v>
      </c>
      <c r="CW398" s="117">
        <f>CW392+CW396+0.5*(SUM(CW393:CW395))</f>
        <v>132326</v>
      </c>
      <c r="CX398" s="98">
        <f t="shared" si="2193"/>
        <v>13.634294841518614</v>
      </c>
      <c r="CY398" s="117">
        <f>CY392+CY396+0.5*(SUM(CY393:CY395))</f>
        <v>135257</v>
      </c>
      <c r="CZ398" s="98">
        <f t="shared" si="2194"/>
        <v>19.188065067587811</v>
      </c>
      <c r="DA398" s="117">
        <f>DA392+DA396+0.5*(SUM(DA393:DA395))</f>
        <v>140399.5</v>
      </c>
      <c r="DB398" s="98">
        <f t="shared" si="2195"/>
        <v>22.338112727478677</v>
      </c>
      <c r="DC398" s="117">
        <f>DC392+DC396+0.5*(SUM(DC393:DC395))</f>
        <v>146214.5</v>
      </c>
      <c r="DD398" s="98">
        <f t="shared" si="2196"/>
        <v>15.091918782445113</v>
      </c>
      <c r="DE398" s="117">
        <f>DE392+DE396+0.5*(SUM(DE393:DE395))</f>
        <v>149490</v>
      </c>
      <c r="DF398" s="98">
        <f t="shared" si="2197"/>
        <v>12.970995873826752</v>
      </c>
      <c r="DG398" s="117">
        <f>DG392+DG396+0.5*(SUM(DG393:DG395))</f>
        <v>151919</v>
      </c>
      <c r="DH398" s="98">
        <f t="shared" si="2198"/>
        <v>12.318770932373191</v>
      </c>
      <c r="DI398" s="117">
        <f>DI392+DI396+0.5*(SUM(DI393:DI395))</f>
        <v>158675.5</v>
      </c>
      <c r="DJ398" s="98">
        <f t="shared" si="2199"/>
        <v>13.017140374431534</v>
      </c>
      <c r="DK398" s="117">
        <f>DK392+DK396+0.5*(SUM(DK393:DK395))</f>
        <v>162001.5</v>
      </c>
      <c r="DL398" s="98">
        <f t="shared" si="2200"/>
        <v>10.797150761381392</v>
      </c>
      <c r="DM398" s="117">
        <f>DM392+DM396+0.5*(SUM(DM393:DM395))</f>
        <v>163771.5</v>
      </c>
      <c r="DN398" s="98">
        <f t="shared" si="2201"/>
        <v>9.5534818382500433</v>
      </c>
      <c r="DO398" s="117">
        <f>DO392+DO396+0.5*(SUM(DO393:DO395))</f>
        <v>162895</v>
      </c>
      <c r="DP398" s="98">
        <f t="shared" si="2202"/>
        <v>7.2249027442255365</v>
      </c>
      <c r="DQ398" s="117">
        <f>DQ392+DQ396+0.5*(SUM(DQ393:DQ395))</f>
        <v>160652.5</v>
      </c>
      <c r="DR398" s="98">
        <f t="shared" si="2203"/>
        <v>1.2459390391081238</v>
      </c>
      <c r="DS398" s="117">
        <f>DS392+DS396+0.5*(SUM(DS393:DS395))</f>
        <v>51215.5</v>
      </c>
      <c r="DT398" s="98" t="str">
        <f t="shared" si="2204"/>
        <v>NM</v>
      </c>
      <c r="DU398" s="117">
        <f>DU392+DU396+0.5*(SUM(DU393:DU395))</f>
        <v>51246.5</v>
      </c>
      <c r="DV398" s="98" t="str">
        <f t="shared" si="2205"/>
        <v>NM</v>
      </c>
      <c r="DW398" s="117">
        <f>DW392+DW396+0.5*(SUM(DW393:DW395))</f>
        <v>49090</v>
      </c>
      <c r="DX398" s="98" t="str">
        <f t="shared" si="2206"/>
        <v>NM</v>
      </c>
      <c r="DY398" s="117">
        <f>DY392+DY396+0.5*(SUM(DY393:DY395))</f>
        <v>47900</v>
      </c>
      <c r="DZ398" s="98" t="str">
        <f t="shared" si="2207"/>
        <v>NM</v>
      </c>
      <c r="EA398" s="118">
        <f>(EA392*0.95)+0.5*(EA393+EA395+EA396)</f>
        <v>45938.5</v>
      </c>
      <c r="EB398" s="98">
        <f t="shared" si="2208"/>
        <v>-10.303521394890215</v>
      </c>
      <c r="EC398" s="118">
        <f>(EC392*0.95)+0.5*(EC393+EC395+EC396)</f>
        <v>45693.85</v>
      </c>
      <c r="ED398" s="98">
        <f t="shared" si="2209"/>
        <v>-10.835178987833316</v>
      </c>
      <c r="EE398" s="118">
        <f>(EE392*0.95)+0.5*(EE393+EE395+EE396)</f>
        <v>45967.35</v>
      </c>
      <c r="EF398" s="860">
        <f t="shared" si="2210"/>
        <v>-6.3610715013241004</v>
      </c>
      <c r="EG398" s="118">
        <f>(EG392*0.95)+0.5*(EG393+EG395+EG396)</f>
        <v>46753</v>
      </c>
      <c r="EH398" s="860">
        <f t="shared" si="2211"/>
        <v>-2.3945720250521885</v>
      </c>
      <c r="EI398" s="118">
        <f>(EI392*0.95)+0.5*(EI393+EI395+EI396)</f>
        <v>45813.35</v>
      </c>
      <c r="EJ398" s="860">
        <f t="shared" si="2212"/>
        <v>-0.27242944371279609</v>
      </c>
      <c r="EK398" s="118">
        <f>(EK392*0.95)+0.5*(EK393+EK395+EK396)</f>
        <v>46953.399999999994</v>
      </c>
      <c r="EL398" s="860">
        <f t="shared" si="2213"/>
        <v>2.7564978656865025</v>
      </c>
      <c r="EM398" s="118">
        <f>(EM392*0.95)+0.5*(EM393+EM395+EM396)</f>
        <v>47276.799999999996</v>
      </c>
      <c r="EN398" s="860">
        <f t="shared" si="2214"/>
        <v>2.848652358685011</v>
      </c>
      <c r="EO398" s="118">
        <f>(EO392*0.95)+0.5*(EO393+EO395+EO396)</f>
        <v>47675.1</v>
      </c>
      <c r="EP398" s="98">
        <f t="shared" si="2215"/>
        <v>1.9722798536992325</v>
      </c>
      <c r="EQ398" s="118">
        <f>(EQ392*0.95)+0.5*(EQ393+EQ395+EQ396)</f>
        <v>48212.427921458053</v>
      </c>
      <c r="ER398" s="98">
        <f t="shared" si="2217"/>
        <v>5.2366350014964036</v>
      </c>
      <c r="ES398" s="118">
        <f t="shared" ref="ES398" si="2296">(ES392*0.95)+0.5*(ES393+ES395+ES396)</f>
        <v>46458.473779286767</v>
      </c>
      <c r="ET398" s="98">
        <f t="shared" si="2219"/>
        <v>-1.0540796208862946</v>
      </c>
      <c r="EU398" s="118">
        <f t="shared" ref="EU398" si="2297">(EU392*0.95)+0.5*(EU393+EU395+EU396)</f>
        <v>45636.289052889901</v>
      </c>
      <c r="EV398" s="98">
        <f t="shared" si="2221"/>
        <v>-3.4700126639495399</v>
      </c>
      <c r="EW398" s="118">
        <f t="shared" ref="EW398" si="2298">(EW392*0.95)+0.5*(EW393+EW395+EW396)</f>
        <v>44809.917618708358</v>
      </c>
      <c r="EX398" s="98">
        <f t="shared" si="2223"/>
        <v>-6.0098088547095641</v>
      </c>
      <c r="EY398" s="118"/>
      <c r="EZ398" s="594"/>
      <c r="FA398" s="405"/>
      <c r="FB398" s="118">
        <f>AVERAGE(FB397,FB392)</f>
        <v>15844</v>
      </c>
      <c r="FC398" s="98"/>
      <c r="FD398" s="117">
        <f>AVERAGE(FD397,FD392)</f>
        <v>18491</v>
      </c>
      <c r="FE398" s="98">
        <f t="shared" si="2224"/>
        <v>16.706639737440042</v>
      </c>
      <c r="FF398" s="118"/>
      <c r="FG398" s="98"/>
      <c r="FH398" s="118"/>
      <c r="FI398" s="98"/>
      <c r="FJ398" s="118"/>
      <c r="FK398" s="98"/>
      <c r="FL398" s="118"/>
      <c r="FM398" s="98"/>
      <c r="FN398" s="118"/>
      <c r="FO398" s="98"/>
      <c r="FP398" s="118"/>
      <c r="FQ398" s="98"/>
      <c r="FR398" s="119"/>
      <c r="FS398" s="120"/>
      <c r="FT398" s="119"/>
      <c r="FU398" s="120"/>
      <c r="FV398" s="119">
        <f>AVERAGE(FV397,FV392)</f>
        <v>77172</v>
      </c>
      <c r="FW398" s="98" t="str">
        <f t="shared" si="2225"/>
        <v>NA</v>
      </c>
      <c r="FX398" s="485">
        <f>AVERAGE(FX397,FX392)</f>
        <v>74710.5</v>
      </c>
      <c r="FY398" s="98">
        <f t="shared" si="2226"/>
        <v>-3.1896283626185684</v>
      </c>
      <c r="FZ398" s="119">
        <f>AVERAGE(FZ397,FZ392)</f>
        <v>97246</v>
      </c>
      <c r="GA398" s="98">
        <f t="shared" si="2227"/>
        <v>30.163765468039962</v>
      </c>
      <c r="GB398" s="485">
        <f>AVERAGE(GB397,GB392)</f>
        <v>113772.5</v>
      </c>
      <c r="GC398" s="98">
        <f t="shared" si="2228"/>
        <v>16.994529337967634</v>
      </c>
      <c r="GD398" s="119">
        <f>AVERAGE(GD397,GD392)</f>
        <v>131156.5</v>
      </c>
      <c r="GE398" s="98">
        <f t="shared" si="2229"/>
        <v>15.279615021204606</v>
      </c>
      <c r="GF398" s="119">
        <f>AVERAGE(GF397,GF392)</f>
        <v>152243</v>
      </c>
      <c r="GG398" s="98">
        <f t="shared" si="2230"/>
        <v>16.077357965483973</v>
      </c>
      <c r="GH398" s="119">
        <f>AVERAGE(GH397,GH392)</f>
        <v>161994.5</v>
      </c>
      <c r="GI398" s="98">
        <f t="shared" si="2231"/>
        <v>6.4052206012755963</v>
      </c>
      <c r="GJ398" s="119">
        <f>AVERAGE(GJ397,GJ392)</f>
        <v>49805.5</v>
      </c>
      <c r="GK398" s="98" t="str">
        <f t="shared" si="2232"/>
        <v>NM</v>
      </c>
      <c r="GL398" s="119">
        <f>AVERAGE(GL397,GL392)</f>
        <v>48706.5</v>
      </c>
      <c r="GM398" s="98">
        <f t="shared" si="2233"/>
        <v>-2.2065836102438507</v>
      </c>
      <c r="GN398" s="119">
        <f>AVERAGE(GN397,GN392)</f>
        <v>50178</v>
      </c>
      <c r="GO398" s="98">
        <f t="shared" si="2233"/>
        <v>3.0211573403960523</v>
      </c>
      <c r="GP398" s="119">
        <f>AVERAGE(GP397,GP392)</f>
        <v>49294.362501846561</v>
      </c>
      <c r="GQ398" s="98">
        <f t="shared" si="2233"/>
        <v>-1.7610058156033337</v>
      </c>
      <c r="GR398" s="118">
        <f>AVERAGE(GR397,GR392)</f>
        <v>44288.056398268731</v>
      </c>
      <c r="GS398" s="98">
        <f t="shared" si="2233"/>
        <v>-10.155940455443147</v>
      </c>
      <c r="GT398" s="118">
        <f>AVERAGE(GT397,GT392)</f>
        <v>38863.797814996295</v>
      </c>
      <c r="GU398" s="98">
        <f t="shared" si="2233"/>
        <v>-12.247678097439552</v>
      </c>
      <c r="GV398" s="118">
        <f>AVERAGE(GV397,GV392)</f>
        <v>33694.423004114949</v>
      </c>
      <c r="GW398" s="98">
        <f t="shared" si="2233"/>
        <v>-13.301260045374796</v>
      </c>
      <c r="GX398" s="118">
        <f>AVERAGE(GX397,GX392)</f>
        <v>28831.072723688485</v>
      </c>
      <c r="GY398" s="98">
        <f t="shared" si="2234"/>
        <v>-14.433695094979148</v>
      </c>
      <c r="GZ398" s="98">
        <f t="shared" si="2235"/>
        <v>-10.490425861641107</v>
      </c>
      <c r="HA398" s="98"/>
      <c r="HB398" s="10"/>
      <c r="HC398"/>
      <c r="HD398"/>
      <c r="HE398"/>
      <c r="HF398"/>
      <c r="HG398"/>
      <c r="HH398"/>
      <c r="HI398" s="10"/>
    </row>
    <row r="399" spans="1:217" s="2" customFormat="1" ht="12.75" customHeight="1" x14ac:dyDescent="0.2">
      <c r="B399" s="158"/>
      <c r="C399" s="112"/>
      <c r="D399" s="113"/>
      <c r="E399" s="112"/>
      <c r="F399" s="113"/>
      <c r="G399" s="112"/>
      <c r="H399" s="113"/>
      <c r="I399" s="112"/>
      <c r="J399" s="98"/>
      <c r="K399" s="112"/>
      <c r="L399" s="98"/>
      <c r="M399" s="112"/>
      <c r="N399" s="98"/>
      <c r="O399" s="112"/>
      <c r="P399" s="98"/>
      <c r="Q399" s="112"/>
      <c r="R399" s="98"/>
      <c r="S399" s="112"/>
      <c r="T399" s="98"/>
      <c r="U399" s="112"/>
      <c r="V399" s="98"/>
      <c r="W399" s="112"/>
      <c r="X399" s="98"/>
      <c r="Y399" s="112"/>
      <c r="Z399" s="98"/>
      <c r="AA399" s="112"/>
      <c r="AB399" s="98"/>
      <c r="AC399" s="112"/>
      <c r="AD399" s="98"/>
      <c r="AE399" s="112"/>
      <c r="AF399" s="98"/>
      <c r="AG399" s="112"/>
      <c r="AH399" s="98"/>
      <c r="AI399" s="112"/>
      <c r="AJ399" s="98"/>
      <c r="AK399" s="112"/>
      <c r="AL399" s="98"/>
      <c r="AM399" s="112"/>
      <c r="AN399" s="98"/>
      <c r="AO399" s="112"/>
      <c r="AP399" s="98"/>
      <c r="AQ399" s="112"/>
      <c r="AR399" s="98"/>
      <c r="AS399" s="112"/>
      <c r="AT399" s="98"/>
      <c r="AU399" s="112"/>
      <c r="AV399" s="98"/>
      <c r="AW399" s="112"/>
      <c r="AX399" s="98"/>
      <c r="AY399" s="112"/>
      <c r="AZ399" s="98"/>
      <c r="BA399" s="112"/>
      <c r="BB399" s="98"/>
      <c r="BC399" s="112"/>
      <c r="BD399" s="98"/>
      <c r="BE399" s="112"/>
      <c r="BF399" s="98"/>
      <c r="BG399" s="112"/>
      <c r="BH399" s="98"/>
      <c r="BI399" s="112"/>
      <c r="BJ399" s="98"/>
      <c r="BK399" s="112"/>
      <c r="BL399" s="98"/>
      <c r="BM399" s="112"/>
      <c r="BN399" s="98"/>
      <c r="BO399" s="112"/>
      <c r="BP399" s="98"/>
      <c r="BQ399" s="112"/>
      <c r="BR399" s="98"/>
      <c r="BS399" s="112"/>
      <c r="BT399" s="98"/>
      <c r="BU399" s="112"/>
      <c r="BV399" s="98"/>
      <c r="BW399" s="112"/>
      <c r="BX399" s="98"/>
      <c r="BY399" s="112"/>
      <c r="BZ399" s="98"/>
      <c r="CA399" s="112"/>
      <c r="CB399" s="98"/>
      <c r="CC399" s="112"/>
      <c r="CD399" s="98"/>
      <c r="CE399" s="112"/>
      <c r="CF399" s="98"/>
      <c r="CG399" s="112"/>
      <c r="CH399" s="98"/>
      <c r="CI399" s="112"/>
      <c r="CJ399" s="98"/>
      <c r="CK399" s="112"/>
      <c r="CL399" s="98"/>
      <c r="CM399" s="112"/>
      <c r="CN399" s="98"/>
      <c r="CO399" s="112"/>
      <c r="CP399" s="98"/>
      <c r="CQ399" s="543"/>
      <c r="CR399" s="98"/>
      <c r="CS399" s="112"/>
      <c r="CT399" s="98"/>
      <c r="CU399" s="112"/>
      <c r="CV399" s="98"/>
      <c r="CW399" s="112"/>
      <c r="CX399" s="98"/>
      <c r="CY399" s="112"/>
      <c r="CZ399" s="98"/>
      <c r="DA399" s="112"/>
      <c r="DB399" s="98"/>
      <c r="DC399" s="112"/>
      <c r="DD399" s="98"/>
      <c r="DE399" s="112"/>
      <c r="DF399" s="98"/>
      <c r="DG399" s="112"/>
      <c r="DH399" s="98"/>
      <c r="DI399" s="112"/>
      <c r="DJ399" s="98"/>
      <c r="DK399" s="112"/>
      <c r="DL399" s="98"/>
      <c r="DM399" s="112"/>
      <c r="DN399" s="98"/>
      <c r="DO399" s="112"/>
      <c r="DP399" s="98"/>
      <c r="DQ399" s="112"/>
      <c r="DR399" s="98"/>
      <c r="DS399" s="112"/>
      <c r="DT399" s="98"/>
      <c r="DU399" s="112"/>
      <c r="DV399" s="98"/>
      <c r="DW399" s="112"/>
      <c r="DX399" s="98"/>
      <c r="DY399" s="112"/>
      <c r="DZ399" s="98"/>
      <c r="EA399" s="112"/>
      <c r="EB399" s="98"/>
      <c r="EC399" s="112"/>
      <c r="ED399" s="98"/>
      <c r="EE399" s="112"/>
      <c r="EF399" s="860"/>
      <c r="EG399" s="112"/>
      <c r="EH399" s="860"/>
      <c r="EI399" s="112"/>
      <c r="EJ399" s="860"/>
      <c r="EK399" s="112"/>
      <c r="EL399" s="860"/>
      <c r="EM399" s="112"/>
      <c r="EN399" s="860"/>
      <c r="EO399" s="112"/>
      <c r="EP399" s="98"/>
      <c r="EQ399" s="1022"/>
      <c r="ER399" s="98"/>
      <c r="ES399" s="1022"/>
      <c r="ET399" s="98"/>
      <c r="EU399" s="1022"/>
      <c r="EV399" s="98"/>
      <c r="EW399" s="1022"/>
      <c r="EX399" s="98"/>
      <c r="EY399" s="114"/>
      <c r="EZ399" s="594"/>
      <c r="FA399" s="405"/>
      <c r="FB399" s="114"/>
      <c r="FC399" s="113"/>
      <c r="FD399" s="112"/>
      <c r="FE399" s="113"/>
      <c r="FF399" s="114"/>
      <c r="FG399" s="113"/>
      <c r="FH399" s="114"/>
      <c r="FI399" s="113"/>
      <c r="FJ399" s="114"/>
      <c r="FK399" s="113"/>
      <c r="FL399" s="114"/>
      <c r="FM399" s="113"/>
      <c r="FN399" s="114"/>
      <c r="FO399" s="113"/>
      <c r="FP399" s="114"/>
      <c r="FQ399" s="113"/>
      <c r="FR399" s="115"/>
      <c r="FS399" s="116"/>
      <c r="FT399" s="115"/>
      <c r="FU399" s="116"/>
      <c r="FV399" s="115"/>
      <c r="FW399" s="98"/>
      <c r="FX399" s="484"/>
      <c r="FY399" s="98"/>
      <c r="FZ399" s="115"/>
      <c r="GA399" s="98"/>
      <c r="GB399" s="484"/>
      <c r="GC399" s="98"/>
      <c r="GD399" s="115"/>
      <c r="GE399" s="98"/>
      <c r="GF399" s="115"/>
      <c r="GG399" s="98"/>
      <c r="GH399" s="115"/>
      <c r="GI399" s="98"/>
      <c r="GJ399" s="115"/>
      <c r="GK399" s="98"/>
      <c r="GL399" s="115"/>
      <c r="GM399" s="98"/>
      <c r="GN399" s="115"/>
      <c r="GO399" s="98"/>
      <c r="GP399" s="115"/>
      <c r="GQ399" s="98"/>
      <c r="GR399" s="114"/>
      <c r="GS399" s="98"/>
      <c r="GT399" s="114"/>
      <c r="GU399" s="98"/>
      <c r="GV399" s="114"/>
      <c r="GW399" s="98"/>
      <c r="GX399" s="114"/>
      <c r="GY399" s="98"/>
      <c r="GZ399" s="98"/>
      <c r="HA399" s="98"/>
      <c r="HB399" s="10"/>
      <c r="HC399"/>
      <c r="HD399"/>
      <c r="HE399"/>
      <c r="HF399"/>
      <c r="HG399"/>
      <c r="HH399"/>
      <c r="HI399" s="10"/>
    </row>
    <row r="400" spans="1:217" s="2" customFormat="1" ht="12.75" customHeight="1" x14ac:dyDescent="0.2">
      <c r="A400" s="2" t="s">
        <v>64</v>
      </c>
      <c r="B400" s="91" t="s">
        <v>353</v>
      </c>
      <c r="C400" s="99"/>
      <c r="D400" s="113"/>
      <c r="E400" s="99"/>
      <c r="F400" s="113"/>
      <c r="G400" s="99"/>
      <c r="H400" s="113"/>
      <c r="I400" s="99"/>
      <c r="J400" s="98"/>
      <c r="K400" s="99"/>
      <c r="L400" s="98"/>
      <c r="M400" s="99"/>
      <c r="N400" s="98"/>
      <c r="O400" s="99"/>
      <c r="P400" s="98"/>
      <c r="Q400" s="99"/>
      <c r="R400" s="98"/>
      <c r="S400" s="99"/>
      <c r="T400" s="98"/>
      <c r="U400" s="99"/>
      <c r="V400" s="98"/>
      <c r="W400" s="99"/>
      <c r="X400" s="98"/>
      <c r="Y400" s="99"/>
      <c r="Z400" s="98"/>
      <c r="AA400" s="99"/>
      <c r="AB400" s="98"/>
      <c r="AC400" s="99"/>
      <c r="AD400" s="98"/>
      <c r="AE400" s="99"/>
      <c r="AF400" s="98"/>
      <c r="AG400" s="99"/>
      <c r="AH400" s="98"/>
      <c r="AI400" s="99"/>
      <c r="AJ400" s="98"/>
      <c r="AK400" s="99"/>
      <c r="AL400" s="98"/>
      <c r="AM400" s="99"/>
      <c r="AN400" s="98"/>
      <c r="AO400" s="99"/>
      <c r="AP400" s="98"/>
      <c r="AQ400" s="99"/>
      <c r="AR400" s="98"/>
      <c r="AS400" s="99"/>
      <c r="AT400" s="98"/>
      <c r="AU400" s="99"/>
      <c r="AV400" s="98"/>
      <c r="AW400" s="99"/>
      <c r="AX400" s="98"/>
      <c r="AY400" s="99"/>
      <c r="AZ400" s="98"/>
      <c r="BA400" s="99"/>
      <c r="BB400" s="98"/>
      <c r="BC400" s="99"/>
      <c r="BD400" s="98"/>
      <c r="BE400" s="99"/>
      <c r="BF400" s="98"/>
      <c r="BG400" s="99"/>
      <c r="BH400" s="98"/>
      <c r="BI400" s="99"/>
      <c r="BJ400" s="98"/>
      <c r="BK400" s="99"/>
      <c r="BL400" s="98"/>
      <c r="BM400" s="99">
        <f>BM393+BM395</f>
        <v>74</v>
      </c>
      <c r="BN400" s="98" t="str">
        <f>IF(ISERROR((BM400/BE400-1)*100),"NA",IF(((BM400/BE400-1)*100)&gt;100,"NM",IF(((BM400/BE400-1)*100)&lt;-50,"NM",(BM400/BE400-1)*100)))</f>
        <v>NA</v>
      </c>
      <c r="BO400" s="99">
        <f>BO393+BO395</f>
        <v>-92</v>
      </c>
      <c r="BP400" s="98" t="str">
        <f>IF(ISERROR((BO400/BG400-1)*100),"NA",IF(((BO400/BG400-1)*100)&gt;100,"NM",IF(((BO400/BG400-1)*100)&lt;-50,"NM",(BO400/BG400-1)*100)))</f>
        <v>NA</v>
      </c>
      <c r="BQ400" s="99">
        <f>BQ393+BQ395</f>
        <v>80</v>
      </c>
      <c r="BR400" s="98" t="str">
        <f>IF(ISERROR((BQ400/BI400-1)*100),"NA",IF(((BQ400/BI400-1)*100)&gt;100,"NM",IF(((BQ400/BI400-1)*100)&lt;-50,"NM",(BQ400/BI400-1)*100)))</f>
        <v>NA</v>
      </c>
      <c r="BS400" s="99">
        <f>BS393+BS395</f>
        <v>357</v>
      </c>
      <c r="BT400" s="98" t="str">
        <f>IF(ISERROR((BS400/BK400-1)*100),"NA",IF(((BS400/BK400-1)*100)&gt;100,"NM",IF(((BS400/BK400-1)*100)&lt;-50,"NM",(BS400/BK400-1)*100)))</f>
        <v>NA</v>
      </c>
      <c r="BU400" s="99">
        <f>BU393+BU395</f>
        <v>426</v>
      </c>
      <c r="BV400" s="98" t="str">
        <f>IF(ISERROR((BU400/BM400-1)*100),"NA",IF(((BU400/BM400-1)*100)&gt;100,"NM",IF(((BU400/BM400-1)*100)&lt;-50,"NM",(BU400/BM400-1)*100)))</f>
        <v>NM</v>
      </c>
      <c r="BW400" s="99">
        <f>BW393+BW395</f>
        <v>910</v>
      </c>
      <c r="BX400" s="98" t="str">
        <f>IF(ISERROR((BW400/BO400-1)*100),"NA",IF(((BW400/BO400-1)*100)&gt;100,"NM",IF(((BW400/BO400-1)*100)&lt;-50,"NM",(BW400/BO400-1)*100)))</f>
        <v>NM</v>
      </c>
      <c r="BY400" s="99">
        <f>BY393+BY395</f>
        <v>1577</v>
      </c>
      <c r="BZ400" s="98" t="str">
        <f>IF(ISERROR((BY400/BQ400-1)*100),"NA",IF(((BY400/BQ400-1)*100)&gt;100,"NM",IF(((BY400/BQ400-1)*100)&lt;-50,"NM",(BY400/BQ400-1)*100)))</f>
        <v>NM</v>
      </c>
      <c r="CA400" s="99">
        <f>CA393+CA395</f>
        <v>996</v>
      </c>
      <c r="CB400" s="98" t="str">
        <f>IF(ISERROR((CA400/BS400-1)*100),"NA",IF(((CA400/BS400-1)*100)&gt;100,"NM",IF(((CA400/BS400-1)*100)&lt;-50,"NM",(CA400/BS400-1)*100)))</f>
        <v>NM</v>
      </c>
      <c r="CC400" s="99">
        <f>CC393+CC395</f>
        <v>1177</v>
      </c>
      <c r="CD400" s="98" t="str">
        <f>IF(ISERROR((CC400/BU400-1)*100),"NA",IF(((CC400/BU400-1)*100)&gt;100,"NM",IF(((CC400/BU400-1)*100)&lt;-50,"NM",(CC400/BU400-1)*100)))</f>
        <v>NM</v>
      </c>
      <c r="CE400" s="99">
        <f>CE393+CE395</f>
        <v>1382</v>
      </c>
      <c r="CF400" s="98">
        <f>IF(ISERROR((CE400/BW400-1)*100),"NA",IF(((CE400/BW400-1)*100)&gt;100,"NM",IF(((CE400/BW400-1)*100)&lt;-50,"NM",(CE400/BW400-1)*100)))</f>
        <v>51.868131868131861</v>
      </c>
      <c r="CG400" s="99">
        <f>CG393+CG395</f>
        <v>1726</v>
      </c>
      <c r="CH400" s="98">
        <f>IF(ISERROR((CG400/BY400-1)*100),"NA",IF(((CG400/BY400-1)*100)&gt;100,"NM",IF(((CG400/BY400-1)*100)&lt;-50,"NM",(CG400/BY400-1)*100)))</f>
        <v>9.4483195941661435</v>
      </c>
      <c r="CI400" s="99">
        <f>CI393+CI395</f>
        <v>1499</v>
      </c>
      <c r="CJ400" s="98">
        <f>IF(ISERROR((CI400/CA400-1)*100),"NA",IF(((CI400/CA400-1)*100)&gt;100,"NM",IF(((CI400/CA400-1)*100)&lt;-50,"NM",(CI400/CA400-1)*100)))</f>
        <v>50.502008032128522</v>
      </c>
      <c r="CK400" s="99">
        <f>CK393+CK395</f>
        <v>2127</v>
      </c>
      <c r="CL400" s="98">
        <f>IF(ISERROR((CK400/CC400-1)*100),"NA",IF(((CK400/CC400-1)*100)&gt;100,"NM",IF(((CK400/CC400-1)*100)&lt;-50,"NM",(CK400/CC400-1)*100)))</f>
        <v>80.713678844519961</v>
      </c>
      <c r="CM400" s="99">
        <f>CM393+CM395</f>
        <v>2457</v>
      </c>
      <c r="CN400" s="98">
        <f>IF(ISERROR((CM400/CE400-1)*100),"NA",IF(((CM400/CE400-1)*100)&gt;100,"NM",IF(((CM400/CE400-1)*100)&lt;-50,"NM",(CM400/CE400-1)*100)))</f>
        <v>77.785817655571648</v>
      </c>
      <c r="CO400" s="99">
        <f>CO393+CO395</f>
        <v>3373</v>
      </c>
      <c r="CP400" s="98">
        <f>IF(ISERROR((CO400/CG400-1)*100),"NA",IF(((CO400/CG400-1)*100)&gt;100,"NM",IF(((CO400/CG400-1)*100)&lt;-50,"NM",(CO400/CG400-1)*100)))</f>
        <v>95.422943221320963</v>
      </c>
      <c r="CQ400" s="482">
        <f>CQ393+CQ395</f>
        <v>4675</v>
      </c>
      <c r="CR400" s="98" t="str">
        <f>IF(ISERROR((CQ400/CI400-1)*100),"NA",IF(((CQ400/CI400-1)*100)&gt;100,"NM",IF(((CQ400/CI400-1)*100)&lt;-50,"NM",(CQ400/CI400-1)*100)))</f>
        <v>NM</v>
      </c>
      <c r="CS400" s="99">
        <f>CS393+CS395</f>
        <v>3785</v>
      </c>
      <c r="CT400" s="98">
        <f>IF(ISERROR((CS400/CK400-1)*100),"NA",IF(((CS400/CK400-1)*100)&gt;100,"NM",IF(((CS400/CK400-1)*100)&lt;-50,"NM",(CS400/CK400-1)*100)))</f>
        <v>77.950164551010801</v>
      </c>
      <c r="CU400" s="99">
        <f>CU393+CU395</f>
        <v>2081</v>
      </c>
      <c r="CV400" s="98">
        <f>IF(ISERROR((CU400/CM400-1)*100),"NA",IF(((CU400/CM400-1)*100)&gt;100,"NM",IF(((CU400/CM400-1)*100)&lt;-50,"NM",(CU400/CM400-1)*100)))</f>
        <v>-15.3032153032153</v>
      </c>
      <c r="CW400" s="99">
        <f>CW393+CW395</f>
        <v>1767</v>
      </c>
      <c r="CX400" s="98">
        <f>IF(ISERROR((CW400/CO400-1)*100),"NA",IF(((CW400/CO400-1)*100)&gt;100,"NM",IF(((CW400/CO400-1)*100)&lt;-50,"NM",(CW400/CO400-1)*100)))</f>
        <v>-47.613400533649575</v>
      </c>
      <c r="CY400" s="99">
        <f>CY393+CY395</f>
        <v>1817</v>
      </c>
      <c r="CZ400" s="98" t="str">
        <f>IF(ISERROR((CY400/CQ400-1)*100),"NA",IF(((CY400/CQ400-1)*100)&gt;100,"NM",IF(((CY400/CQ400-1)*100)&lt;-50,"NM",(CY400/CQ400-1)*100)))</f>
        <v>NM</v>
      </c>
      <c r="DA400" s="99">
        <f>DA393+DA395</f>
        <v>784</v>
      </c>
      <c r="DB400" s="98" t="str">
        <f>IF(ISERROR((DA400/CS400-1)*100),"NA",IF(((DA400/CS400-1)*100)&gt;100,"NM",IF(((DA400/CS400-1)*100)&lt;-50,"NM",(DA400/CS400-1)*100)))</f>
        <v>NM</v>
      </c>
      <c r="DC400" s="99">
        <f>DC393+DC395</f>
        <v>789</v>
      </c>
      <c r="DD400" s="98" t="str">
        <f>IF(ISERROR((DC400/CU400-1)*100),"NA",IF(((DC400/CU400-1)*100)&gt;100,"NM",IF(((DC400/CU400-1)*100)&lt;-50,"NM",(DC400/CU400-1)*100)))</f>
        <v>NM</v>
      </c>
      <c r="DE400" s="99">
        <f>DE393+DE395</f>
        <v>-62</v>
      </c>
      <c r="DF400" s="98" t="str">
        <f>IF(ISERROR((DE400/CW400-1)*100),"NA",IF(((DE400/CW400-1)*100)&gt;100,"NM",IF(((DE400/CW400-1)*100)&lt;-50,"NM",(DE400/CW400-1)*100)))</f>
        <v>NM</v>
      </c>
      <c r="DG400" s="99">
        <f>DG393+DG395</f>
        <v>-49</v>
      </c>
      <c r="DH400" s="98" t="str">
        <f>IF(ISERROR((DG400/CY400-1)*100),"NA",IF(((DG400/CY400-1)*100)&gt;100,"NM",IF(((DG400/CY400-1)*100)&lt;-50,"NM",(DG400/CY400-1)*100)))</f>
        <v>NM</v>
      </c>
      <c r="DI400" s="99">
        <f>DI393+DI395</f>
        <v>-1143</v>
      </c>
      <c r="DJ400" s="98" t="str">
        <f>IF(ISERROR((DI400/DA400-1)*100),"NA",IF(((DI400/DA400-1)*100)&gt;100,"NM",IF(((DI400/DA400-1)*100)&lt;-50,"NM",(DI400/DA400-1)*100)))</f>
        <v>NM</v>
      </c>
      <c r="DK400" s="99">
        <f>DK393+DK395</f>
        <v>-1300</v>
      </c>
      <c r="DL400" s="98" t="str">
        <f>IF(ISERROR((DK400/DC400-1)*100),"NA",IF(((DK400/DC400-1)*100)&gt;100,"NM",IF(((DK400/DC400-1)*100)&lt;-50,"NM",(DK400/DC400-1)*100)))</f>
        <v>NM</v>
      </c>
      <c r="DM400" s="99">
        <f>DM393+DM395</f>
        <v>-1527</v>
      </c>
      <c r="DN400" s="98" t="str">
        <f>IF(ISERROR((DM400/DE400-1)*100),"NA",IF(((DM400/DE400-1)*100)&gt;100,"NM",IF(((DM400/DE400-1)*100)&lt;-50,"NM",(DM400/DE400-1)*100)))</f>
        <v>NM</v>
      </c>
      <c r="DO400" s="99">
        <f>DO393+DO395</f>
        <v>-1539</v>
      </c>
      <c r="DP400" s="98" t="str">
        <f>IF(ISERROR((DO400/DG400-1)*100),"NA",IF(((DO400/DG400-1)*100)&gt;100,"NM",IF(((DO400/DG400-1)*100)&lt;-50,"NM",(DO400/DG400-1)*100)))</f>
        <v>NM</v>
      </c>
      <c r="DQ400" s="99">
        <f>DQ393+DQ395</f>
        <v>-1630</v>
      </c>
      <c r="DR400" s="98">
        <f>IF(ISERROR((DQ400/DI400-1)*100),"NA",IF(((DQ400/DI400-1)*100)&gt;100,"NM",IF(((DQ400/DI400-1)*100)&lt;-50,"NM",(DQ400/DI400-1)*100)))</f>
        <v>42.607174103237085</v>
      </c>
      <c r="DS400" s="99">
        <f>DS393+DS395</f>
        <v>-264</v>
      </c>
      <c r="DT400" s="98" t="str">
        <f>IF(ISERROR((DS400/DK400-1)*100),"NA",IF(((DS400/DK400-1)*100)&gt;100,"NM",IF(((DS400/DK400-1)*100)&lt;-50,"NM",(DS400/DK400-1)*100)))</f>
        <v>NM</v>
      </c>
      <c r="DU400" s="99">
        <f>DU393+DU395</f>
        <v>-146</v>
      </c>
      <c r="DV400" s="98" t="str">
        <f>IF(ISERROR((DU400/DM400-1)*100),"NA",IF(((DU400/DM400-1)*100)&gt;100,"NM",IF(((DU400/DM400-1)*100)&lt;-50,"NM",(DU400/DM400-1)*100)))</f>
        <v>NM</v>
      </c>
      <c r="DW400" s="99">
        <f>DW393+DW395</f>
        <v>-61</v>
      </c>
      <c r="DX400" s="98" t="str">
        <f>IF(ISERROR((DW400/DO400-1)*100),"NA",IF(((DW400/DO400-1)*100)&gt;100,"NM",IF(((DW400/DO400-1)*100)&lt;-50,"NM",(DW400/DO400-1)*100)))</f>
        <v>NM</v>
      </c>
      <c r="DY400" s="99">
        <f>DY393+DY395</f>
        <v>-28</v>
      </c>
      <c r="DZ400" s="98" t="str">
        <f>IF(ISERROR((DY400/DQ400-1)*100),"NA",IF(((DY400/DQ400-1)*100)&gt;100,"NM",IF(((DY400/DQ400-1)*100)&lt;-50,"NM",(DY400/DQ400-1)*100)))</f>
        <v>NM</v>
      </c>
      <c r="EA400" s="99">
        <f>EA393+EA395</f>
        <v>-6</v>
      </c>
      <c r="EB400" s="98" t="str">
        <f>IF(ISERROR((EA400/DS400-1)*100),"NA",IF(((EA400/DS400-1)*100)&gt;100,"NM",IF(((EA400/DS400-1)*100)&lt;-50,"NM",(EA400/DS400-1)*100)))</f>
        <v>NM</v>
      </c>
      <c r="EC400" s="99">
        <f>EC393+EC395</f>
        <v>-175</v>
      </c>
      <c r="ED400" s="98">
        <f>IF(ISERROR((EC400/DU400-1)*100),"NA",IF(((EC400/DU400-1)*100)&gt;100,"NM",IF(((EC400/DU400-1)*100)&lt;-50,"NM",(EC400/DU400-1)*100)))</f>
        <v>19.863013698630127</v>
      </c>
      <c r="EE400" s="99">
        <f>EE393+EE395</f>
        <v>-490</v>
      </c>
      <c r="EF400" s="860" t="str">
        <f>IF(ISERROR((EE400/DW400-1)*100),"NA",IF(((EE400/DW400-1)*100)&gt;100,"NM",IF(((EE400/DW400-1)*100)&lt;-50,"NM",(EE400/DW400-1)*100)))</f>
        <v>NM</v>
      </c>
      <c r="EG400" s="99">
        <f>EG393+EG395</f>
        <v>-605</v>
      </c>
      <c r="EH400" s="860" t="str">
        <f>IF(ISERROR((EG400/DY400-1)*100),"NA",IF(((EG400/DY400-1)*100)&gt;100,"NM",IF(((EG400/DY400-1)*100)&lt;-50,"NM",(EG400/DY400-1)*100)))</f>
        <v>NM</v>
      </c>
      <c r="EI400" s="99">
        <f>EI393+EI395</f>
        <v>-713</v>
      </c>
      <c r="EJ400" s="860" t="str">
        <f t="shared" ref="EJ400" si="2299">IF(ISERROR((EI400/EA400-1)*100),"NA",IF(((EI400/EA400-1)*100)&gt;100,"NM",IF(((EI400/EA400-1)*100)&lt;-50,"NM",(EI400/EA400-1)*100)))</f>
        <v>NM</v>
      </c>
      <c r="EK400" s="99">
        <f>EK393+EK395</f>
        <v>-799</v>
      </c>
      <c r="EL400" s="860" t="str">
        <f t="shared" ref="EL400" si="2300">IF(ISERROR((EK400/EC400-1)*100),"NA",IF(((EK400/EC400-1)*100)&gt;100,"NM",IF(((EK400/EC400-1)*100)&lt;-50,"NM",(EK400/EC400-1)*100)))</f>
        <v>NM</v>
      </c>
      <c r="EM400" s="99">
        <f>EM393+EM395</f>
        <v>-817</v>
      </c>
      <c r="EN400" s="860">
        <f t="shared" ref="EN400" si="2301">IF(ISERROR((EM400/EE400-1)*100),"NA",IF(((EM400/EE400-1)*100)&gt;100,"NM",IF(((EM400/EE400-1)*100)&lt;-50,"NM",(EM400/EE400-1)*100)))</f>
        <v>66.734693877551024</v>
      </c>
      <c r="EO400" s="99">
        <f>EO393+EO395</f>
        <v>-1012</v>
      </c>
      <c r="EP400" s="98">
        <f t="shared" ref="EP400" si="2302">IF(ISERROR((EO400/EG400-1)*100),"NA",IF(((EO400/EG400-1)*100)&gt;100,"NM",IF(((EO400/EG400-1)*100)&lt;-50,"NM",(EO400/EG400-1)*100)))</f>
        <v>67.272727272727266</v>
      </c>
      <c r="EQ400" s="1006">
        <f t="shared" ref="EQ400" si="2303">EQ393+EQ395</f>
        <v>-1048.8441570838918</v>
      </c>
      <c r="ER400" s="98">
        <f t="shared" ref="ER400:ER401" si="2304">IF(ISERROR((EQ400/EI400-1)*100),"NA",IF(((EQ400/EI400-1)*100)&gt;100,"NM",IF(((EQ400/EI400-1)*100)&lt;-50,"NM",(EQ400/EI400-1)*100)))</f>
        <v>47.102967332944147</v>
      </c>
      <c r="ES400" s="1006">
        <f t="shared" ref="ES400" si="2305">ES393+ES395</f>
        <v>-1024.8771029670559</v>
      </c>
      <c r="ET400" s="98">
        <f t="shared" ref="ET400:ET401" si="2306">IF(ISERROR((ES400/EK400-1)*100),"NA",IF(((ES400/EK400-1)*100)&gt;100,"NM",IF(((ES400/EK400-1)*100)&lt;-50,"NM",(ES400/EK400-1)*100)))</f>
        <v>28.269975340057062</v>
      </c>
      <c r="EU400" s="1006">
        <f t="shared" ref="EU400" si="2307">EU393+EU395</f>
        <v>-1020.4499560618669</v>
      </c>
      <c r="EV400" s="98">
        <f t="shared" ref="EV400:EV401" si="2308">IF(ISERROR((EU400/EM400-1)*100),"NA",IF(((EU400/EM400-1)*100)&gt;100,"NM",IF(((EU400/EM400-1)*100)&lt;-50,"NM",(EU400/EM400-1)*100)))</f>
        <v>24.90207540536926</v>
      </c>
      <c r="EW400" s="1006">
        <f t="shared" ref="EW400" si="2309">EW393+EW395</f>
        <v>-1013.0222446495226</v>
      </c>
      <c r="EX400" s="98">
        <f t="shared" ref="EX400:EX401" si="2310">IF(ISERROR((EW400/EO400-1)*100),"NA",IF(((EW400/EO400-1)*100)&gt;100,"NM",IF(((EW400/EO400-1)*100)&lt;-50,"NM",(EW400/EO400-1)*100)))</f>
        <v>0.10101231714649828</v>
      </c>
      <c r="EY400" s="99"/>
      <c r="EZ400" s="594"/>
      <c r="FA400" s="405"/>
      <c r="FB400" s="95"/>
      <c r="FC400" s="113"/>
      <c r="FD400" s="94"/>
      <c r="FE400" s="98" t="str">
        <f>IF(ISERROR((FD400/FB400-1)*100),"NA",IF(((FD400/FB400-1)*100)&gt;100,"NM",IF(((FD400/FB400-1)*100)&lt;-50,"NM",(FD400/FB400-1)*100)))</f>
        <v>NA</v>
      </c>
      <c r="FF400" s="99"/>
      <c r="FG400" s="98"/>
      <c r="FH400" s="99"/>
      <c r="FI400" s="98"/>
      <c r="FJ400" s="99"/>
      <c r="FK400" s="98"/>
      <c r="FL400" s="99"/>
      <c r="FM400" s="98"/>
      <c r="FN400" s="99"/>
      <c r="FO400" s="98"/>
      <c r="FP400" s="99"/>
      <c r="FQ400" s="98"/>
      <c r="FR400" s="99"/>
      <c r="FS400" s="120"/>
      <c r="FT400" s="99"/>
      <c r="FU400" s="120"/>
      <c r="FV400" s="99">
        <f>FV393+FV395</f>
        <v>771</v>
      </c>
      <c r="FW400" s="98" t="str">
        <f>IF(ISERROR((FV400/FT400-1)*100),"NA",IF(((FV400/FT400-1)*100)&gt;100,"NM",IF(((FV400/FT400-1)*100)&lt;-50,"NM",(FV400/FT400-1)*100)))</f>
        <v>NA</v>
      </c>
      <c r="FX400" s="482">
        <f>FX393+FX395</f>
        <v>4660</v>
      </c>
      <c r="FY400" s="98" t="str">
        <f>IF(ISERROR((FX400/FV400-1)*100),"NA",IF(((FX400/FV400-1)*100)&gt;100,"NM",IF(((FX400/FV400-1)*100)&lt;-50,"NM",(FX400/FV400-1)*100)))</f>
        <v>NM</v>
      </c>
      <c r="FZ400" s="99">
        <f>FZ393+FZ395</f>
        <v>6734</v>
      </c>
      <c r="GA400" s="98">
        <f>IF(ISERROR((FZ400/FX400-1)*100),"NA",IF(((FZ400/FX400-1)*100)&gt;100,"NM",IF(((FZ400/FX400-1)*100)&lt;-50,"NM",(FZ400/FX400-1)*100)))</f>
        <v>44.506437768240346</v>
      </c>
      <c r="GB400" s="482">
        <f>GB393+GB395</f>
        <v>14290</v>
      </c>
      <c r="GC400" s="98" t="str">
        <f>IF(ISERROR((GB400/FZ400-1)*100),"NA",IF(((GB400/FZ400-1)*100)&gt;100,"NM",IF(((GB400/FZ400-1)*100)&lt;-50,"NM",(GB400/FZ400-1)*100)))</f>
        <v>NM</v>
      </c>
      <c r="GD400" s="99">
        <f>GD393+GD395</f>
        <v>6449</v>
      </c>
      <c r="GE400" s="98" t="str">
        <f>IF(ISERROR((GD400/GB400-1)*100),"NA",IF(((GD400/GB400-1)*100)&gt;100,"NM",IF(((GD400/GB400-1)*100)&lt;-50,"NM",(GD400/GB400-1)*100)))</f>
        <v>NM</v>
      </c>
      <c r="GF400" s="99">
        <f>GF393+GF395</f>
        <v>-465</v>
      </c>
      <c r="GG400" s="98" t="str">
        <f>IF(ISERROR((GF400/GD400-1)*100),"NA",IF(((GF400/GD400-1)*100)&gt;100,"NM",IF(((GF400/GD400-1)*100)&lt;-50,"NM",(GF400/GD400-1)*100)))</f>
        <v>NM</v>
      </c>
      <c r="GH400" s="99">
        <f>GH393+GH395</f>
        <v>-5996</v>
      </c>
      <c r="GI400" s="98" t="str">
        <f>IF(ISERROR((GH400/GF400-1)*100),"NA",IF(((GH400/GF400-1)*100)&gt;100,"NM",IF(((GH400/GF400-1)*100)&lt;-50,"NM",(GH400/GF400-1)*100)))</f>
        <v>NM</v>
      </c>
      <c r="GJ400" s="99">
        <f>GJ393+GJ395</f>
        <v>-499</v>
      </c>
      <c r="GK400" s="98" t="str">
        <f>IF(ISERROR((GJ400/GH400-1)*100),"NA",IF(((GJ400/GH400-1)*100)&gt;100,"NM",IF(((GJ400/GH400-1)*100)&lt;-50,"NM",(GJ400/GH400-1)*100)))</f>
        <v>NM</v>
      </c>
      <c r="GL400" s="99">
        <f>GL393+GL395</f>
        <v>-1276</v>
      </c>
      <c r="GM400" s="98" t="str">
        <f>IF(ISERROR((GL400/GJ400-1)*100),"NA",IF(((GL400/GJ400-1)*100)&gt;100,"NM",IF(((GL400/GJ400-1)*100)&lt;-50,"NM",(GL400/GJ400-1)*100)))</f>
        <v>NM</v>
      </c>
      <c r="GN400" s="99">
        <f>GN393+GN395</f>
        <v>-3341</v>
      </c>
      <c r="GO400" s="98" t="str">
        <f>IF(ISERROR((GN400/GL400-1)*100),"NA",IF(((GN400/GL400-1)*100)&gt;100,"NM",IF(((GN400/GL400-1)*100)&lt;-50,"NM",(GN400/GL400-1)*100)))</f>
        <v>NM</v>
      </c>
      <c r="GP400" s="99">
        <f>GP393+GP395</f>
        <v>-4107.1934607623371</v>
      </c>
      <c r="GQ400" s="98">
        <f>IF(ISERROR((GP400/GN400-1)*100),"NA",IF(((GP400/GN400-1)*100)&gt;100,"NM",IF(((GP400/GN400-1)*100)&lt;-50,"NM",(GP400/GN400-1)*100)))</f>
        <v>22.933057789953224</v>
      </c>
      <c r="GR400" s="99">
        <f>GR393+GR395</f>
        <v>-4100.3070803044948</v>
      </c>
      <c r="GS400" s="98">
        <f>IF(ISERROR((GR400/GP400-1)*100),"NA",IF(((GR400/GP400-1)*100)&gt;100,"NM",IF(((GR400/GP400-1)*100)&lt;-50,"NM",(GR400/GP400-1)*100)))</f>
        <v>-0.16766632795923719</v>
      </c>
      <c r="GT400" s="99">
        <f>GT393+GT395</f>
        <v>-3854.0219797821187</v>
      </c>
      <c r="GU400" s="98">
        <f>IF(ISERROR((GT400/GR400-1)*100),"NA",IF(((GT400/GR400-1)*100)&gt;100,"NM",IF(((GT400/GR400-1)*100)&lt;-50,"NM",(GT400/GR400-1)*100)))</f>
        <v>-6.0065037983468965</v>
      </c>
      <c r="GV400" s="99">
        <f>GV393+GV395</f>
        <v>-3538.2305792842926</v>
      </c>
      <c r="GW400" s="98">
        <f>IF(ISERROR((GV400/GT400-1)*100),"NA",IF(((GV400/GT400-1)*100)&gt;100,"NM",IF(((GV400/GT400-1)*100)&lt;-50,"NM",(GV400/GT400-1)*100)))</f>
        <v>-8.1938142064171373</v>
      </c>
      <c r="GX400" s="99">
        <f>GX393+GX395</f>
        <v>-3182.2346690530503</v>
      </c>
      <c r="GY400" s="98">
        <f>IF(ISERROR((GX400/GV400-1)*100),"NA",IF(((GX400/GV400-1)*100)&gt;100,"NM",IF(((GX400/GV400-1)*100)&lt;-50,"NM",(GX400/GV400-1)*100)))</f>
        <v>-10.061410703856744</v>
      </c>
      <c r="GZ400" s="98">
        <f>IF(ISERROR(((GX400/GN400)^0.2-1)*100),"NA",IF((((GX400/GN400)^0.2-1)*100)&gt;100,"NM",IF((((GX400/GN400)^0.2-1)*100)&lt;-50,"NM",((GX400/GN400)^0.2-1)*100)))</f>
        <v>-0.96900434712148265</v>
      </c>
      <c r="HA400" s="98"/>
      <c r="HB400" s="10"/>
      <c r="HC400"/>
      <c r="HD400"/>
      <c r="HE400"/>
      <c r="HF400"/>
      <c r="HG400"/>
      <c r="HH400"/>
      <c r="HI400" s="10"/>
    </row>
    <row r="401" spans="1:217" s="2" customFormat="1" ht="12.75" customHeight="1" x14ac:dyDescent="0.2">
      <c r="B401" s="91" t="s">
        <v>365</v>
      </c>
      <c r="C401" s="117"/>
      <c r="D401" s="98"/>
      <c r="E401" s="117"/>
      <c r="F401" s="98"/>
      <c r="G401" s="117"/>
      <c r="H401" s="98"/>
      <c r="I401" s="117"/>
      <c r="J401" s="98"/>
      <c r="K401" s="117"/>
      <c r="L401" s="98"/>
      <c r="M401" s="117"/>
      <c r="N401" s="98"/>
      <c r="O401" s="117"/>
      <c r="P401" s="98"/>
      <c r="Q401" s="117"/>
      <c r="R401" s="98"/>
      <c r="S401" s="117"/>
      <c r="T401" s="98"/>
      <c r="U401" s="117"/>
      <c r="V401" s="98"/>
      <c r="W401" s="117"/>
      <c r="X401" s="98"/>
      <c r="Y401" s="117"/>
      <c r="Z401" s="98"/>
      <c r="AA401" s="117"/>
      <c r="AB401" s="98"/>
      <c r="AC401" s="117"/>
      <c r="AD401" s="98"/>
      <c r="AE401" s="117"/>
      <c r="AF401" s="98"/>
      <c r="AG401" s="117"/>
      <c r="AH401" s="98"/>
      <c r="AI401" s="117"/>
      <c r="AJ401" s="98"/>
      <c r="AK401" s="117"/>
      <c r="AL401" s="98"/>
      <c r="AM401" s="117"/>
      <c r="AN401" s="98"/>
      <c r="AO401" s="117"/>
      <c r="AP401" s="98"/>
      <c r="AQ401" s="117"/>
      <c r="AR401" s="98"/>
      <c r="AS401" s="117"/>
      <c r="AT401" s="98"/>
      <c r="AU401" s="117"/>
      <c r="AV401" s="98"/>
      <c r="AW401" s="117"/>
      <c r="AX401" s="98"/>
      <c r="AY401" s="117"/>
      <c r="AZ401" s="98"/>
      <c r="BA401" s="117"/>
      <c r="BB401" s="98"/>
      <c r="BC401" s="117"/>
      <c r="BD401" s="98"/>
      <c r="BE401" s="117"/>
      <c r="BF401" s="98"/>
      <c r="BG401" s="117"/>
      <c r="BH401" s="98"/>
      <c r="BI401" s="117"/>
      <c r="BJ401" s="98"/>
      <c r="BK401" s="117"/>
      <c r="BL401" s="98"/>
      <c r="BM401" s="117">
        <f>BM387+BM397</f>
        <v>132920</v>
      </c>
      <c r="BN401" s="98" t="str">
        <f>IF(ISERROR((BM401/BE401-1)*100),"NA",IF(((BM401/BE401-1)*100)&gt;100,"NM",IF(((BM401/BE401-1)*100)&lt;-50,"NM",(BM401/BE401-1)*100)))</f>
        <v>NA</v>
      </c>
      <c r="BO401" s="117">
        <f>BO387+BO397</f>
        <v>125922</v>
      </c>
      <c r="BP401" s="98" t="str">
        <f>IF(ISERROR((BO401/BG401-1)*100),"NA",IF(((BO401/BG401-1)*100)&gt;100,"NM",IF(((BO401/BG401-1)*100)&lt;-50,"NM",(BO401/BG401-1)*100)))</f>
        <v>NA</v>
      </c>
      <c r="BQ401" s="117">
        <f>BQ387+BQ397</f>
        <v>125189</v>
      </c>
      <c r="BR401" s="98" t="str">
        <f>IF(ISERROR((BQ401/BI401-1)*100),"NA",IF(((BQ401/BI401-1)*100)&gt;100,"NM",IF(((BQ401/BI401-1)*100)&lt;-50,"NM",(BQ401/BI401-1)*100)))</f>
        <v>NA</v>
      </c>
      <c r="BS401" s="117">
        <f>BS387+BS397</f>
        <v>117703</v>
      </c>
      <c r="BT401" s="98" t="str">
        <f>IF(ISERROR((BS401/BK401-1)*100),"NA",IF(((BS401/BK401-1)*100)&gt;100,"NM",IF(((BS401/BK401-1)*100)&lt;-50,"NM",(BS401/BK401-1)*100)))</f>
        <v>NA</v>
      </c>
      <c r="BU401" s="117">
        <f>BU387+BU397</f>
        <v>110201</v>
      </c>
      <c r="BV401" s="98">
        <f>IF(ISERROR((BU401/BM401-1)*100),"NA",IF(((BU401/BM401-1)*100)&gt;100,"NM",IF(((BU401/BM401-1)*100)&lt;-50,"NM",(BU401/BM401-1)*100)))</f>
        <v>-17.0922359313873</v>
      </c>
      <c r="BW401" s="117">
        <f>BW387+BW397</f>
        <v>110609</v>
      </c>
      <c r="BX401" s="98">
        <f>IF(ISERROR((BW401/BO401-1)*100),"NA",IF(((BW401/BO401-1)*100)&gt;100,"NM",IF(((BW401/BO401-1)*100)&lt;-50,"NM",(BW401/BO401-1)*100)))</f>
        <v>-12.160702657200485</v>
      </c>
      <c r="BY401" s="117">
        <f>BY387+BY397</f>
        <v>121766</v>
      </c>
      <c r="BZ401" s="98">
        <f>IF(ISERROR((BY401/BQ401-1)*100),"NA",IF(((BY401/BQ401-1)*100)&gt;100,"NM",IF(((BY401/BQ401-1)*100)&lt;-50,"NM",(BY401/BQ401-1)*100)))</f>
        <v>-2.7342657901253342</v>
      </c>
      <c r="CA401" s="117">
        <f>CA387+CA397</f>
        <v>137781</v>
      </c>
      <c r="CB401" s="98">
        <f>IF(ISERROR((CA401/BS401-1)*100),"NA",IF(((CA401/BS401-1)*100)&gt;100,"NM",IF(((CA401/BS401-1)*100)&lt;-50,"NM",(CA401/BS401-1)*100)))</f>
        <v>17.058188831210753</v>
      </c>
      <c r="CC401" s="117">
        <f>CC387+CC397</f>
        <v>142238</v>
      </c>
      <c r="CD401" s="98">
        <f>IF(ISERROR((CC401/BU401-1)*100),"NA",IF(((CC401/BU401-1)*100)&gt;100,"NM",IF(((CC401/BU401-1)*100)&lt;-50,"NM",(CC401/BU401-1)*100)))</f>
        <v>29.071424034264659</v>
      </c>
      <c r="CE401" s="117">
        <f>CE387+CE397</f>
        <v>147568</v>
      </c>
      <c r="CF401" s="98">
        <f>IF(ISERROR((CE401/BW401-1)*100),"NA",IF(((CE401/BW401-1)*100)&gt;100,"NM",IF(((CE401/BW401-1)*100)&lt;-50,"NM",(CE401/BW401-1)*100)))</f>
        <v>33.414098310264073</v>
      </c>
      <c r="CG401" s="117">
        <f>CG387+CG397</f>
        <v>144723</v>
      </c>
      <c r="CH401" s="98">
        <f>IF(ISERROR((CG401/BY401-1)*100),"NA",IF(((CG401/BY401-1)*100)&gt;100,"NM",IF(((CG401/BY401-1)*100)&lt;-50,"NM",(CG401/BY401-1)*100)))</f>
        <v>18.853374505198506</v>
      </c>
      <c r="CI401" s="117">
        <f>CI387+CI397</f>
        <v>155072</v>
      </c>
      <c r="CJ401" s="98">
        <f>IF(ISERROR((CI401/CA401-1)*100),"NA",IF(((CI401/CA401-1)*100)&gt;100,"NM",IF(((CI401/CA401-1)*100)&lt;-50,"NM",(CI401/CA401-1)*100)))</f>
        <v>12.549625855524349</v>
      </c>
      <c r="CK401" s="117">
        <f>CK387+CK397</f>
        <v>162681</v>
      </c>
      <c r="CL401" s="98">
        <f>IF(ISERROR((CK401/CC401-1)*100),"NA",IF(((CK401/CC401-1)*100)&gt;100,"NM",IF(((CK401/CC401-1)*100)&lt;-50,"NM",(CK401/CC401-1)*100)))</f>
        <v>14.372389937991258</v>
      </c>
      <c r="CM401" s="117">
        <f>CM387+CM397</f>
        <v>164844</v>
      </c>
      <c r="CN401" s="98">
        <f>IF(ISERROR((CM401/CE401-1)*100),"NA",IF(((CM401/CE401-1)*100)&gt;100,"NM",IF(((CM401/CE401-1)*100)&lt;-50,"NM",(CM401/CE401-1)*100)))</f>
        <v>11.707145180526934</v>
      </c>
      <c r="CO401" s="117">
        <f>CO387+CO397</f>
        <v>169348</v>
      </c>
      <c r="CP401" s="98">
        <f>IF(ISERROR((CO401/CG401-1)*100),"NA",IF(((CO401/CG401-1)*100)&gt;100,"NM",IF(((CO401/CG401-1)*100)&lt;-50,"NM",(CO401/CG401-1)*100)))</f>
        <v>17.015263641577349</v>
      </c>
      <c r="CQ401" s="486">
        <f>CQ387+CQ397</f>
        <v>163646</v>
      </c>
      <c r="CR401" s="98">
        <f>IF(ISERROR((CQ401/CI401-1)*100),"NA",IF(((CQ401/CI401-1)*100)&gt;100,"NM",IF(((CQ401/CI401-1)*100)&lt;-50,"NM",(CQ401/CI401-1)*100)))</f>
        <v>5.5290445728435778</v>
      </c>
      <c r="CS401" s="117">
        <f>CS387+CS397</f>
        <v>174162</v>
      </c>
      <c r="CT401" s="98">
        <f>IF(ISERROR((CS401/CK401-1)*100),"NA",IF(((CS401/CK401-1)*100)&gt;100,"NM",IF(((CS401/CK401-1)*100)&lt;-50,"NM",(CS401/CK401-1)*100)))</f>
        <v>7.0573699448614136</v>
      </c>
      <c r="CU401" s="117">
        <f>CU387+CU397</f>
        <v>184822</v>
      </c>
      <c r="CV401" s="98">
        <f>IF(ISERROR((CU401/CM401-1)*100),"NA",IF(((CU401/CM401-1)*100)&gt;100,"NM",IF(((CU401/CM401-1)*100)&lt;-50,"NM",(CU401/CM401-1)*100)))</f>
        <v>12.119337070199698</v>
      </c>
      <c r="CW401" s="117">
        <f>CW387+CW397</f>
        <v>183642</v>
      </c>
      <c r="CX401" s="98">
        <f>IF(ISERROR((CW401/CO401-1)*100),"NA",IF(((CW401/CO401-1)*100)&gt;100,"NM",IF(((CW401/CO401-1)*100)&lt;-50,"NM",(CW401/CO401-1)*100)))</f>
        <v>8.4406075064364483</v>
      </c>
      <c r="CY401" s="117">
        <f>CY387+CY397</f>
        <v>191074</v>
      </c>
      <c r="CZ401" s="98">
        <f>IF(ISERROR((CY401/CQ401-1)*100),"NA",IF(((CY401/CQ401-1)*100)&gt;100,"NM",IF(((CY401/CQ401-1)*100)&lt;-50,"NM",(CY401/CQ401-1)*100)))</f>
        <v>16.760568544296838</v>
      </c>
      <c r="DA401" s="117">
        <f>DA387+DA397</f>
        <v>193592</v>
      </c>
      <c r="DB401" s="98">
        <f>IF(ISERROR((DA401/CS401-1)*100),"NA",IF(((DA401/CS401-1)*100)&gt;100,"NM",IF(((DA401/CS401-1)*100)&lt;-50,"NM",(DA401/CS401-1)*100)))</f>
        <v>11.156279785487078</v>
      </c>
      <c r="DC401" s="117">
        <f>DC387+DC397</f>
        <v>200846</v>
      </c>
      <c r="DD401" s="98">
        <f>IF(ISERROR((DC401/CU401-1)*100),"NA",IF(((DC401/CU401-1)*100)&gt;100,"NM",IF(((DC401/CU401-1)*100)&lt;-50,"NM",(DC401/CU401-1)*100)))</f>
        <v>8.6699635324799083</v>
      </c>
      <c r="DE401" s="117">
        <f>DE387+DE397</f>
        <v>198107</v>
      </c>
      <c r="DF401" s="98">
        <f>IF(ISERROR((DE401/CW401-1)*100),"NA",IF(((DE401/CW401-1)*100)&gt;100,"NM",IF(((DE401/CW401-1)*100)&lt;-50,"NM",(DE401/CW401-1)*100)))</f>
        <v>7.8767384367410598</v>
      </c>
      <c r="DG401" s="117">
        <f>DG387+DG397</f>
        <v>204405</v>
      </c>
      <c r="DH401" s="98">
        <f>IF(ISERROR((DG401/CY401-1)*100),"NA",IF(((DG401/CY401-1)*100)&gt;100,"NM",IF(((DG401/CY401-1)*100)&lt;-50,"NM",(DG401/CY401-1)*100)))</f>
        <v>6.9768780681830123</v>
      </c>
      <c r="DI401" s="117">
        <f>DI387+DI397</f>
        <v>209424</v>
      </c>
      <c r="DJ401" s="98">
        <f>IF(ISERROR((DI401/DA401-1)*100),"NA",IF(((DI401/DA401-1)*100)&gt;100,"NM",IF(((DI401/DA401-1)*100)&lt;-50,"NM",(DI401/DA401-1)*100)))</f>
        <v>8.1780238852845244</v>
      </c>
      <c r="DK401" s="117">
        <f>DK387+DK397</f>
        <v>209612</v>
      </c>
      <c r="DL401" s="98">
        <f>IF(ISERROR((DK401/DC401-1)*100),"NA",IF(((DK401/DC401-1)*100)&gt;100,"NM",IF(((DK401/DC401-1)*100)&lt;-50,"NM",(DK401/DC401-1)*100)))</f>
        <v>4.3645380042420578</v>
      </c>
      <c r="DM401" s="117">
        <f>DM387+DM397</f>
        <v>212902</v>
      </c>
      <c r="DN401" s="98">
        <f>IF(ISERROR((DM401/DE401-1)*100),"NA",IF(((DM401/DE401-1)*100)&gt;100,"NM",IF(((DM401/DE401-1)*100)&lt;-50,"NM",(DM401/DE401-1)*100)))</f>
        <v>7.4681863841257412</v>
      </c>
      <c r="DO401" s="117">
        <f>DO387+DO397</f>
        <v>208524</v>
      </c>
      <c r="DP401" s="98">
        <f>IF(ISERROR((DO401/DG401-1)*100),"NA",IF(((DO401/DG401-1)*100)&gt;100,"NM",IF(((DO401/DG401-1)*100)&lt;-50,"NM",(DO401/DG401-1)*100)))</f>
        <v>2.0151170470389612</v>
      </c>
      <c r="DQ401" s="117">
        <f>DQ387+DQ397</f>
        <v>209154</v>
      </c>
      <c r="DR401" s="98">
        <f>IF(ISERROR((DQ401/DI401-1)*100),"NA",IF(((DQ401/DI401-1)*100)&gt;100,"NM",IF(((DQ401/DI401-1)*100)&lt;-50,"NM",(DQ401/DI401-1)*100)))</f>
        <v>-0.12892505157001688</v>
      </c>
      <c r="DS401" s="117">
        <f>DS387+DS397</f>
        <v>151591</v>
      </c>
      <c r="DT401" s="98">
        <f>IF(ISERROR((DS401/DK401-1)*100),"NA",IF(((DS401/DK401-1)*100)&gt;100,"NM",IF(((DS401/DK401-1)*100)&lt;-50,"NM",(DS401/DK401-1)*100)))</f>
        <v>-27.680190065454269</v>
      </c>
      <c r="DU401" s="117">
        <f>DU387+DU397</f>
        <v>150716</v>
      </c>
      <c r="DV401" s="98">
        <f>IF(ISERROR((DU401/DM401-1)*100),"NA",IF(((DU401/DM401-1)*100)&gt;100,"NM",IF(((DU401/DM401-1)*100)&lt;-50,"NM",(DU401/DM401-1)*100)))</f>
        <v>-29.208743929131707</v>
      </c>
      <c r="DW401" s="117">
        <f>DW387+DW397</f>
        <v>148457</v>
      </c>
      <c r="DX401" s="98">
        <f>IF(ISERROR((DW401/DO401-1)*100),"NA",IF(((DW401/DO401-1)*100)&gt;100,"NM",IF(((DW401/DO401-1)*100)&lt;-50,"NM",(DW401/DO401-1)*100)))</f>
        <v>-28.805796934645411</v>
      </c>
      <c r="DY401" s="117">
        <f>DY387+DY397</f>
        <v>149571</v>
      </c>
      <c r="DZ401" s="98">
        <f>IF(ISERROR((DY401/DQ401-1)*100),"NA",IF(((DY401/DQ401-1)*100)&gt;100,"NM",IF(((DY401/DQ401-1)*100)&lt;-50,"NM",(DY401/DQ401-1)*100)))</f>
        <v>-28.487621561146337</v>
      </c>
      <c r="EA401" s="117">
        <f>EA387+EA397</f>
        <v>150569</v>
      </c>
      <c r="EB401" s="98">
        <f>IF(ISERROR((EA401/DS401-1)*100),"NA",IF(((EA401/DS401-1)*100)&gt;100,"NM",IF(((EA401/DS401-1)*100)&lt;-50,"NM",(EA401/DS401-1)*100)))</f>
        <v>-0.67418250423837423</v>
      </c>
      <c r="EC401" s="117">
        <f>EC387+EC397</f>
        <v>152903</v>
      </c>
      <c r="ED401" s="98">
        <f>IF(ISERROR((EC401/DU401-1)*100),"NA",IF(((EC401/DU401-1)*100)&gt;100,"NM",IF(((EC401/DU401-1)*100)&lt;-50,"NM",(EC401/DU401-1)*100)))</f>
        <v>1.4510735422914589</v>
      </c>
      <c r="EE401" s="117">
        <f>EE387+EE397</f>
        <v>153885</v>
      </c>
      <c r="EF401" s="860">
        <f>IF(ISERROR((EE401/DW401-1)*100),"NA",IF(((EE401/DW401-1)*100)&gt;100,"NM",IF(((EE401/DW401-1)*100)&lt;-50,"NM",(EE401/DW401-1)*100)))</f>
        <v>3.6562775753248511</v>
      </c>
      <c r="EG401" s="117">
        <f>EG387+EG397</f>
        <v>151877</v>
      </c>
      <c r="EH401" s="860">
        <f>IF(ISERROR((EG401/DY401-1)*100),"NA",IF(((EG401/DY401-1)*100)&gt;100,"NM",IF(((EG401/DY401-1)*100)&lt;-50,"NM",(EG401/DY401-1)*100)))</f>
        <v>1.541742717505401</v>
      </c>
      <c r="EI401" s="117">
        <f>EI387+EI397</f>
        <v>152728</v>
      </c>
      <c r="EJ401" s="860">
        <f t="shared" ref="EJ401" si="2311">IF(ISERROR((EI401/EA401-1)*100),"NA",IF(((EI401/EA401-1)*100)&gt;100,"NM",IF(((EI401/EA401-1)*100)&lt;-50,"NM",(EI401/EA401-1)*100)))</f>
        <v>1.4338940950660461</v>
      </c>
      <c r="EK401" s="117">
        <f>EK387+EK397</f>
        <v>152947</v>
      </c>
      <c r="EL401" s="860">
        <f t="shared" ref="EL401" si="2312">IF(ISERROR((EK401/EC401-1)*100),"NA",IF(((EK401/EC401-1)*100)&gt;100,"NM",IF(((EK401/EC401-1)*100)&lt;-50,"NM",(EK401/EC401-1)*100)))</f>
        <v>2.8776413804831869E-2</v>
      </c>
      <c r="EM401" s="117">
        <f>EM387+EM397</f>
        <v>153513</v>
      </c>
      <c r="EN401" s="860">
        <f t="shared" ref="EN401" si="2313">IF(ISERROR((EM401/EE401-1)*100),"NA",IF(((EM401/EE401-1)*100)&gt;100,"NM",IF(((EM401/EE401-1)*100)&lt;-50,"NM",(EM401/EE401-1)*100)))</f>
        <v>-0.24173896091237435</v>
      </c>
      <c r="EO401" s="117">
        <f>EO387+EO397</f>
        <v>154062</v>
      </c>
      <c r="EP401" s="98">
        <f t="shared" ref="EP401" si="2314">IF(ISERROR((EO401/EG401-1)*100),"NA",IF(((EO401/EG401-1)*100)&gt;100,"NM",IF(((EO401/EG401-1)*100)&lt;-50,"NM",(EO401/EG401-1)*100)))</f>
        <v>1.4386641822000668</v>
      </c>
      <c r="EQ401" s="792">
        <f>EQ387+EQ397</f>
        <v>152150.9245675604</v>
      </c>
      <c r="ER401" s="98">
        <f t="shared" si="2304"/>
        <v>-0.37784521007254712</v>
      </c>
      <c r="ES401" s="792">
        <f t="shared" ref="ES401" si="2315">ES387+ES397</f>
        <v>151148.92279163189</v>
      </c>
      <c r="ET401" s="98">
        <f t="shared" si="2306"/>
        <v>-1.1756211029756103</v>
      </c>
      <c r="EU401" s="792">
        <f t="shared" ref="EU401" si="2316">EU387+EU397</f>
        <v>150066.59425094593</v>
      </c>
      <c r="EV401" s="98">
        <f t="shared" si="2308"/>
        <v>-2.2450253392573116</v>
      </c>
      <c r="EW401" s="792">
        <f t="shared" ref="EW401" si="2317">EW387+EW397</f>
        <v>148913.58161419153</v>
      </c>
      <c r="EX401" s="98">
        <f t="shared" si="2310"/>
        <v>-3.3417834286251447</v>
      </c>
      <c r="EY401" s="118"/>
      <c r="EZ401" s="594"/>
      <c r="FA401" s="405"/>
      <c r="FB401" s="118">
        <f>FB387+FB397</f>
        <v>36889</v>
      </c>
      <c r="FC401" s="98"/>
      <c r="FD401" s="117">
        <f>FD387+FD397</f>
        <v>42104</v>
      </c>
      <c r="FE401" s="98">
        <f>IF(ISERROR((FD401/FB401-1)*100),"NA",IF(((FD401/FB401-1)*100)&gt;100,"NM",IF(((FD401/FB401-1)*100)&lt;-50,"NM",(FD401/FB401-1)*100)))</f>
        <v>14.137005611428876</v>
      </c>
      <c r="FF401" s="118"/>
      <c r="FG401" s="98"/>
      <c r="FH401" s="118"/>
      <c r="FI401" s="98"/>
      <c r="FJ401" s="118"/>
      <c r="FK401" s="98"/>
      <c r="FL401" s="118"/>
      <c r="FM401" s="98"/>
      <c r="FN401" s="118"/>
      <c r="FO401" s="98"/>
      <c r="FP401" s="118"/>
      <c r="FQ401" s="98"/>
      <c r="FR401" s="119"/>
      <c r="FS401" s="120"/>
      <c r="FT401" s="119"/>
      <c r="FU401" s="120"/>
      <c r="FV401" s="119">
        <f>FV387+FV397</f>
        <v>110201</v>
      </c>
      <c r="FW401" s="98" t="str">
        <f>IF(ISERROR((FV401/FT401-1)*100),"NA",IF(((FV401/FT401-1)*100)&gt;100,"NM",IF(((FV401/FT401-1)*100)&lt;-50,"NM",(FV401/FT401-1)*100)))</f>
        <v>NA</v>
      </c>
      <c r="FX401" s="485">
        <f>FX387+FX397</f>
        <v>142238</v>
      </c>
      <c r="FY401" s="98">
        <f>IF(ISERROR((FX401/FV401-1)*100),"NA",IF(((FX401/FV401-1)*100)&gt;100,"NM",IF(((FX401/FV401-1)*100)&lt;-50,"NM",(FX401/FV401-1)*100)))</f>
        <v>29.071424034264659</v>
      </c>
      <c r="FZ401" s="119">
        <f>FZ387+FZ397</f>
        <v>162681</v>
      </c>
      <c r="GA401" s="98">
        <f>IF(ISERROR((FZ401/FX401-1)*100),"NA",IF(((FZ401/FX401-1)*100)&gt;100,"NM",IF(((FZ401/FX401-1)*100)&lt;-50,"NM",(FZ401/FX401-1)*100)))</f>
        <v>14.372389937991258</v>
      </c>
      <c r="GB401" s="485">
        <f>GB387+GB397</f>
        <v>174162</v>
      </c>
      <c r="GC401" s="98">
        <f>IF(ISERROR((GB401/FZ401-1)*100),"NA",IF(((GB401/FZ401-1)*100)&gt;100,"NM",IF(((GB401/FZ401-1)*100)&lt;-50,"NM",(GB401/FZ401-1)*100)))</f>
        <v>7.0573699448614136</v>
      </c>
      <c r="GD401" s="119">
        <f>GD387+GD397</f>
        <v>193592</v>
      </c>
      <c r="GE401" s="98">
        <f>IF(ISERROR((GD401/GB401-1)*100),"NA",IF(((GD401/GB401-1)*100)&gt;100,"NM",IF(((GD401/GB401-1)*100)&lt;-50,"NM",(GD401/GB401-1)*100)))</f>
        <v>11.156279785487078</v>
      </c>
      <c r="GF401" s="119">
        <f>GF387+GF397</f>
        <v>209424</v>
      </c>
      <c r="GG401" s="98">
        <f>IF(ISERROR((GF401/GD401-1)*100),"NA",IF(((GF401/GD401-1)*100)&gt;100,"NM",IF(((GF401/GD401-1)*100)&lt;-50,"NM",(GF401/GD401-1)*100)))</f>
        <v>8.1780238852845244</v>
      </c>
      <c r="GH401" s="119">
        <f>GH387+GH397</f>
        <v>209154</v>
      </c>
      <c r="GI401" s="98">
        <f>IF(ISERROR((GH401/GF401-1)*100),"NA",IF(((GH401/GF401-1)*100)&gt;100,"NM",IF(((GH401/GF401-1)*100)&lt;-50,"NM",(GH401/GF401-1)*100)))</f>
        <v>-0.12892505157001688</v>
      </c>
      <c r="GJ401" s="119">
        <f>GJ387+GJ397</f>
        <v>149571</v>
      </c>
      <c r="GK401" s="98">
        <f>IF(ISERROR((GJ401/GH401-1)*100),"NA",IF(((GJ401/GH401-1)*100)&gt;100,"NM",IF(((GJ401/GH401-1)*100)&lt;-50,"NM",(GJ401/GH401-1)*100)))</f>
        <v>-28.487621561146337</v>
      </c>
      <c r="GL401" s="119">
        <f>GL387+GL397</f>
        <v>151877</v>
      </c>
      <c r="GM401" s="98">
        <f>IF(ISERROR((GL401/GJ401-1)*100),"NA",IF(((GL401/GJ401-1)*100)&gt;100,"NM",IF(((GL401/GJ401-1)*100)&lt;-50,"NM",(GL401/GJ401-1)*100)))</f>
        <v>1.541742717505401</v>
      </c>
      <c r="GN401" s="119">
        <f>GN387+GN397</f>
        <v>154062</v>
      </c>
      <c r="GO401" s="98">
        <f>IF(ISERROR((GN401/GL401-1)*100),"NA",IF(((GN401/GL401-1)*100)&gt;100,"NM",IF(((GN401/GL401-1)*100)&lt;-50,"NM",(GN401/GL401-1)*100)))</f>
        <v>1.4386641822000668</v>
      </c>
      <c r="GP401" s="119">
        <f>GP387+GP397</f>
        <v>148913.58161419156</v>
      </c>
      <c r="GQ401" s="98">
        <f>IF(ISERROR((GP401/GN401-1)*100),"NA",IF(((GP401/GN401-1)*100)&gt;100,"NM",IF(((GP401/GN401-1)*100)&lt;-50,"NM",(GP401/GN401-1)*100)))</f>
        <v>-3.3417834286251225</v>
      </c>
      <c r="GR401" s="118">
        <f>GR387+GR397</f>
        <v>141606.23850501361</v>
      </c>
      <c r="GS401" s="98">
        <f>IF(ISERROR((GR401/GP401-1)*100),"NA",IF(((GR401/GP401-1)*100)&gt;100,"NM",IF(((GR401/GP401-1)*100)&lt;-50,"NM",(GR401/GP401-1)*100)))</f>
        <v>-4.9071031869409758</v>
      </c>
      <c r="GT401" s="118">
        <f>GT387+GT397</f>
        <v>133334.79456757611</v>
      </c>
      <c r="GU401" s="98">
        <f>IF(ISERROR((GT401/GR401-1)*100),"NA",IF(((GT401/GR401-1)*100)&gt;100,"NM",IF(((GT401/GR401-1)*100)&lt;-50,"NM",(GT401/GR401-1)*100)))</f>
        <v>-5.8411578647678315</v>
      </c>
      <c r="GV401" s="118">
        <f>GV387+GV397</f>
        <v>124473.38142857967</v>
      </c>
      <c r="GW401" s="98">
        <f>IF(ISERROR((GV401/GT401-1)*100),"NA",IF(((GV401/GT401-1)*100)&gt;100,"NM",IF(((GV401/GT401-1)*100)&lt;-50,"NM",(GV401/GT401-1)*100)))</f>
        <v>-6.6459870191687642</v>
      </c>
      <c r="GX401" s="118">
        <f>GX387+GX397</f>
        <v>115298.38350249753</v>
      </c>
      <c r="GY401" s="98">
        <f>IF(ISERROR((GX401/GV401-1)*100),"NA",IF(((GX401/GV401-1)*100)&gt;100,"NM",IF(((GX401/GV401-1)*100)&lt;-50,"NM",(GX401/GV401-1)*100)))</f>
        <v>-7.3710522047210292</v>
      </c>
      <c r="GZ401" s="98">
        <f>IF(ISERROR(((GX401/GN401)^0.2-1)*100),"NA",IF((((GX401/GN401)^0.2-1)*100)&gt;100,"NM",IF((((GX401/GN401)^0.2-1)*100)&lt;-50,"NM",((GX401/GN401)^0.2-1)*100)))</f>
        <v>-5.6318290950388867</v>
      </c>
      <c r="HA401" s="98"/>
      <c r="HB401" s="10"/>
      <c r="HC401"/>
      <c r="HD401"/>
      <c r="HE401"/>
      <c r="HF401"/>
      <c r="HG401"/>
      <c r="HH401"/>
      <c r="HI401" s="10"/>
    </row>
    <row r="402" spans="1:217" s="2" customFormat="1" ht="12.75" customHeight="1" x14ac:dyDescent="0.2">
      <c r="B402" s="91"/>
      <c r="C402" s="117"/>
      <c r="D402" s="98"/>
      <c r="E402" s="117"/>
      <c r="F402" s="98"/>
      <c r="G402" s="117"/>
      <c r="H402" s="98"/>
      <c r="I402" s="117"/>
      <c r="J402" s="98"/>
      <c r="K402" s="117"/>
      <c r="L402" s="98"/>
      <c r="M402" s="117"/>
      <c r="N402" s="98"/>
      <c r="O402" s="117"/>
      <c r="P402" s="98"/>
      <c r="Q402" s="117"/>
      <c r="R402" s="98"/>
      <c r="S402" s="117"/>
      <c r="T402" s="98"/>
      <c r="U402" s="117"/>
      <c r="V402" s="98"/>
      <c r="W402" s="117"/>
      <c r="X402" s="98"/>
      <c r="Y402" s="117"/>
      <c r="Z402" s="98"/>
      <c r="AA402" s="117"/>
      <c r="AB402" s="98"/>
      <c r="AC402" s="117"/>
      <c r="AD402" s="98"/>
      <c r="AE402" s="117"/>
      <c r="AF402" s="98"/>
      <c r="AG402" s="117"/>
      <c r="AH402" s="98"/>
      <c r="AI402" s="117"/>
      <c r="AJ402" s="98"/>
      <c r="AK402" s="117"/>
      <c r="AL402" s="98"/>
      <c r="AM402" s="117"/>
      <c r="AN402" s="98"/>
      <c r="AO402" s="117"/>
      <c r="AP402" s="98"/>
      <c r="AQ402" s="117"/>
      <c r="AR402" s="98"/>
      <c r="AS402" s="117"/>
      <c r="AT402" s="98"/>
      <c r="AU402" s="117"/>
      <c r="AV402" s="98"/>
      <c r="AW402" s="117"/>
      <c r="AX402" s="98"/>
      <c r="AY402" s="117"/>
      <c r="AZ402" s="98"/>
      <c r="BA402" s="117"/>
      <c r="BB402" s="98"/>
      <c r="BC402" s="117"/>
      <c r="BD402" s="98"/>
      <c r="BE402" s="117"/>
      <c r="BF402" s="98"/>
      <c r="BG402" s="117"/>
      <c r="BH402" s="98"/>
      <c r="BI402" s="117"/>
      <c r="BJ402" s="98"/>
      <c r="BK402" s="117"/>
      <c r="BL402" s="98"/>
      <c r="BM402" s="117"/>
      <c r="BN402" s="98"/>
      <c r="BO402" s="117"/>
      <c r="BP402" s="98"/>
      <c r="BQ402" s="117"/>
      <c r="BR402" s="98"/>
      <c r="BS402" s="117"/>
      <c r="BT402" s="98"/>
      <c r="BU402" s="117"/>
      <c r="BV402" s="98"/>
      <c r="BW402" s="117"/>
      <c r="BX402" s="98"/>
      <c r="BY402" s="117"/>
      <c r="BZ402" s="98"/>
      <c r="CA402" s="117"/>
      <c r="CB402" s="98"/>
      <c r="CC402" s="117"/>
      <c r="CD402" s="98"/>
      <c r="CE402" s="117"/>
      <c r="CF402" s="98"/>
      <c r="CG402" s="117"/>
      <c r="CH402" s="98"/>
      <c r="CI402" s="117"/>
      <c r="CJ402" s="98"/>
      <c r="CK402" s="117"/>
      <c r="CL402" s="98"/>
      <c r="CM402" s="117"/>
      <c r="CN402" s="98"/>
      <c r="CO402" s="117"/>
      <c r="CP402" s="98"/>
      <c r="CQ402" s="486"/>
      <c r="CR402" s="98"/>
      <c r="CS402" s="117"/>
      <c r="CT402" s="98"/>
      <c r="CU402" s="117"/>
      <c r="CV402" s="98"/>
      <c r="CW402" s="117"/>
      <c r="CX402" s="98"/>
      <c r="CY402" s="117"/>
      <c r="CZ402" s="98"/>
      <c r="DA402" s="117"/>
      <c r="DB402" s="98"/>
      <c r="DC402" s="117"/>
      <c r="DD402" s="98"/>
      <c r="DE402" s="117"/>
      <c r="DF402" s="98"/>
      <c r="DG402" s="117"/>
      <c r="DH402" s="98"/>
      <c r="DI402" s="117"/>
      <c r="DJ402" s="98"/>
      <c r="DK402" s="117"/>
      <c r="DL402" s="98"/>
      <c r="DM402" s="117"/>
      <c r="DN402" s="98"/>
      <c r="DO402" s="117"/>
      <c r="DP402" s="98"/>
      <c r="DQ402" s="117"/>
      <c r="DR402" s="98"/>
      <c r="DS402" s="117"/>
      <c r="DT402" s="98"/>
      <c r="DU402" s="117"/>
      <c r="DV402" s="98"/>
      <c r="DW402" s="117"/>
      <c r="DX402" s="98"/>
      <c r="DY402" s="117"/>
      <c r="DZ402" s="98"/>
      <c r="EA402" s="117"/>
      <c r="EB402" s="98"/>
      <c r="EC402" s="117"/>
      <c r="ED402" s="98"/>
      <c r="EE402" s="117"/>
      <c r="EF402" s="860"/>
      <c r="EG402" s="117"/>
      <c r="EH402" s="860"/>
      <c r="EI402" s="117"/>
      <c r="EJ402" s="860"/>
      <c r="EK402" s="117"/>
      <c r="EL402" s="860"/>
      <c r="EM402" s="117"/>
      <c r="EN402" s="860"/>
      <c r="EO402" s="117"/>
      <c r="EP402" s="98"/>
      <c r="EQ402" s="792"/>
      <c r="ER402" s="98"/>
      <c r="ES402" s="792"/>
      <c r="ET402" s="98"/>
      <c r="EU402" s="792"/>
      <c r="EV402" s="98"/>
      <c r="EW402" s="792"/>
      <c r="EX402" s="98"/>
      <c r="EY402" s="118"/>
      <c r="EZ402" s="594"/>
      <c r="FA402" s="405"/>
      <c r="FB402" s="118"/>
      <c r="FC402" s="98"/>
      <c r="FD402" s="117"/>
      <c r="FE402" s="98"/>
      <c r="FF402" s="118"/>
      <c r="FG402" s="98"/>
      <c r="FH402" s="118"/>
      <c r="FI402" s="98"/>
      <c r="FJ402" s="118"/>
      <c r="FK402" s="98"/>
      <c r="FL402" s="118"/>
      <c r="FM402" s="98"/>
      <c r="FN402" s="118"/>
      <c r="FO402" s="98"/>
      <c r="FP402" s="118"/>
      <c r="FQ402" s="98"/>
      <c r="FR402" s="119"/>
      <c r="FS402" s="120"/>
      <c r="FT402" s="119"/>
      <c r="FU402" s="120"/>
      <c r="FV402" s="119"/>
      <c r="FW402" s="98"/>
      <c r="FX402" s="485"/>
      <c r="FY402" s="98"/>
      <c r="FZ402" s="119"/>
      <c r="GA402" s="98"/>
      <c r="GB402" s="485"/>
      <c r="GC402" s="98"/>
      <c r="GD402" s="119"/>
      <c r="GE402" s="98"/>
      <c r="GF402" s="119"/>
      <c r="GG402" s="98"/>
      <c r="GH402" s="119"/>
      <c r="GI402" s="98"/>
      <c r="GJ402" s="119"/>
      <c r="GK402" s="98"/>
      <c r="GL402" s="119"/>
      <c r="GM402" s="98"/>
      <c r="GN402" s="119"/>
      <c r="GO402" s="98"/>
      <c r="GP402" s="119"/>
      <c r="GQ402" s="98"/>
      <c r="GR402" s="118"/>
      <c r="GS402" s="98"/>
      <c r="GT402" s="118"/>
      <c r="GU402" s="98"/>
      <c r="GV402" s="118"/>
      <c r="GW402" s="98"/>
      <c r="GX402" s="118"/>
      <c r="GY402" s="98"/>
      <c r="GZ402" s="98"/>
      <c r="HA402" s="98"/>
      <c r="HB402" s="10"/>
      <c r="HC402"/>
      <c r="HD402"/>
      <c r="HE402"/>
      <c r="HF402"/>
      <c r="HG402"/>
      <c r="HH402"/>
      <c r="HI402" s="10"/>
    </row>
    <row r="403" spans="1:217" s="2" customFormat="1" ht="12.75" customHeight="1" x14ac:dyDescent="0.2">
      <c r="B403" s="93" t="s">
        <v>735</v>
      </c>
      <c r="C403" s="112"/>
      <c r="D403" s="113"/>
      <c r="E403" s="112"/>
      <c r="F403" s="113"/>
      <c r="G403" s="112"/>
      <c r="H403" s="113"/>
      <c r="I403" s="112"/>
      <c r="J403" s="98"/>
      <c r="K403" s="112"/>
      <c r="L403" s="98"/>
      <c r="M403" s="112"/>
      <c r="N403" s="98"/>
      <c r="O403" s="112"/>
      <c r="P403" s="98"/>
      <c r="Q403" s="112"/>
      <c r="R403" s="98"/>
      <c r="S403" s="112"/>
      <c r="T403" s="98"/>
      <c r="U403" s="112"/>
      <c r="V403" s="98"/>
      <c r="W403" s="112"/>
      <c r="X403" s="98"/>
      <c r="Y403" s="112"/>
      <c r="Z403" s="98"/>
      <c r="AA403" s="112"/>
      <c r="AB403" s="98"/>
      <c r="AC403" s="112"/>
      <c r="AD403" s="98"/>
      <c r="AE403" s="112"/>
      <c r="AF403" s="98"/>
      <c r="AG403" s="112"/>
      <c r="AH403" s="98"/>
      <c r="AI403" s="112"/>
      <c r="AJ403" s="98"/>
      <c r="AK403" s="112"/>
      <c r="AL403" s="98"/>
      <c r="AM403" s="112"/>
      <c r="AN403" s="98"/>
      <c r="AO403" s="112"/>
      <c r="AP403" s="98"/>
      <c r="AQ403" s="112"/>
      <c r="AR403" s="98"/>
      <c r="AS403" s="112"/>
      <c r="AT403" s="98"/>
      <c r="AU403" s="112"/>
      <c r="AV403" s="98"/>
      <c r="AW403" s="112"/>
      <c r="AX403" s="98"/>
      <c r="AY403" s="112"/>
      <c r="AZ403" s="98"/>
      <c r="BA403" s="112"/>
      <c r="BB403" s="98"/>
      <c r="BC403" s="112"/>
      <c r="BD403" s="98"/>
      <c r="BE403" s="112"/>
      <c r="BF403" s="98"/>
      <c r="BG403" s="112"/>
      <c r="BH403" s="98"/>
      <c r="BI403" s="112"/>
      <c r="BJ403" s="98"/>
      <c r="BK403" s="112"/>
      <c r="BL403" s="98"/>
      <c r="BM403" s="112"/>
      <c r="BN403" s="98"/>
      <c r="BO403" s="112"/>
      <c r="BP403" s="98"/>
      <c r="BQ403" s="112"/>
      <c r="BR403" s="98"/>
      <c r="BS403" s="112"/>
      <c r="BT403" s="98"/>
      <c r="BU403" s="112"/>
      <c r="BV403" s="98"/>
      <c r="BW403" s="112"/>
      <c r="BX403" s="98"/>
      <c r="BY403" s="112"/>
      <c r="BZ403" s="98"/>
      <c r="CA403" s="112"/>
      <c r="CB403" s="98"/>
      <c r="CC403" s="112"/>
      <c r="CD403" s="98"/>
      <c r="CE403" s="112"/>
      <c r="CF403" s="98"/>
      <c r="CG403" s="112"/>
      <c r="CH403" s="98"/>
      <c r="CI403" s="112"/>
      <c r="CJ403" s="98"/>
      <c r="CK403" s="112"/>
      <c r="CL403" s="98"/>
      <c r="CM403" s="112"/>
      <c r="CN403" s="98"/>
      <c r="CO403" s="112"/>
      <c r="CP403" s="98"/>
      <c r="CQ403" s="543"/>
      <c r="CR403" s="98"/>
      <c r="CS403" s="112"/>
      <c r="CT403" s="98"/>
      <c r="CU403" s="112"/>
      <c r="CV403" s="98"/>
      <c r="CW403" s="112"/>
      <c r="CX403" s="98"/>
      <c r="CY403" s="112"/>
      <c r="CZ403" s="98"/>
      <c r="DA403" s="112"/>
      <c r="DB403" s="98"/>
      <c r="DC403" s="112"/>
      <c r="DD403" s="98"/>
      <c r="DE403" s="112"/>
      <c r="DF403" s="98"/>
      <c r="DG403" s="112"/>
      <c r="DH403" s="98"/>
      <c r="DI403" s="112"/>
      <c r="DJ403" s="98"/>
      <c r="DK403" s="112"/>
      <c r="DL403" s="98"/>
      <c r="DM403" s="112"/>
      <c r="DN403" s="98"/>
      <c r="DO403" s="112"/>
      <c r="DP403" s="98"/>
      <c r="DQ403" s="112"/>
      <c r="DR403" s="98"/>
      <c r="DS403" s="112"/>
      <c r="DT403" s="98"/>
      <c r="DU403" s="112"/>
      <c r="DV403" s="98"/>
      <c r="DW403" s="112"/>
      <c r="DX403" s="98"/>
      <c r="DY403" s="112"/>
      <c r="DZ403" s="98"/>
      <c r="EA403" s="112"/>
      <c r="EB403" s="98"/>
      <c r="EC403" s="112"/>
      <c r="ED403" s="98"/>
      <c r="EE403" s="112"/>
      <c r="EF403" s="860"/>
      <c r="EG403" s="112"/>
      <c r="EH403" s="860"/>
      <c r="EI403" s="112"/>
      <c r="EJ403" s="860"/>
      <c r="EK403" s="112"/>
      <c r="EL403" s="860"/>
      <c r="EM403" s="112"/>
      <c r="EN403" s="860"/>
      <c r="EO403" s="112"/>
      <c r="EP403" s="98"/>
      <c r="EQ403" s="1022"/>
      <c r="ER403" s="98"/>
      <c r="ES403" s="1022"/>
      <c r="ET403" s="98"/>
      <c r="EU403" s="1022"/>
      <c r="EV403" s="98"/>
      <c r="EW403" s="1022"/>
      <c r="EX403" s="98"/>
      <c r="EY403" s="114"/>
      <c r="EZ403" s="594"/>
      <c r="FA403" s="405"/>
      <c r="FB403" s="114"/>
      <c r="FC403" s="113"/>
      <c r="FD403" s="112"/>
      <c r="FE403" s="113"/>
      <c r="FF403" s="114"/>
      <c r="FG403" s="113"/>
      <c r="FH403" s="114"/>
      <c r="FI403" s="113"/>
      <c r="FJ403" s="114"/>
      <c r="FK403" s="113"/>
      <c r="FL403" s="114"/>
      <c r="FM403" s="113"/>
      <c r="FN403" s="114"/>
      <c r="FO403" s="113"/>
      <c r="FP403" s="114"/>
      <c r="FQ403" s="113"/>
      <c r="FR403" s="115"/>
      <c r="FS403" s="116"/>
      <c r="FT403" s="115"/>
      <c r="FU403" s="116"/>
      <c r="FV403" s="115"/>
      <c r="FW403" s="98"/>
      <c r="FX403" s="484"/>
      <c r="FY403" s="98"/>
      <c r="FZ403" s="114"/>
      <c r="GA403" s="98"/>
      <c r="GB403" s="576"/>
      <c r="GC403" s="98"/>
      <c r="GD403" s="114"/>
      <c r="GE403" s="98"/>
      <c r="GF403" s="114"/>
      <c r="GG403" s="98"/>
      <c r="GH403" s="114"/>
      <c r="GI403" s="98"/>
      <c r="GJ403" s="114"/>
      <c r="GK403" s="98"/>
      <c r="GL403" s="114"/>
      <c r="GM403" s="98"/>
      <c r="GN403" s="114"/>
      <c r="GO403" s="98"/>
      <c r="GP403" s="114"/>
      <c r="GQ403" s="98"/>
      <c r="GR403" s="114"/>
      <c r="GS403" s="98"/>
      <c r="GT403" s="114"/>
      <c r="GU403" s="98"/>
      <c r="GV403" s="114"/>
      <c r="GW403" s="98"/>
      <c r="GX403" s="114"/>
      <c r="GY403" s="98"/>
      <c r="GZ403" s="98"/>
      <c r="HA403" s="98"/>
      <c r="HB403" s="10"/>
      <c r="HC403"/>
      <c r="HD403"/>
      <c r="HE403"/>
      <c r="HF403"/>
      <c r="HG403"/>
      <c r="HH403"/>
      <c r="HI403" s="10"/>
    </row>
    <row r="404" spans="1:217" s="2" customFormat="1" ht="12.75" customHeight="1" x14ac:dyDescent="0.2">
      <c r="B404" s="93" t="s">
        <v>732</v>
      </c>
      <c r="C404" s="112"/>
      <c r="D404" s="113"/>
      <c r="E404" s="112"/>
      <c r="F404" s="113"/>
      <c r="G404" s="112"/>
      <c r="H404" s="113"/>
      <c r="I404" s="112"/>
      <c r="J404" s="113"/>
      <c r="K404" s="112"/>
      <c r="L404" s="113"/>
      <c r="M404" s="112"/>
      <c r="N404" s="113"/>
      <c r="O404" s="112"/>
      <c r="P404" s="113"/>
      <c r="Q404" s="112"/>
      <c r="R404" s="113"/>
      <c r="S404" s="112"/>
      <c r="T404" s="113"/>
      <c r="U404" s="112"/>
      <c r="V404" s="113"/>
      <c r="W404" s="112"/>
      <c r="X404" s="113"/>
      <c r="Y404" s="112"/>
      <c r="Z404" s="113"/>
      <c r="AA404" s="112"/>
      <c r="AB404" s="113"/>
      <c r="AC404" s="112"/>
      <c r="AD404" s="113"/>
      <c r="AE404" s="112"/>
      <c r="AF404" s="113"/>
      <c r="AG404" s="112"/>
      <c r="AH404" s="113"/>
      <c r="AI404" s="112"/>
      <c r="AJ404" s="113"/>
      <c r="AK404" s="112"/>
      <c r="AL404" s="113"/>
      <c r="AM404" s="112"/>
      <c r="AN404" s="113"/>
      <c r="AO404" s="112"/>
      <c r="AP404" s="113"/>
      <c r="AQ404" s="112"/>
      <c r="AR404" s="113"/>
      <c r="AS404" s="112"/>
      <c r="AT404" s="113"/>
      <c r="AU404" s="112"/>
      <c r="AV404" s="113"/>
      <c r="AW404" s="112"/>
      <c r="AX404" s="113"/>
      <c r="AY404" s="112"/>
      <c r="AZ404" s="113"/>
      <c r="BA404" s="112"/>
      <c r="BB404" s="113"/>
      <c r="BC404" s="112"/>
      <c r="BD404" s="113"/>
      <c r="BE404" s="112"/>
      <c r="BF404" s="113"/>
      <c r="BG404" s="112"/>
      <c r="BH404" s="113"/>
      <c r="BI404" s="112"/>
      <c r="BJ404" s="113"/>
      <c r="BK404" s="112"/>
      <c r="BL404" s="113"/>
      <c r="BM404" s="112"/>
      <c r="BN404" s="113"/>
      <c r="BO404" s="112"/>
      <c r="BP404" s="113"/>
      <c r="BQ404" s="112"/>
      <c r="BR404" s="113"/>
      <c r="BS404" s="112"/>
      <c r="BT404" s="113"/>
      <c r="BU404" s="112"/>
      <c r="BV404" s="113"/>
      <c r="BW404" s="112"/>
      <c r="BX404" s="113"/>
      <c r="BY404" s="112"/>
      <c r="BZ404" s="113"/>
      <c r="CA404" s="112"/>
      <c r="CB404" s="113"/>
      <c r="CC404" s="112"/>
      <c r="CD404" s="113"/>
      <c r="CE404" s="112"/>
      <c r="CF404" s="113"/>
      <c r="CG404" s="112"/>
      <c r="CH404" s="113"/>
      <c r="CI404" s="112"/>
      <c r="CJ404" s="113"/>
      <c r="CK404" s="112"/>
      <c r="CL404" s="113"/>
      <c r="CM404" s="112"/>
      <c r="CN404" s="113"/>
      <c r="CO404" s="112"/>
      <c r="CP404" s="113"/>
      <c r="CQ404" s="543"/>
      <c r="CR404" s="113"/>
      <c r="CS404" s="112"/>
      <c r="CT404" s="113"/>
      <c r="CU404" s="112"/>
      <c r="CV404" s="113"/>
      <c r="CW404" s="112"/>
      <c r="CX404" s="113"/>
      <c r="CY404" s="112"/>
      <c r="CZ404" s="113"/>
      <c r="DA404" s="112"/>
      <c r="DB404" s="113"/>
      <c r="DC404" s="112"/>
      <c r="DD404" s="113"/>
      <c r="DE404" s="112"/>
      <c r="DF404" s="113"/>
      <c r="DG404" s="112"/>
      <c r="DH404" s="113"/>
      <c r="DI404" s="112"/>
      <c r="DJ404" s="113"/>
      <c r="DK404" s="112"/>
      <c r="DL404" s="113"/>
      <c r="DM404" s="112"/>
      <c r="DN404" s="113"/>
      <c r="DO404" s="112"/>
      <c r="DP404" s="113"/>
      <c r="DQ404" s="112"/>
      <c r="DR404" s="113"/>
      <c r="DS404" s="112"/>
      <c r="DT404" s="113"/>
      <c r="DU404" s="112"/>
      <c r="DV404" s="113"/>
      <c r="DW404" s="112"/>
      <c r="DX404" s="113"/>
      <c r="DY404" s="112"/>
      <c r="DZ404" s="113"/>
      <c r="EA404" s="112"/>
      <c r="EB404" s="113"/>
      <c r="EC404" s="112"/>
      <c r="ED404" s="113"/>
      <c r="EE404" s="112"/>
      <c r="EF404" s="859"/>
      <c r="EG404" s="112"/>
      <c r="EH404" s="859"/>
      <c r="EI404" s="112"/>
      <c r="EJ404" s="859"/>
      <c r="EK404" s="112"/>
      <c r="EL404" s="859"/>
      <c r="EM404" s="112"/>
      <c r="EN404" s="859"/>
      <c r="EO404" s="112"/>
      <c r="EP404" s="113"/>
      <c r="EQ404" s="1022"/>
      <c r="ER404" s="113"/>
      <c r="ES404" s="1022"/>
      <c r="ET404" s="113"/>
      <c r="EU404" s="1022"/>
      <c r="EV404" s="113"/>
      <c r="EW404" s="1022"/>
      <c r="EX404" s="113"/>
      <c r="EY404" s="114"/>
      <c r="EZ404" s="594"/>
      <c r="FA404" s="405"/>
      <c r="FB404" s="112"/>
      <c r="FC404" s="113"/>
      <c r="FD404" s="112"/>
      <c r="FE404" s="113"/>
      <c r="FF404" s="114"/>
      <c r="FG404" s="113"/>
      <c r="FH404" s="114"/>
      <c r="FI404" s="113"/>
      <c r="FJ404" s="114"/>
      <c r="FK404" s="113"/>
      <c r="FL404" s="114"/>
      <c r="FM404" s="113"/>
      <c r="FN404" s="114"/>
      <c r="FO404" s="113"/>
      <c r="FP404" s="114"/>
      <c r="FQ404" s="113"/>
      <c r="FR404" s="115"/>
      <c r="FS404" s="116"/>
      <c r="FT404" s="115"/>
      <c r="FU404" s="116"/>
      <c r="FV404" s="115"/>
      <c r="FW404" s="113"/>
      <c r="FX404" s="484"/>
      <c r="FY404" s="113"/>
      <c r="FZ404" s="115"/>
      <c r="GA404" s="113"/>
      <c r="GB404" s="484"/>
      <c r="GC404" s="113"/>
      <c r="GD404" s="114"/>
      <c r="GE404" s="113"/>
      <c r="GF404" s="114"/>
      <c r="GG404" s="113"/>
      <c r="GH404" s="114"/>
      <c r="GI404" s="98"/>
      <c r="GJ404" s="114"/>
      <c r="GK404" s="98"/>
      <c r="GL404" s="114"/>
      <c r="GM404" s="98"/>
      <c r="GN404" s="114"/>
      <c r="GO404" s="98"/>
      <c r="GP404" s="114"/>
      <c r="GQ404" s="98"/>
      <c r="GR404" s="114"/>
      <c r="GS404" s="98"/>
      <c r="GT404" s="114"/>
      <c r="GU404" s="98"/>
      <c r="GV404" s="114"/>
      <c r="GW404" s="98"/>
      <c r="GX404" s="114"/>
      <c r="GY404" s="98"/>
      <c r="GZ404" s="113"/>
      <c r="HA404" s="113"/>
      <c r="HB404" s="10"/>
      <c r="HC404"/>
      <c r="HD404"/>
      <c r="HE404"/>
      <c r="HF404"/>
      <c r="HG404"/>
      <c r="HH404"/>
      <c r="HI404" s="10"/>
    </row>
    <row r="405" spans="1:217" s="2" customFormat="1" ht="12.75" customHeight="1" x14ac:dyDescent="0.2">
      <c r="A405" s="2" t="s">
        <v>90</v>
      </c>
      <c r="B405" s="91" t="s">
        <v>310</v>
      </c>
      <c r="C405" s="117"/>
      <c r="D405" s="98"/>
      <c r="E405" s="117"/>
      <c r="F405" s="98"/>
      <c r="G405" s="117"/>
      <c r="H405" s="98"/>
      <c r="I405" s="117"/>
      <c r="J405" s="98"/>
      <c r="K405" s="117"/>
      <c r="L405" s="98"/>
      <c r="M405" s="117"/>
      <c r="N405" s="98"/>
      <c r="O405" s="117"/>
      <c r="P405" s="98"/>
      <c r="Q405" s="117"/>
      <c r="R405" s="98"/>
      <c r="S405" s="117"/>
      <c r="T405" s="98"/>
      <c r="U405" s="117"/>
      <c r="V405" s="98"/>
      <c r="W405" s="117"/>
      <c r="X405" s="98"/>
      <c r="Y405" s="117"/>
      <c r="Z405" s="98"/>
      <c r="AA405" s="117"/>
      <c r="AB405" s="98"/>
      <c r="AC405" s="117"/>
      <c r="AD405" s="98"/>
      <c r="AE405" s="117"/>
      <c r="AF405" s="98"/>
      <c r="AG405" s="117"/>
      <c r="AH405" s="98"/>
      <c r="AI405" s="117"/>
      <c r="AJ405" s="98"/>
      <c r="AK405" s="117"/>
      <c r="AL405" s="98"/>
      <c r="AM405" s="117"/>
      <c r="AN405" s="98"/>
      <c r="AO405" s="117"/>
      <c r="AP405" s="98"/>
      <c r="AQ405" s="117"/>
      <c r="AR405" s="98"/>
      <c r="AS405" s="117"/>
      <c r="AT405" s="98"/>
      <c r="AU405" s="117"/>
      <c r="AV405" s="98"/>
      <c r="AW405" s="117"/>
      <c r="AX405" s="98"/>
      <c r="AY405" s="117"/>
      <c r="AZ405" s="98"/>
      <c r="BA405" s="117"/>
      <c r="BB405" s="98"/>
      <c r="BC405" s="117"/>
      <c r="BD405" s="98"/>
      <c r="BE405" s="117"/>
      <c r="BF405" s="98"/>
      <c r="BG405" s="117"/>
      <c r="BH405" s="98"/>
      <c r="BI405" s="117"/>
      <c r="BJ405" s="98"/>
      <c r="BK405" s="117"/>
      <c r="BL405" s="98"/>
      <c r="BM405" s="117">
        <v>41305</v>
      </c>
      <c r="BN405" s="98" t="str">
        <f t="shared" ref="BN405:BN412" si="2318">IF(ISERROR((BM405/BE405-1)*100),"NA",IF(((BM405/BE405-1)*100)&gt;100,"NM",IF(((BM405/BE405-1)*100)&lt;-50,"NM",(BM405/BE405-1)*100)))</f>
        <v>NA</v>
      </c>
      <c r="BO405" s="117">
        <f>+BM411</f>
        <v>40840</v>
      </c>
      <c r="BP405" s="98" t="str">
        <f t="shared" ref="BP405:BP412" si="2319">IF(ISERROR((BO405/BG405-1)*100),"NA",IF(((BO405/BG405-1)*100)&gt;100,"NM",IF(((BO405/BG405-1)*100)&lt;-50,"NM",(BO405/BG405-1)*100)))</f>
        <v>NA</v>
      </c>
      <c r="BQ405" s="117">
        <f>+BO411</f>
        <v>41096</v>
      </c>
      <c r="BR405" s="98" t="str">
        <f t="shared" ref="BR405:BR412" si="2320">IF(ISERROR((BQ405/BI405-1)*100),"NA",IF(((BQ405/BI405-1)*100)&gt;100,"NM",IF(((BQ405/BI405-1)*100)&lt;-50,"NM",(BQ405/BI405-1)*100)))</f>
        <v>NA</v>
      </c>
      <c r="BS405" s="117">
        <f>+BQ411</f>
        <v>40916</v>
      </c>
      <c r="BT405" s="98" t="str">
        <f t="shared" ref="BT405:BT412" si="2321">IF(ISERROR((BS405/BK405-1)*100),"NA",IF(((BS405/BK405-1)*100)&gt;100,"NM",IF(((BS405/BK405-1)*100)&lt;-50,"NM",(BS405/BK405-1)*100)))</f>
        <v>NA</v>
      </c>
      <c r="BU405" s="117">
        <f>+BS411</f>
        <v>41765</v>
      </c>
      <c r="BV405" s="98">
        <f t="shared" ref="BV405:BV412" si="2322">IF(ISERROR((BU405/BM405-1)*100),"NA",IF(((BU405/BM405-1)*100)&gt;100,"NM",IF(((BU405/BM405-1)*100)&lt;-50,"NM",(BU405/BM405-1)*100)))</f>
        <v>1.113666626316423</v>
      </c>
      <c r="BW405" s="117">
        <f>+BU411</f>
        <v>47937</v>
      </c>
      <c r="BX405" s="98">
        <f t="shared" ref="BX405:BX412" si="2323">IF(ISERROR((BW405/BO405-1)*100),"NA",IF(((BW405/BO405-1)*100)&gt;100,"NM",IF(((BW405/BO405-1)*100)&lt;-50,"NM",(BW405/BO405-1)*100)))</f>
        <v>17.377571008814897</v>
      </c>
      <c r="BY405" s="117">
        <f>+BW411</f>
        <v>51415</v>
      </c>
      <c r="BZ405" s="98">
        <f t="shared" ref="BZ405:BZ412" si="2324">IF(ISERROR((BY405/BQ405-1)*100),"NA",IF(((BY405/BQ405-1)*100)&gt;100,"NM",IF(((BY405/BQ405-1)*100)&lt;-50,"NM",(BY405/BQ405-1)*100)))</f>
        <v>25.109499708000783</v>
      </c>
      <c r="CA405" s="117">
        <f>+BY411</f>
        <v>51228</v>
      </c>
      <c r="CB405" s="98">
        <f t="shared" ref="CB405:CB412" si="2325">IF(ISERROR((CA405/BS405-1)*100),"NA",IF(((CA405/BS405-1)*100)&gt;100,"NM",IF(((CA405/BS405-1)*100)&lt;-50,"NM",(CA405/BS405-1)*100)))</f>
        <v>25.202854628995986</v>
      </c>
      <c r="CC405" s="117">
        <f>+CA411</f>
        <v>55639</v>
      </c>
      <c r="CD405" s="98">
        <f t="shared" ref="CD405:CD412" si="2326">IF(ISERROR((CC405/BU405-1)*100),"NA",IF(((CC405/BU405-1)*100)&gt;100,"NM",IF(((CC405/BU405-1)*100)&lt;-50,"NM",(CC405/BU405-1)*100)))</f>
        <v>33.219202681671248</v>
      </c>
      <c r="CE405" s="117">
        <f>+CC411</f>
        <v>55081</v>
      </c>
      <c r="CF405" s="98">
        <f t="shared" ref="CF405:CF412" si="2327">IF(ISERROR((CE405/BW405-1)*100),"NA",IF(((CE405/BW405-1)*100)&gt;100,"NM",IF(((CE405/BW405-1)*100)&lt;-50,"NM",(CE405/BW405-1)*100)))</f>
        <v>14.902893380895765</v>
      </c>
      <c r="CG405" s="117">
        <f>+CE411</f>
        <v>54965</v>
      </c>
      <c r="CH405" s="98">
        <f t="shared" ref="CH405:CH412" si="2328">IF(ISERROR((CG405/BY405-1)*100),"NA",IF(((CG405/BY405-1)*100)&gt;100,"NM",IF(((CG405/BY405-1)*100)&lt;-50,"NM",(CG405/BY405-1)*100)))</f>
        <v>6.9045998249538165</v>
      </c>
      <c r="CI405" s="117">
        <f>+CG411</f>
        <v>57356</v>
      </c>
      <c r="CJ405" s="98">
        <f t="shared" ref="CJ405:CJ412" si="2329">IF(ISERROR((CI405/CA405-1)*100),"NA",IF(((CI405/CA405-1)*100)&gt;100,"NM",IF(((CI405/CA405-1)*100)&lt;-50,"NM",(CI405/CA405-1)*100)))</f>
        <v>11.96220816740845</v>
      </c>
      <c r="CK405" s="117">
        <f>+CI411</f>
        <v>57485</v>
      </c>
      <c r="CL405" s="98">
        <f t="shared" ref="CL405:CL412" si="2330">IF(ISERROR((CK405/CC405-1)*100),"NA",IF(((CK405/CC405-1)*100)&gt;100,"NM",IF(((CK405/CC405-1)*100)&lt;-50,"NM",(CK405/CC405-1)*100)))</f>
        <v>3.3178166394076003</v>
      </c>
      <c r="CM405" s="101">
        <v>50860</v>
      </c>
      <c r="CN405" s="98">
        <f t="shared" ref="CN405:CN412" si="2331">IF(ISERROR((CM405/CE405-1)*100),"NA",IF(((CM405/CE405-1)*100)&gt;100,"NM",IF(((CM405/CE405-1)*100)&lt;-50,"NM",(CM405/CE405-1)*100)))</f>
        <v>-7.6632595631887623</v>
      </c>
      <c r="CO405" s="117">
        <f>+CM411</f>
        <v>50334</v>
      </c>
      <c r="CP405" s="98">
        <f t="shared" ref="CP405:CP412" si="2332">IF(ISERROR((CO405/CG405-1)*100),"NA",IF(((CO405/CG405-1)*100)&gt;100,"NM",IF(((CO405/CG405-1)*100)&lt;-50,"NM",(CO405/CG405-1)*100)))</f>
        <v>-8.4253615937414761</v>
      </c>
      <c r="CQ405" s="486">
        <f>+CO411</f>
        <v>50885</v>
      </c>
      <c r="CR405" s="98">
        <f t="shared" ref="CR405:CR412" si="2333">IF(ISERROR((CQ405/CI405-1)*100),"NA",IF(((CQ405/CI405-1)*100)&gt;100,"NM",IF(((CQ405/CI405-1)*100)&lt;-50,"NM",(CQ405/CI405-1)*100)))</f>
        <v>-11.282167515168418</v>
      </c>
      <c r="CS405" s="117">
        <f>+CQ411</f>
        <v>54991</v>
      </c>
      <c r="CT405" s="98">
        <f t="shared" ref="CT405:CT412" si="2334">IF(ISERROR((CS405/CK405-1)*100),"NA",IF(((CS405/CK405-1)*100)&gt;100,"NM",IF(((CS405/CK405-1)*100)&lt;-50,"NM",(CS405/CK405-1)*100)))</f>
        <v>-4.3385230929807728</v>
      </c>
      <c r="CU405" s="117">
        <f>+CS411</f>
        <v>53899</v>
      </c>
      <c r="CV405" s="98">
        <f t="shared" ref="CV405:CV412" si="2335">IF(ISERROR((CU405/CM405-1)*100),"NA",IF(((CU405/CM405-1)*100)&gt;100,"NM",IF(((CU405/CM405-1)*100)&lt;-50,"NM",(CU405/CM405-1)*100)))</f>
        <v>5.9752261108926508</v>
      </c>
      <c r="CW405" s="117">
        <f>+CU411</f>
        <v>51360</v>
      </c>
      <c r="CX405" s="98">
        <f t="shared" ref="CX405:CX412" si="2336">IF(ISERROR((CW405/CO405-1)*100),"NA",IF(((CW405/CO405-1)*100)&gt;100,"NM",IF(((CW405/CO405-1)*100)&lt;-50,"NM",(CW405/CO405-1)*100)))</f>
        <v>2.0383835975682496</v>
      </c>
      <c r="CY405" s="117">
        <f>+CW411</f>
        <v>52226</v>
      </c>
      <c r="CZ405" s="98">
        <f t="shared" ref="CZ405:CZ412" si="2337">IF(ISERROR((CY405/CQ405-1)*100),"NA",IF(((CY405/CQ405-1)*100)&gt;100,"NM",IF(((CY405/CQ405-1)*100)&lt;-50,"NM",(CY405/CQ405-1)*100)))</f>
        <v>2.6353542301267519</v>
      </c>
      <c r="DA405" s="117">
        <f>+CY411</f>
        <v>51590</v>
      </c>
      <c r="DB405" s="98">
        <f t="shared" ref="DB405:DB412" si="2338">IF(ISERROR((DA405/CS405-1)*100),"NA",IF(((DA405/CS405-1)*100)&gt;100,"NM",IF(((DA405/CS405-1)*100)&lt;-50,"NM",(DA405/CS405-1)*100)))</f>
        <v>-6.1846483970104167</v>
      </c>
      <c r="DC405" s="117">
        <f>+DA411</f>
        <v>51542</v>
      </c>
      <c r="DD405" s="98">
        <f t="shared" ref="DD405:DD412" si="2339">IF(ISERROR((DC405/CU405-1)*100),"NA",IF(((DC405/CU405-1)*100)&gt;100,"NM",IF(((DC405/CU405-1)*100)&lt;-50,"NM",(DC405/CU405-1)*100)))</f>
        <v>-4.3729939330970913</v>
      </c>
      <c r="DE405" s="117">
        <f>+DC411</f>
        <v>50020</v>
      </c>
      <c r="DF405" s="98">
        <f t="shared" ref="DF405:DF412" si="2340">IF(ISERROR((DE405/CW405-1)*100),"NA",IF(((DE405/CW405-1)*100)&gt;100,"NM",IF(((DE405/CW405-1)*100)&lt;-50,"NM",(DE405/CW405-1)*100)))</f>
        <v>-2.6090342679127687</v>
      </c>
      <c r="DG405" s="117">
        <f>+DE411</f>
        <v>48990</v>
      </c>
      <c r="DH405" s="98">
        <f t="shared" ref="DH405:DH412" si="2341">IF(ISERROR((DG405/CY405-1)*100),"NA",IF(((DG405/CY405-1)*100)&gt;100,"NM",IF(((DG405/CY405-1)*100)&lt;-50,"NM",(DG405/CY405-1)*100)))</f>
        <v>-6.1961475127331189</v>
      </c>
      <c r="DI405" s="117">
        <f>+DG411</f>
        <v>48428</v>
      </c>
      <c r="DJ405" s="98">
        <f t="shared" ref="DJ405:DJ412" si="2342">IF(ISERROR((DI405/DA405-1)*100),"NA",IF(((DI405/DA405-1)*100)&gt;100,"NM",IF(((DI405/DA405-1)*100)&lt;-50,"NM",(DI405/DA405-1)*100)))</f>
        <v>-6.1290947858112066</v>
      </c>
      <c r="DK405" s="117">
        <f>+DI411</f>
        <v>46988</v>
      </c>
      <c r="DL405" s="98">
        <f t="shared" ref="DL405:DL412" si="2343">IF(ISERROR((DK405/DC405-1)*100),"NA",IF(((DK405/DC405-1)*100)&gt;100,"NM",IF(((DK405/DC405-1)*100)&lt;-50,"NM",(DK405/DC405-1)*100)))</f>
        <v>-8.8355127856893372</v>
      </c>
      <c r="DM405" s="117">
        <f>+DK411</f>
        <v>46899</v>
      </c>
      <c r="DN405" s="98">
        <f t="shared" ref="DN405:DN412" si="2344">IF(ISERROR((DM405/DE405-1)*100),"NA",IF(((DM405/DE405-1)*100)&gt;100,"NM",IF(((DM405/DE405-1)*100)&lt;-50,"NM",(DM405/DE405-1)*100)))</f>
        <v>-6.2395041983206667</v>
      </c>
      <c r="DO405" s="117">
        <f>+DM411</f>
        <v>46809</v>
      </c>
      <c r="DP405" s="98">
        <f t="shared" ref="DP405:DP412" si="2345">IF(ISERROR((DO405/DG405-1)*100),"NA",IF(((DO405/DG405-1)*100)&gt;100,"NM",IF(((DO405/DG405-1)*100)&lt;-50,"NM",(DO405/DG405-1)*100)))</f>
        <v>-4.4519289650949201</v>
      </c>
      <c r="DQ405" s="117">
        <f>+DO411</f>
        <v>47529</v>
      </c>
      <c r="DR405" s="98">
        <f t="shared" ref="DR405:DR412" si="2346">IF(ISERROR((DQ405/DI405-1)*100),"NA",IF(((DQ405/DI405-1)*100)&gt;100,"NM",IF(((DQ405/DI405-1)*100)&lt;-50,"NM",(DQ405/DI405-1)*100)))</f>
        <v>-1.8563640868918818</v>
      </c>
      <c r="DS405" s="117">
        <v>78046</v>
      </c>
      <c r="DT405" s="98">
        <f t="shared" ref="DT405:DT412" si="2347">IF(ISERROR((DS405/DK405-1)*100),"NA",IF(((DS405/DK405-1)*100)&gt;100,"NM",IF(((DS405/DK405-1)*100)&lt;-50,"NM",(DS405/DK405-1)*100)))</f>
        <v>66.09772707925427</v>
      </c>
      <c r="DU405" s="117">
        <f>+DS411</f>
        <v>78229</v>
      </c>
      <c r="DV405" s="98">
        <f t="shared" ref="DV405:DV412" si="2348">IF(ISERROR((DU405/DM405-1)*100),"NA",IF(((DU405/DM405-1)*100)&gt;100,"NM",IF(((DU405/DM405-1)*100)&lt;-50,"NM",(DU405/DM405-1)*100)))</f>
        <v>66.803130130706407</v>
      </c>
      <c r="DW405" s="117">
        <v>78357</v>
      </c>
      <c r="DX405" s="98">
        <f t="shared" ref="DX405:DX412" si="2349">IF(ISERROR((DW405/DO405-1)*100),"NA",IF(((DW405/DO405-1)*100)&gt;100,"NM",IF(((DW405/DO405-1)*100)&lt;-50,"NM",(DW405/DO405-1)*100)))</f>
        <v>67.397295391911811</v>
      </c>
      <c r="DY405" s="117">
        <f>+DW411</f>
        <v>78938</v>
      </c>
      <c r="DZ405" s="98">
        <f t="shared" ref="DZ405:DZ412" si="2350">IF(ISERROR((DY405/DQ405-1)*100),"NA",IF(((DY405/DQ405-1)*100)&gt;100,"NM",IF(((DY405/DQ405-1)*100)&lt;-50,"NM",(DY405/DQ405-1)*100)))</f>
        <v>66.083864587935778</v>
      </c>
      <c r="EA405" s="117">
        <f>+DY411</f>
        <v>79281</v>
      </c>
      <c r="EB405" s="98">
        <f t="shared" ref="EB405:EB412" si="2351">IF(ISERROR((EA405/DS405-1)*100),"NA",IF(((EA405/DS405-1)*100)&gt;100,"NM",IF(((EA405/DS405-1)*100)&lt;-50,"NM",(EA405/DS405-1)*100)))</f>
        <v>1.5824001230043905</v>
      </c>
      <c r="EC405" s="117">
        <f>+EA411</f>
        <v>79954</v>
      </c>
      <c r="ED405" s="98">
        <f t="shared" ref="ED405:ED412" si="2352">IF(ISERROR((EC405/DU405-1)*100),"NA",IF(((EC405/DU405-1)*100)&gt;100,"NM",IF(((EC405/DU405-1)*100)&lt;-50,"NM",(EC405/DU405-1)*100)))</f>
        <v>2.2050646179805344</v>
      </c>
      <c r="EE405" s="117">
        <f>+EC411</f>
        <v>80704</v>
      </c>
      <c r="EF405" s="860">
        <f t="shared" ref="EF405:EF412" si="2353">IF(ISERROR((EE405/DW405-1)*100),"NA",IF(((EE405/DW405-1)*100)&gt;100,"NM",IF(((EE405/DW405-1)*100)&lt;-50,"NM",(EE405/DW405-1)*100)))</f>
        <v>2.9952652602830643</v>
      </c>
      <c r="EG405" s="117">
        <f>+EE411</f>
        <v>80968</v>
      </c>
      <c r="EH405" s="860">
        <f t="shared" ref="EH405:EH412" si="2354">IF(ISERROR((EG405/DY405-1)*100),"NA",IF(((EG405/DY405-1)*100)&gt;100,"NM",IF(((EG405/DY405-1)*100)&lt;-50,"NM",(EG405/DY405-1)*100)))</f>
        <v>2.5716385011021359</v>
      </c>
      <c r="EI405" s="117">
        <f>+EG411</f>
        <v>80743</v>
      </c>
      <c r="EJ405" s="860">
        <f t="shared" ref="EJ405:EJ412" si="2355">IF(ISERROR((EI405/EA405-1)*100),"NA",IF(((EI405/EA405-1)*100)&gt;100,"NM",IF(((EI405/EA405-1)*100)&lt;-50,"NM",(EI405/EA405-1)*100)))</f>
        <v>1.8440736115841183</v>
      </c>
      <c r="EK405" s="117">
        <f>+EI411</f>
        <v>81077</v>
      </c>
      <c r="EL405" s="860">
        <f t="shared" ref="EL405:EL412" si="2356">IF(ISERROR((EK405/EC405-1)*100),"NA",IF(((EK405/EC405-1)*100)&gt;100,"NM",IF(((EK405/EC405-1)*100)&lt;-50,"NM",(EK405/EC405-1)*100)))</f>
        <v>1.4045576206318744</v>
      </c>
      <c r="EM405" s="117">
        <f>+EK411</f>
        <v>81127</v>
      </c>
      <c r="EN405" s="860">
        <f t="shared" ref="EN405:EN412" si="2357">IF(ISERROR((EM405/EE405-1)*100),"NA",IF(((EM405/EE405-1)*100)&gt;100,"NM",IF(((EM405/EE405-1)*100)&lt;-50,"NM",(EM405/EE405-1)*100)))</f>
        <v>0.52413758921490139</v>
      </c>
      <c r="EO405" s="117">
        <f>+EM411</f>
        <v>81338</v>
      </c>
      <c r="EP405" s="98">
        <f t="shared" ref="EP405:EP412" si="2358">IF(ISERROR((EO405/EG405-1)*100),"NA",IF(((EO405/EG405-1)*100)&gt;100,"NM",IF(((EO405/EG405-1)*100)&lt;-50,"NM",(EO405/EG405-1)*100)))</f>
        <v>0.45697065507361856</v>
      </c>
      <c r="EQ405" s="792">
        <f t="shared" ref="EQ405" si="2359">+EO411</f>
        <v>81691</v>
      </c>
      <c r="ER405" s="98">
        <f t="shared" ref="ER405:ER408" si="2360">IF(ISERROR((EQ405/EI405-1)*100),"NA",IF(((EQ405/EI405-1)*100)&gt;100,"NM",IF(((EQ405/EI405-1)*100)&lt;-50,"NM",(EQ405/EI405-1)*100)))</f>
        <v>1.174095587233559</v>
      </c>
      <c r="ES405" s="792">
        <f t="shared" ref="ES405" si="2361">+EQ411</f>
        <v>81973.080042538539</v>
      </c>
      <c r="ET405" s="98">
        <f t="shared" ref="ET405:ET408" si="2362">IF(ISERROR((ES405/EK405-1)*100),"NA",IF(((ES405/EK405-1)*100)&gt;100,"NM",IF(((ES405/EK405-1)*100)&lt;-50,"NM",(ES405/EK405-1)*100)))</f>
        <v>1.1052210152552977</v>
      </c>
      <c r="EU405" s="792">
        <f t="shared" ref="EU405" si="2363">+ES411</f>
        <v>82188.113585946674</v>
      </c>
      <c r="EV405" s="98">
        <f t="shared" ref="EV405:EV408" si="2364">IF(ISERROR((EU405/EM405-1)*100),"NA",IF(((EU405/EM405-1)*100)&gt;100,"NM",IF(((EU405/EM405-1)*100)&lt;-50,"NM",(EU405/EM405-1)*100)))</f>
        <v>1.3079660112498503</v>
      </c>
      <c r="EW405" s="792">
        <f t="shared" ref="EW405" si="2365">+EU411</f>
        <v>82339.77840267781</v>
      </c>
      <c r="EX405" s="98">
        <f t="shared" ref="EX405:EX408" si="2366">IF(ISERROR((EW405/EO405-1)*100),"NA",IF(((EW405/EO405-1)*100)&gt;100,"NM",IF(((EW405/EO405-1)*100)&lt;-50,"NM",(EW405/EO405-1)*100)))</f>
        <v>1.2316240904347353</v>
      </c>
      <c r="EY405" s="118"/>
      <c r="EZ405" s="594"/>
      <c r="FA405" s="405"/>
      <c r="FB405" s="95" t="s">
        <v>494</v>
      </c>
      <c r="FC405" s="98"/>
      <c r="FD405" s="117">
        <f>+FB411</f>
        <v>21045</v>
      </c>
      <c r="FE405" s="98" t="str">
        <f t="shared" ref="FE405:FE412" si="2367">IF(ISERROR((FD405/FB405-1)*100),"NA",IF(((FD405/FB405-1)*100)&gt;100,"NM",IF(((FD405/FB405-1)*100)&lt;-50,"NM",(FD405/FB405-1)*100)))</f>
        <v>NA</v>
      </c>
      <c r="FF405" s="118"/>
      <c r="FG405" s="98"/>
      <c r="FH405" s="118"/>
      <c r="FI405" s="98"/>
      <c r="FJ405" s="118"/>
      <c r="FK405" s="98"/>
      <c r="FL405" s="118"/>
      <c r="FM405" s="98"/>
      <c r="FN405" s="118"/>
      <c r="FO405" s="98"/>
      <c r="FP405" s="118"/>
      <c r="FQ405" s="98"/>
      <c r="FR405" s="119"/>
      <c r="FS405" s="120"/>
      <c r="FT405" s="119"/>
      <c r="FU405" s="120"/>
      <c r="FV405" s="119">
        <f>BO405</f>
        <v>40840</v>
      </c>
      <c r="FW405" s="98" t="str">
        <f t="shared" ref="FW405:FW412" si="2368">IF(ISERROR((FV405/FT405-1)*100),"NA",IF(((FV405/FT405-1)*100)&gt;100,"NM",IF(((FV405/FT405-1)*100)&lt;-50,"NM",(FV405/FT405-1)*100)))</f>
        <v>NA</v>
      </c>
      <c r="FX405" s="485">
        <f>+FV411</f>
        <v>47937</v>
      </c>
      <c r="FY405" s="98">
        <f t="shared" ref="FY405:FY412" si="2369">IF(ISERROR((FX405/FV405-1)*100),"NA",IF(((FX405/FV405-1)*100)&gt;100,"NM",IF(((FX405/FV405-1)*100)&lt;-50,"NM",(FX405/FV405-1)*100)))</f>
        <v>17.377571008814897</v>
      </c>
      <c r="FZ405" s="119">
        <f>FX411</f>
        <v>55081</v>
      </c>
      <c r="GA405" s="98">
        <f t="shared" ref="GA405:GA412" si="2370">IF(ISERROR((FZ405/FX405-1)*100),"NA",IF(((FZ405/FX405-1)*100)&gt;100,"NM",IF(((FZ405/FX405-1)*100)&lt;-50,"NM",(FZ405/FX405-1)*100)))</f>
        <v>14.902893380895765</v>
      </c>
      <c r="GB405" s="485">
        <f>CM405</f>
        <v>50860</v>
      </c>
      <c r="GC405" s="98">
        <f t="shared" ref="GC405:GC412" si="2371">IF(ISERROR((GB405/FZ405-1)*100),"NA",IF(((GB405/FZ405-1)*100)&gt;100,"NM",IF(((GB405/FZ405-1)*100)&lt;-50,"NM",(GB405/FZ405-1)*100)))</f>
        <v>-7.6632595631887623</v>
      </c>
      <c r="GD405" s="119">
        <f>CU405</f>
        <v>53899</v>
      </c>
      <c r="GE405" s="98">
        <f t="shared" ref="GE405:GE412" si="2372">IF(ISERROR((GD405/GB405-1)*100),"NA",IF(((GD405/GB405-1)*100)&gt;100,"NM",IF(((GD405/GB405-1)*100)&lt;-50,"NM",(GD405/GB405-1)*100)))</f>
        <v>5.9752261108926508</v>
      </c>
      <c r="GF405" s="119">
        <f>DC405</f>
        <v>51542</v>
      </c>
      <c r="GG405" s="98">
        <f t="shared" ref="GG405:GG412" si="2373">IF(ISERROR((GF405/GD405-1)*100),"NA",IF(((GF405/GD405-1)*100)&gt;100,"NM",IF(((GF405/GD405-1)*100)&lt;-50,"NM",(GF405/GD405-1)*100)))</f>
        <v>-4.3729939330970913</v>
      </c>
      <c r="GH405" s="119">
        <f>DK405</f>
        <v>46988</v>
      </c>
      <c r="GI405" s="98">
        <f t="shared" ref="GI405:GI412" si="2374">IF(ISERROR((GH405/GF405-1)*100),"NA",IF(((GH405/GF405-1)*100)&gt;100,"NM",IF(((GH405/GF405-1)*100)&lt;-50,"NM",(GH405/GF405-1)*100)))</f>
        <v>-8.8355127856893372</v>
      </c>
      <c r="GJ405" s="119">
        <f>DS405</f>
        <v>78046</v>
      </c>
      <c r="GK405" s="98">
        <f t="shared" ref="GK405:GK412" si="2375">IF(ISERROR((GJ405/GH405-1)*100),"NA",IF(((GJ405/GH405-1)*100)&gt;100,"NM",IF(((GJ405/GH405-1)*100)&lt;-50,"NM",(GJ405/GH405-1)*100)))</f>
        <v>66.09772707925427</v>
      </c>
      <c r="GL405" s="119">
        <f>EA405</f>
        <v>79281</v>
      </c>
      <c r="GM405" s="98">
        <f t="shared" ref="GM405:GW412" si="2376">IF(ISERROR((GL405/GJ405-1)*100),"NA",IF(((GL405/GJ405-1)*100)&gt;100,"NM",IF(((GL405/GJ405-1)*100)&lt;-50,"NM",(GL405/GJ405-1)*100)))</f>
        <v>1.5824001230043905</v>
      </c>
      <c r="GN405" s="119">
        <f>EI405</f>
        <v>80743</v>
      </c>
      <c r="GO405" s="98">
        <f t="shared" si="2376"/>
        <v>1.8440736115841183</v>
      </c>
      <c r="GP405" s="119">
        <f>EQ405</f>
        <v>81691</v>
      </c>
      <c r="GQ405" s="98">
        <f t="shared" si="2376"/>
        <v>1.174095587233559</v>
      </c>
      <c r="GR405" s="118">
        <f>+GP411</f>
        <v>82431.566375975628</v>
      </c>
      <c r="GS405" s="98">
        <f t="shared" si="2376"/>
        <v>0.90654585691891665</v>
      </c>
      <c r="GT405" s="118">
        <f>+GR411</f>
        <v>81738.979684895123</v>
      </c>
      <c r="GU405" s="98">
        <f t="shared" si="2376"/>
        <v>-0.84019596075800562</v>
      </c>
      <c r="GV405" s="118">
        <f>+GT411</f>
        <v>79937.55575209063</v>
      </c>
      <c r="GW405" s="98">
        <f t="shared" si="2376"/>
        <v>-2.2038737695882715</v>
      </c>
      <c r="GX405" s="118">
        <f>+GV411</f>
        <v>77286.602462359369</v>
      </c>
      <c r="GY405" s="98">
        <f t="shared" ref="GY405:GY408" si="2377">IF(ISERROR((GX405/GV405-1)*100),"NA",IF(((GX405/GV405-1)*100)&gt;100,"NM",IF(((GX405/GV405-1)*100)&lt;-50,"NM",(GX405/GV405-1)*100)))</f>
        <v>-3.3162801449078905</v>
      </c>
      <c r="GZ405" s="98">
        <f>IF(ISERROR(((GX405/GN405)^0.2-1)*100),"NA",IF((((GX405/GN405)^0.2-1)*100)&gt;100,"NM",IF((((GX405/GN405)^0.2-1)*100)&lt;-50,"NM",((GX405/GN405)^0.2-1)*100)))</f>
        <v>-0.87119588675509396</v>
      </c>
      <c r="HA405" s="98"/>
      <c r="HB405" s="10"/>
      <c r="HC405"/>
      <c r="HD405"/>
      <c r="HE405"/>
      <c r="HF405"/>
      <c r="HG405"/>
      <c r="HH405"/>
      <c r="HI405" s="10"/>
    </row>
    <row r="406" spans="1:217" s="2" customFormat="1" ht="12.75" customHeight="1" x14ac:dyDescent="0.2">
      <c r="A406" s="2" t="s">
        <v>68</v>
      </c>
      <c r="B406" s="91" t="s">
        <v>340</v>
      </c>
      <c r="C406" s="101"/>
      <c r="D406" s="98"/>
      <c r="E406" s="101"/>
      <c r="F406" s="98"/>
      <c r="G406" s="101"/>
      <c r="H406" s="98"/>
      <c r="I406" s="101"/>
      <c r="J406" s="98"/>
      <c r="K406" s="101"/>
      <c r="L406" s="98"/>
      <c r="M406" s="101"/>
      <c r="N406" s="98"/>
      <c r="O406" s="101"/>
      <c r="P406" s="98"/>
      <c r="Q406" s="101"/>
      <c r="R406" s="98"/>
      <c r="S406" s="101"/>
      <c r="T406" s="98"/>
      <c r="U406" s="101"/>
      <c r="V406" s="98"/>
      <c r="W406" s="101"/>
      <c r="X406" s="98"/>
      <c r="Y406" s="101"/>
      <c r="Z406" s="98"/>
      <c r="AA406" s="101"/>
      <c r="AB406" s="98"/>
      <c r="AC406" s="101"/>
      <c r="AD406" s="98"/>
      <c r="AE406" s="101"/>
      <c r="AF406" s="98"/>
      <c r="AG406" s="101"/>
      <c r="AH406" s="98"/>
      <c r="AI406" s="101"/>
      <c r="AJ406" s="98"/>
      <c r="AK406" s="101"/>
      <c r="AL406" s="98"/>
      <c r="AM406" s="101"/>
      <c r="AN406" s="98"/>
      <c r="AO406" s="101"/>
      <c r="AP406" s="98"/>
      <c r="AQ406" s="101"/>
      <c r="AR406" s="98"/>
      <c r="AS406" s="101"/>
      <c r="AT406" s="98"/>
      <c r="AU406" s="101"/>
      <c r="AV406" s="98"/>
      <c r="AW406" s="101"/>
      <c r="AX406" s="98"/>
      <c r="AY406" s="101"/>
      <c r="AZ406" s="98"/>
      <c r="BA406" s="101"/>
      <c r="BB406" s="98"/>
      <c r="BC406" s="101"/>
      <c r="BD406" s="98"/>
      <c r="BE406" s="101"/>
      <c r="BF406" s="98"/>
      <c r="BG406" s="101"/>
      <c r="BH406" s="98"/>
      <c r="BI406" s="101"/>
      <c r="BJ406" s="98"/>
      <c r="BK406" s="101"/>
      <c r="BL406" s="98"/>
      <c r="BM406" s="101">
        <v>1577</v>
      </c>
      <c r="BN406" s="98" t="str">
        <f t="shared" si="2318"/>
        <v>NA</v>
      </c>
      <c r="BO406" s="101">
        <v>1428</v>
      </c>
      <c r="BP406" s="98" t="str">
        <f t="shared" si="2319"/>
        <v>NA</v>
      </c>
      <c r="BQ406" s="101">
        <v>1635</v>
      </c>
      <c r="BR406" s="98" t="str">
        <f t="shared" si="2320"/>
        <v>NA</v>
      </c>
      <c r="BS406" s="101">
        <v>2127</v>
      </c>
      <c r="BT406" s="98" t="str">
        <f t="shared" si="2321"/>
        <v>NA</v>
      </c>
      <c r="BU406" s="101">
        <v>5622</v>
      </c>
      <c r="BV406" s="98" t="str">
        <f t="shared" si="2322"/>
        <v>NM</v>
      </c>
      <c r="BW406" s="101">
        <v>5335</v>
      </c>
      <c r="BX406" s="98" t="str">
        <f t="shared" si="2323"/>
        <v>NM</v>
      </c>
      <c r="BY406" s="101">
        <v>2768</v>
      </c>
      <c r="BZ406" s="98">
        <f t="shared" si="2324"/>
        <v>69.296636085626901</v>
      </c>
      <c r="CA406" s="101">
        <v>1944</v>
      </c>
      <c r="CB406" s="98">
        <f t="shared" si="2325"/>
        <v>-8.60366713681241</v>
      </c>
      <c r="CC406" s="101">
        <v>1847</v>
      </c>
      <c r="CD406" s="98" t="str">
        <f t="shared" si="2326"/>
        <v>NM</v>
      </c>
      <c r="CE406" s="101">
        <v>1738</v>
      </c>
      <c r="CF406" s="98" t="str">
        <f t="shared" si="2327"/>
        <v>NM</v>
      </c>
      <c r="CG406" s="101">
        <v>1828</v>
      </c>
      <c r="CH406" s="98">
        <f t="shared" si="2328"/>
        <v>-33.959537572254341</v>
      </c>
      <c r="CI406" s="101">
        <v>2038</v>
      </c>
      <c r="CJ406" s="98">
        <f t="shared" si="2329"/>
        <v>4.8353909465020495</v>
      </c>
      <c r="CK406" s="101">
        <v>1775</v>
      </c>
      <c r="CL406" s="98">
        <f t="shared" si="2330"/>
        <v>-3.8982133188955048</v>
      </c>
      <c r="CM406" s="101">
        <v>1608</v>
      </c>
      <c r="CN406" s="98">
        <f t="shared" si="2331"/>
        <v>-7.4798619102416586</v>
      </c>
      <c r="CO406" s="101">
        <v>1931</v>
      </c>
      <c r="CP406" s="98">
        <f t="shared" si="2332"/>
        <v>5.634573304157553</v>
      </c>
      <c r="CQ406" s="542">
        <v>2699</v>
      </c>
      <c r="CR406" s="98">
        <f t="shared" si="2333"/>
        <v>32.433758586849848</v>
      </c>
      <c r="CS406" s="101">
        <v>2216</v>
      </c>
      <c r="CT406" s="98">
        <f t="shared" si="2334"/>
        <v>24.845070422535208</v>
      </c>
      <c r="CU406" s="101">
        <v>1483</v>
      </c>
      <c r="CV406" s="98">
        <f t="shared" si="2335"/>
        <v>-7.7736318407960248</v>
      </c>
      <c r="CW406" s="101">
        <v>1245</v>
      </c>
      <c r="CX406" s="98">
        <f t="shared" si="2336"/>
        <v>-35.525634386328328</v>
      </c>
      <c r="CY406" s="101">
        <v>1266</v>
      </c>
      <c r="CZ406" s="98" t="str">
        <f t="shared" si="2337"/>
        <v>NM</v>
      </c>
      <c r="DA406" s="101">
        <v>1047</v>
      </c>
      <c r="DB406" s="98" t="str">
        <f t="shared" si="2338"/>
        <v>NM</v>
      </c>
      <c r="DC406" s="101">
        <v>1019</v>
      </c>
      <c r="DD406" s="98">
        <f t="shared" si="2339"/>
        <v>-31.287929871881325</v>
      </c>
      <c r="DE406" s="101">
        <v>772</v>
      </c>
      <c r="DF406" s="98">
        <f t="shared" si="2340"/>
        <v>-37.99196787148594</v>
      </c>
      <c r="DG406" s="101">
        <v>816</v>
      </c>
      <c r="DH406" s="98">
        <f t="shared" si="2341"/>
        <v>-35.545023696682463</v>
      </c>
      <c r="DI406" s="101">
        <v>816</v>
      </c>
      <c r="DJ406" s="98">
        <f t="shared" si="2342"/>
        <v>-22.063037249283667</v>
      </c>
      <c r="DK406" s="101">
        <v>842</v>
      </c>
      <c r="DL406" s="465">
        <f t="shared" si="2343"/>
        <v>-17.369970559371929</v>
      </c>
      <c r="DM406" s="101">
        <v>849</v>
      </c>
      <c r="DN406" s="465">
        <f t="shared" si="2344"/>
        <v>9.9740932642486957</v>
      </c>
      <c r="DO406" s="101">
        <v>952</v>
      </c>
      <c r="DP406" s="465">
        <f t="shared" si="2345"/>
        <v>16.666666666666675</v>
      </c>
      <c r="DQ406" s="101">
        <v>850</v>
      </c>
      <c r="DR406" s="465">
        <f t="shared" si="2346"/>
        <v>4.1666666666666741</v>
      </c>
      <c r="DS406" s="101">
        <v>1483</v>
      </c>
      <c r="DT406" s="465">
        <f t="shared" si="2347"/>
        <v>76.12826603325415</v>
      </c>
      <c r="DU406" s="101">
        <v>1460</v>
      </c>
      <c r="DV406" s="465">
        <f t="shared" si="2348"/>
        <v>71.967020023557126</v>
      </c>
      <c r="DW406" s="101">
        <v>1430</v>
      </c>
      <c r="DX406" s="465">
        <f t="shared" si="2349"/>
        <v>50.210084033613441</v>
      </c>
      <c r="DY406" s="101">
        <v>1510</v>
      </c>
      <c r="DZ406" s="465">
        <f t="shared" si="2350"/>
        <v>77.647058823529406</v>
      </c>
      <c r="EA406" s="950">
        <v>1456</v>
      </c>
      <c r="EB406" s="465">
        <f t="shared" si="2351"/>
        <v>-1.8206338503034436</v>
      </c>
      <c r="EC406" s="950">
        <v>1450</v>
      </c>
      <c r="ED406" s="465">
        <f t="shared" si="2352"/>
        <v>-0.68493150684931781</v>
      </c>
      <c r="EE406" s="950">
        <v>1412</v>
      </c>
      <c r="EF406" s="860">
        <f t="shared" si="2353"/>
        <v>-1.2587412587412583</v>
      </c>
      <c r="EG406" s="950">
        <v>1483</v>
      </c>
      <c r="EH406" s="860">
        <f t="shared" si="2354"/>
        <v>-1.788079470198678</v>
      </c>
      <c r="EI406" s="950">
        <v>1405</v>
      </c>
      <c r="EJ406" s="860">
        <f t="shared" si="2355"/>
        <v>-3.5027472527472514</v>
      </c>
      <c r="EK406" s="950">
        <v>1308</v>
      </c>
      <c r="EL406" s="860">
        <f t="shared" si="2356"/>
        <v>-9.7931034482758648</v>
      </c>
      <c r="EM406" s="950">
        <v>1258</v>
      </c>
      <c r="EN406" s="860">
        <f t="shared" si="2357"/>
        <v>-10.906515580736542</v>
      </c>
      <c r="EO406" s="950">
        <v>1375</v>
      </c>
      <c r="EP406" s="465">
        <f t="shared" si="2358"/>
        <v>-7.2825354012137522</v>
      </c>
      <c r="EQ406" s="952">
        <f>EO406*0.95</f>
        <v>1306.25</v>
      </c>
      <c r="ER406" s="465">
        <f t="shared" si="2360"/>
        <v>-7.028469750889677</v>
      </c>
      <c r="ES406" s="952">
        <f t="shared" ref="ES406" si="2378">EQ406*0.95</f>
        <v>1240.9375</v>
      </c>
      <c r="ET406" s="465">
        <f t="shared" si="2362"/>
        <v>-5.1271024464831783</v>
      </c>
      <c r="EU406" s="952">
        <f t="shared" ref="EU406" si="2379">ES406*0.95</f>
        <v>1178.890625</v>
      </c>
      <c r="EV406" s="465">
        <f t="shared" si="2364"/>
        <v>-6.2885035771065194</v>
      </c>
      <c r="EW406" s="952">
        <f t="shared" ref="EW406" si="2380">EU406*0.95</f>
        <v>1119.94609375</v>
      </c>
      <c r="EX406" s="465">
        <f t="shared" si="2366"/>
        <v>-18.549375000000001</v>
      </c>
      <c r="EY406" s="121"/>
      <c r="EZ406" s="594"/>
      <c r="FA406" s="405"/>
      <c r="FB406" s="95" t="s">
        <v>494</v>
      </c>
      <c r="FC406" s="98"/>
      <c r="FD406" s="101">
        <v>2552</v>
      </c>
      <c r="FE406" s="98" t="str">
        <f t="shared" si="2367"/>
        <v>NA</v>
      </c>
      <c r="FF406" s="118"/>
      <c r="FG406" s="98"/>
      <c r="FH406" s="118"/>
      <c r="FI406" s="98"/>
      <c r="FJ406" s="118"/>
      <c r="FK406" s="98"/>
      <c r="FL406" s="118"/>
      <c r="FM406" s="98"/>
      <c r="FN406" s="118"/>
      <c r="FO406" s="98"/>
      <c r="FP406" s="118"/>
      <c r="FQ406" s="98"/>
      <c r="FR406" s="119"/>
      <c r="FS406" s="120"/>
      <c r="FT406" s="119"/>
      <c r="FU406" s="120"/>
      <c r="FV406" s="119">
        <f>BO406+BQ406+BS406+BU406</f>
        <v>10812</v>
      </c>
      <c r="FW406" s="98" t="str">
        <f t="shared" si="2368"/>
        <v>NA</v>
      </c>
      <c r="FX406" s="485">
        <f>BW406+BY406+CA406+CC406</f>
        <v>11894</v>
      </c>
      <c r="FY406" s="98">
        <f t="shared" si="2369"/>
        <v>10.007399186089527</v>
      </c>
      <c r="FZ406" s="119">
        <f>CE406+CG406+CI406+CK406</f>
        <v>7379</v>
      </c>
      <c r="GA406" s="98">
        <f t="shared" si="2370"/>
        <v>-37.960316125777702</v>
      </c>
      <c r="GB406" s="485">
        <f>CM406+CO406+CQ406+CS406</f>
        <v>8454</v>
      </c>
      <c r="GC406" s="98">
        <f t="shared" si="2371"/>
        <v>14.568369697791027</v>
      </c>
      <c r="GD406" s="119">
        <f>CU406+CW406+CY406+DA406</f>
        <v>5041</v>
      </c>
      <c r="GE406" s="98">
        <f t="shared" si="2372"/>
        <v>-40.371421812159923</v>
      </c>
      <c r="GF406" s="119">
        <f>DC406+DE406+DG406+DI406</f>
        <v>3423</v>
      </c>
      <c r="GG406" s="98">
        <f t="shared" si="2373"/>
        <v>-32.096806189248163</v>
      </c>
      <c r="GH406" s="119">
        <f>DK406+DM406+DO406+DQ406</f>
        <v>3493</v>
      </c>
      <c r="GI406" s="98">
        <f t="shared" si="2374"/>
        <v>2.0449897750511203</v>
      </c>
      <c r="GJ406" s="119">
        <f>DS406+DU406+DW406+DY406</f>
        <v>5883</v>
      </c>
      <c r="GK406" s="98">
        <f t="shared" si="2375"/>
        <v>68.422559404523327</v>
      </c>
      <c r="GL406" s="119">
        <f>EA406+EC406+EE406+EG406</f>
        <v>5801</v>
      </c>
      <c r="GM406" s="98">
        <f t="shared" si="2376"/>
        <v>-1.39384667686554</v>
      </c>
      <c r="GN406" s="119">
        <f>EI406+EK406+EM406+EO406</f>
        <v>5346</v>
      </c>
      <c r="GO406" s="98">
        <f t="shared" si="2376"/>
        <v>-7.843475262885713</v>
      </c>
      <c r="GP406" s="119">
        <f>EQ406+ES406+EU406+EW406</f>
        <v>4846.0242187499998</v>
      </c>
      <c r="GQ406" s="98">
        <f t="shared" si="2376"/>
        <v>-9.3523341049382758</v>
      </c>
      <c r="GR406" s="121">
        <f>GP406*0.75</f>
        <v>3634.5181640624996</v>
      </c>
      <c r="GS406" s="98">
        <f t="shared" si="2376"/>
        <v>-25</v>
      </c>
      <c r="GT406" s="121">
        <f>GR406*0.75</f>
        <v>2725.8886230468747</v>
      </c>
      <c r="GU406" s="98">
        <f t="shared" si="2376"/>
        <v>-25</v>
      </c>
      <c r="GV406" s="121">
        <f>GT406*0.75</f>
        <v>2044.4164672851562</v>
      </c>
      <c r="GW406" s="98">
        <f t="shared" si="2376"/>
        <v>-25</v>
      </c>
      <c r="GX406" s="121">
        <f>GV406*0.75</f>
        <v>1533.312350463867</v>
      </c>
      <c r="GY406" s="98">
        <f t="shared" si="2377"/>
        <v>-25.000000000000011</v>
      </c>
      <c r="GZ406" s="98">
        <f>IF(ISERROR(((GX406/GN406)^0.2-1)*100),"NA",IF((((GX406/GN406)^0.2-1)*100)&gt;100,"NM",IF((((GX406/GN406)^0.2-1)*100)&lt;-50,"NM",((GX406/GN406)^0.2-1)*100)))</f>
        <v>-22.103071098765781</v>
      </c>
      <c r="HA406" s="98"/>
      <c r="HB406" s="10"/>
      <c r="HC406"/>
      <c r="HD406"/>
      <c r="HE406"/>
      <c r="HF406"/>
      <c r="HG406"/>
      <c r="HH406"/>
      <c r="HI406" s="10"/>
    </row>
    <row r="407" spans="1:217" s="2" customFormat="1" ht="12.75" customHeight="1" x14ac:dyDescent="0.2">
      <c r="B407" s="91" t="s">
        <v>306</v>
      </c>
      <c r="C407" s="101"/>
      <c r="D407" s="98"/>
      <c r="E407" s="101"/>
      <c r="F407" s="98"/>
      <c r="G407" s="101"/>
      <c r="H407" s="98"/>
      <c r="I407" s="101"/>
      <c r="J407" s="98"/>
      <c r="K407" s="101"/>
      <c r="L407" s="98"/>
      <c r="M407" s="101"/>
      <c r="N407" s="98"/>
      <c r="O407" s="101"/>
      <c r="P407" s="98"/>
      <c r="Q407" s="101"/>
      <c r="R407" s="98"/>
      <c r="S407" s="101"/>
      <c r="T407" s="98"/>
      <c r="U407" s="101"/>
      <c r="V407" s="98"/>
      <c r="W407" s="101"/>
      <c r="X407" s="98"/>
      <c r="Y407" s="101"/>
      <c r="Z407" s="98"/>
      <c r="AA407" s="101"/>
      <c r="AB407" s="98"/>
      <c r="AC407" s="101"/>
      <c r="AD407" s="98"/>
      <c r="AE407" s="101"/>
      <c r="AF407" s="98"/>
      <c r="AG407" s="101"/>
      <c r="AH407" s="98"/>
      <c r="AI407" s="101"/>
      <c r="AJ407" s="98"/>
      <c r="AK407" s="101"/>
      <c r="AL407" s="98"/>
      <c r="AM407" s="101"/>
      <c r="AN407" s="98"/>
      <c r="AO407" s="101"/>
      <c r="AP407" s="98"/>
      <c r="AQ407" s="101"/>
      <c r="AR407" s="98"/>
      <c r="AS407" s="101"/>
      <c r="AT407" s="98"/>
      <c r="AU407" s="101"/>
      <c r="AV407" s="98"/>
      <c r="AW407" s="101"/>
      <c r="AX407" s="98"/>
      <c r="AY407" s="101"/>
      <c r="AZ407" s="98"/>
      <c r="BA407" s="101"/>
      <c r="BB407" s="98"/>
      <c r="BC407" s="101"/>
      <c r="BD407" s="98"/>
      <c r="BE407" s="101"/>
      <c r="BF407" s="98"/>
      <c r="BG407" s="101"/>
      <c r="BH407" s="98"/>
      <c r="BI407" s="101"/>
      <c r="BJ407" s="98"/>
      <c r="BK407" s="101"/>
      <c r="BL407" s="98"/>
      <c r="BM407" s="101">
        <v>417</v>
      </c>
      <c r="BN407" s="98" t="str">
        <f t="shared" si="2318"/>
        <v>NA</v>
      </c>
      <c r="BO407" s="101">
        <v>415</v>
      </c>
      <c r="BP407" s="98" t="str">
        <f t="shared" si="2319"/>
        <v>NA</v>
      </c>
      <c r="BQ407" s="101">
        <v>401</v>
      </c>
      <c r="BR407" s="98" t="str">
        <f t="shared" si="2320"/>
        <v>NA</v>
      </c>
      <c r="BS407" s="101">
        <v>405</v>
      </c>
      <c r="BT407" s="98" t="str">
        <f t="shared" si="2321"/>
        <v>NA</v>
      </c>
      <c r="BU407" s="101">
        <v>457</v>
      </c>
      <c r="BV407" s="98">
        <f t="shared" si="2322"/>
        <v>9.5923261390887369</v>
      </c>
      <c r="BW407" s="101">
        <v>495</v>
      </c>
      <c r="BX407" s="98">
        <f t="shared" si="2323"/>
        <v>19.277108433734934</v>
      </c>
      <c r="BY407" s="101">
        <v>529</v>
      </c>
      <c r="BZ407" s="98">
        <f t="shared" si="2324"/>
        <v>31.920199501246891</v>
      </c>
      <c r="CA407" s="101">
        <v>522</v>
      </c>
      <c r="CB407" s="98">
        <f t="shared" si="2325"/>
        <v>28.888888888888896</v>
      </c>
      <c r="CC407" s="101">
        <v>583</v>
      </c>
      <c r="CD407" s="98">
        <f t="shared" si="2326"/>
        <v>27.571115973741801</v>
      </c>
      <c r="CE407" s="101">
        <v>559</v>
      </c>
      <c r="CF407" s="98">
        <f t="shared" si="2327"/>
        <v>12.929292929292924</v>
      </c>
      <c r="CG407" s="101">
        <v>561</v>
      </c>
      <c r="CH407" s="98">
        <f t="shared" si="2328"/>
        <v>6.0491493383742823</v>
      </c>
      <c r="CI407" s="101">
        <v>547</v>
      </c>
      <c r="CJ407" s="98">
        <f t="shared" si="2329"/>
        <v>4.789272030651337</v>
      </c>
      <c r="CK407" s="101">
        <v>560</v>
      </c>
      <c r="CL407" s="98">
        <f t="shared" si="2330"/>
        <v>-3.9451114922813058</v>
      </c>
      <c r="CM407" s="101">
        <v>479</v>
      </c>
      <c r="CN407" s="98">
        <f t="shared" si="2331"/>
        <v>-14.311270125223619</v>
      </c>
      <c r="CO407" s="101">
        <v>479</v>
      </c>
      <c r="CP407" s="98">
        <f t="shared" si="2332"/>
        <v>-14.616755793226377</v>
      </c>
      <c r="CQ407" s="542">
        <v>484</v>
      </c>
      <c r="CR407" s="98">
        <f t="shared" si="2333"/>
        <v>-11.517367458866545</v>
      </c>
      <c r="CS407" s="101">
        <v>472</v>
      </c>
      <c r="CT407" s="98">
        <f t="shared" si="2334"/>
        <v>-15.714285714285714</v>
      </c>
      <c r="CU407" s="101">
        <v>450</v>
      </c>
      <c r="CV407" s="98">
        <f t="shared" si="2335"/>
        <v>-6.0542797494780753</v>
      </c>
      <c r="CW407" s="101">
        <v>444</v>
      </c>
      <c r="CX407" s="98">
        <f t="shared" si="2336"/>
        <v>-7.3068893528183683</v>
      </c>
      <c r="CY407" s="101">
        <v>449</v>
      </c>
      <c r="CZ407" s="98">
        <f t="shared" si="2337"/>
        <v>-7.2314049586776896</v>
      </c>
      <c r="DA407" s="101">
        <v>430</v>
      </c>
      <c r="DB407" s="98">
        <f t="shared" si="2338"/>
        <v>-8.8983050847457612</v>
      </c>
      <c r="DC407" s="101">
        <v>424</v>
      </c>
      <c r="DD407" s="98">
        <f t="shared" si="2339"/>
        <v>-5.7777777777777821</v>
      </c>
      <c r="DE407" s="101">
        <v>429</v>
      </c>
      <c r="DF407" s="98">
        <f t="shared" si="2340"/>
        <v>-3.3783783783783772</v>
      </c>
      <c r="DG407" s="101">
        <v>417</v>
      </c>
      <c r="DH407" s="98">
        <f t="shared" si="2341"/>
        <v>-7.1269487750556753</v>
      </c>
      <c r="DI407" s="101">
        <v>415</v>
      </c>
      <c r="DJ407" s="98">
        <f t="shared" si="2342"/>
        <v>-3.4883720930232509</v>
      </c>
      <c r="DK407" s="101">
        <v>395</v>
      </c>
      <c r="DL407" s="465">
        <f t="shared" si="2343"/>
        <v>-6.8396226415094352</v>
      </c>
      <c r="DM407" s="101">
        <v>397</v>
      </c>
      <c r="DN407" s="465">
        <f t="shared" si="2344"/>
        <v>-7.4592074592074624</v>
      </c>
      <c r="DO407" s="101">
        <v>402</v>
      </c>
      <c r="DP407" s="465">
        <f t="shared" si="2345"/>
        <v>-3.5971223021582732</v>
      </c>
      <c r="DQ407" s="101">
        <v>399</v>
      </c>
      <c r="DR407" s="465">
        <f t="shared" si="2346"/>
        <v>-3.8554216867469848</v>
      </c>
      <c r="DS407" s="101">
        <v>806</v>
      </c>
      <c r="DT407" s="465" t="str">
        <f t="shared" si="2347"/>
        <v>NM</v>
      </c>
      <c r="DU407" s="101">
        <v>811</v>
      </c>
      <c r="DV407" s="465" t="str">
        <f t="shared" si="2348"/>
        <v>NM</v>
      </c>
      <c r="DW407" s="101">
        <v>817</v>
      </c>
      <c r="DX407" s="465" t="str">
        <f t="shared" si="2349"/>
        <v>NM</v>
      </c>
      <c r="DY407" s="101">
        <v>821</v>
      </c>
      <c r="DZ407" s="465" t="str">
        <f t="shared" si="2350"/>
        <v>NM</v>
      </c>
      <c r="EA407" s="101">
        <v>792</v>
      </c>
      <c r="EB407" s="465">
        <f t="shared" si="2351"/>
        <v>-1.7369727047146455</v>
      </c>
      <c r="EC407" s="101">
        <v>794</v>
      </c>
      <c r="ED407" s="465">
        <f t="shared" si="2352"/>
        <v>-2.0961775585696674</v>
      </c>
      <c r="EE407" s="101">
        <v>799</v>
      </c>
      <c r="EF407" s="860">
        <f t="shared" si="2353"/>
        <v>-2.2031823745410017</v>
      </c>
      <c r="EG407" s="101">
        <v>799</v>
      </c>
      <c r="EH407" s="860">
        <f t="shared" si="2354"/>
        <v>-2.679658952496955</v>
      </c>
      <c r="EI407" s="101">
        <v>812</v>
      </c>
      <c r="EJ407" s="860">
        <f t="shared" si="2355"/>
        <v>2.5252525252525304</v>
      </c>
      <c r="EK407" s="101">
        <v>815</v>
      </c>
      <c r="EL407" s="860">
        <f t="shared" si="2356"/>
        <v>2.6448362720403074</v>
      </c>
      <c r="EM407" s="101">
        <v>819</v>
      </c>
      <c r="EN407" s="860">
        <f t="shared" si="2357"/>
        <v>2.5031289111389299</v>
      </c>
      <c r="EO407" s="101">
        <v>825</v>
      </c>
      <c r="EP407" s="465">
        <f t="shared" si="2358"/>
        <v>3.2540675844805911</v>
      </c>
      <c r="EQ407" s="1034">
        <f>EQ415/4*EQ405/100</f>
        <v>828.58042981140431</v>
      </c>
      <c r="ER407" s="465">
        <f t="shared" si="2360"/>
        <v>2.0419248536212242</v>
      </c>
      <c r="ES407" s="1034">
        <f t="shared" ref="ES407" si="2381">ES415/4*ES405/100</f>
        <v>831.44152837658055</v>
      </c>
      <c r="ET407" s="465">
        <f t="shared" si="2362"/>
        <v>2.0173654449792133</v>
      </c>
      <c r="EU407" s="1034">
        <f t="shared" ref="EU407" si="2382">EU415/4*EU405/100</f>
        <v>833.62258364363527</v>
      </c>
      <c r="EV407" s="465">
        <f t="shared" si="2364"/>
        <v>1.7854192483071074</v>
      </c>
      <c r="EW407" s="1034">
        <f t="shared" ref="EW407" si="2383">EW415/4*EW405/100</f>
        <v>835.16089874608679</v>
      </c>
      <c r="EX407" s="465">
        <f t="shared" si="2366"/>
        <v>1.2316240904347575</v>
      </c>
      <c r="EY407" s="121"/>
      <c r="EZ407" s="594"/>
      <c r="FA407" s="405"/>
      <c r="FB407" s="95" t="s">
        <v>494</v>
      </c>
      <c r="FC407" s="98"/>
      <c r="FD407" s="101">
        <v>1018</v>
      </c>
      <c r="FE407" s="98" t="str">
        <f t="shared" si="2367"/>
        <v>NA</v>
      </c>
      <c r="FF407" s="118"/>
      <c r="FG407" s="98"/>
      <c r="FH407" s="118"/>
      <c r="FI407" s="98"/>
      <c r="FJ407" s="118"/>
      <c r="FK407" s="98"/>
      <c r="FL407" s="118"/>
      <c r="FM407" s="98"/>
      <c r="FN407" s="118"/>
      <c r="FO407" s="98"/>
      <c r="FP407" s="118"/>
      <c r="FQ407" s="98"/>
      <c r="FR407" s="119"/>
      <c r="FS407" s="120"/>
      <c r="FT407" s="119"/>
      <c r="FU407" s="120"/>
      <c r="FV407" s="119">
        <f>BO407+BQ407+BS407+BU407</f>
        <v>1678</v>
      </c>
      <c r="FW407" s="98" t="str">
        <f t="shared" si="2368"/>
        <v>NA</v>
      </c>
      <c r="FX407" s="485">
        <f>BW407+BY407+CA407+CC407</f>
        <v>2129</v>
      </c>
      <c r="FY407" s="98">
        <f t="shared" si="2369"/>
        <v>26.877234803337302</v>
      </c>
      <c r="FZ407" s="119">
        <f>CE407+CG407+CI407+CK407</f>
        <v>2227</v>
      </c>
      <c r="GA407" s="98">
        <f t="shared" si="2370"/>
        <v>4.6031000469703987</v>
      </c>
      <c r="GB407" s="485">
        <f>CM407+CO407+CQ407+CS407</f>
        <v>1914</v>
      </c>
      <c r="GC407" s="98">
        <f t="shared" si="2371"/>
        <v>-14.054782218230798</v>
      </c>
      <c r="GD407" s="119">
        <f>CU407+CW407+CY407+DA407</f>
        <v>1773</v>
      </c>
      <c r="GE407" s="98">
        <f t="shared" si="2372"/>
        <v>-7.3667711598746077</v>
      </c>
      <c r="GF407" s="119">
        <f>DC407+DE407+DG407+DI407</f>
        <v>1685</v>
      </c>
      <c r="GG407" s="98">
        <f t="shared" si="2373"/>
        <v>-4.9633389734912603</v>
      </c>
      <c r="GH407" s="119">
        <f>DK407+DM407+DO407+DQ407</f>
        <v>1593</v>
      </c>
      <c r="GI407" s="98">
        <f t="shared" si="2374"/>
        <v>-5.4599406528189949</v>
      </c>
      <c r="GJ407" s="119">
        <f>DS407+DU407+DW407+DY407</f>
        <v>3255</v>
      </c>
      <c r="GK407" s="98" t="str">
        <f t="shared" si="2375"/>
        <v>NM</v>
      </c>
      <c r="GL407" s="119">
        <f>EA407+EC407+EE407+EG407</f>
        <v>3184</v>
      </c>
      <c r="GM407" s="98">
        <f t="shared" si="2376"/>
        <v>-2.181259600614438</v>
      </c>
      <c r="GN407" s="119">
        <f>EI407+EK407+EM407+EO407</f>
        <v>3271</v>
      </c>
      <c r="GO407" s="98">
        <f t="shared" si="2376"/>
        <v>2.7324120603015034</v>
      </c>
      <c r="GP407" s="119">
        <f>EQ407+ES407+EU407+EW407</f>
        <v>3328.805440577707</v>
      </c>
      <c r="GQ407" s="98">
        <f t="shared" si="2376"/>
        <v>1.7672100451759931</v>
      </c>
      <c r="GR407" s="100">
        <f>GR415*GR405/100</f>
        <v>3358.9825883841563</v>
      </c>
      <c r="GS407" s="98">
        <f t="shared" si="2376"/>
        <v>0.90654585691893885</v>
      </c>
      <c r="GT407" s="100">
        <f>GT415*GT405/100</f>
        <v>3330.7605523539878</v>
      </c>
      <c r="GU407" s="98">
        <f t="shared" si="2376"/>
        <v>-0.84019596075800562</v>
      </c>
      <c r="GV407" s="100">
        <f>GV415*GV405/100</f>
        <v>3257.3547942128644</v>
      </c>
      <c r="GW407" s="98">
        <f t="shared" si="2376"/>
        <v>-2.2038737695882826</v>
      </c>
      <c r="GX407" s="100">
        <f>GX415*GX405/100</f>
        <v>3149.3317839231777</v>
      </c>
      <c r="GY407" s="98">
        <f t="shared" si="2377"/>
        <v>-3.3162801449079016</v>
      </c>
      <c r="GZ407" s="98">
        <f>IF(ISERROR(((GX407/GN407)^0.2-1)*100),"NA",IF((((GX407/GN407)^0.2-1)*100)&gt;100,"NM",IF((((GX407/GN407)^0.2-1)*100)&lt;-50,"NM",((GX407/GN407)^0.2-1)*100)))</f>
        <v>-0.75524260791751674</v>
      </c>
      <c r="HA407" s="98"/>
      <c r="HB407" s="10"/>
      <c r="HC407"/>
      <c r="HD407"/>
      <c r="HE407"/>
      <c r="HF407"/>
      <c r="HG407"/>
      <c r="HH407"/>
      <c r="HI407" s="10"/>
    </row>
    <row r="408" spans="1:217" s="2" customFormat="1" ht="12.75" customHeight="1" x14ac:dyDescent="0.2">
      <c r="A408" s="2" t="s">
        <v>32</v>
      </c>
      <c r="B408" s="91" t="s">
        <v>307</v>
      </c>
      <c r="C408" s="101"/>
      <c r="D408" s="98"/>
      <c r="E408" s="101"/>
      <c r="F408" s="98"/>
      <c r="G408" s="101"/>
      <c r="H408" s="98"/>
      <c r="I408" s="101"/>
      <c r="J408" s="98"/>
      <c r="K408" s="101"/>
      <c r="L408" s="98"/>
      <c r="M408" s="101"/>
      <c r="N408" s="98"/>
      <c r="O408" s="101"/>
      <c r="P408" s="98"/>
      <c r="Q408" s="101"/>
      <c r="R408" s="98"/>
      <c r="S408" s="101"/>
      <c r="T408" s="98"/>
      <c r="U408" s="101"/>
      <c r="V408" s="98"/>
      <c r="W408" s="101"/>
      <c r="X408" s="98"/>
      <c r="Y408" s="101"/>
      <c r="Z408" s="98"/>
      <c r="AA408" s="101"/>
      <c r="AB408" s="98"/>
      <c r="AC408" s="101"/>
      <c r="AD408" s="98"/>
      <c r="AE408" s="101"/>
      <c r="AF408" s="98"/>
      <c r="AG408" s="101"/>
      <c r="AH408" s="98"/>
      <c r="AI408" s="101"/>
      <c r="AJ408" s="98"/>
      <c r="AK408" s="101"/>
      <c r="AL408" s="98"/>
      <c r="AM408" s="101"/>
      <c r="AN408" s="98"/>
      <c r="AO408" s="101"/>
      <c r="AP408" s="98"/>
      <c r="AQ408" s="101"/>
      <c r="AR408" s="98"/>
      <c r="AS408" s="101"/>
      <c r="AT408" s="98"/>
      <c r="AU408" s="101"/>
      <c r="AV408" s="98"/>
      <c r="AW408" s="101"/>
      <c r="AX408" s="98"/>
      <c r="AY408" s="101"/>
      <c r="AZ408" s="98"/>
      <c r="BA408" s="101"/>
      <c r="BB408" s="98"/>
      <c r="BC408" s="101"/>
      <c r="BD408" s="98"/>
      <c r="BE408" s="101"/>
      <c r="BF408" s="98"/>
      <c r="BG408" s="101"/>
      <c r="BH408" s="98"/>
      <c r="BI408" s="101"/>
      <c r="BJ408" s="98"/>
      <c r="BK408" s="101"/>
      <c r="BL408" s="98"/>
      <c r="BM408" s="101">
        <v>-1410</v>
      </c>
      <c r="BN408" s="98" t="str">
        <f t="shared" si="2318"/>
        <v>NA</v>
      </c>
      <c r="BO408" s="101">
        <v>-1245</v>
      </c>
      <c r="BP408" s="98" t="str">
        <f t="shared" si="2319"/>
        <v>NA</v>
      </c>
      <c r="BQ408" s="101">
        <v>-1154</v>
      </c>
      <c r="BR408" s="98" t="str">
        <f t="shared" si="2320"/>
        <v>NA</v>
      </c>
      <c r="BS408" s="101">
        <v>-1130</v>
      </c>
      <c r="BT408" s="98" t="str">
        <f t="shared" si="2321"/>
        <v>NA</v>
      </c>
      <c r="BU408" s="101">
        <v>-1615</v>
      </c>
      <c r="BV408" s="98">
        <f t="shared" si="2322"/>
        <v>14.539007092198574</v>
      </c>
      <c r="BW408" s="101">
        <v>-1413</v>
      </c>
      <c r="BX408" s="98">
        <f t="shared" si="2323"/>
        <v>13.493975903614452</v>
      </c>
      <c r="BY408" s="101">
        <v>-923</v>
      </c>
      <c r="BZ408" s="98">
        <f t="shared" si="2324"/>
        <v>-20.017331022530328</v>
      </c>
      <c r="CA408" s="101">
        <v>-890</v>
      </c>
      <c r="CB408" s="98">
        <f t="shared" si="2325"/>
        <v>-21.238938053097346</v>
      </c>
      <c r="CC408" s="101">
        <v>-1047</v>
      </c>
      <c r="CD408" s="98">
        <f t="shared" si="2326"/>
        <v>-35.170278637770899</v>
      </c>
      <c r="CE408" s="101">
        <v>-852</v>
      </c>
      <c r="CF408" s="98">
        <f t="shared" si="2327"/>
        <v>-39.702760084925693</v>
      </c>
      <c r="CG408" s="101">
        <v>-834</v>
      </c>
      <c r="CH408" s="98">
        <f t="shared" si="2328"/>
        <v>-9.6424702058504845</v>
      </c>
      <c r="CI408" s="101">
        <v>-1160</v>
      </c>
      <c r="CJ408" s="98">
        <f t="shared" si="2329"/>
        <v>30.337078651685403</v>
      </c>
      <c r="CK408" s="101">
        <v>-999</v>
      </c>
      <c r="CL408" s="98">
        <f t="shared" si="2330"/>
        <v>-4.584527220630374</v>
      </c>
      <c r="CM408" s="101">
        <v>-913</v>
      </c>
      <c r="CN408" s="98">
        <f t="shared" si="2331"/>
        <v>7.1596244131455489</v>
      </c>
      <c r="CO408" s="101">
        <v>-921</v>
      </c>
      <c r="CP408" s="98">
        <f t="shared" si="2332"/>
        <v>10.431654676258994</v>
      </c>
      <c r="CQ408" s="542">
        <v>-991</v>
      </c>
      <c r="CR408" s="98">
        <f t="shared" si="2333"/>
        <v>-14.568965517241384</v>
      </c>
      <c r="CS408" s="101">
        <v>-1300</v>
      </c>
      <c r="CT408" s="98">
        <f t="shared" si="2334"/>
        <v>30.130130130130127</v>
      </c>
      <c r="CU408" s="101">
        <v>-1346</v>
      </c>
      <c r="CV408" s="98">
        <f t="shared" si="2335"/>
        <v>47.426067907995616</v>
      </c>
      <c r="CW408" s="101">
        <v>-905</v>
      </c>
      <c r="CX408" s="98">
        <f t="shared" si="2336"/>
        <v>-1.7372421281216077</v>
      </c>
      <c r="CY408" s="101">
        <v>-861</v>
      </c>
      <c r="CZ408" s="98">
        <f t="shared" si="2337"/>
        <v>-13.118062563067612</v>
      </c>
      <c r="DA408" s="101">
        <v>-1214</v>
      </c>
      <c r="DB408" s="98">
        <f t="shared" si="2338"/>
        <v>-6.6153846153846114</v>
      </c>
      <c r="DC408" s="101">
        <v>-1023</v>
      </c>
      <c r="DD408" s="98">
        <f t="shared" si="2339"/>
        <v>-23.997028231797923</v>
      </c>
      <c r="DE408" s="101">
        <v>-998</v>
      </c>
      <c r="DF408" s="98">
        <f t="shared" si="2340"/>
        <v>10.276243093922655</v>
      </c>
      <c r="DG408" s="101">
        <v>-908</v>
      </c>
      <c r="DH408" s="98">
        <f t="shared" si="2341"/>
        <v>5.4587688734030193</v>
      </c>
      <c r="DI408" s="101">
        <v>-1372</v>
      </c>
      <c r="DJ408" s="98">
        <f t="shared" si="2342"/>
        <v>13.01482701812191</v>
      </c>
      <c r="DK408" s="101">
        <v>-1163</v>
      </c>
      <c r="DL408" s="98">
        <f t="shared" si="2343"/>
        <v>13.685239491691114</v>
      </c>
      <c r="DM408" s="101">
        <v>-912</v>
      </c>
      <c r="DN408" s="98">
        <f t="shared" si="2344"/>
        <v>-8.6172344689378733</v>
      </c>
      <c r="DO408" s="101">
        <v>-894</v>
      </c>
      <c r="DP408" s="98">
        <f t="shared" si="2345"/>
        <v>-1.5418502202643181</v>
      </c>
      <c r="DQ408" s="101">
        <v>-1520</v>
      </c>
      <c r="DR408" s="98">
        <f t="shared" si="2346"/>
        <v>10.787172011661816</v>
      </c>
      <c r="DS408" s="101">
        <v>-616</v>
      </c>
      <c r="DT408" s="98">
        <f t="shared" si="2347"/>
        <v>-47.033533963886498</v>
      </c>
      <c r="DU408" s="101">
        <v>-648</v>
      </c>
      <c r="DV408" s="98">
        <f t="shared" si="2348"/>
        <v>-28.947368421052634</v>
      </c>
      <c r="DW408" s="101">
        <v>-643</v>
      </c>
      <c r="DX408" s="98">
        <f t="shared" si="2349"/>
        <v>-28.076062639821032</v>
      </c>
      <c r="DY408" s="101">
        <v>-600</v>
      </c>
      <c r="DZ408" s="98" t="str">
        <f t="shared" si="2350"/>
        <v>NM</v>
      </c>
      <c r="EA408" s="101">
        <v>-662</v>
      </c>
      <c r="EB408" s="98">
        <f t="shared" si="2351"/>
        <v>7.4675324675324672</v>
      </c>
      <c r="EC408" s="101">
        <v>-590</v>
      </c>
      <c r="ED408" s="98">
        <f t="shared" si="2352"/>
        <v>-8.9506172839506135</v>
      </c>
      <c r="EE408" s="101">
        <v>-630</v>
      </c>
      <c r="EF408" s="860">
        <f t="shared" si="2353"/>
        <v>-2.0217729393468109</v>
      </c>
      <c r="EG408" s="101">
        <v>-590</v>
      </c>
      <c r="EH408" s="860">
        <f t="shared" si="2354"/>
        <v>-1.6666666666666718</v>
      </c>
      <c r="EI408" s="101">
        <v>-618</v>
      </c>
      <c r="EJ408" s="860">
        <f t="shared" si="2355"/>
        <v>-6.6465256797583088</v>
      </c>
      <c r="EK408" s="101">
        <v>-611</v>
      </c>
      <c r="EL408" s="860">
        <f t="shared" si="2356"/>
        <v>3.5593220338983045</v>
      </c>
      <c r="EM408" s="101">
        <v>-584</v>
      </c>
      <c r="EN408" s="860">
        <f t="shared" si="2357"/>
        <v>-7.3015873015872979</v>
      </c>
      <c r="EO408" s="101">
        <v>-646</v>
      </c>
      <c r="EP408" s="98">
        <f t="shared" si="2358"/>
        <v>9.4915254237288202</v>
      </c>
      <c r="EQ408" s="1023">
        <f>EQ$405*(-EQ416/400)</f>
        <v>-648.80358504020262</v>
      </c>
      <c r="ER408" s="98">
        <f t="shared" si="2360"/>
        <v>4.9843988738191847</v>
      </c>
      <c r="ES408" s="1023">
        <f t="shared" ref="ES408" si="2384">ES$405*(-ES416/400)</f>
        <v>-651.04391191669197</v>
      </c>
      <c r="ET408" s="98">
        <f t="shared" si="2362"/>
        <v>6.5538317375927857</v>
      </c>
      <c r="EU408" s="1023">
        <f t="shared" ref="EU408" si="2385">EU$405*(-EU416/400)</f>
        <v>-652.75174428337982</v>
      </c>
      <c r="EV408" s="98">
        <f t="shared" si="2364"/>
        <v>11.772558952633538</v>
      </c>
      <c r="EW408" s="1023">
        <f t="shared" ref="EW408" si="2386">EW$405*(-EW416/400)</f>
        <v>-653.95629162420846</v>
      </c>
      <c r="EX408" s="98">
        <f t="shared" si="2366"/>
        <v>1.2316240904347353</v>
      </c>
      <c r="EY408" s="119"/>
      <c r="EZ408" s="594"/>
      <c r="FA408" s="405"/>
      <c r="FB408" s="95" t="s">
        <v>494</v>
      </c>
      <c r="FC408" s="98"/>
      <c r="FD408" s="101">
        <v>-3475</v>
      </c>
      <c r="FE408" s="98" t="str">
        <f t="shared" si="2367"/>
        <v>NA</v>
      </c>
      <c r="FF408" s="118"/>
      <c r="FG408" s="98"/>
      <c r="FH408" s="118"/>
      <c r="FI408" s="98"/>
      <c r="FJ408" s="118"/>
      <c r="FK408" s="98"/>
      <c r="FL408" s="118"/>
      <c r="FM408" s="98"/>
      <c r="FN408" s="118"/>
      <c r="FO408" s="98"/>
      <c r="FP408" s="118"/>
      <c r="FQ408" s="98"/>
      <c r="FR408" s="119"/>
      <c r="FS408" s="120"/>
      <c r="FT408" s="119"/>
      <c r="FU408" s="120"/>
      <c r="FV408" s="119">
        <f>BO408+BQ408+BS408+BU408</f>
        <v>-5144</v>
      </c>
      <c r="FW408" s="98" t="str">
        <f t="shared" si="2368"/>
        <v>NA</v>
      </c>
      <c r="FX408" s="485">
        <f>BW408+BY408+CA408+CC408</f>
        <v>-4273</v>
      </c>
      <c r="FY408" s="98">
        <f t="shared" si="2369"/>
        <v>-16.932348367029547</v>
      </c>
      <c r="FZ408" s="119">
        <f>CE408+CG408+CI408+CK408</f>
        <v>-3845</v>
      </c>
      <c r="GA408" s="98">
        <f t="shared" si="2370"/>
        <v>-10.016381933068097</v>
      </c>
      <c r="GB408" s="485">
        <f>CM408+CO408+CQ408+CS408</f>
        <v>-4125</v>
      </c>
      <c r="GC408" s="98">
        <f t="shared" si="2371"/>
        <v>7.2821846553966285</v>
      </c>
      <c r="GD408" s="119">
        <f>CU408+CW408+CY408+DA408</f>
        <v>-4326</v>
      </c>
      <c r="GE408" s="98">
        <f t="shared" si="2372"/>
        <v>4.872727272727273</v>
      </c>
      <c r="GF408" s="119">
        <f>DC408+DE408+DG408+DI408</f>
        <v>-4301</v>
      </c>
      <c r="GG408" s="98">
        <f t="shared" si="2373"/>
        <v>-0.57790106333795999</v>
      </c>
      <c r="GH408" s="119">
        <f>DK408+DM408+DO408+DQ408</f>
        <v>-4489</v>
      </c>
      <c r="GI408" s="98">
        <f t="shared" si="2374"/>
        <v>4.3710764938386326</v>
      </c>
      <c r="GJ408" s="119">
        <f>DS408+DU408+DW408+DY408</f>
        <v>-2507</v>
      </c>
      <c r="GK408" s="98">
        <f t="shared" si="2375"/>
        <v>-44.152372466028069</v>
      </c>
      <c r="GL408" s="119">
        <f>EA408+EC408+EE408+EG408</f>
        <v>-2472</v>
      </c>
      <c r="GM408" s="98">
        <f t="shared" si="2376"/>
        <v>-1.3960909453530124</v>
      </c>
      <c r="GN408" s="119">
        <f>EI408+EK408+EM408+EO408</f>
        <v>-2459</v>
      </c>
      <c r="GO408" s="98">
        <f t="shared" si="2376"/>
        <v>-0.52588996763753837</v>
      </c>
      <c r="GP408" s="119">
        <f>EQ408+ES408+EU408+EW408</f>
        <v>-2606.5555328644832</v>
      </c>
      <c r="GQ408" s="98">
        <f t="shared" si="2376"/>
        <v>6.0006316740334853</v>
      </c>
      <c r="GR408" s="119">
        <f>GR$405*(-GR416/100)</f>
        <v>-3042.3429859358353</v>
      </c>
      <c r="GS408" s="98">
        <f t="shared" si="2376"/>
        <v>16.718901537940447</v>
      </c>
      <c r="GT408" s="119">
        <f>GT$405*(-GT416/100)</f>
        <v>-3425.4762414800725</v>
      </c>
      <c r="GU408" s="98">
        <f t="shared" si="2376"/>
        <v>12.593361672743297</v>
      </c>
      <c r="GV408" s="119">
        <f>GV$405*(-GV416/100)</f>
        <v>-3749.6708478710684</v>
      </c>
      <c r="GW408" s="98">
        <f t="shared" si="2376"/>
        <v>9.4642199664160653</v>
      </c>
      <c r="GX408" s="119">
        <f>GX$405*(-GX416/100)</f>
        <v>-4011.7542703555173</v>
      </c>
      <c r="GY408" s="98">
        <f t="shared" si="2377"/>
        <v>6.9895047623513618</v>
      </c>
      <c r="GZ408" s="98">
        <f>IF(ISERROR(((GX408/GN408)^0.2-1)*100),"NA",IF((((GX408/GN408)^0.2-1)*100)&gt;100,"NM",IF((((GX408/GN408)^0.2-1)*100)&lt;-50,"NM",((GX408/GN408)^0.2-1)*100)))</f>
        <v>10.284672783620664</v>
      </c>
      <c r="HA408" s="98"/>
      <c r="HB408" s="10"/>
      <c r="HC408"/>
      <c r="HD408"/>
      <c r="HE408"/>
      <c r="HF408"/>
      <c r="HG408"/>
      <c r="HH408"/>
      <c r="HI408" s="10"/>
    </row>
    <row r="409" spans="1:217" s="2" customFormat="1" ht="12.75" customHeight="1" x14ac:dyDescent="0.2">
      <c r="B409" s="91" t="s">
        <v>308</v>
      </c>
      <c r="C409" s="101"/>
      <c r="D409" s="98"/>
      <c r="E409" s="101"/>
      <c r="F409" s="98"/>
      <c r="G409" s="101"/>
      <c r="H409" s="98"/>
      <c r="I409" s="101"/>
      <c r="J409" s="98"/>
      <c r="K409" s="101"/>
      <c r="L409" s="98"/>
      <c r="M409" s="101"/>
      <c r="N409" s="98"/>
      <c r="O409" s="101"/>
      <c r="P409" s="98"/>
      <c r="Q409" s="101"/>
      <c r="R409" s="98"/>
      <c r="S409" s="101"/>
      <c r="T409" s="98"/>
      <c r="U409" s="101"/>
      <c r="V409" s="98"/>
      <c r="W409" s="101"/>
      <c r="X409" s="98"/>
      <c r="Y409" s="101"/>
      <c r="Z409" s="98"/>
      <c r="AA409" s="101"/>
      <c r="AB409" s="98"/>
      <c r="AC409" s="101"/>
      <c r="AD409" s="98"/>
      <c r="AE409" s="101"/>
      <c r="AF409" s="98"/>
      <c r="AG409" s="101"/>
      <c r="AH409" s="98"/>
      <c r="AI409" s="101"/>
      <c r="AJ409" s="98"/>
      <c r="AK409" s="101"/>
      <c r="AL409" s="98"/>
      <c r="AM409" s="101"/>
      <c r="AN409" s="98"/>
      <c r="AO409" s="101"/>
      <c r="AP409" s="98"/>
      <c r="AQ409" s="101"/>
      <c r="AR409" s="98"/>
      <c r="AS409" s="101"/>
      <c r="AT409" s="98"/>
      <c r="AU409" s="101"/>
      <c r="AV409" s="98"/>
      <c r="AW409" s="101"/>
      <c r="AX409" s="98"/>
      <c r="AY409" s="101"/>
      <c r="AZ409" s="98"/>
      <c r="BA409" s="101"/>
      <c r="BB409" s="98"/>
      <c r="BC409" s="101"/>
      <c r="BD409" s="98"/>
      <c r="BE409" s="101"/>
      <c r="BF409" s="98"/>
      <c r="BG409" s="101"/>
      <c r="BH409" s="98"/>
      <c r="BI409" s="101"/>
      <c r="BJ409" s="98"/>
      <c r="BK409" s="101"/>
      <c r="BL409" s="98"/>
      <c r="BM409" s="101"/>
      <c r="BN409" s="98"/>
      <c r="BO409" s="101"/>
      <c r="BP409" s="98"/>
      <c r="BQ409" s="101"/>
      <c r="BR409" s="98"/>
      <c r="BS409" s="101"/>
      <c r="BT409" s="98"/>
      <c r="BU409" s="101"/>
      <c r="BV409" s="98"/>
      <c r="BW409" s="101"/>
      <c r="BX409" s="98"/>
      <c r="BY409" s="101"/>
      <c r="BZ409" s="98"/>
      <c r="CA409" s="101"/>
      <c r="CB409" s="98"/>
      <c r="CC409" s="101"/>
      <c r="CD409" s="98"/>
      <c r="CE409" s="101"/>
      <c r="CF409" s="98"/>
      <c r="CG409" s="101"/>
      <c r="CH409" s="98"/>
      <c r="CI409" s="101"/>
      <c r="CJ409" s="98"/>
      <c r="CK409" s="101"/>
      <c r="CL409" s="98"/>
      <c r="CM409" s="101"/>
      <c r="CN409" s="98"/>
      <c r="CO409" s="101"/>
      <c r="CP409" s="98"/>
      <c r="CQ409" s="542"/>
      <c r="CR409" s="98"/>
      <c r="CS409" s="101"/>
      <c r="CT409" s="98"/>
      <c r="CU409" s="101"/>
      <c r="CV409" s="98"/>
      <c r="CW409" s="101"/>
      <c r="CX409" s="98"/>
      <c r="CY409" s="101"/>
      <c r="CZ409" s="98"/>
      <c r="DA409" s="101"/>
      <c r="DB409" s="98"/>
      <c r="DC409" s="101"/>
      <c r="DD409" s="98"/>
      <c r="DE409" s="101"/>
      <c r="DF409" s="98"/>
      <c r="DG409" s="101"/>
      <c r="DH409" s="98"/>
      <c r="DI409" s="101"/>
      <c r="DJ409" s="98"/>
      <c r="DK409" s="101"/>
      <c r="DL409" s="98"/>
      <c r="DM409" s="101"/>
      <c r="DN409" s="98"/>
      <c r="DO409" s="101"/>
      <c r="DP409" s="98"/>
      <c r="DQ409" s="101"/>
      <c r="DR409" s="98"/>
      <c r="DS409" s="101">
        <v>-810</v>
      </c>
      <c r="DT409" s="98"/>
      <c r="DU409" s="101">
        <v>-679</v>
      </c>
      <c r="DV409" s="98"/>
      <c r="DW409" s="101">
        <v>-706</v>
      </c>
      <c r="DX409" s="98"/>
      <c r="DY409" s="101">
        <v>-674</v>
      </c>
      <c r="DZ409" s="98"/>
      <c r="EA409" s="101">
        <v>-754</v>
      </c>
      <c r="EB409" s="98"/>
      <c r="EC409" s="101">
        <v>-725</v>
      </c>
      <c r="ED409" s="98"/>
      <c r="EE409" s="101">
        <v>-713</v>
      </c>
      <c r="EF409" s="860">
        <f t="shared" ref="EF409" si="2387">IF(ISERROR((EE409/DW409-1)*100),"NA",IF(((EE409/DW409-1)*100)&gt;100,"NM",IF(((EE409/DW409-1)*100)&lt;-50,"NM",(EE409/DW409-1)*100)))</f>
        <v>0.99150141643058465</v>
      </c>
      <c r="EG409" s="101">
        <v>-712</v>
      </c>
      <c r="EH409" s="860">
        <f t="shared" ref="EH409" si="2388">IF(ISERROR((EG409/DY409-1)*100),"NA",IF(((EG409/DY409-1)*100)&gt;100,"NM",IF(((EG409/DY409-1)*100)&lt;-50,"NM",(EG409/DY409-1)*100)))</f>
        <v>5.6379821958457033</v>
      </c>
      <c r="EI409" s="101">
        <v>-763</v>
      </c>
      <c r="EJ409" s="860">
        <f t="shared" ref="EJ409" si="2389">IF(ISERROR((EI409/EA409-1)*100),"NA",IF(((EI409/EA409-1)*100)&gt;100,"NM",IF(((EI409/EA409-1)*100)&lt;-50,"NM",(EI409/EA409-1)*100)))</f>
        <v>1.1936339522546469</v>
      </c>
      <c r="EK409" s="101">
        <v>-659</v>
      </c>
      <c r="EL409" s="860">
        <f t="shared" ref="EL409" si="2390">IF(ISERROR((EK409/EC409-1)*100),"NA",IF(((EK409/EC409-1)*100)&gt;100,"NM",IF(((EK409/EC409-1)*100)&lt;-50,"NM",(EK409/EC409-1)*100)))</f>
        <v>-9.1034482758620694</v>
      </c>
      <c r="EM409" s="101">
        <v>-642</v>
      </c>
      <c r="EN409" s="860">
        <f t="shared" ref="EN409" si="2391">IF(ISERROR((EM409/EE409-1)*100),"NA",IF(((EM409/EE409-1)*100)&gt;100,"NM",IF(((EM409/EE409-1)*100)&lt;-50,"NM",(EM409/EE409-1)*100)))</f>
        <v>-9.9579242636746113</v>
      </c>
      <c r="EO409" s="101">
        <v>-679</v>
      </c>
      <c r="EP409" s="98"/>
      <c r="EQ409" s="1023">
        <f>EQ$405*(-EQ417/400)</f>
        <v>-681.9468022326588</v>
      </c>
      <c r="ER409" s="98"/>
      <c r="ES409" s="1023">
        <f t="shared" ref="ES409" si="2392">ES$405*(-ES417/400)</f>
        <v>-684.30157305175521</v>
      </c>
      <c r="ET409" s="98"/>
      <c r="EU409" s="1023">
        <f t="shared" ref="EU409" si="2393">EU$405*(-EU417/400)</f>
        <v>-686.0966476291253</v>
      </c>
      <c r="EV409" s="98"/>
      <c r="EW409" s="1023">
        <f t="shared" ref="EW409" si="2394">EW$405*(-EW417/400)</f>
        <v>-687.36272757405186</v>
      </c>
      <c r="EX409" s="98"/>
      <c r="EY409" s="119"/>
      <c r="EZ409" s="594"/>
      <c r="FA409" s="405"/>
      <c r="FB409" s="95"/>
      <c r="FC409" s="98"/>
      <c r="FD409" s="101"/>
      <c r="FE409" s="98"/>
      <c r="FF409" s="118"/>
      <c r="FG409" s="98"/>
      <c r="FH409" s="118"/>
      <c r="FI409" s="98"/>
      <c r="FJ409" s="118"/>
      <c r="FK409" s="98"/>
      <c r="FL409" s="118"/>
      <c r="FM409" s="98"/>
      <c r="FN409" s="118"/>
      <c r="FO409" s="98"/>
      <c r="FP409" s="118"/>
      <c r="FQ409" s="98"/>
      <c r="FR409" s="119"/>
      <c r="FS409" s="120"/>
      <c r="FT409" s="119"/>
      <c r="FU409" s="120"/>
      <c r="FV409" s="119"/>
      <c r="FW409" s="98"/>
      <c r="FX409" s="485"/>
      <c r="FY409" s="98"/>
      <c r="FZ409" s="119"/>
      <c r="GA409" s="98"/>
      <c r="GB409" s="485"/>
      <c r="GC409" s="98"/>
      <c r="GD409" s="119"/>
      <c r="GE409" s="98"/>
      <c r="GF409" s="119"/>
      <c r="GG409" s="98"/>
      <c r="GH409" s="119"/>
      <c r="GI409" s="98"/>
      <c r="GJ409" s="119">
        <f>DS409+DU409+DW409+DY409</f>
        <v>-2869</v>
      </c>
      <c r="GK409" s="98"/>
      <c r="GL409" s="119">
        <f>EA409+EC409+EE409+EG409</f>
        <v>-2904</v>
      </c>
      <c r="GM409" s="98"/>
      <c r="GN409" s="119">
        <f>EI409+EK409+EM409+EO409</f>
        <v>-2743</v>
      </c>
      <c r="GO409" s="98"/>
      <c r="GP409" s="119">
        <f>EQ409+ES409+EU409+EW409</f>
        <v>-2739.7077504875915</v>
      </c>
      <c r="GQ409" s="98"/>
      <c r="GR409" s="119">
        <f>GR$405*(-GR417/100)</f>
        <v>-2764.5444575913234</v>
      </c>
      <c r="GS409" s="98"/>
      <c r="GT409" s="119">
        <f>GT$405*(-GT417/100)</f>
        <v>-2741.3168667252817</v>
      </c>
      <c r="GU409" s="98"/>
      <c r="GV409" s="119">
        <f>GV$405*(-GV417/100)</f>
        <v>-2680.901703358224</v>
      </c>
      <c r="GW409" s="98"/>
      <c r="GX409" s="119">
        <f>GX$405*(-GX417/100)</f>
        <v>-2591.9954924652575</v>
      </c>
      <c r="GY409" s="98"/>
      <c r="GZ409" s="98"/>
      <c r="HA409" s="98"/>
      <c r="HB409" s="10"/>
      <c r="HC409"/>
      <c r="HD409"/>
      <c r="HE409"/>
      <c r="HF409"/>
      <c r="HG409"/>
      <c r="HH409"/>
      <c r="HI409" s="10"/>
    </row>
    <row r="410" spans="1:217" s="2" customFormat="1" ht="12.75" customHeight="1" x14ac:dyDescent="0.2">
      <c r="B410" s="91" t="s">
        <v>368</v>
      </c>
      <c r="C410" s="101"/>
      <c r="D410" s="113"/>
      <c r="E410" s="101"/>
      <c r="F410" s="113"/>
      <c r="G410" s="101"/>
      <c r="H410" s="113"/>
      <c r="I410" s="101"/>
      <c r="J410" s="98"/>
      <c r="K410" s="101"/>
      <c r="L410" s="98"/>
      <c r="M410" s="101"/>
      <c r="N410" s="98"/>
      <c r="O410" s="101"/>
      <c r="P410" s="98"/>
      <c r="Q410" s="101"/>
      <c r="R410" s="98"/>
      <c r="S410" s="101"/>
      <c r="T410" s="98"/>
      <c r="U410" s="101"/>
      <c r="V410" s="98"/>
      <c r="W410" s="101"/>
      <c r="X410" s="98"/>
      <c r="Y410" s="101"/>
      <c r="Z410" s="98"/>
      <c r="AA410" s="101"/>
      <c r="AB410" s="98"/>
      <c r="AC410" s="101"/>
      <c r="AD410" s="98"/>
      <c r="AE410" s="101"/>
      <c r="AF410" s="98"/>
      <c r="AG410" s="101"/>
      <c r="AH410" s="98"/>
      <c r="AI410" s="101"/>
      <c r="AJ410" s="98"/>
      <c r="AK410" s="101"/>
      <c r="AL410" s="98"/>
      <c r="AM410" s="101"/>
      <c r="AN410" s="98"/>
      <c r="AO410" s="101"/>
      <c r="AP410" s="98"/>
      <c r="AQ410" s="101"/>
      <c r="AR410" s="98"/>
      <c r="AS410" s="101"/>
      <c r="AT410" s="98"/>
      <c r="AU410" s="101"/>
      <c r="AV410" s="98"/>
      <c r="AW410" s="101"/>
      <c r="AX410" s="98"/>
      <c r="AY410" s="101"/>
      <c r="AZ410" s="98"/>
      <c r="BA410" s="101"/>
      <c r="BB410" s="98"/>
      <c r="BC410" s="101"/>
      <c r="BD410" s="98"/>
      <c r="BE410" s="101"/>
      <c r="BF410" s="98"/>
      <c r="BG410" s="101"/>
      <c r="BH410" s="98"/>
      <c r="BI410" s="101"/>
      <c r="BJ410" s="98"/>
      <c r="BK410" s="101"/>
      <c r="BL410" s="98"/>
      <c r="BM410" s="101">
        <f>-942-276+172-3</f>
        <v>-1049</v>
      </c>
      <c r="BN410" s="98" t="str">
        <f t="shared" si="2318"/>
        <v>NA</v>
      </c>
      <c r="BO410" s="101">
        <f>-307-5-295+265</f>
        <v>-342</v>
      </c>
      <c r="BP410" s="98" t="str">
        <f t="shared" si="2319"/>
        <v>NA</v>
      </c>
      <c r="BQ410" s="101">
        <f>-683-4-287-88</f>
        <v>-1062</v>
      </c>
      <c r="BR410" s="98" t="str">
        <f t="shared" si="2320"/>
        <v>NA</v>
      </c>
      <c r="BS410" s="101">
        <f>-315-6-267+35</f>
        <v>-553</v>
      </c>
      <c r="BT410" s="98" t="str">
        <f t="shared" si="2321"/>
        <v>NA</v>
      </c>
      <c r="BU410" s="101">
        <f>1-8-287+2002</f>
        <v>1708</v>
      </c>
      <c r="BV410" s="98" t="str">
        <f t="shared" si="2322"/>
        <v>NM</v>
      </c>
      <c r="BW410" s="101">
        <f>-231-11-315-382</f>
        <v>-939</v>
      </c>
      <c r="BX410" s="98" t="str">
        <f t="shared" si="2323"/>
        <v>NM</v>
      </c>
      <c r="BY410" s="101">
        <f>-1217-12-374-958</f>
        <v>-2561</v>
      </c>
      <c r="BZ410" s="98" t="str">
        <f t="shared" si="2324"/>
        <v>NM</v>
      </c>
      <c r="CA410" s="101">
        <f>55639-CA408-CA407-CA406-CA405</f>
        <v>2835</v>
      </c>
      <c r="CB410" s="98" t="str">
        <f t="shared" si="2325"/>
        <v>NM</v>
      </c>
      <c r="CC410" s="101">
        <f>55081-CC408-CC407-CC406-CC405</f>
        <v>-1941</v>
      </c>
      <c r="CD410" s="98" t="str">
        <f t="shared" si="2326"/>
        <v>NM</v>
      </c>
      <c r="CE410" s="101">
        <f>54965-CE408-CE407-CE406-CE405</f>
        <v>-1561</v>
      </c>
      <c r="CF410" s="98">
        <f t="shared" si="2327"/>
        <v>66.240681576144851</v>
      </c>
      <c r="CG410" s="101">
        <f>57356-CG408-CG407-CG406-CG405</f>
        <v>836</v>
      </c>
      <c r="CH410" s="98" t="str">
        <f t="shared" si="2328"/>
        <v>NM</v>
      </c>
      <c r="CI410" s="101">
        <f>57485-CI408-CI407-CI406-CI405</f>
        <v>-1296</v>
      </c>
      <c r="CJ410" s="98" t="str">
        <f t="shared" si="2329"/>
        <v>NM</v>
      </c>
      <c r="CK410" s="101">
        <f>55346-CK408-CK407-CK406-CK405</f>
        <v>-3475</v>
      </c>
      <c r="CL410" s="98">
        <f t="shared" si="2330"/>
        <v>79.031427099433273</v>
      </c>
      <c r="CM410" s="101">
        <f>-372-846-17-465</f>
        <v>-1700</v>
      </c>
      <c r="CN410" s="98">
        <f t="shared" si="2331"/>
        <v>8.9045483664317757</v>
      </c>
      <c r="CO410" s="101">
        <f>-376-733-20+191</f>
        <v>-938</v>
      </c>
      <c r="CP410" s="98" t="str">
        <f t="shared" si="2332"/>
        <v>NM</v>
      </c>
      <c r="CQ410" s="542">
        <f>-384-624-19+2941</f>
        <v>1914</v>
      </c>
      <c r="CR410" s="98" t="str">
        <f t="shared" si="2333"/>
        <v>NM</v>
      </c>
      <c r="CS410" s="101">
        <f>-370-1401-15-694</f>
        <v>-2480</v>
      </c>
      <c r="CT410" s="98">
        <f t="shared" si="2334"/>
        <v>-28.633093525179852</v>
      </c>
      <c r="CU410" s="101">
        <f>-400-1251-15-1460</f>
        <v>-3126</v>
      </c>
      <c r="CV410" s="98">
        <f t="shared" si="2335"/>
        <v>83.882352941176478</v>
      </c>
      <c r="CW410" s="101">
        <f>-391-750-16+1239</f>
        <v>82</v>
      </c>
      <c r="CX410" s="98" t="str">
        <f t="shared" si="2336"/>
        <v>NM</v>
      </c>
      <c r="CY410" s="101">
        <f>-390-604-14-482</f>
        <v>-1490</v>
      </c>
      <c r="CZ410" s="98" t="str">
        <f t="shared" si="2337"/>
        <v>NM</v>
      </c>
      <c r="DA410" s="101">
        <f>-422-335-12+458</f>
        <v>-311</v>
      </c>
      <c r="DB410" s="98" t="str">
        <f t="shared" si="2338"/>
        <v>NM</v>
      </c>
      <c r="DC410" s="101">
        <f>-405-555-12-970</f>
        <v>-1942</v>
      </c>
      <c r="DD410" s="98">
        <f t="shared" si="2339"/>
        <v>-37.875879718490083</v>
      </c>
      <c r="DE410" s="101">
        <f>-420-214-15-584</f>
        <v>-1233</v>
      </c>
      <c r="DF410" s="98" t="str">
        <f t="shared" si="2340"/>
        <v>NM</v>
      </c>
      <c r="DG410" s="101">
        <f>-408+58-13-524</f>
        <v>-887</v>
      </c>
      <c r="DH410" s="98">
        <f t="shared" si="2341"/>
        <v>-40.469798657718123</v>
      </c>
      <c r="DI410" s="101">
        <f>-396-119-12-772</f>
        <v>-1299</v>
      </c>
      <c r="DJ410" s="98" t="str">
        <f t="shared" si="2342"/>
        <v>NM</v>
      </c>
      <c r="DK410" s="101">
        <f>-414-21-13+285</f>
        <v>-163</v>
      </c>
      <c r="DL410" s="98" t="str">
        <f t="shared" si="2343"/>
        <v>NM</v>
      </c>
      <c r="DM410" s="101">
        <f>-414-10-14+14</f>
        <v>-424</v>
      </c>
      <c r="DN410" s="98" t="str">
        <f t="shared" si="2344"/>
        <v>NM</v>
      </c>
      <c r="DO410" s="101">
        <f>-415+34-13+654</f>
        <v>260</v>
      </c>
      <c r="DP410" s="98" t="str">
        <f t="shared" si="2345"/>
        <v>NM</v>
      </c>
      <c r="DQ410" s="101">
        <f>-406+2+757-10</f>
        <v>343</v>
      </c>
      <c r="DR410" s="98" t="str">
        <f t="shared" si="2346"/>
        <v>NM</v>
      </c>
      <c r="DS410" s="101">
        <f>11-197-494</f>
        <v>-680</v>
      </c>
      <c r="DT410" s="98" t="str">
        <f t="shared" si="2347"/>
        <v>NM</v>
      </c>
      <c r="DU410" s="101">
        <f>-425+51-14-381</f>
        <v>-769</v>
      </c>
      <c r="DV410" s="98">
        <f t="shared" si="2348"/>
        <v>81.367924528301884</v>
      </c>
      <c r="DW410" s="101">
        <f>12-200-129</f>
        <v>-317</v>
      </c>
      <c r="DX410" s="98" t="str">
        <f t="shared" si="2349"/>
        <v>NM</v>
      </c>
      <c r="DY410" s="101">
        <f>11-201-524</f>
        <v>-714</v>
      </c>
      <c r="DZ410" s="98" t="str">
        <f t="shared" si="2350"/>
        <v>NM</v>
      </c>
      <c r="EA410" s="101">
        <f>11-201+31</f>
        <v>-159</v>
      </c>
      <c r="EB410" s="98" t="str">
        <f t="shared" si="2351"/>
        <v>NM</v>
      </c>
      <c r="EC410" s="101">
        <f>21-202+2</f>
        <v>-179</v>
      </c>
      <c r="ED410" s="98" t="str">
        <f t="shared" si="2352"/>
        <v>NM</v>
      </c>
      <c r="EE410" s="101">
        <f>16-200-420</f>
        <v>-604</v>
      </c>
      <c r="EF410" s="860">
        <f t="shared" si="2353"/>
        <v>90.536277602523654</v>
      </c>
      <c r="EG410" s="101">
        <f>12-242-975</f>
        <v>-1205</v>
      </c>
      <c r="EH410" s="860">
        <f t="shared" si="2354"/>
        <v>68.767507002801125</v>
      </c>
      <c r="EI410" s="101">
        <f>25-201-326</f>
        <v>-502</v>
      </c>
      <c r="EJ410" s="860" t="str">
        <f t="shared" si="2355"/>
        <v>NM</v>
      </c>
      <c r="EK410" s="101">
        <f>9-200-612</f>
        <v>-803</v>
      </c>
      <c r="EL410" s="860" t="str">
        <f t="shared" si="2356"/>
        <v>NM</v>
      </c>
      <c r="EM410" s="101">
        <f>12-199-453</f>
        <v>-640</v>
      </c>
      <c r="EN410" s="860">
        <f t="shared" si="2357"/>
        <v>5.9602649006622599</v>
      </c>
      <c r="EO410" s="101">
        <f>11-199-334</f>
        <v>-522</v>
      </c>
      <c r="EP410" s="98" t="str">
        <f t="shared" si="2358"/>
        <v>NM</v>
      </c>
      <c r="EQ410" s="950">
        <f>EO410</f>
        <v>-522</v>
      </c>
      <c r="ER410" s="98">
        <f t="shared" ref="ER410:ER412" si="2395">IF(ISERROR((EQ410/EI410-1)*100),"NA",IF(((EQ410/EI410-1)*100)&gt;100,"NM",IF(((EQ410/EI410-1)*100)&lt;-50,"NM",(EQ410/EI410-1)*100)))</f>
        <v>3.9840637450199168</v>
      </c>
      <c r="ES410" s="950">
        <f t="shared" ref="ES410" si="2396">EQ410</f>
        <v>-522</v>
      </c>
      <c r="ET410" s="98">
        <f t="shared" ref="ET410:ET412" si="2397">IF(ISERROR((ES410/EK410-1)*100),"NA",IF(((ES410/EK410-1)*100)&gt;100,"NM",IF(((ES410/EK410-1)*100)&lt;-50,"NM",(ES410/EK410-1)*100)))</f>
        <v>-34.993773349937726</v>
      </c>
      <c r="EU410" s="950">
        <f t="shared" ref="EU410" si="2398">ES410</f>
        <v>-522</v>
      </c>
      <c r="EV410" s="98">
        <f t="shared" ref="EV410:EV412" si="2399">IF(ISERROR((EU410/EM410-1)*100),"NA",IF(((EU410/EM410-1)*100)&gt;100,"NM",IF(((EU410/EM410-1)*100)&lt;-50,"NM",(EU410/EM410-1)*100)))</f>
        <v>-18.437499999999996</v>
      </c>
      <c r="EW410" s="950">
        <f t="shared" ref="EW410" si="2400">EU410</f>
        <v>-522</v>
      </c>
      <c r="EX410" s="98">
        <f t="shared" ref="EX410:EX412" si="2401">IF(ISERROR((EW410/EO410-1)*100),"NA",IF(((EW410/EO410-1)*100)&gt;100,"NM",IF(((EW410/EO410-1)*100)&lt;-50,"NM",(EW410/EO410-1)*100)))</f>
        <v>0</v>
      </c>
      <c r="EY410" s="101"/>
      <c r="EZ410" s="594"/>
      <c r="FA410" s="405"/>
      <c r="FB410" s="101"/>
      <c r="FC410" s="113"/>
      <c r="FD410" s="101">
        <v>-174</v>
      </c>
      <c r="FE410" s="98" t="str">
        <f t="shared" si="2367"/>
        <v>NA</v>
      </c>
      <c r="FF410" s="118"/>
      <c r="FG410" s="98"/>
      <c r="FH410" s="118"/>
      <c r="FI410" s="98"/>
      <c r="FJ410" s="118"/>
      <c r="FK410" s="98"/>
      <c r="FL410" s="118"/>
      <c r="FM410" s="98"/>
      <c r="FN410" s="118"/>
      <c r="FO410" s="98"/>
      <c r="FP410" s="118"/>
      <c r="FQ410" s="98"/>
      <c r="FR410" s="100"/>
      <c r="FS410" s="120"/>
      <c r="FT410" s="100"/>
      <c r="FU410" s="120"/>
      <c r="FV410" s="100">
        <f>BO410+BQ410+BS410+BU410</f>
        <v>-249</v>
      </c>
      <c r="FW410" s="98" t="str">
        <f t="shared" si="2368"/>
        <v>NA</v>
      </c>
      <c r="FX410" s="485">
        <f>BW410+BY410+CA410+CC410</f>
        <v>-2606</v>
      </c>
      <c r="FY410" s="98" t="str">
        <f t="shared" si="2369"/>
        <v>NM</v>
      </c>
      <c r="FZ410" s="119">
        <f>CE410+CG410+CI410+CK410</f>
        <v>-5496</v>
      </c>
      <c r="GA410" s="98" t="str">
        <f t="shared" si="2370"/>
        <v>NM</v>
      </c>
      <c r="GB410" s="485">
        <f>CM410+CO410+CQ410+CS410</f>
        <v>-3204</v>
      </c>
      <c r="GC410" s="98">
        <f t="shared" si="2371"/>
        <v>-41.703056768558952</v>
      </c>
      <c r="GD410" s="119">
        <f>CU410+CW410+CY410+DA410</f>
        <v>-4845</v>
      </c>
      <c r="GE410" s="98">
        <f t="shared" si="2372"/>
        <v>51.21722846441947</v>
      </c>
      <c r="GF410" s="119">
        <f>DC410+DE410+DG410+DI410</f>
        <v>-5361</v>
      </c>
      <c r="GG410" s="98">
        <f t="shared" si="2373"/>
        <v>10.650154798761612</v>
      </c>
      <c r="GH410" s="119">
        <f>DK410+DM410+DO410+DQ410</f>
        <v>16</v>
      </c>
      <c r="GI410" s="98" t="str">
        <f t="shared" si="2374"/>
        <v>NM</v>
      </c>
      <c r="GJ410" s="119">
        <f>DS410+DU410+DW410+DY410</f>
        <v>-2480</v>
      </c>
      <c r="GK410" s="98" t="str">
        <f t="shared" si="2375"/>
        <v>NM</v>
      </c>
      <c r="GL410" s="119">
        <f>EA410+EC410+EE410+EG410</f>
        <v>-2147</v>
      </c>
      <c r="GM410" s="98">
        <f t="shared" si="2376"/>
        <v>-13.42741935483871</v>
      </c>
      <c r="GN410" s="119">
        <f>EI410+EK410+EM410+EO410</f>
        <v>-2467</v>
      </c>
      <c r="GO410" s="98">
        <f t="shared" si="2376"/>
        <v>14.904517931998139</v>
      </c>
      <c r="GP410" s="119">
        <f>EQ410+ES410+EU410+EW410</f>
        <v>-2088</v>
      </c>
      <c r="GQ410" s="98">
        <f t="shared" si="2376"/>
        <v>-15.362788812322659</v>
      </c>
      <c r="GR410" s="121">
        <f>GP410*0.9</f>
        <v>-1879.2</v>
      </c>
      <c r="GS410" s="98">
        <f t="shared" si="2376"/>
        <v>-9.9999999999999982</v>
      </c>
      <c r="GT410" s="121">
        <f>GR410*0.9</f>
        <v>-1691.28</v>
      </c>
      <c r="GU410" s="98">
        <f t="shared" si="2376"/>
        <v>-10.000000000000009</v>
      </c>
      <c r="GV410" s="121">
        <f>GT410*0.9</f>
        <v>-1522.152</v>
      </c>
      <c r="GW410" s="98">
        <f t="shared" si="2376"/>
        <v>-9.9999999999999982</v>
      </c>
      <c r="GX410" s="121">
        <f>GV410*0.9</f>
        <v>-1369.9368000000002</v>
      </c>
      <c r="GY410" s="98">
        <f t="shared" ref="GY410:GY412" si="2402">IF(ISERROR((GX410/GV410-1)*100),"NA",IF(((GX410/GV410-1)*100)&gt;100,"NM",IF(((GX410/GV410-1)*100)&lt;-50,"NM",(GX410/GV410-1)*100)))</f>
        <v>-9.9999999999999858</v>
      </c>
      <c r="GZ410" s="98">
        <f>IF(ISERROR(((GX410/GN410)^0.2-1)*100),"NA",IF((((GX410/GN410)^0.2-1)*100)&gt;100,"NM",IF((((GX410/GN410)^0.2-1)*100)&lt;-50,"NM",((GX410/GN410)^0.2-1)*100)))</f>
        <v>-11.09907566308037</v>
      </c>
      <c r="HA410" s="98"/>
      <c r="HB410" s="10"/>
      <c r="HC410"/>
      <c r="HD410"/>
      <c r="HE410"/>
      <c r="HF410"/>
      <c r="HG410"/>
      <c r="HH410"/>
      <c r="HI410" s="10"/>
    </row>
    <row r="411" spans="1:217" s="2" customFormat="1" ht="12.75" customHeight="1" x14ac:dyDescent="0.2">
      <c r="A411" s="2" t="s">
        <v>66</v>
      </c>
      <c r="B411" s="91" t="s">
        <v>24</v>
      </c>
      <c r="C411" s="117"/>
      <c r="D411" s="98"/>
      <c r="E411" s="117"/>
      <c r="F411" s="98"/>
      <c r="G411" s="117"/>
      <c r="H411" s="98"/>
      <c r="I411" s="117"/>
      <c r="J411" s="98"/>
      <c r="K411" s="117"/>
      <c r="L411" s="98"/>
      <c r="M411" s="117"/>
      <c r="N411" s="98"/>
      <c r="O411" s="117"/>
      <c r="P411" s="98"/>
      <c r="Q411" s="117"/>
      <c r="R411" s="98"/>
      <c r="S411" s="117"/>
      <c r="T411" s="98"/>
      <c r="U411" s="117"/>
      <c r="V411" s="98"/>
      <c r="W411" s="117"/>
      <c r="X411" s="98"/>
      <c r="Y411" s="117"/>
      <c r="Z411" s="98"/>
      <c r="AA411" s="117"/>
      <c r="AB411" s="98"/>
      <c r="AC411" s="117"/>
      <c r="AD411" s="98"/>
      <c r="AE411" s="117"/>
      <c r="AF411" s="98"/>
      <c r="AG411" s="117"/>
      <c r="AH411" s="98"/>
      <c r="AI411" s="117"/>
      <c r="AJ411" s="98"/>
      <c r="AK411" s="117"/>
      <c r="AL411" s="98"/>
      <c r="AM411" s="117"/>
      <c r="AN411" s="98"/>
      <c r="AO411" s="117"/>
      <c r="AP411" s="98"/>
      <c r="AQ411" s="117"/>
      <c r="AR411" s="98"/>
      <c r="AS411" s="117"/>
      <c r="AT411" s="98"/>
      <c r="AU411" s="117"/>
      <c r="AV411" s="98"/>
      <c r="AW411" s="117"/>
      <c r="AX411" s="98"/>
      <c r="AY411" s="117"/>
      <c r="AZ411" s="98"/>
      <c r="BA411" s="117"/>
      <c r="BB411" s="98"/>
      <c r="BC411" s="117"/>
      <c r="BD411" s="98"/>
      <c r="BE411" s="117"/>
      <c r="BF411" s="98"/>
      <c r="BG411" s="117"/>
      <c r="BH411" s="98"/>
      <c r="BI411" s="117"/>
      <c r="BJ411" s="98"/>
      <c r="BK411" s="117"/>
      <c r="BL411" s="98"/>
      <c r="BM411" s="117">
        <f>SUM(BM405:BM410)</f>
        <v>40840</v>
      </c>
      <c r="BN411" s="98" t="str">
        <f t="shared" si="2318"/>
        <v>NA</v>
      </c>
      <c r="BO411" s="117">
        <f>SUM(BO405:BO410)</f>
        <v>41096</v>
      </c>
      <c r="BP411" s="98" t="str">
        <f t="shared" si="2319"/>
        <v>NA</v>
      </c>
      <c r="BQ411" s="117">
        <f>SUM(BQ405:BQ410)</f>
        <v>40916</v>
      </c>
      <c r="BR411" s="98" t="str">
        <f t="shared" si="2320"/>
        <v>NA</v>
      </c>
      <c r="BS411" s="117">
        <f>SUM(BS405:BS410)</f>
        <v>41765</v>
      </c>
      <c r="BT411" s="98" t="str">
        <f t="shared" si="2321"/>
        <v>NA</v>
      </c>
      <c r="BU411" s="117">
        <f>SUM(BU405:BU410)</f>
        <v>47937</v>
      </c>
      <c r="BV411" s="98">
        <f t="shared" si="2322"/>
        <v>17.377571008814897</v>
      </c>
      <c r="BW411" s="117">
        <f>SUM(BW405:BW410)</f>
        <v>51415</v>
      </c>
      <c r="BX411" s="98">
        <f t="shared" si="2323"/>
        <v>25.109499708000783</v>
      </c>
      <c r="BY411" s="117">
        <f>SUM(BY405:BY410)</f>
        <v>51228</v>
      </c>
      <c r="BZ411" s="98">
        <f t="shared" si="2324"/>
        <v>25.202854628995986</v>
      </c>
      <c r="CA411" s="117">
        <f>SUM(CA405:CA410)</f>
        <v>55639</v>
      </c>
      <c r="CB411" s="98">
        <f t="shared" si="2325"/>
        <v>33.219202681671248</v>
      </c>
      <c r="CC411" s="117">
        <f>SUM(CC405:CC410)</f>
        <v>55081</v>
      </c>
      <c r="CD411" s="98">
        <f t="shared" si="2326"/>
        <v>14.902893380895765</v>
      </c>
      <c r="CE411" s="117">
        <f>SUM(CE405:CE410)</f>
        <v>54965</v>
      </c>
      <c r="CF411" s="98">
        <f t="shared" si="2327"/>
        <v>6.9045998249538165</v>
      </c>
      <c r="CG411" s="117">
        <f>SUM(CG405:CG410)</f>
        <v>57356</v>
      </c>
      <c r="CH411" s="98">
        <f t="shared" si="2328"/>
        <v>11.96220816740845</v>
      </c>
      <c r="CI411" s="117">
        <f>SUM(CI405:CI410)</f>
        <v>57485</v>
      </c>
      <c r="CJ411" s="98">
        <f t="shared" si="2329"/>
        <v>3.3178166394076003</v>
      </c>
      <c r="CK411" s="117">
        <f>SUM(CK405:CK410)</f>
        <v>55346</v>
      </c>
      <c r="CL411" s="98">
        <f t="shared" si="2330"/>
        <v>0.4811096385323399</v>
      </c>
      <c r="CM411" s="117">
        <f>SUM(CM405:CM410)</f>
        <v>50334</v>
      </c>
      <c r="CN411" s="98">
        <f t="shared" si="2331"/>
        <v>-8.4253615937414761</v>
      </c>
      <c r="CO411" s="117">
        <f>SUM(CO405:CO410)</f>
        <v>50885</v>
      </c>
      <c r="CP411" s="98">
        <f t="shared" si="2332"/>
        <v>-11.282167515168418</v>
      </c>
      <c r="CQ411" s="486">
        <f>SUM(CQ405:CQ410)</f>
        <v>54991</v>
      </c>
      <c r="CR411" s="98">
        <f t="shared" si="2333"/>
        <v>-4.3385230929807728</v>
      </c>
      <c r="CS411" s="117">
        <f>SUM(CS405:CS410)</f>
        <v>53899</v>
      </c>
      <c r="CT411" s="98">
        <f t="shared" si="2334"/>
        <v>-2.6144617497199429</v>
      </c>
      <c r="CU411" s="117">
        <f>SUM(CU405:CU410)</f>
        <v>51360</v>
      </c>
      <c r="CV411" s="98">
        <f t="shared" si="2335"/>
        <v>2.0383835975682496</v>
      </c>
      <c r="CW411" s="117">
        <f>SUM(CW405:CW410)</f>
        <v>52226</v>
      </c>
      <c r="CX411" s="98">
        <f t="shared" si="2336"/>
        <v>2.6353542301267519</v>
      </c>
      <c r="CY411" s="117">
        <f>SUM(CY405:CY410)</f>
        <v>51590</v>
      </c>
      <c r="CZ411" s="98">
        <f t="shared" si="2337"/>
        <v>-6.1846483970104167</v>
      </c>
      <c r="DA411" s="117">
        <f>SUM(DA405:DA410)</f>
        <v>51542</v>
      </c>
      <c r="DB411" s="98">
        <f t="shared" si="2338"/>
        <v>-4.3729939330970913</v>
      </c>
      <c r="DC411" s="117">
        <f>SUM(DC405:DC410)</f>
        <v>50020</v>
      </c>
      <c r="DD411" s="98">
        <f t="shared" si="2339"/>
        <v>-2.6090342679127687</v>
      </c>
      <c r="DE411" s="117">
        <f>SUM(DE405:DE410)</f>
        <v>48990</v>
      </c>
      <c r="DF411" s="98">
        <f t="shared" si="2340"/>
        <v>-6.1961475127331189</v>
      </c>
      <c r="DG411" s="117">
        <f>SUM(DG405:DG410)</f>
        <v>48428</v>
      </c>
      <c r="DH411" s="98">
        <f t="shared" si="2341"/>
        <v>-6.1290947858112066</v>
      </c>
      <c r="DI411" s="117">
        <f>SUM(DI405:DI410)</f>
        <v>46988</v>
      </c>
      <c r="DJ411" s="98">
        <f t="shared" si="2342"/>
        <v>-8.8355127856893372</v>
      </c>
      <c r="DK411" s="117">
        <f>SUM(DK405:DK410)</f>
        <v>46899</v>
      </c>
      <c r="DL411" s="98">
        <f t="shared" si="2343"/>
        <v>-6.2395041983206667</v>
      </c>
      <c r="DM411" s="117">
        <f>SUM(DM405:DM410)</f>
        <v>46809</v>
      </c>
      <c r="DN411" s="98">
        <f t="shared" si="2344"/>
        <v>-4.4519289650949201</v>
      </c>
      <c r="DO411" s="117">
        <f>SUM(DO405:DO410)</f>
        <v>47529</v>
      </c>
      <c r="DP411" s="98">
        <f t="shared" si="2345"/>
        <v>-1.8563640868918818</v>
      </c>
      <c r="DQ411" s="117">
        <f>SUM(DQ405:DQ410)</f>
        <v>47601</v>
      </c>
      <c r="DR411" s="98">
        <f t="shared" si="2346"/>
        <v>1.3045884055503443</v>
      </c>
      <c r="DS411" s="117">
        <f>SUM(DS405:DS410)</f>
        <v>78229</v>
      </c>
      <c r="DT411" s="98">
        <f t="shared" si="2347"/>
        <v>66.803130130706407</v>
      </c>
      <c r="DU411" s="117">
        <f>SUM(DU405:DU410)</f>
        <v>78404</v>
      </c>
      <c r="DV411" s="98">
        <f t="shared" si="2348"/>
        <v>67.497703433100469</v>
      </c>
      <c r="DW411" s="117">
        <f>SUM(DW405:DW410)</f>
        <v>78938</v>
      </c>
      <c r="DX411" s="98">
        <f t="shared" si="2349"/>
        <v>66.083864587935778</v>
      </c>
      <c r="DY411" s="117">
        <f>SUM(DY405:DY410)</f>
        <v>79281</v>
      </c>
      <c r="DZ411" s="98">
        <f t="shared" si="2350"/>
        <v>66.553223671771605</v>
      </c>
      <c r="EA411" s="117">
        <f>SUM(EA405:EA410)</f>
        <v>79954</v>
      </c>
      <c r="EB411" s="98">
        <f t="shared" si="2351"/>
        <v>2.2050646179805344</v>
      </c>
      <c r="EC411" s="117">
        <f>SUM(EC405:EC410)</f>
        <v>80704</v>
      </c>
      <c r="ED411" s="98">
        <f t="shared" si="2352"/>
        <v>2.933523799806137</v>
      </c>
      <c r="EE411" s="117">
        <f>SUM(EE405:EE410)</f>
        <v>80968</v>
      </c>
      <c r="EF411" s="860">
        <f t="shared" si="2353"/>
        <v>2.5716385011021359</v>
      </c>
      <c r="EG411" s="117">
        <f>SUM(EG405:EG410)</f>
        <v>80743</v>
      </c>
      <c r="EH411" s="860">
        <f t="shared" si="2354"/>
        <v>1.8440736115841183</v>
      </c>
      <c r="EI411" s="117">
        <f>SUM(EI405:EI410)</f>
        <v>81077</v>
      </c>
      <c r="EJ411" s="860">
        <f t="shared" si="2355"/>
        <v>1.4045576206318744</v>
      </c>
      <c r="EK411" s="117">
        <f>SUM(EK405:EK410)</f>
        <v>81127</v>
      </c>
      <c r="EL411" s="860">
        <f t="shared" si="2356"/>
        <v>0.52413758921490139</v>
      </c>
      <c r="EM411" s="117">
        <f>SUM(EM405:EM410)</f>
        <v>81338</v>
      </c>
      <c r="EN411" s="860">
        <f t="shared" si="2357"/>
        <v>0.45697065507361856</v>
      </c>
      <c r="EO411" s="117">
        <f>SUM(EO405:EO410)</f>
        <v>81691</v>
      </c>
      <c r="EP411" s="98">
        <f t="shared" si="2358"/>
        <v>1.174095587233559</v>
      </c>
      <c r="EQ411" s="792">
        <f>SUM(EQ405:EQ410)</f>
        <v>81973.080042538539</v>
      </c>
      <c r="ER411" s="98">
        <f t="shared" si="2395"/>
        <v>1.1052210152552977</v>
      </c>
      <c r="ES411" s="792">
        <f t="shared" ref="ES411" si="2403">SUM(ES405:ES410)</f>
        <v>82188.113585946674</v>
      </c>
      <c r="ET411" s="98">
        <f t="shared" si="2397"/>
        <v>1.3079660112498503</v>
      </c>
      <c r="EU411" s="792">
        <f t="shared" ref="EU411" si="2404">SUM(EU405:EU410)</f>
        <v>82339.77840267781</v>
      </c>
      <c r="EV411" s="98">
        <f t="shared" si="2399"/>
        <v>1.2316240904347353</v>
      </c>
      <c r="EW411" s="792">
        <f t="shared" ref="EW411" si="2405">SUM(EW405:EW410)</f>
        <v>82431.566375975628</v>
      </c>
      <c r="EX411" s="98">
        <f t="shared" si="2401"/>
        <v>0.90654585691891665</v>
      </c>
      <c r="EY411" s="118"/>
      <c r="EZ411" s="594"/>
      <c r="FA411" s="405"/>
      <c r="FB411" s="101">
        <v>21045</v>
      </c>
      <c r="FC411" s="98"/>
      <c r="FD411" s="117">
        <f>SUM(FD405:FD410)</f>
        <v>20966</v>
      </c>
      <c r="FE411" s="98">
        <f t="shared" si="2367"/>
        <v>-0.37538607745307706</v>
      </c>
      <c r="FF411" s="118"/>
      <c r="FG411" s="98"/>
      <c r="FH411" s="118"/>
      <c r="FI411" s="98"/>
      <c r="FJ411" s="118"/>
      <c r="FK411" s="98"/>
      <c r="FL411" s="118"/>
      <c r="FM411" s="98"/>
      <c r="FN411" s="118"/>
      <c r="FO411" s="98"/>
      <c r="FP411" s="118"/>
      <c r="FQ411" s="98"/>
      <c r="FR411" s="119"/>
      <c r="FS411" s="120"/>
      <c r="FT411" s="119"/>
      <c r="FU411" s="120"/>
      <c r="FV411" s="119">
        <f>SUM(FV405:FV410)</f>
        <v>47937</v>
      </c>
      <c r="FW411" s="98" t="str">
        <f t="shared" si="2368"/>
        <v>NA</v>
      </c>
      <c r="FX411" s="485">
        <f>SUM(FX405:FX410)</f>
        <v>55081</v>
      </c>
      <c r="FY411" s="98">
        <f t="shared" si="2369"/>
        <v>14.902893380895765</v>
      </c>
      <c r="FZ411" s="119">
        <f>SUM(FZ405:FZ410)</f>
        <v>55346</v>
      </c>
      <c r="GA411" s="98">
        <f t="shared" si="2370"/>
        <v>0.4811096385323399</v>
      </c>
      <c r="GB411" s="485">
        <f>SUM(GB405:GB410)</f>
        <v>53899</v>
      </c>
      <c r="GC411" s="98">
        <f t="shared" si="2371"/>
        <v>-2.6144617497199429</v>
      </c>
      <c r="GD411" s="119">
        <f>SUM(GD405:GD410)</f>
        <v>51542</v>
      </c>
      <c r="GE411" s="98">
        <f t="shared" si="2372"/>
        <v>-4.3729939330970913</v>
      </c>
      <c r="GF411" s="119">
        <f>SUM(GF405:GF410)</f>
        <v>46988</v>
      </c>
      <c r="GG411" s="98">
        <f t="shared" si="2373"/>
        <v>-8.8355127856893372</v>
      </c>
      <c r="GH411" s="119">
        <f>SUM(GH405:GH410)</f>
        <v>47601</v>
      </c>
      <c r="GI411" s="98">
        <f t="shared" si="2374"/>
        <v>1.3045884055503443</v>
      </c>
      <c r="GJ411" s="119">
        <f>SUM(GJ405:GJ410)</f>
        <v>79328</v>
      </c>
      <c r="GK411" s="98">
        <f t="shared" si="2375"/>
        <v>66.651961093254357</v>
      </c>
      <c r="GL411" s="119">
        <f>SUM(GL405:GL410)</f>
        <v>80743</v>
      </c>
      <c r="GM411" s="98">
        <f t="shared" si="2376"/>
        <v>1.7837333602259031</v>
      </c>
      <c r="GN411" s="119">
        <f>SUM(GN405:GN410)</f>
        <v>81691</v>
      </c>
      <c r="GO411" s="98">
        <f t="shared" si="2376"/>
        <v>1.174095587233559</v>
      </c>
      <c r="GP411" s="119">
        <f>SUM(GP405:GP410)</f>
        <v>82431.566375975628</v>
      </c>
      <c r="GQ411" s="98">
        <f t="shared" si="2376"/>
        <v>0.90654585691891665</v>
      </c>
      <c r="GR411" s="118">
        <f>SUM(GR405:GR410)</f>
        <v>81738.979684895123</v>
      </c>
      <c r="GS411" s="98">
        <f t="shared" si="2376"/>
        <v>-0.84019596075800562</v>
      </c>
      <c r="GT411" s="118">
        <f>SUM(GT405:GT410)</f>
        <v>79937.55575209063</v>
      </c>
      <c r="GU411" s="98">
        <f t="shared" si="2376"/>
        <v>-2.2038737695882715</v>
      </c>
      <c r="GV411" s="118">
        <f>SUM(GV405:GV410)</f>
        <v>77286.602462359369</v>
      </c>
      <c r="GW411" s="98">
        <f t="shared" si="2376"/>
        <v>-3.3162801449078905</v>
      </c>
      <c r="GX411" s="118">
        <f>SUM(GX405:GX410)</f>
        <v>73995.560033925634</v>
      </c>
      <c r="GY411" s="98">
        <f t="shared" si="2402"/>
        <v>-4.2582314703723201</v>
      </c>
      <c r="GZ411" s="98">
        <f>IF(ISERROR(((GX411/GN411)^0.2-1)*100),"NA",IF((((GX411/GN411)^0.2-1)*100)&gt;100,"NM",IF((((GX411/GN411)^0.2-1)*100)&lt;-50,"NM",((GX411/GN411)^0.2-1)*100)))</f>
        <v>-1.9593256427916761</v>
      </c>
      <c r="HA411" s="98"/>
      <c r="HB411" s="10"/>
      <c r="HC411"/>
      <c r="HD411"/>
      <c r="HE411"/>
      <c r="HF411"/>
      <c r="HG411"/>
      <c r="HH411"/>
      <c r="HI411" s="10"/>
    </row>
    <row r="412" spans="1:217" s="2" customFormat="1" ht="12.75" customHeight="1" x14ac:dyDescent="0.2">
      <c r="B412" s="91" t="s">
        <v>25</v>
      </c>
      <c r="C412" s="117"/>
      <c r="D412" s="98"/>
      <c r="E412" s="117"/>
      <c r="F412" s="98"/>
      <c r="G412" s="117"/>
      <c r="H412" s="98"/>
      <c r="I412" s="117"/>
      <c r="J412" s="98"/>
      <c r="K412" s="117"/>
      <c r="L412" s="98"/>
      <c r="M412" s="117"/>
      <c r="N412" s="98"/>
      <c r="O412" s="117"/>
      <c r="P412" s="98"/>
      <c r="Q412" s="117"/>
      <c r="R412" s="98"/>
      <c r="S412" s="117"/>
      <c r="T412" s="98"/>
      <c r="U412" s="117"/>
      <c r="V412" s="98"/>
      <c r="W412" s="117"/>
      <c r="X412" s="98"/>
      <c r="Y412" s="117"/>
      <c r="Z412" s="98"/>
      <c r="AA412" s="117"/>
      <c r="AB412" s="98"/>
      <c r="AC412" s="117"/>
      <c r="AD412" s="98"/>
      <c r="AE412" s="117"/>
      <c r="AF412" s="98"/>
      <c r="AG412" s="117"/>
      <c r="AH412" s="98"/>
      <c r="AI412" s="117"/>
      <c r="AJ412" s="98"/>
      <c r="AK412" s="117"/>
      <c r="AL412" s="98"/>
      <c r="AM412" s="117"/>
      <c r="AN412" s="98"/>
      <c r="AO412" s="117"/>
      <c r="AP412" s="98"/>
      <c r="AQ412" s="117"/>
      <c r="AR412" s="98"/>
      <c r="AS412" s="117"/>
      <c r="AT412" s="98"/>
      <c r="AU412" s="117"/>
      <c r="AV412" s="98"/>
      <c r="AW412" s="117"/>
      <c r="AX412" s="98"/>
      <c r="AY412" s="117"/>
      <c r="AZ412" s="98"/>
      <c r="BA412" s="117"/>
      <c r="BB412" s="98"/>
      <c r="BC412" s="117"/>
      <c r="BD412" s="98"/>
      <c r="BE412" s="117"/>
      <c r="BF412" s="98"/>
      <c r="BG412" s="117"/>
      <c r="BH412" s="98"/>
      <c r="BI412" s="117"/>
      <c r="BJ412" s="98"/>
      <c r="BK412" s="117"/>
      <c r="BL412" s="98"/>
      <c r="BM412" s="117">
        <f>BM405+BM410+0.5*(SUM(BM406:BM408))</f>
        <v>40548</v>
      </c>
      <c r="BN412" s="98" t="str">
        <f t="shared" si="2318"/>
        <v>NA</v>
      </c>
      <c r="BO412" s="117">
        <f>BO405+BO410+0.5*(SUM(BO406:BO408))</f>
        <v>40797</v>
      </c>
      <c r="BP412" s="98" t="str">
        <f t="shared" si="2319"/>
        <v>NA</v>
      </c>
      <c r="BQ412" s="117">
        <f>BQ405+BQ410+0.5*(SUM(BQ406:BQ408))</f>
        <v>40475</v>
      </c>
      <c r="BR412" s="98" t="str">
        <f t="shared" si="2320"/>
        <v>NA</v>
      </c>
      <c r="BS412" s="117">
        <f>BS405+BS410+0.5*(SUM(BS406:BS408))</f>
        <v>41064</v>
      </c>
      <c r="BT412" s="98" t="str">
        <f t="shared" si="2321"/>
        <v>NA</v>
      </c>
      <c r="BU412" s="117">
        <f>BU405+BU410+0.5*(SUM(BU406:BU408))</f>
        <v>45705</v>
      </c>
      <c r="BV412" s="98">
        <f t="shared" si="2322"/>
        <v>12.718259840189393</v>
      </c>
      <c r="BW412" s="117">
        <f>BW405+BW410+0.5*(SUM(BW406:BW408))</f>
        <v>49206.5</v>
      </c>
      <c r="BX412" s="98">
        <f t="shared" si="2323"/>
        <v>20.613035272201397</v>
      </c>
      <c r="BY412" s="117">
        <f>BY405+BY410+0.5*(SUM(BY406:BY408))</f>
        <v>50041</v>
      </c>
      <c r="BZ412" s="98">
        <f t="shared" si="2324"/>
        <v>23.634342186534909</v>
      </c>
      <c r="CA412" s="117">
        <f>CA405+CA410+0.5*(SUM(CA406:CA408))</f>
        <v>54851</v>
      </c>
      <c r="CB412" s="98">
        <f t="shared" si="2325"/>
        <v>33.574420416910186</v>
      </c>
      <c r="CC412" s="117">
        <f>CC405+CC410+0.5*(SUM(CC406:CC408))</f>
        <v>54389.5</v>
      </c>
      <c r="CD412" s="98">
        <f t="shared" si="2326"/>
        <v>19.001203369434428</v>
      </c>
      <c r="CE412" s="117">
        <f>CE405+CE410+0.5*(SUM(CE406:CE408))</f>
        <v>54242.5</v>
      </c>
      <c r="CF412" s="98">
        <f t="shared" si="2327"/>
        <v>10.234420249357301</v>
      </c>
      <c r="CG412" s="117">
        <f>CG405+CG410+0.5*(SUM(CG406:CG408))</f>
        <v>56578.5</v>
      </c>
      <c r="CH412" s="98">
        <f t="shared" si="2328"/>
        <v>13.064287284426769</v>
      </c>
      <c r="CI412" s="117">
        <f>CI405+CI410+0.5*(SUM(CI406:CI408))</f>
        <v>56772.5</v>
      </c>
      <c r="CJ412" s="98">
        <f t="shared" si="2329"/>
        <v>3.5031266522032478</v>
      </c>
      <c r="CK412" s="117">
        <f>CK405+CK410+0.5*(SUM(CK406:CK408))</f>
        <v>54678</v>
      </c>
      <c r="CL412" s="98">
        <f t="shared" si="2330"/>
        <v>0.53043326377333333</v>
      </c>
      <c r="CM412" s="117">
        <f>CM405+CM410+0.5*(SUM(CM406:CM408))</f>
        <v>49747</v>
      </c>
      <c r="CN412" s="98">
        <f t="shared" si="2331"/>
        <v>-8.2877817209752518</v>
      </c>
      <c r="CO412" s="117">
        <f>CO405+CO410+0.5*(SUM(CO406:CO408))</f>
        <v>50140.5</v>
      </c>
      <c r="CP412" s="98">
        <f t="shared" si="2332"/>
        <v>-11.37888067021925</v>
      </c>
      <c r="CQ412" s="486">
        <f>CQ405+CQ410+0.5*(SUM(CQ406:CQ408))</f>
        <v>53895</v>
      </c>
      <c r="CR412" s="98">
        <f t="shared" si="2333"/>
        <v>-5.0684750539433665</v>
      </c>
      <c r="CS412" s="117">
        <f>CS405+CS410+0.5*(SUM(CS406:CS408))</f>
        <v>53205</v>
      </c>
      <c r="CT412" s="98">
        <f t="shared" si="2334"/>
        <v>-2.6939536925271623</v>
      </c>
      <c r="CU412" s="117">
        <f>CU405+CU410+0.5*(SUM(CU406:CU408))</f>
        <v>51066.5</v>
      </c>
      <c r="CV412" s="98">
        <f t="shared" si="2335"/>
        <v>2.652421251532755</v>
      </c>
      <c r="CW412" s="117">
        <f>CW405+CW410+0.5*(SUM(CW406:CW408))</f>
        <v>51834</v>
      </c>
      <c r="CX412" s="98">
        <f t="shared" si="2336"/>
        <v>3.3775091991503858</v>
      </c>
      <c r="CY412" s="117">
        <f>CY405+CY410+0.5*(SUM(CY406:CY408))</f>
        <v>51163</v>
      </c>
      <c r="CZ412" s="98">
        <f t="shared" si="2337"/>
        <v>-5.0691158734576529</v>
      </c>
      <c r="DA412" s="117">
        <f>DA405+DA410+0.5*(SUM(DA406:DA408))</f>
        <v>51410.5</v>
      </c>
      <c r="DB412" s="98">
        <f t="shared" si="2338"/>
        <v>-3.3728033079597819</v>
      </c>
      <c r="DC412" s="117">
        <f>DC405+DC410+0.5*(SUM(DC406:DC408))</f>
        <v>49810</v>
      </c>
      <c r="DD412" s="98">
        <f t="shared" si="2339"/>
        <v>-2.4605171687897109</v>
      </c>
      <c r="DE412" s="117">
        <f>DE405+DE410+0.5*(SUM(DE406:DE408))</f>
        <v>48888.5</v>
      </c>
      <c r="DF412" s="98">
        <f t="shared" si="2340"/>
        <v>-5.6825635683142366</v>
      </c>
      <c r="DG412" s="117">
        <f>DG405+DG410+0.5*(SUM(DG406:DG408))</f>
        <v>48265.5</v>
      </c>
      <c r="DH412" s="98">
        <f t="shared" si="2341"/>
        <v>-5.663272286613374</v>
      </c>
      <c r="DI412" s="117">
        <f>DI405+DI410+0.5*(SUM(DI406:DI408))</f>
        <v>47058.5</v>
      </c>
      <c r="DJ412" s="98">
        <f t="shared" si="2342"/>
        <v>-8.4651967983194076</v>
      </c>
      <c r="DK412" s="117">
        <f>DK405+DK410+0.5*(SUM(DK406:DK408))</f>
        <v>46862</v>
      </c>
      <c r="DL412" s="98">
        <f t="shared" si="2343"/>
        <v>-5.9184902629993985</v>
      </c>
      <c r="DM412" s="117">
        <f>DM405+DM410+0.5*(SUM(DM406:DM408))</f>
        <v>46642</v>
      </c>
      <c r="DN412" s="98">
        <f t="shared" si="2344"/>
        <v>-4.5951501886946851</v>
      </c>
      <c r="DO412" s="117">
        <f>DO405+DO410+0.5*(SUM(DO406:DO408))</f>
        <v>47299</v>
      </c>
      <c r="DP412" s="98">
        <f t="shared" si="2345"/>
        <v>-2.0024655292082305</v>
      </c>
      <c r="DQ412" s="117">
        <f>DQ405+DQ410+0.5*(SUM(DQ406:DQ408))</f>
        <v>47736.5</v>
      </c>
      <c r="DR412" s="98">
        <f t="shared" si="2346"/>
        <v>1.4407599052243425</v>
      </c>
      <c r="DS412" s="117">
        <f>DS405+DS410+0.5*(SUM(DS406:DS408))</f>
        <v>78202.5</v>
      </c>
      <c r="DT412" s="98">
        <f t="shared" si="2347"/>
        <v>66.878280909905683</v>
      </c>
      <c r="DU412" s="117">
        <f>DU405+DU410+0.5*(SUM(DU406:DU408))</f>
        <v>78271.5</v>
      </c>
      <c r="DV412" s="98">
        <f t="shared" si="2348"/>
        <v>67.813344196218011</v>
      </c>
      <c r="DW412" s="117">
        <f>DW405+DW410+0.5*(SUM(DW406:DW408))</f>
        <v>78842</v>
      </c>
      <c r="DX412" s="98">
        <f t="shared" si="2349"/>
        <v>66.688513499228307</v>
      </c>
      <c r="DY412" s="117">
        <f>DY405+DY410+0.5*(SUM(DY406:DY408))</f>
        <v>79089.5</v>
      </c>
      <c r="DZ412" s="98">
        <f t="shared" si="2350"/>
        <v>65.679302001613024</v>
      </c>
      <c r="EA412" s="117">
        <f>EA405+EA410+0.5*(SUM(EA406:EA408))</f>
        <v>79915</v>
      </c>
      <c r="EB412" s="98">
        <f t="shared" si="2351"/>
        <v>2.1898276909305903</v>
      </c>
      <c r="EC412" s="117">
        <f>EC405+EC410+0.5*(SUM(EC406:EC408))</f>
        <v>80602</v>
      </c>
      <c r="ED412" s="98">
        <f t="shared" si="2352"/>
        <v>2.977456673246337</v>
      </c>
      <c r="EE412" s="117">
        <f>EE405+EE410+0.5*(SUM(EE406:EE408))</f>
        <v>80890.5</v>
      </c>
      <c r="EF412" s="860">
        <f t="shared" si="2353"/>
        <v>2.5982344435706795</v>
      </c>
      <c r="EG412" s="117">
        <f>EG405+EG410+0.5*(SUM(EG406:EG408))</f>
        <v>80609</v>
      </c>
      <c r="EH412" s="860">
        <f t="shared" si="2354"/>
        <v>1.9212411255602913</v>
      </c>
      <c r="EI412" s="117">
        <f>EI405+EI410+0.5*(SUM(EI406:EI408))</f>
        <v>81040.5</v>
      </c>
      <c r="EJ412" s="860">
        <f t="shared" si="2355"/>
        <v>1.4083713946067666</v>
      </c>
      <c r="EK412" s="117">
        <f>EK405+EK410+0.5*(SUM(EK406:EK408))</f>
        <v>81030</v>
      </c>
      <c r="EL412" s="860">
        <f t="shared" si="2356"/>
        <v>0.53100419344433991</v>
      </c>
      <c r="EM412" s="117">
        <f>EM405+EM410+0.5*(SUM(EM406:EM408))</f>
        <v>81233.5</v>
      </c>
      <c r="EN412" s="860">
        <f t="shared" si="2357"/>
        <v>0.42403001588566802</v>
      </c>
      <c r="EO412" s="117">
        <f>EO405+EO410+0.5*(SUM(EO406:EO408))</f>
        <v>81593</v>
      </c>
      <c r="EP412" s="98">
        <f t="shared" si="2358"/>
        <v>1.2207073651825384</v>
      </c>
      <c r="EQ412" s="117">
        <f>EQ405+EQ410+0.5*(SUM(EQ406:EQ408))</f>
        <v>81912.0134223856</v>
      </c>
      <c r="ER412" s="98">
        <f t="shared" si="2395"/>
        <v>1.0754047943751566</v>
      </c>
      <c r="ES412" s="117">
        <f t="shared" ref="ES412" si="2406">ES405+ES410+0.5*(SUM(ES406:ES408))</f>
        <v>82161.747600768489</v>
      </c>
      <c r="ET412" s="98">
        <f t="shared" si="2397"/>
        <v>1.3967019631845989</v>
      </c>
      <c r="EU412" s="117">
        <f t="shared" ref="EU412" si="2407">EU405+EU410+0.5*(SUM(EU406:EU408))</f>
        <v>82345.994318126803</v>
      </c>
      <c r="EV412" s="98">
        <f t="shared" si="2399"/>
        <v>1.3695018903861156</v>
      </c>
      <c r="EW412" s="117">
        <f t="shared" ref="EW412" si="2408">EW405+EW410+0.5*(SUM(EW406:EW408))</f>
        <v>82468.353753113755</v>
      </c>
      <c r="EX412" s="98">
        <f t="shared" si="2401"/>
        <v>1.0728294744815736</v>
      </c>
      <c r="EY412" s="118"/>
      <c r="EZ412" s="594"/>
      <c r="FA412" s="405"/>
      <c r="FB412" s="117">
        <f>AVERAGE(FB405,FB411)</f>
        <v>21045</v>
      </c>
      <c r="FC412" s="98"/>
      <c r="FD412" s="117">
        <f>AVERAGE(FD405,FD411)</f>
        <v>21005.5</v>
      </c>
      <c r="FE412" s="98">
        <f t="shared" si="2367"/>
        <v>-0.18769303872653298</v>
      </c>
      <c r="FF412" s="118"/>
      <c r="FG412" s="98"/>
      <c r="FH412" s="118"/>
      <c r="FI412" s="98"/>
      <c r="FJ412" s="118"/>
      <c r="FK412" s="98"/>
      <c r="FL412" s="118"/>
      <c r="FM412" s="98"/>
      <c r="FN412" s="118"/>
      <c r="FO412" s="98"/>
      <c r="FP412" s="118"/>
      <c r="FQ412" s="98"/>
      <c r="FR412" s="119"/>
      <c r="FS412" s="120"/>
      <c r="FT412" s="119"/>
      <c r="FU412" s="120"/>
      <c r="FV412" s="119">
        <f>AVERAGE(FV405,FV411)</f>
        <v>44388.5</v>
      </c>
      <c r="FW412" s="98" t="str">
        <f t="shared" si="2368"/>
        <v>NA</v>
      </c>
      <c r="FX412" s="485">
        <f>AVERAGE(FX405,FX411)</f>
        <v>51509</v>
      </c>
      <c r="FY412" s="98">
        <f t="shared" si="2369"/>
        <v>16.041317007783551</v>
      </c>
      <c r="FZ412" s="119">
        <f>AVERAGE(FZ405,FZ411)</f>
        <v>55213.5</v>
      </c>
      <c r="GA412" s="98">
        <f t="shared" si="2370"/>
        <v>7.1919470383816408</v>
      </c>
      <c r="GB412" s="485">
        <f>AVERAGE(GB405,GB411)</f>
        <v>52379.5</v>
      </c>
      <c r="GC412" s="98">
        <f t="shared" si="2371"/>
        <v>-5.1328026660146575</v>
      </c>
      <c r="GD412" s="119">
        <f>AVERAGE(GD405,GD411)</f>
        <v>52720.5</v>
      </c>
      <c r="GE412" s="98">
        <f t="shared" si="2372"/>
        <v>0.65101805095504339</v>
      </c>
      <c r="GF412" s="119">
        <f>AVERAGE(GF405,GF411)</f>
        <v>49265</v>
      </c>
      <c r="GG412" s="98">
        <f t="shared" si="2373"/>
        <v>-6.5543763811041211</v>
      </c>
      <c r="GH412" s="119">
        <f>AVERAGE(GH405,GH411)</f>
        <v>47294.5</v>
      </c>
      <c r="GI412" s="98">
        <f t="shared" si="2374"/>
        <v>-3.9997970161372187</v>
      </c>
      <c r="GJ412" s="119">
        <f>AVERAGE(GJ405,GJ411)</f>
        <v>78687</v>
      </c>
      <c r="GK412" s="98">
        <f t="shared" si="2375"/>
        <v>66.376639989850844</v>
      </c>
      <c r="GL412" s="119">
        <f>AVERAGE(GL405,GL411)</f>
        <v>80012</v>
      </c>
      <c r="GM412" s="98">
        <f t="shared" si="2376"/>
        <v>1.6838867919732659</v>
      </c>
      <c r="GN412" s="119">
        <f>AVERAGE(GN405,GN411)</f>
        <v>81217</v>
      </c>
      <c r="GO412" s="98">
        <f t="shared" si="2376"/>
        <v>1.5060240963855387</v>
      </c>
      <c r="GP412" s="119">
        <f>AVERAGE(GP405,GP411)</f>
        <v>82061.283187987807</v>
      </c>
      <c r="GQ412" s="98">
        <f t="shared" si="2376"/>
        <v>1.0395399829934648</v>
      </c>
      <c r="GR412" s="118">
        <f>AVERAGE(GR405,GR411)</f>
        <v>82085.273030435375</v>
      </c>
      <c r="GS412" s="98">
        <f t="shared" si="2376"/>
        <v>2.9234057177252026E-2</v>
      </c>
      <c r="GT412" s="118">
        <f>AVERAGE(GT405,GT411)</f>
        <v>80838.267718492876</v>
      </c>
      <c r="GU412" s="98">
        <f t="shared" si="2376"/>
        <v>-1.5191583896908445</v>
      </c>
      <c r="GV412" s="118">
        <f>AVERAGE(GV405,GV411)</f>
        <v>78612.079107224999</v>
      </c>
      <c r="GW412" s="98">
        <f t="shared" si="2376"/>
        <v>-2.7538796588519765</v>
      </c>
      <c r="GX412" s="118">
        <f>AVERAGE(GX405,GX411)</f>
        <v>75641.081248142495</v>
      </c>
      <c r="GY412" s="98">
        <f t="shared" si="2402"/>
        <v>-3.7793146967021851</v>
      </c>
      <c r="GZ412" s="98">
        <f>IF(ISERROR(((GX412/GN412)^0.2-1)*100),"NA",IF((((GX412/GN412)^0.2-1)*100)&gt;100,"NM",IF((((GX412/GN412)^0.2-1)*100)&lt;-50,"NM",((GX412/GN412)^0.2-1)*100)))</f>
        <v>-1.4124311896884345</v>
      </c>
      <c r="HA412" s="98"/>
      <c r="HB412" s="10"/>
      <c r="HC412"/>
      <c r="HD412"/>
      <c r="HE412"/>
      <c r="HF412"/>
      <c r="HG412"/>
      <c r="HH412"/>
      <c r="HI412" s="10"/>
    </row>
    <row r="413" spans="1:217" s="2" customFormat="1" ht="12.75" customHeight="1" x14ac:dyDescent="0.2">
      <c r="B413" s="158"/>
      <c r="C413" s="112"/>
      <c r="D413" s="113"/>
      <c r="E413" s="112"/>
      <c r="F413" s="113"/>
      <c r="G413" s="112"/>
      <c r="H413" s="113"/>
      <c r="I413" s="112"/>
      <c r="J413" s="98"/>
      <c r="K413" s="112"/>
      <c r="L413" s="98"/>
      <c r="M413" s="112"/>
      <c r="N413" s="98"/>
      <c r="O413" s="112"/>
      <c r="P413" s="98"/>
      <c r="Q413" s="112"/>
      <c r="R413" s="98"/>
      <c r="S413" s="112"/>
      <c r="T413" s="98"/>
      <c r="U413" s="112"/>
      <c r="V413" s="98"/>
      <c r="W413" s="112"/>
      <c r="X413" s="98"/>
      <c r="Y413" s="112"/>
      <c r="Z413" s="98"/>
      <c r="AA413" s="112"/>
      <c r="AB413" s="98"/>
      <c r="AC413" s="112"/>
      <c r="AD413" s="98"/>
      <c r="AE413" s="112"/>
      <c r="AF413" s="98"/>
      <c r="AG413" s="112"/>
      <c r="AH413" s="98"/>
      <c r="AI413" s="112"/>
      <c r="AJ413" s="98"/>
      <c r="AK413" s="112"/>
      <c r="AL413" s="98"/>
      <c r="AM413" s="112"/>
      <c r="AN413" s="98"/>
      <c r="AO413" s="112"/>
      <c r="AP413" s="98"/>
      <c r="AQ413" s="112"/>
      <c r="AR413" s="98"/>
      <c r="AS413" s="112"/>
      <c r="AT413" s="98"/>
      <c r="AU413" s="112"/>
      <c r="AV413" s="98"/>
      <c r="AW413" s="112"/>
      <c r="AX413" s="98"/>
      <c r="AY413" s="112"/>
      <c r="AZ413" s="98"/>
      <c r="BA413" s="112"/>
      <c r="BB413" s="98"/>
      <c r="BC413" s="112"/>
      <c r="BD413" s="98"/>
      <c r="BE413" s="112"/>
      <c r="BF413" s="98"/>
      <c r="BG413" s="112"/>
      <c r="BH413" s="98"/>
      <c r="BI413" s="112"/>
      <c r="BJ413" s="98"/>
      <c r="BK413" s="112"/>
      <c r="BL413" s="98"/>
      <c r="BM413" s="112"/>
      <c r="BN413" s="98"/>
      <c r="BO413" s="112"/>
      <c r="BP413" s="98"/>
      <c r="BQ413" s="112"/>
      <c r="BR413" s="98"/>
      <c r="BS413" s="112"/>
      <c r="BT413" s="98"/>
      <c r="BU413" s="112"/>
      <c r="BV413" s="98"/>
      <c r="BW413" s="112"/>
      <c r="BX413" s="98"/>
      <c r="BY413" s="112"/>
      <c r="BZ413" s="98"/>
      <c r="CA413" s="112"/>
      <c r="CB413" s="98"/>
      <c r="CC413" s="112"/>
      <c r="CD413" s="98"/>
      <c r="CE413" s="112"/>
      <c r="CF413" s="98"/>
      <c r="CG413" s="112"/>
      <c r="CH413" s="98"/>
      <c r="CI413" s="112"/>
      <c r="CJ413" s="98"/>
      <c r="CK413" s="112"/>
      <c r="CL413" s="98"/>
      <c r="CM413" s="112"/>
      <c r="CN413" s="98"/>
      <c r="CO413" s="112"/>
      <c r="CP413" s="98"/>
      <c r="CQ413" s="543"/>
      <c r="CR413" s="98"/>
      <c r="CS413" s="112"/>
      <c r="CT413" s="98"/>
      <c r="CU413" s="112"/>
      <c r="CV413" s="98"/>
      <c r="CW413" s="112"/>
      <c r="CX413" s="98"/>
      <c r="CY413" s="112"/>
      <c r="CZ413" s="98"/>
      <c r="DA413" s="112"/>
      <c r="DB413" s="98"/>
      <c r="DC413" s="112"/>
      <c r="DD413" s="98"/>
      <c r="DE413" s="112"/>
      <c r="DF413" s="98"/>
      <c r="DG413" s="112"/>
      <c r="DH413" s="98"/>
      <c r="DI413" s="112"/>
      <c r="DJ413" s="98"/>
      <c r="DK413" s="112"/>
      <c r="DL413" s="98"/>
      <c r="DM413" s="112"/>
      <c r="DN413" s="98"/>
      <c r="DO413" s="112"/>
      <c r="DP413" s="98"/>
      <c r="DQ413" s="112"/>
      <c r="DR413" s="98"/>
      <c r="DS413" s="112"/>
      <c r="DT413" s="98"/>
      <c r="DU413" s="112"/>
      <c r="DV413" s="98"/>
      <c r="DW413" s="112"/>
      <c r="DX413" s="98"/>
      <c r="DY413" s="112"/>
      <c r="DZ413" s="98"/>
      <c r="EA413" s="112"/>
      <c r="EB413" s="98"/>
      <c r="EC413" s="112"/>
      <c r="ED413" s="98"/>
      <c r="EE413" s="112"/>
      <c r="EF413" s="860"/>
      <c r="EG413" s="112"/>
      <c r="EH413" s="860"/>
      <c r="EI413" s="112"/>
      <c r="EJ413" s="860"/>
      <c r="EK413" s="112"/>
      <c r="EL413" s="860"/>
      <c r="EM413" s="112"/>
      <c r="EN413" s="860"/>
      <c r="EO413" s="112"/>
      <c r="EP413" s="98"/>
      <c r="EQ413" s="1022"/>
      <c r="ER413" s="98"/>
      <c r="ES413" s="1022"/>
      <c r="ET413" s="98"/>
      <c r="EU413" s="1022"/>
      <c r="EV413" s="98"/>
      <c r="EW413" s="1022"/>
      <c r="EX413" s="98"/>
      <c r="EY413" s="114"/>
      <c r="EZ413" s="594"/>
      <c r="FA413" s="405"/>
      <c r="FB413" s="112"/>
      <c r="FC413" s="113"/>
      <c r="FD413" s="112"/>
      <c r="FE413" s="113"/>
      <c r="FF413" s="114"/>
      <c r="FG413" s="113"/>
      <c r="FH413" s="114"/>
      <c r="FI413" s="113"/>
      <c r="FJ413" s="114"/>
      <c r="FK413" s="113"/>
      <c r="FL413" s="114"/>
      <c r="FM413" s="113"/>
      <c r="FN413" s="114"/>
      <c r="FO413" s="113"/>
      <c r="FP413" s="114"/>
      <c r="FQ413" s="113"/>
      <c r="FR413" s="115"/>
      <c r="FS413" s="116"/>
      <c r="FT413" s="115"/>
      <c r="FU413" s="116"/>
      <c r="FV413" s="115"/>
      <c r="FW413" s="98"/>
      <c r="FX413" s="484"/>
      <c r="FY413" s="98"/>
      <c r="FZ413" s="115"/>
      <c r="GA413" s="98"/>
      <c r="GB413" s="484"/>
      <c r="GC413" s="98"/>
      <c r="GD413" s="115"/>
      <c r="GE413" s="98"/>
      <c r="GF413" s="115"/>
      <c r="GG413" s="98"/>
      <c r="GH413" s="115"/>
      <c r="GI413" s="98"/>
      <c r="GJ413" s="115"/>
      <c r="GK413" s="98"/>
      <c r="GL413" s="115"/>
      <c r="GM413" s="98"/>
      <c r="GN413" s="115"/>
      <c r="GO413" s="98"/>
      <c r="GP413" s="115"/>
      <c r="GQ413" s="98"/>
      <c r="GR413" s="114"/>
      <c r="GS413" s="98"/>
      <c r="GT413" s="114"/>
      <c r="GU413" s="98"/>
      <c r="GV413" s="114"/>
      <c r="GW413" s="98"/>
      <c r="GX413" s="114"/>
      <c r="GY413" s="98"/>
      <c r="GZ413" s="98"/>
      <c r="HA413" s="98"/>
      <c r="HB413" s="10"/>
      <c r="HC413"/>
      <c r="HD413"/>
      <c r="HE413"/>
      <c r="HF413"/>
      <c r="HG413"/>
      <c r="HH413"/>
      <c r="HI413" s="10"/>
    </row>
    <row r="414" spans="1:217" s="2" customFormat="1" ht="12.75" customHeight="1" x14ac:dyDescent="0.2">
      <c r="B414" s="91" t="s">
        <v>353</v>
      </c>
      <c r="C414" s="112"/>
      <c r="D414" s="113"/>
      <c r="E414" s="112"/>
      <c r="F414" s="113"/>
      <c r="G414" s="112"/>
      <c r="H414" s="113"/>
      <c r="I414" s="112"/>
      <c r="J414" s="98"/>
      <c r="K414" s="112"/>
      <c r="L414" s="98"/>
      <c r="M414" s="112"/>
      <c r="N414" s="98"/>
      <c r="O414" s="112"/>
      <c r="P414" s="98"/>
      <c r="Q414" s="112"/>
      <c r="R414" s="98"/>
      <c r="S414" s="112"/>
      <c r="T414" s="98"/>
      <c r="U414" s="112"/>
      <c r="V414" s="98"/>
      <c r="W414" s="112"/>
      <c r="X414" s="98"/>
      <c r="Y414" s="112"/>
      <c r="Z414" s="98"/>
      <c r="AA414" s="112"/>
      <c r="AB414" s="98"/>
      <c r="AC414" s="112"/>
      <c r="AD414" s="98"/>
      <c r="AE414" s="112"/>
      <c r="AF414" s="98"/>
      <c r="AG414" s="112"/>
      <c r="AH414" s="98"/>
      <c r="AI414" s="112"/>
      <c r="AJ414" s="98"/>
      <c r="AK414" s="112"/>
      <c r="AL414" s="98"/>
      <c r="AM414" s="112"/>
      <c r="AN414" s="98"/>
      <c r="AO414" s="112"/>
      <c r="AP414" s="98"/>
      <c r="AQ414" s="112"/>
      <c r="AR414" s="98"/>
      <c r="AS414" s="112"/>
      <c r="AT414" s="98"/>
      <c r="AU414" s="112"/>
      <c r="AV414" s="98"/>
      <c r="AW414" s="112"/>
      <c r="AX414" s="98"/>
      <c r="AY414" s="112"/>
      <c r="AZ414" s="98"/>
      <c r="BA414" s="112"/>
      <c r="BB414" s="98"/>
      <c r="BC414" s="112"/>
      <c r="BD414" s="98"/>
      <c r="BE414" s="112"/>
      <c r="BF414" s="98"/>
      <c r="BG414" s="112"/>
      <c r="BH414" s="98"/>
      <c r="BI414" s="112"/>
      <c r="BJ414" s="98"/>
      <c r="BK414" s="112"/>
      <c r="BL414" s="98"/>
      <c r="BM414" s="112"/>
      <c r="BN414" s="98"/>
      <c r="BO414" s="112"/>
      <c r="BP414" s="98"/>
      <c r="BQ414" s="112"/>
      <c r="BR414" s="98"/>
      <c r="BS414" s="112"/>
      <c r="BT414" s="98"/>
      <c r="BU414" s="112"/>
      <c r="BV414" s="98"/>
      <c r="BW414" s="112"/>
      <c r="BX414" s="98"/>
      <c r="BY414" s="112"/>
      <c r="BZ414" s="98"/>
      <c r="CA414" s="112"/>
      <c r="CB414" s="98"/>
      <c r="CC414" s="112"/>
      <c r="CD414" s="98"/>
      <c r="CE414" s="112"/>
      <c r="CF414" s="98"/>
      <c r="CG414" s="112"/>
      <c r="CH414" s="98"/>
      <c r="CI414" s="112"/>
      <c r="CJ414" s="98"/>
      <c r="CK414" s="112"/>
      <c r="CL414" s="98"/>
      <c r="CM414" s="112"/>
      <c r="CN414" s="98"/>
      <c r="CO414" s="112"/>
      <c r="CP414" s="98"/>
      <c r="CQ414" s="543"/>
      <c r="CR414" s="98"/>
      <c r="CS414" s="112"/>
      <c r="CT414" s="98"/>
      <c r="CU414" s="112"/>
      <c r="CV414" s="98"/>
      <c r="CW414" s="112"/>
      <c r="CX414" s="98"/>
      <c r="CY414" s="112"/>
      <c r="CZ414" s="98"/>
      <c r="DA414" s="112"/>
      <c r="DB414" s="98"/>
      <c r="DC414" s="112"/>
      <c r="DD414" s="98"/>
      <c r="DE414" s="112"/>
      <c r="DF414" s="98"/>
      <c r="DG414" s="112"/>
      <c r="DH414" s="98"/>
      <c r="DI414" s="112"/>
      <c r="DJ414" s="98"/>
      <c r="DK414" s="112"/>
      <c r="DL414" s="98"/>
      <c r="DM414" s="112"/>
      <c r="DN414" s="98"/>
      <c r="DO414" s="112"/>
      <c r="DP414" s="98"/>
      <c r="DQ414" s="112"/>
      <c r="DR414" s="98"/>
      <c r="DS414" s="99">
        <f>DS406+DS408</f>
        <v>867</v>
      </c>
      <c r="DT414" s="98"/>
      <c r="DU414" s="99">
        <f>DU406+DU408</f>
        <v>812</v>
      </c>
      <c r="DV414" s="98"/>
      <c r="DW414" s="99">
        <f>DW406+DW408</f>
        <v>787</v>
      </c>
      <c r="DX414" s="98"/>
      <c r="DY414" s="99">
        <f>DY406+DY408</f>
        <v>910</v>
      </c>
      <c r="DZ414" s="98"/>
      <c r="EA414" s="99">
        <f>EA406+EA408</f>
        <v>794</v>
      </c>
      <c r="EB414" s="98"/>
      <c r="EC414" s="99">
        <f>EC406+EC408</f>
        <v>860</v>
      </c>
      <c r="ED414" s="98"/>
      <c r="EE414" s="99">
        <f>EE406+EE408</f>
        <v>782</v>
      </c>
      <c r="EF414" s="860"/>
      <c r="EG414" s="99">
        <f>EG406+EG408</f>
        <v>893</v>
      </c>
      <c r="EH414" s="860"/>
      <c r="EI414" s="99">
        <f>EI406+EI408</f>
        <v>787</v>
      </c>
      <c r="EJ414" s="860"/>
      <c r="EK414" s="99">
        <f>EK406+EK408</f>
        <v>697</v>
      </c>
      <c r="EL414" s="860"/>
      <c r="EM414" s="99">
        <f>EM406+EM408</f>
        <v>674</v>
      </c>
      <c r="EN414" s="860"/>
      <c r="EO414" s="99">
        <f>EO406+EO408</f>
        <v>729</v>
      </c>
      <c r="EP414" s="98"/>
      <c r="EQ414" s="99">
        <f>EQ406+EQ408</f>
        <v>657.44641495979738</v>
      </c>
      <c r="ER414" s="98"/>
      <c r="ES414" s="99">
        <f t="shared" ref="ES414" si="2409">ES406+ES408</f>
        <v>589.89358808330803</v>
      </c>
      <c r="ET414" s="98"/>
      <c r="EU414" s="99">
        <f t="shared" ref="EU414" si="2410">EU406+EU408</f>
        <v>526.13888071662018</v>
      </c>
      <c r="EV414" s="98"/>
      <c r="EW414" s="99">
        <f t="shared" ref="EW414" si="2411">EW406+EW408</f>
        <v>465.98980212579158</v>
      </c>
      <c r="EX414" s="98"/>
      <c r="EY414" s="114"/>
      <c r="EZ414" s="594"/>
      <c r="FA414" s="405"/>
      <c r="FB414" s="112"/>
      <c r="FC414" s="113"/>
      <c r="FD414" s="112"/>
      <c r="FE414" s="113"/>
      <c r="FF414" s="114"/>
      <c r="FG414" s="113"/>
      <c r="FH414" s="114"/>
      <c r="FI414" s="113"/>
      <c r="FJ414" s="114"/>
      <c r="FK414" s="113"/>
      <c r="FL414" s="114"/>
      <c r="FM414" s="113"/>
      <c r="FN414" s="114"/>
      <c r="FO414" s="113"/>
      <c r="FP414" s="114"/>
      <c r="FQ414" s="113"/>
      <c r="FR414" s="115"/>
      <c r="FS414" s="116"/>
      <c r="FT414" s="115"/>
      <c r="FU414" s="116"/>
      <c r="FV414" s="115"/>
      <c r="FW414" s="98"/>
      <c r="FX414" s="484"/>
      <c r="FY414" s="98"/>
      <c r="FZ414" s="115"/>
      <c r="GA414" s="98"/>
      <c r="GB414" s="484"/>
      <c r="GC414" s="98"/>
      <c r="GD414" s="115"/>
      <c r="GE414" s="98"/>
      <c r="GF414" s="115"/>
      <c r="GG414" s="98"/>
      <c r="GH414" s="115"/>
      <c r="GI414" s="98"/>
      <c r="GJ414" s="99">
        <f>GJ406+GJ408</f>
        <v>3376</v>
      </c>
      <c r="GK414" s="98"/>
      <c r="GL414" s="99">
        <f>GL406+GL408</f>
        <v>3329</v>
      </c>
      <c r="GM414" s="98"/>
      <c r="GN414" s="99">
        <f>GN406+GN408</f>
        <v>2887</v>
      </c>
      <c r="GO414" s="98"/>
      <c r="GP414" s="99">
        <f>GP406+GP408</f>
        <v>2239.4686858855166</v>
      </c>
      <c r="GQ414" s="98"/>
      <c r="GR414" s="99">
        <f>GR406+GR408</f>
        <v>592.17517812666438</v>
      </c>
      <c r="GS414" s="98"/>
      <c r="GT414" s="99">
        <f>GT406+GT408</f>
        <v>-699.5876184331978</v>
      </c>
      <c r="GU414" s="98"/>
      <c r="GV414" s="99">
        <f>GV406+GV408</f>
        <v>-1705.2543805859123</v>
      </c>
      <c r="GW414" s="98"/>
      <c r="GX414" s="99">
        <f>GX406+GX408</f>
        <v>-2478.4419198916503</v>
      </c>
      <c r="GY414" s="98"/>
      <c r="GZ414" s="98" t="str">
        <f>IF(ISERROR(((GX414/GN414)^0.2-1)*100),"NA",IF((((GX414/GN414)^0.2-1)*100)&gt;100,"NM",IF((((GX414/GN414)^0.2-1)*100)&lt;-50,"NM",((GX414/GN414)^0.2-1)*100)))</f>
        <v>NM</v>
      </c>
      <c r="HA414" s="98"/>
      <c r="HB414" s="10"/>
      <c r="HC414"/>
      <c r="HD414"/>
      <c r="HE414"/>
      <c r="HF414"/>
      <c r="HG414"/>
      <c r="HH414"/>
      <c r="HI414" s="10"/>
    </row>
    <row r="415" spans="1:217" s="2" customFormat="1" ht="12.75" customHeight="1" x14ac:dyDescent="0.2">
      <c r="B415" s="102" t="s">
        <v>369</v>
      </c>
      <c r="C415" s="189"/>
      <c r="D415" s="98"/>
      <c r="E415" s="189"/>
      <c r="F415" s="98"/>
      <c r="G415" s="189"/>
      <c r="H415" s="98"/>
      <c r="I415" s="189"/>
      <c r="J415" s="98"/>
      <c r="K415" s="189"/>
      <c r="L415" s="98"/>
      <c r="M415" s="189"/>
      <c r="N415" s="98"/>
      <c r="O415" s="189"/>
      <c r="P415" s="98"/>
      <c r="Q415" s="189"/>
      <c r="R415" s="98"/>
      <c r="S415" s="189"/>
      <c r="T415" s="98"/>
      <c r="U415" s="189"/>
      <c r="V415" s="98"/>
      <c r="W415" s="189"/>
      <c r="X415" s="98"/>
      <c r="Y415" s="189"/>
      <c r="Z415" s="98"/>
      <c r="AA415" s="189"/>
      <c r="AB415" s="98"/>
      <c r="AC415" s="189"/>
      <c r="AD415" s="98"/>
      <c r="AE415" s="189"/>
      <c r="AF415" s="98"/>
      <c r="AG415" s="189"/>
      <c r="AH415" s="98"/>
      <c r="AI415" s="189"/>
      <c r="AJ415" s="98"/>
      <c r="AK415" s="189"/>
      <c r="AL415" s="98"/>
      <c r="AM415" s="189"/>
      <c r="AN415" s="98"/>
      <c r="AO415" s="189"/>
      <c r="AP415" s="98"/>
      <c r="AQ415" s="189"/>
      <c r="AR415" s="98"/>
      <c r="AS415" s="189"/>
      <c r="AT415" s="98"/>
      <c r="AU415" s="189"/>
      <c r="AV415" s="98"/>
      <c r="AW415" s="189"/>
      <c r="AX415" s="98"/>
      <c r="AY415" s="161"/>
      <c r="AZ415" s="98"/>
      <c r="BA415" s="161"/>
      <c r="BB415" s="98"/>
      <c r="BC415" s="161"/>
      <c r="BD415" s="98"/>
      <c r="BE415" s="161"/>
      <c r="BF415" s="98"/>
      <c r="BG415" s="161"/>
      <c r="BH415" s="98"/>
      <c r="BI415" s="161"/>
      <c r="BJ415" s="98"/>
      <c r="BK415" s="161"/>
      <c r="BL415" s="98"/>
      <c r="BM415" s="161">
        <f>(BM407*4)/BM412*100</f>
        <v>4.1136430896715002</v>
      </c>
      <c r="BN415" s="98" t="str">
        <f>IF(ISERROR((BM415/BE415-1)*100),"NA",IF(((BM415/BE415-1)*100)&gt;100,"NM",IF(((BM415/BE415-1)*100)&lt;-50,"NM",(BM415/BE415-1)*100)))</f>
        <v>NA</v>
      </c>
      <c r="BO415" s="161">
        <f>(BO407*4)/BO412*100</f>
        <v>4.068926636762507</v>
      </c>
      <c r="BP415" s="98" t="str">
        <f>IF(ISERROR((BO415/BG415-1)*100),"NA",IF(((BO415/BG415-1)*100)&gt;100,"NM",IF(((BO415/BG415-1)*100)&lt;-50,"NM",(BO415/BG415-1)*100)))</f>
        <v>NA</v>
      </c>
      <c r="BQ415" s="161">
        <f>(BQ407*4)/BQ412*100</f>
        <v>3.9629400864731315</v>
      </c>
      <c r="BR415" s="98" t="str">
        <f>IF(ISERROR((BQ415/BI415-1)*100),"NA",IF(((BQ415/BI415-1)*100)&gt;100,"NM",IF(((BQ415/BI415-1)*100)&lt;-50,"NM",(BQ415/BI415-1)*100)))</f>
        <v>NA</v>
      </c>
      <c r="BS415" s="161">
        <f>(BS407*4)/BS412*100</f>
        <v>3.9450613676212742</v>
      </c>
      <c r="BT415" s="98" t="str">
        <f>IF(ISERROR((BS415/BK415-1)*100),"NA",IF(((BS415/BK415-1)*100)&gt;100,"NM",IF(((BS415/BK415-1)*100)&lt;-50,"NM",(BS415/BK415-1)*100)))</f>
        <v>NA</v>
      </c>
      <c r="BU415" s="161">
        <f>(BU407*4)/BU412*100</f>
        <v>3.9995624111147579</v>
      </c>
      <c r="BV415" s="98">
        <f>IF(ISERROR((BU415/BM415-1)*100),"NA",IF(((BU415/BM415-1)*100)&gt;100,"NM",IF(((BU415/BM415-1)*100)&lt;-50,"NM",(BU415/BM415-1)*100)))</f>
        <v>-2.7732274305268478</v>
      </c>
      <c r="BW415" s="161">
        <f>(BW407*4)/BW412*100</f>
        <v>4.0238586365622426</v>
      </c>
      <c r="BX415" s="98">
        <f>IF(ISERROR((BW415/BO415-1)*100),"NA",IF(((BW415/BO415-1)*100)&gt;100,"NM",IF(((BW415/BO415-1)*100)&lt;-50,"NM",(BW415/BO415-1)*100)))</f>
        <v>-1.1076139784157779</v>
      </c>
      <c r="BY415" s="161">
        <f>(BY407*4)/BY412*100</f>
        <v>4.2285326032653225</v>
      </c>
      <c r="BZ415" s="98">
        <f>IF(ISERROR((BY415/BQ415-1)*100),"NA",IF(((BY415/BQ415-1)*100)&gt;100,"NM",IF(((BY415/BQ415-1)*100)&lt;-50,"NM",(BY415/BQ415-1)*100)))</f>
        <v>6.7019059333939701</v>
      </c>
      <c r="CA415" s="161">
        <f>(CA407*4)/CA412*100</f>
        <v>3.8066762684363091</v>
      </c>
      <c r="CB415" s="98">
        <f>IF(ISERROR((CA415/BS415-1)*100),"NA",IF(((CA415/BS415-1)*100)&gt;100,"NM",IF(((CA415/BS415-1)*100)&lt;-50,"NM",(CA415/BS415-1)*100)))</f>
        <v>-3.5078059956366703</v>
      </c>
      <c r="CC415" s="161">
        <f>(CC407*4)/CC412*100</f>
        <v>4.2875922742441102</v>
      </c>
      <c r="CD415" s="98">
        <f>IF(ISERROR((CC415/BU415-1)*100),"NA",IF(((CC415/BU415-1)*100)&gt;100,"NM",IF(((CC415/BU415-1)*100)&lt;-50,"NM",(CC415/BU415-1)*100)))</f>
        <v>7.2015344060869957</v>
      </c>
      <c r="CE415" s="161">
        <f>(CE407*4)/CE412*100</f>
        <v>4.1222288795686044</v>
      </c>
      <c r="CF415" s="98">
        <f>IF(ISERROR((CE415/BW415-1)*100),"NA",IF(((CE415/BW415-1)*100)&gt;100,"NM",IF(((CE415/BW415-1)*100)&lt;-50,"NM",(CE415/BW415-1)*100)))</f>
        <v>2.444674425501292</v>
      </c>
      <c r="CG415" s="161">
        <f>(CG407*4)/CG412*100</f>
        <v>3.9661708953047534</v>
      </c>
      <c r="CH415" s="98">
        <f>IF(ISERROR((CG415/BY415-1)*100),"NA",IF(((CG415/BY415-1)*100)&gt;100,"NM",IF(((CG415/BY415-1)*100)&lt;-50,"NM",(CG415/BY415-1)*100)))</f>
        <v>-6.2045568185514322</v>
      </c>
      <c r="CI415" s="161">
        <f>(CI407*4)/CI412*100</f>
        <v>3.8539785987934296</v>
      </c>
      <c r="CJ415" s="98">
        <f>IF(ISERROR((CI415/CA415-1)*100),"NA",IF(((CI415/CA415-1)*100)&gt;100,"NM",IF(((CI415/CA415-1)*100)&lt;-50,"NM",(CI415/CA415-1)*100)))</f>
        <v>1.2426150011582537</v>
      </c>
      <c r="CK415" s="161">
        <f>(CK407*4)/CK412*100</f>
        <v>4.0967116573393323</v>
      </c>
      <c r="CL415" s="98">
        <f>IF(ISERROR((CK415/CC415-1)*100),"NA",IF(((CK415/CC415-1)*100)&gt;100,"NM",IF(((CK415/CC415-1)*100)&lt;-50,"NM",(CK415/CC415-1)*100)))</f>
        <v>-4.4519302371965779</v>
      </c>
      <c r="CM415" s="161">
        <f>(CM407*4)/CM412*100</f>
        <v>3.8514885319717771</v>
      </c>
      <c r="CN415" s="98">
        <f>IF(ISERROR((CM415/CE415-1)*100),"NA",IF(((CM415/CE415-1)*100)&gt;100,"NM",IF(((CM415/CE415-1)*100)&lt;-50,"NM",(CM415/CE415-1)*100)))</f>
        <v>-6.5678145369055922</v>
      </c>
      <c r="CO415" s="161">
        <f>(CO407*4)/CO412*100</f>
        <v>3.8212622530688765</v>
      </c>
      <c r="CP415" s="98">
        <f>IF(ISERROR((CO415/CG415-1)*100),"NA",IF(((CO415/CG415-1)*100)&gt;100,"NM",IF(((CO415/CG415-1)*100)&lt;-50,"NM",(CO415/CG415-1)*100)))</f>
        <v>-3.6536156928442809</v>
      </c>
      <c r="CQ415" s="545">
        <f>(CQ407*4)/CQ412*100</f>
        <v>3.5921699601076171</v>
      </c>
      <c r="CR415" s="98">
        <f>IF(ISERROR((CQ415/CI415-1)*100),"NA",IF(((CQ415/CI415-1)*100)&gt;100,"NM",IF(((CQ415/CI415-1)*100)&lt;-50,"NM",(CQ415/CI415-1)*100)))</f>
        <v>-6.793204268642727</v>
      </c>
      <c r="CS415" s="161">
        <f>(CS407*4)/CS412*100</f>
        <v>3.5485386711775209</v>
      </c>
      <c r="CT415" s="98">
        <f>IF(ISERROR((CS415/CK415-1)*100),"NA",IF(((CS415/CK415-1)*100)&gt;100,"NM",IF(((CS415/CK415-1)*100)&lt;-50,"NM",(CS415/CK415-1)*100)))</f>
        <v>-13.380804704176574</v>
      </c>
      <c r="CU415" s="161">
        <f>(CU407*4)/CU412*100</f>
        <v>3.5248156815133207</v>
      </c>
      <c r="CV415" s="98">
        <f>IF(ISERROR((CU415/CM415-1)*100),"NA",IF(((CU415/CM415-1)*100)&gt;100,"NM",IF(((CU415/CM415-1)*100)&lt;-50,"NM",(CU415/CM415-1)*100)))</f>
        <v>-8.4817297973678656</v>
      </c>
      <c r="CW415" s="161">
        <f>(CW407*4)/CW412*100</f>
        <v>3.4263224910290546</v>
      </c>
      <c r="CX415" s="98">
        <f>IF(ISERROR((CW415/CO415-1)*100),"NA",IF(((CW415/CO415-1)*100)&gt;100,"NM",IF(((CW415/CO415-1)*100)&lt;-50,"NM",(CW415/CO415-1)*100)))</f>
        <v>-10.335322097368316</v>
      </c>
      <c r="CY415" s="161">
        <f>(CY407*4)/CY412*100</f>
        <v>3.5103492758438715</v>
      </c>
      <c r="CZ415" s="98">
        <f>IF(ISERROR((CY415/CQ415-1)*100),"NA",IF(((CY415/CQ415-1)*100)&gt;100,"NM",IF(((CY415/CQ415-1)*100)&lt;-50,"NM",(CY415/CQ415-1)*100)))</f>
        <v>-2.2777509185922362</v>
      </c>
      <c r="DA415" s="161">
        <f>(DA407*4)/DA412*100</f>
        <v>3.3456200581593252</v>
      </c>
      <c r="DB415" s="98">
        <f>IF(ISERROR((DA415/CS415-1)*100),"NA",IF(((DA415/CS415-1)*100)&gt;100,"NM",IF(((DA415/CS415-1)*100)&lt;-50,"NM",(DA415/CS415-1)*100)))</f>
        <v>-5.7183711894243094</v>
      </c>
      <c r="DC415" s="161">
        <f>(DC407*4)/DC412*100</f>
        <v>3.4049387673158003</v>
      </c>
      <c r="DD415" s="98">
        <f>IF(ISERROR((DC415/CU415-1)*100),"NA",IF(((DC415/CU415-1)*100)&gt;100,"NM",IF(((DC415/CU415-1)*100)&lt;-50,"NM",(DC415/CU415-1)*100)))</f>
        <v>-3.40094135492649</v>
      </c>
      <c r="DE415" s="161">
        <f>(DE407*4)/DE412*100</f>
        <v>3.5100279206766416</v>
      </c>
      <c r="DF415" s="98">
        <f>IF(ISERROR((DE415/CW415-1)*100),"NA",IF(((DE415/CW415-1)*100)&gt;100,"NM",IF(((DE415/CW415-1)*100)&lt;-50,"NM",(DE415/CW415-1)*100)))</f>
        <v>2.443010833532111</v>
      </c>
      <c r="DG415" s="161">
        <f>(DG407*4)/DG412*100</f>
        <v>3.4558846380955339</v>
      </c>
      <c r="DH415" s="98">
        <f>IF(ISERROR((DG415/CY415-1)*100),"NA",IF(((DG415/CY415-1)*100)&gt;100,"NM",IF(((DG415/CY415-1)*100)&lt;-50,"NM",(DG415/CY415-1)*100)))</f>
        <v>-1.5515446888185958</v>
      </c>
      <c r="DI415" s="161">
        <f>(DI407*4)/DI412*100</f>
        <v>3.5275242517292305</v>
      </c>
      <c r="DJ415" s="98">
        <f>IF(ISERROR((DI415/DA415-1)*100),"NA",IF(((DI415/DA415-1)*100)&gt;100,"NM",IF(((DI415/DA415-1)*100)&lt;-50,"NM",(DI415/DA415-1)*100)))</f>
        <v>5.4370846183288357</v>
      </c>
      <c r="DK415" s="161">
        <f>(DK407*4)/DK412*100</f>
        <v>3.3716017242115148</v>
      </c>
      <c r="DL415" s="98">
        <f>IF(ISERROR((DK415/DC415-1)*100),"NA",IF(((DK415/DC415-1)*100)&gt;100,"NM",IF(((DK415/DC415-1)*100)&lt;-50,"NM",(DK415/DC415-1)*100)))</f>
        <v>-0.9790790784342307</v>
      </c>
      <c r="DM415" s="161">
        <f>(DM407*4)/DM412*100</f>
        <v>3.4046567471377727</v>
      </c>
      <c r="DN415" s="98">
        <f>IF(ISERROR((DM415/DE415-1)*100),"NA",IF(((DM415/DE415-1)*100)&gt;100,"NM",IF(((DM415/DE415-1)*100)&lt;-50,"NM",(DM415/DE415-1)*100)))</f>
        <v>-3.0020038563840279</v>
      </c>
      <c r="DO415" s="161">
        <f>(DO407*4)/DO412*100</f>
        <v>3.3996490412059455</v>
      </c>
      <c r="DP415" s="98">
        <f>IF(ISERROR((DO415/DG415-1)*100),"NA",IF(((DO415/DG415-1)*100)&gt;100,"NM",IF(((DO415/DG415-1)*100)&lt;-50,"NM",(DO415/DG415-1)*100)))</f>
        <v>-1.6272417276225637</v>
      </c>
      <c r="DQ415" s="161">
        <f>(DQ407*4)/DQ412*100</f>
        <v>3.343353618300462</v>
      </c>
      <c r="DR415" s="98">
        <f>IF(ISERROR((DQ415/DI415-1)*100),"NA",IF(((DQ415/DI415-1)*100)&gt;100,"NM",IF(((DQ415/DI415-1)*100)&lt;-50,"NM",(DQ415/DI415-1)*100)))</f>
        <v>-5.220960092293792</v>
      </c>
      <c r="DS415" s="161">
        <f>(DS407*4)/DS405*100</f>
        <v>4.13089716321144</v>
      </c>
      <c r="DT415" s="98">
        <f>IF(ISERROR((DS415/DK415-1)*100),"NA",IF(((DS415/DK415-1)*100)&gt;100,"NM",IF(((DS415/DK415-1)*100)&lt;-50,"NM",(DS415/DK415-1)*100)))</f>
        <v>22.520318267350948</v>
      </c>
      <c r="DU415" s="161">
        <f>(DU407*4)/DU405*100</f>
        <v>4.146799780132687</v>
      </c>
      <c r="DV415" s="98">
        <f>IF(ISERROR((DU415/DM415-1)*100),"NA",IF(((DU415/DM415-1)*100)&gt;100,"NM",IF(((DU415/DM415-1)*100)&lt;-50,"NM",(DU415/DM415-1)*100)))</f>
        <v>21.79788119958992</v>
      </c>
      <c r="DW415" s="161">
        <f>(DW407*4)/DW405*100</f>
        <v>4.1706548234363234</v>
      </c>
      <c r="DX415" s="98">
        <f>IF(ISERROR((DW415/DO415-1)*100),"NA",IF(((DW415/DO415-1)*100)&gt;100,"NM",IF(((DW415/DO415-1)*100)&lt;-50,"NM",(DW415/DO415-1)*100)))</f>
        <v>22.678981650320051</v>
      </c>
      <c r="DY415" s="161">
        <f>(DY407*4)/DY405*100</f>
        <v>4.1602270136056143</v>
      </c>
      <c r="DZ415" s="98">
        <f>IF(ISERROR((DY415/DQ415-1)*100),"NA",IF(((DY415/DQ415-1)*100)&gt;100,"NM",IF(((DY415/DQ415-1)*100)&lt;-50,"NM",(DY415/DQ415-1)*100)))</f>
        <v>24.432754909138097</v>
      </c>
      <c r="EA415" s="161">
        <f>(EA407*4)/EA405*100</f>
        <v>3.9959132705187876</v>
      </c>
      <c r="EB415" s="98">
        <f>IF(ISERROR((EA415/DS415-1)*100),"NA",IF(((EA415/DS415-1)*100)&gt;100,"NM",IF(((EA415/DS415-1)*100)&lt;-50,"NM",(EA415/DS415-1)*100)))</f>
        <v>-3.267665288179511</v>
      </c>
      <c r="EC415" s="161">
        <f>(EC407*4)/EC405*100</f>
        <v>3.9722840633364185</v>
      </c>
      <c r="ED415" s="98">
        <f>IF(ISERROR((EC415/DU415-1)*100),"NA",IF(((EC415/DU415-1)*100)&gt;100,"NM",IF(((EC415/DU415-1)*100)&lt;-50,"NM",(EC415/DU415-1)*100)))</f>
        <v>-4.2084432827544038</v>
      </c>
      <c r="EE415" s="161">
        <f>(EE407*4)/EE405*100</f>
        <v>3.9601506740681995</v>
      </c>
      <c r="EF415" s="860">
        <f>IF(ISERROR((EE415/DW415-1)*100),"NA",IF(((EE415/DW415-1)*100)&gt;100,"NM",IF(((EE415/DW415-1)*100)&lt;-50,"NM",(EE415/DW415-1)*100)))</f>
        <v>-5.0472685532552237</v>
      </c>
      <c r="EG415" s="161">
        <f>(EG407*4)/EG405*100</f>
        <v>3.9472384151763658</v>
      </c>
      <c r="EH415" s="860">
        <f>IF(ISERROR((EG415/DY415-1)*100),"NA",IF(((EG415/DY415-1)*100)&gt;100,"NM",IF(((EG415/DY415-1)*100)&lt;-50,"NM",(EG415/DY415-1)*100)))</f>
        <v>-5.1196388498197409</v>
      </c>
      <c r="EI415" s="161">
        <f>(EI407*4)/EI405*100</f>
        <v>4.0226397334753479</v>
      </c>
      <c r="EJ415" s="860">
        <f t="shared" ref="EJ415:EJ416" si="2412">IF(ISERROR((EI415/EA415-1)*100),"NA",IF(((EI415/EA415-1)*100)&gt;100,"NM",IF(((EI415/EA415-1)*100)&lt;-50,"NM",(EI415/EA415-1)*100)))</f>
        <v>0.66884492097822879</v>
      </c>
      <c r="EK415" s="161">
        <f>(EK407*4)/EK405*100</f>
        <v>4.0208690504088711</v>
      </c>
      <c r="EL415" s="860">
        <f t="shared" ref="EL415:EL416" si="2413">IF(ISERROR((EK415/EC415-1)*100),"NA",IF(((EK415/EC415-1)*100)&gt;100,"NM",IF(((EK415/EC415-1)*100)&lt;-50,"NM",(EK415/EC415-1)*100)))</f>
        <v>1.2230995139769663</v>
      </c>
      <c r="EM415" s="161">
        <f>(EM407*4)/EM405*100</f>
        <v>4.0381130819579178</v>
      </c>
      <c r="EN415" s="860">
        <f t="shared" ref="EN415:EN416" si="2414">IF(ISERROR((EM415/EE415-1)*100),"NA",IF(((EM415/EE415-1)*100)&gt;100,"NM",IF(((EM415/EE415-1)*100)&lt;-50,"NM",(EM415/EE415-1)*100)))</f>
        <v>1.9686727679386173</v>
      </c>
      <c r="EO415" s="161">
        <f>(EO407*4)/EO405*100</f>
        <v>4.0571442622144636</v>
      </c>
      <c r="EP415" s="98">
        <f t="shared" ref="EP415:EP416" si="2415">IF(ISERROR((EO415/EG415-1)*100),"NA",IF(((EO415/EG415-1)*100)&gt;100,"NM",IF(((EO415/EG415-1)*100)&lt;-50,"NM",(EO415/EG415-1)*100)))</f>
        <v>2.7843731611328915</v>
      </c>
      <c r="EQ415" s="1035">
        <f>EO415</f>
        <v>4.0571442622144636</v>
      </c>
      <c r="ER415" s="98">
        <f t="shared" ref="ER415:ER416" si="2416">IF(ISERROR((EQ415/EI415-1)*100),"NA",IF(((EQ415/EI415-1)*100)&gt;100,"NM",IF(((EQ415/EI415-1)*100)&lt;-50,"NM",(EQ415/EI415-1)*100)))</f>
        <v>0.85775836329506916</v>
      </c>
      <c r="ES415" s="1035">
        <f t="shared" ref="ES415:ES417" si="2417">EQ415</f>
        <v>4.0571442622144636</v>
      </c>
      <c r="ET415" s="98">
        <f t="shared" ref="ET415:ET416" si="2418">IF(ISERROR((ES415/EK415-1)*100),"NA",IF(((ES415/EK415-1)*100)&gt;100,"NM",IF(((ES415/EK415-1)*100)&lt;-50,"NM",(ES415/EK415-1)*100)))</f>
        <v>0.90217341949754282</v>
      </c>
      <c r="EU415" s="1035">
        <f t="shared" ref="EU415:EU417" si="2419">ES415</f>
        <v>4.0571442622144636</v>
      </c>
      <c r="EV415" s="98">
        <f t="shared" ref="EV415:EV416" si="2420">IF(ISERROR((EU415/EM415-1)*100),"NA",IF(((EU415/EM415-1)*100)&gt;100,"NM",IF(((EU415/EM415-1)*100)&lt;-50,"NM",(EU415/EM415-1)*100)))</f>
        <v>0.47128893793431104</v>
      </c>
      <c r="EW415" s="1035">
        <f t="shared" ref="EW415:EW417" si="2421">EU415</f>
        <v>4.0571442622144636</v>
      </c>
      <c r="EX415" s="98">
        <f t="shared" ref="EX415:EX416" si="2422">IF(ISERROR((EW415/EO415-1)*100),"NA",IF(((EW415/EO415-1)*100)&gt;100,"NM",IF(((EW415/EO415-1)*100)&lt;-50,"NM",(EW415/EO415-1)*100)))</f>
        <v>0</v>
      </c>
      <c r="EY415" s="162"/>
      <c r="EZ415" s="597"/>
      <c r="FA415" s="408"/>
      <c r="FB415" s="163" t="s">
        <v>494</v>
      </c>
      <c r="FC415" s="164"/>
      <c r="FD415" s="161">
        <f>(FD407)/FD412*100</f>
        <v>4.8463497655375969</v>
      </c>
      <c r="FE415" s="164" t="str">
        <f>IF(ISERROR((FD415/FB415-1)*100),"NA",IF(((FD415/FB415-1)*100)&gt;100,"NM",IF(((FD415/FB415-1)*100)&lt;-50,"NM",(FD415/FB415-1)*100)))</f>
        <v>NA</v>
      </c>
      <c r="FF415" s="162"/>
      <c r="FG415" s="164"/>
      <c r="FH415" s="162"/>
      <c r="FI415" s="164"/>
      <c r="FJ415" s="162"/>
      <c r="FK415" s="164"/>
      <c r="FL415" s="162"/>
      <c r="FM415" s="164"/>
      <c r="FN415" s="162"/>
      <c r="FO415" s="164"/>
      <c r="FP415" s="162"/>
      <c r="FQ415" s="164"/>
      <c r="FR415" s="165"/>
      <c r="FS415" s="120"/>
      <c r="FT415" s="165"/>
      <c r="FU415" s="120"/>
      <c r="FV415" s="165">
        <f>(FV407)/FV412*100</f>
        <v>3.7802584002613293</v>
      </c>
      <c r="FW415" s="98" t="str">
        <f>IF(ISERROR((FV415/FT415-1)*100),"NA",IF(((FV415/FT415-1)*100)&gt;100,"NM",IF(((FV415/FT415-1)*100)&lt;-50,"NM",(FV415/FT415-1)*100)))</f>
        <v>NA</v>
      </c>
      <c r="FX415" s="496">
        <f>(FX407)/FX412*100</f>
        <v>4.1332582655458268</v>
      </c>
      <c r="FY415" s="98">
        <f>IF(ISERROR((FX415/FV415-1)*100),"NA",IF(((FX415/FV415-1)*100)&gt;100,"NM",IF(((FX415/FV415-1)*100)&lt;-50,"NM",(FX415/FV415-1)*100)))</f>
        <v>9.3379824315738436</v>
      </c>
      <c r="FZ415" s="165">
        <f>(FZ407)/FZ412*100</f>
        <v>4.0334338522281685</v>
      </c>
      <c r="GA415" s="98">
        <f>IF(ISERROR((FZ415/FX415-1)*100),"NA",IF(((FZ415/FX415-1)*100)&gt;100,"NM",IF(((FZ415/FX415-1)*100)&lt;-50,"NM",(FZ415/FX415-1)*100)))</f>
        <v>-2.4151506367211195</v>
      </c>
      <c r="GB415" s="496">
        <f>(GB407)/GB412*100</f>
        <v>3.6541013182638249</v>
      </c>
      <c r="GC415" s="98">
        <f>IF(ISERROR((GB415/FZ415-1)*100),"NA",IF(((GB415/FZ415-1)*100)&gt;100,"NM",IF(((GB415/FZ415-1)*100)&lt;-50,"NM",(GB415/FZ415-1)*100)))</f>
        <v>-9.4047044741985992</v>
      </c>
      <c r="GD415" s="165">
        <f>(GD407)/GD412*100</f>
        <v>3.3630181807835662</v>
      </c>
      <c r="GE415" s="98">
        <f>IF(ISERROR((GD415/GB415-1)*100),"NA",IF(((GD415/GB415-1)*100)&gt;100,"NM",IF(((GD415/GB415-1)*100)&lt;-50,"NM",(GD415/GB415-1)*100)))</f>
        <v>-7.9659295713935263</v>
      </c>
      <c r="GF415" s="165">
        <f>(GF407)/GF412*100</f>
        <v>3.4202780878920125</v>
      </c>
      <c r="GG415" s="98">
        <f>IF(ISERROR((GF415/GD415-1)*100),"NA",IF(((GF415/GD415-1)*100)&gt;100,"NM",IF(((GF415/GD415-1)*100)&lt;-50,"NM",(GF415/GD415-1)*100)))</f>
        <v>1.7026344798143578</v>
      </c>
      <c r="GH415" s="165">
        <f>(GH407)/GH412*100</f>
        <v>3.3682563511613401</v>
      </c>
      <c r="GI415" s="98">
        <f>IF(ISERROR((GH415/GF415-1)*100),"NA",IF(((GH415/GF415-1)*100)&gt;100,"NM",IF(((GH415/GF415-1)*100)&lt;-50,"NM",(GH415/GF415-1)*100)))</f>
        <v>-1.5209797388941126</v>
      </c>
      <c r="GJ415" s="165">
        <f>(GJ407)/GJ405*100</f>
        <v>4.1706173282423187</v>
      </c>
      <c r="GK415" s="98">
        <f>IF(ISERROR((GJ415/GH415-1)*100),"NA",IF(((GJ415/GH415-1)*100)&gt;100,"NM",IF(((GJ415/GH415-1)*100)&lt;-50,"NM",(GJ415/GH415-1)*100)))</f>
        <v>23.821256265258217</v>
      </c>
      <c r="GL415" s="165">
        <f>(GL407)/GL405*100</f>
        <v>4.0160946506729234</v>
      </c>
      <c r="GM415" s="98">
        <f>IF(ISERROR((GL415/GJ415-1)*100),"NA",IF(((GL415/GJ415-1)*100)&gt;100,"NM",IF(((GL415/GJ415-1)*100)&lt;-50,"NM",(GL415/GJ415-1)*100)))</f>
        <v>-3.7050313037115257</v>
      </c>
      <c r="GN415" s="165">
        <f>(GN407)/GN405*100</f>
        <v>4.0511251749377655</v>
      </c>
      <c r="GO415" s="98">
        <f>IF(ISERROR((GN415/GL415-1)*100),"NA",IF(((GN415/GL415-1)*100)&gt;100,"NM",IF(((GN415/GL415-1)*100)&lt;-50,"NM",(GN415/GL415-1)*100)))</f>
        <v>0.87225345296511048</v>
      </c>
      <c r="GP415" s="165">
        <f>(GP407)/GP405*100</f>
        <v>4.0748741484101156</v>
      </c>
      <c r="GQ415" s="98">
        <f>IF(ISERROR((GP415/GN415-1)*100),"NA",IF(((GP415/GN415-1)*100)&gt;100,"NM",IF(((GP415/GN415-1)*100)&lt;-50,"NM",(GP415/GN415-1)*100)))</f>
        <v>0.58623153930845717</v>
      </c>
      <c r="GR415" s="110">
        <f>GP415</f>
        <v>4.0748741484101156</v>
      </c>
      <c r="GS415" s="98">
        <f>IF(ISERROR((GR415/GP415-1)*100),"NA",IF(((GR415/GP415-1)*100)&gt;100,"NM",IF(((GR415/GP415-1)*100)&lt;-50,"NM",(GR415/GP415-1)*100)))</f>
        <v>0</v>
      </c>
      <c r="GT415" s="110">
        <f>GR415</f>
        <v>4.0748741484101156</v>
      </c>
      <c r="GU415" s="98">
        <f>IF(ISERROR((GT415/GR415-1)*100),"NA",IF(((GT415/GR415-1)*100)&gt;100,"NM",IF(((GT415/GR415-1)*100)&lt;-50,"NM",(GT415/GR415-1)*100)))</f>
        <v>0</v>
      </c>
      <c r="GV415" s="110">
        <f>GT415</f>
        <v>4.0748741484101156</v>
      </c>
      <c r="GW415" s="98">
        <f>IF(ISERROR((GV415/GT415-1)*100),"NA",IF(((GV415/GT415-1)*100)&gt;100,"NM",IF(((GV415/GT415-1)*100)&lt;-50,"NM",(GV415/GT415-1)*100)))</f>
        <v>0</v>
      </c>
      <c r="GX415" s="110">
        <f>GV415</f>
        <v>4.0748741484101156</v>
      </c>
      <c r="GY415" s="98">
        <f>IF(ISERROR((GX415/GV415-1)*100),"NA",IF(((GX415/GV415-1)*100)&gt;100,"NM",IF(((GX415/GV415-1)*100)&lt;-50,"NM",(GX415/GV415-1)*100)))</f>
        <v>0</v>
      </c>
      <c r="GZ415" s="98">
        <f>IF(ISERROR(((GX415/GN415)^0.2-1)*100),"NA",IF((((GX415/GN415)^0.2-1)*100)&gt;100,"NM",IF((((GX415/GN415)^0.2-1)*100)&lt;-50,"NM",((GX415/GN415)^0.2-1)*100)))</f>
        <v>0.11697233702641086</v>
      </c>
      <c r="HA415" s="98"/>
      <c r="HB415" s="10"/>
      <c r="HC415"/>
      <c r="HD415"/>
      <c r="HE415"/>
      <c r="HF415"/>
      <c r="HG415"/>
      <c r="HH415"/>
      <c r="HI415" s="10"/>
    </row>
    <row r="416" spans="1:217" s="2" customFormat="1" ht="12.75" customHeight="1" x14ac:dyDescent="0.2">
      <c r="B416" s="102" t="s">
        <v>619</v>
      </c>
      <c r="C416" s="137"/>
      <c r="D416" s="98"/>
      <c r="E416" s="137"/>
      <c r="F416" s="98"/>
      <c r="G416" s="137"/>
      <c r="H416" s="98"/>
      <c r="I416" s="137"/>
      <c r="J416" s="98"/>
      <c r="K416" s="137"/>
      <c r="L416" s="98"/>
      <c r="M416" s="137"/>
      <c r="N416" s="98"/>
      <c r="O416" s="137"/>
      <c r="P416" s="98"/>
      <c r="Q416" s="137"/>
      <c r="R416" s="98"/>
      <c r="S416" s="137"/>
      <c r="T416" s="98"/>
      <c r="U416" s="137"/>
      <c r="V416" s="98"/>
      <c r="W416" s="137"/>
      <c r="X416" s="98"/>
      <c r="Y416" s="137"/>
      <c r="Z416" s="98"/>
      <c r="AA416" s="137"/>
      <c r="AB416" s="98"/>
      <c r="AC416" s="137"/>
      <c r="AD416" s="98"/>
      <c r="AE416" s="137"/>
      <c r="AF416" s="98"/>
      <c r="AG416" s="137"/>
      <c r="AH416" s="98"/>
      <c r="AI416" s="137"/>
      <c r="AJ416" s="98"/>
      <c r="AK416" s="137"/>
      <c r="AL416" s="98"/>
      <c r="AM416" s="137"/>
      <c r="AN416" s="98"/>
      <c r="AO416" s="137"/>
      <c r="AP416" s="98"/>
      <c r="AQ416" s="137"/>
      <c r="AR416" s="98"/>
      <c r="AS416" s="137"/>
      <c r="AT416" s="98"/>
      <c r="AU416" s="137"/>
      <c r="AV416" s="98"/>
      <c r="AW416" s="137"/>
      <c r="AX416" s="98"/>
      <c r="AY416" s="137"/>
      <c r="AZ416" s="98"/>
      <c r="BA416" s="137"/>
      <c r="BB416" s="98"/>
      <c r="BC416" s="137"/>
      <c r="BD416" s="98"/>
      <c r="BE416" s="137"/>
      <c r="BF416" s="98"/>
      <c r="BG416" s="137"/>
      <c r="BH416" s="98"/>
      <c r="BI416" s="137"/>
      <c r="BJ416" s="98"/>
      <c r="BK416" s="137"/>
      <c r="BL416" s="98"/>
      <c r="BM416" s="137">
        <f>(-BM408*4)/BM405*100</f>
        <v>13.654521244401405</v>
      </c>
      <c r="BN416" s="98" t="str">
        <f>IF(ISERROR((BM416/BE416-1)*100),"NA",IF(((BM416/BE416-1)*100)&gt;100,"NM",IF(((BM416/BE416-1)*100)&lt;-50,"NM",(BM416/BE416-1)*100)))</f>
        <v>NA</v>
      </c>
      <c r="BO416" s="137">
        <f>(-BO408*4)/BO405*100</f>
        <v>12.193927522037217</v>
      </c>
      <c r="BP416" s="98" t="str">
        <f>IF(ISERROR((BO416/BG416-1)*100),"NA",IF(((BO416/BG416-1)*100)&gt;100,"NM",IF(((BO416/BG416-1)*100)&lt;-50,"NM",(BO416/BG416-1)*100)))</f>
        <v>NA</v>
      </c>
      <c r="BQ416" s="137">
        <f>(-BQ408*4)/BQ405*100</f>
        <v>11.232236714035428</v>
      </c>
      <c r="BR416" s="98" t="str">
        <f>IF(ISERROR((BQ416/BI416-1)*100),"NA",IF(((BQ416/BI416-1)*100)&gt;100,"NM",IF(((BQ416/BI416-1)*100)&lt;-50,"NM",(BQ416/BI416-1)*100)))</f>
        <v>NA</v>
      </c>
      <c r="BS416" s="137">
        <f>(-BS408*4)/BS405*100</f>
        <v>11.047023169420275</v>
      </c>
      <c r="BT416" s="98" t="str">
        <f>IF(ISERROR((BS416/BK416-1)*100),"NA",IF(((BS416/BK416-1)*100)&gt;100,"NM",IF(((BS416/BK416-1)*100)&lt;-50,"NM",(BS416/BK416-1)*100)))</f>
        <v>NA</v>
      </c>
      <c r="BU416" s="137">
        <f>(-BU408*4)/BU405*100</f>
        <v>15.467496707769662</v>
      </c>
      <c r="BV416" s="98">
        <f>IF(ISERROR((BU416/BM416-1)*100),"NA",IF(((BU416/BM416-1)*100)&gt;100,"NM",IF(((BU416/BM416-1)*100)&lt;-50,"NM",(BU416/BM416-1)*100)))</f>
        <v>13.277473672770546</v>
      </c>
      <c r="BW416" s="137">
        <f>(-BW408*4)/BW405*100</f>
        <v>11.790474998435446</v>
      </c>
      <c r="BX416" s="98">
        <f>IF(ISERROR((BW416/BO416-1)*100),"NA",IF(((BW416/BO416-1)*100)&gt;100,"NM",IF(((BW416/BO416-1)*100)&lt;-50,"NM",(BW416/BO416-1)*100)))</f>
        <v>-3.3086347517864101</v>
      </c>
      <c r="BY416" s="137">
        <f>(-BY408*4)/BY405*100</f>
        <v>7.1807838179519594</v>
      </c>
      <c r="BZ416" s="98">
        <f>IF(ISERROR((BY416/BQ416-1)*100),"NA",IF(((BY416/BQ416-1)*100)&gt;100,"NM",IF(((BY416/BQ416-1)*100)&lt;-50,"NM",(BY416/BQ416-1)*100)))</f>
        <v>-36.069867464784721</v>
      </c>
      <c r="CA416" s="137">
        <f>(-CA408*4)/CA405*100</f>
        <v>6.9493245881158741</v>
      </c>
      <c r="CB416" s="98">
        <f>IF(ISERROR((CA416/BS416-1)*100),"NA",IF(((CA416/BS416-1)*100)&gt;100,"NM",IF(((CA416/BS416-1)*100)&lt;-50,"NM",(CA416/BS416-1)*100)))</f>
        <v>-37.093237865630726</v>
      </c>
      <c r="CC416" s="137">
        <f>(-CC408*4)/CC405*100</f>
        <v>7.5270943043548586</v>
      </c>
      <c r="CD416" s="98" t="str">
        <f>IF(ISERROR((CC416/BU416-1)*100),"NA",IF(((CC416/BU416-1)*100)&gt;100,"NM",IF(((CC416/BU416-1)*100)&lt;-50,"NM",(CC416/BU416-1)*100)))</f>
        <v>NM</v>
      </c>
      <c r="CE416" s="137">
        <f>(-CE408*4)/CE405*100</f>
        <v>6.187251502332928</v>
      </c>
      <c r="CF416" s="98">
        <f>IF(ISERROR((CE416/BW416-1)*100),"NA",IF(((CE416/BW416-1)*100)&gt;100,"NM",IF(((CE416/BW416-1)*100)&lt;-50,"NM",(CE416/BW416-1)*100)))</f>
        <v>-47.523305862113659</v>
      </c>
      <c r="CG416" s="137">
        <f>(-CG408*4)/CG405*100</f>
        <v>6.0693168379878104</v>
      </c>
      <c r="CH416" s="98">
        <f>IF(ISERROR((CG416/BY416-1)*100),"NA",IF(((CG416/BY416-1)*100)&gt;100,"NM",IF(((CG416/BY416-1)*100)&lt;-50,"NM",(CG416/BY416-1)*100)))</f>
        <v>-15.478351780838761</v>
      </c>
      <c r="CI416" s="137">
        <f>(-CI408*4)/CI405*100</f>
        <v>8.0898249529255875</v>
      </c>
      <c r="CJ416" s="98">
        <f>IF(ISERROR((CI416/CA416-1)*100),"NA",IF(((CI416/CA416-1)*100)&gt;100,"NM",IF(((CI416/CA416-1)*100)&lt;-50,"NM",(CI416/CA416-1)*100)))</f>
        <v>16.41167210350336</v>
      </c>
      <c r="CK416" s="137">
        <f>(-CK408*4)/CK405*100</f>
        <v>6.9513786205096979</v>
      </c>
      <c r="CL416" s="98">
        <f>IF(ISERROR((CK416/CC416-1)*100),"NA",IF(((CK416/CC416-1)*100)&gt;100,"NM",IF(((CK416/CC416-1)*100)&lt;-50,"NM",(CK416/CC416-1)*100)))</f>
        <v>-7.6485780643411942</v>
      </c>
      <c r="CM416" s="137">
        <f>(-CM408*4)/CM405*100</f>
        <v>7.1804954777821468</v>
      </c>
      <c r="CN416" s="98">
        <f>IF(ISERROR((CM416/CE416-1)*100),"NA",IF(((CM416/CE416-1)*100)&gt;100,"NM",IF(((CM416/CE416-1)*100)&lt;-50,"NM",(CM416/CE416-1)*100)))</f>
        <v>16.053072597335216</v>
      </c>
      <c r="CO416" s="137">
        <f>(-CO408*4)/CO405*100</f>
        <v>7.3191083561807133</v>
      </c>
      <c r="CP416" s="98">
        <f>IF(ISERROR((CO416/CG416-1)*100),"NA",IF(((CO416/CG416-1)*100)&gt;100,"NM",IF(((CO416/CG416-1)*100)&lt;-50,"NM",(CO416/CG416-1)*100)))</f>
        <v>20.591963668307223</v>
      </c>
      <c r="CQ416" s="494">
        <f>(-CQ408*4)/CQ405*100</f>
        <v>7.7901149651174215</v>
      </c>
      <c r="CR416" s="98">
        <f>IF(ISERROR((CQ416/CI416-1)*100),"NA",IF(((CQ416/CI416-1)*100)&gt;100,"NM",IF(((CQ416/CI416-1)*100)&lt;-50,"NM",(CQ416/CI416-1)*100)))</f>
        <v>-3.7047771682597319</v>
      </c>
      <c r="CS416" s="137">
        <f>(-CS408*4)/CS405*100</f>
        <v>9.4560928151879402</v>
      </c>
      <c r="CT416" s="98">
        <f>IF(ISERROR((CS416/CK416-1)*100),"NA",IF(((CS416/CK416-1)*100)&gt;100,"NM",IF(((CS416/CK416-1)*100)&lt;-50,"NM",(CS416/CK416-1)*100)))</f>
        <v>36.031905776045733</v>
      </c>
      <c r="CU416" s="137">
        <f>(-CU408*4)/CU405*100</f>
        <v>9.9890536002523227</v>
      </c>
      <c r="CV416" s="98">
        <f>IF(ISERROR((CU416/CM416-1)*100),"NA",IF(((CU416/CM416-1)*100)&gt;100,"NM",IF(((CU416/CM416-1)*100)&lt;-50,"NM",(CU416/CM416-1)*100)))</f>
        <v>39.113709230239088</v>
      </c>
      <c r="CW416" s="137">
        <f>(-CW408*4)/CW405*100</f>
        <v>7.0482866043613699</v>
      </c>
      <c r="CX416" s="98">
        <f>IF(ISERROR((CW416/CO416-1)*100),"NA",IF(((CW416/CO416-1)*100)&gt;100,"NM",IF(((CW416/CO416-1)*100)&lt;-50,"NM",(CW416/CO416-1)*100)))</f>
        <v>-3.7002014267304095</v>
      </c>
      <c r="CY416" s="137">
        <f>(-CY408*4)/CY405*100</f>
        <v>6.5944165741201699</v>
      </c>
      <c r="CZ416" s="98">
        <f>IF(ISERROR((CY416/CQ416-1)*100),"NA",IF(((CY416/CQ416-1)*100)&gt;100,"NM",IF(((CY416/CQ416-1)*100)&lt;-50,"NM",(CY416/CQ416-1)*100)))</f>
        <v>-15.348918422274259</v>
      </c>
      <c r="DA416" s="137">
        <f>(-DA408*4)/DA405*100</f>
        <v>9.4126768753634433</v>
      </c>
      <c r="DB416" s="98">
        <f>IF(ISERROR((DA416/CS416-1)*100),"NA",IF(((DA416/CS416-1)*100)&gt;100,"NM",IF(((DA416/CS416-1)*100)&lt;-50,"NM",(DA416/CS416-1)*100)))</f>
        <v>-0.45913191286325317</v>
      </c>
      <c r="DC416" s="137">
        <f>(-DC408*4)/DC405*100</f>
        <v>7.9391564161266537</v>
      </c>
      <c r="DD416" s="98">
        <f>IF(ISERROR((DC416/CU416-1)*100),"NA",IF(((DC416/CU416-1)*100)&gt;100,"NM",IF(((DC416/CU416-1)*100)&lt;-50,"NM",(DC416/CU416-1)*100)))</f>
        <v>-20.521435424812307</v>
      </c>
      <c r="DE416" s="137">
        <f>(-DE408*4)/DE405*100</f>
        <v>7.9808076769292287</v>
      </c>
      <c r="DF416" s="98">
        <f>IF(ISERROR((DE416/CW416-1)*100),"NA",IF(((DE416/CW416-1)*100)&gt;100,"NM",IF(((DE416/CW416-1)*100)&lt;-50,"NM",(DE416/CW416-1)*100)))</f>
        <v>13.230464720189294</v>
      </c>
      <c r="DG416" s="137">
        <f>(-DG408*4)/DG405*100</f>
        <v>7.4137579097775061</v>
      </c>
      <c r="DH416" s="98">
        <f>IF(ISERROR((DG416/CY416-1)*100),"NA",IF(((DG416/CY416-1)*100)&gt;100,"NM",IF(((DG416/CY416-1)*100)&lt;-50,"NM",(DG416/CY416-1)*100)))</f>
        <v>12.424773692229984</v>
      </c>
      <c r="DI416" s="137">
        <f>(-DI408*4)/DI405*100</f>
        <v>11.332287106632528</v>
      </c>
      <c r="DJ416" s="98">
        <f>IF(ISERROR((DI416/DA416-1)*100),"NA",IF(((DI416/DA416-1)*100)&gt;100,"NM",IF(((DI416/DA416-1)*100)&lt;-50,"NM",(DI416/DA416-1)*100)))</f>
        <v>20.393882172811374</v>
      </c>
      <c r="DK416" s="137">
        <f>(-DK408*4)/DK405*100</f>
        <v>9.9004001021537427</v>
      </c>
      <c r="DL416" s="98">
        <f>IF(ISERROR((DK416/DC416-1)*100),"NA",IF(((DK416/DC416-1)*100)&gt;100,"NM",IF(((DK416/DC416-1)*100)&lt;-50,"NM",(DK416/DC416-1)*100)))</f>
        <v>24.703426702152555</v>
      </c>
      <c r="DM416" s="137">
        <f>(-DM408*4)/DM405*100</f>
        <v>7.7784174502654642</v>
      </c>
      <c r="DN416" s="98">
        <f>IF(ISERROR((DM416/DE416-1)*100),"NA",IF(((DM416/DE416-1)*100)&gt;100,"NM",IF(((DM416/DE416-1)*100)&lt;-50,"NM",(DM416/DE416-1)*100)))</f>
        <v>-2.5359617078460683</v>
      </c>
      <c r="DO416" s="137">
        <f>(-DO408*4)/DO405*100</f>
        <v>7.6395564955457278</v>
      </c>
      <c r="DP416" s="98">
        <f>IF(ISERROR((DO416/DG416-1)*100),"NA",IF(((DO416/DG416-1)*100)&gt;100,"NM",IF(((DO416/DG416-1)*100)&lt;-50,"NM",(DO416/DG416-1)*100)))</f>
        <v>3.0456698008769711</v>
      </c>
      <c r="DQ416" s="137">
        <f>(-DQ408*4)/DQ405*100</f>
        <v>12.792190031349282</v>
      </c>
      <c r="DR416" s="98">
        <f>IF(ISERROR((DQ416/DI416-1)*100),"NA",IF(((DQ416/DI416-1)*100)&gt;100,"NM",IF(((DQ416/DI416-1)*100)&lt;-50,"NM",(DQ416/DI416-1)*100)))</f>
        <v>12.882685648356951</v>
      </c>
      <c r="DS416" s="137">
        <f>(-DS408*4)/DS405*100</f>
        <v>3.15711247213182</v>
      </c>
      <c r="DT416" s="98" t="str">
        <f>IF(ISERROR((DS416/DK416-1)*100),"NA",IF(((DS416/DK416-1)*100)&gt;100,"NM",IF(((DS416/DK416-1)*100)&lt;-50,"NM",(DS416/DK416-1)*100)))</f>
        <v>NM</v>
      </c>
      <c r="DU416" s="137">
        <f>(-DU408*4)/DU405*100</f>
        <v>3.3133492694525049</v>
      </c>
      <c r="DV416" s="98" t="str">
        <f>IF(ISERROR((DU416/DM416-1)*100),"NA",IF(((DU416/DM416-1)*100)&gt;100,"NM",IF(((DU416/DM416-1)*100)&lt;-50,"NM",(DU416/DM416-1)*100)))</f>
        <v>NM</v>
      </c>
      <c r="DW416" s="137">
        <f>(-DW408*4)/DW405*100</f>
        <v>3.2824125476983554</v>
      </c>
      <c r="DX416" s="98" t="str">
        <f>IF(ISERROR((DW416/DO416-1)*100),"NA",IF(((DW416/DO416-1)*100)&gt;100,"NM",IF(((DW416/DO416-1)*100)&lt;-50,"NM",(DW416/DO416-1)*100)))</f>
        <v>NM</v>
      </c>
      <c r="DY416" s="137">
        <f>(-DY408*4)/DY405*100</f>
        <v>3.0403607894803515</v>
      </c>
      <c r="DZ416" s="98" t="str">
        <f>IF(ISERROR((DY416/DQ416-1)*100),"NA",IF(((DY416/DQ416-1)*100)&gt;100,"NM",IF(((DY416/DQ416-1)*100)&lt;-50,"NM",(DY416/DQ416-1)*100)))</f>
        <v>NM</v>
      </c>
      <c r="EA416" s="137">
        <f>(-EA408*4)/EA405*100</f>
        <v>3.340018415509391</v>
      </c>
      <c r="EB416" s="98">
        <f>IF(ISERROR((EA416/DS416-1)*100),"NA",IF(((EA416/DS416-1)*100)&gt;100,"NM",IF(((EA416/DS416-1)*100)&lt;-50,"NM",(EA416/DS416-1)*100)))</f>
        <v>5.7934566789147324</v>
      </c>
      <c r="EC416" s="137">
        <f>(-EC408*4)/EC405*100</f>
        <v>2.9516972259048955</v>
      </c>
      <c r="ED416" s="98">
        <f>IF(ISERROR((EC416/DU416-1)*100),"NA",IF(((EC416/DU416-1)*100)&gt;100,"NM",IF(((EC416/DU416-1)*100)&lt;-50,"NM",(EC416/DU416-1)*100)))</f>
        <v>-10.914999118320189</v>
      </c>
      <c r="EE416" s="137">
        <f>(-EE408*4)/EE405*100</f>
        <v>3.1225218080888184</v>
      </c>
      <c r="EF416" s="860">
        <f>IF(ISERROR((EE416/DW416-1)*100),"NA",IF(((EE416/DW416-1)*100)&gt;100,"NM",IF(((EE416/DW416-1)*100)&lt;-50,"NM",(EE416/DW416-1)*100)))</f>
        <v>-4.871134791440312</v>
      </c>
      <c r="EG416" s="137">
        <f>(-EG408*4)/EG405*100</f>
        <v>2.9147317458749136</v>
      </c>
      <c r="EH416" s="860">
        <f>IF(ISERROR((EG416/DY416-1)*100),"NA",IF(((EG416/DY416-1)*100)&gt;100,"NM",IF(((EG416/DY416-1)*100)&lt;-50,"NM",(EG416/DY416-1)*100)))</f>
        <v>-4.1320439350525202</v>
      </c>
      <c r="EI416" s="137">
        <f>(-EI408*4)/EI405*100</f>
        <v>3.061565708482469</v>
      </c>
      <c r="EJ416" s="860">
        <f t="shared" si="2412"/>
        <v>-8.3368614296833066</v>
      </c>
      <c r="EK416" s="137">
        <f>(-EK408*4)/EK405*100</f>
        <v>3.0144183923924173</v>
      </c>
      <c r="EL416" s="860">
        <f t="shared" si="2413"/>
        <v>2.1249187056539443</v>
      </c>
      <c r="EM416" s="137">
        <f>(-EM408*4)/EM405*100</f>
        <v>2.879435946109187</v>
      </c>
      <c r="EN416" s="860">
        <f t="shared" si="2414"/>
        <v>-7.7849211925413382</v>
      </c>
      <c r="EO416" s="137">
        <f>(-EO408*4)/EO405*100</f>
        <v>3.1768669010794461</v>
      </c>
      <c r="EP416" s="98">
        <f t="shared" si="2415"/>
        <v>8.9934573078816129</v>
      </c>
      <c r="EQ416" s="1035">
        <f t="shared" ref="EQ416" si="2423">EO416</f>
        <v>3.1768669010794461</v>
      </c>
      <c r="ER416" s="98">
        <f t="shared" si="2416"/>
        <v>3.7660858389392038</v>
      </c>
      <c r="ES416" s="1035">
        <f t="shared" si="2417"/>
        <v>3.1768669010794461</v>
      </c>
      <c r="ET416" s="98">
        <f t="shared" si="2418"/>
        <v>5.389049811300417</v>
      </c>
      <c r="EU416" s="1035">
        <f t="shared" si="2419"/>
        <v>3.1768669010794461</v>
      </c>
      <c r="EV416" s="98">
        <f t="shared" si="2420"/>
        <v>10.329486765356254</v>
      </c>
      <c r="EW416" s="1035">
        <f t="shared" si="2421"/>
        <v>3.1768669010794461</v>
      </c>
      <c r="EX416" s="98">
        <f t="shared" si="2422"/>
        <v>0</v>
      </c>
      <c r="EY416" s="110"/>
      <c r="EZ416" s="594"/>
      <c r="FA416" s="405"/>
      <c r="FB416" s="163" t="s">
        <v>494</v>
      </c>
      <c r="FC416" s="98"/>
      <c r="FD416" s="137">
        <f>(-FD408)/FD405*100</f>
        <v>16.512235685435968</v>
      </c>
      <c r="FE416" s="98" t="str">
        <f>IF(ISERROR((FD416/FB416-1)*100),"NA",IF(((FD416/FB416-1)*100)&gt;100,"NM",IF(((FD416/FB416-1)*100)&lt;-50,"NM",(FD416/FB416-1)*100)))</f>
        <v>NA</v>
      </c>
      <c r="FF416" s="125"/>
      <c r="FG416" s="98"/>
      <c r="FH416" s="125"/>
      <c r="FI416" s="98"/>
      <c r="FJ416" s="125"/>
      <c r="FK416" s="98"/>
      <c r="FL416" s="125"/>
      <c r="FM416" s="98"/>
      <c r="FN416" s="125"/>
      <c r="FO416" s="98"/>
      <c r="FP416" s="125"/>
      <c r="FQ416" s="98"/>
      <c r="FR416" s="106"/>
      <c r="FS416" s="120"/>
      <c r="FT416" s="106"/>
      <c r="FU416" s="120"/>
      <c r="FV416" s="106">
        <f>(-FV408)/FV405*100</f>
        <v>12.595494613124389</v>
      </c>
      <c r="FW416" s="98" t="str">
        <f>IF(ISERROR((FV416/FT416-1)*100),"NA",IF(((FV416/FT416-1)*100)&gt;100,"NM",IF(((FV416/FT416-1)*100)&lt;-50,"NM",(FV416/FT416-1)*100)))</f>
        <v>NA</v>
      </c>
      <c r="FX416" s="483">
        <f>(-FX408)/FX405*100</f>
        <v>8.9137826730917666</v>
      </c>
      <c r="FY416" s="98">
        <f>IF(ISERROR((FX416/FV416-1)*100),"NA",IF(((FX416/FV416-1)*100)&gt;100,"NM",IF(((FX416/FV416-1)*100)&lt;-50,"NM",(FX416/FV416-1)*100)))</f>
        <v>-29.230387953136137</v>
      </c>
      <c r="FZ416" s="106">
        <f>(-FZ408)/FZ405*100</f>
        <v>6.9806285288938108</v>
      </c>
      <c r="GA416" s="98">
        <f>IF(ISERROR((FZ416/FX416-1)*100),"NA",IF(((FZ416/FX416-1)*100)&gt;100,"NM",IF(((FZ416/FX416-1)*100)&lt;-50,"NM",(FZ416/FX416-1)*100)))</f>
        <v>-21.687247884488048</v>
      </c>
      <c r="GB416" s="483">
        <f>(-GB408)/GB405*100</f>
        <v>8.110499410145497</v>
      </c>
      <c r="GC416" s="98">
        <f>IF(ISERROR((GB416/FZ416-1)*100),"NA",IF(((GB416/FZ416-1)*100)&gt;100,"NM",IF(((GB416/FZ416-1)*100)&lt;-50,"NM",(GB416/FZ416-1)*100)))</f>
        <v>16.185804423985473</v>
      </c>
      <c r="GD416" s="106">
        <f>(-GD408)/GD405*100</f>
        <v>8.0261229336351327</v>
      </c>
      <c r="GE416" s="98">
        <f>IF(ISERROR((GD416/GB416-1)*100),"NA",IF(((GD416/GB416-1)*100)&gt;100,"NM",IF(((GD416/GB416-1)*100)&lt;-50,"NM",(GD416/GB416-1)*100)))</f>
        <v>-1.0403363867435456</v>
      </c>
      <c r="GF416" s="106">
        <f>(-GF408)/GF405*100</f>
        <v>8.344650964262156</v>
      </c>
      <c r="GG416" s="98">
        <f>IF(ISERROR((GF416/GD416-1)*100),"NA",IF(((GF416/GD416-1)*100)&gt;100,"NM",IF(((GF416/GD416-1)*100)&lt;-50,"NM",(GF416/GD416-1)*100)))</f>
        <v>3.9686413136305942</v>
      </c>
      <c r="GH416" s="106">
        <f>(-GH408)/GH405*100</f>
        <v>9.5535030220481829</v>
      </c>
      <c r="GI416" s="98">
        <f>IF(ISERROR((GH416/GF416-1)*100),"NA",IF(((GH416/GF416-1)*100)&gt;100,"NM",IF(((GH416/GF416-1)*100)&lt;-50,"NM",(GH416/GF416-1)*100)))</f>
        <v>14.486550281889654</v>
      </c>
      <c r="GJ416" s="106">
        <f>(-GJ408)/GJ405*100</f>
        <v>3.2122081849165873</v>
      </c>
      <c r="GK416" s="98" t="str">
        <f>IF(ISERROR((GJ416/GH416-1)*100),"NA",IF(((GJ416/GH416-1)*100)&gt;100,"NM",IF(((GJ416/GH416-1)*100)&lt;-50,"NM",(GJ416/GH416-1)*100)))</f>
        <v>NM</v>
      </c>
      <c r="GL416" s="106">
        <f>(-GL408)/GL405*100</f>
        <v>3.1180232338139025</v>
      </c>
      <c r="GM416" s="98">
        <f>IF(ISERROR((GL416/GJ416-1)*100),"NA",IF(((GL416/GJ416-1)*100)&gt;100,"NM",IF(((GL416/GJ416-1)*100)&lt;-50,"NM",(GL416/GJ416-1)*100)))</f>
        <v>-2.9320936153809929</v>
      </c>
      <c r="GN416" s="106">
        <f>(-GN408)/GN405*100</f>
        <v>3.0454652415689285</v>
      </c>
      <c r="GO416" s="98">
        <f>IF(ISERROR((GN416/GL416-1)*100),"NA",IF(((GN416/GL416-1)*100)&gt;100,"NM",IF(((GN416/GL416-1)*100)&lt;-50,"NM",(GN416/GL416-1)*100)))</f>
        <v>-2.3270510449732162</v>
      </c>
      <c r="GP416" s="106">
        <f>(-GP408)/GP405*100</f>
        <v>3.1907499392399203</v>
      </c>
      <c r="GQ416" s="98">
        <f>IF(ISERROR((GP416/GN416-1)*100),"NA",IF(((GP416/GN416-1)*100)&gt;100,"NM",IF(((GP416/GN416-1)*100)&lt;-50,"NM",(GP416/GN416-1)*100)))</f>
        <v>4.7705255567502602</v>
      </c>
      <c r="GR416" s="110">
        <f>GP416+0.5</f>
        <v>3.6907499392399203</v>
      </c>
      <c r="GS416" s="98">
        <f>IF(ISERROR((GR416/GP416-1)*100),"NA",IF(((GR416/GP416-1)*100)&gt;100,"NM",IF(((GR416/GP416-1)*100)&lt;-50,"NM",(GR416/GP416-1)*100)))</f>
        <v>15.670297250529973</v>
      </c>
      <c r="GT416" s="110">
        <f>GR416+0.5</f>
        <v>4.1907499392399199</v>
      </c>
      <c r="GU416" s="98">
        <f>IF(ISERROR((GT416/GR416-1)*100),"NA",IF(((GT416/GR416-1)*100)&gt;100,"NM",IF(((GT416/GR416-1)*100)&lt;-50,"NM",(GT416/GR416-1)*100)))</f>
        <v>13.547382191462432</v>
      </c>
      <c r="GV416" s="110">
        <f>GT416+0.5</f>
        <v>4.6907499392399199</v>
      </c>
      <c r="GW416" s="98">
        <f>IF(ISERROR((GV416/GT416-1)*100),"NA",IF(((GV416/GT416-1)*100)&gt;100,"NM",IF(((GV416/GT416-1)*100)&lt;-50,"NM",(GV416/GT416-1)*100)))</f>
        <v>11.931038769893432</v>
      </c>
      <c r="GX416" s="110">
        <f>GV416+0.5</f>
        <v>5.1907499392399199</v>
      </c>
      <c r="GY416" s="98">
        <f>IF(ISERROR((GX416/GV416-1)*100),"NA",IF(((GX416/GV416-1)*100)&gt;100,"NM",IF(((GX416/GV416-1)*100)&lt;-50,"NM",(GX416/GV416-1)*100)))</f>
        <v>10.659276373215043</v>
      </c>
      <c r="GZ416" s="98">
        <f>IF(ISERROR(((GX416/GN416)^0.2-1)*100),"NA",IF((((GX416/GN416)^0.2-1)*100)&gt;100,"NM",IF((((GX416/GN416)^0.2-1)*100)&lt;-50,"NM",((GX416/GN416)^0.2-1)*100)))</f>
        <v>11.253912291357103</v>
      </c>
      <c r="HA416" s="98"/>
      <c r="HB416" s="10"/>
      <c r="HC416"/>
      <c r="HD416"/>
      <c r="HE416"/>
      <c r="HF416"/>
      <c r="HG416"/>
      <c r="HH416"/>
      <c r="HI416" s="10"/>
    </row>
    <row r="417" spans="1:217" s="2" customFormat="1" ht="12.75" customHeight="1" x14ac:dyDescent="0.2">
      <c r="B417" s="102" t="s">
        <v>119</v>
      </c>
      <c r="C417" s="137"/>
      <c r="D417" s="98"/>
      <c r="E417" s="137"/>
      <c r="F417" s="98"/>
      <c r="G417" s="137"/>
      <c r="H417" s="98"/>
      <c r="I417" s="137"/>
      <c r="J417" s="98"/>
      <c r="K417" s="137"/>
      <c r="L417" s="98"/>
      <c r="M417" s="137"/>
      <c r="N417" s="98"/>
      <c r="O417" s="137"/>
      <c r="P417" s="98"/>
      <c r="Q417" s="137"/>
      <c r="R417" s="98"/>
      <c r="S417" s="137"/>
      <c r="T417" s="98"/>
      <c r="U417" s="137"/>
      <c r="V417" s="98"/>
      <c r="W417" s="137"/>
      <c r="X417" s="98"/>
      <c r="Y417" s="137"/>
      <c r="Z417" s="98"/>
      <c r="AA417" s="137"/>
      <c r="AB417" s="98"/>
      <c r="AC417" s="137"/>
      <c r="AD417" s="98"/>
      <c r="AE417" s="137"/>
      <c r="AF417" s="98"/>
      <c r="AG417" s="137"/>
      <c r="AH417" s="98"/>
      <c r="AI417" s="137"/>
      <c r="AJ417" s="98"/>
      <c r="AK417" s="137"/>
      <c r="AL417" s="98"/>
      <c r="AM417" s="137"/>
      <c r="AN417" s="98"/>
      <c r="AO417" s="137"/>
      <c r="AP417" s="98"/>
      <c r="AQ417" s="137"/>
      <c r="AR417" s="98"/>
      <c r="AS417" s="137"/>
      <c r="AT417" s="98"/>
      <c r="AU417" s="137"/>
      <c r="AV417" s="98"/>
      <c r="AW417" s="137"/>
      <c r="AX417" s="98"/>
      <c r="AY417" s="137"/>
      <c r="AZ417" s="98"/>
      <c r="BA417" s="137"/>
      <c r="BB417" s="98"/>
      <c r="BC417" s="137"/>
      <c r="BD417" s="98"/>
      <c r="BE417" s="137"/>
      <c r="BF417" s="98"/>
      <c r="BG417" s="137"/>
      <c r="BH417" s="98"/>
      <c r="BI417" s="137"/>
      <c r="BJ417" s="98"/>
      <c r="BK417" s="137"/>
      <c r="BL417" s="98"/>
      <c r="BM417" s="137"/>
      <c r="BN417" s="98"/>
      <c r="BO417" s="137"/>
      <c r="BP417" s="98"/>
      <c r="BQ417" s="137"/>
      <c r="BR417" s="98"/>
      <c r="BS417" s="137"/>
      <c r="BT417" s="98"/>
      <c r="BU417" s="137"/>
      <c r="BV417" s="98"/>
      <c r="BW417" s="137"/>
      <c r="BX417" s="98"/>
      <c r="BY417" s="137"/>
      <c r="BZ417" s="98"/>
      <c r="CA417" s="137"/>
      <c r="CB417" s="98"/>
      <c r="CC417" s="137"/>
      <c r="CD417" s="98"/>
      <c r="CE417" s="137"/>
      <c r="CF417" s="98"/>
      <c r="CG417" s="137"/>
      <c r="CH417" s="98"/>
      <c r="CI417" s="137"/>
      <c r="CJ417" s="98"/>
      <c r="CK417" s="137"/>
      <c r="CL417" s="98"/>
      <c r="CM417" s="137"/>
      <c r="CN417" s="98"/>
      <c r="CO417" s="137"/>
      <c r="CP417" s="98"/>
      <c r="CQ417" s="494"/>
      <c r="CR417" s="98"/>
      <c r="CS417" s="137"/>
      <c r="CT417" s="98"/>
      <c r="CU417" s="137"/>
      <c r="CV417" s="98"/>
      <c r="CW417" s="137"/>
      <c r="CX417" s="98"/>
      <c r="CY417" s="137"/>
      <c r="CZ417" s="98"/>
      <c r="DA417" s="137"/>
      <c r="DB417" s="98"/>
      <c r="DC417" s="137"/>
      <c r="DD417" s="98"/>
      <c r="DE417" s="137"/>
      <c r="DF417" s="98"/>
      <c r="DG417" s="137"/>
      <c r="DH417" s="98"/>
      <c r="DI417" s="137"/>
      <c r="DJ417" s="98"/>
      <c r="DK417" s="137"/>
      <c r="DL417" s="98"/>
      <c r="DM417" s="137"/>
      <c r="DN417" s="98"/>
      <c r="DO417" s="137"/>
      <c r="DP417" s="98"/>
      <c r="DQ417" s="137"/>
      <c r="DR417" s="98"/>
      <c r="DS417" s="137">
        <f>(-DS409*4)/DS405*100</f>
        <v>4.1513978935499578</v>
      </c>
      <c r="DT417" s="98"/>
      <c r="DU417" s="137">
        <f>(-DU409*4)/DU405*100</f>
        <v>3.4718582622812515</v>
      </c>
      <c r="DV417" s="98"/>
      <c r="DW417" s="137">
        <f>(-DW409*4)/DW405*100</f>
        <v>3.6040175096034814</v>
      </c>
      <c r="DX417" s="98"/>
      <c r="DY417" s="137">
        <f>(-DY409*4)/DY405*100</f>
        <v>3.4153386201829283</v>
      </c>
      <c r="DZ417" s="98"/>
      <c r="EA417" s="137">
        <f>(-EA409*4)/EA405*100</f>
        <v>3.8041901590545026</v>
      </c>
      <c r="EB417" s="98"/>
      <c r="EC417" s="137">
        <f>(-EC409*4)/EC405*100</f>
        <v>3.627085574205168</v>
      </c>
      <c r="ED417" s="98"/>
      <c r="EE417" s="137">
        <f>(-EE409*4)/EE405*100</f>
        <v>3.5339016653449642</v>
      </c>
      <c r="EF417" s="860"/>
      <c r="EG417" s="137">
        <f>(-EG409*4)/EG405*100</f>
        <v>3.5174389882422683</v>
      </c>
      <c r="EH417" s="860"/>
      <c r="EI417" s="137">
        <f>(-EI409*4)/EI405*100</f>
        <v>3.7798942323173526</v>
      </c>
      <c r="EJ417" s="860"/>
      <c r="EK417" s="137">
        <f>(-EK409*4)/EK405*100</f>
        <v>3.2512303119257</v>
      </c>
      <c r="EL417" s="860"/>
      <c r="EM417" s="137">
        <f>(-EM409*4)/EM405*100</f>
        <v>3.1654073243186609</v>
      </c>
      <c r="EN417" s="860"/>
      <c r="EO417" s="137">
        <f>(-EO409*4)/EO405*100</f>
        <v>3.3391526715680251</v>
      </c>
      <c r="EP417" s="98"/>
      <c r="EQ417" s="1035">
        <f>EO417</f>
        <v>3.3391526715680251</v>
      </c>
      <c r="ER417" s="98"/>
      <c r="ES417" s="1035">
        <f t="shared" si="2417"/>
        <v>3.3391526715680251</v>
      </c>
      <c r="ET417" s="98"/>
      <c r="EU417" s="1035">
        <f t="shared" si="2419"/>
        <v>3.3391526715680251</v>
      </c>
      <c r="EV417" s="98"/>
      <c r="EW417" s="1035">
        <f t="shared" si="2421"/>
        <v>3.3391526715680251</v>
      </c>
      <c r="EX417" s="98"/>
      <c r="EY417" s="110"/>
      <c r="EZ417" s="594"/>
      <c r="FA417" s="405"/>
      <c r="FB417" s="163"/>
      <c r="FC417" s="98"/>
      <c r="FD417" s="137"/>
      <c r="FE417" s="98"/>
      <c r="FF417" s="125"/>
      <c r="FG417" s="98"/>
      <c r="FH417" s="125"/>
      <c r="FI417" s="98"/>
      <c r="FJ417" s="125"/>
      <c r="FK417" s="98"/>
      <c r="FL417" s="125"/>
      <c r="FM417" s="98"/>
      <c r="FN417" s="125"/>
      <c r="FO417" s="98"/>
      <c r="FP417" s="125"/>
      <c r="FQ417" s="98"/>
      <c r="FR417" s="106"/>
      <c r="FS417" s="120"/>
      <c r="FT417" s="106"/>
      <c r="FU417" s="120"/>
      <c r="FV417" s="106"/>
      <c r="FW417" s="98"/>
      <c r="FX417" s="483"/>
      <c r="FY417" s="98"/>
      <c r="FZ417" s="106"/>
      <c r="GA417" s="98"/>
      <c r="GB417" s="483"/>
      <c r="GC417" s="98"/>
      <c r="GD417" s="106"/>
      <c r="GE417" s="98"/>
      <c r="GF417" s="106"/>
      <c r="GG417" s="98"/>
      <c r="GH417" s="106"/>
      <c r="GI417" s="98"/>
      <c r="GJ417" s="106">
        <f>(-GJ409)/GJ405*100</f>
        <v>3.6760372088255644</v>
      </c>
      <c r="GK417" s="98" t="str">
        <f>IF(ISERROR((GJ417/GH417-1)*100),"NA",IF(((GJ417/GH417-1)*100)&gt;100,"NM",IF(((GJ417/GH417-1)*100)&lt;-50,"NM",(GJ417/GH417-1)*100)))</f>
        <v>NA</v>
      </c>
      <c r="GL417" s="106">
        <f>(-GL409)/GL405*100</f>
        <v>3.6629204979755552</v>
      </c>
      <c r="GM417" s="98">
        <f>IF(ISERROR((GL417/GJ417-1)*100),"NA",IF(((GL417/GJ417-1)*100)&gt;100,"NM",IF(((GL417/GJ417-1)*100)&lt;-50,"NM",(GL417/GJ417-1)*100)))</f>
        <v>-0.35681659637497587</v>
      </c>
      <c r="GN417" s="106">
        <f>(-GN409)/GN405*100</f>
        <v>3.3971985187570439</v>
      </c>
      <c r="GO417" s="98">
        <f>IF(ISERROR((GN417/GL417-1)*100),"NA",IF(((GN417/GL417-1)*100)&gt;100,"NM",IF(((GN417/GL417-1)*100)&lt;-50,"NM",(GN417/GL417-1)*100)))</f>
        <v>-7.2543747363714832</v>
      </c>
      <c r="GP417" s="106">
        <f>(-GP409)/GP405*100</f>
        <v>3.3537449051763248</v>
      </c>
      <c r="GQ417" s="98">
        <f>IF(ISERROR((GP417/GN417-1)*100),"NA",IF(((GP417/GN417-1)*100)&gt;100,"NM",IF(((GP417/GN417-1)*100)&lt;-50,"NM",(GP417/GN417-1)*100)))</f>
        <v>-1.2791013931272355</v>
      </c>
      <c r="GR417" s="110">
        <f>GP417</f>
        <v>3.3537449051763248</v>
      </c>
      <c r="GS417" s="98">
        <f>IF(ISERROR((GR417/GP417-1)*100),"NA",IF(((GR417/GP417-1)*100)&gt;100,"NM",IF(((GR417/GP417-1)*100)&lt;-50,"NM",(GR417/GP417-1)*100)))</f>
        <v>0</v>
      </c>
      <c r="GT417" s="110">
        <f>GR417</f>
        <v>3.3537449051763248</v>
      </c>
      <c r="GU417" s="98">
        <f>IF(ISERROR((GT417/GR417-1)*100),"NA",IF(((GT417/GR417-1)*100)&gt;100,"NM",IF(((GT417/GR417-1)*100)&lt;-50,"NM",(GT417/GR417-1)*100)))</f>
        <v>0</v>
      </c>
      <c r="GV417" s="110">
        <f>GT417</f>
        <v>3.3537449051763248</v>
      </c>
      <c r="GW417" s="98">
        <f>IF(ISERROR((GV417/GT417-1)*100),"NA",IF(((GV417/GT417-1)*100)&gt;100,"NM",IF(((GV417/GT417-1)*100)&lt;-50,"NM",(GV417/GT417-1)*100)))</f>
        <v>0</v>
      </c>
      <c r="GX417" s="110">
        <f>GV417</f>
        <v>3.3537449051763248</v>
      </c>
      <c r="GY417" s="98">
        <f>IF(ISERROR((GX417/GV417-1)*100),"NA",IF(((GX417/GV417-1)*100)&gt;100,"NM",IF(((GX417/GV417-1)*100)&lt;-50,"NM",(GX417/GV417-1)*100)))</f>
        <v>0</v>
      </c>
      <c r="GZ417" s="98"/>
      <c r="HA417" s="98"/>
      <c r="HB417" s="10"/>
      <c r="HC417"/>
      <c r="HD417"/>
      <c r="HE417"/>
      <c r="HF417"/>
      <c r="HG417"/>
      <c r="HH417"/>
      <c r="HI417" s="10"/>
    </row>
    <row r="418" spans="1:217" s="2" customFormat="1" ht="12.75" customHeight="1" x14ac:dyDescent="0.2">
      <c r="C418" s="10"/>
      <c r="D418" s="13"/>
      <c r="E418" s="10"/>
      <c r="F418" s="13"/>
      <c r="G418" s="10"/>
      <c r="H418" s="13"/>
      <c r="I418" s="10"/>
      <c r="J418" s="98"/>
      <c r="K418" s="10"/>
      <c r="L418" s="98"/>
      <c r="M418" s="10"/>
      <c r="N418" s="98"/>
      <c r="O418" s="10"/>
      <c r="P418" s="98"/>
      <c r="Q418" s="10"/>
      <c r="R418" s="98"/>
      <c r="S418" s="10"/>
      <c r="T418" s="98"/>
      <c r="U418" s="10"/>
      <c r="V418" s="98"/>
      <c r="W418" s="10"/>
      <c r="X418" s="98"/>
      <c r="Y418" s="10"/>
      <c r="Z418" s="98"/>
      <c r="AA418" s="10"/>
      <c r="AB418" s="98"/>
      <c r="AC418" s="10"/>
      <c r="AD418" s="98"/>
      <c r="AE418" s="10"/>
      <c r="AF418" s="98"/>
      <c r="AG418" s="23"/>
      <c r="AH418" s="98"/>
      <c r="AI418" s="23"/>
      <c r="AJ418" s="98"/>
      <c r="AK418" s="23"/>
      <c r="AL418" s="98"/>
      <c r="AM418" s="23"/>
      <c r="AN418" s="98"/>
      <c r="AO418" s="23"/>
      <c r="AP418" s="98"/>
      <c r="AQ418" s="23"/>
      <c r="AR418" s="98"/>
      <c r="AS418" s="23"/>
      <c r="AT418" s="98"/>
      <c r="AU418" s="23"/>
      <c r="AV418" s="98"/>
      <c r="AW418" s="23"/>
      <c r="AX418" s="98"/>
      <c r="AY418" s="23"/>
      <c r="AZ418" s="98"/>
      <c r="BA418" s="23"/>
      <c r="BB418" s="98"/>
      <c r="BC418" s="23"/>
      <c r="BD418" s="98"/>
      <c r="BE418" s="23"/>
      <c r="BF418" s="98"/>
      <c r="BG418" s="23"/>
      <c r="BH418" s="98"/>
      <c r="BI418" s="23"/>
      <c r="BJ418" s="98"/>
      <c r="BK418" s="23"/>
      <c r="BL418" s="98"/>
      <c r="BM418" s="23"/>
      <c r="BN418" s="98"/>
      <c r="BO418" s="23"/>
      <c r="BP418" s="98"/>
      <c r="BQ418" s="23"/>
      <c r="BR418" s="98"/>
      <c r="BS418" s="23"/>
      <c r="BT418" s="98"/>
      <c r="BU418" s="23"/>
      <c r="BV418" s="98"/>
      <c r="BW418" s="23"/>
      <c r="BX418" s="98"/>
      <c r="BY418" s="23"/>
      <c r="BZ418" s="98"/>
      <c r="CA418" s="23"/>
      <c r="CB418" s="98"/>
      <c r="CC418" s="23"/>
      <c r="CD418" s="98"/>
      <c r="CE418" s="23"/>
      <c r="CF418" s="98"/>
      <c r="CG418" s="23"/>
      <c r="CH418" s="98"/>
      <c r="CI418" s="23"/>
      <c r="CJ418" s="98"/>
      <c r="CK418" s="23"/>
      <c r="CL418" s="98"/>
      <c r="CM418" s="23"/>
      <c r="CN418" s="98"/>
      <c r="CO418" s="23"/>
      <c r="CP418" s="98"/>
      <c r="CQ418" s="541"/>
      <c r="CR418" s="98"/>
      <c r="CS418" s="23"/>
      <c r="CT418" s="98"/>
      <c r="CU418" s="23"/>
      <c r="CV418" s="98"/>
      <c r="CW418" s="23"/>
      <c r="CX418" s="98"/>
      <c r="CY418" s="23"/>
      <c r="CZ418" s="98"/>
      <c r="DA418" s="23"/>
      <c r="DB418" s="98"/>
      <c r="DC418" s="23"/>
      <c r="DD418" s="98"/>
      <c r="DE418" s="23"/>
      <c r="DF418" s="98"/>
      <c r="DG418" s="23"/>
      <c r="DH418" s="98"/>
      <c r="DI418" s="23"/>
      <c r="DJ418" s="98"/>
      <c r="DK418" s="23"/>
      <c r="DL418" s="98"/>
      <c r="DM418" s="23"/>
      <c r="DN418" s="98"/>
      <c r="DO418" s="23"/>
      <c r="DP418" s="98"/>
      <c r="DQ418" s="23"/>
      <c r="DR418" s="98"/>
      <c r="DS418" s="23"/>
      <c r="DT418" s="98"/>
      <c r="DU418" s="23"/>
      <c r="DV418" s="98"/>
      <c r="DW418" s="23"/>
      <c r="DX418" s="98"/>
      <c r="DY418" s="23"/>
      <c r="DZ418" s="98"/>
      <c r="EA418" s="23"/>
      <c r="EB418" s="98"/>
      <c r="EC418" s="23"/>
      <c r="ED418" s="98"/>
      <c r="EE418" s="23"/>
      <c r="EF418" s="860"/>
      <c r="EG418" s="23"/>
      <c r="EH418" s="860"/>
      <c r="EI418" s="23"/>
      <c r="EJ418" s="860"/>
      <c r="EK418" s="23"/>
      <c r="EL418" s="860"/>
      <c r="EM418" s="23"/>
      <c r="EN418" s="860"/>
      <c r="EO418" s="23"/>
      <c r="EP418" s="98"/>
      <c r="EQ418" s="1009"/>
      <c r="ER418" s="98"/>
      <c r="ES418" s="1009"/>
      <c r="ET418" s="98"/>
      <c r="EU418" s="1009"/>
      <c r="EV418" s="98"/>
      <c r="EW418" s="1009"/>
      <c r="EX418" s="98"/>
      <c r="EY418" s="24"/>
      <c r="EZ418" s="594"/>
      <c r="FA418" s="405"/>
      <c r="FB418" s="10"/>
      <c r="FC418" s="13"/>
      <c r="FD418" s="10"/>
      <c r="FE418" s="14"/>
      <c r="FF418" s="25"/>
      <c r="FG418" s="14"/>
      <c r="FH418" s="25"/>
      <c r="FI418" s="14"/>
      <c r="FJ418" s="25"/>
      <c r="FK418" s="14"/>
      <c r="FL418" s="25"/>
      <c r="FM418" s="14"/>
      <c r="FN418" s="25"/>
      <c r="FO418" s="14"/>
      <c r="FP418" s="25"/>
      <c r="FQ418" s="14"/>
      <c r="FR418" s="24"/>
      <c r="FS418" s="305"/>
      <c r="FT418" s="24"/>
      <c r="FU418" s="305"/>
      <c r="FV418" s="24"/>
      <c r="FW418" s="98"/>
      <c r="FX418" s="470"/>
      <c r="FY418" s="98"/>
      <c r="FZ418" s="24"/>
      <c r="GA418" s="98"/>
      <c r="GB418" s="470"/>
      <c r="GC418" s="98"/>
      <c r="GD418" s="24"/>
      <c r="GE418" s="98"/>
      <c r="GF418" s="24"/>
      <c r="GG418" s="98"/>
      <c r="GH418" s="24"/>
      <c r="GI418" s="98"/>
      <c r="GJ418" s="24"/>
      <c r="GK418" s="98"/>
      <c r="GL418" s="24"/>
      <c r="GM418" s="98"/>
      <c r="GN418" s="24"/>
      <c r="GO418" s="98"/>
      <c r="GP418" s="24"/>
      <c r="GQ418" s="98"/>
      <c r="GR418" s="24"/>
      <c r="GS418" s="98"/>
      <c r="GT418" s="24"/>
      <c r="GU418" s="98"/>
      <c r="GV418" s="24"/>
      <c r="GW418" s="98"/>
      <c r="GX418" s="24"/>
      <c r="GY418" s="98"/>
      <c r="GZ418" s="98"/>
      <c r="HA418" s="98"/>
      <c r="HB418" s="10"/>
      <c r="HC418"/>
      <c r="HD418"/>
      <c r="HE418"/>
      <c r="HF418"/>
      <c r="HG418"/>
      <c r="HH418"/>
      <c r="HI418" s="10"/>
    </row>
    <row r="419" spans="1:217" s="2" customFormat="1" ht="12.75" customHeight="1" x14ac:dyDescent="0.2">
      <c r="B419" s="93" t="s">
        <v>733</v>
      </c>
      <c r="C419" s="112"/>
      <c r="D419" s="113"/>
      <c r="E419" s="112"/>
      <c r="F419" s="113"/>
      <c r="G419" s="112"/>
      <c r="H419" s="113"/>
      <c r="I419" s="112"/>
      <c r="J419" s="98"/>
      <c r="K419" s="112"/>
      <c r="L419" s="98"/>
      <c r="M419" s="112"/>
      <c r="N419" s="98"/>
      <c r="O419" s="112"/>
      <c r="P419" s="98"/>
      <c r="Q419" s="112"/>
      <c r="R419" s="98"/>
      <c r="S419" s="112"/>
      <c r="T419" s="98"/>
      <c r="U419" s="112"/>
      <c r="V419" s="98"/>
      <c r="W419" s="112"/>
      <c r="X419" s="98"/>
      <c r="Y419" s="112"/>
      <c r="Z419" s="98"/>
      <c r="AA419" s="112"/>
      <c r="AB419" s="98"/>
      <c r="AC419" s="112"/>
      <c r="AD419" s="98"/>
      <c r="AE419" s="112"/>
      <c r="AF419" s="98"/>
      <c r="AG419" s="112"/>
      <c r="AH419" s="98"/>
      <c r="AI419" s="112"/>
      <c r="AJ419" s="98"/>
      <c r="AK419" s="112"/>
      <c r="AL419" s="98"/>
      <c r="AM419" s="23"/>
      <c r="AN419" s="98"/>
      <c r="AO419" s="23"/>
      <c r="AP419" s="98"/>
      <c r="AQ419" s="23"/>
      <c r="AR419" s="98"/>
      <c r="AS419" s="23"/>
      <c r="AT419" s="98"/>
      <c r="AU419" s="23"/>
      <c r="AV419" s="98"/>
      <c r="AW419" s="23"/>
      <c r="AX419" s="98"/>
      <c r="AY419" s="23"/>
      <c r="AZ419" s="98"/>
      <c r="BA419" s="23"/>
      <c r="BB419" s="98"/>
      <c r="BC419" s="23"/>
      <c r="BD419" s="98"/>
      <c r="BE419" s="23"/>
      <c r="BF419" s="98"/>
      <c r="BG419" s="23"/>
      <c r="BH419" s="98"/>
      <c r="BI419" s="23"/>
      <c r="BJ419" s="98"/>
      <c r="BK419" s="23"/>
      <c r="BL419" s="98"/>
      <c r="BM419" s="23"/>
      <c r="BN419" s="98"/>
      <c r="BO419" s="23"/>
      <c r="BP419" s="98"/>
      <c r="BQ419" s="23"/>
      <c r="BR419" s="98"/>
      <c r="BS419" s="23"/>
      <c r="BT419" s="98"/>
      <c r="BU419" s="23"/>
      <c r="BV419" s="98"/>
      <c r="BW419" s="23"/>
      <c r="BX419" s="98"/>
      <c r="BY419" s="23"/>
      <c r="BZ419" s="98"/>
      <c r="CA419" s="23"/>
      <c r="CB419" s="98"/>
      <c r="CC419" s="23"/>
      <c r="CD419" s="98"/>
      <c r="CE419" s="23"/>
      <c r="CF419" s="98"/>
      <c r="CG419" s="23"/>
      <c r="CH419" s="98"/>
      <c r="CI419" s="23"/>
      <c r="CJ419" s="98"/>
      <c r="CK419" s="23"/>
      <c r="CL419" s="98"/>
      <c r="CM419" s="23"/>
      <c r="CN419" s="98"/>
      <c r="CO419" s="23"/>
      <c r="CP419" s="98"/>
      <c r="CQ419" s="541"/>
      <c r="CR419" s="98"/>
      <c r="CS419" s="23"/>
      <c r="CT419" s="98"/>
      <c r="CU419" s="23"/>
      <c r="CV419" s="98"/>
      <c r="CW419" s="23"/>
      <c r="CX419" s="98"/>
      <c r="CY419" s="23"/>
      <c r="CZ419" s="98"/>
      <c r="DA419" s="23"/>
      <c r="DB419" s="98"/>
      <c r="DC419" s="23"/>
      <c r="DD419" s="98"/>
      <c r="DE419" s="23"/>
      <c r="DF419" s="98"/>
      <c r="DG419" s="23"/>
      <c r="DH419" s="98"/>
      <c r="DI419" s="23"/>
      <c r="DJ419" s="98"/>
      <c r="DK419" s="748"/>
      <c r="DL419" s="747"/>
      <c r="DM419" s="748"/>
      <c r="DN419" s="98"/>
      <c r="DO419" s="748"/>
      <c r="DP419" s="98"/>
      <c r="DQ419" s="748"/>
      <c r="DR419" s="98"/>
      <c r="DS419" s="748"/>
      <c r="DT419" s="98"/>
      <c r="DU419" s="748"/>
      <c r="DV419" s="98"/>
      <c r="DW419" s="748"/>
      <c r="DX419" s="98"/>
      <c r="DY419" s="748"/>
      <c r="DZ419" s="98"/>
      <c r="EA419" s="748"/>
      <c r="EB419" s="98"/>
      <c r="EC419" s="748"/>
      <c r="ED419" s="98"/>
      <c r="EE419" s="748"/>
      <c r="EF419" s="860"/>
      <c r="EG419" s="748"/>
      <c r="EH419" s="860"/>
      <c r="EI419" s="748"/>
      <c r="EJ419" s="860"/>
      <c r="EK419" s="748"/>
      <c r="EL419" s="860"/>
      <c r="EM419" s="748"/>
      <c r="EN419" s="860"/>
      <c r="EO419" s="748"/>
      <c r="EP419" s="98"/>
      <c r="EQ419" s="1022"/>
      <c r="ER419" s="98"/>
      <c r="ES419" s="1022"/>
      <c r="ET419" s="98"/>
      <c r="EU419" s="1022"/>
      <c r="EV419" s="98"/>
      <c r="EW419" s="1022"/>
      <c r="EX419" s="98"/>
      <c r="EY419" s="114"/>
      <c r="EZ419" s="594"/>
      <c r="FA419" s="405"/>
      <c r="FB419" s="112"/>
      <c r="FC419" s="113"/>
      <c r="FD419" s="112"/>
      <c r="FE419" s="113"/>
      <c r="FF419" s="114"/>
      <c r="FG419" s="113"/>
      <c r="FH419" s="114"/>
      <c r="FI419" s="113"/>
      <c r="FJ419" s="114"/>
      <c r="FK419" s="113"/>
      <c r="FL419" s="114"/>
      <c r="FM419" s="113"/>
      <c r="FN419" s="114"/>
      <c r="FO419" s="113"/>
      <c r="FP419" s="114"/>
      <c r="FQ419" s="113"/>
      <c r="FR419" s="115"/>
      <c r="FS419" s="116"/>
      <c r="FT419" s="115"/>
      <c r="FU419" s="116"/>
      <c r="FV419" s="115"/>
      <c r="FW419" s="98"/>
      <c r="FX419" s="484"/>
      <c r="FY419" s="98"/>
      <c r="FZ419" s="115"/>
      <c r="GA419" s="98"/>
      <c r="GB419" s="484"/>
      <c r="GC419" s="98"/>
      <c r="GD419" s="115"/>
      <c r="GE419" s="98"/>
      <c r="GF419" s="115"/>
      <c r="GG419" s="98"/>
      <c r="GH419" s="115"/>
      <c r="GI419" s="98"/>
      <c r="GJ419" s="115"/>
      <c r="GK419" s="98"/>
      <c r="GL419" s="115"/>
      <c r="GM419" s="98"/>
      <c r="GN419" s="115"/>
      <c r="GO419" s="98"/>
      <c r="GP419" s="115"/>
      <c r="GQ419" s="98"/>
      <c r="GR419" s="114"/>
      <c r="GS419" s="98"/>
      <c r="GT419" s="114"/>
      <c r="GU419" s="98"/>
      <c r="GV419" s="114"/>
      <c r="GW419" s="98"/>
      <c r="GX419" s="114"/>
      <c r="GY419" s="98"/>
      <c r="GZ419" s="98"/>
      <c r="HA419" s="98"/>
      <c r="HB419" s="10"/>
      <c r="HC419"/>
      <c r="HD419"/>
      <c r="HE419"/>
      <c r="HF419"/>
      <c r="HG419"/>
      <c r="HH419"/>
      <c r="HI419" s="10"/>
    </row>
    <row r="420" spans="1:217" s="2" customFormat="1" ht="12.75" customHeight="1" x14ac:dyDescent="0.2">
      <c r="B420" s="91" t="s">
        <v>310</v>
      </c>
      <c r="C420" s="117"/>
      <c r="D420" s="98"/>
      <c r="E420" s="117"/>
      <c r="F420" s="98"/>
      <c r="G420" s="117"/>
      <c r="H420" s="98"/>
      <c r="I420" s="117"/>
      <c r="J420" s="98"/>
      <c r="K420" s="117"/>
      <c r="L420" s="98"/>
      <c r="M420" s="117"/>
      <c r="N420" s="98"/>
      <c r="O420" s="117"/>
      <c r="P420" s="98"/>
      <c r="Q420" s="117"/>
      <c r="R420" s="98"/>
      <c r="S420" s="117"/>
      <c r="T420" s="98"/>
      <c r="U420" s="117"/>
      <c r="V420" s="98"/>
      <c r="W420" s="117"/>
      <c r="X420" s="98"/>
      <c r="Y420" s="117"/>
      <c r="Z420" s="98"/>
      <c r="AA420" s="101"/>
      <c r="AB420" s="98"/>
      <c r="AC420" s="117"/>
      <c r="AD420" s="98"/>
      <c r="AE420" s="117"/>
      <c r="AF420" s="98"/>
      <c r="AG420" s="117"/>
      <c r="AH420" s="98"/>
      <c r="AI420" s="117"/>
      <c r="AJ420" s="98"/>
      <c r="AK420" s="117"/>
      <c r="AL420" s="98"/>
      <c r="AM420" s="117"/>
      <c r="AN420" s="98"/>
      <c r="AO420" s="117"/>
      <c r="AP420" s="98"/>
      <c r="AQ420" s="117"/>
      <c r="AR420" s="98"/>
      <c r="AS420" s="117"/>
      <c r="AT420" s="98"/>
      <c r="AU420" s="117"/>
      <c r="AV420" s="98"/>
      <c r="AW420" s="117"/>
      <c r="AX420" s="98"/>
      <c r="AY420" s="117"/>
      <c r="AZ420" s="98"/>
      <c r="BA420" s="117"/>
      <c r="BB420" s="98"/>
      <c r="BC420" s="117"/>
      <c r="BD420" s="98"/>
      <c r="BE420" s="117"/>
      <c r="BF420" s="98"/>
      <c r="BG420" s="117"/>
      <c r="BH420" s="98"/>
      <c r="BI420" s="117"/>
      <c r="BJ420" s="98"/>
      <c r="BK420" s="117"/>
      <c r="BL420" s="98"/>
      <c r="BM420" s="117">
        <v>93340</v>
      </c>
      <c r="BN420" s="98" t="str">
        <f t="shared" ref="BN420:BN426" si="2424">IF(ISERROR((BM420/BE420-1)*100),"NA",IF(((BM420/BE420-1)*100)&gt;100,"NM",IF(((BM420/BE420-1)*100)&lt;-50,"NM",(BM420/BE420-1)*100)))</f>
        <v>NA</v>
      </c>
      <c r="BO420" s="117">
        <f>+BM425</f>
        <v>92080</v>
      </c>
      <c r="BP420" s="98" t="str">
        <f t="shared" ref="BP420:BP426" si="2425">IF(ISERROR((BO420/BG420-1)*100),"NA",IF(((BO420/BG420-1)*100)&gt;100,"NM",IF(((BO420/BG420-1)*100)&lt;-50,"NM",(BO420/BG420-1)*100)))</f>
        <v>NA</v>
      </c>
      <c r="BQ420" s="117">
        <f>+BO425</f>
        <v>84826</v>
      </c>
      <c r="BR420" s="98" t="str">
        <f t="shared" ref="BR420:BR426" si="2426">IF(ISERROR((BQ420/BI420-1)*100),"NA",IF(((BQ420/BI420-1)*100)&gt;100,"NM",IF(((BQ420/BI420-1)*100)&lt;-50,"NM",(BQ420/BI420-1)*100)))</f>
        <v>NA</v>
      </c>
      <c r="BS420" s="117">
        <f>+BQ425</f>
        <v>84273</v>
      </c>
      <c r="BT420" s="98" t="str">
        <f t="shared" ref="BT420:BT426" si="2427">IF(ISERROR((BS420/BK420-1)*100),"NA",IF(((BS420/BK420-1)*100)&gt;100,"NM",IF(((BS420/BK420-1)*100)&lt;-50,"NM",(BS420/BK420-1)*100)))</f>
        <v>NA</v>
      </c>
      <c r="BU420" s="117">
        <f>+BS425</f>
        <v>75938</v>
      </c>
      <c r="BV420" s="98">
        <f t="shared" ref="BV420:BV426" si="2428">IF(ISERROR((BU420/BM420-1)*100),"NA",IF(((BU420/BM420-1)*100)&gt;100,"NM",IF(((BU420/BM420-1)*100)&lt;-50,"NM",(BU420/BM420-1)*100)))</f>
        <v>-18.643668309406468</v>
      </c>
      <c r="BW420" s="117">
        <f>+BU425</f>
        <v>62264</v>
      </c>
      <c r="BX420" s="98">
        <f t="shared" ref="BX420:BX426" si="2429">IF(ISERROR((BW420/BO420-1)*100),"NA",IF(((BW420/BO420-1)*100)&gt;100,"NM",IF(((BW420/BO420-1)*100)&lt;-50,"NM",(BW420/BO420-1)*100)))</f>
        <v>-32.380538662033011</v>
      </c>
      <c r="BY420" s="117">
        <f>+BW425</f>
        <v>59194</v>
      </c>
      <c r="BZ420" s="98">
        <f t="shared" ref="BZ420:BZ426" si="2430">IF(ISERROR((BY420/BQ420-1)*100),"NA",IF(((BY420/BQ420-1)*100)&gt;100,"NM",IF(((BY420/BQ420-1)*100)&lt;-50,"NM",(BY420/BQ420-1)*100)))</f>
        <v>-30.217150401999383</v>
      </c>
      <c r="CA420" s="117">
        <f>+BY425</f>
        <v>70538</v>
      </c>
      <c r="CB420" s="98">
        <f t="shared" ref="CB420:CB426" si="2431">IF(ISERROR((CA420/BS420-1)*100),"NA",IF(((CA420/BS420-1)*100)&gt;100,"NM",IF(((CA420/BS420-1)*100)&lt;-50,"NM",(CA420/BS420-1)*100)))</f>
        <v>-16.298221257104885</v>
      </c>
      <c r="CC420" s="117">
        <f>+CA425</f>
        <v>82142</v>
      </c>
      <c r="CD420" s="98">
        <f t="shared" ref="CD420:CD426" si="2432">IF(ISERROR((CC420/BU420-1)*100),"NA",IF(((CC420/BU420-1)*100)&gt;100,"NM",IF(((CC420/BU420-1)*100)&lt;-50,"NM",(CC420/BU420-1)*100)))</f>
        <v>8.1698227501382661</v>
      </c>
      <c r="CE420" s="117">
        <f>+CC425</f>
        <v>87157</v>
      </c>
      <c r="CF420" s="98">
        <f t="shared" ref="CF420:CF426" si="2433">IF(ISERROR((CE420/BW420-1)*100),"NA",IF(((CE420/BW420-1)*100)&gt;100,"NM",IF(((CE420/BW420-1)*100)&lt;-50,"NM",(CE420/BW420-1)*100)))</f>
        <v>39.979763587305662</v>
      </c>
      <c r="CG420" s="117">
        <f>+CE425</f>
        <v>92603</v>
      </c>
      <c r="CH420" s="98">
        <f t="shared" ref="CH420:CH426" si="2434">IF(ISERROR((CG420/BY420-1)*100),"NA",IF(((CG420/BY420-1)*100)&gt;100,"NM",IF(((CG420/BY420-1)*100)&lt;-50,"NM",(CG420/BY420-1)*100)))</f>
        <v>56.439841875865795</v>
      </c>
      <c r="CI420" s="117">
        <f>+CG425</f>
        <v>87367</v>
      </c>
      <c r="CJ420" s="98">
        <f t="shared" ref="CJ420:CJ426" si="2435">IF(ISERROR((CI420/CA420-1)*100),"NA",IF(((CI420/CA420-1)*100)&gt;100,"NM",IF(((CI420/CA420-1)*100)&lt;-50,"NM",(CI420/CA420-1)*100)))</f>
        <v>23.858062321018458</v>
      </c>
      <c r="CK420" s="117">
        <f>+CI425</f>
        <v>97587</v>
      </c>
      <c r="CL420" s="98">
        <f t="shared" ref="CL420:CL426" si="2436">IF(ISERROR((CK420/CC420-1)*100),"NA",IF(((CK420/CC420-1)*100)&gt;100,"NM",IF(((CK420/CC420-1)*100)&lt;-50,"NM",(CK420/CC420-1)*100)))</f>
        <v>18.802804898833724</v>
      </c>
      <c r="CM420" s="101">
        <v>107282</v>
      </c>
      <c r="CN420" s="98">
        <f t="shared" ref="CN420:CN426" si="2437">IF(ISERROR((CM420/CE420-1)*100),"NA",IF(((CM420/CE420-1)*100)&gt;100,"NM",IF(((CM420/CE420-1)*100)&lt;-50,"NM",(CM420/CE420-1)*100)))</f>
        <v>23.090514818086906</v>
      </c>
      <c r="CO420" s="117">
        <f>+CM425</f>
        <v>114510</v>
      </c>
      <c r="CP420" s="98">
        <f t="shared" ref="CP420:CP426" si="2438">IF(ISERROR((CO420/CG420-1)*100),"NA",IF(((CO420/CG420-1)*100)&gt;100,"NM",IF(((CO420/CG420-1)*100)&lt;-50,"NM",(CO420/CG420-1)*100)))</f>
        <v>23.656900964331619</v>
      </c>
      <c r="CQ420" s="486">
        <f>+CO425</f>
        <v>118463</v>
      </c>
      <c r="CR420" s="98">
        <f t="shared" ref="CR420:CR426" si="2439">IF(ISERROR((CQ420/CI420-1)*100),"NA",IF(((CQ420/CI420-1)*100)&gt;100,"NM",IF(((CQ420/CI420-1)*100)&lt;-50,"NM",(CQ420/CI420-1)*100)))</f>
        <v>35.592386141220381</v>
      </c>
      <c r="CS420" s="117">
        <f>+CQ425</f>
        <v>108655</v>
      </c>
      <c r="CT420" s="98">
        <f t="shared" ref="CT420:CT426" si="2440">IF(ISERROR((CS420/CK420-1)*100),"NA",IF(((CS420/CK420-1)*100)&gt;100,"NM",IF(((CS420/CK420-1)*100)&lt;-50,"NM",(CS420/CK420-1)*100)))</f>
        <v>11.341674608298247</v>
      </c>
      <c r="CU420" s="117">
        <f>+CS425</f>
        <v>120263</v>
      </c>
      <c r="CV420" s="98">
        <f t="shared" ref="CV420:CV426" si="2441">IF(ISERROR((CU420/CM420-1)*100),"NA",IF(((CU420/CM420-1)*100)&gt;100,"NM",IF(((CU420/CM420-1)*100)&lt;-50,"NM",(CU420/CM420-1)*100)))</f>
        <v>12.099886281016392</v>
      </c>
      <c r="CW420" s="117">
        <f>+CU425</f>
        <v>133462</v>
      </c>
      <c r="CX420" s="98">
        <f t="shared" ref="CX420:CX426" si="2442">IF(ISERROR((CW420/CO420-1)*100),"NA",IF(((CW420/CO420-1)*100)&gt;100,"NM",IF(((CW420/CO420-1)*100)&lt;-50,"NM",(CW420/CO420-1)*100)))</f>
        <v>16.550519605274651</v>
      </c>
      <c r="CY420" s="117">
        <f>+CW425</f>
        <v>131416</v>
      </c>
      <c r="CZ420" s="98">
        <f t="shared" ref="CZ420:CZ426" si="2443">IF(ISERROR((CY420/CQ420-1)*100),"NA",IF(((CY420/CQ420-1)*100)&gt;100,"NM",IF(((CY420/CQ420-1)*100)&lt;-50,"NM",(CY420/CQ420-1)*100)))</f>
        <v>10.934215746688846</v>
      </c>
      <c r="DA420" s="117">
        <f>+CY425</f>
        <v>139484</v>
      </c>
      <c r="DB420" s="98">
        <f t="shared" ref="DB420:DB426" si="2444">IF(ISERROR((DA420/CS420-1)*100),"NA",IF(((DA420/CS420-1)*100)&gt;100,"NM",IF(((DA420/CS420-1)*100)&lt;-50,"NM",(DA420/CS420-1)*100)))</f>
        <v>28.373291611062545</v>
      </c>
      <c r="DC420" s="117">
        <f>+DA425</f>
        <v>142050</v>
      </c>
      <c r="DD420" s="98">
        <f t="shared" ref="DD420:DD426" si="2445">IF(ISERROR((DC420/CU420-1)*100),"NA",IF(((DC420/CU420-1)*100)&gt;100,"NM",IF(((DC420/CU420-1)*100)&lt;-50,"NM",(DC420/CU420-1)*100)))</f>
        <v>18.116128817674593</v>
      </c>
      <c r="DE420" s="117">
        <f>+DC425</f>
        <v>150826</v>
      </c>
      <c r="DF420" s="98">
        <f t="shared" ref="DF420:DF426" si="2446">IF(ISERROR((DE420/CW420-1)*100),"NA",IF(((DE420/CW420-1)*100)&gt;100,"NM",IF(((DE420/CW420-1)*100)&lt;-50,"NM",(DE420/CW420-1)*100)))</f>
        <v>13.010444920651576</v>
      </c>
      <c r="DG420" s="117">
        <f>+DE425</f>
        <v>149117</v>
      </c>
      <c r="DH420" s="98">
        <f t="shared" ref="DH420:DH426" si="2447">IF(ISERROR((DG420/CY420-1)*100),"NA",IF(((DG420/CY420-1)*100)&gt;100,"NM",IF(((DG420/CY420-1)*100)&lt;-50,"NM",(DG420/CY420-1)*100)))</f>
        <v>13.469440555183532</v>
      </c>
      <c r="DI420" s="117">
        <f>+DG425</f>
        <v>155977</v>
      </c>
      <c r="DJ420" s="98">
        <f t="shared" ref="DJ420:DJ426" si="2448">IF(ISERROR((DI420/DA420-1)*100),"NA",IF(((DI420/DA420-1)*100)&gt;100,"NM",IF(((DI420/DA420-1)*100)&lt;-50,"NM",(DI420/DA420-1)*100)))</f>
        <v>11.82429525967137</v>
      </c>
      <c r="DK420" s="117">
        <f>+DI425</f>
        <v>162436</v>
      </c>
      <c r="DL420" s="98">
        <f t="shared" ref="DL420:DL426" si="2449">IF(ISERROR((DK420/DC420-1)*100),"NA",IF(((DK420/DC420-1)*100)&gt;100,"NM",IF(((DK420/DC420-1)*100)&lt;-50,"NM",(DK420/DC420-1)*100)))</f>
        <v>14.351284758887717</v>
      </c>
      <c r="DM420" s="117">
        <f>+DK425</f>
        <v>162713</v>
      </c>
      <c r="DN420" s="98">
        <f t="shared" ref="DN420:DN426" si="2450">IF(ISERROR((DM420/DE420-1)*100),"NA",IF(((DM420/DE420-1)*100)&gt;100,"NM",IF(((DM420/DE420-1)*100)&lt;-50,"NM",(DM420/DE420-1)*100)))</f>
        <v>7.8812671555302138</v>
      </c>
      <c r="DO420" s="117">
        <f>+DM425</f>
        <v>166093</v>
      </c>
      <c r="DP420" s="98">
        <f t="shared" ref="DP420:DP426" si="2451">IF(ISERROR((DO420/DG420-1)*100),"NA",IF(((DO420/DG420-1)*100)&gt;100,"NM",IF(((DO420/DG420-1)*100)&lt;-50,"NM",(DO420/DG420-1)*100)))</f>
        <v>11.384349202304222</v>
      </c>
      <c r="DQ420" s="117">
        <f>+DO425</f>
        <v>160995</v>
      </c>
      <c r="DR420" s="98">
        <f t="shared" ref="DR420:DR426" si="2452">IF(ISERROR((DQ420/DI420-1)*100),"NA",IF(((DQ420/DI420-1)*100)&gt;100,"NM",IF(((DQ420/DI420-1)*100)&lt;-50,"NM",(DQ420/DI420-1)*100)))</f>
        <v>3.2171409887355118</v>
      </c>
      <c r="DS420" s="117">
        <v>5365</v>
      </c>
      <c r="DT420" s="98" t="str">
        <f t="shared" ref="DT420:DT426" si="2453">IF(ISERROR((DS420/DK420-1)*100),"NA",IF(((DS420/DK420-1)*100)&gt;100,"NM",IF(((DS420/DK420-1)*100)&lt;-50,"NM",(DS420/DK420-1)*100)))</f>
        <v>NM</v>
      </c>
      <c r="DU420" s="117">
        <f>+DS425</f>
        <v>5467</v>
      </c>
      <c r="DV420" s="98" t="str">
        <f t="shared" ref="DV420:DV426" si="2454">IF(ISERROR((DU420/DM420-1)*100),"NA",IF(((DU420/DM420-1)*100)&gt;100,"NM",IF(((DU420/DM420-1)*100)&lt;-50,"NM",(DU420/DM420-1)*100)))</f>
        <v>NM</v>
      </c>
      <c r="DW420" s="117">
        <f>+DU425</f>
        <v>5418</v>
      </c>
      <c r="DX420" s="98" t="str">
        <f t="shared" ref="DX420:DX426" si="2455">IF(ISERROR((DW420/DO420-1)*100),"NA",IF(((DW420/DO420-1)*100)&gt;100,"NM",IF(((DW420/DO420-1)*100)&lt;-50,"NM",(DW420/DO420-1)*100)))</f>
        <v>NM</v>
      </c>
      <c r="DY420" s="117">
        <f>+DW425</f>
        <v>4965</v>
      </c>
      <c r="DZ420" s="98" t="str">
        <f t="shared" ref="DZ420:DZ426" si="2456">IF(ISERROR((DY420/DQ420-1)*100),"NA",IF(((DY420/DQ420-1)*100)&gt;100,"NM",IF(((DY420/DQ420-1)*100)&lt;-50,"NM",(DY420/DQ420-1)*100)))</f>
        <v>NM</v>
      </c>
      <c r="EA420" s="117">
        <f>+DY425</f>
        <v>5120</v>
      </c>
      <c r="EB420" s="98">
        <f t="shared" ref="EB420:EB426" si="2457">IF(ISERROR((EA420/DS420-1)*100),"NA",IF(((EA420/DS420-1)*100)&gt;100,"NM",IF(((EA420/DS420-1)*100)&lt;-50,"NM",(EA420/DS420-1)*100)))</f>
        <v>-4.5666356011183629</v>
      </c>
      <c r="EC420" s="117">
        <f>+EA425</f>
        <v>5029</v>
      </c>
      <c r="ED420" s="98">
        <f t="shared" ref="ED420:ED426" si="2458">IF(ISERROR((EC420/DU420-1)*100),"NA",IF(((EC420/DU420-1)*100)&gt;100,"NM",IF(((EC420/DU420-1)*100)&lt;-50,"NM",(EC420/DU420-1)*100)))</f>
        <v>-8.011706603255897</v>
      </c>
      <c r="EE420" s="117">
        <f>+EC425</f>
        <v>5070</v>
      </c>
      <c r="EF420" s="860">
        <f t="shared" ref="EF420:EF426" si="2459">IF(ISERROR((EE420/DW420-1)*100),"NA",IF(((EE420/DW420-1)*100)&gt;100,"NM",IF(((EE420/DW420-1)*100)&lt;-50,"NM",(EE420/DW420-1)*100)))</f>
        <v>-6.4230343300110793</v>
      </c>
      <c r="EG420" s="117">
        <f>+EE425</f>
        <v>5210</v>
      </c>
      <c r="EH420" s="860">
        <f t="shared" ref="EH420:EH426" si="2460">IF(ISERROR((EG420/DY420-1)*100),"NA",IF(((EG420/DY420-1)*100)&gt;100,"NM",IF(((EG420/DY420-1)*100)&lt;-50,"NM",(EG420/DY420-1)*100)))</f>
        <v>4.9345417925478419</v>
      </c>
      <c r="EI420" s="117">
        <f>+EG425</f>
        <v>5200</v>
      </c>
      <c r="EJ420" s="860">
        <f t="shared" ref="EJ420:EJ426" si="2461">IF(ISERROR((EI420/EA420-1)*100),"NA",IF(((EI420/EA420-1)*100)&gt;100,"NM",IF(((EI420/EA420-1)*100)&lt;-50,"NM",(EI420/EA420-1)*100)))</f>
        <v>1.5625</v>
      </c>
      <c r="EK420" s="117">
        <f>+EI425</f>
        <v>5415</v>
      </c>
      <c r="EL420" s="860">
        <f t="shared" ref="EL420:EL426" si="2462">IF(ISERROR((EK420/EC420-1)*100),"NA",IF(((EK420/EC420-1)*100)&gt;100,"NM",IF(((EK420/EC420-1)*100)&lt;-50,"NM",(EK420/EC420-1)*100)))</f>
        <v>7.6754822032213177</v>
      </c>
      <c r="EM420" s="117">
        <f>+EK425</f>
        <v>5537</v>
      </c>
      <c r="EN420" s="860">
        <f t="shared" ref="EN420:EN426" si="2463">IF(ISERROR((EM420/EE420-1)*100),"NA",IF(((EM420/EE420-1)*100)&gt;100,"NM",IF(((EM420/EE420-1)*100)&lt;-50,"NM",(EM420/EE420-1)*100)))</f>
        <v>9.2110453648915236</v>
      </c>
      <c r="EO420" s="117">
        <f>+EM425</f>
        <v>5670</v>
      </c>
      <c r="EP420" s="98">
        <f t="shared" ref="EP420:EP426" si="2464">IF(ISERROR((EO420/EG420-1)*100),"NA",IF(((EO420/EG420-1)*100)&gt;100,"NM",IF(((EO420/EG420-1)*100)&lt;-50,"NM",(EO420/EG420-1)*100)))</f>
        <v>8.8291746641074873</v>
      </c>
      <c r="EQ420" s="792">
        <f t="shared" ref="EQ420" si="2465">+EO425</f>
        <v>5855</v>
      </c>
      <c r="ER420" s="98">
        <f t="shared" ref="ER420:ER426" si="2466">IF(ISERROR((EQ420/EI420-1)*100),"NA",IF(((EQ420/EI420-1)*100)&gt;100,"NM",IF(((EQ420/EI420-1)*100)&lt;-50,"NM",(EQ420/EI420-1)*100)))</f>
        <v>12.596153846153847</v>
      </c>
      <c r="ES420" s="792">
        <f t="shared" ref="ES420" si="2467">+EQ425</f>
        <v>5722.3384444444446</v>
      </c>
      <c r="ET420" s="98">
        <f t="shared" ref="ET420:ET426" si="2468">IF(ISERROR((ES420/EK420-1)*100),"NA",IF(((ES420/EK420-1)*100)&gt;100,"NM",IF(((ES420/EK420-1)*100)&lt;-50,"NM",(ES420/EK420-1)*100)))</f>
        <v>5.6756868780137415</v>
      </c>
      <c r="EU420" s="792">
        <f t="shared" ref="EU420" si="2469">+ES425</f>
        <v>5698.6974675061738</v>
      </c>
      <c r="EV420" s="98">
        <f t="shared" ref="EV420:EV426" si="2470">IF(ISERROR((EU420/EM420-1)*100),"NA",IF(((EU420/EM420-1)*100)&gt;100,"NM",IF(((EU420/EM420-1)*100)&lt;-50,"NM",(EU420/EM420-1)*100)))</f>
        <v>2.920308244648262</v>
      </c>
      <c r="EW420" s="792">
        <f t="shared" ref="EW420" si="2471">+EU425</f>
        <v>5671.921851366179</v>
      </c>
      <c r="EX420" s="98">
        <f t="shared" ref="EX420:EX426" si="2472">IF(ISERROR((EW420/EO420-1)*100),"NA",IF(((EW420/EO420-1)*100)&gt;100,"NM",IF(((EW420/EO420-1)*100)&lt;-50,"NM",(EW420/EO420-1)*100)))</f>
        <v>3.3895085823254512E-2</v>
      </c>
      <c r="EY420" s="118"/>
      <c r="EZ420" s="594"/>
      <c r="FA420" s="405"/>
      <c r="FB420" s="95" t="s">
        <v>494</v>
      </c>
      <c r="FC420" s="98"/>
      <c r="FD420" s="117">
        <f>+FB425</f>
        <v>15844</v>
      </c>
      <c r="FE420" s="98" t="str">
        <f t="shared" ref="FE420:FE426" si="2473">IF(ISERROR((FD420/FB420-1)*100),"NA",IF(((FD420/FB420-1)*100)&gt;100,"NM",IF(((FD420/FB420-1)*100)&lt;-50,"NM",(FD420/FB420-1)*100)))</f>
        <v>NA</v>
      </c>
      <c r="FF420" s="118"/>
      <c r="FG420" s="98"/>
      <c r="FH420" s="118"/>
      <c r="FI420" s="98"/>
      <c r="FJ420" s="118"/>
      <c r="FK420" s="98"/>
      <c r="FL420" s="118"/>
      <c r="FM420" s="98"/>
      <c r="FN420" s="118"/>
      <c r="FO420" s="98"/>
      <c r="FP420" s="118"/>
      <c r="FQ420" s="98"/>
      <c r="FR420" s="119"/>
      <c r="FS420" s="120"/>
      <c r="FT420" s="119"/>
      <c r="FU420" s="120"/>
      <c r="FV420" s="119">
        <f>BO420</f>
        <v>92080</v>
      </c>
      <c r="FW420" s="98" t="str">
        <f t="shared" ref="FW420:FW426" si="2474">IF(ISERROR((FV420/FT420-1)*100),"NA",IF(((FV420/FT420-1)*100)&gt;100,"NM",IF(((FV420/FT420-1)*100)&lt;-50,"NM",(FV420/FT420-1)*100)))</f>
        <v>NA</v>
      </c>
      <c r="FX420" s="485">
        <f>+FV425</f>
        <v>62264</v>
      </c>
      <c r="FY420" s="98">
        <f t="shared" ref="FY420:FY426" si="2475">IF(ISERROR((FX420/FV420-1)*100),"NA",IF(((FX420/FV420-1)*100)&gt;100,"NM",IF(((FX420/FV420-1)*100)&lt;-50,"NM",(FX420/FV420-1)*100)))</f>
        <v>-32.380538662033011</v>
      </c>
      <c r="FZ420" s="119">
        <f>+FX425</f>
        <v>87157</v>
      </c>
      <c r="GA420" s="98">
        <f t="shared" ref="GA420:GA426" si="2476">IF(ISERROR((FZ420/FX420-1)*100),"NA",IF(((FZ420/FX420-1)*100)&gt;100,"NM",IF(((FZ420/FX420-1)*100)&lt;-50,"NM",(FZ420/FX420-1)*100)))</f>
        <v>39.979763587305662</v>
      </c>
      <c r="GB420" s="485">
        <f>CM420</f>
        <v>107282</v>
      </c>
      <c r="GC420" s="98">
        <f t="shared" ref="GC420:GC426" si="2477">IF(ISERROR((GB420/FZ420-1)*100),"NA",IF(((GB420/FZ420-1)*100)&gt;100,"NM",IF(((GB420/FZ420-1)*100)&lt;-50,"NM",(GB420/FZ420-1)*100)))</f>
        <v>23.090514818086906</v>
      </c>
      <c r="GD420" s="119">
        <f>CU420</f>
        <v>120263</v>
      </c>
      <c r="GE420" s="98">
        <f t="shared" ref="GE420:GE426" si="2478">IF(ISERROR((GD420/GB420-1)*100),"NA",IF(((GD420/GB420-1)*100)&gt;100,"NM",IF(((GD420/GB420-1)*100)&lt;-50,"NM",(GD420/GB420-1)*100)))</f>
        <v>12.099886281016392</v>
      </c>
      <c r="GF420" s="119">
        <f>DC420</f>
        <v>142050</v>
      </c>
      <c r="GG420" s="98">
        <f t="shared" ref="GG420:GG426" si="2479">IF(ISERROR((GF420/GD420-1)*100),"NA",IF(((GF420/GD420-1)*100)&gt;100,"NM",IF(((GF420/GD420-1)*100)&lt;-50,"NM",(GF420/GD420-1)*100)))</f>
        <v>18.116128817674593</v>
      </c>
      <c r="GH420" s="119">
        <f>DK420</f>
        <v>162436</v>
      </c>
      <c r="GI420" s="98">
        <f t="shared" ref="GI420:GI426" si="2480">IF(ISERROR((GH420/GF420-1)*100),"NA",IF(((GH420/GF420-1)*100)&gt;100,"NM",IF(((GH420/GF420-1)*100)&lt;-50,"NM",(GH420/GF420-1)*100)))</f>
        <v>14.351284758887717</v>
      </c>
      <c r="GJ420" s="119">
        <f>DS420</f>
        <v>5365</v>
      </c>
      <c r="GK420" s="98" t="str">
        <f t="shared" ref="GK420:GK426" si="2481">IF(ISERROR((GJ420/GH420-1)*100),"NA",IF(((GJ420/GH420-1)*100)&gt;100,"NM",IF(((GJ420/GH420-1)*100)&lt;-50,"NM",(GJ420/GH420-1)*100)))</f>
        <v>NM</v>
      </c>
      <c r="GL420" s="119">
        <f>EA420</f>
        <v>5120</v>
      </c>
      <c r="GM420" s="98">
        <f t="shared" ref="GM420:GW426" si="2482">IF(ISERROR((GL420/GJ420-1)*100),"NA",IF(((GL420/GJ420-1)*100)&gt;100,"NM",IF(((GL420/GJ420-1)*100)&lt;-50,"NM",(GL420/GJ420-1)*100)))</f>
        <v>-4.5666356011183629</v>
      </c>
      <c r="GN420" s="119">
        <f>EI420</f>
        <v>5200</v>
      </c>
      <c r="GO420" s="98">
        <f t="shared" si="2482"/>
        <v>1.5625</v>
      </c>
      <c r="GP420" s="119">
        <f>EQ420</f>
        <v>5855</v>
      </c>
      <c r="GQ420" s="98">
        <f t="shared" si="2482"/>
        <v>12.596153846153847</v>
      </c>
      <c r="GR420" s="118">
        <f>+GP425</f>
        <v>5642.1644909285033</v>
      </c>
      <c r="GS420" s="98">
        <f t="shared" si="2482"/>
        <v>-3.6351069013065174</v>
      </c>
      <c r="GT420" s="118">
        <f>+GR425</f>
        <v>5535.6270681004635</v>
      </c>
      <c r="GU420" s="98">
        <f t="shared" si="2482"/>
        <v>-1.8882367396294675</v>
      </c>
      <c r="GV420" s="118">
        <f>+GT425</f>
        <v>5364.4911536281861</v>
      </c>
      <c r="GW420" s="98">
        <f t="shared" si="2482"/>
        <v>-3.0915361957539189</v>
      </c>
      <c r="GX420" s="118">
        <f>+GV425</f>
        <v>5140.0735971119111</v>
      </c>
      <c r="GY420" s="98">
        <f t="shared" ref="GY420:GY426" si="2483">IF(ISERROR((GX420/GV420-1)*100),"NA",IF(((GX420/GV420-1)*100)&gt;100,"NM",IF(((GX420/GV420-1)*100)&lt;-50,"NM",(GX420/GV420-1)*100)))</f>
        <v>-4.1833894415967858</v>
      </c>
      <c r="GZ420" s="98">
        <f t="shared" ref="GZ420:GZ426" si="2484">IF(ISERROR(((GX420/GN420)^0.2-1)*100),"NA",IF((((GX420/GN420)^0.2-1)*100)&gt;100,"NM",IF((((GX420/GN420)^0.2-1)*100)&lt;-50,"NM",((GX420/GN420)^0.2-1)*100)))</f>
        <v>-0.23155604877840297</v>
      </c>
      <c r="HA420" s="98"/>
      <c r="HB420" s="10"/>
      <c r="HC420"/>
      <c r="HD420"/>
      <c r="HE420"/>
      <c r="HF420"/>
      <c r="HG420"/>
      <c r="HH420"/>
      <c r="HI420" s="10"/>
    </row>
    <row r="421" spans="1:217" s="2" customFormat="1" ht="12.75" customHeight="1" x14ac:dyDescent="0.2">
      <c r="A421" s="2" t="s">
        <v>67</v>
      </c>
      <c r="B421" s="91" t="s">
        <v>340</v>
      </c>
      <c r="C421" s="101"/>
      <c r="D421" s="98"/>
      <c r="E421" s="101"/>
      <c r="F421" s="98"/>
      <c r="G421" s="101"/>
      <c r="H421" s="98"/>
      <c r="I421" s="101"/>
      <c r="J421" s="98"/>
      <c r="K421" s="101"/>
      <c r="L421" s="98"/>
      <c r="M421" s="101"/>
      <c r="N421" s="98"/>
      <c r="O421" s="101"/>
      <c r="P421" s="98"/>
      <c r="Q421" s="101"/>
      <c r="R421" s="98"/>
      <c r="S421" s="101"/>
      <c r="T421" s="98"/>
      <c r="U421" s="101"/>
      <c r="V421" s="98"/>
      <c r="W421" s="101"/>
      <c r="X421" s="98"/>
      <c r="Y421" s="101"/>
      <c r="Z421" s="98"/>
      <c r="AA421" s="101"/>
      <c r="AB421" s="98"/>
      <c r="AC421" s="101"/>
      <c r="AD421" s="98"/>
      <c r="AE421" s="101"/>
      <c r="AF421" s="98"/>
      <c r="AG421" s="101"/>
      <c r="AH421" s="98"/>
      <c r="AI421" s="101"/>
      <c r="AJ421" s="98"/>
      <c r="AK421" s="101"/>
      <c r="AL421" s="98"/>
      <c r="AM421" s="101"/>
      <c r="AN421" s="98"/>
      <c r="AO421" s="101"/>
      <c r="AP421" s="98"/>
      <c r="AQ421" s="101"/>
      <c r="AR421" s="98"/>
      <c r="AS421" s="101"/>
      <c r="AT421" s="98"/>
      <c r="AU421" s="101"/>
      <c r="AV421" s="98"/>
      <c r="AW421" s="101"/>
      <c r="AX421" s="98"/>
      <c r="AY421" s="101"/>
      <c r="AZ421" s="98"/>
      <c r="BA421" s="101"/>
      <c r="BB421" s="98"/>
      <c r="BC421" s="101"/>
      <c r="BD421" s="98"/>
      <c r="BE421" s="101"/>
      <c r="BF421" s="98"/>
      <c r="BG421" s="101"/>
      <c r="BH421" s="98"/>
      <c r="BI421" s="101"/>
      <c r="BJ421" s="98"/>
      <c r="BK421" s="101"/>
      <c r="BL421" s="98"/>
      <c r="BM421" s="101">
        <v>2780</v>
      </c>
      <c r="BN421" s="98" t="str">
        <f t="shared" si="2424"/>
        <v>NA</v>
      </c>
      <c r="BO421" s="101">
        <v>2271</v>
      </c>
      <c r="BP421" s="98" t="str">
        <f t="shared" si="2425"/>
        <v>NA</v>
      </c>
      <c r="BQ421" s="101">
        <v>2477</v>
      </c>
      <c r="BR421" s="98" t="str">
        <f t="shared" si="2426"/>
        <v>NA</v>
      </c>
      <c r="BS421" s="101">
        <v>2404</v>
      </c>
      <c r="BT421" s="98" t="str">
        <f t="shared" si="2427"/>
        <v>NA</v>
      </c>
      <c r="BU421" s="101">
        <v>2149</v>
      </c>
      <c r="BV421" s="98">
        <f t="shared" si="2428"/>
        <v>-22.697841726618705</v>
      </c>
      <c r="BW421" s="101">
        <v>2260</v>
      </c>
      <c r="BX421" s="98">
        <f t="shared" si="2429"/>
        <v>-0.48436811977102812</v>
      </c>
      <c r="BY421" s="101">
        <v>2894</v>
      </c>
      <c r="BZ421" s="98">
        <f t="shared" si="2430"/>
        <v>16.83488090431975</v>
      </c>
      <c r="CA421" s="101">
        <v>2279</v>
      </c>
      <c r="CB421" s="98">
        <f t="shared" si="2431"/>
        <v>-5.1996672212978323</v>
      </c>
      <c r="CC421" s="101">
        <v>2633</v>
      </c>
      <c r="CD421" s="98">
        <f t="shared" si="2432"/>
        <v>22.522103303862263</v>
      </c>
      <c r="CE421" s="101">
        <v>3004</v>
      </c>
      <c r="CF421" s="98">
        <f t="shared" si="2433"/>
        <v>32.920353982300888</v>
      </c>
      <c r="CG421" s="101">
        <v>3348</v>
      </c>
      <c r="CH421" s="98">
        <f t="shared" si="2434"/>
        <v>15.687629578438145</v>
      </c>
      <c r="CI421" s="101">
        <v>3312</v>
      </c>
      <c r="CJ421" s="98">
        <f t="shared" si="2435"/>
        <v>45.326897762176401</v>
      </c>
      <c r="CK421" s="101">
        <v>3978</v>
      </c>
      <c r="CL421" s="98">
        <f t="shared" si="2436"/>
        <v>51.082415495632347</v>
      </c>
      <c r="CM421" s="101">
        <v>4563</v>
      </c>
      <c r="CN421" s="98">
        <f t="shared" si="2437"/>
        <v>51.897470039946739</v>
      </c>
      <c r="CO421" s="101">
        <v>5703</v>
      </c>
      <c r="CP421" s="98">
        <f t="shared" si="2438"/>
        <v>70.340501792114679</v>
      </c>
      <c r="CQ421" s="542">
        <v>6787</v>
      </c>
      <c r="CR421" s="98" t="str">
        <f t="shared" si="2439"/>
        <v>NM</v>
      </c>
      <c r="CS421" s="101">
        <v>5778</v>
      </c>
      <c r="CT421" s="98">
        <f t="shared" si="2440"/>
        <v>45.248868778280539</v>
      </c>
      <c r="CU421" s="101">
        <v>4232</v>
      </c>
      <c r="CV421" s="98">
        <f t="shared" si="2441"/>
        <v>-7.2539995616918702</v>
      </c>
      <c r="CW421" s="101">
        <v>3870</v>
      </c>
      <c r="CX421" s="98">
        <f t="shared" si="2442"/>
        <v>-32.140978432403998</v>
      </c>
      <c r="CY421" s="101">
        <v>3836</v>
      </c>
      <c r="CZ421" s="98">
        <f t="shared" si="2443"/>
        <v>-43.480182702224845</v>
      </c>
      <c r="DA421" s="101">
        <v>2961</v>
      </c>
      <c r="DB421" s="98">
        <f t="shared" si="2444"/>
        <v>-48.753894080996886</v>
      </c>
      <c r="DC421" s="101">
        <v>2964</v>
      </c>
      <c r="DD421" s="98">
        <f t="shared" si="2445"/>
        <v>-29.962192816635159</v>
      </c>
      <c r="DE421" s="101">
        <v>2382</v>
      </c>
      <c r="DF421" s="98">
        <f t="shared" si="2446"/>
        <v>-38.449612403100772</v>
      </c>
      <c r="DG421" s="101">
        <v>2240</v>
      </c>
      <c r="DH421" s="98">
        <f t="shared" si="2447"/>
        <v>-41.605839416058402</v>
      </c>
      <c r="DI421" s="101">
        <v>1451</v>
      </c>
      <c r="DJ421" s="98" t="str">
        <f t="shared" si="2448"/>
        <v>NM</v>
      </c>
      <c r="DK421" s="101">
        <v>1331</v>
      </c>
      <c r="DL421" s="465" t="str">
        <f t="shared" si="2449"/>
        <v>NM</v>
      </c>
      <c r="DM421" s="101">
        <v>1344</v>
      </c>
      <c r="DN421" s="465">
        <f t="shared" si="2450"/>
        <v>-43.576826196473547</v>
      </c>
      <c r="DO421" s="101">
        <v>1290</v>
      </c>
      <c r="DP421" s="465">
        <f t="shared" si="2451"/>
        <v>-42.410714285714292</v>
      </c>
      <c r="DQ421" s="101">
        <v>1370</v>
      </c>
      <c r="DR421" s="465">
        <f t="shared" si="2452"/>
        <v>-5.5823569951757417</v>
      </c>
      <c r="DS421" s="101">
        <v>83</v>
      </c>
      <c r="DT421" s="465" t="str">
        <f t="shared" si="2453"/>
        <v>NM</v>
      </c>
      <c r="DU421" s="101">
        <v>80</v>
      </c>
      <c r="DV421" s="465" t="str">
        <f t="shared" si="2454"/>
        <v>NM</v>
      </c>
      <c r="DW421" s="101">
        <v>78</v>
      </c>
      <c r="DX421" s="465" t="str">
        <f t="shared" si="2455"/>
        <v>NM</v>
      </c>
      <c r="DY421" s="101">
        <v>78</v>
      </c>
      <c r="DZ421" s="98" t="str">
        <f t="shared" si="2456"/>
        <v>NM</v>
      </c>
      <c r="EA421" s="101">
        <v>79</v>
      </c>
      <c r="EB421" s="98">
        <f t="shared" si="2457"/>
        <v>-4.8192771084337398</v>
      </c>
      <c r="EC421" s="101">
        <v>80</v>
      </c>
      <c r="ED421" s="98">
        <f t="shared" si="2458"/>
        <v>0</v>
      </c>
      <c r="EE421" s="101">
        <v>75</v>
      </c>
      <c r="EF421" s="860">
        <f t="shared" si="2459"/>
        <v>-3.8461538461538436</v>
      </c>
      <c r="EG421" s="101">
        <v>73</v>
      </c>
      <c r="EH421" s="860">
        <f t="shared" si="2460"/>
        <v>-6.4102564102564097</v>
      </c>
      <c r="EI421" s="101">
        <v>76</v>
      </c>
      <c r="EJ421" s="860">
        <f t="shared" si="2461"/>
        <v>-3.7974683544303778</v>
      </c>
      <c r="EK421" s="101">
        <v>73</v>
      </c>
      <c r="EL421" s="860">
        <f t="shared" si="2462"/>
        <v>-8.7500000000000018</v>
      </c>
      <c r="EM421" s="101">
        <v>70</v>
      </c>
      <c r="EN421" s="860">
        <f t="shared" si="2463"/>
        <v>-6.6666666666666652</v>
      </c>
      <c r="EO421" s="101">
        <v>69</v>
      </c>
      <c r="EP421" s="465">
        <f t="shared" si="2464"/>
        <v>-5.4794520547945202</v>
      </c>
      <c r="EQ421" s="952">
        <f>EO421*0.95</f>
        <v>65.55</v>
      </c>
      <c r="ER421" s="465">
        <f t="shared" si="2466"/>
        <v>-13.750000000000007</v>
      </c>
      <c r="ES421" s="952">
        <f t="shared" ref="ES421" si="2485">EQ421*0.95</f>
        <v>62.272499999999994</v>
      </c>
      <c r="ET421" s="465">
        <f t="shared" si="2468"/>
        <v>-14.695205479452067</v>
      </c>
      <c r="EU421" s="952">
        <f t="shared" ref="EU421" si="2486">ES421*0.95</f>
        <v>59.158874999999995</v>
      </c>
      <c r="EV421" s="465">
        <f t="shared" si="2470"/>
        <v>-15.487321428571432</v>
      </c>
      <c r="EW421" s="952">
        <f t="shared" ref="EW421" si="2487">EU421*0.95</f>
        <v>56.200931249999989</v>
      </c>
      <c r="EX421" s="465">
        <f t="shared" si="2472"/>
        <v>-18.549375000000012</v>
      </c>
      <c r="EY421" s="121"/>
      <c r="EZ421" s="594"/>
      <c r="FA421" s="405"/>
      <c r="FB421" s="95" t="s">
        <v>494</v>
      </c>
      <c r="FC421" s="98"/>
      <c r="FD421" s="101">
        <v>2792</v>
      </c>
      <c r="FE421" s="98" t="str">
        <f t="shared" si="2473"/>
        <v>NA</v>
      </c>
      <c r="FF421" s="118"/>
      <c r="FG421" s="98"/>
      <c r="FH421" s="118"/>
      <c r="FI421" s="98"/>
      <c r="FJ421" s="118"/>
      <c r="FK421" s="98"/>
      <c r="FL421" s="118"/>
      <c r="FM421" s="98"/>
      <c r="FN421" s="118"/>
      <c r="FO421" s="98"/>
      <c r="FP421" s="118"/>
      <c r="FQ421" s="98"/>
      <c r="FR421" s="119"/>
      <c r="FS421" s="120"/>
      <c r="FT421" s="119"/>
      <c r="FU421" s="120"/>
      <c r="FV421" s="119">
        <f>BO421+BQ421+BS421+BU421</f>
        <v>9301</v>
      </c>
      <c r="FW421" s="98" t="str">
        <f t="shared" si="2474"/>
        <v>NA</v>
      </c>
      <c r="FX421" s="485">
        <f>BW421+BY421+CA421+CC421</f>
        <v>10066</v>
      </c>
      <c r="FY421" s="98">
        <f t="shared" si="2475"/>
        <v>8.2249220513923138</v>
      </c>
      <c r="FZ421" s="119">
        <f>CE421+CG421+CI421+CK421</f>
        <v>13642</v>
      </c>
      <c r="GA421" s="98">
        <f t="shared" si="2476"/>
        <v>35.525531492151806</v>
      </c>
      <c r="GB421" s="485">
        <f>CM421+CO421+CQ421+CS421</f>
        <v>22831</v>
      </c>
      <c r="GC421" s="98">
        <f t="shared" si="2477"/>
        <v>67.358158627767196</v>
      </c>
      <c r="GD421" s="119">
        <f>CU421+CW421+CY421+DA421</f>
        <v>14899</v>
      </c>
      <c r="GE421" s="98">
        <f t="shared" si="2478"/>
        <v>-34.742236432920151</v>
      </c>
      <c r="GF421" s="119">
        <f>DC421+DE421+DG421+DI421</f>
        <v>9037</v>
      </c>
      <c r="GG421" s="98">
        <f t="shared" si="2479"/>
        <v>-39.34492247801866</v>
      </c>
      <c r="GH421" s="119">
        <f>DK421+DM421+DO421+DQ421</f>
        <v>5335</v>
      </c>
      <c r="GI421" s="98">
        <f t="shared" si="2480"/>
        <v>-40.964921987385196</v>
      </c>
      <c r="GJ421" s="119">
        <f>DS421+DU421+DW421+DY421</f>
        <v>319</v>
      </c>
      <c r="GK421" s="98" t="str">
        <f t="shared" si="2481"/>
        <v>NM</v>
      </c>
      <c r="GL421" s="119">
        <f>EA421+EC421+EE421+EG421</f>
        <v>307</v>
      </c>
      <c r="GM421" s="98">
        <f t="shared" si="2482"/>
        <v>-3.7617554858934144</v>
      </c>
      <c r="GN421" s="119">
        <f>EI421+EK421+EM421+EO421</f>
        <v>288</v>
      </c>
      <c r="GO421" s="98">
        <f t="shared" si="2482"/>
        <v>-6.1889250814332275</v>
      </c>
      <c r="GP421" s="119">
        <f>EQ421+ES421+EU421+EW421</f>
        <v>243.18230624999998</v>
      </c>
      <c r="GQ421" s="98">
        <f t="shared" si="2482"/>
        <v>-15.561699218750002</v>
      </c>
      <c r="GR421" s="121">
        <f>GP421*0.75</f>
        <v>182.38672968749998</v>
      </c>
      <c r="GS421" s="98">
        <f t="shared" si="2482"/>
        <v>-25</v>
      </c>
      <c r="GT421" s="121">
        <f>GR421*0.75</f>
        <v>136.79004726562499</v>
      </c>
      <c r="GU421" s="98">
        <f t="shared" si="2482"/>
        <v>-25</v>
      </c>
      <c r="GV421" s="121">
        <f>GT421*0.75</f>
        <v>102.59253544921874</v>
      </c>
      <c r="GW421" s="98">
        <f t="shared" si="2482"/>
        <v>-25</v>
      </c>
      <c r="GX421" s="121">
        <f>GV421*0.75</f>
        <v>76.944401586914054</v>
      </c>
      <c r="GY421" s="98">
        <f t="shared" si="2483"/>
        <v>-25</v>
      </c>
      <c r="GZ421" s="98">
        <f t="shared" si="2484"/>
        <v>-23.200762577692569</v>
      </c>
      <c r="HA421" s="98"/>
      <c r="HB421" s="10"/>
      <c r="HC421"/>
      <c r="HD421"/>
      <c r="HE421"/>
      <c r="HF421"/>
      <c r="HG421"/>
      <c r="HH421"/>
      <c r="HI421" s="10"/>
    </row>
    <row r="422" spans="1:217" s="2" customFormat="1" ht="12.75" customHeight="1" x14ac:dyDescent="0.2">
      <c r="B422" s="91" t="s">
        <v>13</v>
      </c>
      <c r="C422" s="101"/>
      <c r="D422" s="98"/>
      <c r="E422" s="101"/>
      <c r="F422" s="98"/>
      <c r="G422" s="101"/>
      <c r="H422" s="98"/>
      <c r="I422" s="101"/>
      <c r="J422" s="98"/>
      <c r="K422" s="101"/>
      <c r="L422" s="98"/>
      <c r="M422" s="101"/>
      <c r="N422" s="98"/>
      <c r="O422" s="101"/>
      <c r="P422" s="98"/>
      <c r="Q422" s="101"/>
      <c r="R422" s="98"/>
      <c r="S422" s="101"/>
      <c r="T422" s="98"/>
      <c r="U422" s="101"/>
      <c r="V422" s="98"/>
      <c r="W422" s="101"/>
      <c r="X422" s="98"/>
      <c r="Y422" s="101"/>
      <c r="Z422" s="98"/>
      <c r="AA422" s="101"/>
      <c r="AB422" s="98"/>
      <c r="AC422" s="101"/>
      <c r="AD422" s="98"/>
      <c r="AE422" s="101"/>
      <c r="AF422" s="98"/>
      <c r="AG422" s="101"/>
      <c r="AH422" s="98"/>
      <c r="AI422" s="101"/>
      <c r="AJ422" s="98"/>
      <c r="AK422" s="101"/>
      <c r="AL422" s="98"/>
      <c r="AM422" s="101"/>
      <c r="AN422" s="98"/>
      <c r="AO422" s="101"/>
      <c r="AP422" s="98"/>
      <c r="AQ422" s="101"/>
      <c r="AR422" s="98"/>
      <c r="AS422" s="101"/>
      <c r="AT422" s="98"/>
      <c r="AU422" s="101"/>
      <c r="AV422" s="98"/>
      <c r="AW422" s="101"/>
      <c r="AX422" s="98"/>
      <c r="AY422" s="101"/>
      <c r="AZ422" s="98"/>
      <c r="BA422" s="101"/>
      <c r="BB422" s="98"/>
      <c r="BC422" s="101"/>
      <c r="BD422" s="98"/>
      <c r="BE422" s="101"/>
      <c r="BF422" s="98"/>
      <c r="BG422" s="101"/>
      <c r="BH422" s="98"/>
      <c r="BI422" s="101"/>
      <c r="BJ422" s="98"/>
      <c r="BK422" s="101"/>
      <c r="BL422" s="98"/>
      <c r="BM422" s="101">
        <v>-1881</v>
      </c>
      <c r="BN422" s="98" t="str">
        <f t="shared" si="2424"/>
        <v>NA</v>
      </c>
      <c r="BO422" s="101">
        <v>-7109</v>
      </c>
      <c r="BP422" s="98" t="str">
        <f t="shared" si="2425"/>
        <v>NA</v>
      </c>
      <c r="BQ422" s="101">
        <v>-930</v>
      </c>
      <c r="BR422" s="98" t="str">
        <f t="shared" si="2426"/>
        <v>NA</v>
      </c>
      <c r="BS422" s="101">
        <v>-8645</v>
      </c>
      <c r="BT422" s="98" t="str">
        <f t="shared" si="2427"/>
        <v>NA</v>
      </c>
      <c r="BU422" s="101">
        <v>-13820</v>
      </c>
      <c r="BV422" s="98" t="str">
        <f t="shared" si="2428"/>
        <v>NM</v>
      </c>
      <c r="BW422" s="101">
        <v>-3945</v>
      </c>
      <c r="BX422" s="98">
        <f t="shared" si="2429"/>
        <v>-44.50696300464201</v>
      </c>
      <c r="BY422" s="101">
        <v>8872</v>
      </c>
      <c r="BZ422" s="98" t="str">
        <f t="shared" si="2430"/>
        <v>NM</v>
      </c>
      <c r="CA422" s="101">
        <v>9964</v>
      </c>
      <c r="CB422" s="98" t="str">
        <f t="shared" si="2431"/>
        <v>NM</v>
      </c>
      <c r="CC422" s="101">
        <v>3432</v>
      </c>
      <c r="CD422" s="98" t="str">
        <f t="shared" si="2432"/>
        <v>NM</v>
      </c>
      <c r="CE422" s="101">
        <v>3758</v>
      </c>
      <c r="CF422" s="98" t="str">
        <f t="shared" si="2433"/>
        <v>NM</v>
      </c>
      <c r="CG422" s="101">
        <v>-7004</v>
      </c>
      <c r="CH422" s="98" t="str">
        <f t="shared" si="2434"/>
        <v>NM</v>
      </c>
      <c r="CI422" s="101">
        <v>8549</v>
      </c>
      <c r="CJ422" s="98">
        <f t="shared" si="2435"/>
        <v>-14.201124046567648</v>
      </c>
      <c r="CK422" s="101">
        <v>7191</v>
      </c>
      <c r="CL422" s="98" t="str">
        <f t="shared" si="2436"/>
        <v>NM</v>
      </c>
      <c r="CM422" s="101">
        <v>4661</v>
      </c>
      <c r="CN422" s="98">
        <f t="shared" si="2437"/>
        <v>24.028738690792984</v>
      </c>
      <c r="CO422" s="101">
        <v>655</v>
      </c>
      <c r="CP422" s="98" t="str">
        <f t="shared" si="2438"/>
        <v>NM</v>
      </c>
      <c r="CQ422" s="542">
        <v>-14329</v>
      </c>
      <c r="CR422" s="98" t="str">
        <f t="shared" si="2439"/>
        <v>NM</v>
      </c>
      <c r="CS422" s="101">
        <v>7214</v>
      </c>
      <c r="CT422" s="98">
        <f t="shared" si="2440"/>
        <v>0.31984424975664005</v>
      </c>
      <c r="CU422" s="101">
        <v>10760</v>
      </c>
      <c r="CV422" s="98" t="str">
        <f t="shared" si="2441"/>
        <v>NM</v>
      </c>
      <c r="CW422" s="101">
        <v>-3587</v>
      </c>
      <c r="CX422" s="98" t="str">
        <f t="shared" si="2442"/>
        <v>NM</v>
      </c>
      <c r="CY422" s="101">
        <v>6637</v>
      </c>
      <c r="CZ422" s="98" t="str">
        <f t="shared" si="2443"/>
        <v>NM</v>
      </c>
      <c r="DA422" s="101">
        <v>2517</v>
      </c>
      <c r="DB422" s="98" t="str">
        <f t="shared" si="2444"/>
        <v>NM</v>
      </c>
      <c r="DC422" s="101">
        <v>8434</v>
      </c>
      <c r="DD422" s="98">
        <f t="shared" si="2445"/>
        <v>-21.61710037174721</v>
      </c>
      <c r="DE422" s="101">
        <v>-684</v>
      </c>
      <c r="DF422" s="98" t="str">
        <f t="shared" si="2446"/>
        <v>NM</v>
      </c>
      <c r="DG422" s="101">
        <v>8165</v>
      </c>
      <c r="DH422" s="98">
        <f t="shared" si="2447"/>
        <v>23.022449902064189</v>
      </c>
      <c r="DI422" s="101">
        <v>8664</v>
      </c>
      <c r="DJ422" s="98" t="str">
        <f t="shared" si="2448"/>
        <v>NM</v>
      </c>
      <c r="DK422" s="101">
        <v>2723</v>
      </c>
      <c r="DL422" s="98" t="str">
        <f t="shared" si="2449"/>
        <v>NM</v>
      </c>
      <c r="DM422" s="101">
        <v>6170</v>
      </c>
      <c r="DN422" s="98" t="str">
        <f t="shared" si="2450"/>
        <v>NM</v>
      </c>
      <c r="DO422" s="101">
        <v>-2261</v>
      </c>
      <c r="DP422" s="98" t="str">
        <f t="shared" si="2451"/>
        <v>NM</v>
      </c>
      <c r="DQ422" s="101">
        <v>3431</v>
      </c>
      <c r="DR422" s="98" t="str">
        <f t="shared" si="2452"/>
        <v>NM</v>
      </c>
      <c r="DS422" s="101">
        <v>163</v>
      </c>
      <c r="DT422" s="98" t="str">
        <f t="shared" si="2453"/>
        <v>NM</v>
      </c>
      <c r="DU422" s="101">
        <v>20</v>
      </c>
      <c r="DV422" s="98" t="str">
        <f t="shared" si="2454"/>
        <v>NM</v>
      </c>
      <c r="DW422" s="101">
        <v>-355</v>
      </c>
      <c r="DX422" s="98" t="str">
        <f t="shared" si="2455"/>
        <v>NM</v>
      </c>
      <c r="DY422" s="101">
        <v>216</v>
      </c>
      <c r="DZ422" s="98" t="str">
        <f t="shared" si="2456"/>
        <v>NM</v>
      </c>
      <c r="EA422" s="101">
        <v>-28</v>
      </c>
      <c r="EB422" s="98" t="str">
        <f t="shared" si="2457"/>
        <v>NM</v>
      </c>
      <c r="EC422" s="101">
        <v>119</v>
      </c>
      <c r="ED422" s="98" t="str">
        <f t="shared" si="2458"/>
        <v>NM</v>
      </c>
      <c r="EE422" s="101">
        <v>221</v>
      </c>
      <c r="EF422" s="860" t="str">
        <f t="shared" si="2459"/>
        <v>NM</v>
      </c>
      <c r="EG422" s="101">
        <v>74</v>
      </c>
      <c r="EH422" s="860" t="str">
        <f t="shared" si="2460"/>
        <v>NM</v>
      </c>
      <c r="EI422" s="101">
        <v>306</v>
      </c>
      <c r="EJ422" s="860" t="str">
        <f t="shared" si="2461"/>
        <v>NM</v>
      </c>
      <c r="EK422" s="101">
        <v>201</v>
      </c>
      <c r="EL422" s="860">
        <f t="shared" si="2462"/>
        <v>68.907563025210081</v>
      </c>
      <c r="EM422" s="101">
        <v>207</v>
      </c>
      <c r="EN422" s="860">
        <f t="shared" si="2463"/>
        <v>-6.3348416289592757</v>
      </c>
      <c r="EO422" s="101">
        <v>270</v>
      </c>
      <c r="EP422" s="98" t="str">
        <f t="shared" si="2464"/>
        <v>NM</v>
      </c>
      <c r="EQ422" s="1036">
        <f>EQ420*(EQ432/100*EQ$26/100)</f>
        <v>-42.155999999999999</v>
      </c>
      <c r="ER422" s="98" t="str">
        <f t="shared" si="2466"/>
        <v>NM</v>
      </c>
      <c r="ES422" s="1036">
        <f t="shared" ref="ES422" si="2488">ES420*(ES432/100*ES$26/100)</f>
        <v>68.668061333333341</v>
      </c>
      <c r="ET422" s="98" t="str">
        <f t="shared" si="2468"/>
        <v>NM</v>
      </c>
      <c r="EU422" s="1036">
        <f t="shared" ref="EU422" si="2489">EU420*(EU432/100*EU$26/100)</f>
        <v>68.384369610074089</v>
      </c>
      <c r="EV422" s="98" t="str">
        <f t="shared" si="2470"/>
        <v>NM</v>
      </c>
      <c r="EW422" s="1036">
        <f t="shared" ref="EW422" si="2490">EW420*(EW432/100*EW$26/100)</f>
        <v>68.063062216394144</v>
      </c>
      <c r="EX422" s="98" t="str">
        <f t="shared" si="2472"/>
        <v>NM</v>
      </c>
      <c r="EY422" s="119"/>
      <c r="EZ422" s="594"/>
      <c r="FA422" s="405"/>
      <c r="FB422" s="95" t="s">
        <v>494</v>
      </c>
      <c r="FC422" s="98"/>
      <c r="FD422" s="101">
        <v>3728</v>
      </c>
      <c r="FE422" s="98" t="str">
        <f t="shared" si="2473"/>
        <v>NA</v>
      </c>
      <c r="FF422" s="118"/>
      <c r="FG422" s="98"/>
      <c r="FH422" s="118"/>
      <c r="FI422" s="98"/>
      <c r="FJ422" s="118"/>
      <c r="FK422" s="98"/>
      <c r="FL422" s="118"/>
      <c r="FM422" s="98"/>
      <c r="FN422" s="118"/>
      <c r="FO422" s="98"/>
      <c r="FP422" s="118"/>
      <c r="FQ422" s="98"/>
      <c r="FR422" s="119"/>
      <c r="FS422" s="120"/>
      <c r="FT422" s="119"/>
      <c r="FU422" s="120"/>
      <c r="FV422" s="119">
        <f>BO422+BQ422+BS422+BU422</f>
        <v>-30504</v>
      </c>
      <c r="FW422" s="98" t="str">
        <f t="shared" si="2474"/>
        <v>NA</v>
      </c>
      <c r="FX422" s="485">
        <f>BW422+BY422+CA422+CC422</f>
        <v>18323</v>
      </c>
      <c r="FY422" s="98" t="str">
        <f t="shared" si="2475"/>
        <v>NM</v>
      </c>
      <c r="FZ422" s="119">
        <f>CE422+CG422+CI422+CK422</f>
        <v>12494</v>
      </c>
      <c r="GA422" s="98">
        <f t="shared" si="2476"/>
        <v>-31.812476122905643</v>
      </c>
      <c r="GB422" s="485">
        <f>CM422+CO422+CQ422+CS422</f>
        <v>-1799</v>
      </c>
      <c r="GC422" s="98" t="str">
        <f t="shared" si="2477"/>
        <v>NM</v>
      </c>
      <c r="GD422" s="119">
        <f>CU422+CW422+CY422+DA422</f>
        <v>16327</v>
      </c>
      <c r="GE422" s="98" t="str">
        <f t="shared" si="2478"/>
        <v>NM</v>
      </c>
      <c r="GF422" s="119">
        <f>DC422+DE422+DG422+DI422</f>
        <v>24579</v>
      </c>
      <c r="GG422" s="98">
        <f t="shared" si="2479"/>
        <v>50.542046916151165</v>
      </c>
      <c r="GH422" s="119">
        <f>DK422+DM422+DO422+DQ422</f>
        <v>10063</v>
      </c>
      <c r="GI422" s="98" t="str">
        <f t="shared" si="2480"/>
        <v>NM</v>
      </c>
      <c r="GJ422" s="119">
        <f>DS422+DU422+DW422+DY422</f>
        <v>44</v>
      </c>
      <c r="GK422" s="98" t="str">
        <f t="shared" si="2481"/>
        <v>NM</v>
      </c>
      <c r="GL422" s="119">
        <f>EA422+EC422+EE422+EG422</f>
        <v>386</v>
      </c>
      <c r="GM422" s="98" t="str">
        <f t="shared" si="2482"/>
        <v>NM</v>
      </c>
      <c r="GN422" s="119">
        <f>EI422+EK422+EM422+EO422</f>
        <v>984</v>
      </c>
      <c r="GO422" s="98" t="str">
        <f t="shared" si="2482"/>
        <v>NM</v>
      </c>
      <c r="GP422" s="119">
        <f>EQ422+ES422+EU422+EW422</f>
        <v>162.95949315980158</v>
      </c>
      <c r="GQ422" s="98" t="str">
        <f t="shared" si="2482"/>
        <v>NM</v>
      </c>
      <c r="GR422" s="468">
        <f>GR420*(GR432/100*GR$26/100)</f>
        <v>338.52986945571018</v>
      </c>
      <c r="GS422" s="98" t="str">
        <f t="shared" si="2482"/>
        <v>NM</v>
      </c>
      <c r="GT422" s="468">
        <f>GT420*(GT432/100*GT$26/100)</f>
        <v>332.13762408602781</v>
      </c>
      <c r="GU422" s="98">
        <f t="shared" si="2482"/>
        <v>-1.8882367396294564</v>
      </c>
      <c r="GV422" s="468">
        <f>GV420*(GV432/100*GV$26/100)</f>
        <v>321.86946921769118</v>
      </c>
      <c r="GW422" s="98">
        <f t="shared" si="2482"/>
        <v>-3.0915361957539189</v>
      </c>
      <c r="GX422" s="468">
        <f>GX420*(GX432/100*GX$26/100)</f>
        <v>308.40441582671468</v>
      </c>
      <c r="GY422" s="98">
        <f t="shared" si="2483"/>
        <v>-4.1833894415967858</v>
      </c>
      <c r="GZ422" s="98">
        <f t="shared" si="2484"/>
        <v>-20.708780406430215</v>
      </c>
      <c r="HA422" s="98"/>
      <c r="HB422" s="10"/>
      <c r="HC422"/>
      <c r="HD422"/>
      <c r="HE422"/>
      <c r="HF422"/>
      <c r="HG422"/>
      <c r="HH422"/>
      <c r="HI422" s="10"/>
    </row>
    <row r="423" spans="1:217" s="2" customFormat="1" ht="12.75" customHeight="1" x14ac:dyDescent="0.2">
      <c r="B423" s="91" t="s">
        <v>307</v>
      </c>
      <c r="C423" s="101"/>
      <c r="D423" s="98"/>
      <c r="E423" s="101"/>
      <c r="F423" s="98"/>
      <c r="G423" s="101"/>
      <c r="H423" s="98"/>
      <c r="I423" s="101"/>
      <c r="J423" s="98"/>
      <c r="K423" s="101"/>
      <c r="L423" s="98"/>
      <c r="M423" s="101"/>
      <c r="N423" s="98"/>
      <c r="O423" s="101"/>
      <c r="P423" s="98"/>
      <c r="Q423" s="101"/>
      <c r="R423" s="98"/>
      <c r="S423" s="101"/>
      <c r="T423" s="98"/>
      <c r="U423" s="101"/>
      <c r="V423" s="98"/>
      <c r="W423" s="101"/>
      <c r="X423" s="98"/>
      <c r="Y423" s="101"/>
      <c r="Z423" s="98"/>
      <c r="AA423" s="101"/>
      <c r="AB423" s="98"/>
      <c r="AC423" s="101"/>
      <c r="AD423" s="98"/>
      <c r="AE423" s="101"/>
      <c r="AF423" s="98"/>
      <c r="AG423" s="101"/>
      <c r="AH423" s="98"/>
      <c r="AI423" s="101"/>
      <c r="AJ423" s="98"/>
      <c r="AK423" s="101"/>
      <c r="AL423" s="98"/>
      <c r="AM423" s="101"/>
      <c r="AN423" s="98"/>
      <c r="AO423" s="101"/>
      <c r="AP423" s="98"/>
      <c r="AQ423" s="101"/>
      <c r="AR423" s="98"/>
      <c r="AS423" s="101"/>
      <c r="AT423" s="98"/>
      <c r="AU423" s="101"/>
      <c r="AV423" s="98"/>
      <c r="AW423" s="101"/>
      <c r="AX423" s="98"/>
      <c r="AY423" s="101"/>
      <c r="AZ423" s="98"/>
      <c r="BA423" s="101"/>
      <c r="BB423" s="98"/>
      <c r="BC423" s="101"/>
      <c r="BD423" s="98"/>
      <c r="BE423" s="101"/>
      <c r="BF423" s="98"/>
      <c r="BG423" s="101"/>
      <c r="BH423" s="98"/>
      <c r="BI423" s="101"/>
      <c r="BJ423" s="98"/>
      <c r="BK423" s="101"/>
      <c r="BL423" s="98"/>
      <c r="BM423" s="101">
        <v>-2706</v>
      </c>
      <c r="BN423" s="98" t="str">
        <f t="shared" si="2424"/>
        <v>NA</v>
      </c>
      <c r="BO423" s="101">
        <v>-2363</v>
      </c>
      <c r="BP423" s="98" t="str">
        <f t="shared" si="2425"/>
        <v>NA</v>
      </c>
      <c r="BQ423" s="101">
        <v>-2397</v>
      </c>
      <c r="BR423" s="98" t="str">
        <f t="shared" si="2426"/>
        <v>NA</v>
      </c>
      <c r="BS423" s="101">
        <v>-2047</v>
      </c>
      <c r="BT423" s="98" t="str">
        <f t="shared" si="2427"/>
        <v>NA</v>
      </c>
      <c r="BU423" s="101">
        <v>-1723</v>
      </c>
      <c r="BV423" s="98">
        <f t="shared" si="2428"/>
        <v>-36.326681448632669</v>
      </c>
      <c r="BW423" s="101">
        <v>-1350</v>
      </c>
      <c r="BX423" s="98">
        <f t="shared" si="2429"/>
        <v>-42.869234024545065</v>
      </c>
      <c r="BY423" s="101">
        <v>-1317</v>
      </c>
      <c r="BZ423" s="98">
        <f t="shared" si="2430"/>
        <v>-45.056320400500624</v>
      </c>
      <c r="CA423" s="101">
        <v>-1283</v>
      </c>
      <c r="CB423" s="98">
        <f t="shared" si="2431"/>
        <v>-37.322911577918902</v>
      </c>
      <c r="CC423" s="101">
        <f>-1456</f>
        <v>-1456</v>
      </c>
      <c r="CD423" s="98">
        <f t="shared" si="2432"/>
        <v>-15.496227510156702</v>
      </c>
      <c r="CE423" s="101">
        <v>-1622</v>
      </c>
      <c r="CF423" s="98">
        <f t="shared" si="2433"/>
        <v>20.148148148148138</v>
      </c>
      <c r="CG423" s="101">
        <v>-1622</v>
      </c>
      <c r="CH423" s="98">
        <f t="shared" si="2434"/>
        <v>23.158694001518597</v>
      </c>
      <c r="CI423" s="101">
        <v>-1813</v>
      </c>
      <c r="CJ423" s="98">
        <f t="shared" si="2435"/>
        <v>41.309431021044432</v>
      </c>
      <c r="CK423" s="101">
        <v>-1851</v>
      </c>
      <c r="CL423" s="98">
        <f t="shared" si="2436"/>
        <v>27.129120879120872</v>
      </c>
      <c r="CM423" s="101">
        <v>-2106</v>
      </c>
      <c r="CN423" s="98">
        <f t="shared" si="2437"/>
        <v>29.839704069050565</v>
      </c>
      <c r="CO423" s="101">
        <v>-2330</v>
      </c>
      <c r="CP423" s="98">
        <f t="shared" si="2438"/>
        <v>43.649815043156593</v>
      </c>
      <c r="CQ423" s="542">
        <v>-2112</v>
      </c>
      <c r="CR423" s="98">
        <f t="shared" si="2439"/>
        <v>16.492002206287925</v>
      </c>
      <c r="CS423" s="101">
        <v>-1993</v>
      </c>
      <c r="CT423" s="98">
        <f t="shared" si="2440"/>
        <v>7.6715289032955214</v>
      </c>
      <c r="CU423" s="101">
        <v>-2151</v>
      </c>
      <c r="CV423" s="98">
        <f t="shared" si="2441"/>
        <v>2.1367521367521292</v>
      </c>
      <c r="CW423" s="101">
        <v>-2103</v>
      </c>
      <c r="CX423" s="98">
        <f t="shared" si="2442"/>
        <v>-9.7424892703862671</v>
      </c>
      <c r="CY423" s="101">
        <v>-2019</v>
      </c>
      <c r="CZ423" s="98">
        <f t="shared" si="2443"/>
        <v>-4.4034090909090935</v>
      </c>
      <c r="DA423" s="101">
        <v>-2177</v>
      </c>
      <c r="DB423" s="98">
        <f t="shared" si="2444"/>
        <v>9.2323130958354316</v>
      </c>
      <c r="DC423" s="101">
        <v>-2175</v>
      </c>
      <c r="DD423" s="98">
        <f t="shared" si="2445"/>
        <v>1.1157601115760141</v>
      </c>
      <c r="DE423" s="101">
        <v>-2444</v>
      </c>
      <c r="DF423" s="98">
        <f t="shared" si="2446"/>
        <v>16.214931050879699</v>
      </c>
      <c r="DG423" s="101">
        <v>-2289</v>
      </c>
      <c r="DH423" s="98">
        <f t="shared" si="2447"/>
        <v>13.372956909361067</v>
      </c>
      <c r="DI423" s="101">
        <v>-2594</v>
      </c>
      <c r="DJ423" s="98">
        <f t="shared" si="2448"/>
        <v>19.154800183739095</v>
      </c>
      <c r="DK423" s="101">
        <v>-2631</v>
      </c>
      <c r="DL423" s="98">
        <f t="shared" si="2449"/>
        <v>20.965517241379317</v>
      </c>
      <c r="DM423" s="101">
        <v>-2871</v>
      </c>
      <c r="DN423" s="98">
        <f t="shared" si="2450"/>
        <v>17.471358428805228</v>
      </c>
      <c r="DO423" s="101">
        <v>-2829</v>
      </c>
      <c r="DP423" s="98">
        <f t="shared" si="2451"/>
        <v>23.591087811271304</v>
      </c>
      <c r="DQ423" s="101">
        <v>-3000</v>
      </c>
      <c r="DR423" s="98">
        <f t="shared" si="2452"/>
        <v>15.651503469545114</v>
      </c>
      <c r="DS423" s="101">
        <v>-54</v>
      </c>
      <c r="DT423" s="98" t="str">
        <f t="shared" si="2453"/>
        <v>NM</v>
      </c>
      <c r="DU423" s="101">
        <v>-59</v>
      </c>
      <c r="DV423" s="98" t="str">
        <f t="shared" si="2454"/>
        <v>NM</v>
      </c>
      <c r="DW423" s="101">
        <v>-55</v>
      </c>
      <c r="DX423" s="98" t="str">
        <f t="shared" si="2455"/>
        <v>NM</v>
      </c>
      <c r="DY423" s="101">
        <v>-51</v>
      </c>
      <c r="DZ423" s="98" t="str">
        <f t="shared" si="2456"/>
        <v>NM</v>
      </c>
      <c r="EA423" s="101">
        <v>-50</v>
      </c>
      <c r="EB423" s="98">
        <f t="shared" si="2457"/>
        <v>-7.4074074074074066</v>
      </c>
      <c r="EC423" s="101">
        <v>-57</v>
      </c>
      <c r="ED423" s="98">
        <f t="shared" si="2458"/>
        <v>-3.3898305084745783</v>
      </c>
      <c r="EE423" s="101">
        <v>-56</v>
      </c>
      <c r="EF423" s="860">
        <f t="shared" si="2459"/>
        <v>1.8181818181818077</v>
      </c>
      <c r="EG423" s="101">
        <v>-52</v>
      </c>
      <c r="EH423" s="860">
        <f t="shared" si="2460"/>
        <v>1.9607843137254832</v>
      </c>
      <c r="EI423" s="101">
        <v>-61</v>
      </c>
      <c r="EJ423" s="860">
        <f t="shared" si="2461"/>
        <v>21.999999999999996</v>
      </c>
      <c r="EK423" s="101">
        <v>-63</v>
      </c>
      <c r="EL423" s="860">
        <f t="shared" si="2462"/>
        <v>10.526315789473696</v>
      </c>
      <c r="EM423" s="101">
        <v>-56</v>
      </c>
      <c r="EN423" s="860">
        <f t="shared" si="2463"/>
        <v>0</v>
      </c>
      <c r="EO423" s="101">
        <v>-63</v>
      </c>
      <c r="EP423" s="98">
        <f t="shared" si="2464"/>
        <v>21.153846153846146</v>
      </c>
      <c r="EQ423" s="1023">
        <f>EQ420*(-EQ430/400)</f>
        <v>-65.055555555555557</v>
      </c>
      <c r="ER423" s="98">
        <f t="shared" si="2466"/>
        <v>6.6484517304189472</v>
      </c>
      <c r="ES423" s="1023">
        <f t="shared" ref="ES423" si="2491">ES420*(-ES430/400)</f>
        <v>-63.581538271604941</v>
      </c>
      <c r="ET423" s="98">
        <f t="shared" si="2468"/>
        <v>0.92307662159514248</v>
      </c>
      <c r="EU423" s="1023">
        <f t="shared" ref="EU423" si="2492">EU420*(-EU430/400)</f>
        <v>-63.318860750068602</v>
      </c>
      <c r="EV423" s="98">
        <f t="shared" si="2470"/>
        <v>13.069394196551066</v>
      </c>
      <c r="EW423" s="1023">
        <f t="shared" ref="EW423" si="2493">EW420*(-EW430/400)</f>
        <v>-63.021353904068661</v>
      </c>
      <c r="EX423" s="98">
        <f t="shared" si="2472"/>
        <v>3.3895085823276716E-2</v>
      </c>
      <c r="EY423" s="119"/>
      <c r="EZ423" s="594"/>
      <c r="FA423" s="405"/>
      <c r="FB423" s="95" t="s">
        <v>494</v>
      </c>
      <c r="FC423" s="98"/>
      <c r="FD423" s="101">
        <v>-1226</v>
      </c>
      <c r="FE423" s="98" t="str">
        <f t="shared" si="2473"/>
        <v>NA</v>
      </c>
      <c r="FF423" s="118"/>
      <c r="FG423" s="98"/>
      <c r="FH423" s="118"/>
      <c r="FI423" s="98"/>
      <c r="FJ423" s="118"/>
      <c r="FK423" s="98"/>
      <c r="FL423" s="118"/>
      <c r="FM423" s="98"/>
      <c r="FN423" s="118"/>
      <c r="FO423" s="98"/>
      <c r="FP423" s="118"/>
      <c r="FQ423" s="98"/>
      <c r="FR423" s="119"/>
      <c r="FS423" s="120"/>
      <c r="FT423" s="119"/>
      <c r="FU423" s="120"/>
      <c r="FV423" s="119">
        <f>BO423+BQ423+BS423+BU423</f>
        <v>-8530</v>
      </c>
      <c r="FW423" s="98" t="str">
        <f t="shared" si="2474"/>
        <v>NA</v>
      </c>
      <c r="FX423" s="485">
        <f>BW423+BY423+CA423+CC423</f>
        <v>-5406</v>
      </c>
      <c r="FY423" s="98">
        <f t="shared" si="2475"/>
        <v>-36.623681125439624</v>
      </c>
      <c r="FZ423" s="119">
        <f>CE423+CG423+CI423+CK423</f>
        <v>-6908</v>
      </c>
      <c r="GA423" s="98">
        <f t="shared" si="2476"/>
        <v>27.783943766185715</v>
      </c>
      <c r="GB423" s="485">
        <f>CM423+CO423+CQ423+CS423</f>
        <v>-8541</v>
      </c>
      <c r="GC423" s="98">
        <f t="shared" si="2477"/>
        <v>23.639258830341635</v>
      </c>
      <c r="GD423" s="119">
        <f>CU423+CW423+CY423+DA423</f>
        <v>-8450</v>
      </c>
      <c r="GE423" s="98">
        <f t="shared" si="2478"/>
        <v>-1.0654490106544956</v>
      </c>
      <c r="GF423" s="119">
        <f>DC423+DE423+DG423+DI423</f>
        <v>-9502</v>
      </c>
      <c r="GG423" s="98">
        <f t="shared" si="2479"/>
        <v>12.44970414201183</v>
      </c>
      <c r="GH423" s="119">
        <f>DK423+DM423+DO423+DQ423</f>
        <v>-11331</v>
      </c>
      <c r="GI423" s="98">
        <f t="shared" si="2480"/>
        <v>19.248579246474428</v>
      </c>
      <c r="GJ423" s="119">
        <f>DS423+DU423+DW423+DY423</f>
        <v>-219</v>
      </c>
      <c r="GK423" s="98" t="str">
        <f t="shared" si="2481"/>
        <v>NM</v>
      </c>
      <c r="GL423" s="119">
        <f>EA423+EC423+EE423+EG423</f>
        <v>-215</v>
      </c>
      <c r="GM423" s="98">
        <f t="shared" si="2482"/>
        <v>-1.8264840182648401</v>
      </c>
      <c r="GN423" s="119">
        <f>EI423+EK423+EM423+EO423</f>
        <v>-243</v>
      </c>
      <c r="GO423" s="98">
        <f t="shared" si="2482"/>
        <v>13.023255813953494</v>
      </c>
      <c r="GP423" s="119">
        <f>EQ423+ES423+EU423+EW423</f>
        <v>-254.97730848129777</v>
      </c>
      <c r="GQ423" s="98">
        <f t="shared" si="2482"/>
        <v>4.9289335313982496</v>
      </c>
      <c r="GR423" s="468">
        <f>GR420*(-GR430/100)</f>
        <v>-259.81402197124976</v>
      </c>
      <c r="GS423" s="98">
        <f t="shared" si="2482"/>
        <v>1.8969191881271774</v>
      </c>
      <c r="GT423" s="468">
        <f>GT420*(-GT430/100)</f>
        <v>-268.74718582393081</v>
      </c>
      <c r="GU423" s="98">
        <f t="shared" si="2482"/>
        <v>3.4382916614367875</v>
      </c>
      <c r="GV423" s="468">
        <f>GV420*(-GV430/100)</f>
        <v>-273.84999718318443</v>
      </c>
      <c r="GW423" s="98">
        <f t="shared" si="2482"/>
        <v>1.8987403881493004</v>
      </c>
      <c r="GX423" s="468">
        <f>GX420*(-GX430/100)</f>
        <v>-275.24396930798974</v>
      </c>
      <c r="GY423" s="98">
        <f t="shared" si="2483"/>
        <v>0.50902762064768403</v>
      </c>
      <c r="GZ423" s="98">
        <f t="shared" si="2484"/>
        <v>2.5232364970158239</v>
      </c>
      <c r="HA423" s="98"/>
      <c r="HB423" s="10"/>
      <c r="HC423"/>
      <c r="HD423"/>
      <c r="HE423"/>
      <c r="HF423"/>
      <c r="HG423"/>
      <c r="HH423"/>
      <c r="HI423" s="10"/>
    </row>
    <row r="424" spans="1:217" s="2" customFormat="1" ht="12.75" customHeight="1" x14ac:dyDescent="0.2">
      <c r="B424" s="91" t="s">
        <v>368</v>
      </c>
      <c r="C424" s="101"/>
      <c r="D424" s="113"/>
      <c r="E424" s="101"/>
      <c r="F424" s="113"/>
      <c r="G424" s="101"/>
      <c r="H424" s="113"/>
      <c r="I424" s="101"/>
      <c r="J424" s="98"/>
      <c r="K424" s="101"/>
      <c r="L424" s="98"/>
      <c r="M424" s="101"/>
      <c r="N424" s="98"/>
      <c r="O424" s="101"/>
      <c r="P424" s="98"/>
      <c r="Q424" s="101"/>
      <c r="R424" s="98"/>
      <c r="S424" s="101"/>
      <c r="T424" s="98"/>
      <c r="U424" s="101"/>
      <c r="V424" s="98"/>
      <c r="W424" s="101"/>
      <c r="X424" s="98"/>
      <c r="Y424" s="101"/>
      <c r="Z424" s="98"/>
      <c r="AA424" s="101"/>
      <c r="AB424" s="98"/>
      <c r="AC424" s="101"/>
      <c r="AD424" s="98"/>
      <c r="AE424" s="101"/>
      <c r="AF424" s="98"/>
      <c r="AG424" s="101"/>
      <c r="AH424" s="98"/>
      <c r="AI424" s="101"/>
      <c r="AJ424" s="98"/>
      <c r="AK424" s="101"/>
      <c r="AL424" s="98"/>
      <c r="AM424" s="101"/>
      <c r="AN424" s="98"/>
      <c r="AO424" s="101"/>
      <c r="AP424" s="98"/>
      <c r="AQ424" s="101"/>
      <c r="AR424" s="98"/>
      <c r="AS424" s="101"/>
      <c r="AT424" s="98"/>
      <c r="AU424" s="101"/>
      <c r="AV424" s="98"/>
      <c r="AW424" s="101"/>
      <c r="AX424" s="98"/>
      <c r="AY424" s="101"/>
      <c r="AZ424" s="98"/>
      <c r="BA424" s="101"/>
      <c r="BB424" s="98"/>
      <c r="BC424" s="101"/>
      <c r="BD424" s="98"/>
      <c r="BE424" s="101"/>
      <c r="BF424" s="98"/>
      <c r="BG424" s="101"/>
      <c r="BH424" s="98"/>
      <c r="BI424" s="101"/>
      <c r="BJ424" s="98"/>
      <c r="BK424" s="101"/>
      <c r="BL424" s="98"/>
      <c r="BM424" s="101">
        <f>942-397+2</f>
        <v>547</v>
      </c>
      <c r="BN424" s="98" t="str">
        <f t="shared" si="2424"/>
        <v>NA</v>
      </c>
      <c r="BO424" s="101">
        <f>307-364+4</f>
        <v>-53</v>
      </c>
      <c r="BP424" s="98" t="str">
        <f t="shared" si="2425"/>
        <v>NA</v>
      </c>
      <c r="BQ424" s="101">
        <f>683-384-2</f>
        <v>297</v>
      </c>
      <c r="BR424" s="98" t="str">
        <f t="shared" si="2426"/>
        <v>NA</v>
      </c>
      <c r="BS424" s="101">
        <f>315-364+2</f>
        <v>-47</v>
      </c>
      <c r="BT424" s="98" t="str">
        <f t="shared" si="2427"/>
        <v>NA</v>
      </c>
      <c r="BU424" s="101">
        <f>-1-288+9</f>
        <v>-280</v>
      </c>
      <c r="BV424" s="98" t="str">
        <f t="shared" si="2428"/>
        <v>NM</v>
      </c>
      <c r="BW424" s="101">
        <f>231-271+5</f>
        <v>-35</v>
      </c>
      <c r="BX424" s="98">
        <f t="shared" si="2429"/>
        <v>-33.962264150943398</v>
      </c>
      <c r="BY424" s="101">
        <f>1217-322</f>
        <v>895</v>
      </c>
      <c r="BZ424" s="98" t="str">
        <f t="shared" si="2430"/>
        <v>NM</v>
      </c>
      <c r="CA424" s="101">
        <f>82142-CA423-CA422-CA421-CA420</f>
        <v>644</v>
      </c>
      <c r="CB424" s="98" t="str">
        <f t="shared" si="2431"/>
        <v>NM</v>
      </c>
      <c r="CC424" s="101">
        <f>-150+946-392+2</f>
        <v>406</v>
      </c>
      <c r="CD424" s="98" t="str">
        <f t="shared" si="2432"/>
        <v>NM</v>
      </c>
      <c r="CE424" s="101">
        <f>892-406-1-179</f>
        <v>306</v>
      </c>
      <c r="CF424" s="98" t="str">
        <f t="shared" si="2433"/>
        <v>NM</v>
      </c>
      <c r="CG424" s="101">
        <f>689-454+0-193</f>
        <v>42</v>
      </c>
      <c r="CH424" s="98" t="str">
        <f t="shared" si="2434"/>
        <v>NM</v>
      </c>
      <c r="CI424" s="101">
        <f>808-453-183</f>
        <v>172</v>
      </c>
      <c r="CJ424" s="98" t="str">
        <f t="shared" si="2435"/>
        <v>NM</v>
      </c>
      <c r="CK424" s="101">
        <f>1131-496-205</f>
        <v>430</v>
      </c>
      <c r="CL424" s="98">
        <f t="shared" si="2436"/>
        <v>5.9113300492610765</v>
      </c>
      <c r="CM424" s="101">
        <f>846-529+1-208</f>
        <v>110</v>
      </c>
      <c r="CN424" s="98" t="str">
        <f t="shared" si="2437"/>
        <v>NM</v>
      </c>
      <c r="CO424" s="101">
        <f>733-589-219</f>
        <v>-75</v>
      </c>
      <c r="CP424" s="98" t="str">
        <f t="shared" si="2438"/>
        <v>NM</v>
      </c>
      <c r="CQ424" s="542">
        <f>624-574+5-209</f>
        <v>-154</v>
      </c>
      <c r="CR424" s="98" t="str">
        <f t="shared" si="2439"/>
        <v>NM</v>
      </c>
      <c r="CS424" s="101">
        <f>-203+1401-589</f>
        <v>609</v>
      </c>
      <c r="CT424" s="98">
        <f t="shared" si="2440"/>
        <v>41.627906976744185</v>
      </c>
      <c r="CU424" s="101">
        <f>-242+1251-652+1</f>
        <v>358</v>
      </c>
      <c r="CV424" s="98" t="str">
        <f t="shared" si="2441"/>
        <v>NM</v>
      </c>
      <c r="CW424" s="101">
        <f>-254+750-723+1</f>
        <v>-226</v>
      </c>
      <c r="CX424" s="98" t="str">
        <f t="shared" si="2442"/>
        <v>NM</v>
      </c>
      <c r="CY424" s="101">
        <f>-242+604-750+2</f>
        <v>-386</v>
      </c>
      <c r="CZ424" s="98" t="str">
        <f t="shared" si="2443"/>
        <v>NM</v>
      </c>
      <c r="DA424" s="101">
        <f>-283+335-788+1</f>
        <v>-735</v>
      </c>
      <c r="DB424" s="98" t="str">
        <f t="shared" si="2444"/>
        <v>NM</v>
      </c>
      <c r="DC424" s="101">
        <f>-269+555-734+1</f>
        <v>-447</v>
      </c>
      <c r="DD424" s="98" t="str">
        <f t="shared" si="2445"/>
        <v>NM</v>
      </c>
      <c r="DE424" s="101">
        <f>-317+214-860</f>
        <v>-963</v>
      </c>
      <c r="DF424" s="98" t="str">
        <f t="shared" si="2446"/>
        <v>NM</v>
      </c>
      <c r="DG424" s="101">
        <f>-295-58-903</f>
        <v>-1256</v>
      </c>
      <c r="DH424" s="98" t="str">
        <f t="shared" si="2447"/>
        <v>NM</v>
      </c>
      <c r="DI424" s="101">
        <f>-301+119-880</f>
        <v>-1062</v>
      </c>
      <c r="DJ424" s="98">
        <f t="shared" si="2448"/>
        <v>44.489795918367349</v>
      </c>
      <c r="DK424" s="101">
        <f>-320+21-849+2</f>
        <v>-1146</v>
      </c>
      <c r="DL424" s="98" t="str">
        <f t="shared" si="2449"/>
        <v>NM</v>
      </c>
      <c r="DM424" s="101">
        <f>-359+10-913-1</f>
        <v>-1263</v>
      </c>
      <c r="DN424" s="98">
        <f t="shared" si="2450"/>
        <v>31.152647975077883</v>
      </c>
      <c r="DO424" s="101">
        <f>-321-34-943</f>
        <v>-1298</v>
      </c>
      <c r="DP424" s="98">
        <f t="shared" si="2451"/>
        <v>3.3439490445859921</v>
      </c>
      <c r="DQ424" s="101">
        <f>-330+-2+-910+-1</f>
        <v>-1243</v>
      </c>
      <c r="DR424" s="98">
        <f t="shared" si="2452"/>
        <v>17.043314500941609</v>
      </c>
      <c r="DS424" s="101">
        <f>-5-11-73-1</f>
        <v>-90</v>
      </c>
      <c r="DT424" s="98" t="str">
        <f t="shared" si="2453"/>
        <v>NM</v>
      </c>
      <c r="DU424" s="101">
        <f>-7-11-72</f>
        <v>-90</v>
      </c>
      <c r="DV424" s="98" t="str">
        <f t="shared" si="2454"/>
        <v>NM</v>
      </c>
      <c r="DW424" s="101">
        <f>-39-12-71+1</f>
        <v>-121</v>
      </c>
      <c r="DX424" s="98" t="str">
        <f t="shared" si="2455"/>
        <v>NM</v>
      </c>
      <c r="DY424" s="101">
        <f>-5-11-72</f>
        <v>-88</v>
      </c>
      <c r="DZ424" s="98" t="str">
        <f t="shared" si="2456"/>
        <v>NM</v>
      </c>
      <c r="EA424" s="101">
        <f>-7-11-72-2</f>
        <v>-92</v>
      </c>
      <c r="EB424" s="98">
        <f t="shared" si="2457"/>
        <v>2.2222222222222143</v>
      </c>
      <c r="EC424" s="101">
        <f>-7-21-72-1</f>
        <v>-101</v>
      </c>
      <c r="ED424" s="98">
        <f t="shared" si="2458"/>
        <v>12.222222222222223</v>
      </c>
      <c r="EE424" s="101">
        <f>-28-16-71+15</f>
        <v>-100</v>
      </c>
      <c r="EF424" s="860">
        <f t="shared" si="2459"/>
        <v>-17.355371900826444</v>
      </c>
      <c r="EG424" s="101">
        <f>-5-12-72-16</f>
        <v>-105</v>
      </c>
      <c r="EH424" s="860">
        <f t="shared" si="2460"/>
        <v>19.318181818181813</v>
      </c>
      <c r="EI424" s="101">
        <f>-7-25-72-2</f>
        <v>-106</v>
      </c>
      <c r="EJ424" s="860">
        <f t="shared" si="2461"/>
        <v>15.217391304347828</v>
      </c>
      <c r="EK424" s="101">
        <f>-7-9-71-2</f>
        <v>-89</v>
      </c>
      <c r="EL424" s="860">
        <f t="shared" si="2462"/>
        <v>-11.881188118811881</v>
      </c>
      <c r="EM424" s="101">
        <f>-6-12-69-1</f>
        <v>-88</v>
      </c>
      <c r="EN424" s="860">
        <f t="shared" si="2463"/>
        <v>-12</v>
      </c>
      <c r="EO424" s="101">
        <f>-6-11-71-3</f>
        <v>-91</v>
      </c>
      <c r="EP424" s="98">
        <f t="shared" si="2464"/>
        <v>-13.33333333333333</v>
      </c>
      <c r="EQ424" s="952">
        <f t="shared" ref="EQ424" si="2494">EO424</f>
        <v>-91</v>
      </c>
      <c r="ER424" s="98">
        <f t="shared" si="2466"/>
        <v>-14.150943396226412</v>
      </c>
      <c r="ES424" s="952">
        <f t="shared" ref="ES424" si="2495">EQ424</f>
        <v>-91</v>
      </c>
      <c r="ET424" s="98">
        <f t="shared" si="2468"/>
        <v>2.2471910112359605</v>
      </c>
      <c r="EU424" s="952">
        <f t="shared" ref="EU424" si="2496">ES424</f>
        <v>-91</v>
      </c>
      <c r="EV424" s="98">
        <f t="shared" si="2470"/>
        <v>3.4090909090909172</v>
      </c>
      <c r="EW424" s="952">
        <f t="shared" ref="EW424" si="2497">EU424</f>
        <v>-91</v>
      </c>
      <c r="EX424" s="98">
        <f t="shared" si="2472"/>
        <v>0</v>
      </c>
      <c r="EY424" s="101"/>
      <c r="EZ424" s="594"/>
      <c r="FA424" s="405"/>
      <c r="FB424" s="121"/>
      <c r="FC424" s="113"/>
      <c r="FD424" s="101">
        <v>0</v>
      </c>
      <c r="FE424" s="98" t="str">
        <f t="shared" si="2473"/>
        <v>NA</v>
      </c>
      <c r="FF424" s="101"/>
      <c r="FG424" s="98"/>
      <c r="FH424" s="118"/>
      <c r="FI424" s="98"/>
      <c r="FJ424" s="118"/>
      <c r="FK424" s="98"/>
      <c r="FL424" s="118"/>
      <c r="FM424" s="98"/>
      <c r="FN424" s="118"/>
      <c r="FO424" s="98"/>
      <c r="FP424" s="118"/>
      <c r="FQ424" s="98"/>
      <c r="FR424" s="100"/>
      <c r="FS424" s="120"/>
      <c r="FT424" s="100"/>
      <c r="FU424" s="120"/>
      <c r="FV424" s="100">
        <f>BO424+BQ424+BS424+BU424</f>
        <v>-83</v>
      </c>
      <c r="FW424" s="98" t="str">
        <f t="shared" si="2474"/>
        <v>NA</v>
      </c>
      <c r="FX424" s="485">
        <f>BW424+BY424+CA424+CC424</f>
        <v>1910</v>
      </c>
      <c r="FY424" s="98" t="str">
        <f t="shared" si="2475"/>
        <v>NM</v>
      </c>
      <c r="FZ424" s="119">
        <f>CE424+CG424+CI424+CK424</f>
        <v>950</v>
      </c>
      <c r="GA424" s="98" t="str">
        <f t="shared" si="2476"/>
        <v>NM</v>
      </c>
      <c r="GB424" s="485">
        <f>CM424+CO424+CQ424+CS424</f>
        <v>490</v>
      </c>
      <c r="GC424" s="98">
        <f t="shared" si="2477"/>
        <v>-48.421052631578945</v>
      </c>
      <c r="GD424" s="119">
        <f>CU424+CW424+CY424+DA424</f>
        <v>-989</v>
      </c>
      <c r="GE424" s="98" t="str">
        <f t="shared" si="2478"/>
        <v>NM</v>
      </c>
      <c r="GF424" s="119">
        <f>DC424+DE424+DG424+DI424</f>
        <v>-3728</v>
      </c>
      <c r="GG424" s="98" t="str">
        <f t="shared" si="2479"/>
        <v>NM</v>
      </c>
      <c r="GH424" s="119">
        <f>DK424+DM424+DO424+DQ424</f>
        <v>-4950</v>
      </c>
      <c r="GI424" s="98">
        <f t="shared" si="2480"/>
        <v>32.778969957081536</v>
      </c>
      <c r="GJ424" s="119">
        <f>DS424+DU424+DW424+DY424</f>
        <v>-389</v>
      </c>
      <c r="GK424" s="98" t="str">
        <f t="shared" si="2481"/>
        <v>NM</v>
      </c>
      <c r="GL424" s="119">
        <f>EA424+EC424+EE424+EG424</f>
        <v>-398</v>
      </c>
      <c r="GM424" s="98">
        <f t="shared" si="2482"/>
        <v>2.3136246786632286</v>
      </c>
      <c r="GN424" s="119">
        <f>EI424+EK424+EM424+EO424</f>
        <v>-374</v>
      </c>
      <c r="GO424" s="98">
        <f t="shared" si="2482"/>
        <v>-6.0301507537688481</v>
      </c>
      <c r="GP424" s="119">
        <f>EQ424+ES424+EU424+EW424</f>
        <v>-364</v>
      </c>
      <c r="GQ424" s="98">
        <f t="shared" si="2482"/>
        <v>-2.6737967914438499</v>
      </c>
      <c r="GR424" s="101">
        <f>GP424*1.01</f>
        <v>-367.64</v>
      </c>
      <c r="GS424" s="98">
        <f t="shared" si="2482"/>
        <v>1.0000000000000009</v>
      </c>
      <c r="GT424" s="101">
        <f>GR424*1.01</f>
        <v>-371.31639999999999</v>
      </c>
      <c r="GU424" s="98">
        <f t="shared" si="2482"/>
        <v>1.0000000000000009</v>
      </c>
      <c r="GV424" s="101">
        <f>GT424*1.01</f>
        <v>-375.02956399999999</v>
      </c>
      <c r="GW424" s="98">
        <f t="shared" si="2482"/>
        <v>1.0000000000000009</v>
      </c>
      <c r="GX424" s="101">
        <f>GV424*1.01</f>
        <v>-378.77985963999998</v>
      </c>
      <c r="GY424" s="98">
        <f t="shared" si="2483"/>
        <v>1.0000000000000009</v>
      </c>
      <c r="GZ424" s="98">
        <f t="shared" si="2484"/>
        <v>0.25431069514709748</v>
      </c>
      <c r="HA424" s="98"/>
      <c r="HB424" s="10"/>
      <c r="HC424"/>
      <c r="HD424"/>
      <c r="HE424"/>
      <c r="HF424"/>
      <c r="HG424"/>
      <c r="HH424"/>
      <c r="HI424" s="10"/>
    </row>
    <row r="425" spans="1:217" s="2" customFormat="1" ht="12.75" customHeight="1" x14ac:dyDescent="0.2">
      <c r="A425" s="2" t="s">
        <v>65</v>
      </c>
      <c r="B425" s="91" t="s">
        <v>12</v>
      </c>
      <c r="C425" s="117"/>
      <c r="D425" s="98"/>
      <c r="E425" s="117"/>
      <c r="F425" s="98"/>
      <c r="G425" s="117"/>
      <c r="H425" s="98"/>
      <c r="I425" s="117"/>
      <c r="J425" s="98"/>
      <c r="K425" s="117"/>
      <c r="L425" s="98"/>
      <c r="M425" s="117"/>
      <c r="N425" s="98"/>
      <c r="O425" s="117"/>
      <c r="P425" s="98"/>
      <c r="Q425" s="117"/>
      <c r="R425" s="98"/>
      <c r="S425" s="117"/>
      <c r="T425" s="98"/>
      <c r="U425" s="117"/>
      <c r="V425" s="98"/>
      <c r="W425" s="117"/>
      <c r="X425" s="98"/>
      <c r="Y425" s="117"/>
      <c r="Z425" s="98"/>
      <c r="AA425" s="117"/>
      <c r="AB425" s="98"/>
      <c r="AC425" s="117"/>
      <c r="AD425" s="98"/>
      <c r="AE425" s="117"/>
      <c r="AF425" s="98"/>
      <c r="AG425" s="117"/>
      <c r="AH425" s="98"/>
      <c r="AI425" s="117"/>
      <c r="AJ425" s="98"/>
      <c r="AK425" s="117"/>
      <c r="AL425" s="98"/>
      <c r="AM425" s="117"/>
      <c r="AN425" s="98"/>
      <c r="AO425" s="117"/>
      <c r="AP425" s="98"/>
      <c r="AQ425" s="117"/>
      <c r="AR425" s="98"/>
      <c r="AS425" s="117"/>
      <c r="AT425" s="98"/>
      <c r="AU425" s="117"/>
      <c r="AV425" s="98"/>
      <c r="AW425" s="117"/>
      <c r="AX425" s="98"/>
      <c r="AY425" s="117"/>
      <c r="AZ425" s="98"/>
      <c r="BA425" s="117"/>
      <c r="BB425" s="98"/>
      <c r="BC425" s="117"/>
      <c r="BD425" s="98"/>
      <c r="BE425" s="117"/>
      <c r="BF425" s="98"/>
      <c r="BG425" s="117"/>
      <c r="BH425" s="98"/>
      <c r="BI425" s="117"/>
      <c r="BJ425" s="98"/>
      <c r="BK425" s="117"/>
      <c r="BL425" s="98"/>
      <c r="BM425" s="117">
        <f>SUM(BM420:BM424)</f>
        <v>92080</v>
      </c>
      <c r="BN425" s="98" t="str">
        <f t="shared" si="2424"/>
        <v>NA</v>
      </c>
      <c r="BO425" s="117">
        <f>SUM(BO420:BO424)</f>
        <v>84826</v>
      </c>
      <c r="BP425" s="98" t="str">
        <f t="shared" si="2425"/>
        <v>NA</v>
      </c>
      <c r="BQ425" s="117">
        <f>SUM(BQ420:BQ424)</f>
        <v>84273</v>
      </c>
      <c r="BR425" s="98" t="str">
        <f t="shared" si="2426"/>
        <v>NA</v>
      </c>
      <c r="BS425" s="117">
        <f>SUM(BS420:BS424)</f>
        <v>75938</v>
      </c>
      <c r="BT425" s="98" t="str">
        <f t="shared" si="2427"/>
        <v>NA</v>
      </c>
      <c r="BU425" s="117">
        <f>SUM(BU420:BU424)</f>
        <v>62264</v>
      </c>
      <c r="BV425" s="98">
        <f t="shared" si="2428"/>
        <v>-32.380538662033011</v>
      </c>
      <c r="BW425" s="117">
        <f>SUM(BW420:BW424)</f>
        <v>59194</v>
      </c>
      <c r="BX425" s="98">
        <f t="shared" si="2429"/>
        <v>-30.217150401999383</v>
      </c>
      <c r="BY425" s="117">
        <f>SUM(BY420:BY424)</f>
        <v>70538</v>
      </c>
      <c r="BZ425" s="98">
        <f t="shared" si="2430"/>
        <v>-16.298221257104885</v>
      </c>
      <c r="CA425" s="117">
        <f>SUM(CA420:CA424)</f>
        <v>82142</v>
      </c>
      <c r="CB425" s="98">
        <f t="shared" si="2431"/>
        <v>8.1698227501382661</v>
      </c>
      <c r="CC425" s="117">
        <f>SUM(CC420:CC424)</f>
        <v>87157</v>
      </c>
      <c r="CD425" s="98">
        <f t="shared" si="2432"/>
        <v>39.979763587305662</v>
      </c>
      <c r="CE425" s="117">
        <f>SUM(CE420:CE424)</f>
        <v>92603</v>
      </c>
      <c r="CF425" s="98">
        <f t="shared" si="2433"/>
        <v>56.439841875865795</v>
      </c>
      <c r="CG425" s="117">
        <f>SUM(CG420:CG424)</f>
        <v>87367</v>
      </c>
      <c r="CH425" s="98">
        <f t="shared" si="2434"/>
        <v>23.858062321018458</v>
      </c>
      <c r="CI425" s="117">
        <f>SUM(CI420:CI424)</f>
        <v>97587</v>
      </c>
      <c r="CJ425" s="98">
        <f t="shared" si="2435"/>
        <v>18.802804898833724</v>
      </c>
      <c r="CK425" s="117">
        <f>SUM(CK420:CK424)</f>
        <v>107335</v>
      </c>
      <c r="CL425" s="98">
        <f t="shared" si="2436"/>
        <v>23.15132462108609</v>
      </c>
      <c r="CM425" s="117">
        <f>SUM(CM420:CM424)</f>
        <v>114510</v>
      </c>
      <c r="CN425" s="98">
        <f t="shared" si="2437"/>
        <v>23.656900964331619</v>
      </c>
      <c r="CO425" s="117">
        <f>SUM(CO420:CO424)</f>
        <v>118463</v>
      </c>
      <c r="CP425" s="98">
        <f t="shared" si="2438"/>
        <v>35.592386141220381</v>
      </c>
      <c r="CQ425" s="486">
        <f>SUM(CQ420:CQ424)</f>
        <v>108655</v>
      </c>
      <c r="CR425" s="98">
        <f t="shared" si="2439"/>
        <v>11.341674608298247</v>
      </c>
      <c r="CS425" s="117">
        <f>SUM(CS420:CS424)</f>
        <v>120263</v>
      </c>
      <c r="CT425" s="98">
        <f t="shared" si="2440"/>
        <v>12.044533469977182</v>
      </c>
      <c r="CU425" s="117">
        <f>SUM(CU420:CU424)</f>
        <v>133462</v>
      </c>
      <c r="CV425" s="98">
        <f t="shared" si="2441"/>
        <v>16.550519605274651</v>
      </c>
      <c r="CW425" s="117">
        <f>SUM(CW420:CW424)</f>
        <v>131416</v>
      </c>
      <c r="CX425" s="98">
        <f t="shared" si="2442"/>
        <v>10.934215746688846</v>
      </c>
      <c r="CY425" s="117">
        <f>SUM(CY420:CY424)</f>
        <v>139484</v>
      </c>
      <c r="CZ425" s="98">
        <f t="shared" si="2443"/>
        <v>28.373291611062545</v>
      </c>
      <c r="DA425" s="117">
        <f>SUM(DA420:DA424)</f>
        <v>142050</v>
      </c>
      <c r="DB425" s="98">
        <f t="shared" si="2444"/>
        <v>18.116128817674593</v>
      </c>
      <c r="DC425" s="117">
        <f>SUM(DC420:DC424)</f>
        <v>150826</v>
      </c>
      <c r="DD425" s="98">
        <f t="shared" si="2445"/>
        <v>13.010444920651576</v>
      </c>
      <c r="DE425" s="117">
        <f>SUM(DE420:DE424)</f>
        <v>149117</v>
      </c>
      <c r="DF425" s="98">
        <f t="shared" si="2446"/>
        <v>13.469440555183532</v>
      </c>
      <c r="DG425" s="117">
        <f>SUM(DG420:DG424)</f>
        <v>155977</v>
      </c>
      <c r="DH425" s="98">
        <f t="shared" si="2447"/>
        <v>11.82429525967137</v>
      </c>
      <c r="DI425" s="117">
        <f>SUM(DI420:DI424)</f>
        <v>162436</v>
      </c>
      <c r="DJ425" s="98">
        <f t="shared" si="2448"/>
        <v>14.351284758887717</v>
      </c>
      <c r="DK425" s="117">
        <f>SUM(DK420:DK424)</f>
        <v>162713</v>
      </c>
      <c r="DL425" s="98">
        <f t="shared" si="2449"/>
        <v>7.8812671555302138</v>
      </c>
      <c r="DM425" s="117">
        <f>SUM(DM420:DM424)</f>
        <v>166093</v>
      </c>
      <c r="DN425" s="98">
        <f t="shared" si="2450"/>
        <v>11.384349202304222</v>
      </c>
      <c r="DO425" s="117">
        <f>SUM(DO420:DO424)</f>
        <v>160995</v>
      </c>
      <c r="DP425" s="98">
        <f t="shared" si="2451"/>
        <v>3.2171409887355118</v>
      </c>
      <c r="DQ425" s="117">
        <f>SUM(DQ420:DQ424)</f>
        <v>161553</v>
      </c>
      <c r="DR425" s="98">
        <f t="shared" si="2452"/>
        <v>-0.54359870964564294</v>
      </c>
      <c r="DS425" s="117">
        <f>SUM(DS420:DS424)</f>
        <v>5467</v>
      </c>
      <c r="DT425" s="98" t="str">
        <f t="shared" si="2453"/>
        <v>NM</v>
      </c>
      <c r="DU425" s="117">
        <f>SUM(DU420:DU424)</f>
        <v>5418</v>
      </c>
      <c r="DV425" s="98" t="str">
        <f t="shared" si="2454"/>
        <v>NM</v>
      </c>
      <c r="DW425" s="117">
        <f>SUM(DW420:DW424)</f>
        <v>4965</v>
      </c>
      <c r="DX425" s="98" t="str">
        <f t="shared" si="2455"/>
        <v>NM</v>
      </c>
      <c r="DY425" s="117">
        <f>SUM(DY420:DY424)</f>
        <v>5120</v>
      </c>
      <c r="DZ425" s="98" t="str">
        <f t="shared" si="2456"/>
        <v>NM</v>
      </c>
      <c r="EA425" s="117">
        <f>SUM(EA420:EA424)</f>
        <v>5029</v>
      </c>
      <c r="EB425" s="98">
        <f t="shared" si="2457"/>
        <v>-8.011706603255897</v>
      </c>
      <c r="EC425" s="117">
        <f>SUM(EC420:EC424)</f>
        <v>5070</v>
      </c>
      <c r="ED425" s="98">
        <f t="shared" si="2458"/>
        <v>-6.4230343300110793</v>
      </c>
      <c r="EE425" s="117">
        <f>SUM(EE420:EE424)</f>
        <v>5210</v>
      </c>
      <c r="EF425" s="860">
        <f t="shared" si="2459"/>
        <v>4.9345417925478419</v>
      </c>
      <c r="EG425" s="117">
        <f>SUM(EG420:EG424)</f>
        <v>5200</v>
      </c>
      <c r="EH425" s="860">
        <f t="shared" si="2460"/>
        <v>1.5625</v>
      </c>
      <c r="EI425" s="117">
        <f>SUM(EI420:EI424)</f>
        <v>5415</v>
      </c>
      <c r="EJ425" s="860">
        <f t="shared" si="2461"/>
        <v>7.6754822032213177</v>
      </c>
      <c r="EK425" s="117">
        <f>SUM(EK420:EK424)</f>
        <v>5537</v>
      </c>
      <c r="EL425" s="860">
        <f t="shared" si="2462"/>
        <v>9.2110453648915236</v>
      </c>
      <c r="EM425" s="117">
        <f>SUM(EM420:EM424)</f>
        <v>5670</v>
      </c>
      <c r="EN425" s="860">
        <f t="shared" si="2463"/>
        <v>8.8291746641074873</v>
      </c>
      <c r="EO425" s="117">
        <f>SUM(EO420:EO424)</f>
        <v>5855</v>
      </c>
      <c r="EP425" s="98">
        <f t="shared" si="2464"/>
        <v>12.596153846153847</v>
      </c>
      <c r="EQ425" s="792">
        <f t="shared" ref="EQ425" si="2498">SUM(EQ420:EQ424)</f>
        <v>5722.3384444444446</v>
      </c>
      <c r="ER425" s="98">
        <f t="shared" si="2466"/>
        <v>5.6756868780137415</v>
      </c>
      <c r="ES425" s="792">
        <f t="shared" ref="ES425" si="2499">SUM(ES420:ES424)</f>
        <v>5698.6974675061738</v>
      </c>
      <c r="ET425" s="98">
        <f t="shared" si="2468"/>
        <v>2.920308244648262</v>
      </c>
      <c r="EU425" s="792">
        <f t="shared" ref="EU425" si="2500">SUM(EU420:EU424)</f>
        <v>5671.921851366179</v>
      </c>
      <c r="EV425" s="98">
        <f t="shared" si="2470"/>
        <v>3.3895085823254512E-2</v>
      </c>
      <c r="EW425" s="792">
        <f t="shared" ref="EW425" si="2501">SUM(EW420:EW424)</f>
        <v>5642.1644909285051</v>
      </c>
      <c r="EX425" s="98">
        <f t="shared" si="2472"/>
        <v>-3.6351069013064841</v>
      </c>
      <c r="EY425" s="118"/>
      <c r="EZ425" s="594"/>
      <c r="FA425" s="405"/>
      <c r="FB425" s="121">
        <v>15844</v>
      </c>
      <c r="FC425" s="98"/>
      <c r="FD425" s="117">
        <f>SUM(FD420:FD424)</f>
        <v>21138</v>
      </c>
      <c r="FE425" s="98">
        <f t="shared" si="2473"/>
        <v>33.413279474880085</v>
      </c>
      <c r="FF425" s="118"/>
      <c r="FG425" s="98"/>
      <c r="FH425" s="118"/>
      <c r="FI425" s="98"/>
      <c r="FJ425" s="118"/>
      <c r="FK425" s="98"/>
      <c r="FL425" s="118"/>
      <c r="FM425" s="98"/>
      <c r="FN425" s="118"/>
      <c r="FO425" s="98"/>
      <c r="FP425" s="118"/>
      <c r="FQ425" s="98"/>
      <c r="FR425" s="119"/>
      <c r="FS425" s="120"/>
      <c r="FT425" s="119"/>
      <c r="FU425" s="120"/>
      <c r="FV425" s="119">
        <f>SUM(FV420:FV424)</f>
        <v>62264</v>
      </c>
      <c r="FW425" s="98" t="str">
        <f t="shared" si="2474"/>
        <v>NA</v>
      </c>
      <c r="FX425" s="485">
        <f>SUM(FX420:FX424)</f>
        <v>87157</v>
      </c>
      <c r="FY425" s="98">
        <f t="shared" si="2475"/>
        <v>39.979763587305662</v>
      </c>
      <c r="FZ425" s="119">
        <f>SUM(FZ420:FZ424)</f>
        <v>107335</v>
      </c>
      <c r="GA425" s="98">
        <f t="shared" si="2476"/>
        <v>23.15132462108609</v>
      </c>
      <c r="GB425" s="485">
        <f>SUM(GB420:GB424)</f>
        <v>120263</v>
      </c>
      <c r="GC425" s="98">
        <f t="shared" si="2477"/>
        <v>12.044533469977182</v>
      </c>
      <c r="GD425" s="119">
        <f>SUM(GD420:GD424)</f>
        <v>142050</v>
      </c>
      <c r="GE425" s="98">
        <f t="shared" si="2478"/>
        <v>18.116128817674593</v>
      </c>
      <c r="GF425" s="119">
        <f>SUM(GF420:GF424)</f>
        <v>162436</v>
      </c>
      <c r="GG425" s="98">
        <f t="shared" si="2479"/>
        <v>14.351284758887717</v>
      </c>
      <c r="GH425" s="119">
        <f>SUM(GH420:GH424)</f>
        <v>161553</v>
      </c>
      <c r="GI425" s="98">
        <f t="shared" si="2480"/>
        <v>-0.54359870964564294</v>
      </c>
      <c r="GJ425" s="119">
        <f>SUM(GJ420:GJ424)</f>
        <v>5120</v>
      </c>
      <c r="GK425" s="98" t="str">
        <f t="shared" si="2481"/>
        <v>NM</v>
      </c>
      <c r="GL425" s="119">
        <f>SUM(GL420:GL424)</f>
        <v>5200</v>
      </c>
      <c r="GM425" s="98">
        <f t="shared" si="2482"/>
        <v>1.5625</v>
      </c>
      <c r="GN425" s="119">
        <f>SUM(GN420:GN424)</f>
        <v>5855</v>
      </c>
      <c r="GO425" s="98">
        <f t="shared" si="2482"/>
        <v>12.596153846153847</v>
      </c>
      <c r="GP425" s="119">
        <f>SUM(GP420:GP424)</f>
        <v>5642.1644909285033</v>
      </c>
      <c r="GQ425" s="98">
        <f t="shared" si="2482"/>
        <v>-3.6351069013065174</v>
      </c>
      <c r="GR425" s="118">
        <f>SUM(GR420:GR424)</f>
        <v>5535.6270681004635</v>
      </c>
      <c r="GS425" s="98">
        <f t="shared" si="2482"/>
        <v>-1.8882367396294675</v>
      </c>
      <c r="GT425" s="118">
        <f>SUM(GT420:GT424)</f>
        <v>5364.4911536281861</v>
      </c>
      <c r="GU425" s="98">
        <f t="shared" si="2482"/>
        <v>-3.0915361957539189</v>
      </c>
      <c r="GV425" s="118">
        <f>SUM(GV420:GV424)</f>
        <v>5140.0735971119111</v>
      </c>
      <c r="GW425" s="98">
        <f t="shared" si="2482"/>
        <v>-4.1833894415967858</v>
      </c>
      <c r="GX425" s="118">
        <f>SUM(GX420:GX424)</f>
        <v>4871.39858557755</v>
      </c>
      <c r="GY425" s="98">
        <f t="shared" si="2483"/>
        <v>-5.2270654584658738</v>
      </c>
      <c r="GZ425" s="98">
        <f t="shared" si="2484"/>
        <v>-3.6114708293638942</v>
      </c>
      <c r="HA425" s="98"/>
      <c r="HB425" s="10"/>
      <c r="HC425"/>
      <c r="HD425"/>
      <c r="HE425"/>
      <c r="HF425"/>
      <c r="HG425"/>
      <c r="HH425"/>
      <c r="HI425" s="10"/>
    </row>
    <row r="426" spans="1:217" s="2" customFormat="1" ht="12.75" customHeight="1" x14ac:dyDescent="0.2">
      <c r="B426" s="91" t="s">
        <v>313</v>
      </c>
      <c r="C426" s="117"/>
      <c r="D426" s="98"/>
      <c r="E426" s="117"/>
      <c r="F426" s="98"/>
      <c r="G426" s="117"/>
      <c r="H426" s="98"/>
      <c r="I426" s="117"/>
      <c r="J426" s="98"/>
      <c r="K426" s="117"/>
      <c r="L426" s="98"/>
      <c r="M426" s="117"/>
      <c r="N426" s="98"/>
      <c r="O426" s="117"/>
      <c r="P426" s="98"/>
      <c r="Q426" s="117"/>
      <c r="R426" s="98"/>
      <c r="S426" s="117"/>
      <c r="T426" s="98"/>
      <c r="U426" s="117"/>
      <c r="V426" s="98"/>
      <c r="W426" s="117"/>
      <c r="X426" s="98"/>
      <c r="Y426" s="117"/>
      <c r="Z426" s="98"/>
      <c r="AA426" s="117"/>
      <c r="AB426" s="98"/>
      <c r="AC426" s="117"/>
      <c r="AD426" s="98"/>
      <c r="AE426" s="117"/>
      <c r="AF426" s="98"/>
      <c r="AG426" s="117"/>
      <c r="AH426" s="98"/>
      <c r="AI426" s="117"/>
      <c r="AJ426" s="98"/>
      <c r="AK426" s="117"/>
      <c r="AL426" s="98"/>
      <c r="AM426" s="117"/>
      <c r="AN426" s="98"/>
      <c r="AO426" s="117"/>
      <c r="AP426" s="98"/>
      <c r="AQ426" s="117"/>
      <c r="AR426" s="98"/>
      <c r="AS426" s="117"/>
      <c r="AT426" s="98"/>
      <c r="AU426" s="117"/>
      <c r="AV426" s="98"/>
      <c r="AW426" s="117"/>
      <c r="AX426" s="98"/>
      <c r="AY426" s="117"/>
      <c r="AZ426" s="98"/>
      <c r="BA426" s="117"/>
      <c r="BB426" s="98"/>
      <c r="BC426" s="117"/>
      <c r="BD426" s="98"/>
      <c r="BE426" s="117"/>
      <c r="BF426" s="98"/>
      <c r="BG426" s="117"/>
      <c r="BH426" s="98"/>
      <c r="BI426" s="117"/>
      <c r="BJ426" s="98"/>
      <c r="BK426" s="117"/>
      <c r="BL426" s="98"/>
      <c r="BM426" s="117">
        <f>BM420+BM424+0.5*(SUM(BM421:BM423))</f>
        <v>92983.5</v>
      </c>
      <c r="BN426" s="98" t="str">
        <f t="shared" si="2424"/>
        <v>NA</v>
      </c>
      <c r="BO426" s="117">
        <f>BO420+BO424+0.5*(SUM(BO421:BO423))</f>
        <v>88426.5</v>
      </c>
      <c r="BP426" s="98" t="str">
        <f t="shared" si="2425"/>
        <v>NA</v>
      </c>
      <c r="BQ426" s="117">
        <f>BQ420+BQ424+0.5*(SUM(BQ421:BQ423))</f>
        <v>84698</v>
      </c>
      <c r="BR426" s="98" t="str">
        <f t="shared" si="2426"/>
        <v>NA</v>
      </c>
      <c r="BS426" s="117">
        <f>BS420+BS424+0.5*(SUM(BS421:BS423))</f>
        <v>80082</v>
      </c>
      <c r="BT426" s="98" t="str">
        <f t="shared" si="2427"/>
        <v>NA</v>
      </c>
      <c r="BU426" s="117">
        <f>BU420+BU424+0.5*(SUM(BU421:BU423))</f>
        <v>68961</v>
      </c>
      <c r="BV426" s="98">
        <f t="shared" si="2428"/>
        <v>-25.835228830921618</v>
      </c>
      <c r="BW426" s="117">
        <f>BW420+BW424+0.5*(SUM(BW421:BW423))</f>
        <v>60711.5</v>
      </c>
      <c r="BX426" s="98">
        <f t="shared" si="2429"/>
        <v>-31.342414321498644</v>
      </c>
      <c r="BY426" s="117">
        <f>BY420+BY424+0.5*(SUM(BY421:BY423))</f>
        <v>65313.5</v>
      </c>
      <c r="BZ426" s="98">
        <f t="shared" si="2430"/>
        <v>-22.886608892771964</v>
      </c>
      <c r="CA426" s="117">
        <f>CA420+CA424+0.5*(SUM(CA421:CA423))</f>
        <v>76662</v>
      </c>
      <c r="CB426" s="98">
        <f t="shared" si="2431"/>
        <v>-4.2706226118228834</v>
      </c>
      <c r="CC426" s="117">
        <f>CC420+CC424+0.5*(SUM(CC421:CC423))</f>
        <v>84852.5</v>
      </c>
      <c r="CD426" s="98">
        <f t="shared" si="2432"/>
        <v>23.044184394077803</v>
      </c>
      <c r="CE426" s="117">
        <f>CE420+CE424+0.5*(SUM(CE421:CE423))</f>
        <v>90033</v>
      </c>
      <c r="CF426" s="98">
        <f t="shared" si="2433"/>
        <v>48.296451248939661</v>
      </c>
      <c r="CG426" s="117">
        <f>CG420+CG424+0.5*(SUM(CG421:CG423))</f>
        <v>90006</v>
      </c>
      <c r="CH426" s="98">
        <f t="shared" si="2434"/>
        <v>37.806119714913457</v>
      </c>
      <c r="CI426" s="117">
        <f>CI420+CI424+0.5*(SUM(CI421:CI423))</f>
        <v>92563</v>
      </c>
      <c r="CJ426" s="98">
        <f t="shared" si="2435"/>
        <v>20.741697320706475</v>
      </c>
      <c r="CK426" s="117">
        <f>CK420+CK424+0.5*(SUM(CK421:CK423))</f>
        <v>102676</v>
      </c>
      <c r="CL426" s="98">
        <f t="shared" si="2436"/>
        <v>21.005273857576377</v>
      </c>
      <c r="CM426" s="117">
        <f>CM420+CM424+0.5*(SUM(CM421:CM423))</f>
        <v>110951</v>
      </c>
      <c r="CN426" s="98">
        <f t="shared" si="2437"/>
        <v>23.23370319771638</v>
      </c>
      <c r="CO426" s="117">
        <f>CO420+CO424+0.5*(SUM(CO421:CO423))</f>
        <v>116449</v>
      </c>
      <c r="CP426" s="98">
        <f t="shared" si="2438"/>
        <v>29.379152500944382</v>
      </c>
      <c r="CQ426" s="486">
        <f>CQ420+CQ424+0.5*(SUM(CQ421:CQ423))</f>
        <v>113482</v>
      </c>
      <c r="CR426" s="98">
        <f t="shared" si="2439"/>
        <v>22.599742877823758</v>
      </c>
      <c r="CS426" s="117">
        <f>CS420+CS424+0.5*(SUM(CS421:CS423))</f>
        <v>114763.5</v>
      </c>
      <c r="CT426" s="98">
        <f t="shared" si="2440"/>
        <v>11.772468736608355</v>
      </c>
      <c r="CU426" s="117">
        <f>CU420+CU424+0.5*(SUM(CU421:CU423))</f>
        <v>127041.5</v>
      </c>
      <c r="CV426" s="98">
        <f t="shared" si="2441"/>
        <v>14.502347883299826</v>
      </c>
      <c r="CW426" s="117">
        <f>CW420+CW424+0.5*(SUM(CW421:CW423))</f>
        <v>132326</v>
      </c>
      <c r="CX426" s="98">
        <f t="shared" si="2442"/>
        <v>13.634294841518614</v>
      </c>
      <c r="CY426" s="117">
        <f>CY420+CY424+0.5*(SUM(CY421:CY423))</f>
        <v>135257</v>
      </c>
      <c r="CZ426" s="98">
        <f t="shared" si="2443"/>
        <v>19.188065067587811</v>
      </c>
      <c r="DA426" s="117">
        <f>DA420+DA424+0.5*(SUM(DA421:DA423))</f>
        <v>140399.5</v>
      </c>
      <c r="DB426" s="98">
        <f t="shared" si="2444"/>
        <v>22.338112727478677</v>
      </c>
      <c r="DC426" s="117">
        <f>DC420+DC424+0.5*(SUM(DC421:DC423))</f>
        <v>146214.5</v>
      </c>
      <c r="DD426" s="98">
        <f t="shared" si="2445"/>
        <v>15.091918782445113</v>
      </c>
      <c r="DE426" s="117">
        <f>DE420+DE424+0.5*(SUM(DE421:DE423))</f>
        <v>149490</v>
      </c>
      <c r="DF426" s="98">
        <f t="shared" si="2446"/>
        <v>12.970995873826752</v>
      </c>
      <c r="DG426" s="117">
        <f>DG420+DG424+0.5*(SUM(DG421:DG423))</f>
        <v>151919</v>
      </c>
      <c r="DH426" s="98">
        <f t="shared" si="2447"/>
        <v>12.318770932373191</v>
      </c>
      <c r="DI426" s="117">
        <f>DI420+DI424+0.5*(SUM(DI421:DI423))</f>
        <v>158675.5</v>
      </c>
      <c r="DJ426" s="98">
        <f t="shared" si="2448"/>
        <v>13.017140374431534</v>
      </c>
      <c r="DK426" s="117">
        <f>DK420+DK424+0.5*(SUM(DK421:DK423))</f>
        <v>162001.5</v>
      </c>
      <c r="DL426" s="98">
        <f t="shared" si="2449"/>
        <v>10.797150761381392</v>
      </c>
      <c r="DM426" s="117">
        <f>DM420+DM424+0.5*(SUM(DM421:DM423))</f>
        <v>163771.5</v>
      </c>
      <c r="DN426" s="98">
        <f t="shared" si="2450"/>
        <v>9.5534818382500433</v>
      </c>
      <c r="DO426" s="117">
        <f>DO420+DO424+0.5*(SUM(DO421:DO423))</f>
        <v>162895</v>
      </c>
      <c r="DP426" s="98">
        <f t="shared" si="2451"/>
        <v>7.2249027442255365</v>
      </c>
      <c r="DQ426" s="117">
        <f>DQ420+DQ424+0.5*(SUM(DQ421:DQ423))</f>
        <v>160652.5</v>
      </c>
      <c r="DR426" s="98">
        <f t="shared" si="2452"/>
        <v>1.2459390391081238</v>
      </c>
      <c r="DS426" s="117">
        <f>DS420+DS424+0.5*(SUM(DS421:DS423))</f>
        <v>5371</v>
      </c>
      <c r="DT426" s="98" t="str">
        <f t="shared" si="2453"/>
        <v>NM</v>
      </c>
      <c r="DU426" s="117">
        <f>DU420+DU424+0.5*(SUM(DU421:DU423))</f>
        <v>5397.5</v>
      </c>
      <c r="DV426" s="98" t="str">
        <f t="shared" si="2454"/>
        <v>NM</v>
      </c>
      <c r="DW426" s="117">
        <f>DW420+DW424+0.5*(SUM(DW421:DW423))</f>
        <v>5131</v>
      </c>
      <c r="DX426" s="98" t="str">
        <f t="shared" si="2455"/>
        <v>NM</v>
      </c>
      <c r="DY426" s="117">
        <f>DY420+DY424+0.5*(SUM(DY421:DY423))</f>
        <v>4998.5</v>
      </c>
      <c r="DZ426" s="98" t="str">
        <f t="shared" si="2456"/>
        <v>NM</v>
      </c>
      <c r="EA426" s="118">
        <f>(EA420*0.95)+0.5*(EA421+EA423+EA424)</f>
        <v>4832.5</v>
      </c>
      <c r="EB426" s="98">
        <f t="shared" si="2457"/>
        <v>-10.02606590951406</v>
      </c>
      <c r="EC426" s="118">
        <f>(EC420*0.95)+0.5*(EC421+EC423+EC424)</f>
        <v>4738.55</v>
      </c>
      <c r="ED426" s="98">
        <f t="shared" si="2458"/>
        <v>-12.208429828624357</v>
      </c>
      <c r="EE426" s="118">
        <f>(EE420*0.95)+0.5*(EE421+EE423+EE424)</f>
        <v>4776</v>
      </c>
      <c r="EF426" s="860">
        <f t="shared" si="2459"/>
        <v>-6.9187292925355637</v>
      </c>
      <c r="EG426" s="118">
        <f>(EG420*0.95)+0.5*(EG421+EG423+EG424)</f>
        <v>4907.5</v>
      </c>
      <c r="EH426" s="860">
        <f t="shared" si="2460"/>
        <v>-1.8205461638491571</v>
      </c>
      <c r="EI426" s="118">
        <f>(EI420*0.95)+0.5*(EI421+EI423+EI424)</f>
        <v>4894.5</v>
      </c>
      <c r="EJ426" s="860">
        <f t="shared" si="2461"/>
        <v>1.2829798241076107</v>
      </c>
      <c r="EK426" s="118">
        <f>(EK420*0.95)+0.5*(EK421+EK423+EK424)</f>
        <v>5104.75</v>
      </c>
      <c r="EL426" s="860">
        <f t="shared" si="2462"/>
        <v>7.7281024786063135</v>
      </c>
      <c r="EM426" s="118">
        <f>(EM420*0.95)+0.5*(EM421+EM423+EM424)</f>
        <v>5223.1499999999996</v>
      </c>
      <c r="EN426" s="860">
        <f t="shared" si="2463"/>
        <v>9.3624371859296396</v>
      </c>
      <c r="EO426" s="118">
        <f>(EO420*0.95)+0.5*(EO421+EO423+EO424)</f>
        <v>5344</v>
      </c>
      <c r="EP426" s="98">
        <f t="shared" si="2464"/>
        <v>8.8945491594498272</v>
      </c>
      <c r="EQ426" s="792">
        <f t="shared" ref="EQ426" si="2502">AVERAGE(EQ425,EQ420)</f>
        <v>5788.6692222222227</v>
      </c>
      <c r="ER426" s="98">
        <f t="shared" si="2466"/>
        <v>18.268857334195985</v>
      </c>
      <c r="ES426" s="792">
        <f t="shared" ref="ES426" si="2503">AVERAGE(ES425,ES420)</f>
        <v>5710.5179559753087</v>
      </c>
      <c r="ET426" s="98">
        <f t="shared" si="2468"/>
        <v>11.866750692498339</v>
      </c>
      <c r="EU426" s="792">
        <f t="shared" ref="EU426" si="2504">AVERAGE(EU425,EU420)</f>
        <v>5685.3096594361759</v>
      </c>
      <c r="EV426" s="98">
        <f t="shared" si="2470"/>
        <v>8.8482938348731324</v>
      </c>
      <c r="EW426" s="792">
        <f t="shared" ref="EW426" si="2505">AVERAGE(EW425,EW420)</f>
        <v>5657.043171147342</v>
      </c>
      <c r="EX426" s="98">
        <f t="shared" si="2472"/>
        <v>5.8578437714697174</v>
      </c>
      <c r="EY426" s="118"/>
      <c r="EZ426" s="594"/>
      <c r="FA426" s="405"/>
      <c r="FB426" s="118">
        <f>AVERAGE(FB425,FB420)</f>
        <v>15844</v>
      </c>
      <c r="FC426" s="98"/>
      <c r="FD426" s="117">
        <f>AVERAGE(FD425,FD420)</f>
        <v>18491</v>
      </c>
      <c r="FE426" s="98">
        <f t="shared" si="2473"/>
        <v>16.706639737440042</v>
      </c>
      <c r="FF426" s="118"/>
      <c r="FG426" s="98"/>
      <c r="FH426" s="118"/>
      <c r="FI426" s="98"/>
      <c r="FJ426" s="118"/>
      <c r="FK426" s="98"/>
      <c r="FL426" s="118"/>
      <c r="FM426" s="98"/>
      <c r="FN426" s="118"/>
      <c r="FO426" s="98"/>
      <c r="FP426" s="118"/>
      <c r="FQ426" s="98"/>
      <c r="FR426" s="119"/>
      <c r="FS426" s="120"/>
      <c r="FT426" s="119"/>
      <c r="FU426" s="120"/>
      <c r="FV426" s="119">
        <f>AVERAGE(FV425,FV420)</f>
        <v>77172</v>
      </c>
      <c r="FW426" s="98" t="str">
        <f t="shared" si="2474"/>
        <v>NA</v>
      </c>
      <c r="FX426" s="485">
        <f>AVERAGE(FX425,FX420)</f>
        <v>74710.5</v>
      </c>
      <c r="FY426" s="98">
        <f t="shared" si="2475"/>
        <v>-3.1896283626185684</v>
      </c>
      <c r="FZ426" s="119">
        <f>AVERAGE(FZ425,FZ420)</f>
        <v>97246</v>
      </c>
      <c r="GA426" s="98">
        <f t="shared" si="2476"/>
        <v>30.163765468039962</v>
      </c>
      <c r="GB426" s="485">
        <f>AVERAGE(GB425,GB420)</f>
        <v>113772.5</v>
      </c>
      <c r="GC426" s="98">
        <f t="shared" si="2477"/>
        <v>16.994529337967634</v>
      </c>
      <c r="GD426" s="119">
        <f>AVERAGE(GD425,GD420)</f>
        <v>131156.5</v>
      </c>
      <c r="GE426" s="98">
        <f t="shared" si="2478"/>
        <v>15.279615021204606</v>
      </c>
      <c r="GF426" s="119">
        <f>AVERAGE(GF425,GF420)</f>
        <v>152243</v>
      </c>
      <c r="GG426" s="98">
        <f t="shared" si="2479"/>
        <v>16.077357965483973</v>
      </c>
      <c r="GH426" s="119">
        <f>AVERAGE(GH425,GH420)</f>
        <v>161994.5</v>
      </c>
      <c r="GI426" s="98">
        <f t="shared" si="2480"/>
        <v>6.4052206012755963</v>
      </c>
      <c r="GJ426" s="119">
        <f>AVERAGE(GJ425,GJ420)</f>
        <v>5242.5</v>
      </c>
      <c r="GK426" s="98" t="str">
        <f t="shared" si="2481"/>
        <v>NM</v>
      </c>
      <c r="GL426" s="119">
        <f>AVERAGE(GL425,GL420)</f>
        <v>5160</v>
      </c>
      <c r="GM426" s="98">
        <f t="shared" si="2482"/>
        <v>-1.5736766809728131</v>
      </c>
      <c r="GN426" s="119">
        <f>AVERAGE(GN425,GN420)</f>
        <v>5527.5</v>
      </c>
      <c r="GO426" s="98">
        <f t="shared" si="2482"/>
        <v>7.1220930232558155</v>
      </c>
      <c r="GP426" s="119">
        <f>AVERAGE(GP425,GP420)</f>
        <v>5748.5822454642512</v>
      </c>
      <c r="GQ426" s="98">
        <f t="shared" si="2482"/>
        <v>3.9996787962777169</v>
      </c>
      <c r="GR426" s="118">
        <f>AVERAGE(GR425,GR420)</f>
        <v>5588.8957795144834</v>
      </c>
      <c r="GS426" s="98">
        <f t="shared" si="2482"/>
        <v>-2.7778408506856422</v>
      </c>
      <c r="GT426" s="118">
        <f>AVERAGE(GT425,GT420)</f>
        <v>5450.0591108643248</v>
      </c>
      <c r="GU426" s="98">
        <f t="shared" si="2482"/>
        <v>-2.4841520423238173</v>
      </c>
      <c r="GV426" s="118">
        <f>AVERAGE(GV425,GV420)</f>
        <v>5252.2823753700486</v>
      </c>
      <c r="GW426" s="98">
        <f t="shared" si="2482"/>
        <v>-3.6288915674331235</v>
      </c>
      <c r="GX426" s="118">
        <f>AVERAGE(GX425,GX420)</f>
        <v>5005.7360913447301</v>
      </c>
      <c r="GY426" s="98">
        <f t="shared" si="2483"/>
        <v>-4.6940790004259441</v>
      </c>
      <c r="GZ426" s="98">
        <f t="shared" si="2484"/>
        <v>-1.963490631617526</v>
      </c>
      <c r="HA426" s="98"/>
      <c r="HB426" s="10"/>
      <c r="HC426"/>
      <c r="HD426"/>
      <c r="HE426"/>
      <c r="HF426"/>
      <c r="HG426"/>
      <c r="HH426"/>
      <c r="HI426" s="10"/>
    </row>
    <row r="427" spans="1:217" s="2" customFormat="1" ht="12.75" customHeight="1" x14ac:dyDescent="0.2">
      <c r="B427" s="158"/>
      <c r="C427" s="112"/>
      <c r="D427" s="113"/>
      <c r="E427" s="112"/>
      <c r="F427" s="113"/>
      <c r="G427" s="112"/>
      <c r="H427" s="113"/>
      <c r="I427" s="112"/>
      <c r="J427" s="98"/>
      <c r="K427" s="112"/>
      <c r="L427" s="98"/>
      <c r="M427" s="112"/>
      <c r="N427" s="98"/>
      <c r="O427" s="112"/>
      <c r="P427" s="98"/>
      <c r="Q427" s="112"/>
      <c r="R427" s="98"/>
      <c r="S427" s="112"/>
      <c r="T427" s="98"/>
      <c r="U427" s="112"/>
      <c r="V427" s="98"/>
      <c r="W427" s="112"/>
      <c r="X427" s="98"/>
      <c r="Y427" s="112"/>
      <c r="Z427" s="98"/>
      <c r="AA427" s="112"/>
      <c r="AB427" s="98"/>
      <c r="AC427" s="112"/>
      <c r="AD427" s="98"/>
      <c r="AE427" s="112"/>
      <c r="AF427" s="98"/>
      <c r="AG427" s="112"/>
      <c r="AH427" s="98"/>
      <c r="AI427" s="112"/>
      <c r="AJ427" s="98"/>
      <c r="AK427" s="112"/>
      <c r="AL427" s="98"/>
      <c r="AM427" s="112"/>
      <c r="AN427" s="98"/>
      <c r="AO427" s="112"/>
      <c r="AP427" s="98"/>
      <c r="AQ427" s="112"/>
      <c r="AR427" s="98"/>
      <c r="AS427" s="112"/>
      <c r="AT427" s="98"/>
      <c r="AU427" s="112"/>
      <c r="AV427" s="98"/>
      <c r="AW427" s="112"/>
      <c r="AX427" s="98"/>
      <c r="AY427" s="112"/>
      <c r="AZ427" s="98"/>
      <c r="BA427" s="112"/>
      <c r="BB427" s="98"/>
      <c r="BC427" s="112"/>
      <c r="BD427" s="98"/>
      <c r="BE427" s="112"/>
      <c r="BF427" s="98"/>
      <c r="BG427" s="112"/>
      <c r="BH427" s="98"/>
      <c r="BI427" s="112"/>
      <c r="BJ427" s="98"/>
      <c r="BK427" s="112"/>
      <c r="BL427" s="98"/>
      <c r="BM427" s="112"/>
      <c r="BN427" s="98"/>
      <c r="BO427" s="112"/>
      <c r="BP427" s="98"/>
      <c r="BQ427" s="112"/>
      <c r="BR427" s="98"/>
      <c r="BS427" s="112"/>
      <c r="BT427" s="98"/>
      <c r="BU427" s="112"/>
      <c r="BV427" s="98"/>
      <c r="BW427" s="112"/>
      <c r="BX427" s="98"/>
      <c r="BY427" s="112"/>
      <c r="BZ427" s="98"/>
      <c r="CA427" s="112"/>
      <c r="CB427" s="98"/>
      <c r="CC427" s="112"/>
      <c r="CD427" s="98"/>
      <c r="CE427" s="112"/>
      <c r="CF427" s="98"/>
      <c r="CG427" s="112"/>
      <c r="CH427" s="98"/>
      <c r="CI427" s="112"/>
      <c r="CJ427" s="98"/>
      <c r="CK427" s="112"/>
      <c r="CL427" s="98"/>
      <c r="CM427" s="112"/>
      <c r="CN427" s="98"/>
      <c r="CO427" s="112"/>
      <c r="CP427" s="98"/>
      <c r="CQ427" s="543"/>
      <c r="CR427" s="98"/>
      <c r="CS427" s="112"/>
      <c r="CT427" s="98"/>
      <c r="CU427" s="112"/>
      <c r="CV427" s="98"/>
      <c r="CW427" s="112"/>
      <c r="CX427" s="98"/>
      <c r="CY427" s="112"/>
      <c r="CZ427" s="98"/>
      <c r="DA427" s="112"/>
      <c r="DB427" s="98"/>
      <c r="DC427" s="112"/>
      <c r="DD427" s="98"/>
      <c r="DE427" s="112"/>
      <c r="DF427" s="98"/>
      <c r="DG427" s="112"/>
      <c r="DH427" s="98"/>
      <c r="DI427" s="112"/>
      <c r="DJ427" s="98"/>
      <c r="DK427" s="112"/>
      <c r="DL427" s="98"/>
      <c r="DM427" s="112"/>
      <c r="DN427" s="98"/>
      <c r="DO427" s="112"/>
      <c r="DP427" s="98"/>
      <c r="DQ427" s="112"/>
      <c r="DR427" s="98"/>
      <c r="DS427" s="112"/>
      <c r="DT427" s="98"/>
      <c r="DU427" s="112"/>
      <c r="DV427" s="98"/>
      <c r="DW427" s="112"/>
      <c r="DX427" s="98"/>
      <c r="DY427" s="112"/>
      <c r="DZ427" s="98"/>
      <c r="EA427" s="112"/>
      <c r="EB427" s="98"/>
      <c r="EC427" s="112"/>
      <c r="ED427" s="98"/>
      <c r="EE427" s="112"/>
      <c r="EF427" s="860"/>
      <c r="EG427" s="112"/>
      <c r="EH427" s="860"/>
      <c r="EI427" s="112"/>
      <c r="EJ427" s="860"/>
      <c r="EK427" s="112"/>
      <c r="EL427" s="860"/>
      <c r="EM427" s="112"/>
      <c r="EN427" s="860"/>
      <c r="EO427" s="112"/>
      <c r="EP427" s="98"/>
      <c r="EQ427" s="1022"/>
      <c r="ER427" s="98"/>
      <c r="ES427" s="1022"/>
      <c r="ET427" s="98"/>
      <c r="EU427" s="1022"/>
      <c r="EV427" s="98"/>
      <c r="EW427" s="1022"/>
      <c r="EX427" s="98"/>
      <c r="EY427" s="114"/>
      <c r="EZ427" s="594"/>
      <c r="FA427" s="405"/>
      <c r="FB427" s="114"/>
      <c r="FC427" s="113"/>
      <c r="FD427" s="112"/>
      <c r="FE427" s="113"/>
      <c r="FF427" s="114"/>
      <c r="FG427" s="113"/>
      <c r="FH427" s="114"/>
      <c r="FI427" s="113"/>
      <c r="FJ427" s="114"/>
      <c r="FK427" s="113"/>
      <c r="FL427" s="114"/>
      <c r="FM427" s="113"/>
      <c r="FN427" s="114"/>
      <c r="FO427" s="113"/>
      <c r="FP427" s="114"/>
      <c r="FQ427" s="113"/>
      <c r="FR427" s="115"/>
      <c r="FS427" s="116"/>
      <c r="FT427" s="115"/>
      <c r="FU427" s="116"/>
      <c r="FV427" s="115"/>
      <c r="FW427" s="98"/>
      <c r="FX427" s="484"/>
      <c r="FY427" s="98"/>
      <c r="FZ427" s="115"/>
      <c r="GA427" s="98"/>
      <c r="GB427" s="484"/>
      <c r="GC427" s="98"/>
      <c r="GD427" s="115"/>
      <c r="GE427" s="98"/>
      <c r="GF427" s="115"/>
      <c r="GG427" s="98"/>
      <c r="GH427" s="115"/>
      <c r="GI427" s="98"/>
      <c r="GJ427" s="115"/>
      <c r="GK427" s="98"/>
      <c r="GL427" s="115"/>
      <c r="GM427" s="98"/>
      <c r="GN427" s="115"/>
      <c r="GO427" s="98"/>
      <c r="GP427" s="115"/>
      <c r="GQ427" s="98"/>
      <c r="GR427" s="114"/>
      <c r="GS427" s="98"/>
      <c r="GT427" s="114"/>
      <c r="GU427" s="98"/>
      <c r="GV427" s="114"/>
      <c r="GW427" s="98"/>
      <c r="GX427" s="114"/>
      <c r="GY427" s="98"/>
      <c r="GZ427" s="98"/>
      <c r="HA427" s="98"/>
      <c r="HB427" s="10"/>
      <c r="HC427"/>
      <c r="HD427"/>
      <c r="HE427"/>
      <c r="HF427"/>
      <c r="HG427"/>
      <c r="HH427"/>
      <c r="HI427" s="10"/>
    </row>
    <row r="428" spans="1:217" s="2" customFormat="1" ht="12.75" customHeight="1" x14ac:dyDescent="0.2">
      <c r="A428" s="2" t="s">
        <v>64</v>
      </c>
      <c r="B428" s="91" t="s">
        <v>353</v>
      </c>
      <c r="C428" s="99"/>
      <c r="D428" s="113"/>
      <c r="E428" s="99"/>
      <c r="F428" s="113"/>
      <c r="G428" s="99"/>
      <c r="H428" s="113"/>
      <c r="I428" s="99"/>
      <c r="J428" s="98"/>
      <c r="K428" s="99"/>
      <c r="L428" s="98"/>
      <c r="M428" s="99"/>
      <c r="N428" s="98"/>
      <c r="O428" s="99"/>
      <c r="P428" s="98"/>
      <c r="Q428" s="99"/>
      <c r="R428" s="98"/>
      <c r="S428" s="99"/>
      <c r="T428" s="98"/>
      <c r="U428" s="99"/>
      <c r="V428" s="98"/>
      <c r="W428" s="99"/>
      <c r="X428" s="98"/>
      <c r="Y428" s="99"/>
      <c r="Z428" s="98"/>
      <c r="AA428" s="99"/>
      <c r="AB428" s="98"/>
      <c r="AC428" s="99"/>
      <c r="AD428" s="98"/>
      <c r="AE428" s="99"/>
      <c r="AF428" s="98"/>
      <c r="AG428" s="99"/>
      <c r="AH428" s="98"/>
      <c r="AI428" s="99"/>
      <c r="AJ428" s="98"/>
      <c r="AK428" s="99"/>
      <c r="AL428" s="98"/>
      <c r="AM428" s="99"/>
      <c r="AN428" s="98"/>
      <c r="AO428" s="99"/>
      <c r="AP428" s="98"/>
      <c r="AQ428" s="99"/>
      <c r="AR428" s="98"/>
      <c r="AS428" s="99"/>
      <c r="AT428" s="98"/>
      <c r="AU428" s="99"/>
      <c r="AV428" s="98"/>
      <c r="AW428" s="99"/>
      <c r="AX428" s="98"/>
      <c r="AY428" s="99"/>
      <c r="AZ428" s="98"/>
      <c r="BA428" s="99"/>
      <c r="BB428" s="98"/>
      <c r="BC428" s="99"/>
      <c r="BD428" s="98"/>
      <c r="BE428" s="99"/>
      <c r="BF428" s="98"/>
      <c r="BG428" s="99"/>
      <c r="BH428" s="98"/>
      <c r="BI428" s="99"/>
      <c r="BJ428" s="98"/>
      <c r="BK428" s="99"/>
      <c r="BL428" s="98"/>
      <c r="BM428" s="99">
        <f>BM421+BM423</f>
        <v>74</v>
      </c>
      <c r="BN428" s="98" t="str">
        <f>IF(ISERROR((BM428/BE428-1)*100),"NA",IF(((BM428/BE428-1)*100)&gt;100,"NM",IF(((BM428/BE428-1)*100)&lt;-50,"NM",(BM428/BE428-1)*100)))</f>
        <v>NA</v>
      </c>
      <c r="BO428" s="99">
        <f>BO421+BO423</f>
        <v>-92</v>
      </c>
      <c r="BP428" s="98" t="str">
        <f>IF(ISERROR((BO428/BG428-1)*100),"NA",IF(((BO428/BG428-1)*100)&gt;100,"NM",IF(((BO428/BG428-1)*100)&lt;-50,"NM",(BO428/BG428-1)*100)))</f>
        <v>NA</v>
      </c>
      <c r="BQ428" s="99">
        <f>BQ421+BQ423</f>
        <v>80</v>
      </c>
      <c r="BR428" s="98" t="str">
        <f>IF(ISERROR((BQ428/BI428-1)*100),"NA",IF(((BQ428/BI428-1)*100)&gt;100,"NM",IF(((BQ428/BI428-1)*100)&lt;-50,"NM",(BQ428/BI428-1)*100)))</f>
        <v>NA</v>
      </c>
      <c r="BS428" s="99">
        <f>BS421+BS423</f>
        <v>357</v>
      </c>
      <c r="BT428" s="98" t="str">
        <f>IF(ISERROR((BS428/BK428-1)*100),"NA",IF(((BS428/BK428-1)*100)&gt;100,"NM",IF(((BS428/BK428-1)*100)&lt;-50,"NM",(BS428/BK428-1)*100)))</f>
        <v>NA</v>
      </c>
      <c r="BU428" s="99">
        <f>BU421+BU423</f>
        <v>426</v>
      </c>
      <c r="BV428" s="98" t="str">
        <f>IF(ISERROR((BU428/BM428-1)*100),"NA",IF(((BU428/BM428-1)*100)&gt;100,"NM",IF(((BU428/BM428-1)*100)&lt;-50,"NM",(BU428/BM428-1)*100)))</f>
        <v>NM</v>
      </c>
      <c r="BW428" s="99">
        <f>BW421+BW423</f>
        <v>910</v>
      </c>
      <c r="BX428" s="98" t="str">
        <f>IF(ISERROR((BW428/BO428-1)*100),"NA",IF(((BW428/BO428-1)*100)&gt;100,"NM",IF(((BW428/BO428-1)*100)&lt;-50,"NM",(BW428/BO428-1)*100)))</f>
        <v>NM</v>
      </c>
      <c r="BY428" s="99">
        <f>BY421+BY423</f>
        <v>1577</v>
      </c>
      <c r="BZ428" s="98" t="str">
        <f>IF(ISERROR((BY428/BQ428-1)*100),"NA",IF(((BY428/BQ428-1)*100)&gt;100,"NM",IF(((BY428/BQ428-1)*100)&lt;-50,"NM",(BY428/BQ428-1)*100)))</f>
        <v>NM</v>
      </c>
      <c r="CA428" s="99">
        <f>CA421+CA423</f>
        <v>996</v>
      </c>
      <c r="CB428" s="98" t="str">
        <f>IF(ISERROR((CA428/BS428-1)*100),"NA",IF(((CA428/BS428-1)*100)&gt;100,"NM",IF(((CA428/BS428-1)*100)&lt;-50,"NM",(CA428/BS428-1)*100)))</f>
        <v>NM</v>
      </c>
      <c r="CC428" s="99">
        <f>CC421+CC423</f>
        <v>1177</v>
      </c>
      <c r="CD428" s="98" t="str">
        <f>IF(ISERROR((CC428/BU428-1)*100),"NA",IF(((CC428/BU428-1)*100)&gt;100,"NM",IF(((CC428/BU428-1)*100)&lt;-50,"NM",(CC428/BU428-1)*100)))</f>
        <v>NM</v>
      </c>
      <c r="CE428" s="99">
        <f>CE421+CE423</f>
        <v>1382</v>
      </c>
      <c r="CF428" s="98">
        <f>IF(ISERROR((CE428/BW428-1)*100),"NA",IF(((CE428/BW428-1)*100)&gt;100,"NM",IF(((CE428/BW428-1)*100)&lt;-50,"NM",(CE428/BW428-1)*100)))</f>
        <v>51.868131868131861</v>
      </c>
      <c r="CG428" s="99">
        <f>CG421+CG423</f>
        <v>1726</v>
      </c>
      <c r="CH428" s="98">
        <f>IF(ISERROR((CG428/BY428-1)*100),"NA",IF(((CG428/BY428-1)*100)&gt;100,"NM",IF(((CG428/BY428-1)*100)&lt;-50,"NM",(CG428/BY428-1)*100)))</f>
        <v>9.4483195941661435</v>
      </c>
      <c r="CI428" s="99">
        <f>CI421+CI423</f>
        <v>1499</v>
      </c>
      <c r="CJ428" s="98">
        <f>IF(ISERROR((CI428/CA428-1)*100),"NA",IF(((CI428/CA428-1)*100)&gt;100,"NM",IF(((CI428/CA428-1)*100)&lt;-50,"NM",(CI428/CA428-1)*100)))</f>
        <v>50.502008032128522</v>
      </c>
      <c r="CK428" s="99">
        <f>CK421+CK423</f>
        <v>2127</v>
      </c>
      <c r="CL428" s="98">
        <f>IF(ISERROR((CK428/CC428-1)*100),"NA",IF(((CK428/CC428-1)*100)&gt;100,"NM",IF(((CK428/CC428-1)*100)&lt;-50,"NM",(CK428/CC428-1)*100)))</f>
        <v>80.713678844519961</v>
      </c>
      <c r="CM428" s="99">
        <f>CM421+CM423</f>
        <v>2457</v>
      </c>
      <c r="CN428" s="98">
        <f>IF(ISERROR((CM428/CE428-1)*100),"NA",IF(((CM428/CE428-1)*100)&gt;100,"NM",IF(((CM428/CE428-1)*100)&lt;-50,"NM",(CM428/CE428-1)*100)))</f>
        <v>77.785817655571648</v>
      </c>
      <c r="CO428" s="99">
        <f>CO421+CO423</f>
        <v>3373</v>
      </c>
      <c r="CP428" s="98">
        <f>IF(ISERROR((CO428/CG428-1)*100),"NA",IF(((CO428/CG428-1)*100)&gt;100,"NM",IF(((CO428/CG428-1)*100)&lt;-50,"NM",(CO428/CG428-1)*100)))</f>
        <v>95.422943221320963</v>
      </c>
      <c r="CQ428" s="482">
        <f>CQ421+CQ423</f>
        <v>4675</v>
      </c>
      <c r="CR428" s="98" t="str">
        <f>IF(ISERROR((CQ428/CI428-1)*100),"NA",IF(((CQ428/CI428-1)*100)&gt;100,"NM",IF(((CQ428/CI428-1)*100)&lt;-50,"NM",(CQ428/CI428-1)*100)))</f>
        <v>NM</v>
      </c>
      <c r="CS428" s="99">
        <f>CS421+CS423</f>
        <v>3785</v>
      </c>
      <c r="CT428" s="98">
        <f>IF(ISERROR((CS428/CK428-1)*100),"NA",IF(((CS428/CK428-1)*100)&gt;100,"NM",IF(((CS428/CK428-1)*100)&lt;-50,"NM",(CS428/CK428-1)*100)))</f>
        <v>77.950164551010801</v>
      </c>
      <c r="CU428" s="99">
        <f>CU421+CU423</f>
        <v>2081</v>
      </c>
      <c r="CV428" s="98">
        <f>IF(ISERROR((CU428/CM428-1)*100),"NA",IF(((CU428/CM428-1)*100)&gt;100,"NM",IF(((CU428/CM428-1)*100)&lt;-50,"NM",(CU428/CM428-1)*100)))</f>
        <v>-15.3032153032153</v>
      </c>
      <c r="CW428" s="99">
        <f>CW421+CW423</f>
        <v>1767</v>
      </c>
      <c r="CX428" s="98">
        <f>IF(ISERROR((CW428/CO428-1)*100),"NA",IF(((CW428/CO428-1)*100)&gt;100,"NM",IF(((CW428/CO428-1)*100)&lt;-50,"NM",(CW428/CO428-1)*100)))</f>
        <v>-47.613400533649575</v>
      </c>
      <c r="CY428" s="99">
        <f>CY421+CY423</f>
        <v>1817</v>
      </c>
      <c r="CZ428" s="98" t="str">
        <f>IF(ISERROR((CY428/CQ428-1)*100),"NA",IF(((CY428/CQ428-1)*100)&gt;100,"NM",IF(((CY428/CQ428-1)*100)&lt;-50,"NM",(CY428/CQ428-1)*100)))</f>
        <v>NM</v>
      </c>
      <c r="DA428" s="99">
        <f>DA421+DA423</f>
        <v>784</v>
      </c>
      <c r="DB428" s="98" t="str">
        <f>IF(ISERROR((DA428/CS428-1)*100),"NA",IF(((DA428/CS428-1)*100)&gt;100,"NM",IF(((DA428/CS428-1)*100)&lt;-50,"NM",(DA428/CS428-1)*100)))</f>
        <v>NM</v>
      </c>
      <c r="DC428" s="99">
        <f>DC421+DC423</f>
        <v>789</v>
      </c>
      <c r="DD428" s="98" t="str">
        <f>IF(ISERROR((DC428/CU428-1)*100),"NA",IF(((DC428/CU428-1)*100)&gt;100,"NM",IF(((DC428/CU428-1)*100)&lt;-50,"NM",(DC428/CU428-1)*100)))</f>
        <v>NM</v>
      </c>
      <c r="DE428" s="99">
        <f>DE421+DE423</f>
        <v>-62</v>
      </c>
      <c r="DF428" s="98" t="str">
        <f>IF(ISERROR((DE428/CW428-1)*100),"NA",IF(((DE428/CW428-1)*100)&gt;100,"NM",IF(((DE428/CW428-1)*100)&lt;-50,"NM",(DE428/CW428-1)*100)))</f>
        <v>NM</v>
      </c>
      <c r="DG428" s="99">
        <f>DG421+DG423</f>
        <v>-49</v>
      </c>
      <c r="DH428" s="98" t="str">
        <f>IF(ISERROR((DG428/CY428-1)*100),"NA",IF(((DG428/CY428-1)*100)&gt;100,"NM",IF(((DG428/CY428-1)*100)&lt;-50,"NM",(DG428/CY428-1)*100)))</f>
        <v>NM</v>
      </c>
      <c r="DI428" s="99">
        <f>DI421+DI423</f>
        <v>-1143</v>
      </c>
      <c r="DJ428" s="98" t="str">
        <f>IF(ISERROR((DI428/DA428-1)*100),"NA",IF(((DI428/DA428-1)*100)&gt;100,"NM",IF(((DI428/DA428-1)*100)&lt;-50,"NM",(DI428/DA428-1)*100)))</f>
        <v>NM</v>
      </c>
      <c r="DK428" s="99">
        <f>DK421+DK423</f>
        <v>-1300</v>
      </c>
      <c r="DL428" s="98" t="str">
        <f>IF(ISERROR((DK428/DC428-1)*100),"NA",IF(((DK428/DC428-1)*100)&gt;100,"NM",IF(((DK428/DC428-1)*100)&lt;-50,"NM",(DK428/DC428-1)*100)))</f>
        <v>NM</v>
      </c>
      <c r="DM428" s="99">
        <f>DM421+DM423</f>
        <v>-1527</v>
      </c>
      <c r="DN428" s="98" t="str">
        <f>IF(ISERROR((DM428/DE428-1)*100),"NA",IF(((DM428/DE428-1)*100)&gt;100,"NM",IF(((DM428/DE428-1)*100)&lt;-50,"NM",(DM428/DE428-1)*100)))</f>
        <v>NM</v>
      </c>
      <c r="DO428" s="99">
        <f>DO421+DO423</f>
        <v>-1539</v>
      </c>
      <c r="DP428" s="98" t="str">
        <f>IF(ISERROR((DO428/DG428-1)*100),"NA",IF(((DO428/DG428-1)*100)&gt;100,"NM",IF(((DO428/DG428-1)*100)&lt;-50,"NM",(DO428/DG428-1)*100)))</f>
        <v>NM</v>
      </c>
      <c r="DQ428" s="99">
        <f>DQ421+DQ423</f>
        <v>-1630</v>
      </c>
      <c r="DR428" s="98">
        <f>IF(ISERROR((DQ428/DI428-1)*100),"NA",IF(((DQ428/DI428-1)*100)&gt;100,"NM",IF(((DQ428/DI428-1)*100)&lt;-50,"NM",(DQ428/DI428-1)*100)))</f>
        <v>42.607174103237085</v>
      </c>
      <c r="DS428" s="99">
        <f>DS421+DS423</f>
        <v>29</v>
      </c>
      <c r="DT428" s="98" t="str">
        <f>IF(ISERROR((DS428/DK428-1)*100),"NA",IF(((DS428/DK428-1)*100)&gt;100,"NM",IF(((DS428/DK428-1)*100)&lt;-50,"NM",(DS428/DK428-1)*100)))</f>
        <v>NM</v>
      </c>
      <c r="DU428" s="99">
        <f>DU421+DU423</f>
        <v>21</v>
      </c>
      <c r="DV428" s="98" t="str">
        <f>IF(ISERROR((DU428/DM428-1)*100),"NA",IF(((DU428/DM428-1)*100)&gt;100,"NM",IF(((DU428/DM428-1)*100)&lt;-50,"NM",(DU428/DM428-1)*100)))</f>
        <v>NM</v>
      </c>
      <c r="DW428" s="99">
        <f>DW421+DW423</f>
        <v>23</v>
      </c>
      <c r="DX428" s="98" t="str">
        <f>IF(ISERROR((DW428/DO428-1)*100),"NA",IF(((DW428/DO428-1)*100)&gt;100,"NM",IF(((DW428/DO428-1)*100)&lt;-50,"NM",(DW428/DO428-1)*100)))</f>
        <v>NM</v>
      </c>
      <c r="DY428" s="99">
        <f>DY421+DY423</f>
        <v>27</v>
      </c>
      <c r="DZ428" s="98" t="str">
        <f>IF(ISERROR((DY428/DQ428-1)*100),"NA",IF(((DY428/DQ428-1)*100)&gt;100,"NM",IF(((DY428/DQ428-1)*100)&lt;-50,"NM",(DY428/DQ428-1)*100)))</f>
        <v>NM</v>
      </c>
      <c r="EA428" s="99">
        <f>EA421+EA423</f>
        <v>29</v>
      </c>
      <c r="EB428" s="98">
        <f>IF(ISERROR((EA428/DS428-1)*100),"NA",IF(((EA428/DS428-1)*100)&gt;100,"NM",IF(((EA428/DS428-1)*100)&lt;-50,"NM",(EA428/DS428-1)*100)))</f>
        <v>0</v>
      </c>
      <c r="EC428" s="99">
        <f>EC421+EC423</f>
        <v>23</v>
      </c>
      <c r="ED428" s="98">
        <f>IF(ISERROR((EC428/DU428-1)*100),"NA",IF(((EC428/DU428-1)*100)&gt;100,"NM",IF(((EC428/DU428-1)*100)&lt;-50,"NM",(EC428/DU428-1)*100)))</f>
        <v>9.5238095238095344</v>
      </c>
      <c r="EE428" s="99">
        <f>EE421+EE423</f>
        <v>19</v>
      </c>
      <c r="EF428" s="860">
        <f>IF(ISERROR((EE428/DW428-1)*100),"NA",IF(((EE428/DW428-1)*100)&gt;100,"NM",IF(((EE428/DW428-1)*100)&lt;-50,"NM",(EE428/DW428-1)*100)))</f>
        <v>-17.391304347826086</v>
      </c>
      <c r="EG428" s="99">
        <f>EG421+EG423</f>
        <v>21</v>
      </c>
      <c r="EH428" s="860">
        <f>IF(ISERROR((EG428/DY428-1)*100),"NA",IF(((EG428/DY428-1)*100)&gt;100,"NM",IF(((EG428/DY428-1)*100)&lt;-50,"NM",(EG428/DY428-1)*100)))</f>
        <v>-22.222222222222221</v>
      </c>
      <c r="EI428" s="99">
        <f>EI421+EI423</f>
        <v>15</v>
      </c>
      <c r="EJ428" s="860">
        <f t="shared" ref="EJ428" si="2506">IF(ISERROR((EI428/EA428-1)*100),"NA",IF(((EI428/EA428-1)*100)&gt;100,"NM",IF(((EI428/EA428-1)*100)&lt;-50,"NM",(EI428/EA428-1)*100)))</f>
        <v>-48.275862068965516</v>
      </c>
      <c r="EK428" s="99">
        <f>EK421+EK423</f>
        <v>10</v>
      </c>
      <c r="EL428" s="860" t="str">
        <f t="shared" ref="EL428" si="2507">IF(ISERROR((EK428/EC428-1)*100),"NA",IF(((EK428/EC428-1)*100)&gt;100,"NM",IF(((EK428/EC428-1)*100)&lt;-50,"NM",(EK428/EC428-1)*100)))</f>
        <v>NM</v>
      </c>
      <c r="EM428" s="99">
        <f>EM421+EM423</f>
        <v>14</v>
      </c>
      <c r="EN428" s="860">
        <f t="shared" ref="EN428" si="2508">IF(ISERROR((EM428/EE428-1)*100),"NA",IF(((EM428/EE428-1)*100)&gt;100,"NM",IF(((EM428/EE428-1)*100)&lt;-50,"NM",(EM428/EE428-1)*100)))</f>
        <v>-26.315789473684216</v>
      </c>
      <c r="EO428" s="99">
        <f>EO421+EO423</f>
        <v>6</v>
      </c>
      <c r="EP428" s="98" t="str">
        <f t="shared" ref="EP428" si="2509">IF(ISERROR((EO428/EG428-1)*100),"NA",IF(((EO428/EG428-1)*100)&gt;100,"NM",IF(((EO428/EG428-1)*100)&lt;-50,"NM",(EO428/EG428-1)*100)))</f>
        <v>NM</v>
      </c>
      <c r="EQ428" s="1006">
        <f t="shared" ref="EQ428" si="2510">EQ421+EQ423</f>
        <v>0.49444444444444002</v>
      </c>
      <c r="ER428" s="98" t="str">
        <f t="shared" ref="ER428" si="2511">IF(ISERROR((EQ428/EI428-1)*100),"NA",IF(((EQ428/EI428-1)*100)&gt;100,"NM",IF(((EQ428/EI428-1)*100)&lt;-50,"NM",(EQ428/EI428-1)*100)))</f>
        <v>NM</v>
      </c>
      <c r="ES428" s="1006">
        <f t="shared" ref="ES428" si="2512">ES421+ES423</f>
        <v>-1.3090382716049476</v>
      </c>
      <c r="ET428" s="98" t="str">
        <f t="shared" ref="ET428" si="2513">IF(ISERROR((ES428/EK428-1)*100),"NA",IF(((ES428/EK428-1)*100)&gt;100,"NM",IF(((ES428/EK428-1)*100)&lt;-50,"NM",(ES428/EK428-1)*100)))</f>
        <v>NM</v>
      </c>
      <c r="EU428" s="1006">
        <f t="shared" ref="EU428" si="2514">EU421+EU423</f>
        <v>-4.159985750068607</v>
      </c>
      <c r="EV428" s="98" t="str">
        <f t="shared" ref="EV428" si="2515">IF(ISERROR((EU428/EM428-1)*100),"NA",IF(((EU428/EM428-1)*100)&gt;100,"NM",IF(((EU428/EM428-1)*100)&lt;-50,"NM",(EU428/EM428-1)*100)))</f>
        <v>NM</v>
      </c>
      <c r="EW428" s="1006">
        <f t="shared" ref="EW428" si="2516">EW421+EW423</f>
        <v>-6.8204226540686719</v>
      </c>
      <c r="EX428" s="98" t="str">
        <f t="shared" ref="EX428" si="2517">IF(ISERROR((EW428/EO428-1)*100),"NA",IF(((EW428/EO428-1)*100)&gt;100,"NM",IF(((EW428/EO428-1)*100)&lt;-50,"NM",(EW428/EO428-1)*100)))</f>
        <v>NM</v>
      </c>
      <c r="EY428" s="99"/>
      <c r="EZ428" s="594"/>
      <c r="FA428" s="405"/>
      <c r="FB428" s="95"/>
      <c r="FC428" s="113"/>
      <c r="FD428" s="94"/>
      <c r="FE428" s="98" t="str">
        <f>IF(ISERROR((FD428/FB428-1)*100),"NA",IF(((FD428/FB428-1)*100)&gt;100,"NM",IF(((FD428/FB428-1)*100)&lt;-50,"NM",(FD428/FB428-1)*100)))</f>
        <v>NA</v>
      </c>
      <c r="FF428" s="99"/>
      <c r="FG428" s="98"/>
      <c r="FH428" s="99"/>
      <c r="FI428" s="98"/>
      <c r="FJ428" s="99"/>
      <c r="FK428" s="98"/>
      <c r="FL428" s="99"/>
      <c r="FM428" s="98"/>
      <c r="FN428" s="99"/>
      <c r="FO428" s="98"/>
      <c r="FP428" s="99"/>
      <c r="FQ428" s="98"/>
      <c r="FR428" s="99"/>
      <c r="FS428" s="120"/>
      <c r="FT428" s="99"/>
      <c r="FU428" s="120"/>
      <c r="FV428" s="99">
        <f>FV421+FV423</f>
        <v>771</v>
      </c>
      <c r="FW428" s="98" t="str">
        <f>IF(ISERROR((FV428/FT428-1)*100),"NA",IF(((FV428/FT428-1)*100)&gt;100,"NM",IF(((FV428/FT428-1)*100)&lt;-50,"NM",(FV428/FT428-1)*100)))</f>
        <v>NA</v>
      </c>
      <c r="FX428" s="482">
        <f>FX421+FX423</f>
        <v>4660</v>
      </c>
      <c r="FY428" s="98" t="str">
        <f>IF(ISERROR((FX428/FV428-1)*100),"NA",IF(((FX428/FV428-1)*100)&gt;100,"NM",IF(((FX428/FV428-1)*100)&lt;-50,"NM",(FX428/FV428-1)*100)))</f>
        <v>NM</v>
      </c>
      <c r="FZ428" s="99">
        <f>FZ421+FZ423</f>
        <v>6734</v>
      </c>
      <c r="GA428" s="98">
        <f>IF(ISERROR((FZ428/FX428-1)*100),"NA",IF(((FZ428/FX428-1)*100)&gt;100,"NM",IF(((FZ428/FX428-1)*100)&lt;-50,"NM",(FZ428/FX428-1)*100)))</f>
        <v>44.506437768240346</v>
      </c>
      <c r="GB428" s="482">
        <f>GB421+GB423</f>
        <v>14290</v>
      </c>
      <c r="GC428" s="98" t="str">
        <f>IF(ISERROR((GB428/FZ428-1)*100),"NA",IF(((GB428/FZ428-1)*100)&gt;100,"NM",IF(((GB428/FZ428-1)*100)&lt;-50,"NM",(GB428/FZ428-1)*100)))</f>
        <v>NM</v>
      </c>
      <c r="GD428" s="99">
        <f>GD421+GD423</f>
        <v>6449</v>
      </c>
      <c r="GE428" s="98" t="str">
        <f>IF(ISERROR((GD428/GB428-1)*100),"NA",IF(((GD428/GB428-1)*100)&gt;100,"NM",IF(((GD428/GB428-1)*100)&lt;-50,"NM",(GD428/GB428-1)*100)))</f>
        <v>NM</v>
      </c>
      <c r="GF428" s="99">
        <f>GF421+GF423</f>
        <v>-465</v>
      </c>
      <c r="GG428" s="98" t="str">
        <f>IF(ISERROR((GF428/GD428-1)*100),"NA",IF(((GF428/GD428-1)*100)&gt;100,"NM",IF(((GF428/GD428-1)*100)&lt;-50,"NM",(GF428/GD428-1)*100)))</f>
        <v>NM</v>
      </c>
      <c r="GH428" s="99">
        <f>GH421+GH423</f>
        <v>-5996</v>
      </c>
      <c r="GI428" s="98" t="str">
        <f>IF(ISERROR((GH428/GF428-1)*100),"NA",IF(((GH428/GF428-1)*100)&gt;100,"NM",IF(((GH428/GF428-1)*100)&lt;-50,"NM",(GH428/GF428-1)*100)))</f>
        <v>NM</v>
      </c>
      <c r="GJ428" s="99">
        <f>GJ421+GJ423</f>
        <v>100</v>
      </c>
      <c r="GK428" s="98" t="str">
        <f>IF(ISERROR((GJ428/GH428-1)*100),"NA",IF(((GJ428/GH428-1)*100)&gt;100,"NM",IF(((GJ428/GH428-1)*100)&lt;-50,"NM",(GJ428/GH428-1)*100)))</f>
        <v>NM</v>
      </c>
      <c r="GL428" s="99">
        <f>GL421+GL423</f>
        <v>92</v>
      </c>
      <c r="GM428" s="98">
        <f>IF(ISERROR((GL428/GJ428-1)*100),"NA",IF(((GL428/GJ428-1)*100)&gt;100,"NM",IF(((GL428/GJ428-1)*100)&lt;-50,"NM",(GL428/GJ428-1)*100)))</f>
        <v>-7.9999999999999964</v>
      </c>
      <c r="GN428" s="99">
        <f>GN421+GN423</f>
        <v>45</v>
      </c>
      <c r="GO428" s="98" t="str">
        <f>IF(ISERROR((GN428/GL428-1)*100),"NA",IF(((GN428/GL428-1)*100)&gt;100,"NM",IF(((GN428/GL428-1)*100)&lt;-50,"NM",(GN428/GL428-1)*100)))</f>
        <v>NM</v>
      </c>
      <c r="GP428" s="99">
        <f>GP421+GP423</f>
        <v>-11.795002231297786</v>
      </c>
      <c r="GQ428" s="98" t="str">
        <f>IF(ISERROR((GP428/GN428-1)*100),"NA",IF(((GP428/GN428-1)*100)&gt;100,"NM",IF(((GP428/GN428-1)*100)&lt;-50,"NM",(GP428/GN428-1)*100)))</f>
        <v>NM</v>
      </c>
      <c r="GR428" s="99">
        <f>GR421+GR423</f>
        <v>-77.427292283749779</v>
      </c>
      <c r="GS428" s="98" t="str">
        <f>IF(ISERROR((GR428/GP428-1)*100),"NA",IF(((GR428/GP428-1)*100)&gt;100,"NM",IF(((GR428/GP428-1)*100)&lt;-50,"NM",(GR428/GP428-1)*100)))</f>
        <v>NM</v>
      </c>
      <c r="GT428" s="99">
        <f>GT421+GT423</f>
        <v>-131.95713855830581</v>
      </c>
      <c r="GU428" s="98">
        <f>IF(ISERROR((GT428/GR428-1)*100),"NA",IF(((GT428/GR428-1)*100)&gt;100,"NM",IF(((GT428/GR428-1)*100)&lt;-50,"NM",(GT428/GR428-1)*100)))</f>
        <v>70.427164202926164</v>
      </c>
      <c r="GV428" s="99">
        <f>GV421+GV423</f>
        <v>-171.25746173396567</v>
      </c>
      <c r="GW428" s="98">
        <f>IF(ISERROR((GV428/GT428-1)*100),"NA",IF(((GV428/GT428-1)*100)&gt;100,"NM",IF(((GV428/GT428-1)*100)&lt;-50,"NM",(GV428/GT428-1)*100)))</f>
        <v>29.782642761910783</v>
      </c>
      <c r="GX428" s="99">
        <f>GX421+GX423</f>
        <v>-198.29956772107568</v>
      </c>
      <c r="GY428" s="98">
        <f>IF(ISERROR((GX428/GV428-1)*100),"NA",IF(((GX428/GV428-1)*100)&gt;100,"NM",IF(((GX428/GV428-1)*100)&lt;-50,"NM",(GX428/GV428-1)*100)))</f>
        <v>15.790322776777854</v>
      </c>
      <c r="GZ428" s="98" t="str">
        <f>IF(ISERROR(((GX428/GN428)^0.2-1)*100),"NA",IF((((GX428/GN428)^0.2-1)*100)&gt;100,"NM",IF((((GX428/GN428)^0.2-1)*100)&lt;-50,"NM",((GX428/GN428)^0.2-1)*100)))</f>
        <v>NM</v>
      </c>
      <c r="HA428" s="98"/>
      <c r="HB428" s="10"/>
      <c r="HC428"/>
      <c r="HD428"/>
      <c r="HE428"/>
      <c r="HF428"/>
      <c r="HG428"/>
      <c r="HH428"/>
      <c r="HI428" s="10"/>
    </row>
    <row r="429" spans="1:217" s="2" customFormat="1" ht="12.75" customHeight="1" x14ac:dyDescent="0.2">
      <c r="B429" s="91"/>
      <c r="C429" s="99"/>
      <c r="D429" s="113"/>
      <c r="E429" s="99"/>
      <c r="F429" s="113"/>
      <c r="G429" s="99"/>
      <c r="H429" s="113"/>
      <c r="I429" s="99"/>
      <c r="J429" s="98"/>
      <c r="K429" s="99"/>
      <c r="L429" s="98"/>
      <c r="M429" s="99"/>
      <c r="N429" s="98"/>
      <c r="O429" s="99"/>
      <c r="P429" s="98"/>
      <c r="Q429" s="99"/>
      <c r="R429" s="98"/>
      <c r="S429" s="99"/>
      <c r="T429" s="98"/>
      <c r="U429" s="99"/>
      <c r="V429" s="98"/>
      <c r="W429" s="99"/>
      <c r="X429" s="98"/>
      <c r="Y429" s="99"/>
      <c r="Z429" s="98"/>
      <c r="AA429" s="99"/>
      <c r="AB429" s="98"/>
      <c r="AC429" s="99"/>
      <c r="AD429" s="98"/>
      <c r="AE429" s="99"/>
      <c r="AF429" s="98"/>
      <c r="AG429" s="99"/>
      <c r="AH429" s="98"/>
      <c r="AI429" s="99"/>
      <c r="AJ429" s="98"/>
      <c r="AK429" s="99"/>
      <c r="AL429" s="98"/>
      <c r="AM429" s="99"/>
      <c r="AN429" s="98"/>
      <c r="AO429" s="99"/>
      <c r="AP429" s="98"/>
      <c r="AQ429" s="99"/>
      <c r="AR429" s="98"/>
      <c r="AS429" s="99"/>
      <c r="AT429" s="98"/>
      <c r="AU429" s="99"/>
      <c r="AV429" s="98"/>
      <c r="AW429" s="99"/>
      <c r="AX429" s="98"/>
      <c r="AY429" s="99"/>
      <c r="AZ429" s="98"/>
      <c r="BA429" s="99"/>
      <c r="BB429" s="98"/>
      <c r="BC429" s="99"/>
      <c r="BD429" s="98"/>
      <c r="BE429" s="99"/>
      <c r="BF429" s="98"/>
      <c r="BG429" s="99"/>
      <c r="BH429" s="98"/>
      <c r="BI429" s="99"/>
      <c r="BJ429" s="98"/>
      <c r="BK429" s="99"/>
      <c r="BL429" s="98"/>
      <c r="BM429" s="99"/>
      <c r="BN429" s="98"/>
      <c r="BO429" s="99"/>
      <c r="BP429" s="98"/>
      <c r="BQ429" s="99"/>
      <c r="BR429" s="98"/>
      <c r="BS429" s="99"/>
      <c r="BT429" s="98"/>
      <c r="BU429" s="99"/>
      <c r="BV429" s="98"/>
      <c r="BW429" s="99"/>
      <c r="BX429" s="98"/>
      <c r="BY429" s="99"/>
      <c r="BZ429" s="98"/>
      <c r="CA429" s="99"/>
      <c r="CB429" s="98"/>
      <c r="CC429" s="99"/>
      <c r="CD429" s="98"/>
      <c r="CE429" s="99"/>
      <c r="CF429" s="98"/>
      <c r="CG429" s="99"/>
      <c r="CH429" s="98"/>
      <c r="CI429" s="99"/>
      <c r="CJ429" s="98"/>
      <c r="CK429" s="99"/>
      <c r="CL429" s="98"/>
      <c r="CM429" s="99"/>
      <c r="CN429" s="98"/>
      <c r="CO429" s="99"/>
      <c r="CP429" s="98"/>
      <c r="CQ429" s="482"/>
      <c r="CR429" s="98"/>
      <c r="CS429" s="99"/>
      <c r="CT429" s="98"/>
      <c r="CU429" s="99"/>
      <c r="CV429" s="98"/>
      <c r="CW429" s="99"/>
      <c r="CX429" s="98"/>
      <c r="CY429" s="99"/>
      <c r="CZ429" s="98"/>
      <c r="DA429" s="99"/>
      <c r="DB429" s="98"/>
      <c r="DC429" s="99"/>
      <c r="DD429" s="98"/>
      <c r="DE429" s="99"/>
      <c r="DF429" s="98"/>
      <c r="DG429" s="99"/>
      <c r="DH429" s="98"/>
      <c r="DI429" s="99"/>
      <c r="DJ429" s="98"/>
      <c r="DK429" s="99"/>
      <c r="DL429" s="98"/>
      <c r="DM429" s="99"/>
      <c r="DN429" s="98"/>
      <c r="DO429" s="99"/>
      <c r="DP429" s="98"/>
      <c r="DQ429" s="99"/>
      <c r="DR429" s="98"/>
      <c r="DS429" s="99"/>
      <c r="DT429" s="98"/>
      <c r="DU429" s="99"/>
      <c r="DV429" s="98"/>
      <c r="DW429" s="99"/>
      <c r="DX429" s="98"/>
      <c r="DY429" s="99"/>
      <c r="DZ429" s="98"/>
      <c r="EA429" s="99"/>
      <c r="EB429" s="98"/>
      <c r="EC429" s="99"/>
      <c r="ED429" s="98"/>
      <c r="EE429" s="99"/>
      <c r="EF429" s="860"/>
      <c r="EG429" s="99"/>
      <c r="EH429" s="860"/>
      <c r="EI429" s="99"/>
      <c r="EJ429" s="860"/>
      <c r="EK429" s="99"/>
      <c r="EL429" s="860"/>
      <c r="EM429" s="99"/>
      <c r="EN429" s="860"/>
      <c r="EO429" s="99"/>
      <c r="EP429" s="98"/>
      <c r="EQ429" s="1006"/>
      <c r="ER429" s="98"/>
      <c r="ES429" s="1006"/>
      <c r="ET429" s="98"/>
      <c r="EU429" s="1006"/>
      <c r="EV429" s="98"/>
      <c r="EW429" s="1006"/>
      <c r="EX429" s="98"/>
      <c r="EY429" s="99"/>
      <c r="EZ429" s="594"/>
      <c r="FA429" s="405"/>
      <c r="FB429" s="95"/>
      <c r="FC429" s="113"/>
      <c r="FD429" s="94"/>
      <c r="FE429" s="98"/>
      <c r="FF429" s="99"/>
      <c r="FG429" s="98"/>
      <c r="FH429" s="99"/>
      <c r="FI429" s="98"/>
      <c r="FJ429" s="99"/>
      <c r="FK429" s="98"/>
      <c r="FL429" s="99"/>
      <c r="FM429" s="98"/>
      <c r="FN429" s="99"/>
      <c r="FO429" s="98"/>
      <c r="FP429" s="99"/>
      <c r="FQ429" s="98"/>
      <c r="FR429" s="99"/>
      <c r="FS429" s="120"/>
      <c r="FT429" s="99"/>
      <c r="FU429" s="120"/>
      <c r="FV429" s="99"/>
      <c r="FW429" s="98"/>
      <c r="FX429" s="482"/>
      <c r="FY429" s="98"/>
      <c r="FZ429" s="99"/>
      <c r="GA429" s="98"/>
      <c r="GB429" s="482"/>
      <c r="GC429" s="98"/>
      <c r="GD429" s="99"/>
      <c r="GE429" s="98"/>
      <c r="GF429" s="99"/>
      <c r="GG429" s="98"/>
      <c r="GH429" s="99"/>
      <c r="GI429" s="98"/>
      <c r="GJ429" s="99"/>
      <c r="GK429" s="98"/>
      <c r="GL429" s="99"/>
      <c r="GM429" s="98"/>
      <c r="GN429" s="99"/>
      <c r="GO429" s="98"/>
      <c r="GP429" s="99"/>
      <c r="GQ429" s="98"/>
      <c r="GR429" s="99"/>
      <c r="GS429" s="98"/>
      <c r="GT429" s="99"/>
      <c r="GU429" s="98"/>
      <c r="GV429" s="99"/>
      <c r="GW429" s="98"/>
      <c r="GX429" s="99"/>
      <c r="GY429" s="98"/>
      <c r="GZ429" s="98"/>
      <c r="HA429" s="98"/>
      <c r="HB429" s="10"/>
      <c r="HC429"/>
      <c r="HD429"/>
      <c r="HE429"/>
      <c r="HF429"/>
      <c r="HG429"/>
      <c r="HH429"/>
      <c r="HI429" s="10"/>
    </row>
    <row r="430" spans="1:217" s="2" customFormat="1" ht="12.75" customHeight="1" x14ac:dyDescent="0.2">
      <c r="A430" s="2" t="s">
        <v>302</v>
      </c>
      <c r="B430" s="91" t="s">
        <v>364</v>
      </c>
      <c r="C430" s="189"/>
      <c r="D430" s="98"/>
      <c r="E430" s="189"/>
      <c r="F430" s="98"/>
      <c r="G430" s="189"/>
      <c r="H430" s="98"/>
      <c r="I430" s="189"/>
      <c r="J430" s="98"/>
      <c r="K430" s="189"/>
      <c r="L430" s="98"/>
      <c r="M430" s="189"/>
      <c r="N430" s="98"/>
      <c r="O430" s="189"/>
      <c r="P430" s="98"/>
      <c r="Q430" s="189"/>
      <c r="R430" s="98"/>
      <c r="S430" s="189"/>
      <c r="T430" s="98"/>
      <c r="U430" s="189"/>
      <c r="V430" s="98"/>
      <c r="W430" s="189"/>
      <c r="X430" s="98"/>
      <c r="Y430" s="189"/>
      <c r="Z430" s="98"/>
      <c r="AA430" s="189"/>
      <c r="AB430" s="98"/>
      <c r="AC430" s="189"/>
      <c r="AD430" s="98"/>
      <c r="AE430" s="189"/>
      <c r="AF430" s="98"/>
      <c r="AG430" s="189"/>
      <c r="AH430" s="98"/>
      <c r="AI430" s="189"/>
      <c r="AJ430" s="98"/>
      <c r="AK430" s="189"/>
      <c r="AL430" s="98"/>
      <c r="AM430" s="189"/>
      <c r="AN430" s="98"/>
      <c r="AO430" s="189"/>
      <c r="AP430" s="98"/>
      <c r="AQ430" s="189"/>
      <c r="AR430" s="98"/>
      <c r="AS430" s="189"/>
      <c r="AT430" s="98"/>
      <c r="AU430" s="189"/>
      <c r="AV430" s="98"/>
      <c r="AW430" s="189"/>
      <c r="AX430" s="98"/>
      <c r="AY430" s="161"/>
      <c r="AZ430" s="98"/>
      <c r="BA430" s="161"/>
      <c r="BB430" s="98"/>
      <c r="BC430" s="161"/>
      <c r="BD430" s="98"/>
      <c r="BE430" s="161"/>
      <c r="BF430" s="98"/>
      <c r="BG430" s="161"/>
      <c r="BH430" s="98"/>
      <c r="BI430" s="161"/>
      <c r="BJ430" s="98"/>
      <c r="BK430" s="161"/>
      <c r="BL430" s="98"/>
      <c r="BM430" s="161">
        <f>-BM423/BM420*400</f>
        <v>11.596314548960789</v>
      </c>
      <c r="BN430" s="98"/>
      <c r="BO430" s="161">
        <f>-BO423/BO420*400</f>
        <v>10.264986967854039</v>
      </c>
      <c r="BP430" s="98"/>
      <c r="BQ430" s="161">
        <f>-BQ423/BQ420*400</f>
        <v>11.30313818876288</v>
      </c>
      <c r="BR430" s="98"/>
      <c r="BS430" s="161">
        <f>-BS423/BS420*400</f>
        <v>9.7160419114069754</v>
      </c>
      <c r="BT430" s="98"/>
      <c r="BU430" s="161">
        <f>-BU423/BU420*400</f>
        <v>9.0758250151439324</v>
      </c>
      <c r="BV430" s="98"/>
      <c r="BW430" s="161">
        <f>-BW423/BW420*400</f>
        <v>8.6727482975716299</v>
      </c>
      <c r="BX430" s="98"/>
      <c r="BY430" s="161">
        <f>-BY423/BY420*400</f>
        <v>8.8995506301314329</v>
      </c>
      <c r="BZ430" s="98"/>
      <c r="CA430" s="161">
        <f>-CA423/CA420*400</f>
        <v>7.2755110720462728</v>
      </c>
      <c r="CB430" s="98"/>
      <c r="CC430" s="161">
        <f>-CC423/CC420*400</f>
        <v>7.0901609408098167</v>
      </c>
      <c r="CD430" s="98"/>
      <c r="CE430" s="161">
        <f>-CE423/CE420*400</f>
        <v>7.4440377709191461</v>
      </c>
      <c r="CF430" s="98"/>
      <c r="CG430" s="161">
        <f>-CG423/CG420*400</f>
        <v>7.0062524972193119</v>
      </c>
      <c r="CH430" s="98"/>
      <c r="CI430" s="161">
        <f>-CI423/CI420*400</f>
        <v>8.3006169377453727</v>
      </c>
      <c r="CJ430" s="98"/>
      <c r="CK430" s="161">
        <f>-CK423/CK420*400</f>
        <v>7.5870761474376716</v>
      </c>
      <c r="CL430" s="98"/>
      <c r="CM430" s="161">
        <f>-CM423/CM420*400</f>
        <v>7.8522026062153945</v>
      </c>
      <c r="CN430" s="98"/>
      <c r="CO430" s="161">
        <f>-CO423/CO420*400</f>
        <v>8.1390271592000705</v>
      </c>
      <c r="CP430" s="98"/>
      <c r="CQ430" s="545">
        <f>-CQ423/CQ420*400</f>
        <v>7.13134058735639</v>
      </c>
      <c r="CR430" s="98"/>
      <c r="CS430" s="161">
        <f>-CS423/CS420*400</f>
        <v>7.3369840320279778</v>
      </c>
      <c r="CT430" s="98"/>
      <c r="CU430" s="161">
        <f>-CU423/CU420*400</f>
        <v>7.1543201150811147</v>
      </c>
      <c r="CV430" s="98"/>
      <c r="CW430" s="161">
        <f>-CW423/CW420*400</f>
        <v>6.3029176844345214</v>
      </c>
      <c r="CX430" s="98"/>
      <c r="CY430" s="161">
        <f>-CY423/CY420*400</f>
        <v>6.1453704267364708</v>
      </c>
      <c r="CZ430" s="98"/>
      <c r="DA430" s="161">
        <f>-DA423/DA420*400</f>
        <v>6.2430099509621177</v>
      </c>
      <c r="DB430" s="98"/>
      <c r="DC430" s="161">
        <f>-DC423/DC420*400</f>
        <v>6.1246040126715942</v>
      </c>
      <c r="DD430" s="98"/>
      <c r="DE430" s="161">
        <f>-DE423/DE420*400</f>
        <v>6.4816410963626963</v>
      </c>
      <c r="DF430" s="98"/>
      <c r="DG430" s="161">
        <f>-DG423/DG420*400</f>
        <v>6.1401449868224285</v>
      </c>
      <c r="DH430" s="98"/>
      <c r="DI430" s="161">
        <f>-DI423/DI420*400</f>
        <v>6.6522628336229062</v>
      </c>
      <c r="DJ430" s="98"/>
      <c r="DK430" s="161">
        <f>-DK423/DK420*400</f>
        <v>6.4788593661503606</v>
      </c>
      <c r="DL430" s="98"/>
      <c r="DM430" s="161">
        <f>-DM423/DM420*400</f>
        <v>7.0578257422578412</v>
      </c>
      <c r="DN430" s="98">
        <f t="shared" ref="DN430:DN432" si="2518">IF(ISERROR((DM430/DE430-1)*100),"NA",IF(((DM430/DE430-1)*100)&gt;100,"NM",IF(((DM430/DE430-1)*100)&lt;-50,"NM",(DM430/DE430-1)*100)))</f>
        <v>8.8894870501003531</v>
      </c>
      <c r="DO430" s="161">
        <f>-DO423/DO420*400</f>
        <v>6.8130505198894591</v>
      </c>
      <c r="DP430" s="98">
        <f t="shared" ref="DP430:DP432" si="2519">IF(ISERROR((DO430/DG430-1)*100),"NA",IF(((DO430/DG430-1)*100)&gt;100,"NM",IF(((DO430/DG430-1)*100)&lt;-50,"NM",(DO430/DG430-1)*100)))</f>
        <v>10.959114719785546</v>
      </c>
      <c r="DQ430" s="161">
        <f>-DQ423/DQ420*400</f>
        <v>7.4536476288083477</v>
      </c>
      <c r="DR430" s="98">
        <f t="shared" ref="DR430:DR432" si="2520">IF(ISERROR((DQ430/DI430-1)*100),"NA",IF(((DQ430/DI430-1)*100)&gt;100,"NM",IF(((DQ430/DI430-1)*100)&lt;-50,"NM",(DQ430/DI430-1)*100)))</f>
        <v>12.04679994204314</v>
      </c>
      <c r="DS430" s="161">
        <f>-DS423/DS420*400</f>
        <v>4.0260950605778199</v>
      </c>
      <c r="DT430" s="98">
        <f t="shared" ref="DT430:DT432" si="2521">IF(ISERROR((DS430/DK430-1)*100),"NA",IF(((DS430/DK430-1)*100)&gt;100,"NM",IF(((DS430/DK430-1)*100)&lt;-50,"NM",(DS430/DK430-1)*100)))</f>
        <v>-37.857964912578993</v>
      </c>
      <c r="DU430" s="161">
        <f>-DU423/DU420*400</f>
        <v>4.3168099506127673</v>
      </c>
      <c r="DV430" s="98">
        <f t="shared" ref="DV430:DV432" si="2522">IF(ISERROR((DU430/DM430-1)*100),"NA",IF(((DU430/DM430-1)*100)&gt;100,"NM",IF(((DU430/DM430-1)*100)&lt;-50,"NM",(DU430/DM430-1)*100)))</f>
        <v>-38.83654671768938</v>
      </c>
      <c r="DW430" s="161">
        <f>-DW423/DW420*400</f>
        <v>4.0605389442598749</v>
      </c>
      <c r="DX430" s="98">
        <f t="shared" ref="DX430:DX432" si="2523">IF(ISERROR((DW430/DO430-1)*100),"NA",IF(((DW430/DO430-1)*100)&gt;100,"NM",IF(((DW430/DO430-1)*100)&lt;-50,"NM",(DW430/DO430-1)*100)))</f>
        <v>-40.400574861350705</v>
      </c>
      <c r="DY430" s="161">
        <f>-DY423/DY420*400</f>
        <v>4.1087613293051364</v>
      </c>
      <c r="DZ430" s="98">
        <f t="shared" ref="DZ430:DZ432" si="2524">IF(ISERROR((DY430/DQ430-1)*100),"NA",IF(((DY430/DQ430-1)*100)&gt;100,"NM",IF(((DY430/DQ430-1)*100)&lt;-50,"NM",(DY430/DQ430-1)*100)))</f>
        <v>-44.875830815709961</v>
      </c>
      <c r="EA430" s="161">
        <f>-EA423/EA420*400</f>
        <v>3.90625</v>
      </c>
      <c r="EB430" s="98">
        <f t="shared" ref="EB430:EB432" si="2525">IF(ISERROR((EA430/DS430-1)*100),"NA",IF(((EA430/DS430-1)*100)&gt;100,"NM",IF(((EA430/DS430-1)*100)&lt;-50,"NM",(EA430/DS430-1)*100)))</f>
        <v>-2.9767071759259411</v>
      </c>
      <c r="EC430" s="161">
        <f>-EC423/EC420*400</f>
        <v>4.5337045138198455</v>
      </c>
      <c r="ED430" s="98">
        <f t="shared" ref="ED430:ED432" si="2526">IF(ISERROR((EC430/DU430-1)*100),"NA",IF(((EC430/DU430-1)*100)&gt;100,"NM",IF(((EC430/DU430-1)*100)&lt;-50,"NM",(EC430/DU430-1)*100)))</f>
        <v>5.0244176993775369</v>
      </c>
      <c r="EE430" s="161">
        <f>-EE423/EE420*400</f>
        <v>4.4181459566074954</v>
      </c>
      <c r="EF430" s="860">
        <f t="shared" ref="EF430:EF432" si="2527">IF(ISERROR((EE430/DW430-1)*100),"NA",IF(((EE430/DW430-1)*100)&gt;100,"NM",IF(((EE430/DW430-1)*100)&lt;-50,"NM",(EE430/DW430-1)*100)))</f>
        <v>8.8068854222700388</v>
      </c>
      <c r="EG430" s="161">
        <f>-EG423/EG420*400</f>
        <v>3.9923224568138198</v>
      </c>
      <c r="EH430" s="860">
        <f t="shared" ref="EH430:EH432" si="2528">IF(ISERROR((EG430/DY430-1)*100),"NA",IF(((EG430/DY430-1)*100)&gt;100,"NM",IF(((EG430/DY430-1)*100)&lt;-50,"NM",(EG430/DY430-1)*100)))</f>
        <v>-2.8339166760754209</v>
      </c>
      <c r="EI430" s="161">
        <f>-EI423/EI420*400</f>
        <v>4.6923076923076925</v>
      </c>
      <c r="EJ430" s="860">
        <f t="shared" ref="EJ430:EJ432" si="2529">IF(ISERROR((EI430/EA430-1)*100),"NA",IF(((EI430/EA430-1)*100)&gt;100,"NM",IF(((EI430/EA430-1)*100)&lt;-50,"NM",(EI430/EA430-1)*100)))</f>
        <v>20.123076923076933</v>
      </c>
      <c r="EK430" s="161">
        <f>-EK423/EK420*400</f>
        <v>4.6537396121883656</v>
      </c>
      <c r="EL430" s="860">
        <f t="shared" ref="EL430:EL432" si="2530">IF(ISERROR((EK430/EC430-1)*100),"NA",IF(((EK430/EC430-1)*100)&gt;100,"NM",IF(((EK430/EC430-1)*100)&lt;-50,"NM",(EK430/EC430-1)*100)))</f>
        <v>2.6476162705933559</v>
      </c>
      <c r="EM430" s="161">
        <f>-EM423/EM420*400</f>
        <v>4.0455120101137805</v>
      </c>
      <c r="EN430" s="860">
        <f t="shared" ref="EN430:EN432" si="2531">IF(ISERROR((EM430/EE430-1)*100),"NA",IF(((EM430/EE430-1)*100)&gt;100,"NM",IF(((EM430/EE430-1)*100)&lt;-50,"NM",(EM430/EE430-1)*100)))</f>
        <v>-8.4341701282282795</v>
      </c>
      <c r="EO430" s="161">
        <f>-EO423/EO420*400</f>
        <v>4.4444444444444446</v>
      </c>
      <c r="EP430" s="98">
        <f t="shared" ref="EP430:EP432" si="2532">IF(ISERROR((EO430/EG430-1)*100),"NA",IF(((EO430/EG430-1)*100)&gt;100,"NM",IF(((EO430/EG430-1)*100)&lt;-50,"NM",(EO430/EG430-1)*100)))</f>
        <v>11.324786324786329</v>
      </c>
      <c r="EQ430" s="1048">
        <f t="shared" ref="EQ430" si="2533">EO430</f>
        <v>4.4444444444444446</v>
      </c>
      <c r="ER430" s="98">
        <f t="shared" ref="ER430:ER432" si="2534">IF(ISERROR((EQ430/EI430-1)*100),"NA",IF(((EQ430/EI430-1)*100)&gt;100,"NM",IF(((EQ430/EI430-1)*100)&lt;-50,"NM",(EQ430/EI430-1)*100)))</f>
        <v>-5.2823315118397112</v>
      </c>
      <c r="ES430" s="1048">
        <f t="shared" ref="ES430" si="2535">EQ430</f>
        <v>4.4444444444444446</v>
      </c>
      <c r="ET430" s="98">
        <f t="shared" ref="ET430:ET432" si="2536">IF(ISERROR((ES430/EK430-1)*100),"NA",IF(((ES430/EK430-1)*100)&gt;100,"NM",IF(((ES430/EK430-1)*100)&lt;-50,"NM",(ES430/EK430-1)*100)))</f>
        <v>-4.4973544973544888</v>
      </c>
      <c r="EU430" s="1048">
        <f t="shared" ref="EU430" si="2537">ES430</f>
        <v>4.4444444444444446</v>
      </c>
      <c r="EV430" s="98">
        <f t="shared" ref="EV430:EV432" si="2538">IF(ISERROR((EU430/EM430-1)*100),"NA",IF(((EU430/EM430-1)*100)&gt;100,"NM",IF(((EU430/EM430-1)*100)&lt;-50,"NM",(EU430/EM430-1)*100)))</f>
        <v>9.8611111111110983</v>
      </c>
      <c r="EW430" s="1048">
        <f t="shared" ref="EW430" si="2539">EU430</f>
        <v>4.4444444444444446</v>
      </c>
      <c r="EX430" s="98">
        <f t="shared" ref="EX430:EX432" si="2540">IF(ISERROR((EW430/EO430-1)*100),"NA",IF(((EW430/EO430-1)*100)&gt;100,"NM",IF(((EW430/EO430-1)*100)&lt;-50,"NM",(EW430/EO430-1)*100)))</f>
        <v>0</v>
      </c>
      <c r="EY430" s="170"/>
      <c r="EZ430" s="597"/>
      <c r="FA430" s="408"/>
      <c r="FB430" s="163"/>
      <c r="FC430" s="164"/>
      <c r="FD430" s="161">
        <f>(-FD423)/FD420*100</f>
        <v>7.7379449633930824</v>
      </c>
      <c r="FE430" s="164"/>
      <c r="FF430" s="162"/>
      <c r="FG430" s="164"/>
      <c r="FH430" s="162"/>
      <c r="FI430" s="164"/>
      <c r="FJ430" s="162"/>
      <c r="FK430" s="164"/>
      <c r="FL430" s="162"/>
      <c r="FM430" s="164"/>
      <c r="FN430" s="162"/>
      <c r="FO430" s="164"/>
      <c r="FP430" s="162"/>
      <c r="FQ430" s="164"/>
      <c r="FR430" s="171"/>
      <c r="FS430" s="120"/>
      <c r="FT430" s="171"/>
      <c r="FU430" s="120"/>
      <c r="FV430" s="171">
        <f>-FV423/FV420*100</f>
        <v>9.2636837532580376</v>
      </c>
      <c r="FW430" s="98"/>
      <c r="FX430" s="497">
        <f>-FX423/FX420*100</f>
        <v>8.6823846845689321</v>
      </c>
      <c r="FY430" s="98"/>
      <c r="FZ430" s="171">
        <f>-FZ423/FZ420*100</f>
        <v>7.9259267758183514</v>
      </c>
      <c r="GA430" s="98"/>
      <c r="GB430" s="497">
        <f>-GB423/GB420*100</f>
        <v>7.961260975746165</v>
      </c>
      <c r="GC430" s="98"/>
      <c r="GD430" s="171">
        <f>-GD423/GD420*100</f>
        <v>7.0262674305480486</v>
      </c>
      <c r="GE430" s="98"/>
      <c r="GF430" s="171">
        <f>-GF423/GF420*100</f>
        <v>6.6891939457937353</v>
      </c>
      <c r="GG430" s="98"/>
      <c r="GH430" s="171">
        <f>-GH423/GH420*100</f>
        <v>6.9756704178876596</v>
      </c>
      <c r="GI430" s="98">
        <f t="shared" ref="GI430:GI431" si="2541">IF(ISERROR((GH430/GF430-1)*100),"NA",IF(((GH430/GF430-1)*100)&gt;100,"NM",IF(((GH430/GF430-1)*100)&lt;-50,"NM",(GH430/GF430-1)*100)))</f>
        <v>4.2826755273565498</v>
      </c>
      <c r="GJ430" s="171">
        <f>-GJ423/GJ420*100</f>
        <v>4.0820130475302889</v>
      </c>
      <c r="GK430" s="98">
        <f t="shared" ref="GK430:GK431" si="2542">IF(ISERROR((GJ430/GH430-1)*100),"NA",IF(((GJ430/GH430-1)*100)&gt;100,"NM",IF(((GJ430/GH430-1)*100)&lt;-50,"NM",(GJ430/GH430-1)*100)))</f>
        <v>-41.482140023949334</v>
      </c>
      <c r="GL430" s="171">
        <f>-GL423/GL420*100</f>
        <v>4.19921875</v>
      </c>
      <c r="GM430" s="98">
        <f t="shared" ref="GM430:GW431" si="2543">IF(ISERROR((GL430/GJ430-1)*100),"NA",IF(((GL430/GJ430-1)*100)&gt;100,"NM",IF(((GL430/GJ430-1)*100)&lt;-50,"NM",(GL430/GJ430-1)*100)))</f>
        <v>2.871272117579915</v>
      </c>
      <c r="GN430" s="171">
        <f>-GN423/GN420*100</f>
        <v>4.6730769230769225</v>
      </c>
      <c r="GO430" s="98">
        <f t="shared" si="2543"/>
        <v>11.284436493738802</v>
      </c>
      <c r="GP430" s="171">
        <f>-GP423/GP420*100</f>
        <v>4.354864363472208</v>
      </c>
      <c r="GQ430" s="98">
        <f t="shared" si="2543"/>
        <v>-6.8094868721996544</v>
      </c>
      <c r="GR430" s="170">
        <f>GP430+0.25</f>
        <v>4.604864363472208</v>
      </c>
      <c r="GS430" s="98">
        <f t="shared" si="2543"/>
        <v>5.7407069229745256</v>
      </c>
      <c r="GT430" s="170">
        <f>GR430+0.25</f>
        <v>4.854864363472208</v>
      </c>
      <c r="GU430" s="98">
        <f t="shared" si="2543"/>
        <v>5.4290415583813756</v>
      </c>
      <c r="GV430" s="170">
        <f>GT430+0.25</f>
        <v>5.104864363472208</v>
      </c>
      <c r="GW430" s="98">
        <f t="shared" si="2543"/>
        <v>5.1494744504293255</v>
      </c>
      <c r="GX430" s="170">
        <f>GV430+0.25</f>
        <v>5.354864363472208</v>
      </c>
      <c r="GY430" s="98">
        <f t="shared" ref="GY430:GY431" si="2544">IF(ISERROR((GX430/GV430-1)*100),"NA",IF(((GX430/GV430-1)*100)&gt;100,"NM",IF(((GX430/GV430-1)*100)&lt;-50,"NM",(GX430/GV430-1)*100)))</f>
        <v>4.8972897652065361</v>
      </c>
      <c r="GZ430" s="98">
        <f>IF(ISERROR(((GX430/GN430)^0.2-1)*100),"NA",IF((((GX430/GN430)^0.2-1)*100)&gt;100,"NM",IF((((GX430/GN430)^0.2-1)*100)&lt;-50,"NM",((GX430/GN430)^0.2-1)*100)))</f>
        <v>2.7611862395499509</v>
      </c>
      <c r="HA430" s="98"/>
      <c r="HB430" s="10"/>
      <c r="HC430"/>
      <c r="HD430"/>
      <c r="HE430"/>
      <c r="HF430"/>
      <c r="HG430"/>
      <c r="HH430"/>
      <c r="HI430" s="10"/>
    </row>
    <row r="431" spans="1:217" s="2" customFormat="1" ht="12.75" customHeight="1" x14ac:dyDescent="0.2">
      <c r="B431" s="467" t="s">
        <v>362</v>
      </c>
      <c r="C431" s="137"/>
      <c r="D431" s="98"/>
      <c r="E431" s="137"/>
      <c r="F431" s="98"/>
      <c r="G431" s="137"/>
      <c r="H431" s="98"/>
      <c r="I431" s="137"/>
      <c r="J431" s="98"/>
      <c r="K431" s="137"/>
      <c r="L431" s="98"/>
      <c r="M431" s="137"/>
      <c r="N431" s="98"/>
      <c r="O431" s="137"/>
      <c r="P431" s="98"/>
      <c r="Q431" s="137"/>
      <c r="R431" s="98"/>
      <c r="S431" s="137"/>
      <c r="T431" s="98"/>
      <c r="U431" s="137"/>
      <c r="V431" s="98"/>
      <c r="W431" s="137"/>
      <c r="X431" s="98"/>
      <c r="Y431" s="137"/>
      <c r="Z431" s="98"/>
      <c r="AA431" s="137"/>
      <c r="AB431" s="98"/>
      <c r="AC431" s="137"/>
      <c r="AD431" s="98"/>
      <c r="AE431" s="137"/>
      <c r="AF431" s="98"/>
      <c r="AG431" s="137"/>
      <c r="AH431" s="98"/>
      <c r="AI431" s="137"/>
      <c r="AJ431" s="98"/>
      <c r="AK431" s="137"/>
      <c r="AL431" s="98"/>
      <c r="AM431" s="137"/>
      <c r="AN431" s="98"/>
      <c r="AO431" s="137"/>
      <c r="AP431" s="98"/>
      <c r="AQ431" s="137"/>
      <c r="AR431" s="98"/>
      <c r="AS431" s="137"/>
      <c r="AT431" s="98"/>
      <c r="AU431" s="137"/>
      <c r="AV431" s="98"/>
      <c r="AW431" s="137"/>
      <c r="AX431" s="98"/>
      <c r="AY431" s="137"/>
      <c r="AZ431" s="98"/>
      <c r="BA431" s="137"/>
      <c r="BB431" s="98"/>
      <c r="BC431" s="137"/>
      <c r="BD431" s="98"/>
      <c r="BE431" s="137"/>
      <c r="BF431" s="98"/>
      <c r="BG431" s="137"/>
      <c r="BH431" s="98"/>
      <c r="BI431" s="137"/>
      <c r="BJ431" s="98"/>
      <c r="BK431" s="137"/>
      <c r="BL431" s="98"/>
      <c r="BM431" s="137">
        <f>BM422/BM420*400</f>
        <v>-8.0608527962288417</v>
      </c>
      <c r="BN431" s="98"/>
      <c r="BO431" s="137">
        <f>BO422/BO420*400</f>
        <v>-30.881841876629018</v>
      </c>
      <c r="BP431" s="98"/>
      <c r="BQ431" s="137">
        <f>BQ422/BQ420*400</f>
        <v>-4.3854478579680753</v>
      </c>
      <c r="BR431" s="98"/>
      <c r="BS431" s="137">
        <f>BS422/BS420*400</f>
        <v>-41.033308414320125</v>
      </c>
      <c r="BT431" s="98"/>
      <c r="BU431" s="137">
        <f>BU422/BU420*400</f>
        <v>-72.79622850219917</v>
      </c>
      <c r="BV431" s="98"/>
      <c r="BW431" s="137">
        <f>BW422/BW420*400</f>
        <v>-25.343697802903765</v>
      </c>
      <c r="BX431" s="98"/>
      <c r="BY431" s="137">
        <f>BY422/BY420*400</f>
        <v>59.952022164408561</v>
      </c>
      <c r="BZ431" s="98"/>
      <c r="CA431" s="137">
        <f>CA422/CA420*400</f>
        <v>56.502877881425619</v>
      </c>
      <c r="CB431" s="98"/>
      <c r="CC431" s="137">
        <f>CC422/CC420*400</f>
        <v>16.712522217623142</v>
      </c>
      <c r="CD431" s="98"/>
      <c r="CE431" s="137">
        <f>CE422/CE420*400</f>
        <v>17.247036956297258</v>
      </c>
      <c r="CF431" s="98"/>
      <c r="CG431" s="137">
        <f>CG422/CG420*400</f>
        <v>-30.253879463948252</v>
      </c>
      <c r="CH431" s="98"/>
      <c r="CI431" s="137">
        <f>CI422/CI420*400</f>
        <v>39.140636624812572</v>
      </c>
      <c r="CJ431" s="98"/>
      <c r="CK431" s="137">
        <f>CK422/CK420*400</f>
        <v>29.4752374804021</v>
      </c>
      <c r="CL431" s="98"/>
      <c r="CM431" s="137">
        <f>CM422/CM420*400</f>
        <v>17.378497790868924</v>
      </c>
      <c r="CN431" s="98"/>
      <c r="CO431" s="137">
        <f>CO422/CO420*400</f>
        <v>2.2880097808051696</v>
      </c>
      <c r="CP431" s="98"/>
      <c r="CQ431" s="494">
        <f>CQ422/CQ420*400</f>
        <v>-48.383039430033001</v>
      </c>
      <c r="CR431" s="98"/>
      <c r="CS431" s="137">
        <f>CS422/CS420*400</f>
        <v>26.557452487230226</v>
      </c>
      <c r="CT431" s="98"/>
      <c r="CU431" s="137">
        <f>CU422/CU420*400</f>
        <v>35.788230794176094</v>
      </c>
      <c r="CV431" s="98"/>
      <c r="CW431" s="137">
        <f>CW422/CW420*400</f>
        <v>-10.750625646251368</v>
      </c>
      <c r="CX431" s="98"/>
      <c r="CY431" s="137">
        <f>CY422/CY420*400</f>
        <v>20.201497534546782</v>
      </c>
      <c r="CZ431" s="98"/>
      <c r="DA431" s="137">
        <f>DA422/DA420*400</f>
        <v>7.2180321757334172</v>
      </c>
      <c r="DB431" s="98"/>
      <c r="DC431" s="137">
        <f>DC422/DC420*400</f>
        <v>23.749384019711371</v>
      </c>
      <c r="DD431" s="98"/>
      <c r="DE431" s="137">
        <f>DE422/DE420*400</f>
        <v>-1.8140108469362048</v>
      </c>
      <c r="DF431" s="98"/>
      <c r="DG431" s="137">
        <f>DG422/DG420*400</f>
        <v>21.902264664659292</v>
      </c>
      <c r="DH431" s="98"/>
      <c r="DI431" s="137">
        <f>DI422/DI420*400</f>
        <v>22.218660443526929</v>
      </c>
      <c r="DJ431" s="98"/>
      <c r="DK431" s="137">
        <f>DK422/DK420*400</f>
        <v>6.7054101307591916</v>
      </c>
      <c r="DL431" s="98"/>
      <c r="DM431" s="137">
        <f>DM422/DM420*400</f>
        <v>15.16781080798707</v>
      </c>
      <c r="DN431" s="98" t="str">
        <f t="shared" si="2518"/>
        <v>NM</v>
      </c>
      <c r="DO431" s="137">
        <f>DO422/DO420*400</f>
        <v>-5.4451421793814303</v>
      </c>
      <c r="DP431" s="98" t="str">
        <f t="shared" si="2519"/>
        <v>NM</v>
      </c>
      <c r="DQ431" s="137">
        <f>DQ422/DQ420*400</f>
        <v>8.5244883381471475</v>
      </c>
      <c r="DR431" s="98" t="str">
        <f t="shared" si="2520"/>
        <v>NM</v>
      </c>
      <c r="DS431" s="137">
        <f>DS422/DS420*400</f>
        <v>12.152842497670084</v>
      </c>
      <c r="DT431" s="98">
        <f t="shared" si="2521"/>
        <v>81.239361361690939</v>
      </c>
      <c r="DU431" s="137">
        <f>DU422/DU420*400</f>
        <v>1.4633254069873787</v>
      </c>
      <c r="DV431" s="98" t="str">
        <f t="shared" si="2522"/>
        <v>NM</v>
      </c>
      <c r="DW431" s="137">
        <f>DW422/DW420*400</f>
        <v>-26.208933185677374</v>
      </c>
      <c r="DX431" s="98" t="str">
        <f t="shared" si="2523"/>
        <v>NM</v>
      </c>
      <c r="DY431" s="137">
        <f>DY422/DY420*400</f>
        <v>17.401812688821753</v>
      </c>
      <c r="DZ431" s="98" t="str">
        <f t="shared" si="2524"/>
        <v>NM</v>
      </c>
      <c r="EA431" s="137">
        <f>EA422/EA420*400</f>
        <v>-2.1875</v>
      </c>
      <c r="EB431" s="98" t="str">
        <f t="shared" si="2525"/>
        <v>NM</v>
      </c>
      <c r="EC431" s="137">
        <f>EC422/EC420*400</f>
        <v>9.4651024060449398</v>
      </c>
      <c r="ED431" s="98" t="str">
        <f t="shared" si="2526"/>
        <v>NM</v>
      </c>
      <c r="EE431" s="137">
        <f>EE422/EE420*400</f>
        <v>17.435897435897434</v>
      </c>
      <c r="EF431" s="860" t="str">
        <f t="shared" si="2527"/>
        <v>NM</v>
      </c>
      <c r="EG431" s="137">
        <f>EG422/EG420*400</f>
        <v>5.6813819577735121</v>
      </c>
      <c r="EH431" s="860" t="str">
        <f t="shared" si="2528"/>
        <v>NM</v>
      </c>
      <c r="EI431" s="137">
        <f>EI422/EI420*400</f>
        <v>23.53846153846154</v>
      </c>
      <c r="EJ431" s="860" t="str">
        <f t="shared" si="2529"/>
        <v>NM</v>
      </c>
      <c r="EK431" s="137">
        <f>EK422/EK420*400</f>
        <v>14.847645429362879</v>
      </c>
      <c r="EL431" s="860">
        <f t="shared" si="2530"/>
        <v>56.867245513163688</v>
      </c>
      <c r="EM431" s="137">
        <f>EM422/EM420*400</f>
        <v>14.953946180242008</v>
      </c>
      <c r="EN431" s="860">
        <f t="shared" si="2531"/>
        <v>-14.234720436847304</v>
      </c>
      <c r="EO431" s="137">
        <f>EO422/EO420*400</f>
        <v>19.047619047619047</v>
      </c>
      <c r="EP431" s="98" t="str">
        <f t="shared" si="2532"/>
        <v>NM</v>
      </c>
      <c r="EQ431" s="1033">
        <f t="shared" ref="EQ431" si="2545">EQ422/EQ420*400</f>
        <v>-2.88</v>
      </c>
      <c r="ER431" s="98" t="str">
        <f t="shared" si="2534"/>
        <v>NM</v>
      </c>
      <c r="ES431" s="1033">
        <f t="shared" ref="ES431" si="2546">ES422/ES420*400</f>
        <v>4.8</v>
      </c>
      <c r="ET431" s="98" t="str">
        <f t="shared" si="2536"/>
        <v>NM</v>
      </c>
      <c r="EU431" s="1033">
        <f t="shared" ref="EU431" si="2547">EU422/EU420*400</f>
        <v>4.8</v>
      </c>
      <c r="EV431" s="98" t="str">
        <f t="shared" si="2538"/>
        <v>NM</v>
      </c>
      <c r="EW431" s="1033">
        <f t="shared" ref="EW431" si="2548">EW422/EW420*400</f>
        <v>4.8</v>
      </c>
      <c r="EX431" s="98" t="str">
        <f t="shared" si="2540"/>
        <v>NM</v>
      </c>
      <c r="EY431" s="125"/>
      <c r="EZ431" s="594"/>
      <c r="FA431" s="405"/>
      <c r="FB431" s="95"/>
      <c r="FC431" s="98"/>
      <c r="FD431" s="137">
        <f>(FD422)/FD426*100</f>
        <v>20.161159482991724</v>
      </c>
      <c r="FE431" s="98"/>
      <c r="FF431" s="125"/>
      <c r="FG431" s="98"/>
      <c r="FH431" s="125"/>
      <c r="FI431" s="98"/>
      <c r="FJ431" s="125"/>
      <c r="FK431" s="98"/>
      <c r="FL431" s="125"/>
      <c r="FM431" s="98"/>
      <c r="FN431" s="125"/>
      <c r="FO431" s="98"/>
      <c r="FP431" s="125"/>
      <c r="FQ431" s="98"/>
      <c r="FR431" s="130"/>
      <c r="FS431" s="120"/>
      <c r="FT431" s="130"/>
      <c r="FU431" s="120"/>
      <c r="FV431" s="130">
        <f>FV422/FV420*100</f>
        <v>-33.127715030408339</v>
      </c>
      <c r="FW431" s="98"/>
      <c r="FX431" s="487">
        <f>FX422/FX420*100</f>
        <v>29.427919825260183</v>
      </c>
      <c r="FY431" s="98"/>
      <c r="FZ431" s="130">
        <f>FZ422/FZ420*100</f>
        <v>14.335050540977775</v>
      </c>
      <c r="GA431" s="98"/>
      <c r="GB431" s="487">
        <f>GB422/GB420*100</f>
        <v>-1.676888946887642</v>
      </c>
      <c r="GC431" s="98"/>
      <c r="GD431" s="130">
        <f>GD422/GD420*100</f>
        <v>13.576079093320473</v>
      </c>
      <c r="GE431" s="98"/>
      <c r="GF431" s="130">
        <f>GF422/GF420*100</f>
        <v>17.303062302006335</v>
      </c>
      <c r="GG431" s="98"/>
      <c r="GH431" s="130">
        <f>GH422/GH420*100</f>
        <v>6.1950552833115813</v>
      </c>
      <c r="GI431" s="98" t="str">
        <f t="shared" si="2541"/>
        <v>NM</v>
      </c>
      <c r="GJ431" s="130">
        <f>GJ422/GJ420*100</f>
        <v>0.82013047530288907</v>
      </c>
      <c r="GK431" s="98" t="str">
        <f t="shared" si="2542"/>
        <v>NM</v>
      </c>
      <c r="GL431" s="130">
        <f>GL422/GL420*100</f>
        <v>7.5390625</v>
      </c>
      <c r="GM431" s="98" t="str">
        <f t="shared" si="2543"/>
        <v>NM</v>
      </c>
      <c r="GN431" s="130">
        <f>GN422/GN420*100</f>
        <v>18.923076923076923</v>
      </c>
      <c r="GO431" s="98" t="str">
        <f t="shared" si="2543"/>
        <v>NM</v>
      </c>
      <c r="GP431" s="130">
        <f>GP422/GP420*100</f>
        <v>2.783253512549984</v>
      </c>
      <c r="GQ431" s="98" t="str">
        <f t="shared" si="2543"/>
        <v>NM</v>
      </c>
      <c r="GR431" s="130">
        <f>GR422/GR420*100</f>
        <v>6</v>
      </c>
      <c r="GS431" s="98" t="str">
        <f t="shared" si="2543"/>
        <v>NM</v>
      </c>
      <c r="GT431" s="130">
        <f>GT422/GT420*100</f>
        <v>6</v>
      </c>
      <c r="GU431" s="98">
        <f t="shared" si="2543"/>
        <v>0</v>
      </c>
      <c r="GV431" s="130">
        <f>GV422/GV420*100</f>
        <v>6.0000000000000009</v>
      </c>
      <c r="GW431" s="98">
        <f t="shared" si="2543"/>
        <v>2.2204460492503131E-14</v>
      </c>
      <c r="GX431" s="130">
        <f>GX422/GX420*100</f>
        <v>6.0000000000000009</v>
      </c>
      <c r="GY431" s="98">
        <f t="shared" si="2544"/>
        <v>0</v>
      </c>
      <c r="GZ431" s="98">
        <f>IF(ISERROR(((GX431/GN431)^0.2-1)*100),"NA",IF((((GX431/GN431)^0.2-1)*100)&gt;100,"NM",IF((((GX431/GN431)^0.2-1)*100)&lt;-50,"NM",((GX431/GN431)^0.2-1)*100)))</f>
        <v>-20.524750659300107</v>
      </c>
      <c r="HA431" s="98"/>
      <c r="HB431" s="10"/>
      <c r="HC431"/>
      <c r="HD431"/>
      <c r="HE431"/>
      <c r="HF431"/>
      <c r="HG431"/>
      <c r="HH431"/>
      <c r="HI431" s="10"/>
    </row>
    <row r="432" spans="1:217" s="2" customFormat="1" ht="12.75" customHeight="1" x14ac:dyDescent="0.2">
      <c r="B432" s="467" t="s">
        <v>363</v>
      </c>
      <c r="C432" s="137"/>
      <c r="D432" s="98"/>
      <c r="E432" s="137"/>
      <c r="F432" s="98"/>
      <c r="G432" s="137"/>
      <c r="H432" s="98"/>
      <c r="I432" s="137"/>
      <c r="J432" s="98"/>
      <c r="K432" s="137"/>
      <c r="L432" s="98"/>
      <c r="M432" s="137"/>
      <c r="N432" s="98"/>
      <c r="O432" s="137"/>
      <c r="P432" s="98"/>
      <c r="Q432" s="137"/>
      <c r="R432" s="98"/>
      <c r="S432" s="137"/>
      <c r="T432" s="98"/>
      <c r="U432" s="137"/>
      <c r="V432" s="98"/>
      <c r="W432" s="137"/>
      <c r="X432" s="98"/>
      <c r="Y432" s="137"/>
      <c r="Z432" s="98"/>
      <c r="AA432" s="137"/>
      <c r="AB432" s="98"/>
      <c r="AC432" s="137"/>
      <c r="AD432" s="98"/>
      <c r="AE432" s="137"/>
      <c r="AF432" s="98"/>
      <c r="AG432" s="137"/>
      <c r="AH432" s="98"/>
      <c r="AI432" s="137"/>
      <c r="AJ432" s="98"/>
      <c r="AK432" s="137"/>
      <c r="AL432" s="98"/>
      <c r="AM432" s="137"/>
      <c r="AN432" s="98"/>
      <c r="AO432" s="137"/>
      <c r="AP432" s="98"/>
      <c r="AQ432" s="137"/>
      <c r="AR432" s="98"/>
      <c r="AS432" s="137"/>
      <c r="AT432" s="98"/>
      <c r="AU432" s="137"/>
      <c r="AV432" s="98"/>
      <c r="AW432" s="137"/>
      <c r="AX432" s="98"/>
      <c r="AY432" s="137"/>
      <c r="AZ432" s="98"/>
      <c r="BA432" s="137"/>
      <c r="BB432" s="98"/>
      <c r="BC432" s="137"/>
      <c r="BD432" s="98"/>
      <c r="BE432" s="137"/>
      <c r="BF432" s="98"/>
      <c r="BG432" s="137"/>
      <c r="BH432" s="98"/>
      <c r="BI432" s="137"/>
      <c r="BJ432" s="98"/>
      <c r="BK432" s="137"/>
      <c r="BL432" s="98"/>
      <c r="BM432" s="220">
        <f>(BM431/4)/BM$26*100</f>
        <v>39.624033894639219</v>
      </c>
      <c r="BN432" s="98"/>
      <c r="BO432" s="220">
        <f>(BO431/4)/BO$26*100</f>
        <v>77.827971613640429</v>
      </c>
      <c r="BP432" s="98"/>
      <c r="BQ432" s="220">
        <f>(BQ431/4)/BQ$26*100</f>
        <v>16.657942298820956</v>
      </c>
      <c r="BR432" s="98"/>
      <c r="BS432" s="220">
        <f>(BS431/4)/BS$26*100</f>
        <v>111.18294952721806</v>
      </c>
      <c r="BT432" s="98"/>
      <c r="BU432" s="220">
        <f>(BU431/4)/BU$26*100</f>
        <v>81.960739980217753</v>
      </c>
      <c r="BV432" s="98"/>
      <c r="BW432" s="220">
        <f>(BW431/4)/BW$26*100</f>
        <v>54.30356800689691</v>
      </c>
      <c r="BX432" s="98"/>
      <c r="BY432" s="220">
        <f>(BY431/4)/BY$26*100</f>
        <v>112.30110023872746</v>
      </c>
      <c r="BZ432" s="98"/>
      <c r="CA432" s="220">
        <f>(CA431/4)/CA$26*100</f>
        <v>97.515457551563429</v>
      </c>
      <c r="CB432" s="98"/>
      <c r="CC432" s="220">
        <f>(CC431/4)/CC$26*100</f>
        <v>50.473282506061459</v>
      </c>
      <c r="CD432" s="98"/>
      <c r="CE432" s="220">
        <f>(CE431/4)/CE$26*100</f>
        <v>88.496842382322754</v>
      </c>
      <c r="CF432" s="98"/>
      <c r="CG432" s="220">
        <f>(CG431/4)/CG$26*100</f>
        <v>60.455452461616275</v>
      </c>
      <c r="CH432" s="98"/>
      <c r="CI432" s="220">
        <f>(CI431/4)/CI$26*100</f>
        <v>88.315638691281904</v>
      </c>
      <c r="CJ432" s="98"/>
      <c r="CK432" s="220">
        <f>(CK431/4)/CK$26*100</f>
        <v>75.820750758160784</v>
      </c>
      <c r="CL432" s="98"/>
      <c r="CM432" s="220">
        <f>(CM431/4)/CM$26*100</f>
        <v>80.128656048755701</v>
      </c>
      <c r="CN432" s="98"/>
      <c r="CO432" s="220">
        <f>(CO431/4)/CO$26*100</f>
        <v>-64.752362172848521</v>
      </c>
      <c r="CP432" s="98"/>
      <c r="CQ432" s="509">
        <f>(CQ431/4)/CQ$26*100</f>
        <v>77.811892476869531</v>
      </c>
      <c r="CR432" s="98"/>
      <c r="CS432" s="220">
        <f>(CS431/4)/CS$26*100</f>
        <v>59.533318882607404</v>
      </c>
      <c r="CT432" s="98"/>
      <c r="CU432" s="220">
        <f>(CU431/4)/CU$26*100</f>
        <v>74.5795148739425</v>
      </c>
      <c r="CV432" s="98"/>
      <c r="CW432" s="220">
        <f>(CW431/4)/CW$26*100</f>
        <v>81.742246296564801</v>
      </c>
      <c r="CX432" s="98"/>
      <c r="CY432" s="220">
        <f>(CY431/4)/CY$26*100</f>
        <v>87.624735325621572</v>
      </c>
      <c r="CZ432" s="98"/>
      <c r="DA432" s="220">
        <f>(DA431/4)/DA$26*100</f>
        <v>-128.89343170952532</v>
      </c>
      <c r="DB432" s="98"/>
      <c r="DC432" s="220">
        <f>(DC431/4)/DC$26*100</f>
        <v>61.209752628122096</v>
      </c>
      <c r="DD432" s="98"/>
      <c r="DE432" s="220">
        <f>(DE431/4)/DE$26*100</f>
        <v>-18.895946322252136</v>
      </c>
      <c r="DF432" s="98"/>
      <c r="DG432" s="220">
        <f>(DG431/4)/DG$26*100</f>
        <v>133.55039429670302</v>
      </c>
      <c r="DH432" s="98"/>
      <c r="DI432" s="220">
        <f>(DI431/4)/DI$26*100</f>
        <v>56.107728392744768</v>
      </c>
      <c r="DJ432" s="98"/>
      <c r="DK432" s="220">
        <f>(DK431/4)/DK$26*100</f>
        <v>128.95019482229213</v>
      </c>
      <c r="DL432" s="98"/>
      <c r="DM432" s="220">
        <f>(DM431/4)/DM$26*100</f>
        <v>80.679844723335478</v>
      </c>
      <c r="DN432" s="98" t="str">
        <f t="shared" si="2518"/>
        <v>NM</v>
      </c>
      <c r="DO432" s="220">
        <f>(DO431/4)/DO$26*100</f>
        <v>2607.7583295073678</v>
      </c>
      <c r="DP432" s="98" t="str">
        <f t="shared" si="2519"/>
        <v>NM</v>
      </c>
      <c r="DQ432" s="220">
        <f>(DQ431/4)/DQ$26*100</f>
        <v>36.788225616836229</v>
      </c>
      <c r="DR432" s="98">
        <f t="shared" si="2520"/>
        <v>-34.432872848950922</v>
      </c>
      <c r="DS432" s="220">
        <f>(DS431/4)/DS$26*100</f>
        <v>759.55265610438016</v>
      </c>
      <c r="DT432" s="98" t="str">
        <f t="shared" si="2521"/>
        <v>NM</v>
      </c>
      <c r="DU432" s="220">
        <f>(DU431/4)/DU$26*100</f>
        <v>91.457837936711158</v>
      </c>
      <c r="DV432" s="98">
        <f t="shared" si="2522"/>
        <v>13.358966232936108</v>
      </c>
      <c r="DW432" s="220">
        <f>(DW431/4)/DW$26*100</f>
        <v>86.484040903737807</v>
      </c>
      <c r="DX432" s="98" t="str">
        <f t="shared" si="2523"/>
        <v>NM</v>
      </c>
      <c r="DY432" s="220">
        <f>(DY431/4)/DY$26*100</f>
        <v>69.676002490065642</v>
      </c>
      <c r="DZ432" s="98">
        <f t="shared" si="2524"/>
        <v>89.397562186794445</v>
      </c>
      <c r="EA432" s="220">
        <f>(EA431/4)/EA$26*100</f>
        <v>-70.745549841772487</v>
      </c>
      <c r="EB432" s="98" t="str">
        <f t="shared" si="2525"/>
        <v>NM</v>
      </c>
      <c r="EC432" s="220">
        <f>(EC431/4)/EC$26*100</f>
        <v>188.06554683629838</v>
      </c>
      <c r="ED432" s="98" t="str">
        <f t="shared" si="2526"/>
        <v>NM</v>
      </c>
      <c r="EE432" s="220">
        <f>(EE431/4)/EE$26*100</f>
        <v>140.33578070057021</v>
      </c>
      <c r="EF432" s="860">
        <f t="shared" si="2527"/>
        <v>62.267834890801169</v>
      </c>
      <c r="EG432" s="220">
        <f>(EG431/4)/EG$26*100</f>
        <v>43.64636997858986</v>
      </c>
      <c r="EH432" s="860">
        <f t="shared" si="2528"/>
        <v>-37.358102619602882</v>
      </c>
      <c r="EI432" s="220">
        <f>(EI431/4)/EI$26*100</f>
        <v>106.34144998734322</v>
      </c>
      <c r="EJ432" s="860" t="str">
        <f t="shared" si="2529"/>
        <v>NM</v>
      </c>
      <c r="EK432" s="220">
        <f>(EK431/4)/EK$26*100</f>
        <v>142.76582143618154</v>
      </c>
      <c r="EL432" s="860">
        <f t="shared" si="2530"/>
        <v>-24.087200533092844</v>
      </c>
      <c r="EM432" s="220">
        <f>(EM431/4)/EM$26*100</f>
        <v>103.84684847390284</v>
      </c>
      <c r="EN432" s="860">
        <f t="shared" si="2531"/>
        <v>-26.001160961595815</v>
      </c>
      <c r="EO432" s="220">
        <f>(EO431/4)/EO$26*100</f>
        <v>74.404761904761898</v>
      </c>
      <c r="EP432" s="98">
        <f t="shared" si="2532"/>
        <v>70.471821462495399</v>
      </c>
      <c r="EQ432" s="1026">
        <v>60</v>
      </c>
      <c r="ER432" s="98">
        <f t="shared" si="2534"/>
        <v>-43.577974527203445</v>
      </c>
      <c r="ES432" s="1026">
        <v>60</v>
      </c>
      <c r="ET432" s="98" t="str">
        <f t="shared" si="2536"/>
        <v>NM</v>
      </c>
      <c r="EU432" s="1026">
        <v>60</v>
      </c>
      <c r="EV432" s="98">
        <f t="shared" si="2538"/>
        <v>-42.222608695652177</v>
      </c>
      <c r="EW432" s="1026">
        <v>60</v>
      </c>
      <c r="EX432" s="98">
        <f t="shared" si="2540"/>
        <v>-19.359999999999989</v>
      </c>
      <c r="EY432" s="125"/>
      <c r="EZ432" s="594"/>
      <c r="FA432" s="405"/>
      <c r="FB432" s="95"/>
      <c r="FC432" s="98"/>
      <c r="FD432" s="137"/>
      <c r="FE432" s="98"/>
      <c r="FF432" s="125"/>
      <c r="FG432" s="98"/>
      <c r="FH432" s="125"/>
      <c r="FI432" s="98"/>
      <c r="FJ432" s="125"/>
      <c r="FK432" s="98"/>
      <c r="FL432" s="125"/>
      <c r="FM432" s="98"/>
      <c r="FN432" s="125"/>
      <c r="FO432" s="98"/>
      <c r="FP432" s="125"/>
      <c r="FQ432" s="98"/>
      <c r="FR432" s="130"/>
      <c r="FS432" s="120"/>
      <c r="FT432" s="130"/>
      <c r="FU432" s="120"/>
      <c r="FV432" s="130"/>
      <c r="FW432" s="98"/>
      <c r="FX432" s="487"/>
      <c r="FY432" s="98"/>
      <c r="FZ432" s="130"/>
      <c r="GA432" s="98"/>
      <c r="GB432" s="487"/>
      <c r="GC432" s="98"/>
      <c r="GD432" s="130"/>
      <c r="GE432" s="98"/>
      <c r="GF432" s="130"/>
      <c r="GG432" s="98"/>
      <c r="GH432" s="130"/>
      <c r="GI432" s="98"/>
      <c r="GJ432" s="130"/>
      <c r="GK432" s="98"/>
      <c r="GL432" s="130"/>
      <c r="GM432" s="98"/>
      <c r="GN432" s="130"/>
      <c r="GO432" s="98"/>
      <c r="GP432" s="130"/>
      <c r="GQ432" s="98"/>
      <c r="GR432" s="80">
        <v>75</v>
      </c>
      <c r="GS432" s="98"/>
      <c r="GT432" s="80">
        <v>75</v>
      </c>
      <c r="GU432" s="98"/>
      <c r="GV432" s="80">
        <v>75</v>
      </c>
      <c r="GW432" s="98"/>
      <c r="GX432" s="80">
        <v>75</v>
      </c>
      <c r="GY432" s="98"/>
      <c r="GZ432" s="98" t="str">
        <f>IF(ISERROR(((GX432/GN432)^0.2-1)*100),"NA",IF((((GX432/GN432)^0.2-1)*100)&gt;100,"NM",IF((((GX432/GN432)^0.2-1)*100)&lt;-50,"NM",((GX432/GN432)^0.2-1)*100)))</f>
        <v>NA</v>
      </c>
      <c r="HA432" s="98"/>
      <c r="HB432" s="10"/>
      <c r="HC432"/>
      <c r="HD432"/>
      <c r="HE432"/>
      <c r="HF432"/>
      <c r="HG432"/>
      <c r="HH432"/>
      <c r="HI432" s="10"/>
    </row>
    <row r="433" spans="1:217" s="2" customFormat="1" ht="12.75" customHeight="1" x14ac:dyDescent="0.2">
      <c r="C433" s="10"/>
      <c r="D433" s="13"/>
      <c r="E433" s="10"/>
      <c r="F433" s="13"/>
      <c r="G433" s="10"/>
      <c r="H433" s="13"/>
      <c r="I433" s="10"/>
      <c r="J433" s="98"/>
      <c r="K433" s="10"/>
      <c r="L433" s="98"/>
      <c r="M433" s="10"/>
      <c r="N433" s="98"/>
      <c r="O433" s="10"/>
      <c r="P433" s="98"/>
      <c r="Q433" s="10"/>
      <c r="R433" s="98"/>
      <c r="S433" s="10"/>
      <c r="T433" s="98"/>
      <c r="U433" s="10"/>
      <c r="V433" s="98"/>
      <c r="W433" s="10"/>
      <c r="X433" s="98"/>
      <c r="Y433" s="10"/>
      <c r="Z433" s="98"/>
      <c r="AA433" s="10"/>
      <c r="AB433" s="98"/>
      <c r="AC433" s="10"/>
      <c r="AD433" s="98"/>
      <c r="AE433" s="10"/>
      <c r="AF433" s="98"/>
      <c r="AG433" s="23"/>
      <c r="AH433" s="98"/>
      <c r="AI433" s="23"/>
      <c r="AJ433" s="98"/>
      <c r="AK433" s="23"/>
      <c r="AL433" s="98"/>
      <c r="AM433" s="23"/>
      <c r="AN433" s="98"/>
      <c r="AO433" s="23"/>
      <c r="AP433" s="98"/>
      <c r="AQ433" s="23"/>
      <c r="AR433" s="98"/>
      <c r="AS433" s="23"/>
      <c r="AT433" s="98"/>
      <c r="AU433" s="23"/>
      <c r="AV433" s="98"/>
      <c r="AW433" s="23"/>
      <c r="AX433" s="98"/>
      <c r="AY433" s="23"/>
      <c r="AZ433" s="98"/>
      <c r="BA433" s="23"/>
      <c r="BB433" s="98"/>
      <c r="BC433" s="23"/>
      <c r="BD433" s="98"/>
      <c r="BE433" s="23"/>
      <c r="BF433" s="98"/>
      <c r="BG433" s="23"/>
      <c r="BH433" s="98"/>
      <c r="BI433" s="23"/>
      <c r="BJ433" s="98"/>
      <c r="BK433" s="23"/>
      <c r="BL433" s="98"/>
      <c r="BM433" s="23"/>
      <c r="BN433" s="98"/>
      <c r="BO433" s="23"/>
      <c r="BP433" s="98"/>
      <c r="BQ433" s="23"/>
      <c r="BR433" s="98"/>
      <c r="BS433" s="23"/>
      <c r="BT433" s="98"/>
      <c r="BU433" s="23"/>
      <c r="BV433" s="98"/>
      <c r="BW433" s="23"/>
      <c r="BX433" s="98"/>
      <c r="BY433" s="23"/>
      <c r="BZ433" s="98"/>
      <c r="CA433" s="23"/>
      <c r="CB433" s="98"/>
      <c r="CC433" s="23"/>
      <c r="CD433" s="98"/>
      <c r="CE433" s="172"/>
      <c r="CF433" s="98"/>
      <c r="CG433" s="172"/>
      <c r="CH433" s="98"/>
      <c r="CI433" s="172"/>
      <c r="CJ433" s="98"/>
      <c r="CK433" s="172"/>
      <c r="CL433" s="98"/>
      <c r="CM433" s="172"/>
      <c r="CN433" s="98"/>
      <c r="CO433" s="172"/>
      <c r="CP433" s="98"/>
      <c r="CQ433" s="546"/>
      <c r="CR433" s="98"/>
      <c r="CS433" s="172"/>
      <c r="CT433" s="98"/>
      <c r="CU433" s="172"/>
      <c r="CV433" s="98"/>
      <c r="CW433" s="172"/>
      <c r="CX433" s="98"/>
      <c r="CY433" s="172"/>
      <c r="CZ433" s="98"/>
      <c r="DA433" s="172"/>
      <c r="DB433" s="98"/>
      <c r="DC433" s="172"/>
      <c r="DD433" s="98"/>
      <c r="DE433" s="172"/>
      <c r="DF433" s="98"/>
      <c r="DG433" s="172"/>
      <c r="DH433" s="98"/>
      <c r="DI433" s="172"/>
      <c r="DJ433" s="98"/>
      <c r="DK433" s="172"/>
      <c r="DL433" s="98"/>
      <c r="DM433" s="172"/>
      <c r="DN433" s="98"/>
      <c r="DO433" s="172"/>
      <c r="DP433" s="98"/>
      <c r="DQ433" s="172"/>
      <c r="DR433" s="98"/>
      <c r="DS433" s="172"/>
      <c r="DT433" s="98"/>
      <c r="DU433" s="172"/>
      <c r="DV433" s="98"/>
      <c r="DW433" s="172"/>
      <c r="DX433" s="98"/>
      <c r="DY433" s="172"/>
      <c r="DZ433" s="98"/>
      <c r="EA433" s="172"/>
      <c r="EB433" s="98"/>
      <c r="EC433" s="172"/>
      <c r="ED433" s="98"/>
      <c r="EE433" s="172"/>
      <c r="EF433" s="860"/>
      <c r="EG433" s="172"/>
      <c r="EH433" s="860"/>
      <c r="EI433" s="172"/>
      <c r="EJ433" s="860"/>
      <c r="EK433" s="172"/>
      <c r="EL433" s="860"/>
      <c r="EM433" s="172"/>
      <c r="EN433" s="860"/>
      <c r="EO433" s="172"/>
      <c r="EP433" s="98"/>
      <c r="EQ433" s="1009"/>
      <c r="ER433" s="98"/>
      <c r="ES433" s="1009"/>
      <c r="ET433" s="98"/>
      <c r="EU433" s="1009"/>
      <c r="EV433" s="98"/>
      <c r="EW433" s="1009"/>
      <c r="EX433" s="98"/>
      <c r="EY433" s="24"/>
      <c r="EZ433" s="594"/>
      <c r="FA433" s="405"/>
      <c r="FB433" s="10"/>
      <c r="FC433" s="13"/>
      <c r="FD433" s="10"/>
      <c r="FE433" s="14"/>
      <c r="FF433" s="25"/>
      <c r="FG433" s="14"/>
      <c r="FH433" s="25"/>
      <c r="FI433" s="14"/>
      <c r="FJ433" s="25"/>
      <c r="FK433" s="14"/>
      <c r="FL433" s="25"/>
      <c r="FM433" s="14"/>
      <c r="FN433" s="25"/>
      <c r="FO433" s="14"/>
      <c r="FP433" s="25"/>
      <c r="FQ433" s="14"/>
      <c r="FR433" s="24"/>
      <c r="FS433" s="305"/>
      <c r="FT433" s="24"/>
      <c r="FU433" s="305"/>
      <c r="FV433" s="24"/>
      <c r="FW433" s="98"/>
      <c r="FX433" s="470"/>
      <c r="FY433" s="98"/>
      <c r="FZ433" s="24"/>
      <c r="GA433" s="98"/>
      <c r="GB433" s="470"/>
      <c r="GC433" s="98"/>
      <c r="GD433" s="24"/>
      <c r="GE433" s="98"/>
      <c r="GF433" s="24"/>
      <c r="GG433" s="98"/>
      <c r="GH433" s="24"/>
      <c r="GI433" s="98"/>
      <c r="GJ433" s="24"/>
      <c r="GK433" s="98"/>
      <c r="GL433" s="24"/>
      <c r="GM433" s="98"/>
      <c r="GN433" s="24"/>
      <c r="GO433" s="98"/>
      <c r="GP433" s="24"/>
      <c r="GQ433" s="98"/>
      <c r="GR433" s="24"/>
      <c r="GS433" s="98"/>
      <c r="GT433" s="24"/>
      <c r="GU433" s="98"/>
      <c r="GV433" s="24"/>
      <c r="GW433" s="98"/>
      <c r="GX433" s="24"/>
      <c r="GY433" s="98"/>
      <c r="GZ433" s="98"/>
      <c r="HA433" s="98"/>
      <c r="HB433" s="10"/>
      <c r="HC433"/>
      <c r="HD433"/>
      <c r="HE433"/>
      <c r="HF433"/>
      <c r="HG433"/>
      <c r="HH433"/>
      <c r="HI433" s="10"/>
    </row>
    <row r="434" spans="1:217" s="2" customFormat="1" ht="12.75" customHeight="1" x14ac:dyDescent="0.2">
      <c r="B434" s="91" t="s">
        <v>365</v>
      </c>
      <c r="C434" s="117"/>
      <c r="D434" s="98"/>
      <c r="E434" s="117"/>
      <c r="F434" s="98"/>
      <c r="G434" s="117"/>
      <c r="H434" s="98"/>
      <c r="I434" s="117"/>
      <c r="J434" s="98"/>
      <c r="K434" s="117"/>
      <c r="L434" s="98"/>
      <c r="M434" s="117"/>
      <c r="N434" s="98"/>
      <c r="O434" s="117"/>
      <c r="P434" s="98"/>
      <c r="Q434" s="117"/>
      <c r="R434" s="98"/>
      <c r="S434" s="117"/>
      <c r="T434" s="98"/>
      <c r="U434" s="117"/>
      <c r="V434" s="98"/>
      <c r="W434" s="117"/>
      <c r="X434" s="98"/>
      <c r="Y434" s="117"/>
      <c r="Z434" s="98"/>
      <c r="AA434" s="117"/>
      <c r="AB434" s="98"/>
      <c r="AC434" s="117"/>
      <c r="AD434" s="98"/>
      <c r="AE434" s="117"/>
      <c r="AF434" s="98"/>
      <c r="AG434" s="117"/>
      <c r="AH434" s="98"/>
      <c r="AI434" s="117"/>
      <c r="AJ434" s="98"/>
      <c r="AK434" s="117"/>
      <c r="AL434" s="98"/>
      <c r="AM434" s="117"/>
      <c r="AN434" s="98"/>
      <c r="AO434" s="117"/>
      <c r="AP434" s="98"/>
      <c r="AQ434" s="117"/>
      <c r="AR434" s="98"/>
      <c r="AS434" s="117"/>
      <c r="AT434" s="98"/>
      <c r="AU434" s="117"/>
      <c r="AV434" s="98"/>
      <c r="AW434" s="117"/>
      <c r="AX434" s="98"/>
      <c r="AY434" s="117"/>
      <c r="AZ434" s="98"/>
      <c r="BA434" s="117"/>
      <c r="BB434" s="98"/>
      <c r="BC434" s="117"/>
      <c r="BD434" s="98"/>
      <c r="BE434" s="117"/>
      <c r="BF434" s="98"/>
      <c r="BG434" s="117"/>
      <c r="BH434" s="98"/>
      <c r="BI434" s="117"/>
      <c r="BJ434" s="98"/>
      <c r="BK434" s="117"/>
      <c r="BL434" s="98"/>
      <c r="BM434" s="117">
        <f>BM411+BM425</f>
        <v>132920</v>
      </c>
      <c r="BN434" s="98" t="str">
        <f>IF(ISERROR((BM434/BE434-1)*100),"NA",IF(((BM434/BE434-1)*100)&gt;100,"NM",IF(((BM434/BE434-1)*100)&lt;-50,"NM",(BM434/BE434-1)*100)))</f>
        <v>NA</v>
      </c>
      <c r="BO434" s="117">
        <f>BO411+BO425</f>
        <v>125922</v>
      </c>
      <c r="BP434" s="98" t="str">
        <f>IF(ISERROR((BO434/BG434-1)*100),"NA",IF(((BO434/BG434-1)*100)&gt;100,"NM",IF(((BO434/BG434-1)*100)&lt;-50,"NM",(BO434/BG434-1)*100)))</f>
        <v>NA</v>
      </c>
      <c r="BQ434" s="117">
        <f>BQ411+BQ425</f>
        <v>125189</v>
      </c>
      <c r="BR434" s="98" t="str">
        <f>IF(ISERROR((BQ434/BI434-1)*100),"NA",IF(((BQ434/BI434-1)*100)&gt;100,"NM",IF(((BQ434/BI434-1)*100)&lt;-50,"NM",(BQ434/BI434-1)*100)))</f>
        <v>NA</v>
      </c>
      <c r="BS434" s="117">
        <f>BS411+BS425</f>
        <v>117703</v>
      </c>
      <c r="BT434" s="98" t="str">
        <f>IF(ISERROR((BS434/BK434-1)*100),"NA",IF(((BS434/BK434-1)*100)&gt;100,"NM",IF(((BS434/BK434-1)*100)&lt;-50,"NM",(BS434/BK434-1)*100)))</f>
        <v>NA</v>
      </c>
      <c r="BU434" s="117">
        <f>BU411+BU425</f>
        <v>110201</v>
      </c>
      <c r="BV434" s="98">
        <f>IF(ISERROR((BU434/BM434-1)*100),"NA",IF(((BU434/BM434-1)*100)&gt;100,"NM",IF(((BU434/BM434-1)*100)&lt;-50,"NM",(BU434/BM434-1)*100)))</f>
        <v>-17.0922359313873</v>
      </c>
      <c r="BW434" s="117">
        <f>BW411+BW425</f>
        <v>110609</v>
      </c>
      <c r="BX434" s="98">
        <f>IF(ISERROR((BW434/BO434-1)*100),"NA",IF(((BW434/BO434-1)*100)&gt;100,"NM",IF(((BW434/BO434-1)*100)&lt;-50,"NM",(BW434/BO434-1)*100)))</f>
        <v>-12.160702657200485</v>
      </c>
      <c r="BY434" s="117">
        <f>BY411+BY425</f>
        <v>121766</v>
      </c>
      <c r="BZ434" s="98">
        <f>IF(ISERROR((BY434/BQ434-1)*100),"NA",IF(((BY434/BQ434-1)*100)&gt;100,"NM",IF(((BY434/BQ434-1)*100)&lt;-50,"NM",(BY434/BQ434-1)*100)))</f>
        <v>-2.7342657901253342</v>
      </c>
      <c r="CA434" s="117">
        <f>CA411+CA425</f>
        <v>137781</v>
      </c>
      <c r="CB434" s="98">
        <f>IF(ISERROR((CA434/BS434-1)*100),"NA",IF(((CA434/BS434-1)*100)&gt;100,"NM",IF(((CA434/BS434-1)*100)&lt;-50,"NM",(CA434/BS434-1)*100)))</f>
        <v>17.058188831210753</v>
      </c>
      <c r="CC434" s="117">
        <f>CC411+CC425</f>
        <v>142238</v>
      </c>
      <c r="CD434" s="98">
        <f>IF(ISERROR((CC434/BU434-1)*100),"NA",IF(((CC434/BU434-1)*100)&gt;100,"NM",IF(((CC434/BU434-1)*100)&lt;-50,"NM",(CC434/BU434-1)*100)))</f>
        <v>29.071424034264659</v>
      </c>
      <c r="CE434" s="117">
        <f>CE411+CE425</f>
        <v>147568</v>
      </c>
      <c r="CF434" s="98">
        <f>IF(ISERROR((CE434/BW434-1)*100),"NA",IF(((CE434/BW434-1)*100)&gt;100,"NM",IF(((CE434/BW434-1)*100)&lt;-50,"NM",(CE434/BW434-1)*100)))</f>
        <v>33.414098310264073</v>
      </c>
      <c r="CG434" s="117">
        <f>CG411+CG425</f>
        <v>144723</v>
      </c>
      <c r="CH434" s="98">
        <f>IF(ISERROR((CG434/BY434-1)*100),"NA",IF(((CG434/BY434-1)*100)&gt;100,"NM",IF(((CG434/BY434-1)*100)&lt;-50,"NM",(CG434/BY434-1)*100)))</f>
        <v>18.853374505198506</v>
      </c>
      <c r="CI434" s="117">
        <f>CI411+CI425</f>
        <v>155072</v>
      </c>
      <c r="CJ434" s="98">
        <f>IF(ISERROR((CI434/CA434-1)*100),"NA",IF(((CI434/CA434-1)*100)&gt;100,"NM",IF(((CI434/CA434-1)*100)&lt;-50,"NM",(CI434/CA434-1)*100)))</f>
        <v>12.549625855524349</v>
      </c>
      <c r="CK434" s="117">
        <f>CK411+CK425</f>
        <v>162681</v>
      </c>
      <c r="CL434" s="98">
        <f>IF(ISERROR((CK434/CC434-1)*100),"NA",IF(((CK434/CC434-1)*100)&gt;100,"NM",IF(((CK434/CC434-1)*100)&lt;-50,"NM",(CK434/CC434-1)*100)))</f>
        <v>14.372389937991258</v>
      </c>
      <c r="CM434" s="117">
        <f>CM411+CM425</f>
        <v>164844</v>
      </c>
      <c r="CN434" s="98">
        <f>IF(ISERROR((CM434/CE434-1)*100),"NA",IF(((CM434/CE434-1)*100)&gt;100,"NM",IF(((CM434/CE434-1)*100)&lt;-50,"NM",(CM434/CE434-1)*100)))</f>
        <v>11.707145180526934</v>
      </c>
      <c r="CO434" s="117">
        <f>CO411+CO425</f>
        <v>169348</v>
      </c>
      <c r="CP434" s="98">
        <f>IF(ISERROR((CO434/CG434-1)*100),"NA",IF(((CO434/CG434-1)*100)&gt;100,"NM",IF(((CO434/CG434-1)*100)&lt;-50,"NM",(CO434/CG434-1)*100)))</f>
        <v>17.015263641577349</v>
      </c>
      <c r="CQ434" s="486">
        <f>CQ411+CQ425</f>
        <v>163646</v>
      </c>
      <c r="CR434" s="98">
        <f>IF(ISERROR((CQ434/CI434-1)*100),"NA",IF(((CQ434/CI434-1)*100)&gt;100,"NM",IF(((CQ434/CI434-1)*100)&lt;-50,"NM",(CQ434/CI434-1)*100)))</f>
        <v>5.5290445728435778</v>
      </c>
      <c r="CS434" s="117">
        <f>CS411+CS425</f>
        <v>174162</v>
      </c>
      <c r="CT434" s="98">
        <f>IF(ISERROR((CS434/CK434-1)*100),"NA",IF(((CS434/CK434-1)*100)&gt;100,"NM",IF(((CS434/CK434-1)*100)&lt;-50,"NM",(CS434/CK434-1)*100)))</f>
        <v>7.0573699448614136</v>
      </c>
      <c r="CU434" s="117">
        <f>CU411+CU425</f>
        <v>184822</v>
      </c>
      <c r="CV434" s="98">
        <f>IF(ISERROR((CU434/CM434-1)*100),"NA",IF(((CU434/CM434-1)*100)&gt;100,"NM",IF(((CU434/CM434-1)*100)&lt;-50,"NM",(CU434/CM434-1)*100)))</f>
        <v>12.119337070199698</v>
      </c>
      <c r="CW434" s="117">
        <f>CW411+CW425</f>
        <v>183642</v>
      </c>
      <c r="CX434" s="98">
        <f>IF(ISERROR((CW434/CO434-1)*100),"NA",IF(((CW434/CO434-1)*100)&gt;100,"NM",IF(((CW434/CO434-1)*100)&lt;-50,"NM",(CW434/CO434-1)*100)))</f>
        <v>8.4406075064364483</v>
      </c>
      <c r="CY434" s="117">
        <f>CY411+CY425</f>
        <v>191074</v>
      </c>
      <c r="CZ434" s="98">
        <f>IF(ISERROR((CY434/CQ434-1)*100),"NA",IF(((CY434/CQ434-1)*100)&gt;100,"NM",IF(((CY434/CQ434-1)*100)&lt;-50,"NM",(CY434/CQ434-1)*100)))</f>
        <v>16.760568544296838</v>
      </c>
      <c r="DA434" s="117">
        <f>DA411+DA425</f>
        <v>193592</v>
      </c>
      <c r="DB434" s="98">
        <f>IF(ISERROR((DA434/CS434-1)*100),"NA",IF(((DA434/CS434-1)*100)&gt;100,"NM",IF(((DA434/CS434-1)*100)&lt;-50,"NM",(DA434/CS434-1)*100)))</f>
        <v>11.156279785487078</v>
      </c>
      <c r="DC434" s="117">
        <f>DC411+DC425</f>
        <v>200846</v>
      </c>
      <c r="DD434" s="98">
        <f>IF(ISERROR((DC434/CU434-1)*100),"NA",IF(((DC434/CU434-1)*100)&gt;100,"NM",IF(((DC434/CU434-1)*100)&lt;-50,"NM",(DC434/CU434-1)*100)))</f>
        <v>8.6699635324799083</v>
      </c>
      <c r="DE434" s="117">
        <f>DE411+DE425</f>
        <v>198107</v>
      </c>
      <c r="DF434" s="98">
        <f>IF(ISERROR((DE434/CW434-1)*100),"NA",IF(((DE434/CW434-1)*100)&gt;100,"NM",IF(((DE434/CW434-1)*100)&lt;-50,"NM",(DE434/CW434-1)*100)))</f>
        <v>7.8767384367410598</v>
      </c>
      <c r="DG434" s="117">
        <f>DG411+DG425</f>
        <v>204405</v>
      </c>
      <c r="DH434" s="98">
        <f>IF(ISERROR((DG434/CY434-1)*100),"NA",IF(((DG434/CY434-1)*100)&gt;100,"NM",IF(((DG434/CY434-1)*100)&lt;-50,"NM",(DG434/CY434-1)*100)))</f>
        <v>6.9768780681830123</v>
      </c>
      <c r="DI434" s="117">
        <f>DI411+DI425</f>
        <v>209424</v>
      </c>
      <c r="DJ434" s="98">
        <f>IF(ISERROR((DI434/DA434-1)*100),"NA",IF(((DI434/DA434-1)*100)&gt;100,"NM",IF(((DI434/DA434-1)*100)&lt;-50,"NM",(DI434/DA434-1)*100)))</f>
        <v>8.1780238852845244</v>
      </c>
      <c r="DK434" s="117">
        <f>DK411+DK425</f>
        <v>209612</v>
      </c>
      <c r="DL434" s="98">
        <f>IF(ISERROR((DK434/DC434-1)*100),"NA",IF(((DK434/DC434-1)*100)&gt;100,"NM",IF(((DK434/DC434-1)*100)&lt;-50,"NM",(DK434/DC434-1)*100)))</f>
        <v>4.3645380042420578</v>
      </c>
      <c r="DM434" s="117">
        <f>DM411+DM425</f>
        <v>212902</v>
      </c>
      <c r="DN434" s="98">
        <f>IF(ISERROR((DM434/DE434-1)*100),"NA",IF(((DM434/DE434-1)*100)&gt;100,"NM",IF(((DM434/DE434-1)*100)&lt;-50,"NM",(DM434/DE434-1)*100)))</f>
        <v>7.4681863841257412</v>
      </c>
      <c r="DO434" s="117">
        <f>DO411+DO425</f>
        <v>208524</v>
      </c>
      <c r="DP434" s="98">
        <f>IF(ISERROR((DO434/DG434-1)*100),"NA",IF(((DO434/DG434-1)*100)&gt;100,"NM",IF(((DO434/DG434-1)*100)&lt;-50,"NM",(DO434/DG434-1)*100)))</f>
        <v>2.0151170470389612</v>
      </c>
      <c r="DQ434" s="117">
        <f>DQ411+DQ425</f>
        <v>209154</v>
      </c>
      <c r="DR434" s="98">
        <f>IF(ISERROR((DQ434/DI434-1)*100),"NA",IF(((DQ434/DI434-1)*100)&gt;100,"NM",IF(((DQ434/DI434-1)*100)&lt;-50,"NM",(DQ434/DI434-1)*100)))</f>
        <v>-0.12892505157001688</v>
      </c>
      <c r="DS434" s="117">
        <f>DS411+DS425</f>
        <v>83696</v>
      </c>
      <c r="DT434" s="98" t="str">
        <f>IF(ISERROR((DS434/DK434-1)*100),"NA",IF(((DS434/DK434-1)*100)&gt;100,"NM",IF(((DS434/DK434-1)*100)&lt;-50,"NM",(DS434/DK434-1)*100)))</f>
        <v>NM</v>
      </c>
      <c r="DU434" s="117">
        <f>DU411+DU425</f>
        <v>83822</v>
      </c>
      <c r="DV434" s="98" t="str">
        <f>IF(ISERROR((DU434/DM434-1)*100),"NA",IF(((DU434/DM434-1)*100)&gt;100,"NM",IF(((DU434/DM434-1)*100)&lt;-50,"NM",(DU434/DM434-1)*100)))</f>
        <v>NM</v>
      </c>
      <c r="DW434" s="117">
        <f>DW411+DW425</f>
        <v>83903</v>
      </c>
      <c r="DX434" s="98" t="str">
        <f>IF(ISERROR((DW434/DO434-1)*100),"NA",IF(((DW434/DO434-1)*100)&gt;100,"NM",IF(((DW434/DO434-1)*100)&lt;-50,"NM",(DW434/DO434-1)*100)))</f>
        <v>NM</v>
      </c>
      <c r="DY434" s="117">
        <f>DY411+DY425</f>
        <v>84401</v>
      </c>
      <c r="DZ434" s="98" t="str">
        <f>IF(ISERROR((DY434/DQ434-1)*100),"NA",IF(((DY434/DQ434-1)*100)&gt;100,"NM",IF(((DY434/DQ434-1)*100)&lt;-50,"NM",(DY434/DQ434-1)*100)))</f>
        <v>NM</v>
      </c>
      <c r="EA434" s="117">
        <f>EA411+EA425</f>
        <v>84983</v>
      </c>
      <c r="EB434" s="98">
        <f>IF(ISERROR((EA434/DS434-1)*100),"NA",IF(((EA434/DS434-1)*100)&gt;100,"NM",IF(((EA434/DS434-1)*100)&lt;-50,"NM",(EA434/DS434-1)*100)))</f>
        <v>1.5377078952399259</v>
      </c>
      <c r="EC434" s="117">
        <f>EC411+EC425</f>
        <v>85774</v>
      </c>
      <c r="ED434" s="98">
        <f>IF(ISERROR((EC434/DU434-1)*100),"NA",IF(((EC434/DU434-1)*100)&gt;100,"NM",IF(((EC434/DU434-1)*100)&lt;-50,"NM",(EC434/DU434-1)*100)))</f>
        <v>2.3287442437546213</v>
      </c>
      <c r="EE434" s="117">
        <f>EE411+EE425</f>
        <v>86178</v>
      </c>
      <c r="EF434" s="860">
        <f>IF(ISERROR((EE434/DW434-1)*100),"NA",IF(((EE434/DW434-1)*100)&gt;100,"NM",IF(((EE434/DW434-1)*100)&lt;-50,"NM",(EE434/DW434-1)*100)))</f>
        <v>2.7114644291622358</v>
      </c>
      <c r="EG434" s="117">
        <f>EG411+EG425</f>
        <v>85943</v>
      </c>
      <c r="EH434" s="860">
        <f>IF(ISERROR((EG434/DY434-1)*100),"NA",IF(((EG434/DY434-1)*100)&gt;100,"NM",IF(((EG434/DY434-1)*100)&lt;-50,"NM",(EG434/DY434-1)*100)))</f>
        <v>1.8269925711780655</v>
      </c>
      <c r="EI434" s="117">
        <f>EI411+EI425</f>
        <v>86492</v>
      </c>
      <c r="EJ434" s="860">
        <f t="shared" ref="EJ434" si="2549">IF(ISERROR((EI434/EA434-1)*100),"NA",IF(((EI434/EA434-1)*100)&gt;100,"NM",IF(((EI434/EA434-1)*100)&lt;-50,"NM",(EI434/EA434-1)*100)))</f>
        <v>1.7756492474965579</v>
      </c>
      <c r="EK434" s="117">
        <f>EK411+EK425</f>
        <v>86664</v>
      </c>
      <c r="EL434" s="860">
        <f t="shared" ref="EL434" si="2550">IF(ISERROR((EK434/EC434-1)*100),"NA",IF(((EK434/EC434-1)*100)&gt;100,"NM",IF(((EK434/EC434-1)*100)&lt;-50,"NM",(EK434/EC434-1)*100)))</f>
        <v>1.0376104647095818</v>
      </c>
      <c r="EM434" s="117">
        <f>EM411+EM425</f>
        <v>87008</v>
      </c>
      <c r="EN434" s="860">
        <f t="shared" ref="EN434" si="2551">IF(ISERROR((EM434/EE434-1)*100),"NA",IF(((EM434/EE434-1)*100)&gt;100,"NM",IF(((EM434/EE434-1)*100)&lt;-50,"NM",(EM434/EE434-1)*100)))</f>
        <v>0.96312283877555416</v>
      </c>
      <c r="EO434" s="117">
        <f>EO411+EO425</f>
        <v>87546</v>
      </c>
      <c r="EP434" s="98">
        <f t="shared" ref="EP434" si="2552">IF(ISERROR((EO434/EG434-1)*100),"NA",IF(((EO434/EG434-1)*100)&gt;100,"NM",IF(((EO434/EG434-1)*100)&lt;-50,"NM",(EO434/EG434-1)*100)))</f>
        <v>1.8651897187670796</v>
      </c>
      <c r="EQ434" s="792">
        <f>EQ411+EQ425</f>
        <v>87695.418486982977</v>
      </c>
      <c r="ER434" s="98">
        <f t="shared" ref="ER434" si="2553">IF(ISERROR((EQ434/EI434-1)*100),"NA",IF(((EQ434/EI434-1)*100)&gt;100,"NM",IF(((EQ434/EI434-1)*100)&lt;-50,"NM",(EQ434/EI434-1)*100)))</f>
        <v>1.3913639261237787</v>
      </c>
      <c r="ES434" s="792">
        <f t="shared" ref="ES434" si="2554">ES411+ES425</f>
        <v>87886.811053452853</v>
      </c>
      <c r="ET434" s="98">
        <f t="shared" ref="ET434" si="2555">IF(ISERROR((ES434/EK434-1)*100),"NA",IF(((ES434/EK434-1)*100)&gt;100,"NM",IF(((ES434/EK434-1)*100)&lt;-50,"NM",(ES434/EK434-1)*100)))</f>
        <v>1.4109792456531656</v>
      </c>
      <c r="EU434" s="792">
        <f t="shared" ref="EU434" si="2556">EU411+EU425</f>
        <v>88011.700254043986</v>
      </c>
      <c r="EV434" s="98">
        <f t="shared" ref="EV434" si="2557">IF(ISERROR((EU434/EM434-1)*100),"NA",IF(((EU434/EM434-1)*100)&gt;100,"NM",IF(((EU434/EM434-1)*100)&lt;-50,"NM",(EU434/EM434-1)*100)))</f>
        <v>1.1535723773032247</v>
      </c>
      <c r="EW434" s="792">
        <f t="shared" ref="EW434" si="2558">EW411+EW425</f>
        <v>88073.730866904138</v>
      </c>
      <c r="EX434" s="98">
        <f t="shared" ref="EX434" si="2559">IF(ISERROR((EW434/EO434-1)*100),"NA",IF(((EW434/EO434-1)*100)&gt;100,"NM",IF(((EW434/EO434-1)*100)&lt;-50,"NM",(EW434/EO434-1)*100)))</f>
        <v>0.60280408802702024</v>
      </c>
      <c r="EY434" s="118"/>
      <c r="EZ434" s="594"/>
      <c r="FA434" s="405"/>
      <c r="FB434" s="118">
        <f>FB411+FB425</f>
        <v>36889</v>
      </c>
      <c r="FC434" s="98"/>
      <c r="FD434" s="117">
        <f>FD411+FD425</f>
        <v>42104</v>
      </c>
      <c r="FE434" s="98">
        <f>IF(ISERROR((FD434/FB434-1)*100),"NA",IF(((FD434/FB434-1)*100)&gt;100,"NM",IF(((FD434/FB434-1)*100)&lt;-50,"NM",(FD434/FB434-1)*100)))</f>
        <v>14.137005611428876</v>
      </c>
      <c r="FF434" s="118"/>
      <c r="FG434" s="98"/>
      <c r="FH434" s="118"/>
      <c r="FI434" s="98"/>
      <c r="FJ434" s="118"/>
      <c r="FK434" s="98"/>
      <c r="FL434" s="118"/>
      <c r="FM434" s="98"/>
      <c r="FN434" s="118"/>
      <c r="FO434" s="98"/>
      <c r="FP434" s="118"/>
      <c r="FQ434" s="98"/>
      <c r="FR434" s="119"/>
      <c r="FS434" s="120"/>
      <c r="FT434" s="119"/>
      <c r="FU434" s="120"/>
      <c r="FV434" s="119">
        <f>FV411+FV425</f>
        <v>110201</v>
      </c>
      <c r="FW434" s="98" t="str">
        <f>IF(ISERROR((FV434/FT434-1)*100),"NA",IF(((FV434/FT434-1)*100)&gt;100,"NM",IF(((FV434/FT434-1)*100)&lt;-50,"NM",(FV434/FT434-1)*100)))</f>
        <v>NA</v>
      </c>
      <c r="FX434" s="485">
        <f>FX411+FX425</f>
        <v>142238</v>
      </c>
      <c r="FY434" s="98">
        <f>IF(ISERROR((FX434/FV434-1)*100),"NA",IF(((FX434/FV434-1)*100)&gt;100,"NM",IF(((FX434/FV434-1)*100)&lt;-50,"NM",(FX434/FV434-1)*100)))</f>
        <v>29.071424034264659</v>
      </c>
      <c r="FZ434" s="119">
        <f>FZ411+FZ425</f>
        <v>162681</v>
      </c>
      <c r="GA434" s="98">
        <f>IF(ISERROR((FZ434/FX434-1)*100),"NA",IF(((FZ434/FX434-1)*100)&gt;100,"NM",IF(((FZ434/FX434-1)*100)&lt;-50,"NM",(FZ434/FX434-1)*100)))</f>
        <v>14.372389937991258</v>
      </c>
      <c r="GB434" s="485">
        <f>GB411+GB425</f>
        <v>174162</v>
      </c>
      <c r="GC434" s="98">
        <f>IF(ISERROR((GB434/FZ434-1)*100),"NA",IF(((GB434/FZ434-1)*100)&gt;100,"NM",IF(((GB434/FZ434-1)*100)&lt;-50,"NM",(GB434/FZ434-1)*100)))</f>
        <v>7.0573699448614136</v>
      </c>
      <c r="GD434" s="119">
        <f>GD411+GD425</f>
        <v>193592</v>
      </c>
      <c r="GE434" s="98">
        <f>IF(ISERROR((GD434/GB434-1)*100),"NA",IF(((GD434/GB434-1)*100)&gt;100,"NM",IF(((GD434/GB434-1)*100)&lt;-50,"NM",(GD434/GB434-1)*100)))</f>
        <v>11.156279785487078</v>
      </c>
      <c r="GF434" s="119">
        <f>GF411+GF425</f>
        <v>209424</v>
      </c>
      <c r="GG434" s="98">
        <f>IF(ISERROR((GF434/GD434-1)*100),"NA",IF(((GF434/GD434-1)*100)&gt;100,"NM",IF(((GF434/GD434-1)*100)&lt;-50,"NM",(GF434/GD434-1)*100)))</f>
        <v>8.1780238852845244</v>
      </c>
      <c r="GH434" s="119">
        <f>GH411+GH425</f>
        <v>209154</v>
      </c>
      <c r="GI434" s="98">
        <f>IF(ISERROR((GH434/GF434-1)*100),"NA",IF(((GH434/GF434-1)*100)&gt;100,"NM",IF(((GH434/GF434-1)*100)&lt;-50,"NM",(GH434/GF434-1)*100)))</f>
        <v>-0.12892505157001688</v>
      </c>
      <c r="GJ434" s="119">
        <f>GJ411+GJ425</f>
        <v>84448</v>
      </c>
      <c r="GK434" s="98" t="str">
        <f>IF(ISERROR((GJ434/GH434-1)*100),"NA",IF(((GJ434/GH434-1)*100)&gt;100,"NM",IF(((GJ434/GH434-1)*100)&lt;-50,"NM",(GJ434/GH434-1)*100)))</f>
        <v>NM</v>
      </c>
      <c r="GL434" s="119">
        <f>GL411+GL425</f>
        <v>85943</v>
      </c>
      <c r="GM434" s="98">
        <f>IF(ISERROR((GL434/GJ434-1)*100),"NA",IF(((GL434/GJ434-1)*100)&gt;100,"NM",IF(((GL434/GJ434-1)*100)&lt;-50,"NM",(GL434/GJ434-1)*100)))</f>
        <v>1.7703201970443283</v>
      </c>
      <c r="GN434" s="119">
        <f>GN411+GN425</f>
        <v>87546</v>
      </c>
      <c r="GO434" s="98">
        <f>IF(ISERROR((GN434/GL434-1)*100),"NA",IF(((GN434/GL434-1)*100)&gt;100,"NM",IF(((GN434/GL434-1)*100)&lt;-50,"NM",(GN434/GL434-1)*100)))</f>
        <v>1.8651897187670796</v>
      </c>
      <c r="GP434" s="119">
        <f>GP411+GP425</f>
        <v>88073.730866904138</v>
      </c>
      <c r="GQ434" s="98">
        <f>IF(ISERROR((GP434/GN434-1)*100),"NA",IF(((GP434/GN434-1)*100)&gt;100,"NM",IF(((GP434/GN434-1)*100)&lt;-50,"NM",(GP434/GN434-1)*100)))</f>
        <v>0.60280408802702024</v>
      </c>
      <c r="GR434" s="118">
        <f>GR411+GR425</f>
        <v>87274.606752995591</v>
      </c>
      <c r="GS434" s="98">
        <f>IF(ISERROR((GR434/GP434-1)*100),"NA",IF(((GR434/GP434-1)*100)&gt;100,"NM",IF(((GR434/GP434-1)*100)&lt;-50,"NM",(GR434/GP434-1)*100)))</f>
        <v>-0.90733537235543338</v>
      </c>
      <c r="GT434" s="118">
        <f>GT411+GT425</f>
        <v>85302.046905718817</v>
      </c>
      <c r="GU434" s="98">
        <f>IF(ISERROR((GT434/GR434-1)*100),"NA",IF(((GT434/GR434-1)*100)&gt;100,"NM",IF(((GT434/GR434-1)*100)&lt;-50,"NM",(GT434/GR434-1)*100)))</f>
        <v>-2.2601761505033235</v>
      </c>
      <c r="GV434" s="118">
        <f>GV411+GV425</f>
        <v>82426.676059471283</v>
      </c>
      <c r="GW434" s="98">
        <f>IF(ISERROR((GV434/GT434-1)*100),"NA",IF(((GV434/GT434-1)*100)&gt;100,"NM",IF(((GV434/GT434-1)*100)&lt;-50,"NM",(GV434/GT434-1)*100)))</f>
        <v>-3.3708110772834976</v>
      </c>
      <c r="GX434" s="118">
        <f>GX411+GX425</f>
        <v>78866.958619503188</v>
      </c>
      <c r="GY434" s="98">
        <f>IF(ISERROR((GX434/GV434-1)*100),"NA",IF(((GX434/GV434-1)*100)&gt;100,"NM",IF(((GX434/GV434-1)*100)&lt;-50,"NM",(GX434/GV434-1)*100)))</f>
        <v>-4.3186473240771512</v>
      </c>
      <c r="GZ434" s="98">
        <f>IF(ISERROR(((GX434/GN434)^0.2-1)*100),"NA",IF((((GX434/GN434)^0.2-1)*100)&gt;100,"NM",IF((((GX434/GN434)^0.2-1)*100)&lt;-50,"NM",((GX434/GN434)^0.2-1)*100)))</f>
        <v>-2.0663914776308911</v>
      </c>
      <c r="HA434" s="98"/>
      <c r="HB434" s="10"/>
      <c r="HC434"/>
      <c r="HD434"/>
      <c r="HE434"/>
      <c r="HF434"/>
      <c r="HG434"/>
      <c r="HH434"/>
      <c r="HI434" s="10"/>
    </row>
    <row r="435" spans="1:217" s="2" customFormat="1" ht="12.75" customHeight="1" x14ac:dyDescent="0.2">
      <c r="B435" s="91"/>
      <c r="C435" s="117"/>
      <c r="D435" s="98"/>
      <c r="E435" s="117"/>
      <c r="F435" s="98"/>
      <c r="G435" s="117"/>
      <c r="H435" s="98"/>
      <c r="I435" s="117"/>
      <c r="J435" s="98"/>
      <c r="K435" s="117"/>
      <c r="L435" s="98"/>
      <c r="M435" s="117"/>
      <c r="N435" s="98"/>
      <c r="O435" s="117"/>
      <c r="P435" s="98"/>
      <c r="Q435" s="117"/>
      <c r="R435" s="98"/>
      <c r="S435" s="117"/>
      <c r="T435" s="98"/>
      <c r="U435" s="117"/>
      <c r="V435" s="98"/>
      <c r="W435" s="117"/>
      <c r="X435" s="98"/>
      <c r="Y435" s="117"/>
      <c r="Z435" s="98"/>
      <c r="AA435" s="117"/>
      <c r="AB435" s="98"/>
      <c r="AC435" s="117"/>
      <c r="AD435" s="98"/>
      <c r="AE435" s="117"/>
      <c r="AF435" s="98"/>
      <c r="AG435" s="117"/>
      <c r="AH435" s="98"/>
      <c r="AI435" s="117"/>
      <c r="AJ435" s="98"/>
      <c r="AK435" s="117"/>
      <c r="AL435" s="98"/>
      <c r="AM435" s="117"/>
      <c r="AN435" s="98"/>
      <c r="AO435" s="117"/>
      <c r="AP435" s="98"/>
      <c r="AQ435" s="117"/>
      <c r="AR435" s="98"/>
      <c r="AS435" s="117"/>
      <c r="AT435" s="98"/>
      <c r="AU435" s="117"/>
      <c r="AV435" s="98"/>
      <c r="AW435" s="117"/>
      <c r="AX435" s="98"/>
      <c r="AY435" s="117"/>
      <c r="AZ435" s="98"/>
      <c r="BA435" s="117"/>
      <c r="BB435" s="98"/>
      <c r="BC435" s="117"/>
      <c r="BD435" s="98"/>
      <c r="BE435" s="117"/>
      <c r="BF435" s="98"/>
      <c r="BG435" s="117"/>
      <c r="BH435" s="98"/>
      <c r="BI435" s="117"/>
      <c r="BJ435" s="98"/>
      <c r="BK435" s="117"/>
      <c r="BL435" s="98"/>
      <c r="BM435" s="117"/>
      <c r="BN435" s="98"/>
      <c r="BO435" s="117"/>
      <c r="BP435" s="98"/>
      <c r="BQ435" s="117"/>
      <c r="BR435" s="98"/>
      <c r="BS435" s="117"/>
      <c r="BT435" s="98"/>
      <c r="BU435" s="117"/>
      <c r="BV435" s="98"/>
      <c r="BW435" s="117"/>
      <c r="BX435" s="98"/>
      <c r="BY435" s="117"/>
      <c r="BZ435" s="98"/>
      <c r="CA435" s="117"/>
      <c r="CB435" s="98"/>
      <c r="CC435" s="117"/>
      <c r="CD435" s="98"/>
      <c r="CE435" s="117"/>
      <c r="CF435" s="98"/>
      <c r="CG435" s="117"/>
      <c r="CH435" s="98"/>
      <c r="CI435" s="117"/>
      <c r="CJ435" s="98"/>
      <c r="CK435" s="117"/>
      <c r="CL435" s="98"/>
      <c r="CM435" s="117"/>
      <c r="CN435" s="98"/>
      <c r="CO435" s="117"/>
      <c r="CP435" s="98"/>
      <c r="CQ435" s="486"/>
      <c r="CR435" s="98"/>
      <c r="CS435" s="117"/>
      <c r="CT435" s="98"/>
      <c r="CU435" s="117"/>
      <c r="CV435" s="98"/>
      <c r="CW435" s="117"/>
      <c r="CX435" s="98"/>
      <c r="CY435" s="117"/>
      <c r="CZ435" s="98"/>
      <c r="DA435" s="117"/>
      <c r="DB435" s="98"/>
      <c r="DC435" s="117"/>
      <c r="DD435" s="98"/>
      <c r="DE435" s="117"/>
      <c r="DF435" s="98"/>
      <c r="DG435" s="117"/>
      <c r="DH435" s="98"/>
      <c r="DI435" s="117"/>
      <c r="DJ435" s="98"/>
      <c r="DK435" s="117"/>
      <c r="DL435" s="98"/>
      <c r="DM435" s="117"/>
      <c r="DN435" s="98"/>
      <c r="DO435" s="117"/>
      <c r="DP435" s="98"/>
      <c r="DQ435" s="117"/>
      <c r="DR435" s="98"/>
      <c r="DS435" s="117"/>
      <c r="DT435" s="98"/>
      <c r="DU435" s="117"/>
      <c r="DV435" s="98"/>
      <c r="DW435" s="117"/>
      <c r="DX435" s="98"/>
      <c r="DY435" s="117"/>
      <c r="DZ435" s="98"/>
      <c r="EA435" s="117"/>
      <c r="EB435" s="98"/>
      <c r="EC435" s="117"/>
      <c r="ED435" s="98"/>
      <c r="EE435" s="117"/>
      <c r="EF435" s="860"/>
      <c r="EG435" s="117"/>
      <c r="EH435" s="860"/>
      <c r="EI435" s="117"/>
      <c r="EJ435" s="860"/>
      <c r="EK435" s="117"/>
      <c r="EL435" s="860"/>
      <c r="EM435" s="117"/>
      <c r="EN435" s="860"/>
      <c r="EO435" s="117"/>
      <c r="EP435" s="98"/>
      <c r="EQ435" s="792"/>
      <c r="ER435" s="98"/>
      <c r="ES435" s="792"/>
      <c r="ET435" s="98"/>
      <c r="EU435" s="792"/>
      <c r="EV435" s="98"/>
      <c r="EW435" s="792"/>
      <c r="EX435" s="98"/>
      <c r="EY435" s="118"/>
      <c r="EZ435" s="594"/>
      <c r="FA435" s="405"/>
      <c r="FB435" s="118"/>
      <c r="FC435" s="98"/>
      <c r="FD435" s="117"/>
      <c r="FE435" s="98"/>
      <c r="FF435" s="118"/>
      <c r="FG435" s="98"/>
      <c r="FH435" s="118"/>
      <c r="FI435" s="98"/>
      <c r="FJ435" s="118"/>
      <c r="FK435" s="98"/>
      <c r="FL435" s="118"/>
      <c r="FM435" s="98"/>
      <c r="FN435" s="118"/>
      <c r="FO435" s="98"/>
      <c r="FP435" s="118"/>
      <c r="FQ435" s="98"/>
      <c r="FR435" s="119"/>
      <c r="FS435" s="120"/>
      <c r="FT435" s="119"/>
      <c r="FU435" s="120"/>
      <c r="FV435" s="119"/>
      <c r="FW435" s="98"/>
      <c r="FX435" s="485"/>
      <c r="FY435" s="98"/>
      <c r="FZ435" s="119"/>
      <c r="GA435" s="98"/>
      <c r="GB435" s="485"/>
      <c r="GC435" s="98"/>
      <c r="GD435" s="119"/>
      <c r="GE435" s="98"/>
      <c r="GF435" s="119"/>
      <c r="GG435" s="98"/>
      <c r="GH435" s="119"/>
      <c r="GI435" s="98"/>
      <c r="GJ435" s="119"/>
      <c r="GK435" s="98"/>
      <c r="GL435" s="119"/>
      <c r="GM435" s="98"/>
      <c r="GN435" s="119"/>
      <c r="GO435" s="98"/>
      <c r="GP435" s="119"/>
      <c r="GQ435" s="98"/>
      <c r="GR435" s="118"/>
      <c r="GS435" s="98"/>
      <c r="GT435" s="118"/>
      <c r="GU435" s="98"/>
      <c r="GV435" s="118"/>
      <c r="GW435" s="98"/>
      <c r="GX435" s="118"/>
      <c r="GY435" s="98"/>
      <c r="GZ435" s="98"/>
      <c r="HA435" s="98"/>
      <c r="HB435" s="10"/>
      <c r="HC435"/>
      <c r="HD435"/>
      <c r="HE435"/>
      <c r="HF435"/>
      <c r="HG435"/>
      <c r="HH435"/>
      <c r="HI435" s="10"/>
    </row>
    <row r="436" spans="1:217" s="2" customFormat="1" ht="12.75" customHeight="1" x14ac:dyDescent="0.2">
      <c r="B436" s="93" t="s">
        <v>734</v>
      </c>
      <c r="C436" s="117"/>
      <c r="D436" s="98"/>
      <c r="E436" s="117"/>
      <c r="F436" s="98"/>
      <c r="G436" s="117"/>
      <c r="H436" s="98"/>
      <c r="I436" s="117"/>
      <c r="J436" s="98"/>
      <c r="K436" s="117"/>
      <c r="L436" s="98"/>
      <c r="M436" s="117"/>
      <c r="N436" s="98"/>
      <c r="O436" s="117"/>
      <c r="P436" s="98"/>
      <c r="Q436" s="117"/>
      <c r="R436" s="98"/>
      <c r="S436" s="117"/>
      <c r="T436" s="98"/>
      <c r="U436" s="117"/>
      <c r="V436" s="98"/>
      <c r="W436" s="117"/>
      <c r="X436" s="98"/>
      <c r="Y436" s="117"/>
      <c r="Z436" s="98"/>
      <c r="AA436" s="117"/>
      <c r="AB436" s="98"/>
      <c r="AC436" s="117"/>
      <c r="AD436" s="98"/>
      <c r="AE436" s="117"/>
      <c r="AF436" s="98"/>
      <c r="AG436" s="117"/>
      <c r="AH436" s="98"/>
      <c r="AI436" s="117"/>
      <c r="AJ436" s="98"/>
      <c r="AK436" s="117"/>
      <c r="AL436" s="98"/>
      <c r="AM436" s="117"/>
      <c r="AN436" s="98"/>
      <c r="AO436" s="117"/>
      <c r="AP436" s="98"/>
      <c r="AQ436" s="117"/>
      <c r="AR436" s="98"/>
      <c r="AS436" s="117"/>
      <c r="AT436" s="98"/>
      <c r="AU436" s="117"/>
      <c r="AV436" s="98"/>
      <c r="AW436" s="117"/>
      <c r="AX436" s="98"/>
      <c r="AY436" s="117"/>
      <c r="AZ436" s="98"/>
      <c r="BA436" s="117"/>
      <c r="BB436" s="98"/>
      <c r="BC436" s="117"/>
      <c r="BD436" s="98"/>
      <c r="BE436" s="117"/>
      <c r="BF436" s="98"/>
      <c r="BG436" s="117"/>
      <c r="BH436" s="98"/>
      <c r="BI436" s="117"/>
      <c r="BJ436" s="98"/>
      <c r="BK436" s="117"/>
      <c r="BL436" s="98"/>
      <c r="BM436" s="117"/>
      <c r="BN436" s="98"/>
      <c r="BO436" s="117"/>
      <c r="BP436" s="98"/>
      <c r="BQ436" s="117"/>
      <c r="BR436" s="98"/>
      <c r="BS436" s="117"/>
      <c r="BT436" s="98"/>
      <c r="BU436" s="117"/>
      <c r="BV436" s="98"/>
      <c r="BW436" s="117"/>
      <c r="BX436" s="98"/>
      <c r="BY436" s="117"/>
      <c r="BZ436" s="98"/>
      <c r="CA436" s="117"/>
      <c r="CB436" s="98"/>
      <c r="CC436" s="117"/>
      <c r="CD436" s="98"/>
      <c r="CE436" s="117"/>
      <c r="CF436" s="98"/>
      <c r="CG436" s="117"/>
      <c r="CH436" s="98"/>
      <c r="CI436" s="117"/>
      <c r="CJ436" s="98"/>
      <c r="CK436" s="117"/>
      <c r="CL436" s="98"/>
      <c r="CM436" s="117"/>
      <c r="CN436" s="98"/>
      <c r="CO436" s="117"/>
      <c r="CP436" s="98"/>
      <c r="CQ436" s="486"/>
      <c r="CR436" s="98"/>
      <c r="CS436" s="117"/>
      <c r="CT436" s="98"/>
      <c r="CU436" s="117"/>
      <c r="CV436" s="98"/>
      <c r="CW436" s="117"/>
      <c r="CX436" s="98"/>
      <c r="CY436" s="117"/>
      <c r="CZ436" s="98"/>
      <c r="DA436" s="117"/>
      <c r="DB436" s="98"/>
      <c r="DC436" s="117"/>
      <c r="DD436" s="98"/>
      <c r="DE436" s="117"/>
      <c r="DF436" s="98"/>
      <c r="DG436" s="117"/>
      <c r="DH436" s="98"/>
      <c r="DI436" s="117"/>
      <c r="DJ436" s="98"/>
      <c r="DK436" s="117"/>
      <c r="DL436" s="98"/>
      <c r="DM436" s="117"/>
      <c r="DN436" s="98"/>
      <c r="DO436" s="117"/>
      <c r="DP436" s="98"/>
      <c r="DQ436" s="117"/>
      <c r="DR436" s="98"/>
      <c r="DS436" s="117"/>
      <c r="DT436" s="98"/>
      <c r="DU436" s="117"/>
      <c r="DV436" s="98"/>
      <c r="DW436" s="117"/>
      <c r="DX436" s="98"/>
      <c r="DY436" s="117"/>
      <c r="DZ436" s="98"/>
      <c r="EA436" s="117"/>
      <c r="EB436" s="98"/>
      <c r="EC436" s="117"/>
      <c r="ED436" s="98"/>
      <c r="EE436" s="117"/>
      <c r="EF436" s="860"/>
      <c r="EG436" s="117"/>
      <c r="EH436" s="860"/>
      <c r="EI436" s="117"/>
      <c r="EJ436" s="860"/>
      <c r="EK436" s="117"/>
      <c r="EL436" s="860"/>
      <c r="EM436" s="117"/>
      <c r="EN436" s="860"/>
      <c r="EO436" s="117"/>
      <c r="EP436" s="98"/>
      <c r="EQ436" s="792"/>
      <c r="ER436" s="98"/>
      <c r="ES436" s="792"/>
      <c r="ET436" s="98"/>
      <c r="EU436" s="792"/>
      <c r="EV436" s="98"/>
      <c r="EW436" s="792"/>
      <c r="EX436" s="98"/>
      <c r="EY436" s="118"/>
      <c r="EZ436" s="594"/>
      <c r="FA436" s="405"/>
      <c r="FB436" s="118"/>
      <c r="FC436" s="98"/>
      <c r="FD436" s="117"/>
      <c r="FE436" s="98"/>
      <c r="FF436" s="118"/>
      <c r="FG436" s="98"/>
      <c r="FH436" s="118"/>
      <c r="FI436" s="98"/>
      <c r="FJ436" s="118"/>
      <c r="FK436" s="98"/>
      <c r="FL436" s="118"/>
      <c r="FM436" s="98"/>
      <c r="FN436" s="118"/>
      <c r="FO436" s="98"/>
      <c r="FP436" s="118"/>
      <c r="FQ436" s="98"/>
      <c r="FR436" s="119"/>
      <c r="FS436" s="120"/>
      <c r="FT436" s="119"/>
      <c r="FU436" s="120"/>
      <c r="FV436" s="119"/>
      <c r="FW436" s="98"/>
      <c r="FX436" s="485"/>
      <c r="FY436" s="98"/>
      <c r="FZ436" s="119"/>
      <c r="GA436" s="98"/>
      <c r="GB436" s="485"/>
      <c r="GC436" s="98"/>
      <c r="GD436" s="119"/>
      <c r="GE436" s="98"/>
      <c r="GF436" s="119"/>
      <c r="GG436" s="98"/>
      <c r="GH436" s="119"/>
      <c r="GI436" s="98"/>
      <c r="GJ436" s="119"/>
      <c r="GK436" s="98"/>
      <c r="GL436" s="119"/>
      <c r="GM436" s="98"/>
      <c r="GN436" s="119"/>
      <c r="GO436" s="98"/>
      <c r="GP436" s="119"/>
      <c r="GQ436" s="98"/>
      <c r="GR436" s="118"/>
      <c r="GS436" s="98"/>
      <c r="GT436" s="118"/>
      <c r="GU436" s="98"/>
      <c r="GV436" s="118"/>
      <c r="GW436" s="98"/>
      <c r="GX436" s="118"/>
      <c r="GY436" s="98"/>
      <c r="GZ436" s="98"/>
      <c r="HA436" s="98"/>
      <c r="HB436" s="10"/>
      <c r="HC436"/>
      <c r="HD436"/>
      <c r="HE436"/>
      <c r="HF436"/>
      <c r="HG436"/>
      <c r="HH436"/>
      <c r="HI436" s="10"/>
    </row>
    <row r="437" spans="1:217" s="2" customFormat="1" ht="12.75" customHeight="1" x14ac:dyDescent="0.2">
      <c r="B437" s="93" t="s">
        <v>732</v>
      </c>
      <c r="C437" s="112"/>
      <c r="D437" s="113"/>
      <c r="E437" s="112"/>
      <c r="F437" s="113"/>
      <c r="G437" s="112"/>
      <c r="H437" s="113"/>
      <c r="I437" s="112"/>
      <c r="J437" s="113"/>
      <c r="K437" s="112"/>
      <c r="L437" s="113"/>
      <c r="M437" s="112"/>
      <c r="N437" s="113"/>
      <c r="O437" s="112"/>
      <c r="P437" s="113"/>
      <c r="Q437" s="112"/>
      <c r="R437" s="113"/>
      <c r="S437" s="112"/>
      <c r="T437" s="113"/>
      <c r="U437" s="112"/>
      <c r="V437" s="113"/>
      <c r="W437" s="112"/>
      <c r="X437" s="113"/>
      <c r="Y437" s="112"/>
      <c r="Z437" s="113"/>
      <c r="AA437" s="112"/>
      <c r="AB437" s="113"/>
      <c r="AC437" s="112"/>
      <c r="AD437" s="113"/>
      <c r="AE437" s="112"/>
      <c r="AF437" s="113"/>
      <c r="AG437" s="112"/>
      <c r="AH437" s="113"/>
      <c r="AI437" s="112"/>
      <c r="AJ437" s="113"/>
      <c r="AK437" s="112"/>
      <c r="AL437" s="113"/>
      <c r="AM437" s="112"/>
      <c r="AN437" s="113"/>
      <c r="AO437" s="112"/>
      <c r="AP437" s="113"/>
      <c r="AQ437" s="112"/>
      <c r="AR437" s="113"/>
      <c r="AS437" s="112"/>
      <c r="AT437" s="113"/>
      <c r="AU437" s="112"/>
      <c r="AV437" s="113"/>
      <c r="AW437" s="112"/>
      <c r="AX437" s="113"/>
      <c r="AY437" s="112"/>
      <c r="AZ437" s="113"/>
      <c r="BA437" s="112"/>
      <c r="BB437" s="113"/>
      <c r="BC437" s="112"/>
      <c r="BD437" s="113"/>
      <c r="BE437" s="112"/>
      <c r="BF437" s="113"/>
      <c r="BG437" s="112"/>
      <c r="BH437" s="113"/>
      <c r="BI437" s="112"/>
      <c r="BJ437" s="113"/>
      <c r="BK437" s="112"/>
      <c r="BL437" s="113"/>
      <c r="BM437" s="112"/>
      <c r="BN437" s="113"/>
      <c r="BO437" s="112"/>
      <c r="BP437" s="113"/>
      <c r="BQ437" s="112"/>
      <c r="BR437" s="113"/>
      <c r="BS437" s="112"/>
      <c r="BT437" s="113"/>
      <c r="BU437" s="112"/>
      <c r="BV437" s="113"/>
      <c r="BW437" s="112"/>
      <c r="BX437" s="113"/>
      <c r="BY437" s="112"/>
      <c r="BZ437" s="113"/>
      <c r="CA437" s="112"/>
      <c r="CB437" s="113"/>
      <c r="CC437" s="112"/>
      <c r="CD437" s="113"/>
      <c r="CE437" s="112"/>
      <c r="CF437" s="113"/>
      <c r="CG437" s="112"/>
      <c r="CH437" s="113"/>
      <c r="CI437" s="112"/>
      <c r="CJ437" s="113"/>
      <c r="CK437" s="112"/>
      <c r="CL437" s="113"/>
      <c r="CM437" s="112"/>
      <c r="CN437" s="113"/>
      <c r="CO437" s="112"/>
      <c r="CP437" s="113"/>
      <c r="CQ437" s="543"/>
      <c r="CR437" s="113"/>
      <c r="CS437" s="112"/>
      <c r="CT437" s="113"/>
      <c r="CU437" s="112"/>
      <c r="CV437" s="113"/>
      <c r="CW437" s="112"/>
      <c r="CX437" s="113"/>
      <c r="CY437" s="112"/>
      <c r="CZ437" s="113"/>
      <c r="DA437" s="112"/>
      <c r="DB437" s="113"/>
      <c r="DC437" s="112"/>
      <c r="DD437" s="113"/>
      <c r="DE437" s="112"/>
      <c r="DF437" s="113"/>
      <c r="DG437" s="112"/>
      <c r="DH437" s="113"/>
      <c r="DI437" s="112"/>
      <c r="DJ437" s="113"/>
      <c r="DK437" s="112"/>
      <c r="DL437" s="113"/>
      <c r="DM437" s="112"/>
      <c r="DN437" s="113"/>
      <c r="DO437" s="112"/>
      <c r="DP437" s="113"/>
      <c r="DQ437" s="112"/>
      <c r="DR437" s="113"/>
      <c r="DS437" s="112"/>
      <c r="DT437" s="113"/>
      <c r="DU437" s="112"/>
      <c r="DV437" s="113"/>
      <c r="DW437" s="112"/>
      <c r="DX437" s="113"/>
      <c r="DY437" s="112"/>
      <c r="DZ437" s="113"/>
      <c r="EA437" s="112"/>
      <c r="EB437" s="113"/>
      <c r="EC437" s="112"/>
      <c r="ED437" s="113"/>
      <c r="EE437" s="112"/>
      <c r="EF437" s="859"/>
      <c r="EG437" s="112"/>
      <c r="EH437" s="859"/>
      <c r="EI437" s="112"/>
      <c r="EJ437" s="859"/>
      <c r="EK437" s="112"/>
      <c r="EL437" s="859"/>
      <c r="EM437" s="112"/>
      <c r="EN437" s="859"/>
      <c r="EO437" s="112"/>
      <c r="EP437" s="113"/>
      <c r="EQ437" s="1022"/>
      <c r="ER437" s="113"/>
      <c r="ES437" s="1022"/>
      <c r="ET437" s="113"/>
      <c r="EU437" s="1022"/>
      <c r="EV437" s="113"/>
      <c r="EW437" s="1022"/>
      <c r="EX437" s="113"/>
      <c r="EY437" s="114"/>
      <c r="EZ437" s="594"/>
      <c r="FA437" s="405"/>
      <c r="FB437" s="112"/>
      <c r="FC437" s="113"/>
      <c r="FD437" s="112"/>
      <c r="FE437" s="113"/>
      <c r="FF437" s="114"/>
      <c r="FG437" s="113"/>
      <c r="FH437" s="114"/>
      <c r="FI437" s="113"/>
      <c r="FJ437" s="114"/>
      <c r="FK437" s="113"/>
      <c r="FL437" s="114"/>
      <c r="FM437" s="113"/>
      <c r="FN437" s="114"/>
      <c r="FO437" s="113"/>
      <c r="FP437" s="114"/>
      <c r="FQ437" s="113"/>
      <c r="FR437" s="115"/>
      <c r="FS437" s="116"/>
      <c r="FT437" s="115"/>
      <c r="FU437" s="116"/>
      <c r="FV437" s="115"/>
      <c r="FW437" s="113"/>
      <c r="FX437" s="484"/>
      <c r="FY437" s="113"/>
      <c r="FZ437" s="115"/>
      <c r="GA437" s="113"/>
      <c r="GB437" s="484"/>
      <c r="GC437" s="113"/>
      <c r="GD437" s="114"/>
      <c r="GE437" s="113"/>
      <c r="GF437" s="114"/>
      <c r="GG437" s="113"/>
      <c r="GH437" s="114"/>
      <c r="GI437" s="98"/>
      <c r="GJ437" s="114"/>
      <c r="GK437" s="98"/>
      <c r="GL437" s="114"/>
      <c r="GM437" s="98"/>
      <c r="GN437" s="114"/>
      <c r="GO437" s="98"/>
      <c r="GP437" s="114"/>
      <c r="GQ437" s="98"/>
      <c r="GR437" s="114"/>
      <c r="GS437" s="98"/>
      <c r="GT437" s="114"/>
      <c r="GU437" s="98"/>
      <c r="GV437" s="114"/>
      <c r="GW437" s="98"/>
      <c r="GX437" s="114"/>
      <c r="GY437" s="98"/>
      <c r="GZ437" s="113"/>
      <c r="HA437" s="113"/>
      <c r="HB437" s="10"/>
      <c r="HC437"/>
      <c r="HD437"/>
      <c r="HE437"/>
      <c r="HF437"/>
      <c r="HG437"/>
      <c r="HH437"/>
      <c r="HI437" s="10"/>
    </row>
    <row r="438" spans="1:217" s="2" customFormat="1" ht="12.75" customHeight="1" x14ac:dyDescent="0.2">
      <c r="A438" s="2" t="s">
        <v>90</v>
      </c>
      <c r="B438" s="91" t="s">
        <v>310</v>
      </c>
      <c r="C438" s="117"/>
      <c r="D438" s="98"/>
      <c r="E438" s="117"/>
      <c r="F438" s="98"/>
      <c r="G438" s="117"/>
      <c r="H438" s="98"/>
      <c r="I438" s="117"/>
      <c r="J438" s="98"/>
      <c r="K438" s="117"/>
      <c r="L438" s="98"/>
      <c r="M438" s="117"/>
      <c r="N438" s="98"/>
      <c r="O438" s="117"/>
      <c r="P438" s="98"/>
      <c r="Q438" s="117"/>
      <c r="R438" s="98"/>
      <c r="S438" s="117"/>
      <c r="T438" s="98"/>
      <c r="U438" s="117"/>
      <c r="V438" s="98"/>
      <c r="W438" s="117"/>
      <c r="X438" s="98"/>
      <c r="Y438" s="117"/>
      <c r="Z438" s="98"/>
      <c r="AA438" s="117"/>
      <c r="AB438" s="98"/>
      <c r="AC438" s="117"/>
      <c r="AD438" s="98"/>
      <c r="AE438" s="117"/>
      <c r="AF438" s="98"/>
      <c r="AG438" s="117"/>
      <c r="AH438" s="98"/>
      <c r="AI438" s="117"/>
      <c r="AJ438" s="98"/>
      <c r="AK438" s="117"/>
      <c r="AL438" s="98"/>
      <c r="AM438" s="117"/>
      <c r="AN438" s="98"/>
      <c r="AO438" s="117"/>
      <c r="AP438" s="98"/>
      <c r="AQ438" s="117"/>
      <c r="AR438" s="98"/>
      <c r="AS438" s="117"/>
      <c r="AT438" s="98"/>
      <c r="AU438" s="117"/>
      <c r="AV438" s="98"/>
      <c r="AW438" s="117"/>
      <c r="AX438" s="98"/>
      <c r="AY438" s="117"/>
      <c r="AZ438" s="98"/>
      <c r="BA438" s="117"/>
      <c r="BB438" s="98"/>
      <c r="BC438" s="117"/>
      <c r="BD438" s="98"/>
      <c r="BE438" s="117"/>
      <c r="BF438" s="98"/>
      <c r="BG438" s="117"/>
      <c r="BH438" s="98"/>
      <c r="BI438" s="117"/>
      <c r="BJ438" s="98"/>
      <c r="BK438" s="117"/>
      <c r="BL438" s="98"/>
      <c r="BM438" s="117">
        <v>41305</v>
      </c>
      <c r="BN438" s="98" t="str">
        <f t="shared" ref="BN438:BN441" si="2560">IF(ISERROR((BM438/BE438-1)*100),"NA",IF(((BM438/BE438-1)*100)&gt;100,"NM",IF(((BM438/BE438-1)*100)&lt;-50,"NM",(BM438/BE438-1)*100)))</f>
        <v>NA</v>
      </c>
      <c r="BO438" s="117">
        <f>+BM444</f>
        <v>40840</v>
      </c>
      <c r="BP438" s="98" t="str">
        <f t="shared" ref="BP438:BP441" si="2561">IF(ISERROR((BO438/BG438-1)*100),"NA",IF(((BO438/BG438-1)*100)&gt;100,"NM",IF(((BO438/BG438-1)*100)&lt;-50,"NM",(BO438/BG438-1)*100)))</f>
        <v>NA</v>
      </c>
      <c r="BQ438" s="117">
        <f>+BO444</f>
        <v>41096</v>
      </c>
      <c r="BR438" s="98" t="str">
        <f t="shared" ref="BR438:BR441" si="2562">IF(ISERROR((BQ438/BI438-1)*100),"NA",IF(((BQ438/BI438-1)*100)&gt;100,"NM",IF(((BQ438/BI438-1)*100)&lt;-50,"NM",(BQ438/BI438-1)*100)))</f>
        <v>NA</v>
      </c>
      <c r="BS438" s="117">
        <f>+BQ444</f>
        <v>40916</v>
      </c>
      <c r="BT438" s="98" t="str">
        <f t="shared" ref="BT438:BT441" si="2563">IF(ISERROR((BS438/BK438-1)*100),"NA",IF(((BS438/BK438-1)*100)&gt;100,"NM",IF(((BS438/BK438-1)*100)&lt;-50,"NM",(BS438/BK438-1)*100)))</f>
        <v>NA</v>
      </c>
      <c r="BU438" s="117">
        <f>+BS444</f>
        <v>41765</v>
      </c>
      <c r="BV438" s="98">
        <f t="shared" ref="BV438:BV441" si="2564">IF(ISERROR((BU438/BM438-1)*100),"NA",IF(((BU438/BM438-1)*100)&gt;100,"NM",IF(((BU438/BM438-1)*100)&lt;-50,"NM",(BU438/BM438-1)*100)))</f>
        <v>1.113666626316423</v>
      </c>
      <c r="BW438" s="117">
        <f>+BU444</f>
        <v>47937</v>
      </c>
      <c r="BX438" s="98">
        <f t="shared" ref="BX438:BX441" si="2565">IF(ISERROR((BW438/BO438-1)*100),"NA",IF(((BW438/BO438-1)*100)&gt;100,"NM",IF(((BW438/BO438-1)*100)&lt;-50,"NM",(BW438/BO438-1)*100)))</f>
        <v>17.377571008814897</v>
      </c>
      <c r="BY438" s="117">
        <f>+BW444</f>
        <v>51415</v>
      </c>
      <c r="BZ438" s="98">
        <f t="shared" ref="BZ438:BZ441" si="2566">IF(ISERROR((BY438/BQ438-1)*100),"NA",IF(((BY438/BQ438-1)*100)&gt;100,"NM",IF(((BY438/BQ438-1)*100)&lt;-50,"NM",(BY438/BQ438-1)*100)))</f>
        <v>25.109499708000783</v>
      </c>
      <c r="CA438" s="117">
        <f>+BY444</f>
        <v>51228</v>
      </c>
      <c r="CB438" s="98">
        <f t="shared" ref="CB438:CB441" si="2567">IF(ISERROR((CA438/BS438-1)*100),"NA",IF(((CA438/BS438-1)*100)&gt;100,"NM",IF(((CA438/BS438-1)*100)&lt;-50,"NM",(CA438/BS438-1)*100)))</f>
        <v>25.202854628995986</v>
      </c>
      <c r="CC438" s="117">
        <f>+CA444</f>
        <v>55639</v>
      </c>
      <c r="CD438" s="98">
        <f t="shared" ref="CD438:CD441" si="2568">IF(ISERROR((CC438/BU438-1)*100),"NA",IF(((CC438/BU438-1)*100)&gt;100,"NM",IF(((CC438/BU438-1)*100)&lt;-50,"NM",(CC438/BU438-1)*100)))</f>
        <v>33.219202681671248</v>
      </c>
      <c r="CE438" s="117">
        <f>+CC444</f>
        <v>55081</v>
      </c>
      <c r="CF438" s="98">
        <f t="shared" ref="CF438:CF441" si="2569">IF(ISERROR((CE438/BW438-1)*100),"NA",IF(((CE438/BW438-1)*100)&gt;100,"NM",IF(((CE438/BW438-1)*100)&lt;-50,"NM",(CE438/BW438-1)*100)))</f>
        <v>14.902893380895765</v>
      </c>
      <c r="CG438" s="117">
        <f>+CE444</f>
        <v>54965</v>
      </c>
      <c r="CH438" s="98">
        <f t="shared" ref="CH438:CH441" si="2570">IF(ISERROR((CG438/BY438-1)*100),"NA",IF(((CG438/BY438-1)*100)&gt;100,"NM",IF(((CG438/BY438-1)*100)&lt;-50,"NM",(CG438/BY438-1)*100)))</f>
        <v>6.9045998249538165</v>
      </c>
      <c r="CI438" s="117">
        <f>+CG444</f>
        <v>57356</v>
      </c>
      <c r="CJ438" s="98">
        <f t="shared" ref="CJ438:CJ441" si="2571">IF(ISERROR((CI438/CA438-1)*100),"NA",IF(((CI438/CA438-1)*100)&gt;100,"NM",IF(((CI438/CA438-1)*100)&lt;-50,"NM",(CI438/CA438-1)*100)))</f>
        <v>11.96220816740845</v>
      </c>
      <c r="CK438" s="117">
        <f>+CI444</f>
        <v>57485</v>
      </c>
      <c r="CL438" s="98">
        <f t="shared" ref="CL438:CL441" si="2572">IF(ISERROR((CK438/CC438-1)*100),"NA",IF(((CK438/CC438-1)*100)&gt;100,"NM",IF(((CK438/CC438-1)*100)&lt;-50,"NM",(CK438/CC438-1)*100)))</f>
        <v>3.3178166394076003</v>
      </c>
      <c r="CM438" s="101">
        <v>50860</v>
      </c>
      <c r="CN438" s="98">
        <f t="shared" ref="CN438:CN441" si="2573">IF(ISERROR((CM438/CE438-1)*100),"NA",IF(((CM438/CE438-1)*100)&gt;100,"NM",IF(((CM438/CE438-1)*100)&lt;-50,"NM",(CM438/CE438-1)*100)))</f>
        <v>-7.6632595631887623</v>
      </c>
      <c r="CO438" s="117">
        <f>+CM444</f>
        <v>50334</v>
      </c>
      <c r="CP438" s="98">
        <f t="shared" ref="CP438:CP441" si="2574">IF(ISERROR((CO438/CG438-1)*100),"NA",IF(((CO438/CG438-1)*100)&gt;100,"NM",IF(((CO438/CG438-1)*100)&lt;-50,"NM",(CO438/CG438-1)*100)))</f>
        <v>-8.4253615937414761</v>
      </c>
      <c r="CQ438" s="486">
        <f>+CO444</f>
        <v>50885</v>
      </c>
      <c r="CR438" s="98">
        <f t="shared" ref="CR438:CR441" si="2575">IF(ISERROR((CQ438/CI438-1)*100),"NA",IF(((CQ438/CI438-1)*100)&gt;100,"NM",IF(((CQ438/CI438-1)*100)&lt;-50,"NM",(CQ438/CI438-1)*100)))</f>
        <v>-11.282167515168418</v>
      </c>
      <c r="CS438" s="117">
        <f>+CQ444</f>
        <v>54991</v>
      </c>
      <c r="CT438" s="98">
        <f t="shared" ref="CT438:CT441" si="2576">IF(ISERROR((CS438/CK438-1)*100),"NA",IF(((CS438/CK438-1)*100)&gt;100,"NM",IF(((CS438/CK438-1)*100)&lt;-50,"NM",(CS438/CK438-1)*100)))</f>
        <v>-4.3385230929807728</v>
      </c>
      <c r="CU438" s="117">
        <f>+CS444</f>
        <v>53899</v>
      </c>
      <c r="CV438" s="98">
        <f t="shared" ref="CV438:CV441" si="2577">IF(ISERROR((CU438/CM438-1)*100),"NA",IF(((CU438/CM438-1)*100)&gt;100,"NM",IF(((CU438/CM438-1)*100)&lt;-50,"NM",(CU438/CM438-1)*100)))</f>
        <v>5.9752261108926508</v>
      </c>
      <c r="CW438" s="117">
        <f>+CU444</f>
        <v>51360</v>
      </c>
      <c r="CX438" s="98">
        <f t="shared" ref="CX438:CX441" si="2578">IF(ISERROR((CW438/CO438-1)*100),"NA",IF(((CW438/CO438-1)*100)&gt;100,"NM",IF(((CW438/CO438-1)*100)&lt;-50,"NM",(CW438/CO438-1)*100)))</f>
        <v>2.0383835975682496</v>
      </c>
      <c r="CY438" s="117">
        <f>+CW444</f>
        <v>52226</v>
      </c>
      <c r="CZ438" s="98">
        <f t="shared" ref="CZ438:CZ441" si="2579">IF(ISERROR((CY438/CQ438-1)*100),"NA",IF(((CY438/CQ438-1)*100)&gt;100,"NM",IF(((CY438/CQ438-1)*100)&lt;-50,"NM",(CY438/CQ438-1)*100)))</f>
        <v>2.6353542301267519</v>
      </c>
      <c r="DA438" s="117">
        <f>+CY444</f>
        <v>51590</v>
      </c>
      <c r="DB438" s="98">
        <f t="shared" ref="DB438:DB441" si="2580">IF(ISERROR((DA438/CS438-1)*100),"NA",IF(((DA438/CS438-1)*100)&gt;100,"NM",IF(((DA438/CS438-1)*100)&lt;-50,"NM",(DA438/CS438-1)*100)))</f>
        <v>-6.1846483970104167</v>
      </c>
      <c r="DC438" s="117">
        <f>+DA444</f>
        <v>51542</v>
      </c>
      <c r="DD438" s="98">
        <f t="shared" ref="DD438:DD441" si="2581">IF(ISERROR((DC438/CU438-1)*100),"NA",IF(((DC438/CU438-1)*100)&gt;100,"NM",IF(((DC438/CU438-1)*100)&lt;-50,"NM",(DC438/CU438-1)*100)))</f>
        <v>-4.3729939330970913</v>
      </c>
      <c r="DE438" s="117">
        <f>+DC444</f>
        <v>50020</v>
      </c>
      <c r="DF438" s="98">
        <f t="shared" ref="DF438:DF441" si="2582">IF(ISERROR((DE438/CW438-1)*100),"NA",IF(((DE438/CW438-1)*100)&gt;100,"NM",IF(((DE438/CW438-1)*100)&lt;-50,"NM",(DE438/CW438-1)*100)))</f>
        <v>-2.6090342679127687</v>
      </c>
      <c r="DG438" s="117">
        <f>+DE444</f>
        <v>48990</v>
      </c>
      <c r="DH438" s="98">
        <f t="shared" ref="DH438:DH441" si="2583">IF(ISERROR((DG438/CY438-1)*100),"NA",IF(((DG438/CY438-1)*100)&gt;100,"NM",IF(((DG438/CY438-1)*100)&lt;-50,"NM",(DG438/CY438-1)*100)))</f>
        <v>-6.1961475127331189</v>
      </c>
      <c r="DI438" s="117">
        <f>+DG444</f>
        <v>48428</v>
      </c>
      <c r="DJ438" s="98">
        <f t="shared" ref="DJ438:DJ441" si="2584">IF(ISERROR((DI438/DA438-1)*100),"NA",IF(((DI438/DA438-1)*100)&gt;100,"NM",IF(((DI438/DA438-1)*100)&lt;-50,"NM",(DI438/DA438-1)*100)))</f>
        <v>-6.1290947858112066</v>
      </c>
      <c r="DK438" s="117">
        <f>+DI444</f>
        <v>46988</v>
      </c>
      <c r="DL438" s="98">
        <f t="shared" ref="DL438:DL441" si="2585">IF(ISERROR((DK438/DC438-1)*100),"NA",IF(((DK438/DC438-1)*100)&gt;100,"NM",IF(((DK438/DC438-1)*100)&lt;-50,"NM",(DK438/DC438-1)*100)))</f>
        <v>-8.8355127856893372</v>
      </c>
      <c r="DM438" s="117">
        <f>+DK444</f>
        <v>46899</v>
      </c>
      <c r="DN438" s="98">
        <f t="shared" ref="DN438:DN441" si="2586">IF(ISERROR((DM438/DE438-1)*100),"NA",IF(((DM438/DE438-1)*100)&gt;100,"NM",IF(((DM438/DE438-1)*100)&lt;-50,"NM",(DM438/DE438-1)*100)))</f>
        <v>-6.2395041983206667</v>
      </c>
      <c r="DO438" s="117">
        <f>+DM444</f>
        <v>46809</v>
      </c>
      <c r="DP438" s="98">
        <f t="shared" ref="DP438:DP441" si="2587">IF(ISERROR((DO438/DG438-1)*100),"NA",IF(((DO438/DG438-1)*100)&gt;100,"NM",IF(((DO438/DG438-1)*100)&lt;-50,"NM",(DO438/DG438-1)*100)))</f>
        <v>-4.4519289650949201</v>
      </c>
      <c r="DQ438" s="117">
        <f>+DO444</f>
        <v>47529</v>
      </c>
      <c r="DR438" s="98">
        <f t="shared" ref="DR438:DR441" si="2588">IF(ISERROR((DQ438/DI438-1)*100),"NA",IF(((DQ438/DI438-1)*100)&gt;100,"NM",IF(((DQ438/DI438-1)*100)&lt;-50,"NM",(DQ438/DI438-1)*100)))</f>
        <v>-1.8563640868918818</v>
      </c>
      <c r="DS438" s="117">
        <v>21557</v>
      </c>
      <c r="DT438" s="98" t="str">
        <f t="shared" ref="DT438:DT441" si="2589">IF(ISERROR((DS438/DK438-1)*100),"NA",IF(((DS438/DK438-1)*100)&gt;100,"NM",IF(((DS438/DK438-1)*100)&lt;-50,"NM",(DS438/DK438-1)*100)))</f>
        <v>NM</v>
      </c>
      <c r="DU438" s="117">
        <f>+DS444</f>
        <v>21540</v>
      </c>
      <c r="DV438" s="98" t="str">
        <f t="shared" ref="DV438:DV441" si="2590">IF(ISERROR((DU438/DM438-1)*100),"NA",IF(((DU438/DM438-1)*100)&gt;100,"NM",IF(((DU438/DM438-1)*100)&lt;-50,"NM",(DU438/DM438-1)*100)))</f>
        <v>NM</v>
      </c>
      <c r="DW438" s="117">
        <f>+DU444</f>
        <v>21221</v>
      </c>
      <c r="DX438" s="98" t="str">
        <f t="shared" ref="DX438:DX441" si="2591">IF(ISERROR((DW438/DO438-1)*100),"NA",IF(((DW438/DO438-1)*100)&gt;100,"NM",IF(((DW438/DO438-1)*100)&lt;-50,"NM",(DW438/DO438-1)*100)))</f>
        <v>NM</v>
      </c>
      <c r="DY438" s="117">
        <f>+DW444</f>
        <v>21900</v>
      </c>
      <c r="DZ438" s="98" t="str">
        <f t="shared" ref="DZ438:DZ441" si="2592">IF(ISERROR((DY438/DQ438-1)*100),"NA",IF(((DY438/DQ438-1)*100)&gt;100,"NM",IF(((DY438/DQ438-1)*100)&lt;-50,"NM",(DY438/DQ438-1)*100)))</f>
        <v>NM</v>
      </c>
      <c r="EA438" s="117">
        <f>+DY444</f>
        <v>21653</v>
      </c>
      <c r="EB438" s="98">
        <f t="shared" ref="EB438:EB441" si="2593">IF(ISERROR((EA438/DS438-1)*100),"NA",IF(((EA438/DS438-1)*100)&gt;100,"NM",IF(((EA438/DS438-1)*100)&lt;-50,"NM",(EA438/DS438-1)*100)))</f>
        <v>0.44533098297536711</v>
      </c>
      <c r="EC438" s="117">
        <f>+EA444</f>
        <v>22135</v>
      </c>
      <c r="ED438" s="98">
        <f t="shared" ref="ED438:ED441" si="2594">IF(ISERROR((EC438/DU438-1)*100),"NA",IF(((EC438/DU438-1)*100)&gt;100,"NM",IF(((EC438/DU438-1)*100)&lt;-50,"NM",(EC438/DU438-1)*100)))</f>
        <v>2.7623026926648198</v>
      </c>
      <c r="EE438" s="117">
        <f>+EC444</f>
        <v>23239</v>
      </c>
      <c r="EF438" s="860">
        <f t="shared" ref="EF438:EF445" si="2595">IF(ISERROR((EE438/DW438-1)*100),"NA",IF(((EE438/DW438-1)*100)&gt;100,"NM",IF(((EE438/DW438-1)*100)&lt;-50,"NM",(EE438/DW438-1)*100)))</f>
        <v>9.5094481881155435</v>
      </c>
      <c r="EG438" s="117">
        <f>+EE444</f>
        <v>23100</v>
      </c>
      <c r="EH438" s="860">
        <f t="shared" ref="EH438:EH445" si="2596">IF(ISERROR((EG438/DY438-1)*100),"NA",IF(((EG438/DY438-1)*100)&gt;100,"NM",IF(((EG438/DY438-1)*100)&lt;-50,"NM",(EG438/DY438-1)*100)))</f>
        <v>5.4794520547945202</v>
      </c>
      <c r="EI438" s="117">
        <f>+EG444</f>
        <v>22264</v>
      </c>
      <c r="EJ438" s="860">
        <f t="shared" ref="EJ438:EJ445" si="2597">IF(ISERROR((EI438/EA438-1)*100),"NA",IF(((EI438/EA438-1)*100)&gt;100,"NM",IF(((EI438/EA438-1)*100)&lt;-50,"NM",(EI438/EA438-1)*100)))</f>
        <v>2.8217798919318415</v>
      </c>
      <c r="EK438" s="117">
        <f>+EI444</f>
        <v>21522</v>
      </c>
      <c r="EL438" s="860">
        <f t="shared" ref="EL438:EL445" si="2598">IF(ISERROR((EK438/EC438-1)*100),"NA",IF(((EK438/EC438-1)*100)&gt;100,"NM",IF(((EK438/EC438-1)*100)&lt;-50,"NM",(EK438/EC438-1)*100)))</f>
        <v>-2.7693697763722658</v>
      </c>
      <c r="EM438" s="117">
        <f>+EK444</f>
        <v>21329</v>
      </c>
      <c r="EN438" s="860">
        <f t="shared" ref="EN438:EN445" si="2599">IF(ISERROR((EM438/EE438-1)*100),"NA",IF(((EM438/EE438-1)*100)&gt;100,"NM",IF(((EM438/EE438-1)*100)&lt;-50,"NM",(EM438/EE438-1)*100)))</f>
        <v>-8.2189422952794864</v>
      </c>
      <c r="EO438" s="117">
        <f>+EM444</f>
        <v>21180</v>
      </c>
      <c r="EP438" s="98">
        <f t="shared" ref="EP438:EP441" si="2600">IF(ISERROR((EO438/EG438-1)*100),"NA",IF(((EO438/EG438-1)*100)&gt;100,"NM",IF(((EO438/EG438-1)*100)&lt;-50,"NM",(EO438/EG438-1)*100)))</f>
        <v>-8.3116883116883145</v>
      </c>
      <c r="EQ438" s="792">
        <f t="shared" ref="EQ438" si="2601">+EO444</f>
        <v>20791</v>
      </c>
      <c r="ER438" s="98">
        <f t="shared" ref="ER438:ER441" si="2602">IF(ISERROR((EQ438/EI438-1)*100),"NA",IF(((EQ438/EI438-1)*100)&gt;100,"NM",IF(((EQ438/EI438-1)*100)&lt;-50,"NM",(EQ438/EI438-1)*100)))</f>
        <v>-6.6160618038088366</v>
      </c>
      <c r="ES438" s="792">
        <f t="shared" ref="ES438" si="2603">+EQ444</f>
        <v>20456.726282105763</v>
      </c>
      <c r="ET438" s="98">
        <f t="shared" ref="ET438:ET441" si="2604">IF(ISERROR((ES438/EK438-1)*100),"NA",IF(((ES438/EK438-1)*100)&gt;100,"NM",IF(((ES438/EK438-1)*100)&lt;-50,"NM",(ES438/EK438-1)*100)))</f>
        <v>-4.949696672680215</v>
      </c>
      <c r="EU438" s="792">
        <f t="shared" ref="EU438" si="2605">+ES444</f>
        <v>20107.478646821168</v>
      </c>
      <c r="EV438" s="98">
        <f t="shared" ref="EV438:EV441" si="2606">IF(ISERROR((EU438/EM438-1)*100),"NA",IF(((EU438/EM438-1)*100)&gt;100,"NM",IF(((EU438/EM438-1)*100)&lt;-50,"NM",(EU438/EM438-1)*100)))</f>
        <v>-5.7270446489701037</v>
      </c>
      <c r="EW438" s="792">
        <f t="shared" ref="EW438" si="2607">+EU444</f>
        <v>19747.259278759568</v>
      </c>
      <c r="EX438" s="98">
        <f t="shared" ref="EX438:EX441" si="2608">IF(ISERROR((EW438/EO438-1)*100),"NA",IF(((EW438/EO438-1)*100)&gt;100,"NM",IF(((EW438/EO438-1)*100)&lt;-50,"NM",(EW438/EO438-1)*100)))</f>
        <v>-6.7645926404175327</v>
      </c>
      <c r="EY438" s="118"/>
      <c r="EZ438" s="594"/>
      <c r="FA438" s="405"/>
      <c r="FB438" s="95" t="s">
        <v>494</v>
      </c>
      <c r="FC438" s="98"/>
      <c r="FD438" s="117">
        <f>+FB444</f>
        <v>21045</v>
      </c>
      <c r="FE438" s="98" t="str">
        <f t="shared" ref="FE438:FE441" si="2609">IF(ISERROR((FD438/FB438-1)*100),"NA",IF(((FD438/FB438-1)*100)&gt;100,"NM",IF(((FD438/FB438-1)*100)&lt;-50,"NM",(FD438/FB438-1)*100)))</f>
        <v>NA</v>
      </c>
      <c r="FF438" s="118"/>
      <c r="FG438" s="98"/>
      <c r="FH438" s="118"/>
      <c r="FI438" s="98"/>
      <c r="FJ438" s="118"/>
      <c r="FK438" s="98"/>
      <c r="FL438" s="118"/>
      <c r="FM438" s="98"/>
      <c r="FN438" s="118"/>
      <c r="FO438" s="98"/>
      <c r="FP438" s="118"/>
      <c r="FQ438" s="98"/>
      <c r="FR438" s="119"/>
      <c r="FS438" s="120"/>
      <c r="FT438" s="119"/>
      <c r="FU438" s="120"/>
      <c r="FV438" s="119">
        <f>BO438</f>
        <v>40840</v>
      </c>
      <c r="FW438" s="98" t="str">
        <f t="shared" ref="FW438:FW441" si="2610">IF(ISERROR((FV438/FT438-1)*100),"NA",IF(((FV438/FT438-1)*100)&gt;100,"NM",IF(((FV438/FT438-1)*100)&lt;-50,"NM",(FV438/FT438-1)*100)))</f>
        <v>NA</v>
      </c>
      <c r="FX438" s="485">
        <f>+FV444</f>
        <v>47937</v>
      </c>
      <c r="FY438" s="98">
        <f t="shared" ref="FY438:FY441" si="2611">IF(ISERROR((FX438/FV438-1)*100),"NA",IF(((FX438/FV438-1)*100)&gt;100,"NM",IF(((FX438/FV438-1)*100)&lt;-50,"NM",(FX438/FV438-1)*100)))</f>
        <v>17.377571008814897</v>
      </c>
      <c r="FZ438" s="119">
        <f>FX444</f>
        <v>55081</v>
      </c>
      <c r="GA438" s="98">
        <f t="shared" ref="GA438:GA441" si="2612">IF(ISERROR((FZ438/FX438-1)*100),"NA",IF(((FZ438/FX438-1)*100)&gt;100,"NM",IF(((FZ438/FX438-1)*100)&lt;-50,"NM",(FZ438/FX438-1)*100)))</f>
        <v>14.902893380895765</v>
      </c>
      <c r="GB438" s="485">
        <f>CM438</f>
        <v>50860</v>
      </c>
      <c r="GC438" s="98">
        <f t="shared" ref="GC438:GC441" si="2613">IF(ISERROR((GB438/FZ438-1)*100),"NA",IF(((GB438/FZ438-1)*100)&gt;100,"NM",IF(((GB438/FZ438-1)*100)&lt;-50,"NM",(GB438/FZ438-1)*100)))</f>
        <v>-7.6632595631887623</v>
      </c>
      <c r="GD438" s="119">
        <f>CU438</f>
        <v>53899</v>
      </c>
      <c r="GE438" s="98">
        <f t="shared" ref="GE438:GE441" si="2614">IF(ISERROR((GD438/GB438-1)*100),"NA",IF(((GD438/GB438-1)*100)&gt;100,"NM",IF(((GD438/GB438-1)*100)&lt;-50,"NM",(GD438/GB438-1)*100)))</f>
        <v>5.9752261108926508</v>
      </c>
      <c r="GF438" s="119">
        <f>DC438</f>
        <v>51542</v>
      </c>
      <c r="GG438" s="98">
        <f t="shared" ref="GG438:GG441" si="2615">IF(ISERROR((GF438/GD438-1)*100),"NA",IF(((GF438/GD438-1)*100)&gt;100,"NM",IF(((GF438/GD438-1)*100)&lt;-50,"NM",(GF438/GD438-1)*100)))</f>
        <v>-4.3729939330970913</v>
      </c>
      <c r="GH438" s="119">
        <f>DK438</f>
        <v>46988</v>
      </c>
      <c r="GI438" s="98">
        <f t="shared" ref="GI438:GI441" si="2616">IF(ISERROR((GH438/GF438-1)*100),"NA",IF(((GH438/GF438-1)*100)&gt;100,"NM",IF(((GH438/GF438-1)*100)&lt;-50,"NM",(GH438/GF438-1)*100)))</f>
        <v>-8.8355127856893372</v>
      </c>
      <c r="GJ438" s="119">
        <f>DS438</f>
        <v>21557</v>
      </c>
      <c r="GK438" s="98" t="str">
        <f t="shared" ref="GK438:GK441" si="2617">IF(ISERROR((GJ438/GH438-1)*100),"NA",IF(((GJ438/GH438-1)*100)&gt;100,"NM",IF(((GJ438/GH438-1)*100)&lt;-50,"NM",(GJ438/GH438-1)*100)))</f>
        <v>NM</v>
      </c>
      <c r="GL438" s="119">
        <f>EA438</f>
        <v>21653</v>
      </c>
      <c r="GM438" s="98">
        <f t="shared" ref="GM438:GW441" si="2618">IF(ISERROR((GL438/GJ438-1)*100),"NA",IF(((GL438/GJ438-1)*100)&gt;100,"NM",IF(((GL438/GJ438-1)*100)&lt;-50,"NM",(GL438/GJ438-1)*100)))</f>
        <v>0.44533098297536711</v>
      </c>
      <c r="GN438" s="119">
        <f>EI438</f>
        <v>22264</v>
      </c>
      <c r="GO438" s="98">
        <f t="shared" si="2618"/>
        <v>2.8217798919318415</v>
      </c>
      <c r="GP438" s="119">
        <f>EQ438</f>
        <v>20791</v>
      </c>
      <c r="GQ438" s="98">
        <f t="shared" si="2618"/>
        <v>-6.6160618038088366</v>
      </c>
      <c r="GR438" s="118">
        <f>+GP444</f>
        <v>19379.290234522785</v>
      </c>
      <c r="GS438" s="98">
        <f t="shared" si="2618"/>
        <v>-6.7900041627493408</v>
      </c>
      <c r="GT438" s="118">
        <f>+GR444</f>
        <v>18299.871027274123</v>
      </c>
      <c r="GU438" s="98">
        <f t="shared" si="2618"/>
        <v>-5.5699625434462829</v>
      </c>
      <c r="GV438" s="118">
        <f>+GT444</f>
        <v>17143.03097833721</v>
      </c>
      <c r="GW438" s="98">
        <f t="shared" si="2618"/>
        <v>-6.3215748745592659</v>
      </c>
      <c r="GX438" s="118">
        <f>+GV444</f>
        <v>15958.140795138646</v>
      </c>
      <c r="GY438" s="98">
        <f t="shared" ref="GY438:GY441" si="2619">IF(ISERROR((GX438/GV438-1)*100),"NA",IF(((GX438/GV438-1)*100)&gt;100,"NM",IF(((GX438/GV438-1)*100)&lt;-50,"NM",(GX438/GV438-1)*100)))</f>
        <v>-6.9117893136625081</v>
      </c>
      <c r="GZ438" s="98">
        <f>IF(ISERROR(((GX438/GN438)^0.2-1)*100),"NA",IF((((GX438/GN438)^0.2-1)*100)&gt;100,"NM",IF((((GX438/GN438)^0.2-1)*100)&lt;-50,"NM",((GX438/GN438)^0.2-1)*100)))</f>
        <v>-6.443100698414483</v>
      </c>
      <c r="HA438" s="98"/>
      <c r="HB438" s="10"/>
      <c r="HC438"/>
      <c r="HD438"/>
      <c r="HE438"/>
      <c r="HF438"/>
      <c r="HG438"/>
      <c r="HH438"/>
      <c r="HI438" s="10"/>
    </row>
    <row r="439" spans="1:217" s="2" customFormat="1" ht="12.75" customHeight="1" x14ac:dyDescent="0.2">
      <c r="A439" s="2" t="s">
        <v>68</v>
      </c>
      <c r="B439" s="91" t="s">
        <v>340</v>
      </c>
      <c r="C439" s="101"/>
      <c r="D439" s="98"/>
      <c r="E439" s="101"/>
      <c r="F439" s="98"/>
      <c r="G439" s="101"/>
      <c r="H439" s="98"/>
      <c r="I439" s="101"/>
      <c r="J439" s="98"/>
      <c r="K439" s="101"/>
      <c r="L439" s="98"/>
      <c r="M439" s="101"/>
      <c r="N439" s="98"/>
      <c r="O439" s="101"/>
      <c r="P439" s="98"/>
      <c r="Q439" s="101"/>
      <c r="R439" s="98"/>
      <c r="S439" s="101"/>
      <c r="T439" s="98"/>
      <c r="U439" s="101"/>
      <c r="V439" s="98"/>
      <c r="W439" s="101"/>
      <c r="X439" s="98"/>
      <c r="Y439" s="101"/>
      <c r="Z439" s="98"/>
      <c r="AA439" s="101"/>
      <c r="AB439" s="98"/>
      <c r="AC439" s="101"/>
      <c r="AD439" s="98"/>
      <c r="AE439" s="101"/>
      <c r="AF439" s="98"/>
      <c r="AG439" s="101"/>
      <c r="AH439" s="98"/>
      <c r="AI439" s="101"/>
      <c r="AJ439" s="98"/>
      <c r="AK439" s="101"/>
      <c r="AL439" s="98"/>
      <c r="AM439" s="101"/>
      <c r="AN439" s="98"/>
      <c r="AO439" s="101"/>
      <c r="AP439" s="98"/>
      <c r="AQ439" s="101"/>
      <c r="AR439" s="98"/>
      <c r="AS439" s="101"/>
      <c r="AT439" s="98"/>
      <c r="AU439" s="101"/>
      <c r="AV439" s="98"/>
      <c r="AW439" s="101"/>
      <c r="AX439" s="98"/>
      <c r="AY439" s="101"/>
      <c r="AZ439" s="98"/>
      <c r="BA439" s="101"/>
      <c r="BB439" s="98"/>
      <c r="BC439" s="101"/>
      <c r="BD439" s="98"/>
      <c r="BE439" s="101"/>
      <c r="BF439" s="98"/>
      <c r="BG439" s="101"/>
      <c r="BH439" s="98"/>
      <c r="BI439" s="101"/>
      <c r="BJ439" s="98"/>
      <c r="BK439" s="101"/>
      <c r="BL439" s="98"/>
      <c r="BM439" s="101">
        <v>1577</v>
      </c>
      <c r="BN439" s="98" t="str">
        <f t="shared" si="2560"/>
        <v>NA</v>
      </c>
      <c r="BO439" s="101">
        <v>1428</v>
      </c>
      <c r="BP439" s="98" t="str">
        <f t="shared" si="2561"/>
        <v>NA</v>
      </c>
      <c r="BQ439" s="101">
        <v>1635</v>
      </c>
      <c r="BR439" s="98" t="str">
        <f t="shared" si="2562"/>
        <v>NA</v>
      </c>
      <c r="BS439" s="101">
        <v>2127</v>
      </c>
      <c r="BT439" s="98" t="str">
        <f t="shared" si="2563"/>
        <v>NA</v>
      </c>
      <c r="BU439" s="101">
        <v>5622</v>
      </c>
      <c r="BV439" s="98" t="str">
        <f t="shared" si="2564"/>
        <v>NM</v>
      </c>
      <c r="BW439" s="101">
        <v>5335</v>
      </c>
      <c r="BX439" s="98" t="str">
        <f t="shared" si="2565"/>
        <v>NM</v>
      </c>
      <c r="BY439" s="101">
        <v>2768</v>
      </c>
      <c r="BZ439" s="98">
        <f t="shared" si="2566"/>
        <v>69.296636085626901</v>
      </c>
      <c r="CA439" s="101">
        <v>1944</v>
      </c>
      <c r="CB439" s="98">
        <f t="shared" si="2567"/>
        <v>-8.60366713681241</v>
      </c>
      <c r="CC439" s="101">
        <v>1847</v>
      </c>
      <c r="CD439" s="98" t="str">
        <f t="shared" si="2568"/>
        <v>NM</v>
      </c>
      <c r="CE439" s="101">
        <v>1738</v>
      </c>
      <c r="CF439" s="98" t="str">
        <f t="shared" si="2569"/>
        <v>NM</v>
      </c>
      <c r="CG439" s="101">
        <v>1828</v>
      </c>
      <c r="CH439" s="98">
        <f t="shared" si="2570"/>
        <v>-33.959537572254341</v>
      </c>
      <c r="CI439" s="101">
        <v>2038</v>
      </c>
      <c r="CJ439" s="98">
        <f t="shared" si="2571"/>
        <v>4.8353909465020495</v>
      </c>
      <c r="CK439" s="101">
        <v>1775</v>
      </c>
      <c r="CL439" s="98">
        <f t="shared" si="2572"/>
        <v>-3.8982133188955048</v>
      </c>
      <c r="CM439" s="101">
        <v>1608</v>
      </c>
      <c r="CN439" s="98">
        <f t="shared" si="2573"/>
        <v>-7.4798619102416586</v>
      </c>
      <c r="CO439" s="101">
        <v>1931</v>
      </c>
      <c r="CP439" s="98">
        <f t="shared" si="2574"/>
        <v>5.634573304157553</v>
      </c>
      <c r="CQ439" s="542">
        <v>2699</v>
      </c>
      <c r="CR439" s="98">
        <f t="shared" si="2575"/>
        <v>32.433758586849848</v>
      </c>
      <c r="CS439" s="101">
        <v>2216</v>
      </c>
      <c r="CT439" s="98">
        <f t="shared" si="2576"/>
        <v>24.845070422535208</v>
      </c>
      <c r="CU439" s="101">
        <v>1483</v>
      </c>
      <c r="CV439" s="98">
        <f t="shared" si="2577"/>
        <v>-7.7736318407960248</v>
      </c>
      <c r="CW439" s="101">
        <v>1245</v>
      </c>
      <c r="CX439" s="98">
        <f t="shared" si="2578"/>
        <v>-35.525634386328328</v>
      </c>
      <c r="CY439" s="101">
        <v>1266</v>
      </c>
      <c r="CZ439" s="98" t="str">
        <f t="shared" si="2579"/>
        <v>NM</v>
      </c>
      <c r="DA439" s="101">
        <v>1047</v>
      </c>
      <c r="DB439" s="98" t="str">
        <f t="shared" si="2580"/>
        <v>NM</v>
      </c>
      <c r="DC439" s="101">
        <v>1019</v>
      </c>
      <c r="DD439" s="98">
        <f t="shared" si="2581"/>
        <v>-31.287929871881325</v>
      </c>
      <c r="DE439" s="101">
        <v>772</v>
      </c>
      <c r="DF439" s="98">
        <f t="shared" si="2582"/>
        <v>-37.99196787148594</v>
      </c>
      <c r="DG439" s="101">
        <v>816</v>
      </c>
      <c r="DH439" s="98">
        <f t="shared" si="2583"/>
        <v>-35.545023696682463</v>
      </c>
      <c r="DI439" s="101">
        <v>816</v>
      </c>
      <c r="DJ439" s="98">
        <f t="shared" si="2584"/>
        <v>-22.063037249283667</v>
      </c>
      <c r="DK439" s="101">
        <v>842</v>
      </c>
      <c r="DL439" s="465">
        <f t="shared" si="2585"/>
        <v>-17.369970559371929</v>
      </c>
      <c r="DM439" s="101">
        <v>849</v>
      </c>
      <c r="DN439" s="465">
        <f t="shared" si="2586"/>
        <v>9.9740932642486957</v>
      </c>
      <c r="DO439" s="101">
        <v>952</v>
      </c>
      <c r="DP439" s="465">
        <f t="shared" si="2587"/>
        <v>16.666666666666675</v>
      </c>
      <c r="DQ439" s="101">
        <v>850</v>
      </c>
      <c r="DR439" s="465">
        <f t="shared" si="2588"/>
        <v>4.1666666666666741</v>
      </c>
      <c r="DS439" s="101">
        <v>284</v>
      </c>
      <c r="DT439" s="465" t="str">
        <f t="shared" si="2589"/>
        <v>NM</v>
      </c>
      <c r="DU439" s="101">
        <v>342</v>
      </c>
      <c r="DV439" s="465" t="str">
        <f t="shared" si="2590"/>
        <v>NM</v>
      </c>
      <c r="DW439" s="101">
        <v>403</v>
      </c>
      <c r="DX439" s="465" t="str">
        <f t="shared" si="2591"/>
        <v>NM</v>
      </c>
      <c r="DY439" s="101">
        <v>371</v>
      </c>
      <c r="DZ439" s="465" t="str">
        <f t="shared" si="2592"/>
        <v>NM</v>
      </c>
      <c r="EA439" s="950">
        <v>517</v>
      </c>
      <c r="EB439" s="465">
        <f t="shared" si="2593"/>
        <v>82.042253521126753</v>
      </c>
      <c r="EC439" s="950">
        <v>368</v>
      </c>
      <c r="ED439" s="465">
        <f t="shared" si="2594"/>
        <v>7.6023391812865437</v>
      </c>
      <c r="EE439" s="950">
        <v>230</v>
      </c>
      <c r="EF439" s="860">
        <f t="shared" si="2595"/>
        <v>-42.928039702233256</v>
      </c>
      <c r="EG439" s="950">
        <v>239</v>
      </c>
      <c r="EH439" s="860">
        <f t="shared" si="2596"/>
        <v>-35.57951482479784</v>
      </c>
      <c r="EI439" s="950">
        <v>202</v>
      </c>
      <c r="EJ439" s="860" t="str">
        <f t="shared" si="2597"/>
        <v>NM</v>
      </c>
      <c r="EK439" s="950">
        <v>135</v>
      </c>
      <c r="EL439" s="860" t="str">
        <f t="shared" si="2598"/>
        <v>NM</v>
      </c>
      <c r="EM439" s="950">
        <v>134</v>
      </c>
      <c r="EN439" s="860">
        <f t="shared" si="2599"/>
        <v>-41.739130434782609</v>
      </c>
      <c r="EO439" s="950">
        <v>109</v>
      </c>
      <c r="EP439" s="465" t="str">
        <f t="shared" si="2600"/>
        <v>NM</v>
      </c>
      <c r="EQ439" s="952">
        <f>EO439*0.8</f>
        <v>87.2</v>
      </c>
      <c r="ER439" s="465" t="str">
        <f t="shared" si="2602"/>
        <v>NM</v>
      </c>
      <c r="ES439" s="952">
        <f t="shared" ref="ES439" si="2620">EQ439*0.8</f>
        <v>69.760000000000005</v>
      </c>
      <c r="ET439" s="465">
        <f t="shared" si="2604"/>
        <v>-48.325925925925915</v>
      </c>
      <c r="EU439" s="952">
        <f t="shared" ref="EU439" si="2621">ES439*0.8</f>
        <v>55.808000000000007</v>
      </c>
      <c r="EV439" s="465" t="str">
        <f t="shared" si="2606"/>
        <v>NM</v>
      </c>
      <c r="EW439" s="952">
        <f t="shared" ref="EW439" si="2622">EU439*0.8</f>
        <v>44.646400000000007</v>
      </c>
      <c r="EX439" s="465" t="str">
        <f t="shared" si="2608"/>
        <v>NM</v>
      </c>
      <c r="EY439" s="121"/>
      <c r="EZ439" s="594"/>
      <c r="FA439" s="405"/>
      <c r="FB439" s="95" t="s">
        <v>494</v>
      </c>
      <c r="FC439" s="98"/>
      <c r="FD439" s="101">
        <v>2552</v>
      </c>
      <c r="FE439" s="98" t="str">
        <f t="shared" si="2609"/>
        <v>NA</v>
      </c>
      <c r="FF439" s="118"/>
      <c r="FG439" s="98"/>
      <c r="FH439" s="118"/>
      <c r="FI439" s="98"/>
      <c r="FJ439" s="118"/>
      <c r="FK439" s="98"/>
      <c r="FL439" s="118"/>
      <c r="FM439" s="98"/>
      <c r="FN439" s="118"/>
      <c r="FO439" s="98"/>
      <c r="FP439" s="118"/>
      <c r="FQ439" s="98"/>
      <c r="FR439" s="119"/>
      <c r="FS439" s="120"/>
      <c r="FT439" s="119"/>
      <c r="FU439" s="120"/>
      <c r="FV439" s="119">
        <f>BO439+BQ439+BS439+BU439</f>
        <v>10812</v>
      </c>
      <c r="FW439" s="98" t="str">
        <f t="shared" si="2610"/>
        <v>NA</v>
      </c>
      <c r="FX439" s="485">
        <f>BW439+BY439+CA439+CC439</f>
        <v>11894</v>
      </c>
      <c r="FY439" s="98">
        <f t="shared" si="2611"/>
        <v>10.007399186089527</v>
      </c>
      <c r="FZ439" s="119">
        <f>CE439+CG439+CI439+CK439</f>
        <v>7379</v>
      </c>
      <c r="GA439" s="98">
        <f t="shared" si="2612"/>
        <v>-37.960316125777702</v>
      </c>
      <c r="GB439" s="485">
        <f>CM439+CO439+CQ439+CS439</f>
        <v>8454</v>
      </c>
      <c r="GC439" s="98">
        <f t="shared" si="2613"/>
        <v>14.568369697791027</v>
      </c>
      <c r="GD439" s="119">
        <f>CU439+CW439+CY439+DA439</f>
        <v>5041</v>
      </c>
      <c r="GE439" s="98">
        <f t="shared" si="2614"/>
        <v>-40.371421812159923</v>
      </c>
      <c r="GF439" s="119">
        <f>DC439+DE439+DG439+DI439</f>
        <v>3423</v>
      </c>
      <c r="GG439" s="98">
        <f t="shared" si="2615"/>
        <v>-32.096806189248163</v>
      </c>
      <c r="GH439" s="119">
        <f>DK439+DM439+DO439+DQ439</f>
        <v>3493</v>
      </c>
      <c r="GI439" s="98">
        <f t="shared" si="2616"/>
        <v>2.0449897750511203</v>
      </c>
      <c r="GJ439" s="119">
        <f>DS439+DU439+DW439+DY439</f>
        <v>1400</v>
      </c>
      <c r="GK439" s="98" t="str">
        <f t="shared" si="2617"/>
        <v>NM</v>
      </c>
      <c r="GL439" s="119">
        <f>EA439+EC439+EE439+EG439</f>
        <v>1354</v>
      </c>
      <c r="GM439" s="98">
        <f t="shared" si="2618"/>
        <v>-3.2857142857142807</v>
      </c>
      <c r="GN439" s="119">
        <f>EI439+EK439+EM439+EO439</f>
        <v>580</v>
      </c>
      <c r="GO439" s="98" t="str">
        <f t="shared" si="2618"/>
        <v>NM</v>
      </c>
      <c r="GP439" s="119">
        <f>EQ439+ES439+EU439+EW439</f>
        <v>257.41440000000006</v>
      </c>
      <c r="GQ439" s="98" t="str">
        <f t="shared" si="2618"/>
        <v>NM</v>
      </c>
      <c r="GR439" s="121">
        <f>GP439*0.5</f>
        <v>128.70720000000003</v>
      </c>
      <c r="GS439" s="98">
        <f t="shared" si="2618"/>
        <v>-50</v>
      </c>
      <c r="GT439" s="121">
        <f>GR439*0.5</f>
        <v>64.353600000000014</v>
      </c>
      <c r="GU439" s="98">
        <f t="shared" si="2618"/>
        <v>-50</v>
      </c>
      <c r="GV439" s="121">
        <f>GT439*0.5</f>
        <v>32.176800000000007</v>
      </c>
      <c r="GW439" s="98">
        <f t="shared" si="2618"/>
        <v>-50</v>
      </c>
      <c r="GX439" s="121">
        <f>GV439*0.5</f>
        <v>16.088400000000004</v>
      </c>
      <c r="GY439" s="98">
        <f t="shared" si="2619"/>
        <v>-50</v>
      </c>
      <c r="GZ439" s="98" t="str">
        <f>IF(ISERROR(((GX439/GN439)^0.2-1)*100),"NA",IF((((GX439/GN439)^0.2-1)*100)&gt;100,"NM",IF((((GX439/GN439)^0.2-1)*100)&lt;-50,"NM",((GX439/GN439)^0.2-1)*100)))</f>
        <v>NM</v>
      </c>
      <c r="HA439" s="98"/>
      <c r="HB439" s="10"/>
      <c r="HC439"/>
      <c r="HD439"/>
      <c r="HE439"/>
      <c r="HF439"/>
      <c r="HG439"/>
      <c r="HH439"/>
      <c r="HI439" s="10"/>
    </row>
    <row r="440" spans="1:217" s="2" customFormat="1" ht="12.75" customHeight="1" x14ac:dyDescent="0.2">
      <c r="B440" s="91" t="s">
        <v>306</v>
      </c>
      <c r="C440" s="101"/>
      <c r="D440" s="98"/>
      <c r="E440" s="101"/>
      <c r="F440" s="98"/>
      <c r="G440" s="101"/>
      <c r="H440" s="98"/>
      <c r="I440" s="101"/>
      <c r="J440" s="98"/>
      <c r="K440" s="101"/>
      <c r="L440" s="98"/>
      <c r="M440" s="101"/>
      <c r="N440" s="98"/>
      <c r="O440" s="101"/>
      <c r="P440" s="98"/>
      <c r="Q440" s="101"/>
      <c r="R440" s="98"/>
      <c r="S440" s="101"/>
      <c r="T440" s="98"/>
      <c r="U440" s="101"/>
      <c r="V440" s="98"/>
      <c r="W440" s="101"/>
      <c r="X440" s="98"/>
      <c r="Y440" s="101"/>
      <c r="Z440" s="98"/>
      <c r="AA440" s="101"/>
      <c r="AB440" s="98"/>
      <c r="AC440" s="101"/>
      <c r="AD440" s="98"/>
      <c r="AE440" s="101"/>
      <c r="AF440" s="98"/>
      <c r="AG440" s="101"/>
      <c r="AH440" s="98"/>
      <c r="AI440" s="101"/>
      <c r="AJ440" s="98"/>
      <c r="AK440" s="101"/>
      <c r="AL440" s="98"/>
      <c r="AM440" s="101"/>
      <c r="AN440" s="98"/>
      <c r="AO440" s="101"/>
      <c r="AP440" s="98"/>
      <c r="AQ440" s="101"/>
      <c r="AR440" s="98"/>
      <c r="AS440" s="101"/>
      <c r="AT440" s="98"/>
      <c r="AU440" s="101"/>
      <c r="AV440" s="98"/>
      <c r="AW440" s="101"/>
      <c r="AX440" s="98"/>
      <c r="AY440" s="101"/>
      <c r="AZ440" s="98"/>
      <c r="BA440" s="101"/>
      <c r="BB440" s="98"/>
      <c r="BC440" s="101"/>
      <c r="BD440" s="98"/>
      <c r="BE440" s="101"/>
      <c r="BF440" s="98"/>
      <c r="BG440" s="101"/>
      <c r="BH440" s="98"/>
      <c r="BI440" s="101"/>
      <c r="BJ440" s="98"/>
      <c r="BK440" s="101"/>
      <c r="BL440" s="98"/>
      <c r="BM440" s="101">
        <v>417</v>
      </c>
      <c r="BN440" s="98" t="str">
        <f t="shared" si="2560"/>
        <v>NA</v>
      </c>
      <c r="BO440" s="101">
        <v>415</v>
      </c>
      <c r="BP440" s="98" t="str">
        <f t="shared" si="2561"/>
        <v>NA</v>
      </c>
      <c r="BQ440" s="101">
        <v>401</v>
      </c>
      <c r="BR440" s="98" t="str">
        <f t="shared" si="2562"/>
        <v>NA</v>
      </c>
      <c r="BS440" s="101">
        <v>405</v>
      </c>
      <c r="BT440" s="98" t="str">
        <f t="shared" si="2563"/>
        <v>NA</v>
      </c>
      <c r="BU440" s="101">
        <v>457</v>
      </c>
      <c r="BV440" s="98">
        <f t="shared" si="2564"/>
        <v>9.5923261390887369</v>
      </c>
      <c r="BW440" s="101">
        <v>495</v>
      </c>
      <c r="BX440" s="98">
        <f t="shared" si="2565"/>
        <v>19.277108433734934</v>
      </c>
      <c r="BY440" s="101">
        <v>529</v>
      </c>
      <c r="BZ440" s="98">
        <f t="shared" si="2566"/>
        <v>31.920199501246891</v>
      </c>
      <c r="CA440" s="101">
        <v>522</v>
      </c>
      <c r="CB440" s="98">
        <f t="shared" si="2567"/>
        <v>28.888888888888896</v>
      </c>
      <c r="CC440" s="101">
        <v>583</v>
      </c>
      <c r="CD440" s="98">
        <f t="shared" si="2568"/>
        <v>27.571115973741801</v>
      </c>
      <c r="CE440" s="101">
        <v>559</v>
      </c>
      <c r="CF440" s="98">
        <f t="shared" si="2569"/>
        <v>12.929292929292924</v>
      </c>
      <c r="CG440" s="101">
        <v>561</v>
      </c>
      <c r="CH440" s="98">
        <f t="shared" si="2570"/>
        <v>6.0491493383742823</v>
      </c>
      <c r="CI440" s="101">
        <v>547</v>
      </c>
      <c r="CJ440" s="98">
        <f t="shared" si="2571"/>
        <v>4.789272030651337</v>
      </c>
      <c r="CK440" s="101">
        <v>560</v>
      </c>
      <c r="CL440" s="98">
        <f t="shared" si="2572"/>
        <v>-3.9451114922813058</v>
      </c>
      <c r="CM440" s="101">
        <v>479</v>
      </c>
      <c r="CN440" s="98">
        <f t="shared" si="2573"/>
        <v>-14.311270125223619</v>
      </c>
      <c r="CO440" s="101">
        <v>479</v>
      </c>
      <c r="CP440" s="98">
        <f t="shared" si="2574"/>
        <v>-14.616755793226377</v>
      </c>
      <c r="CQ440" s="542">
        <v>484</v>
      </c>
      <c r="CR440" s="98">
        <f t="shared" si="2575"/>
        <v>-11.517367458866545</v>
      </c>
      <c r="CS440" s="101">
        <v>472</v>
      </c>
      <c r="CT440" s="98">
        <f t="shared" si="2576"/>
        <v>-15.714285714285714</v>
      </c>
      <c r="CU440" s="101">
        <v>450</v>
      </c>
      <c r="CV440" s="98">
        <f t="shared" si="2577"/>
        <v>-6.0542797494780753</v>
      </c>
      <c r="CW440" s="101">
        <v>444</v>
      </c>
      <c r="CX440" s="98">
        <f t="shared" si="2578"/>
        <v>-7.3068893528183683</v>
      </c>
      <c r="CY440" s="101">
        <v>449</v>
      </c>
      <c r="CZ440" s="98">
        <f t="shared" si="2579"/>
        <v>-7.2314049586776896</v>
      </c>
      <c r="DA440" s="101">
        <v>430</v>
      </c>
      <c r="DB440" s="98">
        <f t="shared" si="2580"/>
        <v>-8.8983050847457612</v>
      </c>
      <c r="DC440" s="101">
        <v>424</v>
      </c>
      <c r="DD440" s="98">
        <f t="shared" si="2581"/>
        <v>-5.7777777777777821</v>
      </c>
      <c r="DE440" s="101">
        <v>429</v>
      </c>
      <c r="DF440" s="98">
        <f t="shared" si="2582"/>
        <v>-3.3783783783783772</v>
      </c>
      <c r="DG440" s="101">
        <v>417</v>
      </c>
      <c r="DH440" s="98">
        <f t="shared" si="2583"/>
        <v>-7.1269487750556753</v>
      </c>
      <c r="DI440" s="101">
        <v>415</v>
      </c>
      <c r="DJ440" s="98">
        <f t="shared" si="2584"/>
        <v>-3.4883720930232509</v>
      </c>
      <c r="DK440" s="101">
        <v>395</v>
      </c>
      <c r="DL440" s="465">
        <f t="shared" si="2585"/>
        <v>-6.8396226415094352</v>
      </c>
      <c r="DM440" s="101">
        <v>397</v>
      </c>
      <c r="DN440" s="465">
        <f t="shared" si="2586"/>
        <v>-7.4592074592074624</v>
      </c>
      <c r="DO440" s="101">
        <v>402</v>
      </c>
      <c r="DP440" s="465">
        <f t="shared" si="2587"/>
        <v>-3.5971223021582732</v>
      </c>
      <c r="DQ440" s="101">
        <v>399</v>
      </c>
      <c r="DR440" s="465">
        <f t="shared" si="2588"/>
        <v>-3.8554216867469848</v>
      </c>
      <c r="DS440" s="101">
        <v>170</v>
      </c>
      <c r="DT440" s="465" t="str">
        <f t="shared" si="2589"/>
        <v>NM</v>
      </c>
      <c r="DU440" s="101">
        <v>173</v>
      </c>
      <c r="DV440" s="465" t="str">
        <f t="shared" si="2590"/>
        <v>NM</v>
      </c>
      <c r="DW440" s="101">
        <v>172</v>
      </c>
      <c r="DX440" s="465" t="str">
        <f t="shared" si="2591"/>
        <v>NM</v>
      </c>
      <c r="DY440" s="101">
        <v>175</v>
      </c>
      <c r="DZ440" s="465" t="str">
        <f t="shared" si="2592"/>
        <v>NM</v>
      </c>
      <c r="EA440" s="101">
        <v>166</v>
      </c>
      <c r="EB440" s="465">
        <f t="shared" si="2593"/>
        <v>-2.352941176470591</v>
      </c>
      <c r="EC440" s="101">
        <v>167</v>
      </c>
      <c r="ED440" s="465">
        <f t="shared" si="2594"/>
        <v>-3.4682080924855474</v>
      </c>
      <c r="EE440" s="101">
        <v>166</v>
      </c>
      <c r="EF440" s="860">
        <f t="shared" si="2595"/>
        <v>-3.4883720930232509</v>
      </c>
      <c r="EG440" s="101">
        <v>165</v>
      </c>
      <c r="EH440" s="860">
        <f t="shared" si="2596"/>
        <v>-5.7142857142857162</v>
      </c>
      <c r="EI440" s="101">
        <v>160</v>
      </c>
      <c r="EJ440" s="860">
        <f t="shared" si="2597"/>
        <v>-3.6144578313253017</v>
      </c>
      <c r="EK440" s="101">
        <v>159</v>
      </c>
      <c r="EL440" s="860">
        <f t="shared" si="2598"/>
        <v>-4.7904191616766507</v>
      </c>
      <c r="EM440" s="101">
        <v>158</v>
      </c>
      <c r="EN440" s="860">
        <f t="shared" si="2599"/>
        <v>-4.8192771084337398</v>
      </c>
      <c r="EO440" s="101">
        <v>156</v>
      </c>
      <c r="EP440" s="465">
        <f t="shared" si="2600"/>
        <v>-5.4545454545454568</v>
      </c>
      <c r="EQ440" s="1034">
        <f>EQ448/4*EQ438/100</f>
        <v>153.13484419263455</v>
      </c>
      <c r="ER440" s="465">
        <f t="shared" si="2602"/>
        <v>-4.2907223796034071</v>
      </c>
      <c r="ES440" s="1034">
        <f t="shared" ref="ES440" si="2623">ES448/4*ES438/100</f>
        <v>150.67277148293198</v>
      </c>
      <c r="ET440" s="465">
        <f t="shared" si="2604"/>
        <v>-5.237250639665425</v>
      </c>
      <c r="EU440" s="1034">
        <f t="shared" ref="EU440" si="2624">EU448/4*EU438/100</f>
        <v>148.10040929669981</v>
      </c>
      <c r="EV440" s="465">
        <f t="shared" si="2606"/>
        <v>-6.2655637362659444</v>
      </c>
      <c r="EW440" s="1034">
        <f t="shared" ref="EW440" si="2625">EW448/4*EW438/100</f>
        <v>145.44723548094865</v>
      </c>
      <c r="EX440" s="465">
        <f t="shared" si="2608"/>
        <v>-6.7645926404175327</v>
      </c>
      <c r="EY440" s="121"/>
      <c r="EZ440" s="594"/>
      <c r="FA440" s="405"/>
      <c r="FB440" s="95" t="s">
        <v>494</v>
      </c>
      <c r="FC440" s="98"/>
      <c r="FD440" s="101">
        <v>1018</v>
      </c>
      <c r="FE440" s="98" t="str">
        <f t="shared" si="2609"/>
        <v>NA</v>
      </c>
      <c r="FF440" s="118"/>
      <c r="FG440" s="98"/>
      <c r="FH440" s="118"/>
      <c r="FI440" s="98"/>
      <c r="FJ440" s="118"/>
      <c r="FK440" s="98"/>
      <c r="FL440" s="118"/>
      <c r="FM440" s="98"/>
      <c r="FN440" s="118"/>
      <c r="FO440" s="98"/>
      <c r="FP440" s="118"/>
      <c r="FQ440" s="98"/>
      <c r="FR440" s="119"/>
      <c r="FS440" s="120"/>
      <c r="FT440" s="119"/>
      <c r="FU440" s="120"/>
      <c r="FV440" s="119">
        <f>BO440+BQ440+BS440+BU440</f>
        <v>1678</v>
      </c>
      <c r="FW440" s="98" t="str">
        <f t="shared" si="2610"/>
        <v>NA</v>
      </c>
      <c r="FX440" s="485">
        <f>BW440+BY440+CA440+CC440</f>
        <v>2129</v>
      </c>
      <c r="FY440" s="98">
        <f t="shared" si="2611"/>
        <v>26.877234803337302</v>
      </c>
      <c r="FZ440" s="119">
        <f>CE440+CG440+CI440+CK440</f>
        <v>2227</v>
      </c>
      <c r="GA440" s="98">
        <f t="shared" si="2612"/>
        <v>4.6031000469703987</v>
      </c>
      <c r="GB440" s="485">
        <f>CM440+CO440+CQ440+CS440</f>
        <v>1914</v>
      </c>
      <c r="GC440" s="98">
        <f t="shared" si="2613"/>
        <v>-14.054782218230798</v>
      </c>
      <c r="GD440" s="119">
        <f>CU440+CW440+CY440+DA440</f>
        <v>1773</v>
      </c>
      <c r="GE440" s="98">
        <f t="shared" si="2614"/>
        <v>-7.3667711598746077</v>
      </c>
      <c r="GF440" s="119">
        <f>DC440+DE440+DG440+DI440</f>
        <v>1685</v>
      </c>
      <c r="GG440" s="98">
        <f t="shared" si="2615"/>
        <v>-4.9633389734912603</v>
      </c>
      <c r="GH440" s="119">
        <f>DK440+DM440+DO440+DQ440</f>
        <v>1593</v>
      </c>
      <c r="GI440" s="98">
        <f t="shared" si="2616"/>
        <v>-5.4599406528189949</v>
      </c>
      <c r="GJ440" s="119">
        <f>DS440+DU440+DW440+DY440</f>
        <v>690</v>
      </c>
      <c r="GK440" s="98" t="str">
        <f t="shared" si="2617"/>
        <v>NM</v>
      </c>
      <c r="GL440" s="119">
        <f>EA440+EC440+EE440+EG440</f>
        <v>664</v>
      </c>
      <c r="GM440" s="98">
        <f t="shared" si="2618"/>
        <v>-3.7681159420289823</v>
      </c>
      <c r="GN440" s="119">
        <f>EI440+EK440+EM440+EO440</f>
        <v>633</v>
      </c>
      <c r="GO440" s="98">
        <f t="shared" si="2618"/>
        <v>-4.6686746987951828</v>
      </c>
      <c r="GP440" s="119">
        <f>EQ440+ES440+EU440+EW440</f>
        <v>597.35526045321501</v>
      </c>
      <c r="GQ440" s="98">
        <f t="shared" si="2618"/>
        <v>-5.6310804971224311</v>
      </c>
      <c r="GR440" s="100">
        <f>GR448*GR438/100</f>
        <v>556.79481340203949</v>
      </c>
      <c r="GS440" s="98">
        <f t="shared" si="2618"/>
        <v>-6.7900041627493524</v>
      </c>
      <c r="GT440" s="100">
        <f>GT448*GT438/100</f>
        <v>525.78155085169431</v>
      </c>
      <c r="GU440" s="98">
        <f t="shared" si="2618"/>
        <v>-5.5699625434462714</v>
      </c>
      <c r="GV440" s="100">
        <f>GV448*GV438/100</f>
        <v>492.54387643798555</v>
      </c>
      <c r="GW440" s="98">
        <f t="shared" si="2618"/>
        <v>-6.3215748745592659</v>
      </c>
      <c r="GX440" s="100">
        <f>GX448*GX438/100</f>
        <v>458.5002814212458</v>
      </c>
      <c r="GY440" s="98">
        <f t="shared" si="2619"/>
        <v>-6.9117893136625081</v>
      </c>
      <c r="GZ440" s="98">
        <f>IF(ISERROR(((GX440/GN440)^0.2-1)*100),"NA",IF((((GX440/GN440)^0.2-1)*100)&gt;100,"NM",IF((((GX440/GN440)^0.2-1)*100)&lt;-50,"NM",((GX440/GN440)^0.2-1)*100)))</f>
        <v>-6.2465670178936232</v>
      </c>
      <c r="HA440" s="98"/>
      <c r="HB440" s="10"/>
      <c r="HC440"/>
      <c r="HD440"/>
      <c r="HE440"/>
      <c r="HF440"/>
      <c r="HG440"/>
      <c r="HH440"/>
      <c r="HI440" s="10"/>
    </row>
    <row r="441" spans="1:217" s="2" customFormat="1" ht="12.75" customHeight="1" x14ac:dyDescent="0.2">
      <c r="A441" s="2" t="s">
        <v>32</v>
      </c>
      <c r="B441" s="91" t="s">
        <v>307</v>
      </c>
      <c r="C441" s="101"/>
      <c r="D441" s="98"/>
      <c r="E441" s="101"/>
      <c r="F441" s="98"/>
      <c r="G441" s="101"/>
      <c r="H441" s="98"/>
      <c r="I441" s="101"/>
      <c r="J441" s="98"/>
      <c r="K441" s="101"/>
      <c r="L441" s="98"/>
      <c r="M441" s="101"/>
      <c r="N441" s="98"/>
      <c r="O441" s="101"/>
      <c r="P441" s="98"/>
      <c r="Q441" s="101"/>
      <c r="R441" s="98"/>
      <c r="S441" s="101"/>
      <c r="T441" s="98"/>
      <c r="U441" s="101"/>
      <c r="V441" s="98"/>
      <c r="W441" s="101"/>
      <c r="X441" s="98"/>
      <c r="Y441" s="101"/>
      <c r="Z441" s="98"/>
      <c r="AA441" s="101"/>
      <c r="AB441" s="98"/>
      <c r="AC441" s="101"/>
      <c r="AD441" s="98"/>
      <c r="AE441" s="101"/>
      <c r="AF441" s="98"/>
      <c r="AG441" s="101"/>
      <c r="AH441" s="98"/>
      <c r="AI441" s="101"/>
      <c r="AJ441" s="98"/>
      <c r="AK441" s="101"/>
      <c r="AL441" s="98"/>
      <c r="AM441" s="101"/>
      <c r="AN441" s="98"/>
      <c r="AO441" s="101"/>
      <c r="AP441" s="98"/>
      <c r="AQ441" s="101"/>
      <c r="AR441" s="98"/>
      <c r="AS441" s="101"/>
      <c r="AT441" s="98"/>
      <c r="AU441" s="101"/>
      <c r="AV441" s="98"/>
      <c r="AW441" s="101"/>
      <c r="AX441" s="98"/>
      <c r="AY441" s="101"/>
      <c r="AZ441" s="98"/>
      <c r="BA441" s="101"/>
      <c r="BB441" s="98"/>
      <c r="BC441" s="101"/>
      <c r="BD441" s="98"/>
      <c r="BE441" s="101"/>
      <c r="BF441" s="98"/>
      <c r="BG441" s="101"/>
      <c r="BH441" s="98"/>
      <c r="BI441" s="101"/>
      <c r="BJ441" s="98"/>
      <c r="BK441" s="101"/>
      <c r="BL441" s="98"/>
      <c r="BM441" s="101">
        <v>-1410</v>
      </c>
      <c r="BN441" s="98" t="str">
        <f t="shared" si="2560"/>
        <v>NA</v>
      </c>
      <c r="BO441" s="101">
        <v>-1245</v>
      </c>
      <c r="BP441" s="98" t="str">
        <f t="shared" si="2561"/>
        <v>NA</v>
      </c>
      <c r="BQ441" s="101">
        <v>-1154</v>
      </c>
      <c r="BR441" s="98" t="str">
        <f t="shared" si="2562"/>
        <v>NA</v>
      </c>
      <c r="BS441" s="101">
        <v>-1130</v>
      </c>
      <c r="BT441" s="98" t="str">
        <f t="shared" si="2563"/>
        <v>NA</v>
      </c>
      <c r="BU441" s="101">
        <v>-1615</v>
      </c>
      <c r="BV441" s="98">
        <f t="shared" si="2564"/>
        <v>14.539007092198574</v>
      </c>
      <c r="BW441" s="101">
        <v>-1413</v>
      </c>
      <c r="BX441" s="98">
        <f t="shared" si="2565"/>
        <v>13.493975903614452</v>
      </c>
      <c r="BY441" s="101">
        <v>-923</v>
      </c>
      <c r="BZ441" s="98">
        <f t="shared" si="2566"/>
        <v>-20.017331022530328</v>
      </c>
      <c r="CA441" s="101">
        <v>-890</v>
      </c>
      <c r="CB441" s="98">
        <f t="shared" si="2567"/>
        <v>-21.238938053097346</v>
      </c>
      <c r="CC441" s="101">
        <v>-1047</v>
      </c>
      <c r="CD441" s="98">
        <f t="shared" si="2568"/>
        <v>-35.170278637770899</v>
      </c>
      <c r="CE441" s="101">
        <v>-852</v>
      </c>
      <c r="CF441" s="98">
        <f t="shared" si="2569"/>
        <v>-39.702760084925693</v>
      </c>
      <c r="CG441" s="101">
        <v>-834</v>
      </c>
      <c r="CH441" s="98">
        <f t="shared" si="2570"/>
        <v>-9.6424702058504845</v>
      </c>
      <c r="CI441" s="101">
        <v>-1160</v>
      </c>
      <c r="CJ441" s="98">
        <f t="shared" si="2571"/>
        <v>30.337078651685403</v>
      </c>
      <c r="CK441" s="101">
        <v>-999</v>
      </c>
      <c r="CL441" s="98">
        <f t="shared" si="2572"/>
        <v>-4.584527220630374</v>
      </c>
      <c r="CM441" s="101">
        <v>-913</v>
      </c>
      <c r="CN441" s="98">
        <f t="shared" si="2573"/>
        <v>7.1596244131455489</v>
      </c>
      <c r="CO441" s="101">
        <v>-921</v>
      </c>
      <c r="CP441" s="98">
        <f t="shared" si="2574"/>
        <v>10.431654676258994</v>
      </c>
      <c r="CQ441" s="542">
        <v>-991</v>
      </c>
      <c r="CR441" s="98">
        <f t="shared" si="2575"/>
        <v>-14.568965517241384</v>
      </c>
      <c r="CS441" s="101">
        <v>-1300</v>
      </c>
      <c r="CT441" s="98">
        <f t="shared" si="2576"/>
        <v>30.130130130130127</v>
      </c>
      <c r="CU441" s="101">
        <v>-1346</v>
      </c>
      <c r="CV441" s="98">
        <f t="shared" si="2577"/>
        <v>47.426067907995616</v>
      </c>
      <c r="CW441" s="101">
        <v>-905</v>
      </c>
      <c r="CX441" s="98">
        <f t="shared" si="2578"/>
        <v>-1.7372421281216077</v>
      </c>
      <c r="CY441" s="101">
        <v>-861</v>
      </c>
      <c r="CZ441" s="98">
        <f t="shared" si="2579"/>
        <v>-13.118062563067612</v>
      </c>
      <c r="DA441" s="101">
        <v>-1214</v>
      </c>
      <c r="DB441" s="98">
        <f t="shared" si="2580"/>
        <v>-6.6153846153846114</v>
      </c>
      <c r="DC441" s="101">
        <v>-1023</v>
      </c>
      <c r="DD441" s="98">
        <f t="shared" si="2581"/>
        <v>-23.997028231797923</v>
      </c>
      <c r="DE441" s="101">
        <v>-998</v>
      </c>
      <c r="DF441" s="98">
        <f t="shared" si="2582"/>
        <v>10.276243093922655</v>
      </c>
      <c r="DG441" s="101">
        <v>-908</v>
      </c>
      <c r="DH441" s="98">
        <f t="shared" si="2583"/>
        <v>5.4587688734030193</v>
      </c>
      <c r="DI441" s="101">
        <v>-1372</v>
      </c>
      <c r="DJ441" s="98">
        <f t="shared" si="2584"/>
        <v>13.01482701812191</v>
      </c>
      <c r="DK441" s="101">
        <v>-1163</v>
      </c>
      <c r="DL441" s="98">
        <f t="shared" si="2585"/>
        <v>13.685239491691114</v>
      </c>
      <c r="DM441" s="101">
        <v>-912</v>
      </c>
      <c r="DN441" s="98">
        <f t="shared" si="2586"/>
        <v>-8.6172344689378733</v>
      </c>
      <c r="DO441" s="101">
        <v>-894</v>
      </c>
      <c r="DP441" s="98">
        <f t="shared" si="2587"/>
        <v>-1.5418502202643181</v>
      </c>
      <c r="DQ441" s="101">
        <v>-1520</v>
      </c>
      <c r="DR441" s="98">
        <f t="shared" si="2588"/>
        <v>10.787172011661816</v>
      </c>
      <c r="DS441" s="101">
        <v>-389</v>
      </c>
      <c r="DT441" s="98" t="str">
        <f t="shared" si="2589"/>
        <v>NM</v>
      </c>
      <c r="DU441" s="101">
        <v>-449</v>
      </c>
      <c r="DV441" s="98" t="str">
        <f t="shared" si="2590"/>
        <v>NM</v>
      </c>
      <c r="DW441" s="101">
        <v>-346</v>
      </c>
      <c r="DX441" s="98" t="str">
        <f t="shared" si="2591"/>
        <v>NM</v>
      </c>
      <c r="DY441" s="101">
        <v>-404</v>
      </c>
      <c r="DZ441" s="98" t="str">
        <f t="shared" si="2592"/>
        <v>NM</v>
      </c>
      <c r="EA441" s="101">
        <v>-391</v>
      </c>
      <c r="EB441" s="98">
        <f t="shared" si="2593"/>
        <v>0.51413881748072487</v>
      </c>
      <c r="EC441" s="101">
        <v>-316</v>
      </c>
      <c r="ED441" s="98">
        <f t="shared" si="2594"/>
        <v>-29.621380846325163</v>
      </c>
      <c r="EE441" s="101">
        <v>-356</v>
      </c>
      <c r="EF441" s="860">
        <f t="shared" si="2595"/>
        <v>2.8901734104046284</v>
      </c>
      <c r="EG441" s="101">
        <v>-417</v>
      </c>
      <c r="EH441" s="860">
        <f t="shared" si="2596"/>
        <v>3.2178217821782207</v>
      </c>
      <c r="EI441" s="101">
        <v>-358</v>
      </c>
      <c r="EJ441" s="860">
        <f t="shared" si="2597"/>
        <v>-8.4398976982097196</v>
      </c>
      <c r="EK441" s="101">
        <v>-375</v>
      </c>
      <c r="EL441" s="860">
        <f t="shared" si="2598"/>
        <v>18.670886075949376</v>
      </c>
      <c r="EM441" s="101">
        <v>-372</v>
      </c>
      <c r="EN441" s="860">
        <f t="shared" si="2599"/>
        <v>4.4943820224719211</v>
      </c>
      <c r="EO441" s="101">
        <v>-470</v>
      </c>
      <c r="EP441" s="98">
        <f t="shared" si="2600"/>
        <v>12.709832134292576</v>
      </c>
      <c r="EQ441" s="1023">
        <f>EQ438*(-EQ449/400)</f>
        <v>-466.5655498111426</v>
      </c>
      <c r="ER441" s="98">
        <f t="shared" si="2602"/>
        <v>30.325572572944857</v>
      </c>
      <c r="ES441" s="1023">
        <f t="shared" ref="ES441" si="2626">ES438*(-ES449/400)</f>
        <v>-464.17837978834791</v>
      </c>
      <c r="ET441" s="98">
        <f t="shared" si="2604"/>
        <v>23.780901276892784</v>
      </c>
      <c r="EU441" s="1023">
        <f t="shared" ref="EU441" si="2627">EU438*(-EU449/400)</f>
        <v>-461.28056007132682</v>
      </c>
      <c r="EV441" s="98">
        <f t="shared" si="2606"/>
        <v>24.000150556808286</v>
      </c>
      <c r="EW441" s="1023">
        <f t="shared" ref="EW441" si="2628">EW438*(-EW449/400)</f>
        <v>-457.95367386879718</v>
      </c>
      <c r="EX441" s="98">
        <f t="shared" si="2608"/>
        <v>-2.5630481130218707</v>
      </c>
      <c r="EY441" s="119"/>
      <c r="EZ441" s="594"/>
      <c r="FA441" s="405"/>
      <c r="FB441" s="95" t="s">
        <v>494</v>
      </c>
      <c r="FC441" s="98"/>
      <c r="FD441" s="101">
        <v>-3475</v>
      </c>
      <c r="FE441" s="98" t="str">
        <f t="shared" si="2609"/>
        <v>NA</v>
      </c>
      <c r="FF441" s="118"/>
      <c r="FG441" s="98"/>
      <c r="FH441" s="118"/>
      <c r="FI441" s="98"/>
      <c r="FJ441" s="118"/>
      <c r="FK441" s="98"/>
      <c r="FL441" s="118"/>
      <c r="FM441" s="98"/>
      <c r="FN441" s="118"/>
      <c r="FO441" s="98"/>
      <c r="FP441" s="118"/>
      <c r="FQ441" s="98"/>
      <c r="FR441" s="119"/>
      <c r="FS441" s="120"/>
      <c r="FT441" s="119"/>
      <c r="FU441" s="120"/>
      <c r="FV441" s="119">
        <f>BO441+BQ441+BS441+BU441</f>
        <v>-5144</v>
      </c>
      <c r="FW441" s="98" t="str">
        <f t="shared" si="2610"/>
        <v>NA</v>
      </c>
      <c r="FX441" s="485">
        <f>BW441+BY441+CA441+CC441</f>
        <v>-4273</v>
      </c>
      <c r="FY441" s="98">
        <f t="shared" si="2611"/>
        <v>-16.932348367029547</v>
      </c>
      <c r="FZ441" s="119">
        <f>CE441+CG441+CI441+CK441</f>
        <v>-3845</v>
      </c>
      <c r="GA441" s="98">
        <f t="shared" si="2612"/>
        <v>-10.016381933068097</v>
      </c>
      <c r="GB441" s="485">
        <f>CM441+CO441+CQ441+CS441</f>
        <v>-4125</v>
      </c>
      <c r="GC441" s="98">
        <f t="shared" si="2613"/>
        <v>7.2821846553966285</v>
      </c>
      <c r="GD441" s="119">
        <f>CU441+CW441+CY441+DA441</f>
        <v>-4326</v>
      </c>
      <c r="GE441" s="98">
        <f t="shared" si="2614"/>
        <v>4.872727272727273</v>
      </c>
      <c r="GF441" s="119">
        <f>DC441+DE441+DG441+DI441</f>
        <v>-4301</v>
      </c>
      <c r="GG441" s="98">
        <f t="shared" si="2615"/>
        <v>-0.57790106333795999</v>
      </c>
      <c r="GH441" s="119">
        <f>DK441+DM441+DO441+DQ441</f>
        <v>-4489</v>
      </c>
      <c r="GI441" s="98">
        <f t="shared" si="2616"/>
        <v>4.3710764938386326</v>
      </c>
      <c r="GJ441" s="119">
        <f>DS441+DU441+DW441+DY441</f>
        <v>-1588</v>
      </c>
      <c r="GK441" s="98" t="str">
        <f t="shared" si="2617"/>
        <v>NM</v>
      </c>
      <c r="GL441" s="119">
        <f>EA441+EC441+EE441+EG441</f>
        <v>-1480</v>
      </c>
      <c r="GM441" s="98">
        <f t="shared" si="2618"/>
        <v>-6.8010075566750654</v>
      </c>
      <c r="GN441" s="119">
        <f>EI441+EK441+EM441+EO441</f>
        <v>-1575</v>
      </c>
      <c r="GO441" s="98">
        <f t="shared" si="2618"/>
        <v>6.4189189189189255</v>
      </c>
      <c r="GP441" s="119">
        <f>EQ441+ES441+EU441+EW441</f>
        <v>-1849.9781635396143</v>
      </c>
      <c r="GQ441" s="98">
        <f t="shared" si="2618"/>
        <v>17.458931018388203</v>
      </c>
      <c r="GR441" s="100">
        <f>GR438*(-GR449/100)</f>
        <v>-1821.2610203979345</v>
      </c>
      <c r="GS441" s="98">
        <f t="shared" si="2618"/>
        <v>-1.5522963301758397</v>
      </c>
      <c r="GT441" s="100">
        <f>GT438*(-GT449/100)</f>
        <v>-1811.3168188797526</v>
      </c>
      <c r="GU441" s="98">
        <f t="shared" si="2618"/>
        <v>-0.54600638825560432</v>
      </c>
      <c r="GV441" s="100">
        <f>GV438*(-GV449/100)</f>
        <v>-1782.5282248504702</v>
      </c>
      <c r="GW441" s="98">
        <f t="shared" si="2618"/>
        <v>-1.5893737489329651</v>
      </c>
      <c r="GX441" s="100">
        <f>GX438*(-GX449/100)</f>
        <v>-1739.1143334679305</v>
      </c>
      <c r="GY441" s="98">
        <f t="shared" si="2619"/>
        <v>-2.4355233637987195</v>
      </c>
      <c r="GZ441" s="98">
        <f>IF(ISERROR(((GX441/GN441)^0.2-1)*100),"NA",IF((((GX441/GN441)^0.2-1)*100)&gt;100,"NM",IF((((GX441/GN441)^0.2-1)*100)&lt;-50,"NM",((GX441/GN441)^0.2-1)*100)))</f>
        <v>2.0021944746069886</v>
      </c>
      <c r="HA441" s="98"/>
      <c r="HB441" s="10"/>
      <c r="HC441"/>
      <c r="HD441"/>
      <c r="HE441"/>
      <c r="HF441"/>
      <c r="HG441"/>
      <c r="HH441"/>
      <c r="HI441" s="10"/>
    </row>
    <row r="442" spans="1:217" s="2" customFormat="1" ht="12.75" customHeight="1" x14ac:dyDescent="0.2">
      <c r="B442" s="91" t="s">
        <v>308</v>
      </c>
      <c r="C442" s="101"/>
      <c r="D442" s="98"/>
      <c r="E442" s="101"/>
      <c r="F442" s="98"/>
      <c r="G442" s="101"/>
      <c r="H442" s="98"/>
      <c r="I442" s="101"/>
      <c r="J442" s="98"/>
      <c r="K442" s="101"/>
      <c r="L442" s="98"/>
      <c r="M442" s="101"/>
      <c r="N442" s="98"/>
      <c r="O442" s="101"/>
      <c r="P442" s="98"/>
      <c r="Q442" s="101"/>
      <c r="R442" s="98"/>
      <c r="S442" s="101"/>
      <c r="T442" s="98"/>
      <c r="U442" s="101"/>
      <c r="V442" s="98"/>
      <c r="W442" s="101"/>
      <c r="X442" s="98"/>
      <c r="Y442" s="101"/>
      <c r="Z442" s="98"/>
      <c r="AA442" s="101"/>
      <c r="AB442" s="98"/>
      <c r="AC442" s="101"/>
      <c r="AD442" s="98"/>
      <c r="AE442" s="101"/>
      <c r="AF442" s="98"/>
      <c r="AG442" s="101"/>
      <c r="AH442" s="98"/>
      <c r="AI442" s="101"/>
      <c r="AJ442" s="98"/>
      <c r="AK442" s="101"/>
      <c r="AL442" s="98"/>
      <c r="AM442" s="101"/>
      <c r="AN442" s="98"/>
      <c r="AO442" s="101"/>
      <c r="AP442" s="98"/>
      <c r="AQ442" s="101"/>
      <c r="AR442" s="98"/>
      <c r="AS442" s="101"/>
      <c r="AT442" s="98"/>
      <c r="AU442" s="101"/>
      <c r="AV442" s="98"/>
      <c r="AW442" s="101"/>
      <c r="AX442" s="98"/>
      <c r="AY442" s="101"/>
      <c r="AZ442" s="98"/>
      <c r="BA442" s="101"/>
      <c r="BB442" s="98"/>
      <c r="BC442" s="101"/>
      <c r="BD442" s="98"/>
      <c r="BE442" s="101"/>
      <c r="BF442" s="98"/>
      <c r="BG442" s="101"/>
      <c r="BH442" s="98"/>
      <c r="BI442" s="101"/>
      <c r="BJ442" s="98"/>
      <c r="BK442" s="101"/>
      <c r="BL442" s="98"/>
      <c r="BM442" s="101"/>
      <c r="BN442" s="98"/>
      <c r="BO442" s="101"/>
      <c r="BP442" s="98"/>
      <c r="BQ442" s="101"/>
      <c r="BR442" s="98"/>
      <c r="BS442" s="101"/>
      <c r="BT442" s="98"/>
      <c r="BU442" s="101"/>
      <c r="BV442" s="98"/>
      <c r="BW442" s="101"/>
      <c r="BX442" s="98"/>
      <c r="BY442" s="101"/>
      <c r="BZ442" s="98"/>
      <c r="CA442" s="101"/>
      <c r="CB442" s="98"/>
      <c r="CC442" s="101"/>
      <c r="CD442" s="98"/>
      <c r="CE442" s="101"/>
      <c r="CF442" s="98"/>
      <c r="CG442" s="101"/>
      <c r="CH442" s="98"/>
      <c r="CI442" s="101"/>
      <c r="CJ442" s="98"/>
      <c r="CK442" s="101"/>
      <c r="CL442" s="98"/>
      <c r="CM442" s="101"/>
      <c r="CN442" s="98"/>
      <c r="CO442" s="101"/>
      <c r="CP442" s="98"/>
      <c r="CQ442" s="542"/>
      <c r="CR442" s="98"/>
      <c r="CS442" s="101"/>
      <c r="CT442" s="98"/>
      <c r="CU442" s="101"/>
      <c r="CV442" s="98"/>
      <c r="CW442" s="101"/>
      <c r="CX442" s="98"/>
      <c r="CY442" s="101"/>
      <c r="CZ442" s="98"/>
      <c r="DA442" s="101"/>
      <c r="DB442" s="98"/>
      <c r="DC442" s="101"/>
      <c r="DD442" s="98"/>
      <c r="DE442" s="101"/>
      <c r="DF442" s="98"/>
      <c r="DG442" s="101"/>
      <c r="DH442" s="98"/>
      <c r="DI442" s="101"/>
      <c r="DJ442" s="98"/>
      <c r="DK442" s="101"/>
      <c r="DL442" s="98"/>
      <c r="DM442" s="101"/>
      <c r="DN442" s="98"/>
      <c r="DO442" s="101"/>
      <c r="DP442" s="98"/>
      <c r="DQ442" s="101"/>
      <c r="DR442" s="98"/>
      <c r="DS442" s="101">
        <v>-215</v>
      </c>
      <c r="DT442" s="98"/>
      <c r="DU442" s="101">
        <v>-217</v>
      </c>
      <c r="DV442" s="98"/>
      <c r="DW442" s="101">
        <v>-236</v>
      </c>
      <c r="DX442" s="98"/>
      <c r="DY442" s="101">
        <v>-207</v>
      </c>
      <c r="DZ442" s="98"/>
      <c r="EA442" s="101">
        <v>-216</v>
      </c>
      <c r="EB442" s="98"/>
      <c r="EC442" s="101">
        <v>-208</v>
      </c>
      <c r="ED442" s="98"/>
      <c r="EE442" s="101">
        <v>-192</v>
      </c>
      <c r="EF442" s="860">
        <f t="shared" si="2595"/>
        <v>-18.644067796610166</v>
      </c>
      <c r="EG442" s="101">
        <v>-175</v>
      </c>
      <c r="EH442" s="860">
        <f t="shared" si="2596"/>
        <v>-15.458937198067634</v>
      </c>
      <c r="EI442" s="101">
        <v>-199</v>
      </c>
      <c r="EJ442" s="860">
        <f t="shared" si="2597"/>
        <v>-7.870370370370372</v>
      </c>
      <c r="EK442" s="101">
        <v>-178</v>
      </c>
      <c r="EL442" s="860">
        <f t="shared" si="2598"/>
        <v>-14.423076923076927</v>
      </c>
      <c r="EM442" s="101">
        <v>-154</v>
      </c>
      <c r="EN442" s="860">
        <f t="shared" si="2599"/>
        <v>-19.791666666666664</v>
      </c>
      <c r="EO442" s="101">
        <v>-161</v>
      </c>
      <c r="EP442" s="98"/>
      <c r="EQ442" s="1023">
        <f>EQ438*(-EQ450/400)</f>
        <v>-158.04301227573183</v>
      </c>
      <c r="ER442" s="98"/>
      <c r="ES442" s="1023">
        <f t="shared" ref="ES442" si="2629">ES438*(-ES450/400)</f>
        <v>-155.50202697917979</v>
      </c>
      <c r="ET442" s="98"/>
      <c r="EU442" s="1023">
        <f t="shared" ref="EU442" si="2630">EU438*(-EU450/400)</f>
        <v>-152.84721728697866</v>
      </c>
      <c r="EV442" s="98"/>
      <c r="EW442" s="1023">
        <f t="shared" ref="EW442" si="2631">EW438*(-EW450/400)</f>
        <v>-150.10900584892778</v>
      </c>
      <c r="EX442" s="98"/>
      <c r="EY442" s="119"/>
      <c r="EZ442" s="594"/>
      <c r="FA442" s="405"/>
      <c r="FB442" s="95"/>
      <c r="FC442" s="98"/>
      <c r="FD442" s="101"/>
      <c r="FE442" s="98"/>
      <c r="FF442" s="118"/>
      <c r="FG442" s="98"/>
      <c r="FH442" s="118"/>
      <c r="FI442" s="98"/>
      <c r="FJ442" s="118"/>
      <c r="FK442" s="98"/>
      <c r="FL442" s="118"/>
      <c r="FM442" s="98"/>
      <c r="FN442" s="118"/>
      <c r="FO442" s="98"/>
      <c r="FP442" s="118"/>
      <c r="FQ442" s="98"/>
      <c r="FR442" s="119"/>
      <c r="FS442" s="120"/>
      <c r="FT442" s="119"/>
      <c r="FU442" s="120"/>
      <c r="FV442" s="119"/>
      <c r="FW442" s="98"/>
      <c r="FX442" s="485"/>
      <c r="FY442" s="98"/>
      <c r="FZ442" s="119"/>
      <c r="GA442" s="98"/>
      <c r="GB442" s="485"/>
      <c r="GC442" s="98"/>
      <c r="GD442" s="119"/>
      <c r="GE442" s="98"/>
      <c r="GF442" s="119"/>
      <c r="GG442" s="98"/>
      <c r="GH442" s="119"/>
      <c r="GI442" s="98"/>
      <c r="GJ442" s="119">
        <f>DS442+DU442+DW442+DY442</f>
        <v>-875</v>
      </c>
      <c r="GK442" s="98"/>
      <c r="GL442" s="119">
        <f>EA442+EC442+EE442+EG442</f>
        <v>-791</v>
      </c>
      <c r="GM442" s="98"/>
      <c r="GN442" s="119">
        <f>EI442+EK442+EM442+EO442</f>
        <v>-692</v>
      </c>
      <c r="GO442" s="98"/>
      <c r="GP442" s="119">
        <f>EQ442+ES442+EU442+EW442</f>
        <v>-616.50126239081806</v>
      </c>
      <c r="GQ442" s="98"/>
      <c r="GR442" s="100">
        <f>GR438*(-GR450/400)</f>
        <v>-143.66020025276981</v>
      </c>
      <c r="GS442" s="98"/>
      <c r="GT442" s="100">
        <f>GT438*(-GT450/400)</f>
        <v>-135.6583809088506</v>
      </c>
      <c r="GU442" s="98"/>
      <c r="GV442" s="100">
        <f>GV438*(-GV450/400)</f>
        <v>-127.08263478608279</v>
      </c>
      <c r="GW442" s="98"/>
      <c r="GX442" s="100">
        <f>GX438*(-GX450/400)</f>
        <v>-118.29895081541757</v>
      </c>
      <c r="GY442" s="98"/>
      <c r="GZ442" s="98"/>
      <c r="HA442" s="98"/>
      <c r="HB442" s="10"/>
      <c r="HC442"/>
      <c r="HD442"/>
      <c r="HE442"/>
      <c r="HF442"/>
      <c r="HG442"/>
      <c r="HH442"/>
      <c r="HI442" s="10"/>
    </row>
    <row r="443" spans="1:217" s="2" customFormat="1" ht="12.75" customHeight="1" x14ac:dyDescent="0.2">
      <c r="B443" s="91" t="s">
        <v>368</v>
      </c>
      <c r="C443" s="101"/>
      <c r="D443" s="113"/>
      <c r="E443" s="101"/>
      <c r="F443" s="113"/>
      <c r="G443" s="101"/>
      <c r="H443" s="113"/>
      <c r="I443" s="101"/>
      <c r="J443" s="98"/>
      <c r="K443" s="101"/>
      <c r="L443" s="98"/>
      <c r="M443" s="101"/>
      <c r="N443" s="98"/>
      <c r="O443" s="101"/>
      <c r="P443" s="98"/>
      <c r="Q443" s="101"/>
      <c r="R443" s="98"/>
      <c r="S443" s="101"/>
      <c r="T443" s="98"/>
      <c r="U443" s="101"/>
      <c r="V443" s="98"/>
      <c r="W443" s="101"/>
      <c r="X443" s="98"/>
      <c r="Y443" s="101"/>
      <c r="Z443" s="98"/>
      <c r="AA443" s="101"/>
      <c r="AB443" s="98"/>
      <c r="AC443" s="101"/>
      <c r="AD443" s="98"/>
      <c r="AE443" s="101"/>
      <c r="AF443" s="98"/>
      <c r="AG443" s="101"/>
      <c r="AH443" s="98"/>
      <c r="AI443" s="101"/>
      <c r="AJ443" s="98"/>
      <c r="AK443" s="101"/>
      <c r="AL443" s="98"/>
      <c r="AM443" s="101"/>
      <c r="AN443" s="98"/>
      <c r="AO443" s="101"/>
      <c r="AP443" s="98"/>
      <c r="AQ443" s="101"/>
      <c r="AR443" s="98"/>
      <c r="AS443" s="101"/>
      <c r="AT443" s="98"/>
      <c r="AU443" s="101"/>
      <c r="AV443" s="98"/>
      <c r="AW443" s="101"/>
      <c r="AX443" s="98"/>
      <c r="AY443" s="101"/>
      <c r="AZ443" s="98"/>
      <c r="BA443" s="101"/>
      <c r="BB443" s="98"/>
      <c r="BC443" s="101"/>
      <c r="BD443" s="98"/>
      <c r="BE443" s="101"/>
      <c r="BF443" s="98"/>
      <c r="BG443" s="101"/>
      <c r="BH443" s="98"/>
      <c r="BI443" s="101"/>
      <c r="BJ443" s="98"/>
      <c r="BK443" s="101"/>
      <c r="BL443" s="98"/>
      <c r="BM443" s="101">
        <f>-942-276+172-3</f>
        <v>-1049</v>
      </c>
      <c r="BN443" s="98" t="str">
        <f t="shared" ref="BN443:BN445" si="2632">IF(ISERROR((BM443/BE443-1)*100),"NA",IF(((BM443/BE443-1)*100)&gt;100,"NM",IF(((BM443/BE443-1)*100)&lt;-50,"NM",(BM443/BE443-1)*100)))</f>
        <v>NA</v>
      </c>
      <c r="BO443" s="101">
        <f>-307-5-295+265</f>
        <v>-342</v>
      </c>
      <c r="BP443" s="98" t="str">
        <f t="shared" ref="BP443:BP445" si="2633">IF(ISERROR((BO443/BG443-1)*100),"NA",IF(((BO443/BG443-1)*100)&gt;100,"NM",IF(((BO443/BG443-1)*100)&lt;-50,"NM",(BO443/BG443-1)*100)))</f>
        <v>NA</v>
      </c>
      <c r="BQ443" s="101">
        <f>-683-4-287-88</f>
        <v>-1062</v>
      </c>
      <c r="BR443" s="98" t="str">
        <f t="shared" ref="BR443:BR445" si="2634">IF(ISERROR((BQ443/BI443-1)*100),"NA",IF(((BQ443/BI443-1)*100)&gt;100,"NM",IF(((BQ443/BI443-1)*100)&lt;-50,"NM",(BQ443/BI443-1)*100)))</f>
        <v>NA</v>
      </c>
      <c r="BS443" s="101">
        <f>-315-6-267+35</f>
        <v>-553</v>
      </c>
      <c r="BT443" s="98" t="str">
        <f t="shared" ref="BT443:BT445" si="2635">IF(ISERROR((BS443/BK443-1)*100),"NA",IF(((BS443/BK443-1)*100)&gt;100,"NM",IF(((BS443/BK443-1)*100)&lt;-50,"NM",(BS443/BK443-1)*100)))</f>
        <v>NA</v>
      </c>
      <c r="BU443" s="101">
        <f>1-8-287+2002</f>
        <v>1708</v>
      </c>
      <c r="BV443" s="98" t="str">
        <f t="shared" ref="BV443:BV445" si="2636">IF(ISERROR((BU443/BM443-1)*100),"NA",IF(((BU443/BM443-1)*100)&gt;100,"NM",IF(((BU443/BM443-1)*100)&lt;-50,"NM",(BU443/BM443-1)*100)))</f>
        <v>NM</v>
      </c>
      <c r="BW443" s="101">
        <f>-231-11-315-382</f>
        <v>-939</v>
      </c>
      <c r="BX443" s="98" t="str">
        <f t="shared" ref="BX443:BX445" si="2637">IF(ISERROR((BW443/BO443-1)*100),"NA",IF(((BW443/BO443-1)*100)&gt;100,"NM",IF(((BW443/BO443-1)*100)&lt;-50,"NM",(BW443/BO443-1)*100)))</f>
        <v>NM</v>
      </c>
      <c r="BY443" s="101">
        <f>-1217-12-374-958</f>
        <v>-2561</v>
      </c>
      <c r="BZ443" s="98" t="str">
        <f t="shared" ref="BZ443:BZ445" si="2638">IF(ISERROR((BY443/BQ443-1)*100),"NA",IF(((BY443/BQ443-1)*100)&gt;100,"NM",IF(((BY443/BQ443-1)*100)&lt;-50,"NM",(BY443/BQ443-1)*100)))</f>
        <v>NM</v>
      </c>
      <c r="CA443" s="101">
        <f>55639-CA441-CA440-CA439-CA438</f>
        <v>2835</v>
      </c>
      <c r="CB443" s="98" t="str">
        <f t="shared" ref="CB443:CB445" si="2639">IF(ISERROR((CA443/BS443-1)*100),"NA",IF(((CA443/BS443-1)*100)&gt;100,"NM",IF(((CA443/BS443-1)*100)&lt;-50,"NM",(CA443/BS443-1)*100)))</f>
        <v>NM</v>
      </c>
      <c r="CC443" s="101">
        <f>55081-CC441-CC440-CC439-CC438</f>
        <v>-1941</v>
      </c>
      <c r="CD443" s="98" t="str">
        <f t="shared" ref="CD443:CD445" si="2640">IF(ISERROR((CC443/BU443-1)*100),"NA",IF(((CC443/BU443-1)*100)&gt;100,"NM",IF(((CC443/BU443-1)*100)&lt;-50,"NM",(CC443/BU443-1)*100)))</f>
        <v>NM</v>
      </c>
      <c r="CE443" s="101">
        <f>54965-CE441-CE440-CE439-CE438</f>
        <v>-1561</v>
      </c>
      <c r="CF443" s="98">
        <f t="shared" ref="CF443:CF445" si="2641">IF(ISERROR((CE443/BW443-1)*100),"NA",IF(((CE443/BW443-1)*100)&gt;100,"NM",IF(((CE443/BW443-1)*100)&lt;-50,"NM",(CE443/BW443-1)*100)))</f>
        <v>66.240681576144851</v>
      </c>
      <c r="CG443" s="101">
        <f>57356-CG441-CG440-CG439-CG438</f>
        <v>836</v>
      </c>
      <c r="CH443" s="98" t="str">
        <f t="shared" ref="CH443:CH445" si="2642">IF(ISERROR((CG443/BY443-1)*100),"NA",IF(((CG443/BY443-1)*100)&gt;100,"NM",IF(((CG443/BY443-1)*100)&lt;-50,"NM",(CG443/BY443-1)*100)))</f>
        <v>NM</v>
      </c>
      <c r="CI443" s="101">
        <f>57485-CI441-CI440-CI439-CI438</f>
        <v>-1296</v>
      </c>
      <c r="CJ443" s="98" t="str">
        <f t="shared" ref="CJ443:CJ445" si="2643">IF(ISERROR((CI443/CA443-1)*100),"NA",IF(((CI443/CA443-1)*100)&gt;100,"NM",IF(((CI443/CA443-1)*100)&lt;-50,"NM",(CI443/CA443-1)*100)))</f>
        <v>NM</v>
      </c>
      <c r="CK443" s="101">
        <f>55346-CK441-CK440-CK439-CK438</f>
        <v>-3475</v>
      </c>
      <c r="CL443" s="98">
        <f t="shared" ref="CL443:CL445" si="2644">IF(ISERROR((CK443/CC443-1)*100),"NA",IF(((CK443/CC443-1)*100)&gt;100,"NM",IF(((CK443/CC443-1)*100)&lt;-50,"NM",(CK443/CC443-1)*100)))</f>
        <v>79.031427099433273</v>
      </c>
      <c r="CM443" s="101">
        <f>-372-846-17-465</f>
        <v>-1700</v>
      </c>
      <c r="CN443" s="98">
        <f t="shared" ref="CN443:CN445" si="2645">IF(ISERROR((CM443/CE443-1)*100),"NA",IF(((CM443/CE443-1)*100)&gt;100,"NM",IF(((CM443/CE443-1)*100)&lt;-50,"NM",(CM443/CE443-1)*100)))</f>
        <v>8.9045483664317757</v>
      </c>
      <c r="CO443" s="101">
        <f>-376-733-20+191</f>
        <v>-938</v>
      </c>
      <c r="CP443" s="98" t="str">
        <f t="shared" ref="CP443:CP445" si="2646">IF(ISERROR((CO443/CG443-1)*100),"NA",IF(((CO443/CG443-1)*100)&gt;100,"NM",IF(((CO443/CG443-1)*100)&lt;-50,"NM",(CO443/CG443-1)*100)))</f>
        <v>NM</v>
      </c>
      <c r="CQ443" s="542">
        <f>-384-624-19+2941</f>
        <v>1914</v>
      </c>
      <c r="CR443" s="98" t="str">
        <f t="shared" ref="CR443:CR445" si="2647">IF(ISERROR((CQ443/CI443-1)*100),"NA",IF(((CQ443/CI443-1)*100)&gt;100,"NM",IF(((CQ443/CI443-1)*100)&lt;-50,"NM",(CQ443/CI443-1)*100)))</f>
        <v>NM</v>
      </c>
      <c r="CS443" s="101">
        <f>-370-1401-15-694</f>
        <v>-2480</v>
      </c>
      <c r="CT443" s="98">
        <f t="shared" ref="CT443:CT445" si="2648">IF(ISERROR((CS443/CK443-1)*100),"NA",IF(((CS443/CK443-1)*100)&gt;100,"NM",IF(((CS443/CK443-1)*100)&lt;-50,"NM",(CS443/CK443-1)*100)))</f>
        <v>-28.633093525179852</v>
      </c>
      <c r="CU443" s="101">
        <f>-400-1251-15-1460</f>
        <v>-3126</v>
      </c>
      <c r="CV443" s="98">
        <f t="shared" ref="CV443:CV445" si="2649">IF(ISERROR((CU443/CM443-1)*100),"NA",IF(((CU443/CM443-1)*100)&gt;100,"NM",IF(((CU443/CM443-1)*100)&lt;-50,"NM",(CU443/CM443-1)*100)))</f>
        <v>83.882352941176478</v>
      </c>
      <c r="CW443" s="101">
        <f>-391-750-16+1239</f>
        <v>82</v>
      </c>
      <c r="CX443" s="98" t="str">
        <f t="shared" ref="CX443:CX445" si="2650">IF(ISERROR((CW443/CO443-1)*100),"NA",IF(((CW443/CO443-1)*100)&gt;100,"NM",IF(((CW443/CO443-1)*100)&lt;-50,"NM",(CW443/CO443-1)*100)))</f>
        <v>NM</v>
      </c>
      <c r="CY443" s="101">
        <f>-390-604-14-482</f>
        <v>-1490</v>
      </c>
      <c r="CZ443" s="98" t="str">
        <f t="shared" ref="CZ443:CZ445" si="2651">IF(ISERROR((CY443/CQ443-1)*100),"NA",IF(((CY443/CQ443-1)*100)&gt;100,"NM",IF(((CY443/CQ443-1)*100)&lt;-50,"NM",(CY443/CQ443-1)*100)))</f>
        <v>NM</v>
      </c>
      <c r="DA443" s="101">
        <f>-422-335-12+458</f>
        <v>-311</v>
      </c>
      <c r="DB443" s="98" t="str">
        <f t="shared" ref="DB443:DB445" si="2652">IF(ISERROR((DA443/CS443-1)*100),"NA",IF(((DA443/CS443-1)*100)&gt;100,"NM",IF(((DA443/CS443-1)*100)&lt;-50,"NM",(DA443/CS443-1)*100)))</f>
        <v>NM</v>
      </c>
      <c r="DC443" s="101">
        <f>-405-555-12-970</f>
        <v>-1942</v>
      </c>
      <c r="DD443" s="98">
        <f t="shared" ref="DD443:DD445" si="2653">IF(ISERROR((DC443/CU443-1)*100),"NA",IF(((DC443/CU443-1)*100)&gt;100,"NM",IF(((DC443/CU443-1)*100)&lt;-50,"NM",(DC443/CU443-1)*100)))</f>
        <v>-37.875879718490083</v>
      </c>
      <c r="DE443" s="101">
        <f>-420-214-15-584</f>
        <v>-1233</v>
      </c>
      <c r="DF443" s="98" t="str">
        <f t="shared" ref="DF443:DF445" si="2654">IF(ISERROR((DE443/CW443-1)*100),"NA",IF(((DE443/CW443-1)*100)&gt;100,"NM",IF(((DE443/CW443-1)*100)&lt;-50,"NM",(DE443/CW443-1)*100)))</f>
        <v>NM</v>
      </c>
      <c r="DG443" s="101">
        <f>-408+58-13-524</f>
        <v>-887</v>
      </c>
      <c r="DH443" s="98">
        <f t="shared" ref="DH443:DH445" si="2655">IF(ISERROR((DG443/CY443-1)*100),"NA",IF(((DG443/CY443-1)*100)&gt;100,"NM",IF(((DG443/CY443-1)*100)&lt;-50,"NM",(DG443/CY443-1)*100)))</f>
        <v>-40.469798657718123</v>
      </c>
      <c r="DI443" s="101">
        <f>-396-119-12-772</f>
        <v>-1299</v>
      </c>
      <c r="DJ443" s="98" t="str">
        <f t="shared" ref="DJ443:DJ445" si="2656">IF(ISERROR((DI443/DA443-1)*100),"NA",IF(((DI443/DA443-1)*100)&gt;100,"NM",IF(((DI443/DA443-1)*100)&lt;-50,"NM",(DI443/DA443-1)*100)))</f>
        <v>NM</v>
      </c>
      <c r="DK443" s="101">
        <f>-414-21-13+285</f>
        <v>-163</v>
      </c>
      <c r="DL443" s="98" t="str">
        <f t="shared" ref="DL443:DL445" si="2657">IF(ISERROR((DK443/DC443-1)*100),"NA",IF(((DK443/DC443-1)*100)&gt;100,"NM",IF(((DK443/DC443-1)*100)&lt;-50,"NM",(DK443/DC443-1)*100)))</f>
        <v>NM</v>
      </c>
      <c r="DM443" s="101">
        <f>-414-10-14+14</f>
        <v>-424</v>
      </c>
      <c r="DN443" s="98" t="str">
        <f t="shared" ref="DN443:DN445" si="2658">IF(ISERROR((DM443/DE443-1)*100),"NA",IF(((DM443/DE443-1)*100)&gt;100,"NM",IF(((DM443/DE443-1)*100)&lt;-50,"NM",(DM443/DE443-1)*100)))</f>
        <v>NM</v>
      </c>
      <c r="DO443" s="101">
        <f>-415+34-13+654</f>
        <v>260</v>
      </c>
      <c r="DP443" s="98" t="str">
        <f t="shared" ref="DP443:DP445" si="2659">IF(ISERROR((DO443/DG443-1)*100),"NA",IF(((DO443/DG443-1)*100)&gt;100,"NM",IF(((DO443/DG443-1)*100)&lt;-50,"NM",(DO443/DG443-1)*100)))</f>
        <v>NM</v>
      </c>
      <c r="DQ443" s="101">
        <f>-406+2+757-10</f>
        <v>343</v>
      </c>
      <c r="DR443" s="98" t="str">
        <f t="shared" ref="DR443:DR445" si="2660">IF(ISERROR((DQ443/DI443-1)*100),"NA",IF(((DQ443/DI443-1)*100)&gt;100,"NM",IF(((DQ443/DI443-1)*100)&lt;-50,"NM",(DQ443/DI443-1)*100)))</f>
        <v>NM</v>
      </c>
      <c r="DS443" s="101">
        <f>9-6+130</f>
        <v>133</v>
      </c>
      <c r="DT443" s="98" t="str">
        <f t="shared" ref="DT443:DT445" si="2661">IF(ISERROR((DS443/DK443-1)*100),"NA",IF(((DS443/DK443-1)*100)&gt;100,"NM",IF(((DS443/DK443-1)*100)&lt;-50,"NM",(DS443/DK443-1)*100)))</f>
        <v>NM</v>
      </c>
      <c r="DU443" s="101">
        <f>13-6-175</f>
        <v>-168</v>
      </c>
      <c r="DV443" s="98" t="str">
        <f t="shared" ref="DV443:DV445" si="2662">IF(ISERROR((DU443/DM443-1)*100),"NA",IF(((DU443/DM443-1)*100)&gt;100,"NM",IF(((DU443/DM443-1)*100)&lt;-50,"NM",(DU443/DM443-1)*100)))</f>
        <v>NM</v>
      </c>
      <c r="DW443" s="101">
        <f>57-6+635</f>
        <v>686</v>
      </c>
      <c r="DX443" s="98" t="str">
        <f t="shared" ref="DX443:DX445" si="2663">IF(ISERROR((DW443/DO443-1)*100),"NA",IF(((DW443/DO443-1)*100)&gt;100,"NM",IF(((DW443/DO443-1)*100)&lt;-50,"NM",(DW443/DO443-1)*100)))</f>
        <v>NM</v>
      </c>
      <c r="DY443" s="101">
        <f>-26-5-151</f>
        <v>-182</v>
      </c>
      <c r="DZ443" s="98" t="str">
        <f t="shared" ref="DZ443:DZ445" si="2664">IF(ISERROR((DY443/DQ443-1)*100),"NA",IF(((DY443/DQ443-1)*100)&gt;100,"NM",IF(((DY443/DQ443-1)*100)&lt;-50,"NM",(DY443/DQ443-1)*100)))</f>
        <v>NM</v>
      </c>
      <c r="EA443" s="101">
        <f>57-6+355</f>
        <v>406</v>
      </c>
      <c r="EB443" s="98" t="str">
        <f t="shared" ref="EB443:EB445" si="2665">IF(ISERROR((EA443/DS443-1)*100),"NA",IF(((EA443/DS443-1)*100)&gt;100,"NM",IF(((EA443/DS443-1)*100)&lt;-50,"NM",(EA443/DS443-1)*100)))</f>
        <v>NM</v>
      </c>
      <c r="EC443" s="101">
        <f>47-5+1051</f>
        <v>1093</v>
      </c>
      <c r="ED443" s="98" t="str">
        <f t="shared" ref="ED443:ED445" si="2666">IF(ISERROR((EC443/DU443-1)*100),"NA",IF(((EC443/DU443-1)*100)&gt;100,"NM",IF(((EC443/DU443-1)*100)&lt;-50,"NM",(EC443/DU443-1)*100)))</f>
        <v>NM</v>
      </c>
      <c r="EE443" s="101">
        <f>86-5-68</f>
        <v>13</v>
      </c>
      <c r="EF443" s="860" t="str">
        <f t="shared" si="2595"/>
        <v>NM</v>
      </c>
      <c r="EG443" s="101">
        <f>34-5-677</f>
        <v>-648</v>
      </c>
      <c r="EH443" s="860" t="str">
        <f t="shared" si="2596"/>
        <v>NM</v>
      </c>
      <c r="EI443" s="101">
        <f>10-5-552</f>
        <v>-547</v>
      </c>
      <c r="EJ443" s="860" t="str">
        <f t="shared" si="2597"/>
        <v>NM</v>
      </c>
      <c r="EK443" s="101">
        <f>39-5+32</f>
        <v>66</v>
      </c>
      <c r="EL443" s="860" t="str">
        <f t="shared" si="2598"/>
        <v>NM</v>
      </c>
      <c r="EM443" s="101">
        <f>66-5+24</f>
        <v>85</v>
      </c>
      <c r="EN443" s="860" t="str">
        <f t="shared" si="2599"/>
        <v>NM</v>
      </c>
      <c r="EO443" s="101">
        <f>16-4-35</f>
        <v>-23</v>
      </c>
      <c r="EP443" s="98" t="str">
        <f t="shared" ref="EP443:EP445" si="2667">IF(ISERROR((EO443/EG443-1)*100),"NA",IF(((EO443/EG443-1)*100)&gt;100,"NM",IF(((EO443/EG443-1)*100)&lt;-50,"NM",(EO443/EG443-1)*100)))</f>
        <v>NM</v>
      </c>
      <c r="EQ443" s="950">
        <v>50</v>
      </c>
      <c r="ER443" s="98" t="str">
        <f t="shared" ref="ER443:ER445" si="2668">IF(ISERROR((EQ443/EI443-1)*100),"NA",IF(((EQ443/EI443-1)*100)&gt;100,"NM",IF(((EQ443/EI443-1)*100)&lt;-50,"NM",(EQ443/EI443-1)*100)))</f>
        <v>NM</v>
      </c>
      <c r="ES443" s="950">
        <v>50</v>
      </c>
      <c r="ET443" s="98">
        <f t="shared" ref="ET443:ET445" si="2669">IF(ISERROR((ES443/EK443-1)*100),"NA",IF(((ES443/EK443-1)*100)&gt;100,"NM",IF(((ES443/EK443-1)*100)&lt;-50,"NM",(ES443/EK443-1)*100)))</f>
        <v>-24.242424242424242</v>
      </c>
      <c r="EU443" s="950">
        <v>50</v>
      </c>
      <c r="EV443" s="98">
        <f t="shared" ref="EV443:EV445" si="2670">IF(ISERROR((EU443/EM443-1)*100),"NA",IF(((EU443/EM443-1)*100)&gt;100,"NM",IF(((EU443/EM443-1)*100)&lt;-50,"NM",(EU443/EM443-1)*100)))</f>
        <v>-41.17647058823529</v>
      </c>
      <c r="EW443" s="950">
        <v>50</v>
      </c>
      <c r="EX443" s="98" t="str">
        <f t="shared" ref="EX443:EX445" si="2671">IF(ISERROR((EW443/EO443-1)*100),"NA",IF(((EW443/EO443-1)*100)&gt;100,"NM",IF(((EW443/EO443-1)*100)&lt;-50,"NM",(EW443/EO443-1)*100)))</f>
        <v>NM</v>
      </c>
      <c r="EY443" s="101"/>
      <c r="EZ443" s="594"/>
      <c r="FA443" s="405"/>
      <c r="FB443" s="101"/>
      <c r="FC443" s="113"/>
      <c r="FD443" s="101">
        <v>-174</v>
      </c>
      <c r="FE443" s="98" t="str">
        <f t="shared" ref="FE443:FE445" si="2672">IF(ISERROR((FD443/FB443-1)*100),"NA",IF(((FD443/FB443-1)*100)&gt;100,"NM",IF(((FD443/FB443-1)*100)&lt;-50,"NM",(FD443/FB443-1)*100)))</f>
        <v>NA</v>
      </c>
      <c r="FF443" s="118"/>
      <c r="FG443" s="98"/>
      <c r="FH443" s="118"/>
      <c r="FI443" s="98"/>
      <c r="FJ443" s="118"/>
      <c r="FK443" s="98"/>
      <c r="FL443" s="118"/>
      <c r="FM443" s="98"/>
      <c r="FN443" s="118"/>
      <c r="FO443" s="98"/>
      <c r="FP443" s="118"/>
      <c r="FQ443" s="98"/>
      <c r="FR443" s="100"/>
      <c r="FS443" s="120"/>
      <c r="FT443" s="100"/>
      <c r="FU443" s="120"/>
      <c r="FV443" s="100">
        <f>BO443+BQ443+BS443+BU443</f>
        <v>-249</v>
      </c>
      <c r="FW443" s="98" t="str">
        <f t="shared" ref="FW443:FW445" si="2673">IF(ISERROR((FV443/FT443-1)*100),"NA",IF(((FV443/FT443-1)*100)&gt;100,"NM",IF(((FV443/FT443-1)*100)&lt;-50,"NM",(FV443/FT443-1)*100)))</f>
        <v>NA</v>
      </c>
      <c r="FX443" s="485">
        <f>BW443+BY443+CA443+CC443</f>
        <v>-2606</v>
      </c>
      <c r="FY443" s="98" t="str">
        <f t="shared" ref="FY443:FY445" si="2674">IF(ISERROR((FX443/FV443-1)*100),"NA",IF(((FX443/FV443-1)*100)&gt;100,"NM",IF(((FX443/FV443-1)*100)&lt;-50,"NM",(FX443/FV443-1)*100)))</f>
        <v>NM</v>
      </c>
      <c r="FZ443" s="119">
        <f>CE443+CG443+CI443+CK443</f>
        <v>-5496</v>
      </c>
      <c r="GA443" s="98" t="str">
        <f t="shared" ref="GA443:GA445" si="2675">IF(ISERROR((FZ443/FX443-1)*100),"NA",IF(((FZ443/FX443-1)*100)&gt;100,"NM",IF(((FZ443/FX443-1)*100)&lt;-50,"NM",(FZ443/FX443-1)*100)))</f>
        <v>NM</v>
      </c>
      <c r="GB443" s="485">
        <f>CM443+CO443+CQ443+CS443</f>
        <v>-3204</v>
      </c>
      <c r="GC443" s="98">
        <f t="shared" ref="GC443:GC445" si="2676">IF(ISERROR((GB443/FZ443-1)*100),"NA",IF(((GB443/FZ443-1)*100)&gt;100,"NM",IF(((GB443/FZ443-1)*100)&lt;-50,"NM",(GB443/FZ443-1)*100)))</f>
        <v>-41.703056768558952</v>
      </c>
      <c r="GD443" s="119">
        <f>CU443+CW443+CY443+DA443</f>
        <v>-4845</v>
      </c>
      <c r="GE443" s="98">
        <f t="shared" ref="GE443:GE445" si="2677">IF(ISERROR((GD443/GB443-1)*100),"NA",IF(((GD443/GB443-1)*100)&gt;100,"NM",IF(((GD443/GB443-1)*100)&lt;-50,"NM",(GD443/GB443-1)*100)))</f>
        <v>51.21722846441947</v>
      </c>
      <c r="GF443" s="119">
        <f>DC443+DE443+DG443+DI443</f>
        <v>-5361</v>
      </c>
      <c r="GG443" s="98">
        <f t="shared" ref="GG443:GG445" si="2678">IF(ISERROR((GF443/GD443-1)*100),"NA",IF(((GF443/GD443-1)*100)&gt;100,"NM",IF(((GF443/GD443-1)*100)&lt;-50,"NM",(GF443/GD443-1)*100)))</f>
        <v>10.650154798761612</v>
      </c>
      <c r="GH443" s="119">
        <f>DK443+DM443+DO443+DQ443</f>
        <v>16</v>
      </c>
      <c r="GI443" s="98" t="str">
        <f t="shared" ref="GI443:GI445" si="2679">IF(ISERROR((GH443/GF443-1)*100),"NA",IF(((GH443/GF443-1)*100)&gt;100,"NM",IF(((GH443/GF443-1)*100)&lt;-50,"NM",(GH443/GF443-1)*100)))</f>
        <v>NM</v>
      </c>
      <c r="GJ443" s="119">
        <f>DS443+DU443+DW443+DY443</f>
        <v>469</v>
      </c>
      <c r="GK443" s="98" t="str">
        <f t="shared" ref="GK443:GK445" si="2680">IF(ISERROR((GJ443/GH443-1)*100),"NA",IF(((GJ443/GH443-1)*100)&gt;100,"NM",IF(((GJ443/GH443-1)*100)&lt;-50,"NM",(GJ443/GH443-1)*100)))</f>
        <v>NM</v>
      </c>
      <c r="GL443" s="119">
        <f>EA443+EC443+EE443+EG443</f>
        <v>864</v>
      </c>
      <c r="GM443" s="98">
        <f t="shared" ref="GM443:GW445" si="2681">IF(ISERROR((GL443/GJ443-1)*100),"NA",IF(((GL443/GJ443-1)*100)&gt;100,"NM",IF(((GL443/GJ443-1)*100)&lt;-50,"NM",(GL443/GJ443-1)*100)))</f>
        <v>84.221748400852874</v>
      </c>
      <c r="GN443" s="119">
        <f>EI443+EK443+EM443+EO443</f>
        <v>-419</v>
      </c>
      <c r="GO443" s="98" t="str">
        <f t="shared" si="2681"/>
        <v>NM</v>
      </c>
      <c r="GP443" s="119">
        <f>EQ443+ES443+EU443+EW443</f>
        <v>200</v>
      </c>
      <c r="GQ443" s="98" t="str">
        <f t="shared" si="2681"/>
        <v>NM</v>
      </c>
      <c r="GR443" s="101">
        <f>GP443</f>
        <v>200</v>
      </c>
      <c r="GS443" s="98">
        <f t="shared" si="2681"/>
        <v>0</v>
      </c>
      <c r="GT443" s="101">
        <f>GR443</f>
        <v>200</v>
      </c>
      <c r="GU443" s="98">
        <f t="shared" si="2681"/>
        <v>0</v>
      </c>
      <c r="GV443" s="101">
        <f>GT443</f>
        <v>200</v>
      </c>
      <c r="GW443" s="98">
        <f t="shared" si="2681"/>
        <v>0</v>
      </c>
      <c r="GX443" s="101">
        <f>GV443</f>
        <v>200</v>
      </c>
      <c r="GY443" s="98">
        <f t="shared" ref="GY443:GY445" si="2682">IF(ISERROR((GX443/GV443-1)*100),"NA",IF(((GX443/GV443-1)*100)&gt;100,"NM",IF(((GX443/GV443-1)*100)&lt;-50,"NM",(GX443/GV443-1)*100)))</f>
        <v>0</v>
      </c>
      <c r="GZ443" s="98" t="str">
        <f>IF(ISERROR(((GX443/GN443)^0.2-1)*100),"NA",IF((((GX443/GN443)^0.2-1)*100)&gt;100,"NM",IF((((GX443/GN443)^0.2-1)*100)&lt;-50,"NM",((GX443/GN443)^0.2-1)*100)))</f>
        <v>NM</v>
      </c>
      <c r="HA443" s="98"/>
      <c r="HB443" s="10"/>
      <c r="HC443"/>
      <c r="HD443"/>
      <c r="HE443"/>
      <c r="HF443"/>
      <c r="HG443"/>
      <c r="HH443"/>
      <c r="HI443" s="10"/>
    </row>
    <row r="444" spans="1:217" s="2" customFormat="1" ht="12.75" customHeight="1" x14ac:dyDescent="0.2">
      <c r="A444" s="2" t="s">
        <v>66</v>
      </c>
      <c r="B444" s="91" t="s">
        <v>24</v>
      </c>
      <c r="C444" s="117"/>
      <c r="D444" s="98"/>
      <c r="E444" s="117"/>
      <c r="F444" s="98"/>
      <c r="G444" s="117"/>
      <c r="H444" s="98"/>
      <c r="I444" s="117"/>
      <c r="J444" s="98"/>
      <c r="K444" s="117"/>
      <c r="L444" s="98"/>
      <c r="M444" s="117"/>
      <c r="N444" s="98"/>
      <c r="O444" s="117"/>
      <c r="P444" s="98"/>
      <c r="Q444" s="117"/>
      <c r="R444" s="98"/>
      <c r="S444" s="117"/>
      <c r="T444" s="98"/>
      <c r="U444" s="117"/>
      <c r="V444" s="98"/>
      <c r="W444" s="117"/>
      <c r="X444" s="98"/>
      <c r="Y444" s="117"/>
      <c r="Z444" s="98"/>
      <c r="AA444" s="117"/>
      <c r="AB444" s="98"/>
      <c r="AC444" s="117"/>
      <c r="AD444" s="98"/>
      <c r="AE444" s="117"/>
      <c r="AF444" s="98"/>
      <c r="AG444" s="117"/>
      <c r="AH444" s="98"/>
      <c r="AI444" s="117"/>
      <c r="AJ444" s="98"/>
      <c r="AK444" s="117"/>
      <c r="AL444" s="98"/>
      <c r="AM444" s="117"/>
      <c r="AN444" s="98"/>
      <c r="AO444" s="117"/>
      <c r="AP444" s="98"/>
      <c r="AQ444" s="117"/>
      <c r="AR444" s="98"/>
      <c r="AS444" s="117"/>
      <c r="AT444" s="98"/>
      <c r="AU444" s="117"/>
      <c r="AV444" s="98"/>
      <c r="AW444" s="117"/>
      <c r="AX444" s="98"/>
      <c r="AY444" s="117"/>
      <c r="AZ444" s="98"/>
      <c r="BA444" s="117"/>
      <c r="BB444" s="98"/>
      <c r="BC444" s="117"/>
      <c r="BD444" s="98"/>
      <c r="BE444" s="117"/>
      <c r="BF444" s="98"/>
      <c r="BG444" s="117"/>
      <c r="BH444" s="98"/>
      <c r="BI444" s="117"/>
      <c r="BJ444" s="98"/>
      <c r="BK444" s="117"/>
      <c r="BL444" s="98"/>
      <c r="BM444" s="117">
        <f>SUM(BM438:BM443)</f>
        <v>40840</v>
      </c>
      <c r="BN444" s="98" t="str">
        <f t="shared" si="2632"/>
        <v>NA</v>
      </c>
      <c r="BO444" s="117">
        <f>SUM(BO438:BO443)</f>
        <v>41096</v>
      </c>
      <c r="BP444" s="98" t="str">
        <f t="shared" si="2633"/>
        <v>NA</v>
      </c>
      <c r="BQ444" s="117">
        <f>SUM(BQ438:BQ443)</f>
        <v>40916</v>
      </c>
      <c r="BR444" s="98" t="str">
        <f t="shared" si="2634"/>
        <v>NA</v>
      </c>
      <c r="BS444" s="117">
        <f>SUM(BS438:BS443)</f>
        <v>41765</v>
      </c>
      <c r="BT444" s="98" t="str">
        <f t="shared" si="2635"/>
        <v>NA</v>
      </c>
      <c r="BU444" s="117">
        <f>SUM(BU438:BU443)</f>
        <v>47937</v>
      </c>
      <c r="BV444" s="98">
        <f t="shared" si="2636"/>
        <v>17.377571008814897</v>
      </c>
      <c r="BW444" s="117">
        <f>SUM(BW438:BW443)</f>
        <v>51415</v>
      </c>
      <c r="BX444" s="98">
        <f t="shared" si="2637"/>
        <v>25.109499708000783</v>
      </c>
      <c r="BY444" s="117">
        <f>SUM(BY438:BY443)</f>
        <v>51228</v>
      </c>
      <c r="BZ444" s="98">
        <f t="shared" si="2638"/>
        <v>25.202854628995986</v>
      </c>
      <c r="CA444" s="117">
        <f>SUM(CA438:CA443)</f>
        <v>55639</v>
      </c>
      <c r="CB444" s="98">
        <f t="shared" si="2639"/>
        <v>33.219202681671248</v>
      </c>
      <c r="CC444" s="117">
        <f>SUM(CC438:CC443)</f>
        <v>55081</v>
      </c>
      <c r="CD444" s="98">
        <f t="shared" si="2640"/>
        <v>14.902893380895765</v>
      </c>
      <c r="CE444" s="117">
        <f>SUM(CE438:CE443)</f>
        <v>54965</v>
      </c>
      <c r="CF444" s="98">
        <f t="shared" si="2641"/>
        <v>6.9045998249538165</v>
      </c>
      <c r="CG444" s="117">
        <f>SUM(CG438:CG443)</f>
        <v>57356</v>
      </c>
      <c r="CH444" s="98">
        <f t="shared" si="2642"/>
        <v>11.96220816740845</v>
      </c>
      <c r="CI444" s="117">
        <f>SUM(CI438:CI443)</f>
        <v>57485</v>
      </c>
      <c r="CJ444" s="98">
        <f t="shared" si="2643"/>
        <v>3.3178166394076003</v>
      </c>
      <c r="CK444" s="117">
        <f>SUM(CK438:CK443)</f>
        <v>55346</v>
      </c>
      <c r="CL444" s="98">
        <f t="shared" si="2644"/>
        <v>0.4811096385323399</v>
      </c>
      <c r="CM444" s="117">
        <f>SUM(CM438:CM443)</f>
        <v>50334</v>
      </c>
      <c r="CN444" s="98">
        <f t="shared" si="2645"/>
        <v>-8.4253615937414761</v>
      </c>
      <c r="CO444" s="117">
        <f>SUM(CO438:CO443)</f>
        <v>50885</v>
      </c>
      <c r="CP444" s="98">
        <f t="shared" si="2646"/>
        <v>-11.282167515168418</v>
      </c>
      <c r="CQ444" s="486">
        <f>SUM(CQ438:CQ443)</f>
        <v>54991</v>
      </c>
      <c r="CR444" s="98">
        <f t="shared" si="2647"/>
        <v>-4.3385230929807728</v>
      </c>
      <c r="CS444" s="117">
        <f>SUM(CS438:CS443)</f>
        <v>53899</v>
      </c>
      <c r="CT444" s="98">
        <f t="shared" si="2648"/>
        <v>-2.6144617497199429</v>
      </c>
      <c r="CU444" s="117">
        <f>SUM(CU438:CU443)</f>
        <v>51360</v>
      </c>
      <c r="CV444" s="98">
        <f t="shared" si="2649"/>
        <v>2.0383835975682496</v>
      </c>
      <c r="CW444" s="117">
        <f>SUM(CW438:CW443)</f>
        <v>52226</v>
      </c>
      <c r="CX444" s="98">
        <f t="shared" si="2650"/>
        <v>2.6353542301267519</v>
      </c>
      <c r="CY444" s="117">
        <f>SUM(CY438:CY443)</f>
        <v>51590</v>
      </c>
      <c r="CZ444" s="98">
        <f t="shared" si="2651"/>
        <v>-6.1846483970104167</v>
      </c>
      <c r="DA444" s="117">
        <f>SUM(DA438:DA443)</f>
        <v>51542</v>
      </c>
      <c r="DB444" s="98">
        <f t="shared" si="2652"/>
        <v>-4.3729939330970913</v>
      </c>
      <c r="DC444" s="117">
        <f>SUM(DC438:DC443)</f>
        <v>50020</v>
      </c>
      <c r="DD444" s="98">
        <f t="shared" si="2653"/>
        <v>-2.6090342679127687</v>
      </c>
      <c r="DE444" s="117">
        <f>SUM(DE438:DE443)</f>
        <v>48990</v>
      </c>
      <c r="DF444" s="98">
        <f t="shared" si="2654"/>
        <v>-6.1961475127331189</v>
      </c>
      <c r="DG444" s="117">
        <f>SUM(DG438:DG443)</f>
        <v>48428</v>
      </c>
      <c r="DH444" s="98">
        <f t="shared" si="2655"/>
        <v>-6.1290947858112066</v>
      </c>
      <c r="DI444" s="117">
        <f>SUM(DI438:DI443)</f>
        <v>46988</v>
      </c>
      <c r="DJ444" s="98">
        <f t="shared" si="2656"/>
        <v>-8.8355127856893372</v>
      </c>
      <c r="DK444" s="117">
        <f>SUM(DK438:DK443)</f>
        <v>46899</v>
      </c>
      <c r="DL444" s="98">
        <f t="shared" si="2657"/>
        <v>-6.2395041983206667</v>
      </c>
      <c r="DM444" s="117">
        <f>SUM(DM438:DM443)</f>
        <v>46809</v>
      </c>
      <c r="DN444" s="98">
        <f t="shared" si="2658"/>
        <v>-4.4519289650949201</v>
      </c>
      <c r="DO444" s="117">
        <f>SUM(DO438:DO443)</f>
        <v>47529</v>
      </c>
      <c r="DP444" s="98">
        <f t="shared" si="2659"/>
        <v>-1.8563640868918818</v>
      </c>
      <c r="DQ444" s="117">
        <f>SUM(DQ438:DQ443)</f>
        <v>47601</v>
      </c>
      <c r="DR444" s="98">
        <f t="shared" si="2660"/>
        <v>1.3045884055503443</v>
      </c>
      <c r="DS444" s="117">
        <f>SUM(DS438:DS443)</f>
        <v>21540</v>
      </c>
      <c r="DT444" s="98" t="str">
        <f t="shared" si="2661"/>
        <v>NM</v>
      </c>
      <c r="DU444" s="117">
        <f>SUM(DU438:DU443)</f>
        <v>21221</v>
      </c>
      <c r="DV444" s="98" t="str">
        <f t="shared" si="2662"/>
        <v>NM</v>
      </c>
      <c r="DW444" s="117">
        <f>SUM(DW438:DW443)</f>
        <v>21900</v>
      </c>
      <c r="DX444" s="98" t="str">
        <f t="shared" si="2663"/>
        <v>NM</v>
      </c>
      <c r="DY444" s="117">
        <f>SUM(DY438:DY443)</f>
        <v>21653</v>
      </c>
      <c r="DZ444" s="98" t="str">
        <f t="shared" si="2664"/>
        <v>NM</v>
      </c>
      <c r="EA444" s="117">
        <f>SUM(EA438:EA443)</f>
        <v>22135</v>
      </c>
      <c r="EB444" s="98">
        <f t="shared" si="2665"/>
        <v>2.7623026926648198</v>
      </c>
      <c r="EC444" s="117">
        <f>SUM(EC438:EC443)</f>
        <v>23239</v>
      </c>
      <c r="ED444" s="98">
        <f t="shared" si="2666"/>
        <v>9.5094481881155435</v>
      </c>
      <c r="EE444" s="117">
        <f>SUM(EE438:EE443)</f>
        <v>23100</v>
      </c>
      <c r="EF444" s="860">
        <f t="shared" si="2595"/>
        <v>5.4794520547945202</v>
      </c>
      <c r="EG444" s="117">
        <f>SUM(EG438:EG443)</f>
        <v>22264</v>
      </c>
      <c r="EH444" s="860">
        <f t="shared" si="2596"/>
        <v>2.8217798919318415</v>
      </c>
      <c r="EI444" s="117">
        <f>SUM(EI438:EI443)</f>
        <v>21522</v>
      </c>
      <c r="EJ444" s="860">
        <f t="shared" si="2597"/>
        <v>-2.7693697763722658</v>
      </c>
      <c r="EK444" s="117">
        <f>SUM(EK438:EK443)</f>
        <v>21329</v>
      </c>
      <c r="EL444" s="860">
        <f t="shared" si="2598"/>
        <v>-8.2189422952794864</v>
      </c>
      <c r="EM444" s="117">
        <f>SUM(EM438:EM443)</f>
        <v>21180</v>
      </c>
      <c r="EN444" s="860">
        <f t="shared" si="2599"/>
        <v>-8.3116883116883145</v>
      </c>
      <c r="EO444" s="117">
        <f>SUM(EO438:EO443)</f>
        <v>20791</v>
      </c>
      <c r="EP444" s="98">
        <f t="shared" si="2667"/>
        <v>-6.6160618038088366</v>
      </c>
      <c r="EQ444" s="792">
        <f>SUM(EQ438:EQ443)</f>
        <v>20456.726282105763</v>
      </c>
      <c r="ER444" s="98">
        <f t="shared" si="2668"/>
        <v>-4.949696672680215</v>
      </c>
      <c r="ES444" s="792">
        <f t="shared" ref="ES444" si="2683">SUM(ES438:ES443)</f>
        <v>20107.478646821168</v>
      </c>
      <c r="ET444" s="98">
        <f t="shared" si="2669"/>
        <v>-5.7270446489701037</v>
      </c>
      <c r="EU444" s="792">
        <f t="shared" ref="EU444" si="2684">SUM(EU438:EU443)</f>
        <v>19747.259278759568</v>
      </c>
      <c r="EV444" s="98">
        <f t="shared" si="2670"/>
        <v>-6.7645926404175327</v>
      </c>
      <c r="EW444" s="792">
        <f t="shared" ref="EW444" si="2685">SUM(EW438:EW443)</f>
        <v>19379.290234522792</v>
      </c>
      <c r="EX444" s="98">
        <f t="shared" si="2671"/>
        <v>-6.790004162749308</v>
      </c>
      <c r="EY444" s="118"/>
      <c r="EZ444" s="594"/>
      <c r="FA444" s="405"/>
      <c r="FB444" s="101">
        <v>21045</v>
      </c>
      <c r="FC444" s="98"/>
      <c r="FD444" s="117">
        <f>SUM(FD438:FD443)</f>
        <v>20966</v>
      </c>
      <c r="FE444" s="98">
        <f t="shared" si="2672"/>
        <v>-0.37538607745307706</v>
      </c>
      <c r="FF444" s="118"/>
      <c r="FG444" s="98"/>
      <c r="FH444" s="118"/>
      <c r="FI444" s="98"/>
      <c r="FJ444" s="118"/>
      <c r="FK444" s="98"/>
      <c r="FL444" s="118"/>
      <c r="FM444" s="98"/>
      <c r="FN444" s="118"/>
      <c r="FO444" s="98"/>
      <c r="FP444" s="118"/>
      <c r="FQ444" s="98"/>
      <c r="FR444" s="119"/>
      <c r="FS444" s="120"/>
      <c r="FT444" s="119"/>
      <c r="FU444" s="120"/>
      <c r="FV444" s="119">
        <f>SUM(FV438:FV443)</f>
        <v>47937</v>
      </c>
      <c r="FW444" s="98" t="str">
        <f t="shared" si="2673"/>
        <v>NA</v>
      </c>
      <c r="FX444" s="485">
        <f>SUM(FX438:FX443)</f>
        <v>55081</v>
      </c>
      <c r="FY444" s="98">
        <f t="shared" si="2674"/>
        <v>14.902893380895765</v>
      </c>
      <c r="FZ444" s="119">
        <f>SUM(FZ438:FZ443)</f>
        <v>55346</v>
      </c>
      <c r="GA444" s="98">
        <f t="shared" si="2675"/>
        <v>0.4811096385323399</v>
      </c>
      <c r="GB444" s="485">
        <f>SUM(GB438:GB443)</f>
        <v>53899</v>
      </c>
      <c r="GC444" s="98">
        <f t="shared" si="2676"/>
        <v>-2.6144617497199429</v>
      </c>
      <c r="GD444" s="119">
        <f>SUM(GD438:GD443)</f>
        <v>51542</v>
      </c>
      <c r="GE444" s="98">
        <f t="shared" si="2677"/>
        <v>-4.3729939330970913</v>
      </c>
      <c r="GF444" s="119">
        <f>SUM(GF438:GF443)</f>
        <v>46988</v>
      </c>
      <c r="GG444" s="98">
        <f t="shared" si="2678"/>
        <v>-8.8355127856893372</v>
      </c>
      <c r="GH444" s="119">
        <f>SUM(GH438:GH443)</f>
        <v>47601</v>
      </c>
      <c r="GI444" s="98">
        <f t="shared" si="2679"/>
        <v>1.3045884055503443</v>
      </c>
      <c r="GJ444" s="119">
        <f>SUM(GJ438:GJ443)</f>
        <v>21653</v>
      </c>
      <c r="GK444" s="98" t="str">
        <f t="shared" si="2680"/>
        <v>NM</v>
      </c>
      <c r="GL444" s="119">
        <f>SUM(GL438:GL443)</f>
        <v>22264</v>
      </c>
      <c r="GM444" s="98">
        <f t="shared" si="2681"/>
        <v>2.8217798919318415</v>
      </c>
      <c r="GN444" s="119">
        <f>SUM(GN438:GN443)</f>
        <v>20791</v>
      </c>
      <c r="GO444" s="98">
        <f t="shared" si="2681"/>
        <v>-6.6160618038088366</v>
      </c>
      <c r="GP444" s="119">
        <f>SUM(GP438:GP443)</f>
        <v>19379.290234522785</v>
      </c>
      <c r="GQ444" s="98">
        <f t="shared" si="2681"/>
        <v>-6.7900041627493408</v>
      </c>
      <c r="GR444" s="118">
        <f>SUM(GR438:GR443)</f>
        <v>18299.871027274123</v>
      </c>
      <c r="GS444" s="98">
        <f t="shared" si="2681"/>
        <v>-5.5699625434462829</v>
      </c>
      <c r="GT444" s="118">
        <f>SUM(GT438:GT443)</f>
        <v>17143.03097833721</v>
      </c>
      <c r="GU444" s="98">
        <f t="shared" si="2681"/>
        <v>-6.3215748745592659</v>
      </c>
      <c r="GV444" s="118">
        <f>SUM(GV438:GV443)</f>
        <v>15958.140795138646</v>
      </c>
      <c r="GW444" s="98">
        <f t="shared" si="2681"/>
        <v>-6.9117893136625081</v>
      </c>
      <c r="GX444" s="118">
        <f>SUM(GX438:GX443)</f>
        <v>14775.316192276545</v>
      </c>
      <c r="GY444" s="98">
        <f t="shared" si="2682"/>
        <v>-7.4120451626948132</v>
      </c>
      <c r="GZ444" s="98">
        <f>IF(ISERROR(((GX444/GN444)^0.2-1)*100),"NA",IF((((GX444/GN444)^0.2-1)*100)&gt;100,"NM",IF((((GX444/GN444)^0.2-1)*100)&lt;-50,"NM",((GX444/GN444)^0.2-1)*100)))</f>
        <v>-6.6031388118998224</v>
      </c>
      <c r="HA444" s="98"/>
      <c r="HB444" s="10"/>
      <c r="HC444"/>
      <c r="HD444"/>
      <c r="HE444"/>
      <c r="HF444"/>
      <c r="HG444"/>
      <c r="HH444"/>
      <c r="HI444" s="10"/>
    </row>
    <row r="445" spans="1:217" s="2" customFormat="1" ht="12.75" customHeight="1" x14ac:dyDescent="0.2">
      <c r="B445" s="91" t="s">
        <v>25</v>
      </c>
      <c r="C445" s="117"/>
      <c r="D445" s="98"/>
      <c r="E445" s="117"/>
      <c r="F445" s="98"/>
      <c r="G445" s="117"/>
      <c r="H445" s="98"/>
      <c r="I445" s="117"/>
      <c r="J445" s="98"/>
      <c r="K445" s="117"/>
      <c r="L445" s="98"/>
      <c r="M445" s="117"/>
      <c r="N445" s="98"/>
      <c r="O445" s="117"/>
      <c r="P445" s="98"/>
      <c r="Q445" s="117"/>
      <c r="R445" s="98"/>
      <c r="S445" s="117"/>
      <c r="T445" s="98"/>
      <c r="U445" s="117"/>
      <c r="V445" s="98"/>
      <c r="W445" s="117"/>
      <c r="X445" s="98"/>
      <c r="Y445" s="117"/>
      <c r="Z445" s="98"/>
      <c r="AA445" s="117"/>
      <c r="AB445" s="98"/>
      <c r="AC445" s="117"/>
      <c r="AD445" s="98"/>
      <c r="AE445" s="117"/>
      <c r="AF445" s="98"/>
      <c r="AG445" s="117"/>
      <c r="AH445" s="98"/>
      <c r="AI445" s="117"/>
      <c r="AJ445" s="98"/>
      <c r="AK445" s="117"/>
      <c r="AL445" s="98"/>
      <c r="AM445" s="117"/>
      <c r="AN445" s="98"/>
      <c r="AO445" s="117"/>
      <c r="AP445" s="98"/>
      <c r="AQ445" s="117"/>
      <c r="AR445" s="98"/>
      <c r="AS445" s="117"/>
      <c r="AT445" s="98"/>
      <c r="AU445" s="117"/>
      <c r="AV445" s="98"/>
      <c r="AW445" s="117"/>
      <c r="AX445" s="98"/>
      <c r="AY445" s="117"/>
      <c r="AZ445" s="98"/>
      <c r="BA445" s="117"/>
      <c r="BB445" s="98"/>
      <c r="BC445" s="117"/>
      <c r="BD445" s="98"/>
      <c r="BE445" s="117"/>
      <c r="BF445" s="98"/>
      <c r="BG445" s="117"/>
      <c r="BH445" s="98"/>
      <c r="BI445" s="117"/>
      <c r="BJ445" s="98"/>
      <c r="BK445" s="117"/>
      <c r="BL445" s="98"/>
      <c r="BM445" s="117">
        <f>BM438+BM443+0.5*(SUM(BM439:BM441))</f>
        <v>40548</v>
      </c>
      <c r="BN445" s="98" t="str">
        <f t="shared" si="2632"/>
        <v>NA</v>
      </c>
      <c r="BO445" s="117">
        <f>BO438+BO443+0.5*(SUM(BO439:BO441))</f>
        <v>40797</v>
      </c>
      <c r="BP445" s="98" t="str">
        <f t="shared" si="2633"/>
        <v>NA</v>
      </c>
      <c r="BQ445" s="117">
        <f>BQ438+BQ443+0.5*(SUM(BQ439:BQ441))</f>
        <v>40475</v>
      </c>
      <c r="BR445" s="98" t="str">
        <f t="shared" si="2634"/>
        <v>NA</v>
      </c>
      <c r="BS445" s="117">
        <f>BS438+BS443+0.5*(SUM(BS439:BS441))</f>
        <v>41064</v>
      </c>
      <c r="BT445" s="98" t="str">
        <f t="shared" si="2635"/>
        <v>NA</v>
      </c>
      <c r="BU445" s="117">
        <f>BU438+BU443+0.5*(SUM(BU439:BU441))</f>
        <v>45705</v>
      </c>
      <c r="BV445" s="98">
        <f t="shared" si="2636"/>
        <v>12.718259840189393</v>
      </c>
      <c r="BW445" s="117">
        <f>BW438+BW443+0.5*(SUM(BW439:BW441))</f>
        <v>49206.5</v>
      </c>
      <c r="BX445" s="98">
        <f t="shared" si="2637"/>
        <v>20.613035272201397</v>
      </c>
      <c r="BY445" s="117">
        <f>BY438+BY443+0.5*(SUM(BY439:BY441))</f>
        <v>50041</v>
      </c>
      <c r="BZ445" s="98">
        <f t="shared" si="2638"/>
        <v>23.634342186534909</v>
      </c>
      <c r="CA445" s="117">
        <f>CA438+CA443+0.5*(SUM(CA439:CA441))</f>
        <v>54851</v>
      </c>
      <c r="CB445" s="98">
        <f t="shared" si="2639"/>
        <v>33.574420416910186</v>
      </c>
      <c r="CC445" s="117">
        <f>CC438+CC443+0.5*(SUM(CC439:CC441))</f>
        <v>54389.5</v>
      </c>
      <c r="CD445" s="98">
        <f t="shared" si="2640"/>
        <v>19.001203369434428</v>
      </c>
      <c r="CE445" s="117">
        <f>CE438+CE443+0.5*(SUM(CE439:CE441))</f>
        <v>54242.5</v>
      </c>
      <c r="CF445" s="98">
        <f t="shared" si="2641"/>
        <v>10.234420249357301</v>
      </c>
      <c r="CG445" s="117">
        <f>CG438+CG443+0.5*(SUM(CG439:CG441))</f>
        <v>56578.5</v>
      </c>
      <c r="CH445" s="98">
        <f t="shared" si="2642"/>
        <v>13.064287284426769</v>
      </c>
      <c r="CI445" s="117">
        <f>CI438+CI443+0.5*(SUM(CI439:CI441))</f>
        <v>56772.5</v>
      </c>
      <c r="CJ445" s="98">
        <f t="shared" si="2643"/>
        <v>3.5031266522032478</v>
      </c>
      <c r="CK445" s="117">
        <f>CK438+CK443+0.5*(SUM(CK439:CK441))</f>
        <v>54678</v>
      </c>
      <c r="CL445" s="98">
        <f t="shared" si="2644"/>
        <v>0.53043326377333333</v>
      </c>
      <c r="CM445" s="117">
        <f>CM438+CM443+0.5*(SUM(CM439:CM441))</f>
        <v>49747</v>
      </c>
      <c r="CN445" s="98">
        <f t="shared" si="2645"/>
        <v>-8.2877817209752518</v>
      </c>
      <c r="CO445" s="117">
        <f>CO438+CO443+0.5*(SUM(CO439:CO441))</f>
        <v>50140.5</v>
      </c>
      <c r="CP445" s="98">
        <f t="shared" si="2646"/>
        <v>-11.37888067021925</v>
      </c>
      <c r="CQ445" s="486">
        <f>CQ438+CQ443+0.5*(SUM(CQ439:CQ441))</f>
        <v>53895</v>
      </c>
      <c r="CR445" s="98">
        <f t="shared" si="2647"/>
        <v>-5.0684750539433665</v>
      </c>
      <c r="CS445" s="117">
        <f>CS438+CS443+0.5*(SUM(CS439:CS441))</f>
        <v>53205</v>
      </c>
      <c r="CT445" s="98">
        <f t="shared" si="2648"/>
        <v>-2.6939536925271623</v>
      </c>
      <c r="CU445" s="117">
        <f>CU438+CU443+0.5*(SUM(CU439:CU441))</f>
        <v>51066.5</v>
      </c>
      <c r="CV445" s="98">
        <f t="shared" si="2649"/>
        <v>2.652421251532755</v>
      </c>
      <c r="CW445" s="117">
        <f>CW438+CW443+0.5*(SUM(CW439:CW441))</f>
        <v>51834</v>
      </c>
      <c r="CX445" s="98">
        <f t="shared" si="2650"/>
        <v>3.3775091991503858</v>
      </c>
      <c r="CY445" s="117">
        <f>CY438+CY443+0.5*(SUM(CY439:CY441))</f>
        <v>51163</v>
      </c>
      <c r="CZ445" s="98">
        <f t="shared" si="2651"/>
        <v>-5.0691158734576529</v>
      </c>
      <c r="DA445" s="117">
        <f>DA438+DA443+0.5*(SUM(DA439:DA441))</f>
        <v>51410.5</v>
      </c>
      <c r="DB445" s="98">
        <f t="shared" si="2652"/>
        <v>-3.3728033079597819</v>
      </c>
      <c r="DC445" s="117">
        <f>DC438+DC443+0.5*(SUM(DC439:DC441))</f>
        <v>49810</v>
      </c>
      <c r="DD445" s="98">
        <f t="shared" si="2653"/>
        <v>-2.4605171687897109</v>
      </c>
      <c r="DE445" s="117">
        <f>DE438+DE443+0.5*(SUM(DE439:DE441))</f>
        <v>48888.5</v>
      </c>
      <c r="DF445" s="98">
        <f t="shared" si="2654"/>
        <v>-5.6825635683142366</v>
      </c>
      <c r="DG445" s="117">
        <f>DG438+DG443+0.5*(SUM(DG439:DG441))</f>
        <v>48265.5</v>
      </c>
      <c r="DH445" s="98">
        <f t="shared" si="2655"/>
        <v>-5.663272286613374</v>
      </c>
      <c r="DI445" s="117">
        <f>DI438+DI443+0.5*(SUM(DI439:DI441))</f>
        <v>47058.5</v>
      </c>
      <c r="DJ445" s="98">
        <f t="shared" si="2656"/>
        <v>-8.4651967983194076</v>
      </c>
      <c r="DK445" s="117">
        <f>DK438+DK443+0.5*(SUM(DK439:DK441))</f>
        <v>46862</v>
      </c>
      <c r="DL445" s="98">
        <f t="shared" si="2657"/>
        <v>-5.9184902629993985</v>
      </c>
      <c r="DM445" s="117">
        <f>DM438+DM443+0.5*(SUM(DM439:DM441))</f>
        <v>46642</v>
      </c>
      <c r="DN445" s="98">
        <f t="shared" si="2658"/>
        <v>-4.5951501886946851</v>
      </c>
      <c r="DO445" s="117">
        <f>DO438+DO443+0.5*(SUM(DO439:DO441))</f>
        <v>47299</v>
      </c>
      <c r="DP445" s="98">
        <f t="shared" si="2659"/>
        <v>-2.0024655292082305</v>
      </c>
      <c r="DQ445" s="117">
        <f>DQ438+DQ443+0.5*(SUM(DQ439:DQ441))</f>
        <v>47736.5</v>
      </c>
      <c r="DR445" s="98">
        <f t="shared" si="2660"/>
        <v>1.4407599052243425</v>
      </c>
      <c r="DS445" s="117">
        <f>DS438+DS443+0.5*(SUM(DS439:DS441))</f>
        <v>21722.5</v>
      </c>
      <c r="DT445" s="98" t="str">
        <f t="shared" si="2661"/>
        <v>NM</v>
      </c>
      <c r="DU445" s="117">
        <f>DU438+DU443+0.5*(SUM(DU439:DU441))</f>
        <v>21405</v>
      </c>
      <c r="DV445" s="98" t="str">
        <f t="shared" si="2662"/>
        <v>NM</v>
      </c>
      <c r="DW445" s="117">
        <f>DW438+DW443+0.5*(SUM(DW439:DW441))</f>
        <v>22021.5</v>
      </c>
      <c r="DX445" s="98" t="str">
        <f t="shared" si="2663"/>
        <v>NM</v>
      </c>
      <c r="DY445" s="117">
        <f>DY438+DY443+0.5*(SUM(DY439:DY441))</f>
        <v>21789</v>
      </c>
      <c r="DZ445" s="98" t="str">
        <f t="shared" si="2664"/>
        <v>NM</v>
      </c>
      <c r="EA445" s="117">
        <f>EA438+EA443+0.5*(SUM(EA439:EA441))</f>
        <v>22205</v>
      </c>
      <c r="EB445" s="98">
        <f t="shared" si="2665"/>
        <v>2.2211992174013151</v>
      </c>
      <c r="EC445" s="117">
        <f>EC438+EC443+0.5*(SUM(EC439:EC441))</f>
        <v>23337.5</v>
      </c>
      <c r="ED445" s="98">
        <f t="shared" si="2666"/>
        <v>9.0282644241999499</v>
      </c>
      <c r="EE445" s="117">
        <f>EE438+EE443+0.5*(SUM(EE439:EE441))</f>
        <v>23272</v>
      </c>
      <c r="EF445" s="860">
        <f t="shared" si="2595"/>
        <v>5.6785414254251432</v>
      </c>
      <c r="EG445" s="117">
        <f>EG438+EG443+0.5*(SUM(EG439:EG441))</f>
        <v>22445.5</v>
      </c>
      <c r="EH445" s="860">
        <f t="shared" si="2596"/>
        <v>3.0129882050575985</v>
      </c>
      <c r="EI445" s="117">
        <f>EI438+EI443+0.5*(SUM(EI439:EI441))</f>
        <v>21719</v>
      </c>
      <c r="EJ445" s="860">
        <f t="shared" si="2597"/>
        <v>-2.1886962395856746</v>
      </c>
      <c r="EK445" s="117">
        <f>EK438+EK443+0.5*(SUM(EK439:EK441))</f>
        <v>21547.5</v>
      </c>
      <c r="EL445" s="860">
        <f t="shared" si="2598"/>
        <v>-7.6700589180503487</v>
      </c>
      <c r="EM445" s="117">
        <f>EM438+EM443+0.5*(SUM(EM439:EM441))</f>
        <v>21374</v>
      </c>
      <c r="EN445" s="860">
        <f t="shared" si="2599"/>
        <v>-8.1557236163630087</v>
      </c>
      <c r="EO445" s="117">
        <f>EO438+EO443+0.5*(SUM(EO439:EO441))</f>
        <v>21054.5</v>
      </c>
      <c r="EP445" s="98">
        <f t="shared" si="2667"/>
        <v>-6.1972332984339795</v>
      </c>
      <c r="EQ445" s="117">
        <f>EQ438+EQ443+0.5*(SUM(EQ439:EQ441))</f>
        <v>20727.884647190745</v>
      </c>
      <c r="ER445" s="98">
        <f t="shared" si="2668"/>
        <v>-4.5633562908478975</v>
      </c>
      <c r="ES445" s="117">
        <f t="shared" ref="ES445" si="2686">ES438+ES443+0.5*(SUM(ES439:ES441))</f>
        <v>20384.853477953056</v>
      </c>
      <c r="ET445" s="98">
        <f t="shared" si="2669"/>
        <v>-5.3957374268334801</v>
      </c>
      <c r="EU445" s="117">
        <f t="shared" ref="EU445" si="2687">EU438+EU443+0.5*(SUM(EU439:EU441))</f>
        <v>20028.792571433853</v>
      </c>
      <c r="EV445" s="98">
        <f t="shared" si="2670"/>
        <v>-6.2936625272113194</v>
      </c>
      <c r="EW445" s="117">
        <f t="shared" ref="EW445" si="2688">EW438+EW443+0.5*(SUM(EW439:EW441))</f>
        <v>19663.329259565642</v>
      </c>
      <c r="EX445" s="98">
        <f t="shared" si="2671"/>
        <v>-6.6074746036921201</v>
      </c>
      <c r="EY445" s="118"/>
      <c r="EZ445" s="594"/>
      <c r="FA445" s="405"/>
      <c r="FB445" s="117">
        <f>AVERAGE(FB438,FB444)</f>
        <v>21045</v>
      </c>
      <c r="FC445" s="98"/>
      <c r="FD445" s="117">
        <f>AVERAGE(FD438,FD444)</f>
        <v>21005.5</v>
      </c>
      <c r="FE445" s="98">
        <f t="shared" si="2672"/>
        <v>-0.18769303872653298</v>
      </c>
      <c r="FF445" s="118"/>
      <c r="FG445" s="98"/>
      <c r="FH445" s="118"/>
      <c r="FI445" s="98"/>
      <c r="FJ445" s="118"/>
      <c r="FK445" s="98"/>
      <c r="FL445" s="118"/>
      <c r="FM445" s="98"/>
      <c r="FN445" s="118"/>
      <c r="FO445" s="98"/>
      <c r="FP445" s="118"/>
      <c r="FQ445" s="98"/>
      <c r="FR445" s="119"/>
      <c r="FS445" s="120"/>
      <c r="FT445" s="119"/>
      <c r="FU445" s="120"/>
      <c r="FV445" s="119">
        <f>AVERAGE(FV438,FV444)</f>
        <v>44388.5</v>
      </c>
      <c r="FW445" s="98" t="str">
        <f t="shared" si="2673"/>
        <v>NA</v>
      </c>
      <c r="FX445" s="485">
        <f>AVERAGE(FX438,FX444)</f>
        <v>51509</v>
      </c>
      <c r="FY445" s="98">
        <f t="shared" si="2674"/>
        <v>16.041317007783551</v>
      </c>
      <c r="FZ445" s="119">
        <f>AVERAGE(FZ438,FZ444)</f>
        <v>55213.5</v>
      </c>
      <c r="GA445" s="98">
        <f t="shared" si="2675"/>
        <v>7.1919470383816408</v>
      </c>
      <c r="GB445" s="485">
        <f>AVERAGE(GB438,GB444)</f>
        <v>52379.5</v>
      </c>
      <c r="GC445" s="98">
        <f t="shared" si="2676"/>
        <v>-5.1328026660146575</v>
      </c>
      <c r="GD445" s="119">
        <f>AVERAGE(GD438,GD444)</f>
        <v>52720.5</v>
      </c>
      <c r="GE445" s="98">
        <f t="shared" si="2677"/>
        <v>0.65101805095504339</v>
      </c>
      <c r="GF445" s="119">
        <f>AVERAGE(GF438,GF444)</f>
        <v>49265</v>
      </c>
      <c r="GG445" s="98">
        <f t="shared" si="2678"/>
        <v>-6.5543763811041211</v>
      </c>
      <c r="GH445" s="119">
        <f>AVERAGE(GH438,GH444)</f>
        <v>47294.5</v>
      </c>
      <c r="GI445" s="98">
        <f t="shared" si="2679"/>
        <v>-3.9997970161372187</v>
      </c>
      <c r="GJ445" s="119">
        <f>AVERAGE(GJ438,GJ444)</f>
        <v>21605</v>
      </c>
      <c r="GK445" s="98" t="str">
        <f t="shared" si="2680"/>
        <v>NM</v>
      </c>
      <c r="GL445" s="119">
        <f>AVERAGE(GL438,GL444)</f>
        <v>21958.5</v>
      </c>
      <c r="GM445" s="98">
        <f t="shared" si="2681"/>
        <v>1.63619532515622</v>
      </c>
      <c r="GN445" s="119">
        <f>AVERAGE(GN438,GN444)</f>
        <v>21527.5</v>
      </c>
      <c r="GO445" s="98">
        <f t="shared" si="2681"/>
        <v>-1.9627934512831069</v>
      </c>
      <c r="GP445" s="119">
        <f>AVERAGE(GP438,GP444)</f>
        <v>20085.145117261392</v>
      </c>
      <c r="GQ445" s="98">
        <f t="shared" si="2681"/>
        <v>-6.7000575205602537</v>
      </c>
      <c r="GR445" s="118">
        <f>AVERAGE(GR438,GR444)</f>
        <v>18839.580630898454</v>
      </c>
      <c r="GS445" s="98">
        <f t="shared" si="2681"/>
        <v>-6.2014213942247594</v>
      </c>
      <c r="GT445" s="118">
        <f>AVERAGE(GT438,GT444)</f>
        <v>17721.451002805668</v>
      </c>
      <c r="GU445" s="98">
        <f t="shared" si="2681"/>
        <v>-5.9350027476671174</v>
      </c>
      <c r="GV445" s="118">
        <f>AVERAGE(GV438,GV444)</f>
        <v>16550.585886737928</v>
      </c>
      <c r="GW445" s="98">
        <f t="shared" si="2681"/>
        <v>-6.6070499299542007</v>
      </c>
      <c r="GX445" s="118">
        <f>AVERAGE(GX438,GX444)</f>
        <v>15366.728493707596</v>
      </c>
      <c r="GY445" s="98">
        <f t="shared" si="2682"/>
        <v>-7.1529636541686648</v>
      </c>
      <c r="GZ445" s="98">
        <f>IF(ISERROR(((GX445/GN445)^0.2-1)*100),"NA",IF((((GX445/GN445)^0.2-1)*100)&gt;100,"NM",IF((((GX445/GN445)^0.2-1)*100)&lt;-50,"NM",((GX445/GN445)^0.2-1)*100)))</f>
        <v>-6.5202453140619454</v>
      </c>
      <c r="HA445" s="98"/>
      <c r="HB445" s="10"/>
      <c r="HC445"/>
      <c r="HD445"/>
      <c r="HE445"/>
      <c r="HF445"/>
      <c r="HG445"/>
      <c r="HH445"/>
      <c r="HI445" s="10"/>
    </row>
    <row r="446" spans="1:217" s="2" customFormat="1" ht="12.75" customHeight="1" x14ac:dyDescent="0.2">
      <c r="B446" s="158"/>
      <c r="C446" s="112"/>
      <c r="D446" s="113"/>
      <c r="E446" s="112"/>
      <c r="F446" s="113"/>
      <c r="G446" s="112"/>
      <c r="H446" s="113"/>
      <c r="I446" s="112"/>
      <c r="J446" s="98"/>
      <c r="K446" s="112"/>
      <c r="L446" s="98"/>
      <c r="M446" s="112"/>
      <c r="N446" s="98"/>
      <c r="O446" s="112"/>
      <c r="P446" s="98"/>
      <c r="Q446" s="112"/>
      <c r="R446" s="98"/>
      <c r="S446" s="112"/>
      <c r="T446" s="98"/>
      <c r="U446" s="112"/>
      <c r="V446" s="98"/>
      <c r="W446" s="112"/>
      <c r="X446" s="98"/>
      <c r="Y446" s="112"/>
      <c r="Z446" s="98"/>
      <c r="AA446" s="112"/>
      <c r="AB446" s="98"/>
      <c r="AC446" s="112"/>
      <c r="AD446" s="98"/>
      <c r="AE446" s="112"/>
      <c r="AF446" s="98"/>
      <c r="AG446" s="112"/>
      <c r="AH446" s="98"/>
      <c r="AI446" s="112"/>
      <c r="AJ446" s="98"/>
      <c r="AK446" s="112"/>
      <c r="AL446" s="98"/>
      <c r="AM446" s="112"/>
      <c r="AN446" s="98"/>
      <c r="AO446" s="112"/>
      <c r="AP446" s="98"/>
      <c r="AQ446" s="112"/>
      <c r="AR446" s="98"/>
      <c r="AS446" s="112"/>
      <c r="AT446" s="98"/>
      <c r="AU446" s="112"/>
      <c r="AV446" s="98"/>
      <c r="AW446" s="112"/>
      <c r="AX446" s="98"/>
      <c r="AY446" s="112"/>
      <c r="AZ446" s="98"/>
      <c r="BA446" s="112"/>
      <c r="BB446" s="98"/>
      <c r="BC446" s="112"/>
      <c r="BD446" s="98"/>
      <c r="BE446" s="112"/>
      <c r="BF446" s="98"/>
      <c r="BG446" s="112"/>
      <c r="BH446" s="98"/>
      <c r="BI446" s="112"/>
      <c r="BJ446" s="98"/>
      <c r="BK446" s="112"/>
      <c r="BL446" s="98"/>
      <c r="BM446" s="112"/>
      <c r="BN446" s="98"/>
      <c r="BO446" s="112"/>
      <c r="BP446" s="98"/>
      <c r="BQ446" s="112"/>
      <c r="BR446" s="98"/>
      <c r="BS446" s="112"/>
      <c r="BT446" s="98"/>
      <c r="BU446" s="112"/>
      <c r="BV446" s="98"/>
      <c r="BW446" s="112"/>
      <c r="BX446" s="98"/>
      <c r="BY446" s="112"/>
      <c r="BZ446" s="98"/>
      <c r="CA446" s="112"/>
      <c r="CB446" s="98"/>
      <c r="CC446" s="112"/>
      <c r="CD446" s="98"/>
      <c r="CE446" s="112"/>
      <c r="CF446" s="98"/>
      <c r="CG446" s="112"/>
      <c r="CH446" s="98"/>
      <c r="CI446" s="112"/>
      <c r="CJ446" s="98"/>
      <c r="CK446" s="112"/>
      <c r="CL446" s="98"/>
      <c r="CM446" s="112"/>
      <c r="CN446" s="98"/>
      <c r="CO446" s="112"/>
      <c r="CP446" s="98"/>
      <c r="CQ446" s="543"/>
      <c r="CR446" s="98"/>
      <c r="CS446" s="112"/>
      <c r="CT446" s="98"/>
      <c r="CU446" s="112"/>
      <c r="CV446" s="98"/>
      <c r="CW446" s="112"/>
      <c r="CX446" s="98"/>
      <c r="CY446" s="112"/>
      <c r="CZ446" s="98"/>
      <c r="DA446" s="112"/>
      <c r="DB446" s="98"/>
      <c r="DC446" s="112"/>
      <c r="DD446" s="98"/>
      <c r="DE446" s="112"/>
      <c r="DF446" s="98"/>
      <c r="DG446" s="112"/>
      <c r="DH446" s="98"/>
      <c r="DI446" s="112"/>
      <c r="DJ446" s="98"/>
      <c r="DK446" s="112"/>
      <c r="DL446" s="98"/>
      <c r="DM446" s="112"/>
      <c r="DN446" s="98"/>
      <c r="DO446" s="112"/>
      <c r="DP446" s="98"/>
      <c r="DQ446" s="112"/>
      <c r="DR446" s="98"/>
      <c r="DS446" s="112"/>
      <c r="DT446" s="98"/>
      <c r="DU446" s="112"/>
      <c r="DV446" s="98"/>
      <c r="DW446" s="112"/>
      <c r="DX446" s="98"/>
      <c r="DY446" s="112"/>
      <c r="DZ446" s="98"/>
      <c r="EA446" s="112"/>
      <c r="EB446" s="98"/>
      <c r="EC446" s="112"/>
      <c r="ED446" s="98"/>
      <c r="EE446" s="112"/>
      <c r="EF446" s="860"/>
      <c r="EG446" s="112"/>
      <c r="EH446" s="860"/>
      <c r="EI446" s="112"/>
      <c r="EJ446" s="860"/>
      <c r="EK446" s="112"/>
      <c r="EL446" s="860"/>
      <c r="EM446" s="112"/>
      <c r="EN446" s="860"/>
      <c r="EO446" s="112"/>
      <c r="EP446" s="98"/>
      <c r="EQ446" s="1022"/>
      <c r="ER446" s="98"/>
      <c r="ES446" s="1022"/>
      <c r="ET446" s="98"/>
      <c r="EU446" s="1022"/>
      <c r="EV446" s="98"/>
      <c r="EW446" s="1022"/>
      <c r="EX446" s="98"/>
      <c r="EY446" s="114"/>
      <c r="EZ446" s="594"/>
      <c r="FA446" s="405"/>
      <c r="FB446" s="112"/>
      <c r="FC446" s="113"/>
      <c r="FD446" s="112"/>
      <c r="FE446" s="113"/>
      <c r="FF446" s="114"/>
      <c r="FG446" s="113"/>
      <c r="FH446" s="114"/>
      <c r="FI446" s="113"/>
      <c r="FJ446" s="114"/>
      <c r="FK446" s="113"/>
      <c r="FL446" s="114"/>
      <c r="FM446" s="113"/>
      <c r="FN446" s="114"/>
      <c r="FO446" s="113"/>
      <c r="FP446" s="114"/>
      <c r="FQ446" s="113"/>
      <c r="FR446" s="115"/>
      <c r="FS446" s="116"/>
      <c r="FT446" s="115"/>
      <c r="FU446" s="116"/>
      <c r="FV446" s="115"/>
      <c r="FW446" s="98"/>
      <c r="FX446" s="484"/>
      <c r="FY446" s="98"/>
      <c r="FZ446" s="115"/>
      <c r="GA446" s="98"/>
      <c r="GB446" s="484"/>
      <c r="GC446" s="98"/>
      <c r="GD446" s="115"/>
      <c r="GE446" s="98"/>
      <c r="GF446" s="115"/>
      <c r="GG446" s="98"/>
      <c r="GH446" s="115"/>
      <c r="GI446" s="98"/>
      <c r="GJ446" s="115"/>
      <c r="GK446" s="98"/>
      <c r="GL446" s="115"/>
      <c r="GM446" s="98"/>
      <c r="GN446" s="115"/>
      <c r="GO446" s="98"/>
      <c r="GP446" s="115"/>
      <c r="GQ446" s="98"/>
      <c r="GR446" s="114"/>
      <c r="GS446" s="98"/>
      <c r="GT446" s="114"/>
      <c r="GU446" s="98"/>
      <c r="GV446" s="114"/>
      <c r="GW446" s="98"/>
      <c r="GX446" s="114"/>
      <c r="GY446" s="98"/>
      <c r="GZ446" s="98"/>
      <c r="HA446" s="98"/>
      <c r="HB446" s="10"/>
      <c r="HC446"/>
      <c r="HD446"/>
      <c r="HE446"/>
      <c r="HF446"/>
      <c r="HG446"/>
      <c r="HH446"/>
      <c r="HI446" s="10"/>
    </row>
    <row r="447" spans="1:217" s="2" customFormat="1" ht="12.75" customHeight="1" x14ac:dyDescent="0.2">
      <c r="B447" s="91" t="s">
        <v>353</v>
      </c>
      <c r="C447" s="99"/>
      <c r="D447" s="113"/>
      <c r="E447" s="99"/>
      <c r="F447" s="113"/>
      <c r="G447" s="99"/>
      <c r="H447" s="113"/>
      <c r="I447" s="99"/>
      <c r="J447" s="98"/>
      <c r="K447" s="99"/>
      <c r="L447" s="98"/>
      <c r="M447" s="99"/>
      <c r="N447" s="98"/>
      <c r="O447" s="99"/>
      <c r="P447" s="98"/>
      <c r="Q447" s="99"/>
      <c r="R447" s="98"/>
      <c r="S447" s="99"/>
      <c r="T447" s="98"/>
      <c r="U447" s="99"/>
      <c r="V447" s="98"/>
      <c r="W447" s="99"/>
      <c r="X447" s="98"/>
      <c r="Y447" s="99"/>
      <c r="Z447" s="98"/>
      <c r="AA447" s="99"/>
      <c r="AB447" s="98"/>
      <c r="AC447" s="99"/>
      <c r="AD447" s="98"/>
      <c r="AE447" s="99"/>
      <c r="AF447" s="98"/>
      <c r="AG447" s="99"/>
      <c r="AH447" s="98"/>
      <c r="AI447" s="99"/>
      <c r="AJ447" s="98"/>
      <c r="AK447" s="99"/>
      <c r="AL447" s="98"/>
      <c r="AM447" s="99"/>
      <c r="AN447" s="98"/>
      <c r="AO447" s="99"/>
      <c r="AP447" s="98"/>
      <c r="AQ447" s="99"/>
      <c r="AR447" s="98"/>
      <c r="AS447" s="99"/>
      <c r="AT447" s="98"/>
      <c r="AU447" s="99"/>
      <c r="AV447" s="98"/>
      <c r="AW447" s="99"/>
      <c r="AX447" s="98"/>
      <c r="AY447" s="99"/>
      <c r="AZ447" s="98"/>
      <c r="BA447" s="99"/>
      <c r="BB447" s="98"/>
      <c r="BC447" s="99"/>
      <c r="BD447" s="98"/>
      <c r="BE447" s="99"/>
      <c r="BF447" s="98"/>
      <c r="BG447" s="99"/>
      <c r="BH447" s="98"/>
      <c r="BI447" s="99"/>
      <c r="BJ447" s="98"/>
      <c r="BK447" s="99"/>
      <c r="BL447" s="98"/>
      <c r="BM447" s="99"/>
      <c r="BN447" s="98"/>
      <c r="BO447" s="99"/>
      <c r="BP447" s="98"/>
      <c r="BQ447" s="99"/>
      <c r="BR447" s="98"/>
      <c r="BS447" s="99"/>
      <c r="BT447" s="98"/>
      <c r="BU447" s="99"/>
      <c r="BV447" s="98"/>
      <c r="BW447" s="99"/>
      <c r="BX447" s="98"/>
      <c r="BY447" s="99"/>
      <c r="BZ447" s="98"/>
      <c r="CA447" s="99"/>
      <c r="CB447" s="98"/>
      <c r="CC447" s="99"/>
      <c r="CD447" s="98"/>
      <c r="CE447" s="99"/>
      <c r="CF447" s="98"/>
      <c r="CG447" s="99"/>
      <c r="CH447" s="98"/>
      <c r="CI447" s="99"/>
      <c r="CJ447" s="98"/>
      <c r="CK447" s="99"/>
      <c r="CL447" s="98"/>
      <c r="CM447" s="99"/>
      <c r="CN447" s="98"/>
      <c r="CO447" s="99"/>
      <c r="CP447" s="98"/>
      <c r="CQ447" s="482"/>
      <c r="CR447" s="98"/>
      <c r="CS447" s="99"/>
      <c r="CT447" s="98"/>
      <c r="CU447" s="99"/>
      <c r="CV447" s="98"/>
      <c r="CW447" s="99"/>
      <c r="CX447" s="98"/>
      <c r="CY447" s="99"/>
      <c r="CZ447" s="98"/>
      <c r="DA447" s="99"/>
      <c r="DB447" s="98"/>
      <c r="DC447" s="99"/>
      <c r="DD447" s="98"/>
      <c r="DE447" s="99"/>
      <c r="DF447" s="98"/>
      <c r="DG447" s="99"/>
      <c r="DH447" s="98"/>
      <c r="DI447" s="99"/>
      <c r="DJ447" s="98"/>
      <c r="DK447" s="99"/>
      <c r="DL447" s="98"/>
      <c r="DM447" s="99"/>
      <c r="DN447" s="98"/>
      <c r="DO447" s="99"/>
      <c r="DP447" s="98"/>
      <c r="DQ447" s="99"/>
      <c r="DR447" s="98"/>
      <c r="DS447" s="99">
        <f>DS439+DS441</f>
        <v>-105</v>
      </c>
      <c r="DT447" s="98"/>
      <c r="DU447" s="99">
        <f>DU439+DU441</f>
        <v>-107</v>
      </c>
      <c r="DV447" s="98"/>
      <c r="DW447" s="99">
        <f>DW439+DW441</f>
        <v>57</v>
      </c>
      <c r="DX447" s="98"/>
      <c r="DY447" s="99">
        <f>DY439+DY441</f>
        <v>-33</v>
      </c>
      <c r="DZ447" s="98"/>
      <c r="EA447" s="99">
        <f>EA439+EA441</f>
        <v>126</v>
      </c>
      <c r="EB447" s="98"/>
      <c r="EC447" s="99">
        <f>EC439+EC441</f>
        <v>52</v>
      </c>
      <c r="ED447" s="98"/>
      <c r="EE447" s="99">
        <f>EE439+EE441</f>
        <v>-126</v>
      </c>
      <c r="EF447" s="860"/>
      <c r="EG447" s="99">
        <f>EG439+EG441</f>
        <v>-178</v>
      </c>
      <c r="EH447" s="860"/>
      <c r="EI447" s="99">
        <f>EI439+EI441</f>
        <v>-156</v>
      </c>
      <c r="EJ447" s="860"/>
      <c r="EK447" s="99">
        <f>EK439+EK441</f>
        <v>-240</v>
      </c>
      <c r="EL447" s="860"/>
      <c r="EM447" s="99">
        <f>EM439+EM441</f>
        <v>-238</v>
      </c>
      <c r="EN447" s="860"/>
      <c r="EO447" s="99">
        <f>EO439+EO441</f>
        <v>-361</v>
      </c>
      <c r="EP447" s="98"/>
      <c r="EQ447" s="1006">
        <f>EQ439+EQ441</f>
        <v>-379.36554981114261</v>
      </c>
      <c r="ER447" s="98"/>
      <c r="ES447" s="1006">
        <f t="shared" ref="ES447" si="2689">ES439+ES441</f>
        <v>-394.41837978834792</v>
      </c>
      <c r="ET447" s="98"/>
      <c r="EU447" s="1006">
        <f t="shared" ref="EU447" si="2690">EU439+EU441</f>
        <v>-405.47256007132682</v>
      </c>
      <c r="EV447" s="98"/>
      <c r="EW447" s="1006">
        <f t="shared" ref="EW447" si="2691">EW439+EW441</f>
        <v>-413.30727386879715</v>
      </c>
      <c r="EX447" s="98"/>
      <c r="EY447" s="99"/>
      <c r="EZ447" s="594"/>
      <c r="FA447" s="405"/>
      <c r="FB447" s="95"/>
      <c r="FC447" s="113"/>
      <c r="FD447" s="94"/>
      <c r="FE447" s="98"/>
      <c r="FF447" s="99"/>
      <c r="FG447" s="98"/>
      <c r="FH447" s="99"/>
      <c r="FI447" s="98"/>
      <c r="FJ447" s="99"/>
      <c r="FK447" s="98"/>
      <c r="FL447" s="99"/>
      <c r="FM447" s="98"/>
      <c r="FN447" s="99"/>
      <c r="FO447" s="98"/>
      <c r="FP447" s="99"/>
      <c r="FQ447" s="98"/>
      <c r="FR447" s="99"/>
      <c r="FS447" s="120"/>
      <c r="FT447" s="99"/>
      <c r="FU447" s="120"/>
      <c r="FV447" s="99"/>
      <c r="FW447" s="98"/>
      <c r="FX447" s="482"/>
      <c r="FY447" s="98"/>
      <c r="FZ447" s="99"/>
      <c r="GA447" s="98"/>
      <c r="GB447" s="482"/>
      <c r="GC447" s="98"/>
      <c r="GD447" s="99"/>
      <c r="GE447" s="98"/>
      <c r="GF447" s="99"/>
      <c r="GG447" s="98"/>
      <c r="GH447" s="99"/>
      <c r="GI447" s="98"/>
      <c r="GJ447" s="99">
        <f>GJ439+GJ441</f>
        <v>-188</v>
      </c>
      <c r="GK447" s="98"/>
      <c r="GL447" s="99">
        <f>GL439+GL441</f>
        <v>-126</v>
      </c>
      <c r="GM447" s="98"/>
      <c r="GN447" s="99">
        <f>GN439+GN441</f>
        <v>-995</v>
      </c>
      <c r="GO447" s="98"/>
      <c r="GP447" s="99">
        <f>GP439+GP441</f>
        <v>-1592.5637635396142</v>
      </c>
      <c r="GQ447" s="98"/>
      <c r="GR447" s="99">
        <f>GR439+GR441</f>
        <v>-1692.5538203979345</v>
      </c>
      <c r="GS447" s="98"/>
      <c r="GT447" s="99">
        <f>GT439+GT441</f>
        <v>-1746.9632188797527</v>
      </c>
      <c r="GU447" s="98"/>
      <c r="GV447" s="99">
        <f>GV439+GV441</f>
        <v>-1750.3514248504703</v>
      </c>
      <c r="GW447" s="98"/>
      <c r="GX447" s="99">
        <f>GX439+GX441</f>
        <v>-1723.0259334679304</v>
      </c>
      <c r="GY447" s="98"/>
      <c r="GZ447" s="98">
        <f>IF(ISERROR(((GX447/GN447)^0.2-1)*100),"NA",IF((((GX447/GN447)^0.2-1)*100)&gt;100,"NM",IF((((GX447/GN447)^0.2-1)*100)&lt;-50,"NM",((GX447/GN447)^0.2-1)*100)))</f>
        <v>11.607594209960004</v>
      </c>
      <c r="HA447" s="98"/>
      <c r="HB447" s="10"/>
      <c r="HC447"/>
      <c r="HD447"/>
      <c r="HE447"/>
      <c r="HF447"/>
      <c r="HG447"/>
      <c r="HH447"/>
      <c r="HI447" s="10"/>
    </row>
    <row r="448" spans="1:217" s="2" customFormat="1" ht="12.75" customHeight="1" x14ac:dyDescent="0.2">
      <c r="B448" s="102" t="s">
        <v>369</v>
      </c>
      <c r="C448" s="189"/>
      <c r="D448" s="98"/>
      <c r="E448" s="189"/>
      <c r="F448" s="98"/>
      <c r="G448" s="189"/>
      <c r="H448" s="98"/>
      <c r="I448" s="189"/>
      <c r="J448" s="98"/>
      <c r="K448" s="189"/>
      <c r="L448" s="98"/>
      <c r="M448" s="189"/>
      <c r="N448" s="98"/>
      <c r="O448" s="189"/>
      <c r="P448" s="98"/>
      <c r="Q448" s="189"/>
      <c r="R448" s="98"/>
      <c r="S448" s="189"/>
      <c r="T448" s="98"/>
      <c r="U448" s="189"/>
      <c r="V448" s="98"/>
      <c r="W448" s="189"/>
      <c r="X448" s="98"/>
      <c r="Y448" s="189"/>
      <c r="Z448" s="98"/>
      <c r="AA448" s="189"/>
      <c r="AB448" s="98"/>
      <c r="AC448" s="189"/>
      <c r="AD448" s="98"/>
      <c r="AE448" s="189"/>
      <c r="AF448" s="98"/>
      <c r="AG448" s="189"/>
      <c r="AH448" s="98"/>
      <c r="AI448" s="189"/>
      <c r="AJ448" s="98"/>
      <c r="AK448" s="189"/>
      <c r="AL448" s="98"/>
      <c r="AM448" s="189"/>
      <c r="AN448" s="98"/>
      <c r="AO448" s="189"/>
      <c r="AP448" s="98"/>
      <c r="AQ448" s="189"/>
      <c r="AR448" s="98"/>
      <c r="AS448" s="189"/>
      <c r="AT448" s="98"/>
      <c r="AU448" s="189"/>
      <c r="AV448" s="98"/>
      <c r="AW448" s="189"/>
      <c r="AX448" s="98"/>
      <c r="AY448" s="161"/>
      <c r="AZ448" s="98"/>
      <c r="BA448" s="161"/>
      <c r="BB448" s="98"/>
      <c r="BC448" s="161"/>
      <c r="BD448" s="98"/>
      <c r="BE448" s="161"/>
      <c r="BF448" s="98"/>
      <c r="BG448" s="161"/>
      <c r="BH448" s="98"/>
      <c r="BI448" s="161"/>
      <c r="BJ448" s="98"/>
      <c r="BK448" s="161"/>
      <c r="BL448" s="98"/>
      <c r="BM448" s="161">
        <f>(BM440*4)/BM445*100</f>
        <v>4.1136430896715002</v>
      </c>
      <c r="BN448" s="98" t="str">
        <f>IF(ISERROR((BM448/BE448-1)*100),"NA",IF(((BM448/BE448-1)*100)&gt;100,"NM",IF(((BM448/BE448-1)*100)&lt;-50,"NM",(BM448/BE448-1)*100)))</f>
        <v>NA</v>
      </c>
      <c r="BO448" s="161">
        <f>(BO440*4)/BO445*100</f>
        <v>4.068926636762507</v>
      </c>
      <c r="BP448" s="98" t="str">
        <f>IF(ISERROR((BO448/BG448-1)*100),"NA",IF(((BO448/BG448-1)*100)&gt;100,"NM",IF(((BO448/BG448-1)*100)&lt;-50,"NM",(BO448/BG448-1)*100)))</f>
        <v>NA</v>
      </c>
      <c r="BQ448" s="161">
        <f>(BQ440*4)/BQ445*100</f>
        <v>3.9629400864731315</v>
      </c>
      <c r="BR448" s="98" t="str">
        <f>IF(ISERROR((BQ448/BI448-1)*100),"NA",IF(((BQ448/BI448-1)*100)&gt;100,"NM",IF(((BQ448/BI448-1)*100)&lt;-50,"NM",(BQ448/BI448-1)*100)))</f>
        <v>NA</v>
      </c>
      <c r="BS448" s="161">
        <f>(BS440*4)/BS445*100</f>
        <v>3.9450613676212742</v>
      </c>
      <c r="BT448" s="98" t="str">
        <f>IF(ISERROR((BS448/BK448-1)*100),"NA",IF(((BS448/BK448-1)*100)&gt;100,"NM",IF(((BS448/BK448-1)*100)&lt;-50,"NM",(BS448/BK448-1)*100)))</f>
        <v>NA</v>
      </c>
      <c r="BU448" s="161">
        <f>(BU440*4)/BU445*100</f>
        <v>3.9995624111147579</v>
      </c>
      <c r="BV448" s="98">
        <f>IF(ISERROR((BU448/BM448-1)*100),"NA",IF(((BU448/BM448-1)*100)&gt;100,"NM",IF(((BU448/BM448-1)*100)&lt;-50,"NM",(BU448/BM448-1)*100)))</f>
        <v>-2.7732274305268478</v>
      </c>
      <c r="BW448" s="161">
        <f>(BW440*4)/BW445*100</f>
        <v>4.0238586365622426</v>
      </c>
      <c r="BX448" s="98">
        <f>IF(ISERROR((BW448/BO448-1)*100),"NA",IF(((BW448/BO448-1)*100)&gt;100,"NM",IF(((BW448/BO448-1)*100)&lt;-50,"NM",(BW448/BO448-1)*100)))</f>
        <v>-1.1076139784157779</v>
      </c>
      <c r="BY448" s="161">
        <f>(BY440*4)/BY445*100</f>
        <v>4.2285326032653225</v>
      </c>
      <c r="BZ448" s="98">
        <f>IF(ISERROR((BY448/BQ448-1)*100),"NA",IF(((BY448/BQ448-1)*100)&gt;100,"NM",IF(((BY448/BQ448-1)*100)&lt;-50,"NM",(BY448/BQ448-1)*100)))</f>
        <v>6.7019059333939701</v>
      </c>
      <c r="CA448" s="161">
        <f>(CA440*4)/CA445*100</f>
        <v>3.8066762684363091</v>
      </c>
      <c r="CB448" s="98">
        <f>IF(ISERROR((CA448/BS448-1)*100),"NA",IF(((CA448/BS448-1)*100)&gt;100,"NM",IF(((CA448/BS448-1)*100)&lt;-50,"NM",(CA448/BS448-1)*100)))</f>
        <v>-3.5078059956366703</v>
      </c>
      <c r="CC448" s="161">
        <f>(CC440*4)/CC445*100</f>
        <v>4.2875922742441102</v>
      </c>
      <c r="CD448" s="98">
        <f>IF(ISERROR((CC448/BU448-1)*100),"NA",IF(((CC448/BU448-1)*100)&gt;100,"NM",IF(((CC448/BU448-1)*100)&lt;-50,"NM",(CC448/BU448-1)*100)))</f>
        <v>7.2015344060869957</v>
      </c>
      <c r="CE448" s="161">
        <f>(CE440*4)/CE445*100</f>
        <v>4.1222288795686044</v>
      </c>
      <c r="CF448" s="98">
        <f>IF(ISERROR((CE448/BW448-1)*100),"NA",IF(((CE448/BW448-1)*100)&gt;100,"NM",IF(((CE448/BW448-1)*100)&lt;-50,"NM",(CE448/BW448-1)*100)))</f>
        <v>2.444674425501292</v>
      </c>
      <c r="CG448" s="161">
        <f>(CG440*4)/CG445*100</f>
        <v>3.9661708953047534</v>
      </c>
      <c r="CH448" s="98">
        <f>IF(ISERROR((CG448/BY448-1)*100),"NA",IF(((CG448/BY448-1)*100)&gt;100,"NM",IF(((CG448/BY448-1)*100)&lt;-50,"NM",(CG448/BY448-1)*100)))</f>
        <v>-6.2045568185514322</v>
      </c>
      <c r="CI448" s="161">
        <f>(CI440*4)/CI445*100</f>
        <v>3.8539785987934296</v>
      </c>
      <c r="CJ448" s="98">
        <f>IF(ISERROR((CI448/CA448-1)*100),"NA",IF(((CI448/CA448-1)*100)&gt;100,"NM",IF(((CI448/CA448-1)*100)&lt;-50,"NM",(CI448/CA448-1)*100)))</f>
        <v>1.2426150011582537</v>
      </c>
      <c r="CK448" s="161">
        <f>(CK440*4)/CK445*100</f>
        <v>4.0967116573393323</v>
      </c>
      <c r="CL448" s="98">
        <f>IF(ISERROR((CK448/CC448-1)*100),"NA",IF(((CK448/CC448-1)*100)&gt;100,"NM",IF(((CK448/CC448-1)*100)&lt;-50,"NM",(CK448/CC448-1)*100)))</f>
        <v>-4.4519302371965779</v>
      </c>
      <c r="CM448" s="161">
        <f>(CM440*4)/CM445*100</f>
        <v>3.8514885319717771</v>
      </c>
      <c r="CN448" s="98">
        <f>IF(ISERROR((CM448/CE448-1)*100),"NA",IF(((CM448/CE448-1)*100)&gt;100,"NM",IF(((CM448/CE448-1)*100)&lt;-50,"NM",(CM448/CE448-1)*100)))</f>
        <v>-6.5678145369055922</v>
      </c>
      <c r="CO448" s="161">
        <f>(CO440*4)/CO445*100</f>
        <v>3.8212622530688765</v>
      </c>
      <c r="CP448" s="98">
        <f>IF(ISERROR((CO448/CG448-1)*100),"NA",IF(((CO448/CG448-1)*100)&gt;100,"NM",IF(((CO448/CG448-1)*100)&lt;-50,"NM",(CO448/CG448-1)*100)))</f>
        <v>-3.6536156928442809</v>
      </c>
      <c r="CQ448" s="545">
        <f>(CQ440*4)/CQ445*100</f>
        <v>3.5921699601076171</v>
      </c>
      <c r="CR448" s="98">
        <f>IF(ISERROR((CQ448/CI448-1)*100),"NA",IF(((CQ448/CI448-1)*100)&gt;100,"NM",IF(((CQ448/CI448-1)*100)&lt;-50,"NM",(CQ448/CI448-1)*100)))</f>
        <v>-6.793204268642727</v>
      </c>
      <c r="CS448" s="161">
        <f>(CS440*4)/CS445*100</f>
        <v>3.5485386711775209</v>
      </c>
      <c r="CT448" s="98">
        <f>IF(ISERROR((CS448/CK448-1)*100),"NA",IF(((CS448/CK448-1)*100)&gt;100,"NM",IF(((CS448/CK448-1)*100)&lt;-50,"NM",(CS448/CK448-1)*100)))</f>
        <v>-13.380804704176574</v>
      </c>
      <c r="CU448" s="161">
        <f>(CU440*4)/CU445*100</f>
        <v>3.5248156815133207</v>
      </c>
      <c r="CV448" s="98">
        <f>IF(ISERROR((CU448/CM448-1)*100),"NA",IF(((CU448/CM448-1)*100)&gt;100,"NM",IF(((CU448/CM448-1)*100)&lt;-50,"NM",(CU448/CM448-1)*100)))</f>
        <v>-8.4817297973678656</v>
      </c>
      <c r="CW448" s="161">
        <f>(CW440*4)/CW445*100</f>
        <v>3.4263224910290546</v>
      </c>
      <c r="CX448" s="98">
        <f>IF(ISERROR((CW448/CO448-1)*100),"NA",IF(((CW448/CO448-1)*100)&gt;100,"NM",IF(((CW448/CO448-1)*100)&lt;-50,"NM",(CW448/CO448-1)*100)))</f>
        <v>-10.335322097368316</v>
      </c>
      <c r="CY448" s="161">
        <f>(CY440*4)/CY445*100</f>
        <v>3.5103492758438715</v>
      </c>
      <c r="CZ448" s="98">
        <f>IF(ISERROR((CY448/CQ448-1)*100),"NA",IF(((CY448/CQ448-1)*100)&gt;100,"NM",IF(((CY448/CQ448-1)*100)&lt;-50,"NM",(CY448/CQ448-1)*100)))</f>
        <v>-2.2777509185922362</v>
      </c>
      <c r="DA448" s="161">
        <f>(DA440*4)/DA445*100</f>
        <v>3.3456200581593252</v>
      </c>
      <c r="DB448" s="98">
        <f>IF(ISERROR((DA448/CS448-1)*100),"NA",IF(((DA448/CS448-1)*100)&gt;100,"NM",IF(((DA448/CS448-1)*100)&lt;-50,"NM",(DA448/CS448-1)*100)))</f>
        <v>-5.7183711894243094</v>
      </c>
      <c r="DC448" s="161">
        <f>(DC440*4)/DC445*100</f>
        <v>3.4049387673158003</v>
      </c>
      <c r="DD448" s="98">
        <f>IF(ISERROR((DC448/CU448-1)*100),"NA",IF(((DC448/CU448-1)*100)&gt;100,"NM",IF(((DC448/CU448-1)*100)&lt;-50,"NM",(DC448/CU448-1)*100)))</f>
        <v>-3.40094135492649</v>
      </c>
      <c r="DE448" s="161">
        <f>(DE440*4)/DE445*100</f>
        <v>3.5100279206766416</v>
      </c>
      <c r="DF448" s="98">
        <f>IF(ISERROR((DE448/CW448-1)*100),"NA",IF(((DE448/CW448-1)*100)&gt;100,"NM",IF(((DE448/CW448-1)*100)&lt;-50,"NM",(DE448/CW448-1)*100)))</f>
        <v>2.443010833532111</v>
      </c>
      <c r="DG448" s="161">
        <f>(DG440*4)/DG445*100</f>
        <v>3.4558846380955339</v>
      </c>
      <c r="DH448" s="98">
        <f>IF(ISERROR((DG448/CY448-1)*100),"NA",IF(((DG448/CY448-1)*100)&gt;100,"NM",IF(((DG448/CY448-1)*100)&lt;-50,"NM",(DG448/CY448-1)*100)))</f>
        <v>-1.5515446888185958</v>
      </c>
      <c r="DI448" s="161">
        <f>(DI440*4)/DI445*100</f>
        <v>3.5275242517292305</v>
      </c>
      <c r="DJ448" s="98">
        <f>IF(ISERROR((DI448/DA448-1)*100),"NA",IF(((DI448/DA448-1)*100)&gt;100,"NM",IF(((DI448/DA448-1)*100)&lt;-50,"NM",(DI448/DA448-1)*100)))</f>
        <v>5.4370846183288357</v>
      </c>
      <c r="DK448" s="161">
        <f>(DK440*4)/DK445*100</f>
        <v>3.3716017242115148</v>
      </c>
      <c r="DL448" s="98">
        <f>IF(ISERROR((DK448/DC448-1)*100),"NA",IF(((DK448/DC448-1)*100)&gt;100,"NM",IF(((DK448/DC448-1)*100)&lt;-50,"NM",(DK448/DC448-1)*100)))</f>
        <v>-0.9790790784342307</v>
      </c>
      <c r="DM448" s="161">
        <f>(DM440*4)/DM445*100</f>
        <v>3.4046567471377727</v>
      </c>
      <c r="DN448" s="98">
        <f>IF(ISERROR((DM448/DE448-1)*100),"NA",IF(((DM448/DE448-1)*100)&gt;100,"NM",IF(((DM448/DE448-1)*100)&lt;-50,"NM",(DM448/DE448-1)*100)))</f>
        <v>-3.0020038563840279</v>
      </c>
      <c r="DO448" s="161">
        <f>(DO440*4)/DO445*100</f>
        <v>3.3996490412059455</v>
      </c>
      <c r="DP448" s="98">
        <f>IF(ISERROR((DO448/DG448-1)*100),"NA",IF(((DO448/DG448-1)*100)&gt;100,"NM",IF(((DO448/DG448-1)*100)&lt;-50,"NM",(DO448/DG448-1)*100)))</f>
        <v>-1.6272417276225637</v>
      </c>
      <c r="DQ448" s="161">
        <f>(DQ440*4)/DQ445*100</f>
        <v>3.343353618300462</v>
      </c>
      <c r="DR448" s="98">
        <f>IF(ISERROR((DQ448/DI448-1)*100),"NA",IF(((DQ448/DI448-1)*100)&gt;100,"NM",IF(((DQ448/DI448-1)*100)&lt;-50,"NM",(DQ448/DI448-1)*100)))</f>
        <v>-5.220960092293792</v>
      </c>
      <c r="DS448" s="161">
        <f>(DS440*4)/DS438*100</f>
        <v>3.1544277960755207</v>
      </c>
      <c r="DT448" s="98">
        <f>IF(ISERROR((DS448/DK448-1)*100),"NA",IF(((DS448/DK448-1)*100)&gt;100,"NM",IF(((DS448/DK448-1)*100)&lt;-50,"NM",(DS448/DK448-1)*100)))</f>
        <v>-6.441268747030982</v>
      </c>
      <c r="DU448" s="161">
        <f>(DU440*4)/DU438*100</f>
        <v>3.2126276694521816</v>
      </c>
      <c r="DV448" s="98">
        <f>IF(ISERROR((DU448/DM448-1)*100),"NA",IF(((DU448/DM448-1)*100)&gt;100,"NM",IF(((DU448/DM448-1)*100)&lt;-50,"NM",(DU448/DM448-1)*100)))</f>
        <v>-5.6401890688988265</v>
      </c>
      <c r="DW448" s="161">
        <f>(DW440*4)/DW438*100</f>
        <v>3.2420715329155083</v>
      </c>
      <c r="DX448" s="98">
        <f>IF(ISERROR((DW448/DO448-1)*100),"NA",IF(((DW448/DO448-1)*100)&gt;100,"NM",IF(((DW448/DO448-1)*100)&lt;-50,"NM",(DW448/DO448-1)*100)))</f>
        <v>-4.6351110476550943</v>
      </c>
      <c r="DY448" s="161">
        <f>(DY440*4)/DY438*100</f>
        <v>3.1963470319634704</v>
      </c>
      <c r="DZ448" s="98">
        <f>IF(ISERROR((DY448/DQ448-1)*100),"NA",IF(((DY448/DQ448-1)*100)&gt;100,"NM",IF(((DY448/DQ448-1)*100)&lt;-50,"NM",(DY448/DQ448-1)*100)))</f>
        <v>-4.3969798926540076</v>
      </c>
      <c r="EA448" s="161">
        <f>(EA440*4)/EA438*100</f>
        <v>3.0665496697917147</v>
      </c>
      <c r="EB448" s="98">
        <f>IF(ISERROR((EA448/DS448-1)*100),"NA",IF(((EA448/DS448-1)*100)&gt;100,"NM",IF(((EA448/DS448-1)*100)&lt;-50,"NM",(EA448/DS448-1)*100)))</f>
        <v>-2.7858658357353017</v>
      </c>
      <c r="EC448" s="161">
        <f>(EC440*4)/EC438*100</f>
        <v>3.0178450417890219</v>
      </c>
      <c r="ED448" s="98">
        <f>IF(ISERROR((EC448/DU448-1)*100),"NA",IF(((EC448/DU448-1)*100)&gt;100,"NM",IF(((EC448/DU448-1)*100)&lt;-50,"NM",(EC448/DU448-1)*100)))</f>
        <v>-6.0630315026943045</v>
      </c>
      <c r="EE448" s="161">
        <f>(EE440*4)/EE438*100</f>
        <v>2.8572658031756957</v>
      </c>
      <c r="EF448" s="860">
        <f>IF(ISERROR((EE448/DW448-1)*100),"NA",IF(((EE448/DW448-1)*100)&gt;100,"NM",IF(((EE448/DW448-1)*100)&lt;-50,"NM",(EE448/DW448-1)*100)))</f>
        <v>-11.869131381989195</v>
      </c>
      <c r="EG448" s="161">
        <f>(EG440*4)/EG438*100</f>
        <v>2.8571428571428572</v>
      </c>
      <c r="EH448" s="860">
        <f>IF(ISERROR((EG448/DY448-1)*100),"NA",IF(((EG448/DY448-1)*100)&gt;100,"NM",IF(((EG448/DY448-1)*100)&lt;-50,"NM",(EG448/DY448-1)*100)))</f>
        <v>-10.612244897959178</v>
      </c>
      <c r="EI448" s="161">
        <f>(EI440*4)/EI438*100</f>
        <v>2.8745957599712537</v>
      </c>
      <c r="EJ448" s="860">
        <f t="shared" ref="EJ448:EJ449" si="2692">IF(ISERROR((EI448/EA448-1)*100),"NA",IF(((EI448/EA448-1)*100)&gt;100,"NM",IF(((EI448/EA448-1)*100)&lt;-50,"NM",(EI448/EA448-1)*100)))</f>
        <v>-6.2596054357566882</v>
      </c>
      <c r="EK448" s="161">
        <f>(EK440*4)/EK438*100</f>
        <v>2.9551156955673266</v>
      </c>
      <c r="EL448" s="860">
        <f t="shared" ref="EL448:EL449" si="2693">IF(ISERROR((EK448/EC448-1)*100),"NA",IF(((EK448/EC448-1)*100)&gt;100,"NM",IF(((EK448/EC448-1)*100)&lt;-50,"NM",(EK448/EC448-1)*100)))</f>
        <v>-2.0786138901455531</v>
      </c>
      <c r="EM448" s="161">
        <f>(EM440*4)/EM438*100</f>
        <v>2.9631018800693893</v>
      </c>
      <c r="EN448" s="860">
        <f t="shared" ref="EN448:EN449" si="2694">IF(ISERROR((EM448/EE448-1)*100),"NA",IF(((EM448/EE448-1)*100)&gt;100,"NM",IF(((EM448/EE448-1)*100)&lt;-50,"NM",(EM448/EE448-1)*100)))</f>
        <v>3.7041032995972056</v>
      </c>
      <c r="EO448" s="161">
        <f>(EO440*4)/EO438*100</f>
        <v>2.9461756373937678</v>
      </c>
      <c r="EP448" s="98">
        <f t="shared" ref="EP448:EP449" si="2695">IF(ISERROR((EO448/EG448-1)*100),"NA",IF(((EO448/EG448-1)*100)&gt;100,"NM",IF(((EO448/EG448-1)*100)&lt;-50,"NM",(EO448/EG448-1)*100)))</f>
        <v>3.1161473087818692</v>
      </c>
      <c r="EQ448" s="1035">
        <f>EO448</f>
        <v>2.9461756373937678</v>
      </c>
      <c r="ER448" s="98">
        <f t="shared" ref="ER448:ER449" si="2696">IF(ISERROR((EQ448/EI448-1)*100),"NA",IF(((EQ448/EI448-1)*100)&gt;100,"NM",IF(((EQ448/EI448-1)*100)&lt;-50,"NM",(EQ448/EI448-1)*100)))</f>
        <v>2.4900849858357166</v>
      </c>
      <c r="ES448" s="1035">
        <f t="shared" ref="ES448" si="2697">EQ448</f>
        <v>2.9461756373937678</v>
      </c>
      <c r="ET448" s="98">
        <f t="shared" ref="ET448:ET449" si="2698">IF(ISERROR((ES448/EK448-1)*100),"NA",IF(((ES448/EK448-1)*100)&gt;100,"NM",IF(((ES448/EK448-1)*100)&lt;-50,"NM",(ES448/EK448-1)*100)))</f>
        <v>-0.3025281949863734</v>
      </c>
      <c r="EU448" s="1035">
        <f t="shared" ref="EU448" si="2699">ES448</f>
        <v>2.9461756373937678</v>
      </c>
      <c r="EV448" s="98">
        <f t="shared" ref="EV448:EV449" si="2700">IF(ISERROR((EU448/EM448-1)*100),"NA",IF(((EU448/EM448-1)*100)&gt;100,"NM",IF(((EU448/EM448-1)*100)&lt;-50,"NM",(EU448/EM448-1)*100)))</f>
        <v>-0.57123390827268361</v>
      </c>
      <c r="EW448" s="1035">
        <f t="shared" ref="EW448" si="2701">EU448</f>
        <v>2.9461756373937678</v>
      </c>
      <c r="EX448" s="98">
        <f t="shared" ref="EX448:EX449" si="2702">IF(ISERROR((EW448/EO448-1)*100),"NA",IF(((EW448/EO448-1)*100)&gt;100,"NM",IF(((EW448/EO448-1)*100)&lt;-50,"NM",(EW448/EO448-1)*100)))</f>
        <v>0</v>
      </c>
      <c r="EY448" s="162"/>
      <c r="EZ448" s="597"/>
      <c r="FA448" s="408"/>
      <c r="FB448" s="163" t="s">
        <v>494</v>
      </c>
      <c r="FC448" s="164"/>
      <c r="FD448" s="161">
        <f>(FD440)/FD445*100</f>
        <v>4.8463497655375969</v>
      </c>
      <c r="FE448" s="164" t="str">
        <f>IF(ISERROR((FD448/FB448-1)*100),"NA",IF(((FD448/FB448-1)*100)&gt;100,"NM",IF(((FD448/FB448-1)*100)&lt;-50,"NM",(FD448/FB448-1)*100)))</f>
        <v>NA</v>
      </c>
      <c r="FF448" s="162"/>
      <c r="FG448" s="164"/>
      <c r="FH448" s="162"/>
      <c r="FI448" s="164"/>
      <c r="FJ448" s="162"/>
      <c r="FK448" s="164"/>
      <c r="FL448" s="162"/>
      <c r="FM448" s="164"/>
      <c r="FN448" s="162"/>
      <c r="FO448" s="164"/>
      <c r="FP448" s="162"/>
      <c r="FQ448" s="164"/>
      <c r="FR448" s="165"/>
      <c r="FS448" s="120"/>
      <c r="FT448" s="165"/>
      <c r="FU448" s="120"/>
      <c r="FV448" s="165">
        <f>(FV440)/FV445*100</f>
        <v>3.7802584002613293</v>
      </c>
      <c r="FW448" s="98" t="str">
        <f>IF(ISERROR((FV448/FT448-1)*100),"NA",IF(((FV448/FT448-1)*100)&gt;100,"NM",IF(((FV448/FT448-1)*100)&lt;-50,"NM",(FV448/FT448-1)*100)))</f>
        <v>NA</v>
      </c>
      <c r="FX448" s="496">
        <f>(FX440)/FX445*100</f>
        <v>4.1332582655458268</v>
      </c>
      <c r="FY448" s="98">
        <f>IF(ISERROR((FX448/FV448-1)*100),"NA",IF(((FX448/FV448-1)*100)&gt;100,"NM",IF(((FX448/FV448-1)*100)&lt;-50,"NM",(FX448/FV448-1)*100)))</f>
        <v>9.3379824315738436</v>
      </c>
      <c r="FZ448" s="165">
        <f>(FZ440)/FZ445*100</f>
        <v>4.0334338522281685</v>
      </c>
      <c r="GA448" s="98">
        <f>IF(ISERROR((FZ448/FX448-1)*100),"NA",IF(((FZ448/FX448-1)*100)&gt;100,"NM",IF(((FZ448/FX448-1)*100)&lt;-50,"NM",(FZ448/FX448-1)*100)))</f>
        <v>-2.4151506367211195</v>
      </c>
      <c r="GB448" s="496">
        <f>(GB440)/GB445*100</f>
        <v>3.6541013182638249</v>
      </c>
      <c r="GC448" s="98">
        <f>IF(ISERROR((GB448/FZ448-1)*100),"NA",IF(((GB448/FZ448-1)*100)&gt;100,"NM",IF(((GB448/FZ448-1)*100)&lt;-50,"NM",(GB448/FZ448-1)*100)))</f>
        <v>-9.4047044741985992</v>
      </c>
      <c r="GD448" s="165">
        <f>(GD440)/GD445*100</f>
        <v>3.3630181807835662</v>
      </c>
      <c r="GE448" s="98">
        <f>IF(ISERROR((GD448/GB448-1)*100),"NA",IF(((GD448/GB448-1)*100)&gt;100,"NM",IF(((GD448/GB448-1)*100)&lt;-50,"NM",(GD448/GB448-1)*100)))</f>
        <v>-7.9659295713935263</v>
      </c>
      <c r="GF448" s="165">
        <f>(GF440)/GF445*100</f>
        <v>3.4202780878920125</v>
      </c>
      <c r="GG448" s="98">
        <f>IF(ISERROR((GF448/GD448-1)*100),"NA",IF(((GF448/GD448-1)*100)&gt;100,"NM",IF(((GF448/GD448-1)*100)&lt;-50,"NM",(GF448/GD448-1)*100)))</f>
        <v>1.7026344798143578</v>
      </c>
      <c r="GH448" s="165">
        <f>(GH440)/GH445*100</f>
        <v>3.3682563511613401</v>
      </c>
      <c r="GI448" s="98">
        <f>IF(ISERROR((GH448/GF448-1)*100),"NA",IF(((GH448/GF448-1)*100)&gt;100,"NM",IF(((GH448/GF448-1)*100)&lt;-50,"NM",(GH448/GF448-1)*100)))</f>
        <v>-1.5209797388941126</v>
      </c>
      <c r="GJ448" s="165">
        <f>(GJ440)/GJ438*100</f>
        <v>3.2008164401354544</v>
      </c>
      <c r="GK448" s="98">
        <f>IF(ISERROR((GJ448/GH448-1)*100),"NA",IF(((GJ448/GH448-1)*100)&gt;100,"NM",IF(((GJ448/GH448-1)*100)&lt;-50,"NM",(GJ448/GH448-1)*100)))</f>
        <v>-4.971115424992945</v>
      </c>
      <c r="GL448" s="165">
        <f>(GL440)/GL438*100</f>
        <v>3.0665496697917147</v>
      </c>
      <c r="GM448" s="98">
        <f>IF(ISERROR((GL448/GJ448-1)*100),"NA",IF(((GL448/GJ448-1)*100)&gt;100,"NM",IF(((GL448/GJ448-1)*100)&lt;-50,"NM",(GL448/GJ448-1)*100)))</f>
        <v>-4.1947663308695589</v>
      </c>
      <c r="GN448" s="165">
        <f>(GN440)/GN438*100</f>
        <v>2.8431548688465687</v>
      </c>
      <c r="GO448" s="98">
        <f>IF(ISERROR((GN448/GL448-1)*100),"NA",IF(((GN448/GL448-1)*100)&gt;100,"NM",IF(((GN448/GL448-1)*100)&lt;-50,"NM",(GN448/GL448-1)*100)))</f>
        <v>-7.2848910013030839</v>
      </c>
      <c r="GP448" s="165">
        <f>(GP440)/GP438*100</f>
        <v>2.8731434777221634</v>
      </c>
      <c r="GQ448" s="98">
        <f>IF(ISERROR((GP448/GN448-1)*100),"NA",IF(((GP448/GN448-1)*100)&gt;100,"NM",IF(((GP448/GN448-1)*100)&lt;-50,"NM",(GP448/GN448-1)*100)))</f>
        <v>1.0547652259182305</v>
      </c>
      <c r="GR448" s="110">
        <f>GP448</f>
        <v>2.8731434777221634</v>
      </c>
      <c r="GS448" s="98">
        <f>IF(ISERROR((GR448/GP448-1)*100),"NA",IF(((GR448/GP448-1)*100)&gt;100,"NM",IF(((GR448/GP448-1)*100)&lt;-50,"NM",(GR448/GP448-1)*100)))</f>
        <v>0</v>
      </c>
      <c r="GT448" s="110">
        <f>GR448</f>
        <v>2.8731434777221634</v>
      </c>
      <c r="GU448" s="98">
        <f>IF(ISERROR((GT448/GR448-1)*100),"NA",IF(((GT448/GR448-1)*100)&gt;100,"NM",IF(((GT448/GR448-1)*100)&lt;-50,"NM",(GT448/GR448-1)*100)))</f>
        <v>0</v>
      </c>
      <c r="GV448" s="110">
        <f>GT448</f>
        <v>2.8731434777221634</v>
      </c>
      <c r="GW448" s="98">
        <f>IF(ISERROR((GV448/GT448-1)*100),"NA",IF(((GV448/GT448-1)*100)&gt;100,"NM",IF(((GV448/GT448-1)*100)&lt;-50,"NM",(GV448/GT448-1)*100)))</f>
        <v>0</v>
      </c>
      <c r="GX448" s="110">
        <f>GV448</f>
        <v>2.8731434777221634</v>
      </c>
      <c r="GY448" s="98">
        <f>IF(ISERROR((GX448/GV448-1)*100),"NA",IF(((GX448/GV448-1)*100)&gt;100,"NM",IF(((GX448/GV448-1)*100)&lt;-50,"NM",(GX448/GV448-1)*100)))</f>
        <v>0</v>
      </c>
      <c r="GZ448" s="98">
        <f>IF(ISERROR(((GX448/GN448)^0.2-1)*100),"NA",IF((((GX448/GN448)^0.2-1)*100)&gt;100,"NM",IF((((GX448/GN448)^0.2-1)*100)&lt;-50,"NM",((GX448/GN448)^0.2-1)*100)))</f>
        <v>0.21006861277790279</v>
      </c>
      <c r="HA448" s="98"/>
      <c r="HB448" s="10"/>
      <c r="HC448"/>
      <c r="HD448"/>
      <c r="HE448"/>
      <c r="HF448"/>
      <c r="HG448"/>
      <c r="HH448"/>
      <c r="HI448" s="10"/>
    </row>
    <row r="449" spans="1:217" s="2" customFormat="1" ht="12.75" customHeight="1" x14ac:dyDescent="0.2">
      <c r="B449" s="102" t="s">
        <v>619</v>
      </c>
      <c r="C449" s="137"/>
      <c r="D449" s="98"/>
      <c r="E449" s="137"/>
      <c r="F449" s="98"/>
      <c r="G449" s="137"/>
      <c r="H449" s="98"/>
      <c r="I449" s="137"/>
      <c r="J449" s="98"/>
      <c r="K449" s="137"/>
      <c r="L449" s="98"/>
      <c r="M449" s="137"/>
      <c r="N449" s="98"/>
      <c r="O449" s="137"/>
      <c r="P449" s="98"/>
      <c r="Q449" s="137"/>
      <c r="R449" s="98"/>
      <c r="S449" s="137"/>
      <c r="T449" s="98"/>
      <c r="U449" s="137"/>
      <c r="V449" s="98"/>
      <c r="W449" s="137"/>
      <c r="X449" s="98"/>
      <c r="Y449" s="137"/>
      <c r="Z449" s="98"/>
      <c r="AA449" s="137"/>
      <c r="AB449" s="98"/>
      <c r="AC449" s="137"/>
      <c r="AD449" s="98"/>
      <c r="AE449" s="137"/>
      <c r="AF449" s="98"/>
      <c r="AG449" s="137"/>
      <c r="AH449" s="98"/>
      <c r="AI449" s="137"/>
      <c r="AJ449" s="98"/>
      <c r="AK449" s="137"/>
      <c r="AL449" s="98"/>
      <c r="AM449" s="137"/>
      <c r="AN449" s="98"/>
      <c r="AO449" s="137"/>
      <c r="AP449" s="98"/>
      <c r="AQ449" s="137"/>
      <c r="AR449" s="98"/>
      <c r="AS449" s="137"/>
      <c r="AT449" s="98"/>
      <c r="AU449" s="137"/>
      <c r="AV449" s="98"/>
      <c r="AW449" s="137"/>
      <c r="AX449" s="98"/>
      <c r="AY449" s="137"/>
      <c r="AZ449" s="98"/>
      <c r="BA449" s="137"/>
      <c r="BB449" s="98"/>
      <c r="BC449" s="137"/>
      <c r="BD449" s="98"/>
      <c r="BE449" s="137"/>
      <c r="BF449" s="98"/>
      <c r="BG449" s="137"/>
      <c r="BH449" s="98"/>
      <c r="BI449" s="137"/>
      <c r="BJ449" s="98"/>
      <c r="BK449" s="137"/>
      <c r="BL449" s="98"/>
      <c r="BM449" s="137">
        <f>(-BM441*4)/BM438*100</f>
        <v>13.654521244401405</v>
      </c>
      <c r="BN449" s="98" t="str">
        <f>IF(ISERROR((BM449/BE449-1)*100),"NA",IF(((BM449/BE449-1)*100)&gt;100,"NM",IF(((BM449/BE449-1)*100)&lt;-50,"NM",(BM449/BE449-1)*100)))</f>
        <v>NA</v>
      </c>
      <c r="BO449" s="137">
        <f>(-BO441*4)/BO438*100</f>
        <v>12.193927522037217</v>
      </c>
      <c r="BP449" s="98" t="str">
        <f>IF(ISERROR((BO449/BG449-1)*100),"NA",IF(((BO449/BG449-1)*100)&gt;100,"NM",IF(((BO449/BG449-1)*100)&lt;-50,"NM",(BO449/BG449-1)*100)))</f>
        <v>NA</v>
      </c>
      <c r="BQ449" s="137">
        <f>(-BQ441*4)/BQ438*100</f>
        <v>11.232236714035428</v>
      </c>
      <c r="BR449" s="98" t="str">
        <f>IF(ISERROR((BQ449/BI449-1)*100),"NA",IF(((BQ449/BI449-1)*100)&gt;100,"NM",IF(((BQ449/BI449-1)*100)&lt;-50,"NM",(BQ449/BI449-1)*100)))</f>
        <v>NA</v>
      </c>
      <c r="BS449" s="137">
        <f>(-BS441*4)/BS438*100</f>
        <v>11.047023169420275</v>
      </c>
      <c r="BT449" s="98" t="str">
        <f>IF(ISERROR((BS449/BK449-1)*100),"NA",IF(((BS449/BK449-1)*100)&gt;100,"NM",IF(((BS449/BK449-1)*100)&lt;-50,"NM",(BS449/BK449-1)*100)))</f>
        <v>NA</v>
      </c>
      <c r="BU449" s="137">
        <f>(-BU441*4)/BU438*100</f>
        <v>15.467496707769662</v>
      </c>
      <c r="BV449" s="98">
        <f>IF(ISERROR((BU449/BM449-1)*100),"NA",IF(((BU449/BM449-1)*100)&gt;100,"NM",IF(((BU449/BM449-1)*100)&lt;-50,"NM",(BU449/BM449-1)*100)))</f>
        <v>13.277473672770546</v>
      </c>
      <c r="BW449" s="137">
        <f>(-BW441*4)/BW438*100</f>
        <v>11.790474998435446</v>
      </c>
      <c r="BX449" s="98">
        <f>IF(ISERROR((BW449/BO449-1)*100),"NA",IF(((BW449/BO449-1)*100)&gt;100,"NM",IF(((BW449/BO449-1)*100)&lt;-50,"NM",(BW449/BO449-1)*100)))</f>
        <v>-3.3086347517864101</v>
      </c>
      <c r="BY449" s="137">
        <f>(-BY441*4)/BY438*100</f>
        <v>7.1807838179519594</v>
      </c>
      <c r="BZ449" s="98">
        <f>IF(ISERROR((BY449/BQ449-1)*100),"NA",IF(((BY449/BQ449-1)*100)&gt;100,"NM",IF(((BY449/BQ449-1)*100)&lt;-50,"NM",(BY449/BQ449-1)*100)))</f>
        <v>-36.069867464784721</v>
      </c>
      <c r="CA449" s="137">
        <f>(-CA441*4)/CA438*100</f>
        <v>6.9493245881158741</v>
      </c>
      <c r="CB449" s="98">
        <f>IF(ISERROR((CA449/BS449-1)*100),"NA",IF(((CA449/BS449-1)*100)&gt;100,"NM",IF(((CA449/BS449-1)*100)&lt;-50,"NM",(CA449/BS449-1)*100)))</f>
        <v>-37.093237865630726</v>
      </c>
      <c r="CC449" s="137">
        <f>(-CC441*4)/CC438*100</f>
        <v>7.5270943043548586</v>
      </c>
      <c r="CD449" s="98" t="str">
        <f>IF(ISERROR((CC449/BU449-1)*100),"NA",IF(((CC449/BU449-1)*100)&gt;100,"NM",IF(((CC449/BU449-1)*100)&lt;-50,"NM",(CC449/BU449-1)*100)))</f>
        <v>NM</v>
      </c>
      <c r="CE449" s="137">
        <f>(-CE441*4)/CE438*100</f>
        <v>6.187251502332928</v>
      </c>
      <c r="CF449" s="98">
        <f>IF(ISERROR((CE449/BW449-1)*100),"NA",IF(((CE449/BW449-1)*100)&gt;100,"NM",IF(((CE449/BW449-1)*100)&lt;-50,"NM",(CE449/BW449-1)*100)))</f>
        <v>-47.523305862113659</v>
      </c>
      <c r="CG449" s="137">
        <f>(-CG441*4)/CG438*100</f>
        <v>6.0693168379878104</v>
      </c>
      <c r="CH449" s="98">
        <f>IF(ISERROR((CG449/BY449-1)*100),"NA",IF(((CG449/BY449-1)*100)&gt;100,"NM",IF(((CG449/BY449-1)*100)&lt;-50,"NM",(CG449/BY449-1)*100)))</f>
        <v>-15.478351780838761</v>
      </c>
      <c r="CI449" s="137">
        <f>(-CI441*4)/CI438*100</f>
        <v>8.0898249529255875</v>
      </c>
      <c r="CJ449" s="98">
        <f>IF(ISERROR((CI449/CA449-1)*100),"NA",IF(((CI449/CA449-1)*100)&gt;100,"NM",IF(((CI449/CA449-1)*100)&lt;-50,"NM",(CI449/CA449-1)*100)))</f>
        <v>16.41167210350336</v>
      </c>
      <c r="CK449" s="137">
        <f>(-CK441*4)/CK438*100</f>
        <v>6.9513786205096979</v>
      </c>
      <c r="CL449" s="98">
        <f>IF(ISERROR((CK449/CC449-1)*100),"NA",IF(((CK449/CC449-1)*100)&gt;100,"NM",IF(((CK449/CC449-1)*100)&lt;-50,"NM",(CK449/CC449-1)*100)))</f>
        <v>-7.6485780643411942</v>
      </c>
      <c r="CM449" s="137">
        <f>(-CM441*4)/CM438*100</f>
        <v>7.1804954777821468</v>
      </c>
      <c r="CN449" s="98">
        <f>IF(ISERROR((CM449/CE449-1)*100),"NA",IF(((CM449/CE449-1)*100)&gt;100,"NM",IF(((CM449/CE449-1)*100)&lt;-50,"NM",(CM449/CE449-1)*100)))</f>
        <v>16.053072597335216</v>
      </c>
      <c r="CO449" s="137">
        <f>(-CO441*4)/CO438*100</f>
        <v>7.3191083561807133</v>
      </c>
      <c r="CP449" s="98">
        <f>IF(ISERROR((CO449/CG449-1)*100),"NA",IF(((CO449/CG449-1)*100)&gt;100,"NM",IF(((CO449/CG449-1)*100)&lt;-50,"NM",(CO449/CG449-1)*100)))</f>
        <v>20.591963668307223</v>
      </c>
      <c r="CQ449" s="494">
        <f>(-CQ441*4)/CQ438*100</f>
        <v>7.7901149651174215</v>
      </c>
      <c r="CR449" s="98">
        <f>IF(ISERROR((CQ449/CI449-1)*100),"NA",IF(((CQ449/CI449-1)*100)&gt;100,"NM",IF(((CQ449/CI449-1)*100)&lt;-50,"NM",(CQ449/CI449-1)*100)))</f>
        <v>-3.7047771682597319</v>
      </c>
      <c r="CS449" s="137">
        <f>(-CS441*4)/CS438*100</f>
        <v>9.4560928151879402</v>
      </c>
      <c r="CT449" s="98">
        <f>IF(ISERROR((CS449/CK449-1)*100),"NA",IF(((CS449/CK449-1)*100)&gt;100,"NM",IF(((CS449/CK449-1)*100)&lt;-50,"NM",(CS449/CK449-1)*100)))</f>
        <v>36.031905776045733</v>
      </c>
      <c r="CU449" s="137">
        <f>(-CU441*4)/CU438*100</f>
        <v>9.9890536002523227</v>
      </c>
      <c r="CV449" s="98">
        <f>IF(ISERROR((CU449/CM449-1)*100),"NA",IF(((CU449/CM449-1)*100)&gt;100,"NM",IF(((CU449/CM449-1)*100)&lt;-50,"NM",(CU449/CM449-1)*100)))</f>
        <v>39.113709230239088</v>
      </c>
      <c r="CW449" s="137">
        <f>(-CW441*4)/CW438*100</f>
        <v>7.0482866043613699</v>
      </c>
      <c r="CX449" s="98">
        <f>IF(ISERROR((CW449/CO449-1)*100),"NA",IF(((CW449/CO449-1)*100)&gt;100,"NM",IF(((CW449/CO449-1)*100)&lt;-50,"NM",(CW449/CO449-1)*100)))</f>
        <v>-3.7002014267304095</v>
      </c>
      <c r="CY449" s="137">
        <f>(-CY441*4)/CY438*100</f>
        <v>6.5944165741201699</v>
      </c>
      <c r="CZ449" s="98">
        <f>IF(ISERROR((CY449/CQ449-1)*100),"NA",IF(((CY449/CQ449-1)*100)&gt;100,"NM",IF(((CY449/CQ449-1)*100)&lt;-50,"NM",(CY449/CQ449-1)*100)))</f>
        <v>-15.348918422274259</v>
      </c>
      <c r="DA449" s="137">
        <f>(-DA441*4)/DA438*100</f>
        <v>9.4126768753634433</v>
      </c>
      <c r="DB449" s="98">
        <f>IF(ISERROR((DA449/CS449-1)*100),"NA",IF(((DA449/CS449-1)*100)&gt;100,"NM",IF(((DA449/CS449-1)*100)&lt;-50,"NM",(DA449/CS449-1)*100)))</f>
        <v>-0.45913191286325317</v>
      </c>
      <c r="DC449" s="137">
        <f>(-DC441*4)/DC438*100</f>
        <v>7.9391564161266537</v>
      </c>
      <c r="DD449" s="98">
        <f>IF(ISERROR((DC449/CU449-1)*100),"NA",IF(((DC449/CU449-1)*100)&gt;100,"NM",IF(((DC449/CU449-1)*100)&lt;-50,"NM",(DC449/CU449-1)*100)))</f>
        <v>-20.521435424812307</v>
      </c>
      <c r="DE449" s="137">
        <f>(-DE441*4)/DE438*100</f>
        <v>7.9808076769292287</v>
      </c>
      <c r="DF449" s="98">
        <f>IF(ISERROR((DE449/CW449-1)*100),"NA",IF(((DE449/CW449-1)*100)&gt;100,"NM",IF(((DE449/CW449-1)*100)&lt;-50,"NM",(DE449/CW449-1)*100)))</f>
        <v>13.230464720189294</v>
      </c>
      <c r="DG449" s="137">
        <f>(-DG441*4)/DG438*100</f>
        <v>7.4137579097775061</v>
      </c>
      <c r="DH449" s="98">
        <f>IF(ISERROR((DG449/CY449-1)*100),"NA",IF(((DG449/CY449-1)*100)&gt;100,"NM",IF(((DG449/CY449-1)*100)&lt;-50,"NM",(DG449/CY449-1)*100)))</f>
        <v>12.424773692229984</v>
      </c>
      <c r="DI449" s="137">
        <f>(-DI441*4)/DI438*100</f>
        <v>11.332287106632528</v>
      </c>
      <c r="DJ449" s="98">
        <f>IF(ISERROR((DI449/DA449-1)*100),"NA",IF(((DI449/DA449-1)*100)&gt;100,"NM",IF(((DI449/DA449-1)*100)&lt;-50,"NM",(DI449/DA449-1)*100)))</f>
        <v>20.393882172811374</v>
      </c>
      <c r="DK449" s="137">
        <f>(-DK441*4)/DK438*100</f>
        <v>9.9004001021537427</v>
      </c>
      <c r="DL449" s="98">
        <f>IF(ISERROR((DK449/DC449-1)*100),"NA",IF(((DK449/DC449-1)*100)&gt;100,"NM",IF(((DK449/DC449-1)*100)&lt;-50,"NM",(DK449/DC449-1)*100)))</f>
        <v>24.703426702152555</v>
      </c>
      <c r="DM449" s="137">
        <f>(-DM441*4)/DM438*100</f>
        <v>7.7784174502654642</v>
      </c>
      <c r="DN449" s="98">
        <f>IF(ISERROR((DM449/DE449-1)*100),"NA",IF(((DM449/DE449-1)*100)&gt;100,"NM",IF(((DM449/DE449-1)*100)&lt;-50,"NM",(DM449/DE449-1)*100)))</f>
        <v>-2.5359617078460683</v>
      </c>
      <c r="DO449" s="137">
        <f>(-DO441*4)/DO438*100</f>
        <v>7.6395564955457278</v>
      </c>
      <c r="DP449" s="98">
        <f>IF(ISERROR((DO449/DG449-1)*100),"NA",IF(((DO449/DG449-1)*100)&gt;100,"NM",IF(((DO449/DG449-1)*100)&lt;-50,"NM",(DO449/DG449-1)*100)))</f>
        <v>3.0456698008769711</v>
      </c>
      <c r="DQ449" s="137">
        <f>(-DQ441*4)/DQ438*100</f>
        <v>12.792190031349282</v>
      </c>
      <c r="DR449" s="98">
        <f>IF(ISERROR((DQ449/DI449-1)*100),"NA",IF(((DQ449/DI449-1)*100)&gt;100,"NM",IF(((DQ449/DI449-1)*100)&lt;-50,"NM",(DQ449/DI449-1)*100)))</f>
        <v>12.882685648356951</v>
      </c>
      <c r="DS449" s="137">
        <f>(-DS441*4)/DS438*100</f>
        <v>7.21807301572575</v>
      </c>
      <c r="DT449" s="98">
        <f>IF(ISERROR((DS449/DK449-1)*100),"NA",IF(((DS449/DK449-1)*100)&gt;100,"NM",IF(((DS449/DK449-1)*100)&lt;-50,"NM",(DS449/DK449-1)*100)))</f>
        <v>-27.093118043224095</v>
      </c>
      <c r="DU449" s="137">
        <f>(-DU441*4)/DU438*100</f>
        <v>8.3379758588672228</v>
      </c>
      <c r="DV449" s="98">
        <f>IF(ISERROR((DU449/DM449-1)*100),"NA",IF(((DU449/DM449-1)*100)&gt;100,"NM",IF(((DU449/DM449-1)*100)&lt;-50,"NM",(DU449/DM449-1)*100)))</f>
        <v>7.193730757953376</v>
      </c>
      <c r="DW449" s="137">
        <f>(-DW441*4)/DW438*100</f>
        <v>6.521841572027709</v>
      </c>
      <c r="DX449" s="98">
        <f>IF(ISERROR((DW449/DO449-1)*100),"NA",IF(((DW449/DO449-1)*100)&gt;100,"NM",IF(((DW449/DO449-1)*100)&lt;-50,"NM",(DW449/DO449-1)*100)))</f>
        <v>-14.630625798365482</v>
      </c>
      <c r="DY449" s="137">
        <f>(-DY441*4)/DY438*100</f>
        <v>7.3789954337899548</v>
      </c>
      <c r="DZ449" s="98">
        <f>IF(ISERROR((DY449/DQ449-1)*100),"NA",IF(((DY449/DQ449-1)*100)&gt;100,"NM",IF(((DY449/DQ449-1)*100)&lt;-50,"NM",(DY449/DQ449-1)*100)))</f>
        <v>-42.3164023071377</v>
      </c>
      <c r="EA449" s="137">
        <f>(-EA441*4)/EA438*100</f>
        <v>7.2230175957142189</v>
      </c>
      <c r="EB449" s="98">
        <f>IF(ISERROR((EA449/DS449-1)*100),"NA",IF(((EA449/DS449-1)*100)&gt;100,"NM",IF(((EA449/DS449-1)*100)&lt;-50,"NM",(EA449/DS449-1)*100)))</f>
        <v>6.8502770444367478E-2</v>
      </c>
      <c r="EC449" s="137">
        <f>(-EC441*4)/EC438*100</f>
        <v>5.7104133724870119</v>
      </c>
      <c r="ED449" s="98">
        <f>IF(ISERROR((EC449/DU449-1)*100),"NA",IF(((EC449/DU449-1)*100)&gt;100,"NM",IF(((EC449/DU449-1)*100)&lt;-50,"NM",(EC449/DU449-1)*100)))</f>
        <v>-31.513193739771573</v>
      </c>
      <c r="EE449" s="137">
        <f>(-EE441*4)/EE438*100</f>
        <v>6.1276302766900468</v>
      </c>
      <c r="EF449" s="860">
        <f>IF(ISERROR((EE449/DW449-1)*100),"NA",IF(((EE449/DW449-1)*100)&gt;100,"NM",IF(((EE449/DW449-1)*100)&lt;-50,"NM",(EE449/DW449-1)*100)))</f>
        <v>-6.0444782502604983</v>
      </c>
      <c r="EG449" s="137">
        <f>(-EG441*4)/EG438*100</f>
        <v>7.220779220779221</v>
      </c>
      <c r="EH449" s="860">
        <f>IF(ISERROR((EG449/DY449-1)*100),"NA",IF(((EG449/DY449-1)*100)&gt;100,"NM",IF(((EG449/DY449-1)*100)&lt;-50,"NM",(EG449/DY449-1)*100)))</f>
        <v>-2.1441429857271488</v>
      </c>
      <c r="EI449" s="137">
        <f>(-EI441*4)/EI438*100</f>
        <v>6.43190801293568</v>
      </c>
      <c r="EJ449" s="860">
        <f t="shared" si="2692"/>
        <v>-10.952618795334846</v>
      </c>
      <c r="EK449" s="137">
        <f>(-EK441*4)/EK438*100</f>
        <v>6.9696124895455815</v>
      </c>
      <c r="EL449" s="860">
        <f t="shared" si="2693"/>
        <v>22.050927576021717</v>
      </c>
      <c r="EM449" s="137">
        <f>(-EM441*4)/EM438*100</f>
        <v>6.9764170847203335</v>
      </c>
      <c r="EN449" s="860">
        <f t="shared" si="2694"/>
        <v>13.851795387511112</v>
      </c>
      <c r="EO449" s="137">
        <f>(-EO441*4)/EO438*100</f>
        <v>8.8762983947119931</v>
      </c>
      <c r="EP449" s="98">
        <f t="shared" si="2695"/>
        <v>22.927154027486239</v>
      </c>
      <c r="EQ449" s="1035">
        <f>EO449+0.1</f>
        <v>8.9762983947119928</v>
      </c>
      <c r="ER449" s="98">
        <f t="shared" si="2696"/>
        <v>39.558873924488715</v>
      </c>
      <c r="ES449" s="1035">
        <f t="shared" ref="ES449" si="2703">EQ449+0.1</f>
        <v>9.0762983947119924</v>
      </c>
      <c r="ET449" s="98">
        <f t="shared" si="2698"/>
        <v>30.226729367327664</v>
      </c>
      <c r="EU449" s="1035">
        <f t="shared" ref="EU449" si="2704">ES449+0.1</f>
        <v>9.176298394711992</v>
      </c>
      <c r="EV449" s="98">
        <f t="shared" si="2700"/>
        <v>31.533110524739307</v>
      </c>
      <c r="EW449" s="1035">
        <f t="shared" ref="EW449" si="2705">EU449+0.1</f>
        <v>9.2762983947119917</v>
      </c>
      <c r="EX449" s="98">
        <f t="shared" si="2702"/>
        <v>4.5063829787233889</v>
      </c>
      <c r="EY449" s="110"/>
      <c r="EZ449" s="594"/>
      <c r="FA449" s="405"/>
      <c r="FB449" s="163" t="s">
        <v>494</v>
      </c>
      <c r="FC449" s="98"/>
      <c r="FD449" s="137">
        <f>(-FD441)/FD438*100</f>
        <v>16.512235685435968</v>
      </c>
      <c r="FE449" s="98" t="str">
        <f>IF(ISERROR((FD449/FB449-1)*100),"NA",IF(((FD449/FB449-1)*100)&gt;100,"NM",IF(((FD449/FB449-1)*100)&lt;-50,"NM",(FD449/FB449-1)*100)))</f>
        <v>NA</v>
      </c>
      <c r="FF449" s="125"/>
      <c r="FG449" s="98"/>
      <c r="FH449" s="125"/>
      <c r="FI449" s="98"/>
      <c r="FJ449" s="125"/>
      <c r="FK449" s="98"/>
      <c r="FL449" s="125"/>
      <c r="FM449" s="98"/>
      <c r="FN449" s="125"/>
      <c r="FO449" s="98"/>
      <c r="FP449" s="125"/>
      <c r="FQ449" s="98"/>
      <c r="FR449" s="106"/>
      <c r="FS449" s="120"/>
      <c r="FT449" s="106"/>
      <c r="FU449" s="120"/>
      <c r="FV449" s="106">
        <f>(-FV441)/FV438*100</f>
        <v>12.595494613124389</v>
      </c>
      <c r="FW449" s="98" t="str">
        <f>IF(ISERROR((FV449/FT449-1)*100),"NA",IF(((FV449/FT449-1)*100)&gt;100,"NM",IF(((FV449/FT449-1)*100)&lt;-50,"NM",(FV449/FT449-1)*100)))</f>
        <v>NA</v>
      </c>
      <c r="FX449" s="483">
        <f>(-FX441)/FX438*100</f>
        <v>8.9137826730917666</v>
      </c>
      <c r="FY449" s="98">
        <f>IF(ISERROR((FX449/FV449-1)*100),"NA",IF(((FX449/FV449-1)*100)&gt;100,"NM",IF(((FX449/FV449-1)*100)&lt;-50,"NM",(FX449/FV449-1)*100)))</f>
        <v>-29.230387953136137</v>
      </c>
      <c r="FZ449" s="106">
        <f>(-FZ441)/FZ438*100</f>
        <v>6.9806285288938108</v>
      </c>
      <c r="GA449" s="98">
        <f>IF(ISERROR((FZ449/FX449-1)*100),"NA",IF(((FZ449/FX449-1)*100)&gt;100,"NM",IF(((FZ449/FX449-1)*100)&lt;-50,"NM",(FZ449/FX449-1)*100)))</f>
        <v>-21.687247884488048</v>
      </c>
      <c r="GB449" s="483">
        <f>(-GB441)/GB438*100</f>
        <v>8.110499410145497</v>
      </c>
      <c r="GC449" s="98">
        <f>IF(ISERROR((GB449/FZ449-1)*100),"NA",IF(((GB449/FZ449-1)*100)&gt;100,"NM",IF(((GB449/FZ449-1)*100)&lt;-50,"NM",(GB449/FZ449-1)*100)))</f>
        <v>16.185804423985473</v>
      </c>
      <c r="GD449" s="106">
        <f>(-GD441)/GD438*100</f>
        <v>8.0261229336351327</v>
      </c>
      <c r="GE449" s="98">
        <f>IF(ISERROR((GD449/GB449-1)*100),"NA",IF(((GD449/GB449-1)*100)&gt;100,"NM",IF(((GD449/GB449-1)*100)&lt;-50,"NM",(GD449/GB449-1)*100)))</f>
        <v>-1.0403363867435456</v>
      </c>
      <c r="GF449" s="106">
        <f>(-GF441)/GF438*100</f>
        <v>8.344650964262156</v>
      </c>
      <c r="GG449" s="98">
        <f>IF(ISERROR((GF449/GD449-1)*100),"NA",IF(((GF449/GD449-1)*100)&gt;100,"NM",IF(((GF449/GD449-1)*100)&lt;-50,"NM",(GF449/GD449-1)*100)))</f>
        <v>3.9686413136305942</v>
      </c>
      <c r="GH449" s="106">
        <f>(-GH441)/GH438*100</f>
        <v>9.5535030220481829</v>
      </c>
      <c r="GI449" s="98">
        <f>IF(ISERROR((GH449/GF449-1)*100),"NA",IF(((GH449/GF449-1)*100)&gt;100,"NM",IF(((GH449/GF449-1)*100)&lt;-50,"NM",(GH449/GF449-1)*100)))</f>
        <v>14.486550281889654</v>
      </c>
      <c r="GJ449" s="106">
        <f>(-GJ441)/GJ438*100</f>
        <v>7.3665166767175396</v>
      </c>
      <c r="GK449" s="98">
        <f>IF(ISERROR((GJ449/GH449-1)*100),"NA",IF(((GJ449/GH449-1)*100)&gt;100,"NM",IF(((GJ449/GH449-1)*100)&lt;-50,"NM",(GJ449/GH449-1)*100)))</f>
        <v>-22.891983603117904</v>
      </c>
      <c r="GL449" s="106">
        <f>(-GL441)/GL438*100</f>
        <v>6.8350805892947859</v>
      </c>
      <c r="GM449" s="98">
        <f>IF(ISERROR((GL449/GJ449-1)*100),"NA",IF(((GL449/GJ449-1)*100)&gt;100,"NM",IF(((GL449/GJ449-1)*100)&lt;-50,"NM",(GL449/GJ449-1)*100)))</f>
        <v>-7.2142114210153041</v>
      </c>
      <c r="GN449" s="106">
        <f>(-GN441)/GN438*100</f>
        <v>7.0742005030542581</v>
      </c>
      <c r="GO449" s="98">
        <f>IF(ISERROR((GN449/GL449-1)*100),"NA",IF(((GN449/GL449-1)*100)&gt;100,"NM",IF(((GN449/GL449-1)*100)&lt;-50,"NM",(GN449/GL449-1)*100)))</f>
        <v>3.4984212788066626</v>
      </c>
      <c r="GP449" s="106">
        <f>(-GP441)/GP438*100</f>
        <v>8.8979758719619753</v>
      </c>
      <c r="GQ449" s="98">
        <f>IF(ISERROR((GP449/GN449-1)*100),"NA",IF(((GP449/GN449-1)*100)&gt;100,"NM",IF(((GP449/GN449-1)*100)&lt;-50,"NM",(GP449/GN449-1)*100)))</f>
        <v>25.780657024356458</v>
      </c>
      <c r="GR449" s="110">
        <f>GP449+0.5</f>
        <v>9.3979758719619753</v>
      </c>
      <c r="GS449" s="98">
        <f>IF(ISERROR((GR449/GP449-1)*100),"NA",IF(((GR449/GP449-1)*100)&gt;100,"NM",IF(((GR449/GP449-1)*100)&lt;-50,"NM",(GR449/GP449-1)*100)))</f>
        <v>5.6192555160272883</v>
      </c>
      <c r="GT449" s="110">
        <f>GR449+0.5</f>
        <v>9.8979758719619753</v>
      </c>
      <c r="GU449" s="98">
        <f>IF(ISERROR((GT449/GR449-1)*100),"NA",IF(((GT449/GR449-1)*100)&gt;100,"NM",IF(((GT449/GR449-1)*100)&lt;-50,"NM",(GT449/GR449-1)*100)))</f>
        <v>5.3202945699371895</v>
      </c>
      <c r="GV449" s="110">
        <f>GT449+0.5</f>
        <v>10.397975871961975</v>
      </c>
      <c r="GW449" s="98">
        <f>IF(ISERROR((GV449/GT449-1)*100),"NA",IF(((GV449/GT449-1)*100)&gt;100,"NM",IF(((GV449/GT449-1)*100)&lt;-50,"NM",(GV449/GT449-1)*100)))</f>
        <v>5.0515378746916362</v>
      </c>
      <c r="GX449" s="110">
        <f>GV449+0.5</f>
        <v>10.897975871961975</v>
      </c>
      <c r="GY449" s="98">
        <f>IF(ISERROR((GX449/GV449-1)*100),"NA",IF(((GX449/GV449-1)*100)&gt;100,"NM",IF(((GX449/GV449-1)*100)&lt;-50,"NM",(GX449/GV449-1)*100)))</f>
        <v>4.8086281999196068</v>
      </c>
      <c r="GZ449" s="98">
        <f>IF(ISERROR(((GX449/GN449)^0.2-1)*100),"NA",IF((((GX449/GN449)^0.2-1)*100)&gt;100,"NM",IF((((GX449/GN449)^0.2-1)*100)&lt;-50,"NM",((GX449/GN449)^0.2-1)*100)))</f>
        <v>9.0269079416555265</v>
      </c>
      <c r="HA449" s="98"/>
      <c r="HB449" s="10"/>
      <c r="HC449"/>
      <c r="HD449"/>
      <c r="HE449"/>
      <c r="HF449"/>
      <c r="HG449"/>
      <c r="HH449"/>
      <c r="HI449" s="10"/>
    </row>
    <row r="450" spans="1:217" s="2" customFormat="1" ht="12.75" customHeight="1" x14ac:dyDescent="0.2">
      <c r="B450" s="102" t="s">
        <v>119</v>
      </c>
      <c r="C450" s="137"/>
      <c r="D450" s="98"/>
      <c r="E450" s="137"/>
      <c r="F450" s="98"/>
      <c r="G450" s="137"/>
      <c r="H450" s="98"/>
      <c r="I450" s="137"/>
      <c r="J450" s="98"/>
      <c r="K450" s="137"/>
      <c r="L450" s="98"/>
      <c r="M450" s="137"/>
      <c r="N450" s="98"/>
      <c r="O450" s="137"/>
      <c r="P450" s="98"/>
      <c r="Q450" s="137"/>
      <c r="R450" s="98"/>
      <c r="S450" s="137"/>
      <c r="T450" s="98"/>
      <c r="U450" s="137"/>
      <c r="V450" s="98"/>
      <c r="W450" s="137"/>
      <c r="X450" s="98"/>
      <c r="Y450" s="137"/>
      <c r="Z450" s="98"/>
      <c r="AA450" s="137"/>
      <c r="AB450" s="98"/>
      <c r="AC450" s="137"/>
      <c r="AD450" s="98"/>
      <c r="AE450" s="137"/>
      <c r="AF450" s="98"/>
      <c r="AG450" s="137"/>
      <c r="AH450" s="98"/>
      <c r="AI450" s="137"/>
      <c r="AJ450" s="98"/>
      <c r="AK450" s="137"/>
      <c r="AL450" s="98"/>
      <c r="AM450" s="137"/>
      <c r="AN450" s="98"/>
      <c r="AO450" s="137"/>
      <c r="AP450" s="98"/>
      <c r="AQ450" s="137"/>
      <c r="AR450" s="98"/>
      <c r="AS450" s="137"/>
      <c r="AT450" s="98"/>
      <c r="AU450" s="137"/>
      <c r="AV450" s="98"/>
      <c r="AW450" s="137"/>
      <c r="AX450" s="98"/>
      <c r="AY450" s="137"/>
      <c r="AZ450" s="98"/>
      <c r="BA450" s="137"/>
      <c r="BB450" s="98"/>
      <c r="BC450" s="137"/>
      <c r="BD450" s="98"/>
      <c r="BE450" s="137"/>
      <c r="BF450" s="98"/>
      <c r="BG450" s="137"/>
      <c r="BH450" s="98"/>
      <c r="BI450" s="137"/>
      <c r="BJ450" s="98"/>
      <c r="BK450" s="137"/>
      <c r="BL450" s="98"/>
      <c r="BM450" s="137"/>
      <c r="BN450" s="98"/>
      <c r="BO450" s="137"/>
      <c r="BP450" s="98"/>
      <c r="BQ450" s="137"/>
      <c r="BR450" s="98"/>
      <c r="BS450" s="137"/>
      <c r="BT450" s="98"/>
      <c r="BU450" s="137"/>
      <c r="BV450" s="98"/>
      <c r="BW450" s="137"/>
      <c r="BX450" s="98"/>
      <c r="BY450" s="137"/>
      <c r="BZ450" s="98"/>
      <c r="CA450" s="137"/>
      <c r="CB450" s="98"/>
      <c r="CC450" s="137"/>
      <c r="CD450" s="98"/>
      <c r="CE450" s="137"/>
      <c r="CF450" s="98"/>
      <c r="CG450" s="137"/>
      <c r="CH450" s="98"/>
      <c r="CI450" s="137"/>
      <c r="CJ450" s="98"/>
      <c r="CK450" s="137"/>
      <c r="CL450" s="98"/>
      <c r="CM450" s="137"/>
      <c r="CN450" s="98"/>
      <c r="CO450" s="137"/>
      <c r="CP450" s="98"/>
      <c r="CQ450" s="494"/>
      <c r="CR450" s="98"/>
      <c r="CS450" s="137"/>
      <c r="CT450" s="98"/>
      <c r="CU450" s="137"/>
      <c r="CV450" s="98"/>
      <c r="CW450" s="137"/>
      <c r="CX450" s="98"/>
      <c r="CY450" s="137"/>
      <c r="CZ450" s="98"/>
      <c r="DA450" s="137"/>
      <c r="DB450" s="98"/>
      <c r="DC450" s="137"/>
      <c r="DD450" s="98"/>
      <c r="DE450" s="137"/>
      <c r="DF450" s="98"/>
      <c r="DG450" s="137"/>
      <c r="DH450" s="98"/>
      <c r="DI450" s="137"/>
      <c r="DJ450" s="98"/>
      <c r="DK450" s="137"/>
      <c r="DL450" s="98"/>
      <c r="DM450" s="137"/>
      <c r="DN450" s="98"/>
      <c r="DO450" s="137"/>
      <c r="DP450" s="98"/>
      <c r="DQ450" s="137"/>
      <c r="DR450" s="98"/>
      <c r="DS450" s="137">
        <f>(-DS442*4)/DS438*100</f>
        <v>3.9894233891543349</v>
      </c>
      <c r="DT450" s="98"/>
      <c r="DU450" s="137">
        <f>(-DU442*4)/DU438*100</f>
        <v>4.0297121634168986</v>
      </c>
      <c r="DV450" s="98"/>
      <c r="DW450" s="137">
        <f>(-DW442*4)/DW438*100</f>
        <v>4.4484237312096511</v>
      </c>
      <c r="DX450" s="98"/>
      <c r="DY450" s="137">
        <f>(-DY442*4)/DY438*100</f>
        <v>3.7808219178082192</v>
      </c>
      <c r="DZ450" s="98"/>
      <c r="EA450" s="137">
        <f>(-EA442*4)/EA438*100</f>
        <v>3.9902092088856049</v>
      </c>
      <c r="EB450" s="98"/>
      <c r="EC450" s="137">
        <f>(-EC442*4)/EC438*100</f>
        <v>3.7587531059408179</v>
      </c>
      <c r="ED450" s="98"/>
      <c r="EE450" s="137">
        <f>(-EE442*4)/EE438*100</f>
        <v>3.3047893627092386</v>
      </c>
      <c r="EF450" s="860"/>
      <c r="EG450" s="137">
        <f>(-EG442*4)/EG438*100</f>
        <v>3.0303030303030303</v>
      </c>
      <c r="EH450" s="860"/>
      <c r="EI450" s="137">
        <f>(-EI442*4)/EI438*100</f>
        <v>3.5752784764642471</v>
      </c>
      <c r="EJ450" s="860"/>
      <c r="EK450" s="137">
        <f>(-EK442*4)/EK438*100</f>
        <v>3.3082427283709692</v>
      </c>
      <c r="EL450" s="860"/>
      <c r="EM450" s="137">
        <f>(-EM442*4)/EM438*100</f>
        <v>2.8880866425992782</v>
      </c>
      <c r="EN450" s="860"/>
      <c r="EO450" s="137">
        <f>(-EO442*4)/EO438*100</f>
        <v>3.0406043437204913</v>
      </c>
      <c r="EP450" s="98"/>
      <c r="EQ450" s="1035">
        <f>EO450</f>
        <v>3.0406043437204913</v>
      </c>
      <c r="ER450" s="98"/>
      <c r="ES450" s="1035">
        <f t="shared" ref="ES450" si="2706">EQ450</f>
        <v>3.0406043437204913</v>
      </c>
      <c r="ET450" s="98"/>
      <c r="EU450" s="1035">
        <f t="shared" ref="EU450" si="2707">ES450</f>
        <v>3.0406043437204913</v>
      </c>
      <c r="EV450" s="98"/>
      <c r="EW450" s="1035">
        <f t="shared" ref="EW450" si="2708">EU450</f>
        <v>3.0406043437204913</v>
      </c>
      <c r="EX450" s="98"/>
      <c r="EY450" s="110"/>
      <c r="EZ450" s="594"/>
      <c r="FA450" s="405"/>
      <c r="FB450" s="163"/>
      <c r="FC450" s="98"/>
      <c r="FD450" s="137"/>
      <c r="FE450" s="98"/>
      <c r="FF450" s="125"/>
      <c r="FG450" s="98"/>
      <c r="FH450" s="125"/>
      <c r="FI450" s="98"/>
      <c r="FJ450" s="125"/>
      <c r="FK450" s="98"/>
      <c r="FL450" s="125"/>
      <c r="FM450" s="98"/>
      <c r="FN450" s="125"/>
      <c r="FO450" s="98"/>
      <c r="FP450" s="125"/>
      <c r="FQ450" s="98"/>
      <c r="FR450" s="106"/>
      <c r="FS450" s="120"/>
      <c r="FT450" s="106"/>
      <c r="FU450" s="120"/>
      <c r="FV450" s="106"/>
      <c r="FW450" s="98"/>
      <c r="FX450" s="483"/>
      <c r="FY450" s="98"/>
      <c r="FZ450" s="106"/>
      <c r="GA450" s="98"/>
      <c r="GB450" s="483"/>
      <c r="GC450" s="98"/>
      <c r="GD450" s="106"/>
      <c r="GE450" s="98"/>
      <c r="GF450" s="106"/>
      <c r="GG450" s="98"/>
      <c r="GH450" s="106"/>
      <c r="GI450" s="98"/>
      <c r="GJ450" s="106">
        <f>(-GJ442)/GJ438*100</f>
        <v>4.0590063552442368</v>
      </c>
      <c r="GK450" s="98" t="str">
        <f>IF(ISERROR((GJ450/GH450-1)*100),"NA",IF(((GJ450/GH450-1)*100)&gt;100,"NM",IF(((GJ450/GH450-1)*100)&lt;-50,"NM",(GJ450/GH450-1)*100)))</f>
        <v>NA</v>
      </c>
      <c r="GL450" s="106">
        <f>(-GL442)/GL438*100</f>
        <v>3.6530734771163349</v>
      </c>
      <c r="GM450" s="98">
        <f>IF(ISERROR((GL450/GJ450-1)*100),"NA",IF(((GL450/GJ450-1)*100)&gt;100,"NM",IF(((GL450/GJ450-1)*100)&lt;-50,"NM",(GL450/GJ450-1)*100)))</f>
        <v>-10.000794347203634</v>
      </c>
      <c r="GN450" s="106">
        <f>(-GN442)/GN438*100</f>
        <v>3.1081566654689183</v>
      </c>
      <c r="GO450" s="98">
        <f>IF(ISERROR((GN450/GL450-1)*100),"NA",IF(((GN450/GL450-1)*100)&gt;100,"NM",IF(((GN450/GL450-1)*100)&lt;-50,"NM",(GN450/GL450-1)*100)))</f>
        <v>-14.916667158788254</v>
      </c>
      <c r="GP450" s="106">
        <f>(-GP442)/GP438*100</f>
        <v>2.9652314097004377</v>
      </c>
      <c r="GQ450" s="98">
        <f>IF(ISERROR((GP450/GN450-1)*100),"NA",IF(((GP450/GN450-1)*100)&gt;100,"NM",IF(((GP450/GN450-1)*100)&lt;-50,"NM",(GP450/GN450-1)*100)))</f>
        <v>-4.5983929110252175</v>
      </c>
      <c r="GR450" s="110">
        <f>GP450</f>
        <v>2.9652314097004377</v>
      </c>
      <c r="GS450" s="98">
        <f>IF(ISERROR((GR450/GP450-1)*100),"NA",IF(((GR450/GP450-1)*100)&gt;100,"NM",IF(((GR450/GP450-1)*100)&lt;-50,"NM",(GR450/GP450-1)*100)))</f>
        <v>0</v>
      </c>
      <c r="GT450" s="110">
        <f>GR450</f>
        <v>2.9652314097004377</v>
      </c>
      <c r="GU450" s="98">
        <f>IF(ISERROR((GT450/GR450-1)*100),"NA",IF(((GT450/GR450-1)*100)&gt;100,"NM",IF(((GT450/GR450-1)*100)&lt;-50,"NM",(GT450/GR450-1)*100)))</f>
        <v>0</v>
      </c>
      <c r="GV450" s="110">
        <f>GT450</f>
        <v>2.9652314097004377</v>
      </c>
      <c r="GW450" s="98">
        <f>IF(ISERROR((GV450/GT450-1)*100),"NA",IF(((GV450/GT450-1)*100)&gt;100,"NM",IF(((GV450/GT450-1)*100)&lt;-50,"NM",(GV450/GT450-1)*100)))</f>
        <v>0</v>
      </c>
      <c r="GX450" s="110">
        <f>GV450</f>
        <v>2.9652314097004377</v>
      </c>
      <c r="GY450" s="98">
        <f>IF(ISERROR((GX450/GV450-1)*100),"NA",IF(((GX450/GV450-1)*100)&gt;100,"NM",IF(((GX450/GV450-1)*100)&lt;-50,"NM",(GX450/GV450-1)*100)))</f>
        <v>0</v>
      </c>
      <c r="GZ450" s="98"/>
      <c r="HA450" s="98"/>
      <c r="HB450" s="10"/>
      <c r="HC450"/>
      <c r="HD450"/>
      <c r="HE450"/>
      <c r="HF450"/>
      <c r="HG450"/>
      <c r="HH450"/>
      <c r="HI450" s="10"/>
    </row>
    <row r="451" spans="1:217" s="2" customFormat="1" ht="12.75" customHeight="1" x14ac:dyDescent="0.2">
      <c r="C451" s="10"/>
      <c r="D451" s="13"/>
      <c r="E451" s="10"/>
      <c r="F451" s="13"/>
      <c r="G451" s="10"/>
      <c r="H451" s="13"/>
      <c r="I451" s="10"/>
      <c r="J451" s="98"/>
      <c r="K451" s="10"/>
      <c r="L451" s="98"/>
      <c r="M451" s="10"/>
      <c r="N451" s="98"/>
      <c r="O451" s="10"/>
      <c r="P451" s="98"/>
      <c r="Q451" s="10"/>
      <c r="R451" s="98"/>
      <c r="S451" s="10"/>
      <c r="T451" s="98"/>
      <c r="U451" s="10"/>
      <c r="V451" s="98"/>
      <c r="W451" s="10"/>
      <c r="X451" s="98"/>
      <c r="Y451" s="10"/>
      <c r="Z451" s="98"/>
      <c r="AA451" s="10"/>
      <c r="AB451" s="98"/>
      <c r="AC451" s="10"/>
      <c r="AD451" s="98"/>
      <c r="AE451" s="10"/>
      <c r="AF451" s="98"/>
      <c r="AG451" s="23"/>
      <c r="AH451" s="98"/>
      <c r="AI451" s="23"/>
      <c r="AJ451" s="98"/>
      <c r="AK451" s="23"/>
      <c r="AL451" s="98"/>
      <c r="AM451" s="23"/>
      <c r="AN451" s="98"/>
      <c r="AO451" s="23"/>
      <c r="AP451" s="98"/>
      <c r="AQ451" s="23"/>
      <c r="AR451" s="98"/>
      <c r="AS451" s="23"/>
      <c r="AT451" s="98"/>
      <c r="AU451" s="23"/>
      <c r="AV451" s="98"/>
      <c r="AW451" s="23"/>
      <c r="AX451" s="98"/>
      <c r="AY451" s="23"/>
      <c r="AZ451" s="98"/>
      <c r="BA451" s="23"/>
      <c r="BB451" s="98"/>
      <c r="BC451" s="23"/>
      <c r="BD451" s="98"/>
      <c r="BE451" s="23"/>
      <c r="BF451" s="98"/>
      <c r="BG451" s="23"/>
      <c r="BH451" s="98"/>
      <c r="BI451" s="23"/>
      <c r="BJ451" s="98"/>
      <c r="BK451" s="23"/>
      <c r="BL451" s="98"/>
      <c r="BM451" s="23"/>
      <c r="BN451" s="98"/>
      <c r="BO451" s="23"/>
      <c r="BP451" s="98"/>
      <c r="BQ451" s="23"/>
      <c r="BR451" s="98"/>
      <c r="BS451" s="23"/>
      <c r="BT451" s="98"/>
      <c r="BU451" s="23"/>
      <c r="BV451" s="98"/>
      <c r="BW451" s="23"/>
      <c r="BX451" s="98"/>
      <c r="BY451" s="23"/>
      <c r="BZ451" s="98"/>
      <c r="CA451" s="23"/>
      <c r="CB451" s="98"/>
      <c r="CC451" s="23"/>
      <c r="CD451" s="98"/>
      <c r="CE451" s="23"/>
      <c r="CF451" s="98"/>
      <c r="CG451" s="23"/>
      <c r="CH451" s="98"/>
      <c r="CI451" s="23"/>
      <c r="CJ451" s="98"/>
      <c r="CK451" s="23"/>
      <c r="CL451" s="98"/>
      <c r="CM451" s="23"/>
      <c r="CN451" s="98"/>
      <c r="CO451" s="23"/>
      <c r="CP451" s="98"/>
      <c r="CQ451" s="541"/>
      <c r="CR451" s="98"/>
      <c r="CS451" s="23"/>
      <c r="CT451" s="98"/>
      <c r="CU451" s="23"/>
      <c r="CV451" s="98"/>
      <c r="CW451" s="23"/>
      <c r="CX451" s="98"/>
      <c r="CY451" s="23"/>
      <c r="CZ451" s="98"/>
      <c r="DA451" s="23"/>
      <c r="DB451" s="98"/>
      <c r="DC451" s="23"/>
      <c r="DD451" s="98"/>
      <c r="DE451" s="23"/>
      <c r="DF451" s="98"/>
      <c r="DG451" s="23"/>
      <c r="DH451" s="98"/>
      <c r="DI451" s="23"/>
      <c r="DJ451" s="98"/>
      <c r="DK451" s="23"/>
      <c r="DL451" s="98"/>
      <c r="DM451" s="23"/>
      <c r="DN451" s="98"/>
      <c r="DO451" s="23"/>
      <c r="DP451" s="98"/>
      <c r="DQ451" s="23"/>
      <c r="DR451" s="98"/>
      <c r="DS451" s="23"/>
      <c r="DT451" s="98"/>
      <c r="DU451" s="23"/>
      <c r="DV451" s="98"/>
      <c r="DW451" s="23"/>
      <c r="DX451" s="98"/>
      <c r="DY451" s="23"/>
      <c r="DZ451" s="98"/>
      <c r="EA451" s="23"/>
      <c r="EB451" s="98"/>
      <c r="EC451" s="23"/>
      <c r="ED451" s="98"/>
      <c r="EE451" s="23"/>
      <c r="EF451" s="860"/>
      <c r="EG451" s="23"/>
      <c r="EH451" s="860"/>
      <c r="EI451" s="23"/>
      <c r="EJ451" s="860"/>
      <c r="EK451" s="23"/>
      <c r="EL451" s="860"/>
      <c r="EM451" s="23"/>
      <c r="EN451" s="860"/>
      <c r="EO451" s="23"/>
      <c r="EP451" s="98"/>
      <c r="EQ451" s="1009"/>
      <c r="ER451" s="98"/>
      <c r="ES451" s="1009"/>
      <c r="ET451" s="98"/>
      <c r="EU451" s="1009"/>
      <c r="EV451" s="98"/>
      <c r="EW451" s="1009"/>
      <c r="EX451" s="98"/>
      <c r="EY451" s="24"/>
      <c r="EZ451" s="594"/>
      <c r="FA451" s="405"/>
      <c r="FB451" s="10"/>
      <c r="FC451" s="13"/>
      <c r="FD451" s="10"/>
      <c r="FE451" s="14"/>
      <c r="FF451" s="25"/>
      <c r="FG451" s="14"/>
      <c r="FH451" s="25"/>
      <c r="FI451" s="14"/>
      <c r="FJ451" s="25"/>
      <c r="FK451" s="14"/>
      <c r="FL451" s="25"/>
      <c r="FM451" s="14"/>
      <c r="FN451" s="25"/>
      <c r="FO451" s="14"/>
      <c r="FP451" s="25"/>
      <c r="FQ451" s="14"/>
      <c r="FR451" s="24"/>
      <c r="FS451" s="305"/>
      <c r="FT451" s="24"/>
      <c r="FU451" s="305"/>
      <c r="FV451" s="24"/>
      <c r="FW451" s="98"/>
      <c r="FX451" s="470"/>
      <c r="FY451" s="98"/>
      <c r="FZ451" s="24"/>
      <c r="GA451" s="98"/>
      <c r="GB451" s="470"/>
      <c r="GC451" s="98"/>
      <c r="GD451" s="24"/>
      <c r="GE451" s="98"/>
      <c r="GF451" s="24"/>
      <c r="GG451" s="98"/>
      <c r="GH451" s="24"/>
      <c r="GI451" s="98"/>
      <c r="GJ451" s="24"/>
      <c r="GK451" s="98"/>
      <c r="GL451" s="24"/>
      <c r="GM451" s="98"/>
      <c r="GN451" s="24"/>
      <c r="GO451" s="98"/>
      <c r="GP451" s="24"/>
      <c r="GQ451" s="98"/>
      <c r="GR451" s="24"/>
      <c r="GS451" s="98"/>
      <c r="GT451" s="24"/>
      <c r="GU451" s="98"/>
      <c r="GV451" s="24"/>
      <c r="GW451" s="98"/>
      <c r="GX451" s="24"/>
      <c r="GY451" s="98"/>
      <c r="GZ451" s="98"/>
      <c r="HA451" s="98"/>
      <c r="HB451" s="10"/>
      <c r="HC451"/>
      <c r="HD451"/>
      <c r="HE451"/>
      <c r="HF451"/>
      <c r="HG451"/>
      <c r="HH451"/>
      <c r="HI451" s="10"/>
    </row>
    <row r="452" spans="1:217" s="2" customFormat="1" ht="12.75" customHeight="1" x14ac:dyDescent="0.2">
      <c r="B452" s="93" t="s">
        <v>733</v>
      </c>
      <c r="C452" s="112"/>
      <c r="D452" s="113"/>
      <c r="E452" s="112"/>
      <c r="F452" s="113"/>
      <c r="G452" s="112"/>
      <c r="H452" s="113"/>
      <c r="I452" s="112"/>
      <c r="J452" s="98"/>
      <c r="K452" s="112"/>
      <c r="L452" s="98"/>
      <c r="M452" s="112"/>
      <c r="N452" s="98"/>
      <c r="O452" s="112"/>
      <c r="P452" s="98"/>
      <c r="Q452" s="112"/>
      <c r="R452" s="98"/>
      <c r="S452" s="112"/>
      <c r="T452" s="98"/>
      <c r="U452" s="112"/>
      <c r="V452" s="98"/>
      <c r="W452" s="112"/>
      <c r="X452" s="98"/>
      <c r="Y452" s="112"/>
      <c r="Z452" s="98"/>
      <c r="AA452" s="112"/>
      <c r="AB452" s="98"/>
      <c r="AC452" s="112"/>
      <c r="AD452" s="98"/>
      <c r="AE452" s="112"/>
      <c r="AF452" s="98"/>
      <c r="AG452" s="112"/>
      <c r="AH452" s="98"/>
      <c r="AI452" s="112"/>
      <c r="AJ452" s="98"/>
      <c r="AK452" s="112"/>
      <c r="AL452" s="98"/>
      <c r="AM452" s="23"/>
      <c r="AN452" s="98"/>
      <c r="AO452" s="23"/>
      <c r="AP452" s="98"/>
      <c r="AQ452" s="23"/>
      <c r="AR452" s="98"/>
      <c r="AS452" s="23"/>
      <c r="AT452" s="98"/>
      <c r="AU452" s="23"/>
      <c r="AV452" s="98"/>
      <c r="AW452" s="23"/>
      <c r="AX452" s="98"/>
      <c r="AY452" s="23"/>
      <c r="AZ452" s="98"/>
      <c r="BA452" s="23"/>
      <c r="BB452" s="98"/>
      <c r="BC452" s="23"/>
      <c r="BD452" s="98"/>
      <c r="BE452" s="23"/>
      <c r="BF452" s="98"/>
      <c r="BG452" s="23"/>
      <c r="BH452" s="98"/>
      <c r="BI452" s="23"/>
      <c r="BJ452" s="98"/>
      <c r="BK452" s="23"/>
      <c r="BL452" s="98"/>
      <c r="BM452" s="23"/>
      <c r="BN452" s="98"/>
      <c r="BO452" s="23"/>
      <c r="BP452" s="98"/>
      <c r="BQ452" s="23"/>
      <c r="BR452" s="98"/>
      <c r="BS452" s="23"/>
      <c r="BT452" s="98"/>
      <c r="BU452" s="23"/>
      <c r="BV452" s="98"/>
      <c r="BW452" s="23"/>
      <c r="BX452" s="98"/>
      <c r="BY452" s="23"/>
      <c r="BZ452" s="98"/>
      <c r="CA452" s="23"/>
      <c r="CB452" s="98"/>
      <c r="CC452" s="23"/>
      <c r="CD452" s="98"/>
      <c r="CE452" s="23"/>
      <c r="CF452" s="98"/>
      <c r="CG452" s="23"/>
      <c r="CH452" s="98"/>
      <c r="CI452" s="23"/>
      <c r="CJ452" s="98"/>
      <c r="CK452" s="23"/>
      <c r="CL452" s="98"/>
      <c r="CM452" s="23"/>
      <c r="CN452" s="98"/>
      <c r="CO452" s="23"/>
      <c r="CP452" s="98"/>
      <c r="CQ452" s="541"/>
      <c r="CR452" s="98"/>
      <c r="CS452" s="23"/>
      <c r="CT452" s="98"/>
      <c r="CU452" s="23"/>
      <c r="CV452" s="98"/>
      <c r="CW452" s="23"/>
      <c r="CX452" s="98"/>
      <c r="CY452" s="23"/>
      <c r="CZ452" s="98"/>
      <c r="DA452" s="23"/>
      <c r="DB452" s="98"/>
      <c r="DC452" s="23"/>
      <c r="DD452" s="98"/>
      <c r="DE452" s="23"/>
      <c r="DF452" s="98"/>
      <c r="DG452" s="23"/>
      <c r="DH452" s="98"/>
      <c r="DI452" s="23"/>
      <c r="DJ452" s="98"/>
      <c r="DK452" s="748"/>
      <c r="DL452" s="747"/>
      <c r="DM452" s="748"/>
      <c r="DN452" s="98"/>
      <c r="DO452" s="748"/>
      <c r="DP452" s="98"/>
      <c r="DQ452" s="748"/>
      <c r="DR452" s="98"/>
      <c r="DS452" s="748"/>
      <c r="DT452" s="98"/>
      <c r="DU452" s="748"/>
      <c r="DV452" s="98"/>
      <c r="DW452" s="748"/>
      <c r="DX452" s="98"/>
      <c r="DY452" s="748"/>
      <c r="DZ452" s="98"/>
      <c r="EA452" s="748"/>
      <c r="EB452" s="98"/>
      <c r="EC452" s="748"/>
      <c r="ED452" s="98"/>
      <c r="EE452" s="748"/>
      <c r="EF452" s="860"/>
      <c r="EG452" s="748"/>
      <c r="EH452" s="860"/>
      <c r="EI452" s="748"/>
      <c r="EJ452" s="860"/>
      <c r="EK452" s="748"/>
      <c r="EL452" s="860"/>
      <c r="EM452" s="748"/>
      <c r="EN452" s="860"/>
      <c r="EO452" s="748"/>
      <c r="EP452" s="98"/>
      <c r="EQ452" s="1022"/>
      <c r="ER452" s="98"/>
      <c r="ES452" s="1022"/>
      <c r="ET452" s="98"/>
      <c r="EU452" s="1022"/>
      <c r="EV452" s="98"/>
      <c r="EW452" s="1022"/>
      <c r="EX452" s="98"/>
      <c r="EY452" s="114"/>
      <c r="EZ452" s="594"/>
      <c r="FA452" s="405"/>
      <c r="FB452" s="112"/>
      <c r="FC452" s="113"/>
      <c r="FD452" s="112"/>
      <c r="FE452" s="113"/>
      <c r="FF452" s="114"/>
      <c r="FG452" s="113"/>
      <c r="FH452" s="114"/>
      <c r="FI452" s="113"/>
      <c r="FJ452" s="114"/>
      <c r="FK452" s="113"/>
      <c r="FL452" s="114"/>
      <c r="FM452" s="113"/>
      <c r="FN452" s="114"/>
      <c r="FO452" s="113"/>
      <c r="FP452" s="114"/>
      <c r="FQ452" s="113"/>
      <c r="FR452" s="115"/>
      <c r="FS452" s="116"/>
      <c r="FT452" s="115"/>
      <c r="FU452" s="116"/>
      <c r="FV452" s="115"/>
      <c r="FW452" s="98"/>
      <c r="FX452" s="484"/>
      <c r="FY452" s="98"/>
      <c r="FZ452" s="115"/>
      <c r="GA452" s="98"/>
      <c r="GB452" s="484"/>
      <c r="GC452" s="98"/>
      <c r="GD452" s="115"/>
      <c r="GE452" s="98"/>
      <c r="GF452" s="115"/>
      <c r="GG452" s="98"/>
      <c r="GH452" s="115"/>
      <c r="GI452" s="98"/>
      <c r="GJ452" s="115"/>
      <c r="GK452" s="98"/>
      <c r="GL452" s="115"/>
      <c r="GM452" s="98"/>
      <c r="GN452" s="115"/>
      <c r="GO452" s="98"/>
      <c r="GP452" s="115"/>
      <c r="GQ452" s="98"/>
      <c r="GR452" s="114"/>
      <c r="GS452" s="98"/>
      <c r="GT452" s="114"/>
      <c r="GU452" s="98"/>
      <c r="GV452" s="114"/>
      <c r="GW452" s="98"/>
      <c r="GX452" s="114"/>
      <c r="GY452" s="98"/>
      <c r="GZ452" s="98"/>
      <c r="HA452" s="98"/>
      <c r="HB452" s="10"/>
      <c r="HC452"/>
      <c r="HD452"/>
      <c r="HE452"/>
      <c r="HF452"/>
      <c r="HG452"/>
      <c r="HH452"/>
      <c r="HI452" s="10"/>
    </row>
    <row r="453" spans="1:217" s="2" customFormat="1" ht="12.75" customHeight="1" x14ac:dyDescent="0.2">
      <c r="B453" s="91" t="s">
        <v>310</v>
      </c>
      <c r="C453" s="117"/>
      <c r="D453" s="98"/>
      <c r="E453" s="117"/>
      <c r="F453" s="98"/>
      <c r="G453" s="117"/>
      <c r="H453" s="98"/>
      <c r="I453" s="117"/>
      <c r="J453" s="98"/>
      <c r="K453" s="117"/>
      <c r="L453" s="98"/>
      <c r="M453" s="117"/>
      <c r="N453" s="98"/>
      <c r="O453" s="117"/>
      <c r="P453" s="98"/>
      <c r="Q453" s="117"/>
      <c r="R453" s="98"/>
      <c r="S453" s="117"/>
      <c r="T453" s="98"/>
      <c r="U453" s="117"/>
      <c r="V453" s="98"/>
      <c r="W453" s="117"/>
      <c r="X453" s="98"/>
      <c r="Y453" s="117"/>
      <c r="Z453" s="98"/>
      <c r="AA453" s="101"/>
      <c r="AB453" s="98"/>
      <c r="AC453" s="117"/>
      <c r="AD453" s="98"/>
      <c r="AE453" s="117"/>
      <c r="AF453" s="98"/>
      <c r="AG453" s="117"/>
      <c r="AH453" s="98"/>
      <c r="AI453" s="117"/>
      <c r="AJ453" s="98"/>
      <c r="AK453" s="117"/>
      <c r="AL453" s="98"/>
      <c r="AM453" s="117"/>
      <c r="AN453" s="98"/>
      <c r="AO453" s="117"/>
      <c r="AP453" s="98"/>
      <c r="AQ453" s="117"/>
      <c r="AR453" s="98"/>
      <c r="AS453" s="117"/>
      <c r="AT453" s="98"/>
      <c r="AU453" s="117"/>
      <c r="AV453" s="98"/>
      <c r="AW453" s="117"/>
      <c r="AX453" s="98"/>
      <c r="AY453" s="117"/>
      <c r="AZ453" s="98"/>
      <c r="BA453" s="117"/>
      <c r="BB453" s="98"/>
      <c r="BC453" s="117"/>
      <c r="BD453" s="98"/>
      <c r="BE453" s="117"/>
      <c r="BF453" s="98"/>
      <c r="BG453" s="117"/>
      <c r="BH453" s="98"/>
      <c r="BI453" s="117"/>
      <c r="BJ453" s="98"/>
      <c r="BK453" s="117"/>
      <c r="BL453" s="98"/>
      <c r="BM453" s="117">
        <v>93340</v>
      </c>
      <c r="BN453" s="98" t="str">
        <f t="shared" ref="BN453:BN459" si="2709">IF(ISERROR((BM453/BE453-1)*100),"NA",IF(((BM453/BE453-1)*100)&gt;100,"NM",IF(((BM453/BE453-1)*100)&lt;-50,"NM",(BM453/BE453-1)*100)))</f>
        <v>NA</v>
      </c>
      <c r="BO453" s="117">
        <f>+BM458</f>
        <v>92080</v>
      </c>
      <c r="BP453" s="98" t="str">
        <f t="shared" ref="BP453:BP459" si="2710">IF(ISERROR((BO453/BG453-1)*100),"NA",IF(((BO453/BG453-1)*100)&gt;100,"NM",IF(((BO453/BG453-1)*100)&lt;-50,"NM",(BO453/BG453-1)*100)))</f>
        <v>NA</v>
      </c>
      <c r="BQ453" s="117">
        <f>+BO458</f>
        <v>84826</v>
      </c>
      <c r="BR453" s="98" t="str">
        <f t="shared" ref="BR453:BR459" si="2711">IF(ISERROR((BQ453/BI453-1)*100),"NA",IF(((BQ453/BI453-1)*100)&gt;100,"NM",IF(((BQ453/BI453-1)*100)&lt;-50,"NM",(BQ453/BI453-1)*100)))</f>
        <v>NA</v>
      </c>
      <c r="BS453" s="117">
        <f>+BQ458</f>
        <v>84273</v>
      </c>
      <c r="BT453" s="98" t="str">
        <f t="shared" ref="BT453:BT459" si="2712">IF(ISERROR((BS453/BK453-1)*100),"NA",IF(((BS453/BK453-1)*100)&gt;100,"NM",IF(((BS453/BK453-1)*100)&lt;-50,"NM",(BS453/BK453-1)*100)))</f>
        <v>NA</v>
      </c>
      <c r="BU453" s="117">
        <f>+BS458</f>
        <v>75938</v>
      </c>
      <c r="BV453" s="98">
        <f t="shared" ref="BV453:BV459" si="2713">IF(ISERROR((BU453/BM453-1)*100),"NA",IF(((BU453/BM453-1)*100)&gt;100,"NM",IF(((BU453/BM453-1)*100)&lt;-50,"NM",(BU453/BM453-1)*100)))</f>
        <v>-18.643668309406468</v>
      </c>
      <c r="BW453" s="117">
        <f>+BU458</f>
        <v>62264</v>
      </c>
      <c r="BX453" s="98">
        <f t="shared" ref="BX453:BX459" si="2714">IF(ISERROR((BW453/BO453-1)*100),"NA",IF(((BW453/BO453-1)*100)&gt;100,"NM",IF(((BW453/BO453-1)*100)&lt;-50,"NM",(BW453/BO453-1)*100)))</f>
        <v>-32.380538662033011</v>
      </c>
      <c r="BY453" s="117">
        <f>+BW458</f>
        <v>59194</v>
      </c>
      <c r="BZ453" s="98">
        <f t="shared" ref="BZ453:BZ459" si="2715">IF(ISERROR((BY453/BQ453-1)*100),"NA",IF(((BY453/BQ453-1)*100)&gt;100,"NM",IF(((BY453/BQ453-1)*100)&lt;-50,"NM",(BY453/BQ453-1)*100)))</f>
        <v>-30.217150401999383</v>
      </c>
      <c r="CA453" s="117">
        <f>+BY458</f>
        <v>70538</v>
      </c>
      <c r="CB453" s="98">
        <f t="shared" ref="CB453:CB459" si="2716">IF(ISERROR((CA453/BS453-1)*100),"NA",IF(((CA453/BS453-1)*100)&gt;100,"NM",IF(((CA453/BS453-1)*100)&lt;-50,"NM",(CA453/BS453-1)*100)))</f>
        <v>-16.298221257104885</v>
      </c>
      <c r="CC453" s="117">
        <f>+CA458</f>
        <v>82142</v>
      </c>
      <c r="CD453" s="98">
        <f t="shared" ref="CD453:CD459" si="2717">IF(ISERROR((CC453/BU453-1)*100),"NA",IF(((CC453/BU453-1)*100)&gt;100,"NM",IF(((CC453/BU453-1)*100)&lt;-50,"NM",(CC453/BU453-1)*100)))</f>
        <v>8.1698227501382661</v>
      </c>
      <c r="CE453" s="117">
        <f>+CC458</f>
        <v>87157</v>
      </c>
      <c r="CF453" s="98">
        <f t="shared" ref="CF453:CF459" si="2718">IF(ISERROR((CE453/BW453-1)*100),"NA",IF(((CE453/BW453-1)*100)&gt;100,"NM",IF(((CE453/BW453-1)*100)&lt;-50,"NM",(CE453/BW453-1)*100)))</f>
        <v>39.979763587305662</v>
      </c>
      <c r="CG453" s="117">
        <f>+CE458</f>
        <v>92603</v>
      </c>
      <c r="CH453" s="98">
        <f t="shared" ref="CH453:CH459" si="2719">IF(ISERROR((CG453/BY453-1)*100),"NA",IF(((CG453/BY453-1)*100)&gt;100,"NM",IF(((CG453/BY453-1)*100)&lt;-50,"NM",(CG453/BY453-1)*100)))</f>
        <v>56.439841875865795</v>
      </c>
      <c r="CI453" s="117">
        <f>+CG458</f>
        <v>87367</v>
      </c>
      <c r="CJ453" s="98">
        <f t="shared" ref="CJ453:CJ459" si="2720">IF(ISERROR((CI453/CA453-1)*100),"NA",IF(((CI453/CA453-1)*100)&gt;100,"NM",IF(((CI453/CA453-1)*100)&lt;-50,"NM",(CI453/CA453-1)*100)))</f>
        <v>23.858062321018458</v>
      </c>
      <c r="CK453" s="117">
        <f>+CI458</f>
        <v>97587</v>
      </c>
      <c r="CL453" s="98">
        <f t="shared" ref="CL453:CL459" si="2721">IF(ISERROR((CK453/CC453-1)*100),"NA",IF(((CK453/CC453-1)*100)&gt;100,"NM",IF(((CK453/CC453-1)*100)&lt;-50,"NM",(CK453/CC453-1)*100)))</f>
        <v>18.802804898833724</v>
      </c>
      <c r="CM453" s="101">
        <v>107282</v>
      </c>
      <c r="CN453" s="98">
        <f t="shared" ref="CN453:CN459" si="2722">IF(ISERROR((CM453/CE453-1)*100),"NA",IF(((CM453/CE453-1)*100)&gt;100,"NM",IF(((CM453/CE453-1)*100)&lt;-50,"NM",(CM453/CE453-1)*100)))</f>
        <v>23.090514818086906</v>
      </c>
      <c r="CO453" s="117">
        <f>+CM458</f>
        <v>114510</v>
      </c>
      <c r="CP453" s="98">
        <f t="shared" ref="CP453:CP459" si="2723">IF(ISERROR((CO453/CG453-1)*100),"NA",IF(((CO453/CG453-1)*100)&gt;100,"NM",IF(((CO453/CG453-1)*100)&lt;-50,"NM",(CO453/CG453-1)*100)))</f>
        <v>23.656900964331619</v>
      </c>
      <c r="CQ453" s="486">
        <f>+CO458</f>
        <v>118463</v>
      </c>
      <c r="CR453" s="98">
        <f t="shared" ref="CR453:CR459" si="2724">IF(ISERROR((CQ453/CI453-1)*100),"NA",IF(((CQ453/CI453-1)*100)&gt;100,"NM",IF(((CQ453/CI453-1)*100)&lt;-50,"NM",(CQ453/CI453-1)*100)))</f>
        <v>35.592386141220381</v>
      </c>
      <c r="CS453" s="117">
        <f>+CQ458</f>
        <v>108655</v>
      </c>
      <c r="CT453" s="98">
        <f t="shared" ref="CT453:CT459" si="2725">IF(ISERROR((CS453/CK453-1)*100),"NA",IF(((CS453/CK453-1)*100)&gt;100,"NM",IF(((CS453/CK453-1)*100)&lt;-50,"NM",(CS453/CK453-1)*100)))</f>
        <v>11.341674608298247</v>
      </c>
      <c r="CU453" s="117">
        <f>+CS458</f>
        <v>120263</v>
      </c>
      <c r="CV453" s="98">
        <f t="shared" ref="CV453:CV459" si="2726">IF(ISERROR((CU453/CM453-1)*100),"NA",IF(((CU453/CM453-1)*100)&gt;100,"NM",IF(((CU453/CM453-1)*100)&lt;-50,"NM",(CU453/CM453-1)*100)))</f>
        <v>12.099886281016392</v>
      </c>
      <c r="CW453" s="117">
        <f>+CU458</f>
        <v>133462</v>
      </c>
      <c r="CX453" s="98">
        <f t="shared" ref="CX453:CX459" si="2727">IF(ISERROR((CW453/CO453-1)*100),"NA",IF(((CW453/CO453-1)*100)&gt;100,"NM",IF(((CW453/CO453-1)*100)&lt;-50,"NM",(CW453/CO453-1)*100)))</f>
        <v>16.550519605274651</v>
      </c>
      <c r="CY453" s="117">
        <f>+CW458</f>
        <v>131416</v>
      </c>
      <c r="CZ453" s="98">
        <f t="shared" ref="CZ453:CZ459" si="2728">IF(ISERROR((CY453/CQ453-1)*100),"NA",IF(((CY453/CQ453-1)*100)&gt;100,"NM",IF(((CY453/CQ453-1)*100)&lt;-50,"NM",(CY453/CQ453-1)*100)))</f>
        <v>10.934215746688846</v>
      </c>
      <c r="DA453" s="117">
        <f>+CY458</f>
        <v>139484</v>
      </c>
      <c r="DB453" s="98">
        <f t="shared" ref="DB453:DB459" si="2729">IF(ISERROR((DA453/CS453-1)*100),"NA",IF(((DA453/CS453-1)*100)&gt;100,"NM",IF(((DA453/CS453-1)*100)&lt;-50,"NM",(DA453/CS453-1)*100)))</f>
        <v>28.373291611062545</v>
      </c>
      <c r="DC453" s="117">
        <f>+DA458</f>
        <v>142050</v>
      </c>
      <c r="DD453" s="98">
        <f t="shared" ref="DD453:DD459" si="2730">IF(ISERROR((DC453/CU453-1)*100),"NA",IF(((DC453/CU453-1)*100)&gt;100,"NM",IF(((DC453/CU453-1)*100)&lt;-50,"NM",(DC453/CU453-1)*100)))</f>
        <v>18.116128817674593</v>
      </c>
      <c r="DE453" s="117">
        <f>+DC458</f>
        <v>150826</v>
      </c>
      <c r="DF453" s="98">
        <f t="shared" ref="DF453:DF459" si="2731">IF(ISERROR((DE453/CW453-1)*100),"NA",IF(((DE453/CW453-1)*100)&gt;100,"NM",IF(((DE453/CW453-1)*100)&lt;-50,"NM",(DE453/CW453-1)*100)))</f>
        <v>13.010444920651576</v>
      </c>
      <c r="DG453" s="117">
        <f>+DE458</f>
        <v>149117</v>
      </c>
      <c r="DH453" s="98">
        <f t="shared" ref="DH453:DH459" si="2732">IF(ISERROR((DG453/CY453-1)*100),"NA",IF(((DG453/CY453-1)*100)&gt;100,"NM",IF(((DG453/CY453-1)*100)&lt;-50,"NM",(DG453/CY453-1)*100)))</f>
        <v>13.469440555183532</v>
      </c>
      <c r="DI453" s="117">
        <f>+DG458</f>
        <v>155977</v>
      </c>
      <c r="DJ453" s="98">
        <f t="shared" ref="DJ453:DJ459" si="2733">IF(ISERROR((DI453/DA453-1)*100),"NA",IF(((DI453/DA453-1)*100)&gt;100,"NM",IF(((DI453/DA453-1)*100)&lt;-50,"NM",(DI453/DA453-1)*100)))</f>
        <v>11.82429525967137</v>
      </c>
      <c r="DK453" s="117">
        <f>+DI458</f>
        <v>162436</v>
      </c>
      <c r="DL453" s="98">
        <f t="shared" ref="DL453:DL459" si="2734">IF(ISERROR((DK453/DC453-1)*100),"NA",IF(((DK453/DC453-1)*100)&gt;100,"NM",IF(((DK453/DC453-1)*100)&lt;-50,"NM",(DK453/DC453-1)*100)))</f>
        <v>14.351284758887717</v>
      </c>
      <c r="DM453" s="117">
        <f>+DK458</f>
        <v>162713</v>
      </c>
      <c r="DN453" s="98">
        <f t="shared" ref="DN453:DN459" si="2735">IF(ISERROR((DM453/DE453-1)*100),"NA",IF(((DM453/DE453-1)*100)&gt;100,"NM",IF(((DM453/DE453-1)*100)&lt;-50,"NM",(DM453/DE453-1)*100)))</f>
        <v>7.8812671555302138</v>
      </c>
      <c r="DO453" s="117">
        <f>+DM458</f>
        <v>166093</v>
      </c>
      <c r="DP453" s="98">
        <f t="shared" ref="DP453:DP459" si="2736">IF(ISERROR((DO453/DG453-1)*100),"NA",IF(((DO453/DG453-1)*100)&gt;100,"NM",IF(((DO453/DG453-1)*100)&lt;-50,"NM",(DO453/DG453-1)*100)))</f>
        <v>11.384349202304222</v>
      </c>
      <c r="DQ453" s="117">
        <f>+DO458</f>
        <v>160995</v>
      </c>
      <c r="DR453" s="98">
        <f t="shared" ref="DR453:DR459" si="2737">IF(ISERROR((DQ453/DI453-1)*100),"NA",IF(((DQ453/DI453-1)*100)&gt;100,"NM",IF(((DQ453/DI453-1)*100)&lt;-50,"NM",(DQ453/DI453-1)*100)))</f>
        <v>3.2171409887355118</v>
      </c>
      <c r="DS453" s="117">
        <v>45656</v>
      </c>
      <c r="DT453" s="98" t="str">
        <f t="shared" ref="DT453:DT459" si="2738">IF(ISERROR((DS453/DK453-1)*100),"NA",IF(((DS453/DK453-1)*100)&gt;100,"NM",IF(((DS453/DK453-1)*100)&lt;-50,"NM",(DS453/DK453-1)*100)))</f>
        <v>NM</v>
      </c>
      <c r="DU453" s="117">
        <f>+DS458</f>
        <v>46355</v>
      </c>
      <c r="DV453" s="98" t="str">
        <f t="shared" ref="DV453:DV459" si="2739">IF(ISERROR((DU453/DM453-1)*100),"NA",IF(((DU453/DM453-1)*100)&gt;100,"NM",IF(((DU453/DM453-1)*100)&lt;-50,"NM",(DU453/DM453-1)*100)))</f>
        <v>NM</v>
      </c>
      <c r="DW453" s="117">
        <f>+DU458</f>
        <v>45673</v>
      </c>
      <c r="DX453" s="98" t="str">
        <f t="shared" ref="DX453:DX459" si="2740">IF(ISERROR((DW453/DO453-1)*100),"NA",IF(((DW453/DO453-1)*100)&gt;100,"NM",IF(((DW453/DO453-1)*100)&lt;-50,"NM",(DW453/DO453-1)*100)))</f>
        <v>NM</v>
      </c>
      <c r="DY453" s="117">
        <f>+DW458</f>
        <v>42607</v>
      </c>
      <c r="DZ453" s="98" t="str">
        <f t="shared" ref="DZ453:DZ459" si="2741">IF(ISERROR((DY453/DQ453-1)*100),"NA",IF(((DY453/DQ453-1)*100)&gt;100,"NM",IF(((DY453/DQ453-1)*100)&lt;-50,"NM",(DY453/DQ453-1)*100)))</f>
        <v>NM</v>
      </c>
      <c r="EA453" s="117">
        <f>+DY458</f>
        <v>43470</v>
      </c>
      <c r="EB453" s="98">
        <f t="shared" ref="EB453:EB459" si="2742">IF(ISERROR((EA453/DS453-1)*100),"NA",IF(((EA453/DS453-1)*100)&gt;100,"NM",IF(((EA453/DS453-1)*100)&lt;-50,"NM",(EA453/DS453-1)*100)))</f>
        <v>-4.7879796740844522</v>
      </c>
      <c r="EC453" s="117">
        <f>+EA458</f>
        <v>43404</v>
      </c>
      <c r="ED453" s="98">
        <f t="shared" ref="ED453:ED459" si="2743">IF(ISERROR((EC453/DU453-1)*100),"NA",IF(((EC453/DU453-1)*100)&gt;100,"NM",IF(((EC453/DU453-1)*100)&lt;-50,"NM",(EC453/DU453-1)*100)))</f>
        <v>-6.3660878006687511</v>
      </c>
      <c r="EE453" s="117">
        <f>+EC458</f>
        <v>43843</v>
      </c>
      <c r="EF453" s="860">
        <f t="shared" ref="EF453:EF459" si="2744">IF(ISERROR((EE453/DW453-1)*100),"NA",IF(((EE453/DW453-1)*100)&gt;100,"NM",IF(((EE453/DW453-1)*100)&lt;-50,"NM",(EE453/DW453-1)*100)))</f>
        <v>-4.0067435903049953</v>
      </c>
      <c r="EG453" s="117">
        <f>+EE458</f>
        <v>44560</v>
      </c>
      <c r="EH453" s="860">
        <f t="shared" ref="EH453:EH459" si="2745">IF(ISERROR((EG453/DY453-1)*100),"NA",IF(((EG453/DY453-1)*100)&gt;100,"NM",IF(((EG453/DY453-1)*100)&lt;-50,"NM",(EG453/DY453-1)*100)))</f>
        <v>4.5837538432651925</v>
      </c>
      <c r="EI453" s="117">
        <f>+EG458</f>
        <v>43623</v>
      </c>
      <c r="EJ453" s="860">
        <f t="shared" ref="EJ453:EJ459" si="2746">IF(ISERROR((EI453/EA453-1)*100),"NA",IF(((EI453/EA453-1)*100)&gt;100,"NM",IF(((EI453/EA453-1)*100)&lt;-50,"NM",(EI453/EA453-1)*100)))</f>
        <v>0.35196687370599999</v>
      </c>
      <c r="EK453" s="117">
        <f>+EI458</f>
        <v>44667</v>
      </c>
      <c r="EL453" s="860">
        <f t="shared" ref="EL453:EL459" si="2747">IF(ISERROR((EK453/EC453-1)*100),"NA",IF(((EK453/EC453-1)*100)&gt;100,"NM",IF(((EK453/EC453-1)*100)&lt;-50,"NM",(EK453/EC453-1)*100)))</f>
        <v>2.9098700580591608</v>
      </c>
      <c r="EM453" s="117">
        <f>+EK458</f>
        <v>44907</v>
      </c>
      <c r="EN453" s="860">
        <f t="shared" ref="EN453:EN459" si="2748">IF(ISERROR((EM453/EE453-1)*100),"NA",IF(((EM453/EE453-1)*100)&gt;100,"NM",IF(((EM453/EE453-1)*100)&lt;-50,"NM",(EM453/EE453-1)*100)))</f>
        <v>2.4268412289305097</v>
      </c>
      <c r="EO453" s="117">
        <f>+EM458</f>
        <v>45278</v>
      </c>
      <c r="EP453" s="98">
        <f t="shared" ref="EP453:EP459" si="2749">IF(ISERROR((EO453/EG453-1)*100),"NA",IF(((EO453/EG453-1)*100)&gt;100,"NM",IF(((EO453/EG453-1)*100)&lt;-50,"NM",(EO453/EG453-1)*100)))</f>
        <v>1.6113105924596027</v>
      </c>
      <c r="EQ453" s="792">
        <f t="shared" ref="EQ453" si="2750">+EO458</f>
        <v>45678</v>
      </c>
      <c r="ER453" s="98">
        <f t="shared" ref="ER453:ER459" si="2751">IF(ISERROR((EQ453/EI453-1)*100),"NA",IF(((EQ453/EI453-1)*100)&gt;100,"NM",IF(((EQ453/EI453-1)*100)&lt;-50,"NM",(EQ453/EI453-1)*100)))</f>
        <v>4.7108176879169239</v>
      </c>
      <c r="ES453" s="792">
        <f t="shared" ref="ES453" si="2752">+EQ458</f>
        <v>43951.77979847166</v>
      </c>
      <c r="ET453" s="98">
        <f t="shared" ref="ET453:ET459" si="2753">IF(ISERROR((ES453/EK453-1)*100),"NA",IF(((ES453/EK453-1)*100)&gt;100,"NM",IF(((ES453/EK453-1)*100)&lt;-50,"NM",(ES453/EK453-1)*100)))</f>
        <v>-1.6012273076954853</v>
      </c>
      <c r="EU453" s="792">
        <f t="shared" ref="EU453" si="2754">+ES458</f>
        <v>43107.633091357871</v>
      </c>
      <c r="EV453" s="98">
        <f t="shared" ref="EV453:EV459" si="2755">IF(ISERROR((EU453/EM453-1)*100),"NA",IF(((EU453/EM453-1)*100)&gt;100,"NM",IF(((EU453/EM453-1)*100)&lt;-50,"NM",(EU453/EM453-1)*100)))</f>
        <v>-4.0068740032559003</v>
      </c>
      <c r="EW453" s="792">
        <f t="shared" ref="EW453" si="2756">+EU458</f>
        <v>42260.634718142363</v>
      </c>
      <c r="EX453" s="98">
        <f t="shared" ref="EX453:EX459" si="2757">IF(ISERROR((EW453/EO453-1)*100),"NA",IF(((EW453/EO453-1)*100)&gt;100,"NM",IF(((EW453/EO453-1)*100)&lt;-50,"NM",(EW453/EO453-1)*100)))</f>
        <v>-6.6640869337374342</v>
      </c>
      <c r="EY453" s="118"/>
      <c r="EZ453" s="594"/>
      <c r="FA453" s="405"/>
      <c r="FB453" s="95" t="s">
        <v>494</v>
      </c>
      <c r="FC453" s="98"/>
      <c r="FD453" s="117">
        <f>+FB458</f>
        <v>15844</v>
      </c>
      <c r="FE453" s="98" t="str">
        <f t="shared" ref="FE453:FE459" si="2758">IF(ISERROR((FD453/FB453-1)*100),"NA",IF(((FD453/FB453-1)*100)&gt;100,"NM",IF(((FD453/FB453-1)*100)&lt;-50,"NM",(FD453/FB453-1)*100)))</f>
        <v>NA</v>
      </c>
      <c r="FF453" s="118"/>
      <c r="FG453" s="98"/>
      <c r="FH453" s="118"/>
      <c r="FI453" s="98"/>
      <c r="FJ453" s="118"/>
      <c r="FK453" s="98"/>
      <c r="FL453" s="118"/>
      <c r="FM453" s="98"/>
      <c r="FN453" s="118"/>
      <c r="FO453" s="98"/>
      <c r="FP453" s="118"/>
      <c r="FQ453" s="98"/>
      <c r="FR453" s="119"/>
      <c r="FS453" s="120"/>
      <c r="FT453" s="119"/>
      <c r="FU453" s="120"/>
      <c r="FV453" s="119">
        <f>BO453</f>
        <v>92080</v>
      </c>
      <c r="FW453" s="98" t="str">
        <f t="shared" ref="FW453:FW459" si="2759">IF(ISERROR((FV453/FT453-1)*100),"NA",IF(((FV453/FT453-1)*100)&gt;100,"NM",IF(((FV453/FT453-1)*100)&lt;-50,"NM",(FV453/FT453-1)*100)))</f>
        <v>NA</v>
      </c>
      <c r="FX453" s="485">
        <f>+FV458</f>
        <v>62264</v>
      </c>
      <c r="FY453" s="98">
        <f t="shared" ref="FY453:FY459" si="2760">IF(ISERROR((FX453/FV453-1)*100),"NA",IF(((FX453/FV453-1)*100)&gt;100,"NM",IF(((FX453/FV453-1)*100)&lt;-50,"NM",(FX453/FV453-1)*100)))</f>
        <v>-32.380538662033011</v>
      </c>
      <c r="FZ453" s="119">
        <f>+FX458</f>
        <v>87157</v>
      </c>
      <c r="GA453" s="98">
        <f t="shared" ref="GA453:GA459" si="2761">IF(ISERROR((FZ453/FX453-1)*100),"NA",IF(((FZ453/FX453-1)*100)&gt;100,"NM",IF(((FZ453/FX453-1)*100)&lt;-50,"NM",(FZ453/FX453-1)*100)))</f>
        <v>39.979763587305662</v>
      </c>
      <c r="GB453" s="485">
        <f>CM453</f>
        <v>107282</v>
      </c>
      <c r="GC453" s="98">
        <f t="shared" ref="GC453:GC459" si="2762">IF(ISERROR((GB453/FZ453-1)*100),"NA",IF(((GB453/FZ453-1)*100)&gt;100,"NM",IF(((GB453/FZ453-1)*100)&lt;-50,"NM",(GB453/FZ453-1)*100)))</f>
        <v>23.090514818086906</v>
      </c>
      <c r="GD453" s="119">
        <f>CU453</f>
        <v>120263</v>
      </c>
      <c r="GE453" s="98">
        <f t="shared" ref="GE453:GE459" si="2763">IF(ISERROR((GD453/GB453-1)*100),"NA",IF(((GD453/GB453-1)*100)&gt;100,"NM",IF(((GD453/GB453-1)*100)&lt;-50,"NM",(GD453/GB453-1)*100)))</f>
        <v>12.099886281016392</v>
      </c>
      <c r="GF453" s="119">
        <f>DC453</f>
        <v>142050</v>
      </c>
      <c r="GG453" s="98">
        <f t="shared" ref="GG453:GG459" si="2764">IF(ISERROR((GF453/GD453-1)*100),"NA",IF(((GF453/GD453-1)*100)&gt;100,"NM",IF(((GF453/GD453-1)*100)&lt;-50,"NM",(GF453/GD453-1)*100)))</f>
        <v>18.116128817674593</v>
      </c>
      <c r="GH453" s="119">
        <f>DK453</f>
        <v>162436</v>
      </c>
      <c r="GI453" s="98">
        <f t="shared" ref="GI453:GI459" si="2765">IF(ISERROR((GH453/GF453-1)*100),"NA",IF(((GH453/GF453-1)*100)&gt;100,"NM",IF(((GH453/GF453-1)*100)&lt;-50,"NM",(GH453/GF453-1)*100)))</f>
        <v>14.351284758887717</v>
      </c>
      <c r="GJ453" s="119">
        <f>DS453</f>
        <v>45656</v>
      </c>
      <c r="GK453" s="98" t="str">
        <f t="shared" ref="GK453:GK459" si="2766">IF(ISERROR((GJ453/GH453-1)*100),"NA",IF(((GJ453/GH453-1)*100)&gt;100,"NM",IF(((GJ453/GH453-1)*100)&lt;-50,"NM",(GJ453/GH453-1)*100)))</f>
        <v>NM</v>
      </c>
      <c r="GL453" s="119">
        <f>EA453</f>
        <v>43470</v>
      </c>
      <c r="GM453" s="98">
        <f t="shared" ref="GM453:GW459" si="2767">IF(ISERROR((GL453/GJ453-1)*100),"NA",IF(((GL453/GJ453-1)*100)&gt;100,"NM",IF(((GL453/GJ453-1)*100)&lt;-50,"NM",(GL453/GJ453-1)*100)))</f>
        <v>-4.7879796740844522</v>
      </c>
      <c r="GN453" s="119">
        <f>EI453</f>
        <v>43623</v>
      </c>
      <c r="GO453" s="98">
        <f t="shared" si="2767"/>
        <v>0.35196687370599999</v>
      </c>
      <c r="GP453" s="119">
        <f>EQ453</f>
        <v>45678</v>
      </c>
      <c r="GQ453" s="98">
        <f t="shared" si="2767"/>
        <v>4.7108176879169239</v>
      </c>
      <c r="GR453" s="118">
        <f>+GP458</f>
        <v>41413.560512764627</v>
      </c>
      <c r="GS453" s="98">
        <f t="shared" si="2767"/>
        <v>-9.3358717265102911</v>
      </c>
      <c r="GT453" s="118">
        <f>+GR458</f>
        <v>35984.760724743886</v>
      </c>
      <c r="GU453" s="98">
        <f t="shared" si="2767"/>
        <v>-13.108749213551574</v>
      </c>
      <c r="GV453" s="118">
        <f>+GT458</f>
        <v>30842.716683520073</v>
      </c>
      <c r="GW453" s="98">
        <f t="shared" si="2767"/>
        <v>-14.289504606009606</v>
      </c>
      <c r="GX453" s="118">
        <f>+GV458</f>
        <v>26041.564573969747</v>
      </c>
      <c r="GY453" s="98">
        <f t="shared" ref="GY453:GY459" si="2768">IF(ISERROR((GX453/GV453-1)*100),"NA",IF(((GX453/GV453-1)*100)&gt;100,"NM",IF(((GX453/GV453-1)*100)&lt;-50,"NM",(GX453/GV453-1)*100)))</f>
        <v>-15.566566845636153</v>
      </c>
      <c r="GZ453" s="98">
        <f t="shared" ref="GZ453:GZ459" si="2769">IF(ISERROR(((GX453/GN453)^0.2-1)*100),"NA",IF((((GX453/GN453)^0.2-1)*100)&gt;100,"NM",IF((((GX453/GN453)^0.2-1)*100)&lt;-50,"NM",((GX453/GN453)^0.2-1)*100)))</f>
        <v>-9.8033705410997207</v>
      </c>
      <c r="HA453" s="98"/>
      <c r="HB453" s="10"/>
      <c r="HC453"/>
      <c r="HD453"/>
      <c r="HE453"/>
      <c r="HF453"/>
      <c r="HG453"/>
      <c r="HH453"/>
      <c r="HI453" s="10"/>
    </row>
    <row r="454" spans="1:217" s="2" customFormat="1" ht="12.75" customHeight="1" x14ac:dyDescent="0.2">
      <c r="A454" s="2" t="s">
        <v>67</v>
      </c>
      <c r="B454" s="91" t="s">
        <v>340</v>
      </c>
      <c r="C454" s="101"/>
      <c r="D454" s="98"/>
      <c r="E454" s="101"/>
      <c r="F454" s="98"/>
      <c r="G454" s="101"/>
      <c r="H454" s="98"/>
      <c r="I454" s="101"/>
      <c r="J454" s="98"/>
      <c r="K454" s="101"/>
      <c r="L454" s="98"/>
      <c r="M454" s="101"/>
      <c r="N454" s="98"/>
      <c r="O454" s="101"/>
      <c r="P454" s="98"/>
      <c r="Q454" s="101"/>
      <c r="R454" s="98"/>
      <c r="S454" s="101"/>
      <c r="T454" s="98"/>
      <c r="U454" s="101"/>
      <c r="V454" s="98"/>
      <c r="W454" s="101"/>
      <c r="X454" s="98"/>
      <c r="Y454" s="101"/>
      <c r="Z454" s="98"/>
      <c r="AA454" s="101"/>
      <c r="AB454" s="98"/>
      <c r="AC454" s="101"/>
      <c r="AD454" s="98"/>
      <c r="AE454" s="101"/>
      <c r="AF454" s="98"/>
      <c r="AG454" s="101"/>
      <c r="AH454" s="98"/>
      <c r="AI454" s="101"/>
      <c r="AJ454" s="98"/>
      <c r="AK454" s="101"/>
      <c r="AL454" s="98"/>
      <c r="AM454" s="101"/>
      <c r="AN454" s="98"/>
      <c r="AO454" s="101"/>
      <c r="AP454" s="98"/>
      <c r="AQ454" s="101"/>
      <c r="AR454" s="98"/>
      <c r="AS454" s="101"/>
      <c r="AT454" s="98"/>
      <c r="AU454" s="101"/>
      <c r="AV454" s="98"/>
      <c r="AW454" s="101"/>
      <c r="AX454" s="98"/>
      <c r="AY454" s="101"/>
      <c r="AZ454" s="98"/>
      <c r="BA454" s="101"/>
      <c r="BB454" s="98"/>
      <c r="BC454" s="101"/>
      <c r="BD454" s="98"/>
      <c r="BE454" s="101"/>
      <c r="BF454" s="98"/>
      <c r="BG454" s="101"/>
      <c r="BH454" s="98"/>
      <c r="BI454" s="101"/>
      <c r="BJ454" s="98"/>
      <c r="BK454" s="101"/>
      <c r="BL454" s="98"/>
      <c r="BM454" s="101">
        <v>2780</v>
      </c>
      <c r="BN454" s="98" t="str">
        <f t="shared" si="2709"/>
        <v>NA</v>
      </c>
      <c r="BO454" s="101">
        <v>2271</v>
      </c>
      <c r="BP454" s="98" t="str">
        <f t="shared" si="2710"/>
        <v>NA</v>
      </c>
      <c r="BQ454" s="101">
        <v>2477</v>
      </c>
      <c r="BR454" s="98" t="str">
        <f t="shared" si="2711"/>
        <v>NA</v>
      </c>
      <c r="BS454" s="101">
        <v>2404</v>
      </c>
      <c r="BT454" s="98" t="str">
        <f t="shared" si="2712"/>
        <v>NA</v>
      </c>
      <c r="BU454" s="101">
        <v>2149</v>
      </c>
      <c r="BV454" s="98">
        <f t="shared" si="2713"/>
        <v>-22.697841726618705</v>
      </c>
      <c r="BW454" s="101">
        <v>2260</v>
      </c>
      <c r="BX454" s="98">
        <f t="shared" si="2714"/>
        <v>-0.48436811977102812</v>
      </c>
      <c r="BY454" s="101">
        <v>2894</v>
      </c>
      <c r="BZ454" s="98">
        <f t="shared" si="2715"/>
        <v>16.83488090431975</v>
      </c>
      <c r="CA454" s="101">
        <v>2279</v>
      </c>
      <c r="CB454" s="98">
        <f t="shared" si="2716"/>
        <v>-5.1996672212978323</v>
      </c>
      <c r="CC454" s="101">
        <v>2633</v>
      </c>
      <c r="CD454" s="98">
        <f t="shared" si="2717"/>
        <v>22.522103303862263</v>
      </c>
      <c r="CE454" s="101">
        <v>3004</v>
      </c>
      <c r="CF454" s="98">
        <f t="shared" si="2718"/>
        <v>32.920353982300888</v>
      </c>
      <c r="CG454" s="101">
        <v>3348</v>
      </c>
      <c r="CH454" s="98">
        <f t="shared" si="2719"/>
        <v>15.687629578438145</v>
      </c>
      <c r="CI454" s="101">
        <v>3312</v>
      </c>
      <c r="CJ454" s="98">
        <f t="shared" si="2720"/>
        <v>45.326897762176401</v>
      </c>
      <c r="CK454" s="101">
        <v>3978</v>
      </c>
      <c r="CL454" s="98">
        <f t="shared" si="2721"/>
        <v>51.082415495632347</v>
      </c>
      <c r="CM454" s="101">
        <v>4563</v>
      </c>
      <c r="CN454" s="98">
        <f t="shared" si="2722"/>
        <v>51.897470039946739</v>
      </c>
      <c r="CO454" s="101">
        <v>5703</v>
      </c>
      <c r="CP454" s="98">
        <f t="shared" si="2723"/>
        <v>70.340501792114679</v>
      </c>
      <c r="CQ454" s="542">
        <v>6787</v>
      </c>
      <c r="CR454" s="98" t="str">
        <f t="shared" si="2724"/>
        <v>NM</v>
      </c>
      <c r="CS454" s="101">
        <v>5778</v>
      </c>
      <c r="CT454" s="98">
        <f t="shared" si="2725"/>
        <v>45.248868778280539</v>
      </c>
      <c r="CU454" s="101">
        <v>4232</v>
      </c>
      <c r="CV454" s="98">
        <f t="shared" si="2726"/>
        <v>-7.2539995616918702</v>
      </c>
      <c r="CW454" s="101">
        <v>3870</v>
      </c>
      <c r="CX454" s="98">
        <f t="shared" si="2727"/>
        <v>-32.140978432403998</v>
      </c>
      <c r="CY454" s="101">
        <v>3836</v>
      </c>
      <c r="CZ454" s="98">
        <f t="shared" si="2728"/>
        <v>-43.480182702224845</v>
      </c>
      <c r="DA454" s="101">
        <v>2961</v>
      </c>
      <c r="DB454" s="98">
        <f t="shared" si="2729"/>
        <v>-48.753894080996886</v>
      </c>
      <c r="DC454" s="101">
        <v>2964</v>
      </c>
      <c r="DD454" s="98">
        <f t="shared" si="2730"/>
        <v>-29.962192816635159</v>
      </c>
      <c r="DE454" s="101">
        <v>2382</v>
      </c>
      <c r="DF454" s="98">
        <f t="shared" si="2731"/>
        <v>-38.449612403100772</v>
      </c>
      <c r="DG454" s="101">
        <v>2240</v>
      </c>
      <c r="DH454" s="98">
        <f t="shared" si="2732"/>
        <v>-41.605839416058402</v>
      </c>
      <c r="DI454" s="101">
        <v>1451</v>
      </c>
      <c r="DJ454" s="98" t="str">
        <f t="shared" si="2733"/>
        <v>NM</v>
      </c>
      <c r="DK454" s="101">
        <v>1331</v>
      </c>
      <c r="DL454" s="465" t="str">
        <f t="shared" si="2734"/>
        <v>NM</v>
      </c>
      <c r="DM454" s="101">
        <v>1344</v>
      </c>
      <c r="DN454" s="465">
        <f t="shared" si="2735"/>
        <v>-43.576826196473547</v>
      </c>
      <c r="DO454" s="101">
        <v>1290</v>
      </c>
      <c r="DP454" s="465">
        <f t="shared" si="2736"/>
        <v>-42.410714285714292</v>
      </c>
      <c r="DQ454" s="101">
        <v>1370</v>
      </c>
      <c r="DR454" s="465">
        <f t="shared" si="2737"/>
        <v>-5.5823569951757417</v>
      </c>
      <c r="DS454" s="101">
        <v>518</v>
      </c>
      <c r="DT454" s="465" t="str">
        <f t="shared" si="2738"/>
        <v>NM</v>
      </c>
      <c r="DU454" s="101">
        <v>677</v>
      </c>
      <c r="DV454" s="465">
        <f t="shared" si="2739"/>
        <v>-49.62797619047619</v>
      </c>
      <c r="DW454" s="101">
        <v>645</v>
      </c>
      <c r="DX454" s="465">
        <f t="shared" si="2740"/>
        <v>-50</v>
      </c>
      <c r="DY454" s="101">
        <v>670</v>
      </c>
      <c r="DZ454" s="98" t="str">
        <f t="shared" si="2741"/>
        <v>NM</v>
      </c>
      <c r="EA454" s="101">
        <v>610</v>
      </c>
      <c r="EB454" s="98">
        <f t="shared" si="2742"/>
        <v>17.76061776061777</v>
      </c>
      <c r="EC454" s="101">
        <v>537</v>
      </c>
      <c r="ED454" s="98">
        <f t="shared" si="2743"/>
        <v>-20.679468242245203</v>
      </c>
      <c r="EE454" s="101">
        <v>231</v>
      </c>
      <c r="EF454" s="860" t="str">
        <f t="shared" si="2744"/>
        <v>NM</v>
      </c>
      <c r="EG454" s="101">
        <v>187</v>
      </c>
      <c r="EH454" s="860" t="str">
        <f t="shared" si="2745"/>
        <v>NM</v>
      </c>
      <c r="EI454" s="101">
        <v>175</v>
      </c>
      <c r="EJ454" s="860" t="str">
        <f t="shared" si="2746"/>
        <v>NM</v>
      </c>
      <c r="EK454" s="101">
        <v>168</v>
      </c>
      <c r="EL454" s="860" t="str">
        <f t="shared" si="2747"/>
        <v>NM</v>
      </c>
      <c r="EM454" s="101">
        <v>133</v>
      </c>
      <c r="EN454" s="860">
        <f t="shared" si="2748"/>
        <v>-42.424242424242422</v>
      </c>
      <c r="EO454" s="101">
        <v>107</v>
      </c>
      <c r="EP454" s="465">
        <f t="shared" si="2749"/>
        <v>-42.780748663101612</v>
      </c>
      <c r="EQ454" s="952">
        <f>EO454*0.8</f>
        <v>85.600000000000009</v>
      </c>
      <c r="ER454" s="465" t="str">
        <f t="shared" si="2751"/>
        <v>NM</v>
      </c>
      <c r="ES454" s="952">
        <f t="shared" ref="ES454" si="2770">EQ454*0.8</f>
        <v>68.48</v>
      </c>
      <c r="ET454" s="465" t="str">
        <f t="shared" si="2753"/>
        <v>NM</v>
      </c>
      <c r="EU454" s="952">
        <f t="shared" ref="EU454" si="2771">ES454*0.8</f>
        <v>54.784000000000006</v>
      </c>
      <c r="EV454" s="465" t="str">
        <f t="shared" si="2755"/>
        <v>NM</v>
      </c>
      <c r="EW454" s="952">
        <f t="shared" ref="EW454" si="2772">EU454*0.8</f>
        <v>43.827200000000005</v>
      </c>
      <c r="EX454" s="465" t="str">
        <f t="shared" si="2757"/>
        <v>NM</v>
      </c>
      <c r="EY454" s="121"/>
      <c r="EZ454" s="594"/>
      <c r="FA454" s="405"/>
      <c r="FB454" s="95" t="s">
        <v>494</v>
      </c>
      <c r="FC454" s="98"/>
      <c r="FD454" s="101">
        <v>2792</v>
      </c>
      <c r="FE454" s="98" t="str">
        <f t="shared" si="2758"/>
        <v>NA</v>
      </c>
      <c r="FF454" s="118"/>
      <c r="FG454" s="98"/>
      <c r="FH454" s="118"/>
      <c r="FI454" s="98"/>
      <c r="FJ454" s="118"/>
      <c r="FK454" s="98"/>
      <c r="FL454" s="118"/>
      <c r="FM454" s="98"/>
      <c r="FN454" s="118"/>
      <c r="FO454" s="98"/>
      <c r="FP454" s="118"/>
      <c r="FQ454" s="98"/>
      <c r="FR454" s="119"/>
      <c r="FS454" s="120"/>
      <c r="FT454" s="119"/>
      <c r="FU454" s="120"/>
      <c r="FV454" s="119">
        <f>BO454+BQ454+BS454+BU454</f>
        <v>9301</v>
      </c>
      <c r="FW454" s="98" t="str">
        <f t="shared" si="2759"/>
        <v>NA</v>
      </c>
      <c r="FX454" s="485">
        <f>BW454+BY454+CA454+CC454</f>
        <v>10066</v>
      </c>
      <c r="FY454" s="98">
        <f t="shared" si="2760"/>
        <v>8.2249220513923138</v>
      </c>
      <c r="FZ454" s="119">
        <f>CE454+CG454+CI454+CK454</f>
        <v>13642</v>
      </c>
      <c r="GA454" s="98">
        <f t="shared" si="2761"/>
        <v>35.525531492151806</v>
      </c>
      <c r="GB454" s="485">
        <f>CM454+CO454+CQ454+CS454</f>
        <v>22831</v>
      </c>
      <c r="GC454" s="98">
        <f t="shared" si="2762"/>
        <v>67.358158627767196</v>
      </c>
      <c r="GD454" s="119">
        <f>CU454+CW454+CY454+DA454</f>
        <v>14899</v>
      </c>
      <c r="GE454" s="98">
        <f t="shared" si="2763"/>
        <v>-34.742236432920151</v>
      </c>
      <c r="GF454" s="119">
        <f>DC454+DE454+DG454+DI454</f>
        <v>9037</v>
      </c>
      <c r="GG454" s="98">
        <f t="shared" si="2764"/>
        <v>-39.34492247801866</v>
      </c>
      <c r="GH454" s="119">
        <f>DK454+DM454+DO454+DQ454</f>
        <v>5335</v>
      </c>
      <c r="GI454" s="98">
        <f t="shared" si="2765"/>
        <v>-40.964921987385196</v>
      </c>
      <c r="GJ454" s="119">
        <f>DS454+DU454+DW454+DY454</f>
        <v>2510</v>
      </c>
      <c r="GK454" s="98" t="str">
        <f t="shared" si="2766"/>
        <v>NM</v>
      </c>
      <c r="GL454" s="119">
        <f>EA454+EC454+EE454+EG454</f>
        <v>1565</v>
      </c>
      <c r="GM454" s="98">
        <f t="shared" si="2767"/>
        <v>-37.649402390438247</v>
      </c>
      <c r="GN454" s="119">
        <f>EI454+EK454+EM454+EO454</f>
        <v>583</v>
      </c>
      <c r="GO454" s="98" t="str">
        <f t="shared" si="2767"/>
        <v>NM</v>
      </c>
      <c r="GP454" s="119">
        <f>EQ454+ES454+EU454+EW454</f>
        <v>252.69120000000004</v>
      </c>
      <c r="GQ454" s="98" t="str">
        <f t="shared" si="2767"/>
        <v>NM</v>
      </c>
      <c r="GR454" s="121">
        <f>GP454*0.5</f>
        <v>126.34560000000002</v>
      </c>
      <c r="GS454" s="98">
        <f t="shared" si="2767"/>
        <v>-50</v>
      </c>
      <c r="GT454" s="121">
        <f>GR454*0.5</f>
        <v>63.172800000000009</v>
      </c>
      <c r="GU454" s="98">
        <f t="shared" si="2767"/>
        <v>-50</v>
      </c>
      <c r="GV454" s="121">
        <f>GT454*0.5</f>
        <v>31.586400000000005</v>
      </c>
      <c r="GW454" s="98">
        <f t="shared" si="2767"/>
        <v>-50</v>
      </c>
      <c r="GX454" s="121">
        <f>GV454*0.5</f>
        <v>15.793200000000002</v>
      </c>
      <c r="GY454" s="98">
        <f t="shared" si="2768"/>
        <v>-50</v>
      </c>
      <c r="GZ454" s="98" t="str">
        <f t="shared" si="2769"/>
        <v>NM</v>
      </c>
      <c r="HA454" s="98"/>
      <c r="HB454" s="10"/>
      <c r="HC454"/>
      <c r="HD454"/>
      <c r="HE454"/>
      <c r="HF454"/>
      <c r="HG454"/>
      <c r="HH454"/>
      <c r="HI454" s="10"/>
    </row>
    <row r="455" spans="1:217" s="2" customFormat="1" ht="12.75" customHeight="1" x14ac:dyDescent="0.2">
      <c r="B455" s="91" t="s">
        <v>13</v>
      </c>
      <c r="C455" s="101"/>
      <c r="D455" s="98"/>
      <c r="E455" s="101"/>
      <c r="F455" s="98"/>
      <c r="G455" s="101"/>
      <c r="H455" s="98"/>
      <c r="I455" s="101"/>
      <c r="J455" s="98"/>
      <c r="K455" s="101"/>
      <c r="L455" s="98"/>
      <c r="M455" s="101"/>
      <c r="N455" s="98"/>
      <c r="O455" s="101"/>
      <c r="P455" s="98"/>
      <c r="Q455" s="101"/>
      <c r="R455" s="98"/>
      <c r="S455" s="101"/>
      <c r="T455" s="98"/>
      <c r="U455" s="101"/>
      <c r="V455" s="98"/>
      <c r="W455" s="101"/>
      <c r="X455" s="98"/>
      <c r="Y455" s="101"/>
      <c r="Z455" s="98"/>
      <c r="AA455" s="101"/>
      <c r="AB455" s="98"/>
      <c r="AC455" s="101"/>
      <c r="AD455" s="98"/>
      <c r="AE455" s="101"/>
      <c r="AF455" s="98"/>
      <c r="AG455" s="101"/>
      <c r="AH455" s="98"/>
      <c r="AI455" s="101"/>
      <c r="AJ455" s="98"/>
      <c r="AK455" s="101"/>
      <c r="AL455" s="98"/>
      <c r="AM455" s="101"/>
      <c r="AN455" s="98"/>
      <c r="AO455" s="101"/>
      <c r="AP455" s="98"/>
      <c r="AQ455" s="101"/>
      <c r="AR455" s="98"/>
      <c r="AS455" s="101"/>
      <c r="AT455" s="98"/>
      <c r="AU455" s="101"/>
      <c r="AV455" s="98"/>
      <c r="AW455" s="101"/>
      <c r="AX455" s="98"/>
      <c r="AY455" s="101"/>
      <c r="AZ455" s="98"/>
      <c r="BA455" s="101"/>
      <c r="BB455" s="98"/>
      <c r="BC455" s="101"/>
      <c r="BD455" s="98"/>
      <c r="BE455" s="101"/>
      <c r="BF455" s="98"/>
      <c r="BG455" s="101"/>
      <c r="BH455" s="98"/>
      <c r="BI455" s="101"/>
      <c r="BJ455" s="98"/>
      <c r="BK455" s="101"/>
      <c r="BL455" s="98"/>
      <c r="BM455" s="101">
        <v>-1881</v>
      </c>
      <c r="BN455" s="98" t="str">
        <f t="shared" si="2709"/>
        <v>NA</v>
      </c>
      <c r="BO455" s="101">
        <v>-7109</v>
      </c>
      <c r="BP455" s="98" t="str">
        <f t="shared" si="2710"/>
        <v>NA</v>
      </c>
      <c r="BQ455" s="101">
        <v>-930</v>
      </c>
      <c r="BR455" s="98" t="str">
        <f t="shared" si="2711"/>
        <v>NA</v>
      </c>
      <c r="BS455" s="101">
        <v>-8645</v>
      </c>
      <c r="BT455" s="98" t="str">
        <f t="shared" si="2712"/>
        <v>NA</v>
      </c>
      <c r="BU455" s="101">
        <v>-13820</v>
      </c>
      <c r="BV455" s="98" t="str">
        <f t="shared" si="2713"/>
        <v>NM</v>
      </c>
      <c r="BW455" s="101">
        <v>-3945</v>
      </c>
      <c r="BX455" s="98">
        <f t="shared" si="2714"/>
        <v>-44.50696300464201</v>
      </c>
      <c r="BY455" s="101">
        <v>8872</v>
      </c>
      <c r="BZ455" s="98" t="str">
        <f t="shared" si="2715"/>
        <v>NM</v>
      </c>
      <c r="CA455" s="101">
        <v>9964</v>
      </c>
      <c r="CB455" s="98" t="str">
        <f t="shared" si="2716"/>
        <v>NM</v>
      </c>
      <c r="CC455" s="101">
        <v>3432</v>
      </c>
      <c r="CD455" s="98" t="str">
        <f t="shared" si="2717"/>
        <v>NM</v>
      </c>
      <c r="CE455" s="101">
        <v>3758</v>
      </c>
      <c r="CF455" s="98" t="str">
        <f t="shared" si="2718"/>
        <v>NM</v>
      </c>
      <c r="CG455" s="101">
        <v>-7004</v>
      </c>
      <c r="CH455" s="98" t="str">
        <f t="shared" si="2719"/>
        <v>NM</v>
      </c>
      <c r="CI455" s="101">
        <v>8549</v>
      </c>
      <c r="CJ455" s="98">
        <f t="shared" si="2720"/>
        <v>-14.201124046567648</v>
      </c>
      <c r="CK455" s="101">
        <v>7191</v>
      </c>
      <c r="CL455" s="98" t="str">
        <f t="shared" si="2721"/>
        <v>NM</v>
      </c>
      <c r="CM455" s="101">
        <v>4661</v>
      </c>
      <c r="CN455" s="98">
        <f t="shared" si="2722"/>
        <v>24.028738690792984</v>
      </c>
      <c r="CO455" s="101">
        <v>655</v>
      </c>
      <c r="CP455" s="98" t="str">
        <f t="shared" si="2723"/>
        <v>NM</v>
      </c>
      <c r="CQ455" s="542">
        <v>-14329</v>
      </c>
      <c r="CR455" s="98" t="str">
        <f t="shared" si="2724"/>
        <v>NM</v>
      </c>
      <c r="CS455" s="101">
        <v>7214</v>
      </c>
      <c r="CT455" s="98">
        <f t="shared" si="2725"/>
        <v>0.31984424975664005</v>
      </c>
      <c r="CU455" s="101">
        <v>10760</v>
      </c>
      <c r="CV455" s="98" t="str">
        <f t="shared" si="2726"/>
        <v>NM</v>
      </c>
      <c r="CW455" s="101">
        <v>-3587</v>
      </c>
      <c r="CX455" s="98" t="str">
        <f t="shared" si="2727"/>
        <v>NM</v>
      </c>
      <c r="CY455" s="101">
        <v>6637</v>
      </c>
      <c r="CZ455" s="98" t="str">
        <f t="shared" si="2728"/>
        <v>NM</v>
      </c>
      <c r="DA455" s="101">
        <v>2517</v>
      </c>
      <c r="DB455" s="98" t="str">
        <f t="shared" si="2729"/>
        <v>NM</v>
      </c>
      <c r="DC455" s="101">
        <v>8434</v>
      </c>
      <c r="DD455" s="98">
        <f t="shared" si="2730"/>
        <v>-21.61710037174721</v>
      </c>
      <c r="DE455" s="101">
        <v>-684</v>
      </c>
      <c r="DF455" s="98" t="str">
        <f t="shared" si="2731"/>
        <v>NM</v>
      </c>
      <c r="DG455" s="101">
        <v>8165</v>
      </c>
      <c r="DH455" s="98">
        <f t="shared" si="2732"/>
        <v>23.022449902064189</v>
      </c>
      <c r="DI455" s="101">
        <v>8664</v>
      </c>
      <c r="DJ455" s="98" t="str">
        <f t="shared" si="2733"/>
        <v>NM</v>
      </c>
      <c r="DK455" s="101">
        <v>2723</v>
      </c>
      <c r="DL455" s="98" t="str">
        <f t="shared" si="2734"/>
        <v>NM</v>
      </c>
      <c r="DM455" s="101">
        <v>6170</v>
      </c>
      <c r="DN455" s="98" t="str">
        <f t="shared" si="2735"/>
        <v>NM</v>
      </c>
      <c r="DO455" s="101">
        <v>-2261</v>
      </c>
      <c r="DP455" s="98" t="str">
        <f t="shared" si="2736"/>
        <v>NM</v>
      </c>
      <c r="DQ455" s="101">
        <v>3431</v>
      </c>
      <c r="DR455" s="98" t="str">
        <f t="shared" si="2737"/>
        <v>NM</v>
      </c>
      <c r="DS455" s="101">
        <v>1314</v>
      </c>
      <c r="DT455" s="98" t="str">
        <f t="shared" si="2738"/>
        <v>NM</v>
      </c>
      <c r="DU455" s="101">
        <v>-185</v>
      </c>
      <c r="DV455" s="98" t="str">
        <f t="shared" si="2739"/>
        <v>NM</v>
      </c>
      <c r="DW455" s="101">
        <v>-2620</v>
      </c>
      <c r="DX455" s="98">
        <f t="shared" si="2740"/>
        <v>15.877930119416185</v>
      </c>
      <c r="DY455" s="101">
        <v>1192</v>
      </c>
      <c r="DZ455" s="98" t="str">
        <f t="shared" si="2741"/>
        <v>NM</v>
      </c>
      <c r="EA455" s="101">
        <v>315</v>
      </c>
      <c r="EB455" s="98" t="str">
        <f t="shared" si="2742"/>
        <v>NM</v>
      </c>
      <c r="EC455" s="101">
        <v>996</v>
      </c>
      <c r="ED455" s="98" t="str">
        <f t="shared" si="2743"/>
        <v>NM</v>
      </c>
      <c r="EE455" s="101">
        <v>1636</v>
      </c>
      <c r="EF455" s="860" t="str">
        <f t="shared" si="2744"/>
        <v>NM</v>
      </c>
      <c r="EG455" s="101">
        <v>36</v>
      </c>
      <c r="EH455" s="860" t="str">
        <f t="shared" si="2745"/>
        <v>NM</v>
      </c>
      <c r="EI455" s="101">
        <v>2090</v>
      </c>
      <c r="EJ455" s="860" t="str">
        <f t="shared" si="2746"/>
        <v>NM</v>
      </c>
      <c r="EK455" s="101">
        <v>1410</v>
      </c>
      <c r="EL455" s="860">
        <f t="shared" si="2747"/>
        <v>41.566265060240973</v>
      </c>
      <c r="EM455" s="101">
        <v>1587</v>
      </c>
      <c r="EN455" s="860">
        <f t="shared" si="2748"/>
        <v>-2.9951100244498763</v>
      </c>
      <c r="EO455" s="101">
        <v>1766</v>
      </c>
      <c r="EP455" s="98" t="str">
        <f t="shared" si="2749"/>
        <v>NM</v>
      </c>
      <c r="EQ455" s="1036">
        <f>EQ453*(EQ464/100*EQ$26/100)</f>
        <v>-328.88159999999999</v>
      </c>
      <c r="ER455" s="98" t="str">
        <f t="shared" si="2751"/>
        <v>NM</v>
      </c>
      <c r="ES455" s="1036">
        <f t="shared" ref="ES455" si="2773">ES453*(ES464/100*ES$26/100)</f>
        <v>527.42135758165989</v>
      </c>
      <c r="ET455" s="98" t="str">
        <f t="shared" si="2753"/>
        <v>NM</v>
      </c>
      <c r="EU455" s="1036">
        <f t="shared" ref="EU455" si="2774">EU453*(EU464/100*EU$26/100)</f>
        <v>517.29159709629448</v>
      </c>
      <c r="EV455" s="98" t="str">
        <f t="shared" si="2755"/>
        <v>NM</v>
      </c>
      <c r="EW455" s="1036">
        <f t="shared" ref="EW455" si="2775">EW453*(EW464/100*EW$26/100)</f>
        <v>507.12761661770838</v>
      </c>
      <c r="EX455" s="98" t="str">
        <f t="shared" si="2757"/>
        <v>NM</v>
      </c>
      <c r="EY455" s="119"/>
      <c r="EZ455" s="594"/>
      <c r="FA455" s="405"/>
      <c r="FB455" s="95" t="s">
        <v>494</v>
      </c>
      <c r="FC455" s="98"/>
      <c r="FD455" s="101">
        <v>3728</v>
      </c>
      <c r="FE455" s="98" t="str">
        <f t="shared" si="2758"/>
        <v>NA</v>
      </c>
      <c r="FF455" s="118"/>
      <c r="FG455" s="98"/>
      <c r="FH455" s="118"/>
      <c r="FI455" s="98"/>
      <c r="FJ455" s="118"/>
      <c r="FK455" s="98"/>
      <c r="FL455" s="118"/>
      <c r="FM455" s="98"/>
      <c r="FN455" s="118"/>
      <c r="FO455" s="98"/>
      <c r="FP455" s="118"/>
      <c r="FQ455" s="98"/>
      <c r="FR455" s="119"/>
      <c r="FS455" s="120"/>
      <c r="FT455" s="119"/>
      <c r="FU455" s="120"/>
      <c r="FV455" s="119">
        <f>BO455+BQ455+BS455+BU455</f>
        <v>-30504</v>
      </c>
      <c r="FW455" s="98" t="str">
        <f t="shared" si="2759"/>
        <v>NA</v>
      </c>
      <c r="FX455" s="485">
        <f>BW455+BY455+CA455+CC455</f>
        <v>18323</v>
      </c>
      <c r="FY455" s="98" t="str">
        <f t="shared" si="2760"/>
        <v>NM</v>
      </c>
      <c r="FZ455" s="119">
        <f>CE455+CG455+CI455+CK455</f>
        <v>12494</v>
      </c>
      <c r="GA455" s="98">
        <f t="shared" si="2761"/>
        <v>-31.812476122905643</v>
      </c>
      <c r="GB455" s="485">
        <f>CM455+CO455+CQ455+CS455</f>
        <v>-1799</v>
      </c>
      <c r="GC455" s="98" t="str">
        <f t="shared" si="2762"/>
        <v>NM</v>
      </c>
      <c r="GD455" s="119">
        <f>CU455+CW455+CY455+DA455</f>
        <v>16327</v>
      </c>
      <c r="GE455" s="98" t="str">
        <f t="shared" si="2763"/>
        <v>NM</v>
      </c>
      <c r="GF455" s="119">
        <f>DC455+DE455+DG455+DI455</f>
        <v>24579</v>
      </c>
      <c r="GG455" s="98">
        <f t="shared" si="2764"/>
        <v>50.542046916151165</v>
      </c>
      <c r="GH455" s="119">
        <f>DK455+DM455+DO455+DQ455</f>
        <v>10063</v>
      </c>
      <c r="GI455" s="98" t="str">
        <f t="shared" si="2765"/>
        <v>NM</v>
      </c>
      <c r="GJ455" s="119">
        <f>DS455+DU455+DW455+DY455</f>
        <v>-299</v>
      </c>
      <c r="GK455" s="98" t="str">
        <f t="shared" si="2766"/>
        <v>NM</v>
      </c>
      <c r="GL455" s="119">
        <f>EA455+EC455+EE455+EG455</f>
        <v>2983</v>
      </c>
      <c r="GM455" s="98" t="str">
        <f t="shared" si="2767"/>
        <v>NM</v>
      </c>
      <c r="GN455" s="119">
        <f>EI455+EK455+EM455+EO455</f>
        <v>6853</v>
      </c>
      <c r="GO455" s="98" t="str">
        <f t="shared" si="2767"/>
        <v>NM</v>
      </c>
      <c r="GP455" s="119">
        <f>EQ455+ES455+EU455+EW455</f>
        <v>1222.9589712956626</v>
      </c>
      <c r="GQ455" s="98" t="str">
        <f t="shared" si="2767"/>
        <v>NM</v>
      </c>
      <c r="GR455" s="468">
        <f>GR453*(GR464/100*GR$26/100)</f>
        <v>0</v>
      </c>
      <c r="GS455" s="98" t="str">
        <f t="shared" si="2767"/>
        <v>NM</v>
      </c>
      <c r="GT455" s="468">
        <f>GT453*(GT464/100*GT$26/100)</f>
        <v>0</v>
      </c>
      <c r="GU455" s="98" t="str">
        <f t="shared" si="2767"/>
        <v>NA</v>
      </c>
      <c r="GV455" s="468">
        <f>GV453*(GV464/100*GV$26/100)</f>
        <v>0</v>
      </c>
      <c r="GW455" s="98" t="str">
        <f t="shared" si="2767"/>
        <v>NA</v>
      </c>
      <c r="GX455" s="468">
        <f>GX453*(GX464/100*GX$26/100)</f>
        <v>0</v>
      </c>
      <c r="GY455" s="98" t="str">
        <f t="shared" si="2768"/>
        <v>NA</v>
      </c>
      <c r="GZ455" s="98" t="str">
        <f t="shared" si="2769"/>
        <v>NM</v>
      </c>
      <c r="HA455" s="98"/>
      <c r="HB455" s="10"/>
      <c r="HC455"/>
      <c r="HD455"/>
      <c r="HE455"/>
      <c r="HF455"/>
      <c r="HG455"/>
      <c r="HH455"/>
      <c r="HI455" s="10"/>
    </row>
    <row r="456" spans="1:217" s="2" customFormat="1" ht="12.75" customHeight="1" x14ac:dyDescent="0.2">
      <c r="B456" s="91" t="s">
        <v>307</v>
      </c>
      <c r="C456" s="101"/>
      <c r="D456" s="98"/>
      <c r="E456" s="101"/>
      <c r="F456" s="98"/>
      <c r="G456" s="101"/>
      <c r="H456" s="98"/>
      <c r="I456" s="101"/>
      <c r="J456" s="98"/>
      <c r="K456" s="101"/>
      <c r="L456" s="98"/>
      <c r="M456" s="101"/>
      <c r="N456" s="98"/>
      <c r="O456" s="101"/>
      <c r="P456" s="98"/>
      <c r="Q456" s="101"/>
      <c r="R456" s="98"/>
      <c r="S456" s="101"/>
      <c r="T456" s="98"/>
      <c r="U456" s="101"/>
      <c r="V456" s="98"/>
      <c r="W456" s="101"/>
      <c r="X456" s="98"/>
      <c r="Y456" s="101"/>
      <c r="Z456" s="98"/>
      <c r="AA456" s="101"/>
      <c r="AB456" s="98"/>
      <c r="AC456" s="101"/>
      <c r="AD456" s="98"/>
      <c r="AE456" s="101"/>
      <c r="AF456" s="98"/>
      <c r="AG456" s="101"/>
      <c r="AH456" s="98"/>
      <c r="AI456" s="101"/>
      <c r="AJ456" s="98"/>
      <c r="AK456" s="101"/>
      <c r="AL456" s="98"/>
      <c r="AM456" s="101"/>
      <c r="AN456" s="98"/>
      <c r="AO456" s="101"/>
      <c r="AP456" s="98"/>
      <c r="AQ456" s="101"/>
      <c r="AR456" s="98"/>
      <c r="AS456" s="101"/>
      <c r="AT456" s="98"/>
      <c r="AU456" s="101"/>
      <c r="AV456" s="98"/>
      <c r="AW456" s="101"/>
      <c r="AX456" s="98"/>
      <c r="AY456" s="101"/>
      <c r="AZ456" s="98"/>
      <c r="BA456" s="101"/>
      <c r="BB456" s="98"/>
      <c r="BC456" s="101"/>
      <c r="BD456" s="98"/>
      <c r="BE456" s="101"/>
      <c r="BF456" s="98"/>
      <c r="BG456" s="101"/>
      <c r="BH456" s="98"/>
      <c r="BI456" s="101"/>
      <c r="BJ456" s="98"/>
      <c r="BK456" s="101"/>
      <c r="BL456" s="98"/>
      <c r="BM456" s="101">
        <v>-2706</v>
      </c>
      <c r="BN456" s="98" t="str">
        <f t="shared" si="2709"/>
        <v>NA</v>
      </c>
      <c r="BO456" s="101">
        <v>-2363</v>
      </c>
      <c r="BP456" s="98" t="str">
        <f t="shared" si="2710"/>
        <v>NA</v>
      </c>
      <c r="BQ456" s="101">
        <v>-2397</v>
      </c>
      <c r="BR456" s="98" t="str">
        <f t="shared" si="2711"/>
        <v>NA</v>
      </c>
      <c r="BS456" s="101">
        <v>-2047</v>
      </c>
      <c r="BT456" s="98" t="str">
        <f t="shared" si="2712"/>
        <v>NA</v>
      </c>
      <c r="BU456" s="101">
        <v>-1723</v>
      </c>
      <c r="BV456" s="98">
        <f t="shared" si="2713"/>
        <v>-36.326681448632669</v>
      </c>
      <c r="BW456" s="101">
        <v>-1350</v>
      </c>
      <c r="BX456" s="98">
        <f t="shared" si="2714"/>
        <v>-42.869234024545065</v>
      </c>
      <c r="BY456" s="101">
        <v>-1317</v>
      </c>
      <c r="BZ456" s="98">
        <f t="shared" si="2715"/>
        <v>-45.056320400500624</v>
      </c>
      <c r="CA456" s="101">
        <v>-1283</v>
      </c>
      <c r="CB456" s="98">
        <f t="shared" si="2716"/>
        <v>-37.322911577918902</v>
      </c>
      <c r="CC456" s="101">
        <f>-1456</f>
        <v>-1456</v>
      </c>
      <c r="CD456" s="98">
        <f t="shared" si="2717"/>
        <v>-15.496227510156702</v>
      </c>
      <c r="CE456" s="101">
        <v>-1622</v>
      </c>
      <c r="CF456" s="98">
        <f t="shared" si="2718"/>
        <v>20.148148148148138</v>
      </c>
      <c r="CG456" s="101">
        <v>-1622</v>
      </c>
      <c r="CH456" s="98">
        <f t="shared" si="2719"/>
        <v>23.158694001518597</v>
      </c>
      <c r="CI456" s="101">
        <v>-1813</v>
      </c>
      <c r="CJ456" s="98">
        <f t="shared" si="2720"/>
        <v>41.309431021044432</v>
      </c>
      <c r="CK456" s="101">
        <v>-1851</v>
      </c>
      <c r="CL456" s="98">
        <f t="shared" si="2721"/>
        <v>27.129120879120872</v>
      </c>
      <c r="CM456" s="101">
        <v>-2106</v>
      </c>
      <c r="CN456" s="98">
        <f t="shared" si="2722"/>
        <v>29.839704069050565</v>
      </c>
      <c r="CO456" s="101">
        <v>-2330</v>
      </c>
      <c r="CP456" s="98">
        <f t="shared" si="2723"/>
        <v>43.649815043156593</v>
      </c>
      <c r="CQ456" s="542">
        <v>-2112</v>
      </c>
      <c r="CR456" s="98">
        <f t="shared" si="2724"/>
        <v>16.492002206287925</v>
      </c>
      <c r="CS456" s="101">
        <v>-1993</v>
      </c>
      <c r="CT456" s="98">
        <f t="shared" si="2725"/>
        <v>7.6715289032955214</v>
      </c>
      <c r="CU456" s="101">
        <v>-2151</v>
      </c>
      <c r="CV456" s="98">
        <f t="shared" si="2726"/>
        <v>2.1367521367521292</v>
      </c>
      <c r="CW456" s="101">
        <v>-2103</v>
      </c>
      <c r="CX456" s="98">
        <f t="shared" si="2727"/>
        <v>-9.7424892703862671</v>
      </c>
      <c r="CY456" s="101">
        <v>-2019</v>
      </c>
      <c r="CZ456" s="98">
        <f t="shared" si="2728"/>
        <v>-4.4034090909090935</v>
      </c>
      <c r="DA456" s="101">
        <v>-2177</v>
      </c>
      <c r="DB456" s="98">
        <f t="shared" si="2729"/>
        <v>9.2323130958354316</v>
      </c>
      <c r="DC456" s="101">
        <v>-2175</v>
      </c>
      <c r="DD456" s="98">
        <f t="shared" si="2730"/>
        <v>1.1157601115760141</v>
      </c>
      <c r="DE456" s="101">
        <v>-2444</v>
      </c>
      <c r="DF456" s="98">
        <f t="shared" si="2731"/>
        <v>16.214931050879699</v>
      </c>
      <c r="DG456" s="101">
        <v>-2289</v>
      </c>
      <c r="DH456" s="98">
        <f t="shared" si="2732"/>
        <v>13.372956909361067</v>
      </c>
      <c r="DI456" s="101">
        <v>-2594</v>
      </c>
      <c r="DJ456" s="98">
        <f t="shared" si="2733"/>
        <v>19.154800183739095</v>
      </c>
      <c r="DK456" s="101">
        <v>-2631</v>
      </c>
      <c r="DL456" s="98">
        <f t="shared" si="2734"/>
        <v>20.965517241379317</v>
      </c>
      <c r="DM456" s="101">
        <v>-2871</v>
      </c>
      <c r="DN456" s="98">
        <f t="shared" si="2735"/>
        <v>17.471358428805228</v>
      </c>
      <c r="DO456" s="101">
        <v>-2829</v>
      </c>
      <c r="DP456" s="98">
        <f t="shared" si="2736"/>
        <v>23.591087811271304</v>
      </c>
      <c r="DQ456" s="101">
        <v>-3000</v>
      </c>
      <c r="DR456" s="98">
        <f t="shared" si="2737"/>
        <v>15.651503469545114</v>
      </c>
      <c r="DS456" s="101">
        <v>-811</v>
      </c>
      <c r="DT456" s="98" t="str">
        <f t="shared" si="2738"/>
        <v>NM</v>
      </c>
      <c r="DU456" s="101">
        <v>-844</v>
      </c>
      <c r="DV456" s="98" t="str">
        <f t="shared" si="2739"/>
        <v>NM</v>
      </c>
      <c r="DW456" s="101">
        <v>-729</v>
      </c>
      <c r="DX456" s="98" t="str">
        <f t="shared" si="2740"/>
        <v>NM</v>
      </c>
      <c r="DY456" s="101">
        <v>-725</v>
      </c>
      <c r="DZ456" s="98" t="str">
        <f t="shared" si="2741"/>
        <v>NM</v>
      </c>
      <c r="EA456" s="101">
        <v>-645</v>
      </c>
      <c r="EB456" s="98">
        <f t="shared" si="2742"/>
        <v>-20.468557336621451</v>
      </c>
      <c r="EC456" s="101">
        <v>-735</v>
      </c>
      <c r="ED456" s="98">
        <f t="shared" si="2743"/>
        <v>-12.914691943127965</v>
      </c>
      <c r="EE456" s="101">
        <v>-740</v>
      </c>
      <c r="EF456" s="860">
        <f t="shared" si="2744"/>
        <v>1.5089163237311354</v>
      </c>
      <c r="EG456" s="101">
        <v>-813</v>
      </c>
      <c r="EH456" s="860">
        <f t="shared" si="2745"/>
        <v>12.137931034482751</v>
      </c>
      <c r="EI456" s="101">
        <v>-903</v>
      </c>
      <c r="EJ456" s="860">
        <f t="shared" si="2746"/>
        <v>39.999999999999993</v>
      </c>
      <c r="EK456" s="101">
        <v>-977</v>
      </c>
      <c r="EL456" s="860">
        <f t="shared" si="2747"/>
        <v>32.925170068027221</v>
      </c>
      <c r="EM456" s="101">
        <v>-964</v>
      </c>
      <c r="EN456" s="860">
        <f t="shared" si="2748"/>
        <v>30.270270270270274</v>
      </c>
      <c r="EO456" s="101">
        <v>-1125</v>
      </c>
      <c r="EP456" s="98">
        <f t="shared" si="2749"/>
        <v>38.37638376383763</v>
      </c>
      <c r="EQ456" s="1023">
        <f>EQ453*(-EQ462/400)</f>
        <v>-1134.9386015283362</v>
      </c>
      <c r="ER456" s="98">
        <f t="shared" si="2751"/>
        <v>25.685337932263153</v>
      </c>
      <c r="ES456" s="1023">
        <f t="shared" ref="ES456" si="2776">ES453*(-ES462/400)</f>
        <v>-1092.0480646954509</v>
      </c>
      <c r="ET456" s="98">
        <f t="shared" si="2753"/>
        <v>11.775646335255985</v>
      </c>
      <c r="EU456" s="1023">
        <f t="shared" ref="EU456" si="2777">EU453*(-EU462/400)</f>
        <v>-1071.0739703117983</v>
      </c>
      <c r="EV456" s="98">
        <f t="shared" si="2755"/>
        <v>11.107258331099423</v>
      </c>
      <c r="EW456" s="1023">
        <f t="shared" ref="EW456" si="2778">EW453*(-EW462/400)</f>
        <v>-1050.0290219954538</v>
      </c>
      <c r="EX456" s="98">
        <f t="shared" si="2757"/>
        <v>-6.6640869337374342</v>
      </c>
      <c r="EY456" s="119"/>
      <c r="EZ456" s="594"/>
      <c r="FA456" s="405"/>
      <c r="FB456" s="95" t="s">
        <v>494</v>
      </c>
      <c r="FC456" s="98"/>
      <c r="FD456" s="101">
        <v>-1226</v>
      </c>
      <c r="FE456" s="98" t="str">
        <f t="shared" si="2758"/>
        <v>NA</v>
      </c>
      <c r="FF456" s="118"/>
      <c r="FG456" s="98"/>
      <c r="FH456" s="118"/>
      <c r="FI456" s="98"/>
      <c r="FJ456" s="118"/>
      <c r="FK456" s="98"/>
      <c r="FL456" s="118"/>
      <c r="FM456" s="98"/>
      <c r="FN456" s="118"/>
      <c r="FO456" s="98"/>
      <c r="FP456" s="118"/>
      <c r="FQ456" s="98"/>
      <c r="FR456" s="119"/>
      <c r="FS456" s="120"/>
      <c r="FT456" s="119"/>
      <c r="FU456" s="120"/>
      <c r="FV456" s="119">
        <f>BO456+BQ456+BS456+BU456</f>
        <v>-8530</v>
      </c>
      <c r="FW456" s="98" t="str">
        <f t="shared" si="2759"/>
        <v>NA</v>
      </c>
      <c r="FX456" s="485">
        <f>BW456+BY456+CA456+CC456</f>
        <v>-5406</v>
      </c>
      <c r="FY456" s="98">
        <f t="shared" si="2760"/>
        <v>-36.623681125439624</v>
      </c>
      <c r="FZ456" s="119">
        <f>CE456+CG456+CI456+CK456</f>
        <v>-6908</v>
      </c>
      <c r="GA456" s="98">
        <f t="shared" si="2761"/>
        <v>27.783943766185715</v>
      </c>
      <c r="GB456" s="485">
        <f>CM456+CO456+CQ456+CS456</f>
        <v>-8541</v>
      </c>
      <c r="GC456" s="98">
        <f t="shared" si="2762"/>
        <v>23.639258830341635</v>
      </c>
      <c r="GD456" s="119">
        <f>CU456+CW456+CY456+DA456</f>
        <v>-8450</v>
      </c>
      <c r="GE456" s="98">
        <f t="shared" si="2763"/>
        <v>-1.0654490106544956</v>
      </c>
      <c r="GF456" s="119">
        <f>DC456+DE456+DG456+DI456</f>
        <v>-9502</v>
      </c>
      <c r="GG456" s="98">
        <f t="shared" si="2764"/>
        <v>12.44970414201183</v>
      </c>
      <c r="GH456" s="119">
        <f>DK456+DM456+DO456+DQ456</f>
        <v>-11331</v>
      </c>
      <c r="GI456" s="98">
        <f t="shared" si="2765"/>
        <v>19.248579246474428</v>
      </c>
      <c r="GJ456" s="119">
        <f>DS456+DU456+DW456+DY456</f>
        <v>-3109</v>
      </c>
      <c r="GK456" s="98" t="str">
        <f t="shared" si="2766"/>
        <v>NM</v>
      </c>
      <c r="GL456" s="119">
        <f>EA456+EC456+EE456+EG456</f>
        <v>-2933</v>
      </c>
      <c r="GM456" s="98">
        <f t="shared" si="2767"/>
        <v>-5.660984239305245</v>
      </c>
      <c r="GN456" s="119">
        <f>EI456+EK456+EM456+EO456</f>
        <v>-3969</v>
      </c>
      <c r="GO456" s="98">
        <f t="shared" si="2767"/>
        <v>35.322195704057279</v>
      </c>
      <c r="GP456" s="119">
        <f>EQ456+ES456+EU456+EW456</f>
        <v>-4348.0896585310393</v>
      </c>
      <c r="GQ456" s="98">
        <f t="shared" si="2767"/>
        <v>9.5512637573957893</v>
      </c>
      <c r="GR456" s="468">
        <f>GR453*(-GR462/100)</f>
        <v>-4149.2253880207454</v>
      </c>
      <c r="GS456" s="98">
        <f t="shared" si="2767"/>
        <v>-4.5736009633591141</v>
      </c>
      <c r="GT456" s="468">
        <f>GT453*(-GT462/100)</f>
        <v>-3785.2376412238127</v>
      </c>
      <c r="GU456" s="98">
        <f t="shared" si="2767"/>
        <v>-8.7724264834540868</v>
      </c>
      <c r="GV456" s="468">
        <f>GV453*(-GV462/100)</f>
        <v>-3398.5595175503272</v>
      </c>
      <c r="GW456" s="98">
        <f t="shared" si="2767"/>
        <v>-10.215425300179248</v>
      </c>
      <c r="GX456" s="468">
        <f>GX453*(-GX462/100)</f>
        <v>-2999.7283013319748</v>
      </c>
      <c r="GY456" s="98">
        <f t="shared" si="2768"/>
        <v>-11.735301799446752</v>
      </c>
      <c r="GZ456" s="98">
        <f t="shared" si="2769"/>
        <v>-5.4459437376367381</v>
      </c>
      <c r="HA456" s="98"/>
      <c r="HB456" s="10"/>
      <c r="HC456"/>
      <c r="HD456"/>
      <c r="HE456"/>
      <c r="HF456"/>
      <c r="HG456"/>
      <c r="HH456"/>
      <c r="HI456" s="10"/>
    </row>
    <row r="457" spans="1:217" s="2" customFormat="1" ht="12.75" customHeight="1" x14ac:dyDescent="0.2">
      <c r="B457" s="91" t="s">
        <v>368</v>
      </c>
      <c r="C457" s="101"/>
      <c r="D457" s="113"/>
      <c r="E457" s="101"/>
      <c r="F457" s="113"/>
      <c r="G457" s="101"/>
      <c r="H457" s="113"/>
      <c r="I457" s="101"/>
      <c r="J457" s="98"/>
      <c r="K457" s="101"/>
      <c r="L457" s="98"/>
      <c r="M457" s="101"/>
      <c r="N457" s="98"/>
      <c r="O457" s="101"/>
      <c r="P457" s="98"/>
      <c r="Q457" s="101"/>
      <c r="R457" s="98"/>
      <c r="S457" s="101"/>
      <c r="T457" s="98"/>
      <c r="U457" s="101"/>
      <c r="V457" s="98"/>
      <c r="W457" s="101"/>
      <c r="X457" s="98"/>
      <c r="Y457" s="101"/>
      <c r="Z457" s="98"/>
      <c r="AA457" s="101"/>
      <c r="AB457" s="98"/>
      <c r="AC457" s="101"/>
      <c r="AD457" s="98"/>
      <c r="AE457" s="101"/>
      <c r="AF457" s="98"/>
      <c r="AG457" s="101"/>
      <c r="AH457" s="98"/>
      <c r="AI457" s="101"/>
      <c r="AJ457" s="98"/>
      <c r="AK457" s="101"/>
      <c r="AL457" s="98"/>
      <c r="AM457" s="101"/>
      <c r="AN457" s="98"/>
      <c r="AO457" s="101"/>
      <c r="AP457" s="98"/>
      <c r="AQ457" s="101"/>
      <c r="AR457" s="98"/>
      <c r="AS457" s="101"/>
      <c r="AT457" s="98"/>
      <c r="AU457" s="101"/>
      <c r="AV457" s="98"/>
      <c r="AW457" s="101"/>
      <c r="AX457" s="98"/>
      <c r="AY457" s="101"/>
      <c r="AZ457" s="98"/>
      <c r="BA457" s="101"/>
      <c r="BB457" s="98"/>
      <c r="BC457" s="101"/>
      <c r="BD457" s="98"/>
      <c r="BE457" s="101"/>
      <c r="BF457" s="98"/>
      <c r="BG457" s="101"/>
      <c r="BH457" s="98"/>
      <c r="BI457" s="101"/>
      <c r="BJ457" s="98"/>
      <c r="BK457" s="101"/>
      <c r="BL457" s="98"/>
      <c r="BM457" s="101">
        <f>942-397+2</f>
        <v>547</v>
      </c>
      <c r="BN457" s="98" t="str">
        <f t="shared" si="2709"/>
        <v>NA</v>
      </c>
      <c r="BO457" s="101">
        <f>307-364+4</f>
        <v>-53</v>
      </c>
      <c r="BP457" s="98" t="str">
        <f t="shared" si="2710"/>
        <v>NA</v>
      </c>
      <c r="BQ457" s="101">
        <f>683-384-2</f>
        <v>297</v>
      </c>
      <c r="BR457" s="98" t="str">
        <f t="shared" si="2711"/>
        <v>NA</v>
      </c>
      <c r="BS457" s="101">
        <f>315-364+2</f>
        <v>-47</v>
      </c>
      <c r="BT457" s="98" t="str">
        <f t="shared" si="2712"/>
        <v>NA</v>
      </c>
      <c r="BU457" s="101">
        <f>-1-288+9</f>
        <v>-280</v>
      </c>
      <c r="BV457" s="98" t="str">
        <f t="shared" si="2713"/>
        <v>NM</v>
      </c>
      <c r="BW457" s="101">
        <f>231-271+5</f>
        <v>-35</v>
      </c>
      <c r="BX457" s="98">
        <f t="shared" si="2714"/>
        <v>-33.962264150943398</v>
      </c>
      <c r="BY457" s="101">
        <f>1217-322</f>
        <v>895</v>
      </c>
      <c r="BZ457" s="98" t="str">
        <f t="shared" si="2715"/>
        <v>NM</v>
      </c>
      <c r="CA457" s="101">
        <f>82142-CA456-CA455-CA454-CA453</f>
        <v>644</v>
      </c>
      <c r="CB457" s="98" t="str">
        <f t="shared" si="2716"/>
        <v>NM</v>
      </c>
      <c r="CC457" s="101">
        <f>-150+946-392+2</f>
        <v>406</v>
      </c>
      <c r="CD457" s="98" t="str">
        <f t="shared" si="2717"/>
        <v>NM</v>
      </c>
      <c r="CE457" s="101">
        <f>892-406-1-179</f>
        <v>306</v>
      </c>
      <c r="CF457" s="98" t="str">
        <f t="shared" si="2718"/>
        <v>NM</v>
      </c>
      <c r="CG457" s="101">
        <f>689-454+0-193</f>
        <v>42</v>
      </c>
      <c r="CH457" s="98" t="str">
        <f t="shared" si="2719"/>
        <v>NM</v>
      </c>
      <c r="CI457" s="101">
        <f>808-453-183</f>
        <v>172</v>
      </c>
      <c r="CJ457" s="98" t="str">
        <f t="shared" si="2720"/>
        <v>NM</v>
      </c>
      <c r="CK457" s="101">
        <f>1131-496-205</f>
        <v>430</v>
      </c>
      <c r="CL457" s="98">
        <f t="shared" si="2721"/>
        <v>5.9113300492610765</v>
      </c>
      <c r="CM457" s="101">
        <f>846-529+1-208</f>
        <v>110</v>
      </c>
      <c r="CN457" s="98" t="str">
        <f t="shared" si="2722"/>
        <v>NM</v>
      </c>
      <c r="CO457" s="101">
        <f>733-589-219</f>
        <v>-75</v>
      </c>
      <c r="CP457" s="98" t="str">
        <f t="shared" si="2723"/>
        <v>NM</v>
      </c>
      <c r="CQ457" s="542">
        <f>624-574+5-209</f>
        <v>-154</v>
      </c>
      <c r="CR457" s="98" t="str">
        <f t="shared" si="2724"/>
        <v>NM</v>
      </c>
      <c r="CS457" s="101">
        <f>-203+1401-589</f>
        <v>609</v>
      </c>
      <c r="CT457" s="98">
        <f t="shared" si="2725"/>
        <v>41.627906976744185</v>
      </c>
      <c r="CU457" s="101">
        <f>-242+1251-652+1</f>
        <v>358</v>
      </c>
      <c r="CV457" s="98" t="str">
        <f t="shared" si="2726"/>
        <v>NM</v>
      </c>
      <c r="CW457" s="101">
        <f>-254+750-723+1</f>
        <v>-226</v>
      </c>
      <c r="CX457" s="98" t="str">
        <f t="shared" si="2727"/>
        <v>NM</v>
      </c>
      <c r="CY457" s="101">
        <f>-242+604-750+2</f>
        <v>-386</v>
      </c>
      <c r="CZ457" s="98" t="str">
        <f t="shared" si="2728"/>
        <v>NM</v>
      </c>
      <c r="DA457" s="101">
        <f>-283+335-788+1</f>
        <v>-735</v>
      </c>
      <c r="DB457" s="98" t="str">
        <f t="shared" si="2729"/>
        <v>NM</v>
      </c>
      <c r="DC457" s="101">
        <f>-269+555-734+1</f>
        <v>-447</v>
      </c>
      <c r="DD457" s="98" t="str">
        <f t="shared" si="2730"/>
        <v>NM</v>
      </c>
      <c r="DE457" s="101">
        <f>-317+214-860</f>
        <v>-963</v>
      </c>
      <c r="DF457" s="98" t="str">
        <f t="shared" si="2731"/>
        <v>NM</v>
      </c>
      <c r="DG457" s="101">
        <f>-295-58-903</f>
        <v>-1256</v>
      </c>
      <c r="DH457" s="98" t="str">
        <f t="shared" si="2732"/>
        <v>NM</v>
      </c>
      <c r="DI457" s="101">
        <f>-301+119-880</f>
        <v>-1062</v>
      </c>
      <c r="DJ457" s="98">
        <f t="shared" si="2733"/>
        <v>44.489795918367349</v>
      </c>
      <c r="DK457" s="101">
        <f>-320+21-849+2</f>
        <v>-1146</v>
      </c>
      <c r="DL457" s="98" t="str">
        <f t="shared" si="2734"/>
        <v>NM</v>
      </c>
      <c r="DM457" s="101">
        <f>-359+10-913-1</f>
        <v>-1263</v>
      </c>
      <c r="DN457" s="98">
        <f t="shared" si="2735"/>
        <v>31.152647975077883</v>
      </c>
      <c r="DO457" s="101">
        <f>-321-34-943</f>
        <v>-1298</v>
      </c>
      <c r="DP457" s="98">
        <f t="shared" si="2736"/>
        <v>3.3439490445859921</v>
      </c>
      <c r="DQ457" s="101">
        <f>-330+-2+-910+-1</f>
        <v>-1243</v>
      </c>
      <c r="DR457" s="98">
        <f t="shared" si="2737"/>
        <v>17.043314500941609</v>
      </c>
      <c r="DS457" s="101">
        <f>-98-9-215</f>
        <v>-322</v>
      </c>
      <c r="DT457" s="98" t="str">
        <f t="shared" si="2738"/>
        <v>NM</v>
      </c>
      <c r="DU457" s="101">
        <f>-91-13-227+1</f>
        <v>-330</v>
      </c>
      <c r="DV457" s="98" t="str">
        <f t="shared" si="2739"/>
        <v>NM</v>
      </c>
      <c r="DW457" s="101">
        <f>-78-57-227</f>
        <v>-362</v>
      </c>
      <c r="DX457" s="98" t="str">
        <f t="shared" si="2740"/>
        <v>NM</v>
      </c>
      <c r="DY457" s="101">
        <f>-79+26-222+1</f>
        <v>-274</v>
      </c>
      <c r="DZ457" s="98" t="str">
        <f t="shared" si="2741"/>
        <v>NM</v>
      </c>
      <c r="EA457" s="101">
        <f>-84-57-206+1</f>
        <v>-346</v>
      </c>
      <c r="EB457" s="98">
        <f t="shared" si="2742"/>
        <v>7.4534161490683148</v>
      </c>
      <c r="EC457" s="101">
        <f>-89-47-223</f>
        <v>-359</v>
      </c>
      <c r="ED457" s="98">
        <f t="shared" si="2743"/>
        <v>8.787878787878789</v>
      </c>
      <c r="EE457" s="101">
        <f>-91-86-232-1</f>
        <v>-410</v>
      </c>
      <c r="EF457" s="860">
        <f t="shared" si="2744"/>
        <v>13.259668508287303</v>
      </c>
      <c r="EG457" s="101">
        <f>-88-34-224-1</f>
        <v>-347</v>
      </c>
      <c r="EH457" s="860">
        <f t="shared" si="2745"/>
        <v>26.642335766423365</v>
      </c>
      <c r="EI457" s="101">
        <f>-90-10-219+1</f>
        <v>-318</v>
      </c>
      <c r="EJ457" s="860">
        <f t="shared" si="2746"/>
        <v>-8.0924855491329435</v>
      </c>
      <c r="EK457" s="101">
        <f>-92-39-230</f>
        <v>-361</v>
      </c>
      <c r="EL457" s="860">
        <f t="shared" si="2747"/>
        <v>0.55710306406684396</v>
      </c>
      <c r="EM457" s="101">
        <f>-90-66-230+1</f>
        <v>-385</v>
      </c>
      <c r="EN457" s="860">
        <f t="shared" si="2748"/>
        <v>-6.0975609756097615</v>
      </c>
      <c r="EO457" s="101">
        <f>-106-16-228+2</f>
        <v>-348</v>
      </c>
      <c r="EP457" s="98">
        <f t="shared" si="2749"/>
        <v>0.28818443804035088</v>
      </c>
      <c r="EQ457" s="952">
        <f t="shared" ref="EQ457" si="2779">EO457</f>
        <v>-348</v>
      </c>
      <c r="ER457" s="98">
        <f t="shared" si="2751"/>
        <v>9.4339622641509422</v>
      </c>
      <c r="ES457" s="952">
        <f t="shared" ref="ES457" si="2780">EQ457</f>
        <v>-348</v>
      </c>
      <c r="ET457" s="98">
        <f t="shared" si="2753"/>
        <v>-3.6011080332409962</v>
      </c>
      <c r="EU457" s="952">
        <f t="shared" ref="EU457" si="2781">ES457</f>
        <v>-348</v>
      </c>
      <c r="EV457" s="98">
        <f t="shared" si="2755"/>
        <v>-9.610389610389614</v>
      </c>
      <c r="EW457" s="952">
        <f t="shared" ref="EW457" si="2782">EU457</f>
        <v>-348</v>
      </c>
      <c r="EX457" s="98">
        <f t="shared" si="2757"/>
        <v>0</v>
      </c>
      <c r="EY457" s="101"/>
      <c r="EZ457" s="594"/>
      <c r="FA457" s="405"/>
      <c r="FB457" s="121"/>
      <c r="FC457" s="113"/>
      <c r="FD457" s="101">
        <v>0</v>
      </c>
      <c r="FE457" s="98" t="str">
        <f t="shared" si="2758"/>
        <v>NA</v>
      </c>
      <c r="FF457" s="101"/>
      <c r="FG457" s="98"/>
      <c r="FH457" s="118"/>
      <c r="FI457" s="98"/>
      <c r="FJ457" s="118"/>
      <c r="FK457" s="98"/>
      <c r="FL457" s="118"/>
      <c r="FM457" s="98"/>
      <c r="FN457" s="118"/>
      <c r="FO457" s="98"/>
      <c r="FP457" s="118"/>
      <c r="FQ457" s="98"/>
      <c r="FR457" s="100"/>
      <c r="FS457" s="120"/>
      <c r="FT457" s="100"/>
      <c r="FU457" s="120"/>
      <c r="FV457" s="100">
        <f>BO457+BQ457+BS457+BU457</f>
        <v>-83</v>
      </c>
      <c r="FW457" s="98" t="str">
        <f t="shared" si="2759"/>
        <v>NA</v>
      </c>
      <c r="FX457" s="485">
        <f>BW457+BY457+CA457+CC457</f>
        <v>1910</v>
      </c>
      <c r="FY457" s="98" t="str">
        <f t="shared" si="2760"/>
        <v>NM</v>
      </c>
      <c r="FZ457" s="119">
        <f>CE457+CG457+CI457+CK457</f>
        <v>950</v>
      </c>
      <c r="GA457" s="98" t="str">
        <f t="shared" si="2761"/>
        <v>NM</v>
      </c>
      <c r="GB457" s="485">
        <f>CM457+CO457+CQ457+CS457</f>
        <v>490</v>
      </c>
      <c r="GC457" s="98">
        <f t="shared" si="2762"/>
        <v>-48.421052631578945</v>
      </c>
      <c r="GD457" s="119">
        <f>CU457+CW457+CY457+DA457</f>
        <v>-989</v>
      </c>
      <c r="GE457" s="98" t="str">
        <f t="shared" si="2763"/>
        <v>NM</v>
      </c>
      <c r="GF457" s="119">
        <f>DC457+DE457+DG457+DI457</f>
        <v>-3728</v>
      </c>
      <c r="GG457" s="98" t="str">
        <f t="shared" si="2764"/>
        <v>NM</v>
      </c>
      <c r="GH457" s="119">
        <f>DK457+DM457+DO457+DQ457</f>
        <v>-4950</v>
      </c>
      <c r="GI457" s="98">
        <f t="shared" si="2765"/>
        <v>32.778969957081536</v>
      </c>
      <c r="GJ457" s="119">
        <f>DS457+DU457+DW457+DY457</f>
        <v>-1288</v>
      </c>
      <c r="GK457" s="98" t="str">
        <f t="shared" si="2766"/>
        <v>NM</v>
      </c>
      <c r="GL457" s="119">
        <f>EA457+EC457+EE457+EG457</f>
        <v>-1462</v>
      </c>
      <c r="GM457" s="98">
        <f t="shared" si="2767"/>
        <v>13.509316770186341</v>
      </c>
      <c r="GN457" s="119">
        <f>EI457+EK457+EM457+EO457</f>
        <v>-1412</v>
      </c>
      <c r="GO457" s="98">
        <f t="shared" si="2767"/>
        <v>-3.4199726402188824</v>
      </c>
      <c r="GP457" s="119">
        <f>EQ457+ES457+EU457+EW457</f>
        <v>-1392</v>
      </c>
      <c r="GQ457" s="98">
        <f t="shared" si="2767"/>
        <v>-1.4164305949008527</v>
      </c>
      <c r="GR457" s="101">
        <f>GP457*1.01</f>
        <v>-1405.92</v>
      </c>
      <c r="GS457" s="98">
        <f t="shared" si="2767"/>
        <v>1.0000000000000009</v>
      </c>
      <c r="GT457" s="101">
        <f>GR457*1.01</f>
        <v>-1419.9792</v>
      </c>
      <c r="GU457" s="98">
        <f t="shared" si="2767"/>
        <v>1.0000000000000009</v>
      </c>
      <c r="GV457" s="101">
        <f>GT457*1.01</f>
        <v>-1434.1789920000001</v>
      </c>
      <c r="GW457" s="98">
        <f t="shared" si="2767"/>
        <v>1.0000000000000009</v>
      </c>
      <c r="GX457" s="101">
        <f>GV457*1.01</f>
        <v>-1448.5207819200002</v>
      </c>
      <c r="GY457" s="98">
        <f t="shared" si="2768"/>
        <v>1.0000000000000009</v>
      </c>
      <c r="GZ457" s="98">
        <f t="shared" si="2769"/>
        <v>0.51202129674869923</v>
      </c>
      <c r="HA457" s="98"/>
      <c r="HB457" s="10"/>
      <c r="HC457"/>
      <c r="HD457"/>
      <c r="HE457"/>
      <c r="HF457"/>
      <c r="HG457"/>
      <c r="HH457"/>
      <c r="HI457" s="10"/>
    </row>
    <row r="458" spans="1:217" s="2" customFormat="1" ht="12.75" customHeight="1" x14ac:dyDescent="0.2">
      <c r="A458" s="2" t="s">
        <v>65</v>
      </c>
      <c r="B458" s="91" t="s">
        <v>12</v>
      </c>
      <c r="C458" s="117"/>
      <c r="D458" s="98"/>
      <c r="E458" s="117"/>
      <c r="F458" s="98"/>
      <c r="G458" s="117"/>
      <c r="H458" s="98"/>
      <c r="I458" s="117"/>
      <c r="J458" s="98"/>
      <c r="K458" s="117"/>
      <c r="L458" s="98"/>
      <c r="M458" s="117"/>
      <c r="N458" s="98"/>
      <c r="O458" s="117"/>
      <c r="P458" s="98"/>
      <c r="Q458" s="117"/>
      <c r="R458" s="98"/>
      <c r="S458" s="117"/>
      <c r="T458" s="98"/>
      <c r="U458" s="117"/>
      <c r="V458" s="98"/>
      <c r="W458" s="117"/>
      <c r="X458" s="98"/>
      <c r="Y458" s="117"/>
      <c r="Z458" s="98"/>
      <c r="AA458" s="117"/>
      <c r="AB458" s="98"/>
      <c r="AC458" s="117"/>
      <c r="AD458" s="98"/>
      <c r="AE458" s="117"/>
      <c r="AF458" s="98"/>
      <c r="AG458" s="117"/>
      <c r="AH458" s="98"/>
      <c r="AI458" s="117"/>
      <c r="AJ458" s="98"/>
      <c r="AK458" s="117"/>
      <c r="AL458" s="98"/>
      <c r="AM458" s="117"/>
      <c r="AN458" s="98"/>
      <c r="AO458" s="117"/>
      <c r="AP458" s="98"/>
      <c r="AQ458" s="117"/>
      <c r="AR458" s="98"/>
      <c r="AS458" s="117"/>
      <c r="AT458" s="98"/>
      <c r="AU458" s="117"/>
      <c r="AV458" s="98"/>
      <c r="AW458" s="117"/>
      <c r="AX458" s="98"/>
      <c r="AY458" s="117"/>
      <c r="AZ458" s="98"/>
      <c r="BA458" s="117"/>
      <c r="BB458" s="98"/>
      <c r="BC458" s="117"/>
      <c r="BD458" s="98"/>
      <c r="BE458" s="117"/>
      <c r="BF458" s="98"/>
      <c r="BG458" s="117"/>
      <c r="BH458" s="98"/>
      <c r="BI458" s="117"/>
      <c r="BJ458" s="98"/>
      <c r="BK458" s="117"/>
      <c r="BL458" s="98"/>
      <c r="BM458" s="117">
        <f>SUM(BM453:BM457)</f>
        <v>92080</v>
      </c>
      <c r="BN458" s="98" t="str">
        <f t="shared" si="2709"/>
        <v>NA</v>
      </c>
      <c r="BO458" s="117">
        <f>SUM(BO453:BO457)</f>
        <v>84826</v>
      </c>
      <c r="BP458" s="98" t="str">
        <f t="shared" si="2710"/>
        <v>NA</v>
      </c>
      <c r="BQ458" s="117">
        <f>SUM(BQ453:BQ457)</f>
        <v>84273</v>
      </c>
      <c r="BR458" s="98" t="str">
        <f t="shared" si="2711"/>
        <v>NA</v>
      </c>
      <c r="BS458" s="117">
        <f>SUM(BS453:BS457)</f>
        <v>75938</v>
      </c>
      <c r="BT458" s="98" t="str">
        <f t="shared" si="2712"/>
        <v>NA</v>
      </c>
      <c r="BU458" s="117">
        <f>SUM(BU453:BU457)</f>
        <v>62264</v>
      </c>
      <c r="BV458" s="98">
        <f t="shared" si="2713"/>
        <v>-32.380538662033011</v>
      </c>
      <c r="BW458" s="117">
        <f>SUM(BW453:BW457)</f>
        <v>59194</v>
      </c>
      <c r="BX458" s="98">
        <f t="shared" si="2714"/>
        <v>-30.217150401999383</v>
      </c>
      <c r="BY458" s="117">
        <f>SUM(BY453:BY457)</f>
        <v>70538</v>
      </c>
      <c r="BZ458" s="98">
        <f t="shared" si="2715"/>
        <v>-16.298221257104885</v>
      </c>
      <c r="CA458" s="117">
        <f>SUM(CA453:CA457)</f>
        <v>82142</v>
      </c>
      <c r="CB458" s="98">
        <f t="shared" si="2716"/>
        <v>8.1698227501382661</v>
      </c>
      <c r="CC458" s="117">
        <f>SUM(CC453:CC457)</f>
        <v>87157</v>
      </c>
      <c r="CD458" s="98">
        <f t="shared" si="2717"/>
        <v>39.979763587305662</v>
      </c>
      <c r="CE458" s="117">
        <f>SUM(CE453:CE457)</f>
        <v>92603</v>
      </c>
      <c r="CF458" s="98">
        <f t="shared" si="2718"/>
        <v>56.439841875865795</v>
      </c>
      <c r="CG458" s="117">
        <f>SUM(CG453:CG457)</f>
        <v>87367</v>
      </c>
      <c r="CH458" s="98">
        <f t="shared" si="2719"/>
        <v>23.858062321018458</v>
      </c>
      <c r="CI458" s="117">
        <f>SUM(CI453:CI457)</f>
        <v>97587</v>
      </c>
      <c r="CJ458" s="98">
        <f t="shared" si="2720"/>
        <v>18.802804898833724</v>
      </c>
      <c r="CK458" s="117">
        <f>SUM(CK453:CK457)</f>
        <v>107335</v>
      </c>
      <c r="CL458" s="98">
        <f t="shared" si="2721"/>
        <v>23.15132462108609</v>
      </c>
      <c r="CM458" s="117">
        <f>SUM(CM453:CM457)</f>
        <v>114510</v>
      </c>
      <c r="CN458" s="98">
        <f t="shared" si="2722"/>
        <v>23.656900964331619</v>
      </c>
      <c r="CO458" s="117">
        <f>SUM(CO453:CO457)</f>
        <v>118463</v>
      </c>
      <c r="CP458" s="98">
        <f t="shared" si="2723"/>
        <v>35.592386141220381</v>
      </c>
      <c r="CQ458" s="486">
        <f>SUM(CQ453:CQ457)</f>
        <v>108655</v>
      </c>
      <c r="CR458" s="98">
        <f t="shared" si="2724"/>
        <v>11.341674608298247</v>
      </c>
      <c r="CS458" s="117">
        <f>SUM(CS453:CS457)</f>
        <v>120263</v>
      </c>
      <c r="CT458" s="98">
        <f t="shared" si="2725"/>
        <v>12.044533469977182</v>
      </c>
      <c r="CU458" s="117">
        <f>SUM(CU453:CU457)</f>
        <v>133462</v>
      </c>
      <c r="CV458" s="98">
        <f t="shared" si="2726"/>
        <v>16.550519605274651</v>
      </c>
      <c r="CW458" s="117">
        <f>SUM(CW453:CW457)</f>
        <v>131416</v>
      </c>
      <c r="CX458" s="98">
        <f t="shared" si="2727"/>
        <v>10.934215746688846</v>
      </c>
      <c r="CY458" s="117">
        <f>SUM(CY453:CY457)</f>
        <v>139484</v>
      </c>
      <c r="CZ458" s="98">
        <f t="shared" si="2728"/>
        <v>28.373291611062545</v>
      </c>
      <c r="DA458" s="117">
        <f>SUM(DA453:DA457)</f>
        <v>142050</v>
      </c>
      <c r="DB458" s="98">
        <f t="shared" si="2729"/>
        <v>18.116128817674593</v>
      </c>
      <c r="DC458" s="117">
        <f>SUM(DC453:DC457)</f>
        <v>150826</v>
      </c>
      <c r="DD458" s="98">
        <f t="shared" si="2730"/>
        <v>13.010444920651576</v>
      </c>
      <c r="DE458" s="117">
        <f>SUM(DE453:DE457)</f>
        <v>149117</v>
      </c>
      <c r="DF458" s="98">
        <f t="shared" si="2731"/>
        <v>13.469440555183532</v>
      </c>
      <c r="DG458" s="117">
        <f>SUM(DG453:DG457)</f>
        <v>155977</v>
      </c>
      <c r="DH458" s="98">
        <f t="shared" si="2732"/>
        <v>11.82429525967137</v>
      </c>
      <c r="DI458" s="117">
        <f>SUM(DI453:DI457)</f>
        <v>162436</v>
      </c>
      <c r="DJ458" s="98">
        <f t="shared" si="2733"/>
        <v>14.351284758887717</v>
      </c>
      <c r="DK458" s="117">
        <f>SUM(DK453:DK457)</f>
        <v>162713</v>
      </c>
      <c r="DL458" s="98">
        <f t="shared" si="2734"/>
        <v>7.8812671555302138</v>
      </c>
      <c r="DM458" s="117">
        <f>SUM(DM453:DM457)</f>
        <v>166093</v>
      </c>
      <c r="DN458" s="98">
        <f t="shared" si="2735"/>
        <v>11.384349202304222</v>
      </c>
      <c r="DO458" s="117">
        <f>SUM(DO453:DO457)</f>
        <v>160995</v>
      </c>
      <c r="DP458" s="98">
        <f t="shared" si="2736"/>
        <v>3.2171409887355118</v>
      </c>
      <c r="DQ458" s="117">
        <f>SUM(DQ453:DQ457)</f>
        <v>161553</v>
      </c>
      <c r="DR458" s="98">
        <f t="shared" si="2737"/>
        <v>-0.54359870964564294</v>
      </c>
      <c r="DS458" s="117">
        <f>SUM(DS453:DS457)</f>
        <v>46355</v>
      </c>
      <c r="DT458" s="98" t="str">
        <f t="shared" si="2738"/>
        <v>NM</v>
      </c>
      <c r="DU458" s="117">
        <f>SUM(DU453:DU457)</f>
        <v>45673</v>
      </c>
      <c r="DV458" s="98" t="str">
        <f t="shared" si="2739"/>
        <v>NM</v>
      </c>
      <c r="DW458" s="117">
        <f>SUM(DW453:DW457)</f>
        <v>42607</v>
      </c>
      <c r="DX458" s="98" t="str">
        <f t="shared" si="2740"/>
        <v>NM</v>
      </c>
      <c r="DY458" s="117">
        <f>SUM(DY453:DY457)</f>
        <v>43470</v>
      </c>
      <c r="DZ458" s="98" t="str">
        <f t="shared" si="2741"/>
        <v>NM</v>
      </c>
      <c r="EA458" s="117">
        <f>SUM(EA453:EA457)</f>
        <v>43404</v>
      </c>
      <c r="EB458" s="98">
        <f t="shared" si="2742"/>
        <v>-6.3660878006687511</v>
      </c>
      <c r="EC458" s="117">
        <f>SUM(EC453:EC457)</f>
        <v>43843</v>
      </c>
      <c r="ED458" s="98">
        <f t="shared" si="2743"/>
        <v>-4.0067435903049953</v>
      </c>
      <c r="EE458" s="117">
        <f>SUM(EE453:EE457)</f>
        <v>44560</v>
      </c>
      <c r="EF458" s="860">
        <f t="shared" si="2744"/>
        <v>4.5837538432651925</v>
      </c>
      <c r="EG458" s="117">
        <f>SUM(EG453:EG457)</f>
        <v>43623</v>
      </c>
      <c r="EH458" s="860">
        <f t="shared" si="2745"/>
        <v>0.35196687370599999</v>
      </c>
      <c r="EI458" s="117">
        <f>SUM(EI453:EI457)</f>
        <v>44667</v>
      </c>
      <c r="EJ458" s="860">
        <f t="shared" si="2746"/>
        <v>2.9098700580591608</v>
      </c>
      <c r="EK458" s="117">
        <f>SUM(EK453:EK457)</f>
        <v>44907</v>
      </c>
      <c r="EL458" s="860">
        <f t="shared" si="2747"/>
        <v>2.4268412289305097</v>
      </c>
      <c r="EM458" s="117">
        <f>SUM(EM453:EM457)</f>
        <v>45278</v>
      </c>
      <c r="EN458" s="860">
        <f t="shared" si="2748"/>
        <v>1.6113105924596027</v>
      </c>
      <c r="EO458" s="117">
        <f>SUM(EO453:EO457)</f>
        <v>45678</v>
      </c>
      <c r="EP458" s="98">
        <f t="shared" si="2749"/>
        <v>4.7108176879169239</v>
      </c>
      <c r="EQ458" s="792">
        <f t="shared" ref="EQ458" si="2783">SUM(EQ453:EQ457)</f>
        <v>43951.77979847166</v>
      </c>
      <c r="ER458" s="98">
        <f t="shared" si="2751"/>
        <v>-1.6012273076954853</v>
      </c>
      <c r="ES458" s="792">
        <f t="shared" ref="ES458" si="2784">SUM(ES453:ES457)</f>
        <v>43107.633091357871</v>
      </c>
      <c r="ET458" s="98">
        <f t="shared" si="2753"/>
        <v>-4.0068740032559003</v>
      </c>
      <c r="EU458" s="792">
        <f t="shared" ref="EU458" si="2785">SUM(EU453:EU457)</f>
        <v>42260.634718142363</v>
      </c>
      <c r="EV458" s="98">
        <f t="shared" si="2755"/>
        <v>-6.6640869337374342</v>
      </c>
      <c r="EW458" s="792">
        <f t="shared" ref="EW458" si="2786">SUM(EW453:EW457)</f>
        <v>41413.560512764612</v>
      </c>
      <c r="EX458" s="98">
        <f t="shared" si="2757"/>
        <v>-9.3358717265103248</v>
      </c>
      <c r="EY458" s="118"/>
      <c r="EZ458" s="594"/>
      <c r="FA458" s="405"/>
      <c r="FB458" s="121">
        <v>15844</v>
      </c>
      <c r="FC458" s="98"/>
      <c r="FD458" s="117">
        <f>SUM(FD453:FD457)</f>
        <v>21138</v>
      </c>
      <c r="FE458" s="98">
        <f t="shared" si="2758"/>
        <v>33.413279474880085</v>
      </c>
      <c r="FF458" s="118"/>
      <c r="FG458" s="98"/>
      <c r="FH458" s="118"/>
      <c r="FI458" s="98"/>
      <c r="FJ458" s="118"/>
      <c r="FK458" s="98"/>
      <c r="FL458" s="118"/>
      <c r="FM458" s="98"/>
      <c r="FN458" s="118"/>
      <c r="FO458" s="98"/>
      <c r="FP458" s="118"/>
      <c r="FQ458" s="98"/>
      <c r="FR458" s="119"/>
      <c r="FS458" s="120"/>
      <c r="FT458" s="119"/>
      <c r="FU458" s="120"/>
      <c r="FV458" s="119">
        <f>SUM(FV453:FV457)</f>
        <v>62264</v>
      </c>
      <c r="FW458" s="98" t="str">
        <f t="shared" si="2759"/>
        <v>NA</v>
      </c>
      <c r="FX458" s="485">
        <f>SUM(FX453:FX457)</f>
        <v>87157</v>
      </c>
      <c r="FY458" s="98">
        <f t="shared" si="2760"/>
        <v>39.979763587305662</v>
      </c>
      <c r="FZ458" s="119">
        <f>SUM(FZ453:FZ457)</f>
        <v>107335</v>
      </c>
      <c r="GA458" s="98">
        <f t="shared" si="2761"/>
        <v>23.15132462108609</v>
      </c>
      <c r="GB458" s="485">
        <f>SUM(GB453:GB457)</f>
        <v>120263</v>
      </c>
      <c r="GC458" s="98">
        <f t="shared" si="2762"/>
        <v>12.044533469977182</v>
      </c>
      <c r="GD458" s="119">
        <f>SUM(GD453:GD457)</f>
        <v>142050</v>
      </c>
      <c r="GE458" s="98">
        <f t="shared" si="2763"/>
        <v>18.116128817674593</v>
      </c>
      <c r="GF458" s="119">
        <f>SUM(GF453:GF457)</f>
        <v>162436</v>
      </c>
      <c r="GG458" s="98">
        <f t="shared" si="2764"/>
        <v>14.351284758887717</v>
      </c>
      <c r="GH458" s="119">
        <f>SUM(GH453:GH457)</f>
        <v>161553</v>
      </c>
      <c r="GI458" s="98">
        <f t="shared" si="2765"/>
        <v>-0.54359870964564294</v>
      </c>
      <c r="GJ458" s="119">
        <f>SUM(GJ453:GJ457)</f>
        <v>43470</v>
      </c>
      <c r="GK458" s="98" t="str">
        <f t="shared" si="2766"/>
        <v>NM</v>
      </c>
      <c r="GL458" s="119">
        <f>SUM(GL453:GL457)</f>
        <v>43623</v>
      </c>
      <c r="GM458" s="98">
        <f t="shared" si="2767"/>
        <v>0.35196687370599999</v>
      </c>
      <c r="GN458" s="119">
        <f>SUM(GN453:GN457)</f>
        <v>45678</v>
      </c>
      <c r="GO458" s="98">
        <f t="shared" si="2767"/>
        <v>4.7108176879169239</v>
      </c>
      <c r="GP458" s="119">
        <f>SUM(GP453:GP457)</f>
        <v>41413.560512764627</v>
      </c>
      <c r="GQ458" s="98">
        <f t="shared" si="2767"/>
        <v>-9.3358717265102911</v>
      </c>
      <c r="GR458" s="118">
        <f>SUM(GR453:GR457)</f>
        <v>35984.760724743886</v>
      </c>
      <c r="GS458" s="98">
        <f t="shared" si="2767"/>
        <v>-13.108749213551574</v>
      </c>
      <c r="GT458" s="118">
        <f>SUM(GT453:GT457)</f>
        <v>30842.716683520073</v>
      </c>
      <c r="GU458" s="98">
        <f t="shared" si="2767"/>
        <v>-14.289504606009606</v>
      </c>
      <c r="GV458" s="118">
        <f>SUM(GV453:GV457)</f>
        <v>26041.564573969747</v>
      </c>
      <c r="GW458" s="98">
        <f t="shared" si="2767"/>
        <v>-15.566566845636153</v>
      </c>
      <c r="GX458" s="118">
        <f>SUM(GX453:GX457)</f>
        <v>21609.108690717771</v>
      </c>
      <c r="GY458" s="98">
        <f t="shared" si="2768"/>
        <v>-17.020697318941068</v>
      </c>
      <c r="GZ458" s="98">
        <f t="shared" si="2769"/>
        <v>-13.903409222759999</v>
      </c>
      <c r="HA458" s="98"/>
      <c r="HB458" s="10"/>
      <c r="HC458"/>
      <c r="HD458"/>
      <c r="HE458"/>
      <c r="HF458"/>
      <c r="HG458"/>
      <c r="HH458"/>
      <c r="HI458" s="10"/>
    </row>
    <row r="459" spans="1:217" s="2" customFormat="1" ht="12.75" customHeight="1" x14ac:dyDescent="0.2">
      <c r="B459" s="91" t="s">
        <v>313</v>
      </c>
      <c r="C459" s="117"/>
      <c r="D459" s="98"/>
      <c r="E459" s="117"/>
      <c r="F459" s="98"/>
      <c r="G459" s="117"/>
      <c r="H459" s="98"/>
      <c r="I459" s="117"/>
      <c r="J459" s="98"/>
      <c r="K459" s="117"/>
      <c r="L459" s="98"/>
      <c r="M459" s="117"/>
      <c r="N459" s="98"/>
      <c r="O459" s="117"/>
      <c r="P459" s="98"/>
      <c r="Q459" s="117"/>
      <c r="R459" s="98"/>
      <c r="S459" s="117"/>
      <c r="T459" s="98"/>
      <c r="U459" s="117"/>
      <c r="V459" s="98"/>
      <c r="W459" s="117"/>
      <c r="X459" s="98"/>
      <c r="Y459" s="117"/>
      <c r="Z459" s="98"/>
      <c r="AA459" s="117"/>
      <c r="AB459" s="98"/>
      <c r="AC459" s="117"/>
      <c r="AD459" s="98"/>
      <c r="AE459" s="117"/>
      <c r="AF459" s="98"/>
      <c r="AG459" s="117"/>
      <c r="AH459" s="98"/>
      <c r="AI459" s="117"/>
      <c r="AJ459" s="98"/>
      <c r="AK459" s="117"/>
      <c r="AL459" s="98"/>
      <c r="AM459" s="117"/>
      <c r="AN459" s="98"/>
      <c r="AO459" s="117"/>
      <c r="AP459" s="98"/>
      <c r="AQ459" s="117"/>
      <c r="AR459" s="98"/>
      <c r="AS459" s="117"/>
      <c r="AT459" s="98"/>
      <c r="AU459" s="117"/>
      <c r="AV459" s="98"/>
      <c r="AW459" s="117"/>
      <c r="AX459" s="98"/>
      <c r="AY459" s="117"/>
      <c r="AZ459" s="98"/>
      <c r="BA459" s="117"/>
      <c r="BB459" s="98"/>
      <c r="BC459" s="117"/>
      <c r="BD459" s="98"/>
      <c r="BE459" s="117"/>
      <c r="BF459" s="98"/>
      <c r="BG459" s="117"/>
      <c r="BH459" s="98"/>
      <c r="BI459" s="117"/>
      <c r="BJ459" s="98"/>
      <c r="BK459" s="117"/>
      <c r="BL459" s="98"/>
      <c r="BM459" s="117">
        <f>BM453+BM457+0.5*(SUM(BM454:BM456))</f>
        <v>92983.5</v>
      </c>
      <c r="BN459" s="98" t="str">
        <f t="shared" si="2709"/>
        <v>NA</v>
      </c>
      <c r="BO459" s="117">
        <f>BO453+BO457+0.5*(SUM(BO454:BO456))</f>
        <v>88426.5</v>
      </c>
      <c r="BP459" s="98" t="str">
        <f t="shared" si="2710"/>
        <v>NA</v>
      </c>
      <c r="BQ459" s="117">
        <f>BQ453+BQ457+0.5*(SUM(BQ454:BQ456))</f>
        <v>84698</v>
      </c>
      <c r="BR459" s="98" t="str">
        <f t="shared" si="2711"/>
        <v>NA</v>
      </c>
      <c r="BS459" s="117">
        <f>BS453+BS457+0.5*(SUM(BS454:BS456))</f>
        <v>80082</v>
      </c>
      <c r="BT459" s="98" t="str">
        <f t="shared" si="2712"/>
        <v>NA</v>
      </c>
      <c r="BU459" s="117">
        <f>BU453+BU457+0.5*(SUM(BU454:BU456))</f>
        <v>68961</v>
      </c>
      <c r="BV459" s="98">
        <f t="shared" si="2713"/>
        <v>-25.835228830921618</v>
      </c>
      <c r="BW459" s="117">
        <f>BW453+BW457+0.5*(SUM(BW454:BW456))</f>
        <v>60711.5</v>
      </c>
      <c r="BX459" s="98">
        <f t="shared" si="2714"/>
        <v>-31.342414321498644</v>
      </c>
      <c r="BY459" s="117">
        <f>BY453+BY457+0.5*(SUM(BY454:BY456))</f>
        <v>65313.5</v>
      </c>
      <c r="BZ459" s="98">
        <f t="shared" si="2715"/>
        <v>-22.886608892771964</v>
      </c>
      <c r="CA459" s="117">
        <f>CA453+CA457+0.5*(SUM(CA454:CA456))</f>
        <v>76662</v>
      </c>
      <c r="CB459" s="98">
        <f t="shared" si="2716"/>
        <v>-4.2706226118228834</v>
      </c>
      <c r="CC459" s="117">
        <f>CC453+CC457+0.5*(SUM(CC454:CC456))</f>
        <v>84852.5</v>
      </c>
      <c r="CD459" s="98">
        <f t="shared" si="2717"/>
        <v>23.044184394077803</v>
      </c>
      <c r="CE459" s="117">
        <f>CE453+CE457+0.5*(SUM(CE454:CE456))</f>
        <v>90033</v>
      </c>
      <c r="CF459" s="98">
        <f t="shared" si="2718"/>
        <v>48.296451248939661</v>
      </c>
      <c r="CG459" s="117">
        <f>CG453+CG457+0.5*(SUM(CG454:CG456))</f>
        <v>90006</v>
      </c>
      <c r="CH459" s="98">
        <f t="shared" si="2719"/>
        <v>37.806119714913457</v>
      </c>
      <c r="CI459" s="117">
        <f>CI453+CI457+0.5*(SUM(CI454:CI456))</f>
        <v>92563</v>
      </c>
      <c r="CJ459" s="98">
        <f t="shared" si="2720"/>
        <v>20.741697320706475</v>
      </c>
      <c r="CK459" s="117">
        <f>CK453+CK457+0.5*(SUM(CK454:CK456))</f>
        <v>102676</v>
      </c>
      <c r="CL459" s="98">
        <f t="shared" si="2721"/>
        <v>21.005273857576377</v>
      </c>
      <c r="CM459" s="117">
        <f>CM453+CM457+0.5*(SUM(CM454:CM456))</f>
        <v>110951</v>
      </c>
      <c r="CN459" s="98">
        <f t="shared" si="2722"/>
        <v>23.23370319771638</v>
      </c>
      <c r="CO459" s="117">
        <f>CO453+CO457+0.5*(SUM(CO454:CO456))</f>
        <v>116449</v>
      </c>
      <c r="CP459" s="98">
        <f t="shared" si="2723"/>
        <v>29.379152500944382</v>
      </c>
      <c r="CQ459" s="486">
        <f>CQ453+CQ457+0.5*(SUM(CQ454:CQ456))</f>
        <v>113482</v>
      </c>
      <c r="CR459" s="98">
        <f t="shared" si="2724"/>
        <v>22.599742877823758</v>
      </c>
      <c r="CS459" s="117">
        <f>CS453+CS457+0.5*(SUM(CS454:CS456))</f>
        <v>114763.5</v>
      </c>
      <c r="CT459" s="98">
        <f t="shared" si="2725"/>
        <v>11.772468736608355</v>
      </c>
      <c r="CU459" s="117">
        <f>CU453+CU457+0.5*(SUM(CU454:CU456))</f>
        <v>127041.5</v>
      </c>
      <c r="CV459" s="98">
        <f t="shared" si="2726"/>
        <v>14.502347883299826</v>
      </c>
      <c r="CW459" s="117">
        <f>CW453+CW457+0.5*(SUM(CW454:CW456))</f>
        <v>132326</v>
      </c>
      <c r="CX459" s="98">
        <f t="shared" si="2727"/>
        <v>13.634294841518614</v>
      </c>
      <c r="CY459" s="117">
        <f>CY453+CY457+0.5*(SUM(CY454:CY456))</f>
        <v>135257</v>
      </c>
      <c r="CZ459" s="98">
        <f t="shared" si="2728"/>
        <v>19.188065067587811</v>
      </c>
      <c r="DA459" s="117">
        <f>DA453+DA457+0.5*(SUM(DA454:DA456))</f>
        <v>140399.5</v>
      </c>
      <c r="DB459" s="98">
        <f t="shared" si="2729"/>
        <v>22.338112727478677</v>
      </c>
      <c r="DC459" s="117">
        <f>DC453+DC457+0.5*(SUM(DC454:DC456))</f>
        <v>146214.5</v>
      </c>
      <c r="DD459" s="98">
        <f t="shared" si="2730"/>
        <v>15.091918782445113</v>
      </c>
      <c r="DE459" s="117">
        <f>DE453+DE457+0.5*(SUM(DE454:DE456))</f>
        <v>149490</v>
      </c>
      <c r="DF459" s="98">
        <f t="shared" si="2731"/>
        <v>12.970995873826752</v>
      </c>
      <c r="DG459" s="117">
        <f>DG453+DG457+0.5*(SUM(DG454:DG456))</f>
        <v>151919</v>
      </c>
      <c r="DH459" s="98">
        <f t="shared" si="2732"/>
        <v>12.318770932373191</v>
      </c>
      <c r="DI459" s="117">
        <f>DI453+DI457+0.5*(SUM(DI454:DI456))</f>
        <v>158675.5</v>
      </c>
      <c r="DJ459" s="98">
        <f t="shared" si="2733"/>
        <v>13.017140374431534</v>
      </c>
      <c r="DK459" s="117">
        <f>DK453+DK457+0.5*(SUM(DK454:DK456))</f>
        <v>162001.5</v>
      </c>
      <c r="DL459" s="98">
        <f t="shared" si="2734"/>
        <v>10.797150761381392</v>
      </c>
      <c r="DM459" s="117">
        <f>DM453+DM457+0.5*(SUM(DM454:DM456))</f>
        <v>163771.5</v>
      </c>
      <c r="DN459" s="98">
        <f t="shared" si="2735"/>
        <v>9.5534818382500433</v>
      </c>
      <c r="DO459" s="117">
        <f>DO453+DO457+0.5*(SUM(DO454:DO456))</f>
        <v>162895</v>
      </c>
      <c r="DP459" s="98">
        <f t="shared" si="2736"/>
        <v>7.2249027442255365</v>
      </c>
      <c r="DQ459" s="117">
        <f>DQ453+DQ457+0.5*(SUM(DQ454:DQ456))</f>
        <v>160652.5</v>
      </c>
      <c r="DR459" s="98">
        <f t="shared" si="2737"/>
        <v>1.2459390391081238</v>
      </c>
      <c r="DS459" s="117">
        <f>AVERAGE(DS458,DS453)</f>
        <v>46005.5</v>
      </c>
      <c r="DT459" s="98" t="str">
        <f t="shared" si="2738"/>
        <v>NM</v>
      </c>
      <c r="DU459" s="117">
        <f>AVERAGE(DU458,DU453)</f>
        <v>46014</v>
      </c>
      <c r="DV459" s="98" t="str">
        <f t="shared" si="2739"/>
        <v>NM</v>
      </c>
      <c r="DW459" s="117">
        <f>AVERAGE(DW458,DW453)</f>
        <v>44140</v>
      </c>
      <c r="DX459" s="98" t="str">
        <f t="shared" si="2740"/>
        <v>NM</v>
      </c>
      <c r="DY459" s="117">
        <f>AVERAGE(DY458,DY453)</f>
        <v>43038.5</v>
      </c>
      <c r="DZ459" s="98" t="str">
        <f t="shared" si="2741"/>
        <v>NM</v>
      </c>
      <c r="EA459" s="117">
        <f>AVERAGE(EA458,EA453)</f>
        <v>43437</v>
      </c>
      <c r="EB459" s="98">
        <f t="shared" si="2742"/>
        <v>-5.5830281162034918</v>
      </c>
      <c r="EC459" s="117">
        <f>AVERAGE(EC458,EC453)</f>
        <v>43623.5</v>
      </c>
      <c r="ED459" s="98">
        <f t="shared" si="2743"/>
        <v>-5.195157995392707</v>
      </c>
      <c r="EE459" s="117">
        <f>AVERAGE(EE458,EE453)</f>
        <v>44201.5</v>
      </c>
      <c r="EF459" s="860">
        <f t="shared" si="2744"/>
        <v>0.13932940643406333</v>
      </c>
      <c r="EG459" s="117">
        <f>AVERAGE(EG458,EG453)</f>
        <v>44091.5</v>
      </c>
      <c r="EH459" s="860">
        <f t="shared" si="2745"/>
        <v>2.4466466071075832</v>
      </c>
      <c r="EI459" s="117">
        <f>AVERAGE(EI458,EI453)</f>
        <v>44145</v>
      </c>
      <c r="EJ459" s="860">
        <f t="shared" si="2746"/>
        <v>1.6299468195317246</v>
      </c>
      <c r="EK459" s="117">
        <f>AVERAGE(EK458,EK453)</f>
        <v>44787</v>
      </c>
      <c r="EL459" s="860">
        <f t="shared" si="2747"/>
        <v>2.6671404174355651</v>
      </c>
      <c r="EM459" s="117">
        <f>AVERAGE(EM458,EM453)</f>
        <v>45092.5</v>
      </c>
      <c r="EN459" s="860">
        <f t="shared" si="2748"/>
        <v>2.0157686956324916</v>
      </c>
      <c r="EO459" s="117">
        <f>AVERAGE(EO458,EO453)</f>
        <v>45478</v>
      </c>
      <c r="EP459" s="98">
        <f t="shared" si="2749"/>
        <v>3.1445970311738014</v>
      </c>
      <c r="EQ459" s="117">
        <f>AVERAGE(EQ458,EQ453)</f>
        <v>44814.88989923583</v>
      </c>
      <c r="ER459" s="98">
        <f t="shared" si="2751"/>
        <v>1.5174762696473776</v>
      </c>
      <c r="ES459" s="117">
        <f t="shared" ref="ES459" si="2787">AVERAGE(ES458,ES453)</f>
        <v>43529.706444914766</v>
      </c>
      <c r="ET459" s="98">
        <f t="shared" si="2753"/>
        <v>-2.8072734389113729</v>
      </c>
      <c r="EU459" s="117">
        <f t="shared" ref="EU459" si="2788">AVERAGE(EU458,EU453)</f>
        <v>42684.133904750117</v>
      </c>
      <c r="EV459" s="98">
        <f t="shared" si="2755"/>
        <v>-5.3409460447965458</v>
      </c>
      <c r="EW459" s="117">
        <f t="shared" ref="EW459" si="2789">AVERAGE(EW458,EW453)</f>
        <v>41837.097615453487</v>
      </c>
      <c r="EX459" s="98">
        <f t="shared" si="2757"/>
        <v>-8.0058542252221088</v>
      </c>
      <c r="EY459" s="118"/>
      <c r="EZ459" s="594"/>
      <c r="FA459" s="405"/>
      <c r="FB459" s="118">
        <f>AVERAGE(FB458,FB453)</f>
        <v>15844</v>
      </c>
      <c r="FC459" s="98"/>
      <c r="FD459" s="117">
        <f>AVERAGE(FD458,FD453)</f>
        <v>18491</v>
      </c>
      <c r="FE459" s="98">
        <f t="shared" si="2758"/>
        <v>16.706639737440042</v>
      </c>
      <c r="FF459" s="118"/>
      <c r="FG459" s="98"/>
      <c r="FH459" s="118"/>
      <c r="FI459" s="98"/>
      <c r="FJ459" s="118"/>
      <c r="FK459" s="98"/>
      <c r="FL459" s="118"/>
      <c r="FM459" s="98"/>
      <c r="FN459" s="118"/>
      <c r="FO459" s="98"/>
      <c r="FP459" s="118"/>
      <c r="FQ459" s="98"/>
      <c r="FR459" s="119"/>
      <c r="FS459" s="120"/>
      <c r="FT459" s="119"/>
      <c r="FU459" s="120"/>
      <c r="FV459" s="119">
        <f>AVERAGE(FV458,FV453)</f>
        <v>77172</v>
      </c>
      <c r="FW459" s="98" t="str">
        <f t="shared" si="2759"/>
        <v>NA</v>
      </c>
      <c r="FX459" s="485">
        <f>AVERAGE(FX458,FX453)</f>
        <v>74710.5</v>
      </c>
      <c r="FY459" s="98">
        <f t="shared" si="2760"/>
        <v>-3.1896283626185684</v>
      </c>
      <c r="FZ459" s="119">
        <f>AVERAGE(FZ458,FZ453)</f>
        <v>97246</v>
      </c>
      <c r="GA459" s="98">
        <f t="shared" si="2761"/>
        <v>30.163765468039962</v>
      </c>
      <c r="GB459" s="485">
        <f>AVERAGE(GB458,GB453)</f>
        <v>113772.5</v>
      </c>
      <c r="GC459" s="98">
        <f t="shared" si="2762"/>
        <v>16.994529337967634</v>
      </c>
      <c r="GD459" s="119">
        <f>AVERAGE(GD458,GD453)</f>
        <v>131156.5</v>
      </c>
      <c r="GE459" s="98">
        <f t="shared" si="2763"/>
        <v>15.279615021204606</v>
      </c>
      <c r="GF459" s="119">
        <f>AVERAGE(GF458,GF453)</f>
        <v>152243</v>
      </c>
      <c r="GG459" s="98">
        <f t="shared" si="2764"/>
        <v>16.077357965483973</v>
      </c>
      <c r="GH459" s="119">
        <f>AVERAGE(GH458,GH453)</f>
        <v>161994.5</v>
      </c>
      <c r="GI459" s="98">
        <f t="shared" si="2765"/>
        <v>6.4052206012755963</v>
      </c>
      <c r="GJ459" s="119">
        <f>AVERAGE(GJ458,GJ453)</f>
        <v>44563</v>
      </c>
      <c r="GK459" s="98" t="str">
        <f t="shared" si="2766"/>
        <v>NM</v>
      </c>
      <c r="GL459" s="119">
        <f>AVERAGE(GL458,GL453)</f>
        <v>43546.5</v>
      </c>
      <c r="GM459" s="98">
        <f t="shared" si="2767"/>
        <v>-2.2810403249332367</v>
      </c>
      <c r="GN459" s="119">
        <f>AVERAGE(GN458,GN453)</f>
        <v>44650.5</v>
      </c>
      <c r="GO459" s="98">
        <f t="shared" si="2767"/>
        <v>2.5352209706865025</v>
      </c>
      <c r="GP459" s="119">
        <f>AVERAGE(GP458,GP453)</f>
        <v>43545.780256382313</v>
      </c>
      <c r="GQ459" s="98">
        <f t="shared" si="2767"/>
        <v>-2.4741486514544886</v>
      </c>
      <c r="GR459" s="118">
        <f>AVERAGE(GR458,GR453)</f>
        <v>38699.160618754257</v>
      </c>
      <c r="GS459" s="98">
        <f t="shared" si="2767"/>
        <v>-11.129940970383023</v>
      </c>
      <c r="GT459" s="118">
        <f>AVERAGE(GT458,GT453)</f>
        <v>33413.738704131982</v>
      </c>
      <c r="GU459" s="98">
        <f t="shared" si="2767"/>
        <v>-13.65771719622485</v>
      </c>
      <c r="GV459" s="118">
        <f>AVERAGE(GV458,GV453)</f>
        <v>28442.14062874491</v>
      </c>
      <c r="GW459" s="98">
        <f t="shared" si="2767"/>
        <v>-14.878903912576169</v>
      </c>
      <c r="GX459" s="118">
        <f>AVERAGE(GX458,GX453)</f>
        <v>23825.336632343759</v>
      </c>
      <c r="GY459" s="98">
        <f t="shared" si="2768"/>
        <v>-16.232266258240781</v>
      </c>
      <c r="GZ459" s="98">
        <f t="shared" si="2769"/>
        <v>-11.805288521181101</v>
      </c>
      <c r="HA459" s="98"/>
      <c r="HB459" s="10"/>
      <c r="HC459"/>
      <c r="HD459"/>
      <c r="HE459"/>
      <c r="HF459"/>
      <c r="HG459"/>
      <c r="HH459"/>
      <c r="HI459" s="10"/>
    </row>
    <row r="460" spans="1:217" s="2" customFormat="1" ht="12.75" customHeight="1" x14ac:dyDescent="0.2">
      <c r="B460" s="158"/>
      <c r="C460" s="112"/>
      <c r="D460" s="113"/>
      <c r="E460" s="112"/>
      <c r="F460" s="113"/>
      <c r="G460" s="112"/>
      <c r="H460" s="113"/>
      <c r="I460" s="112"/>
      <c r="J460" s="98"/>
      <c r="K460" s="112"/>
      <c r="L460" s="98"/>
      <c r="M460" s="112"/>
      <c r="N460" s="98"/>
      <c r="O460" s="112"/>
      <c r="P460" s="98"/>
      <c r="Q460" s="112"/>
      <c r="R460" s="98"/>
      <c r="S460" s="112"/>
      <c r="T460" s="98"/>
      <c r="U460" s="112"/>
      <c r="V460" s="98"/>
      <c r="W460" s="112"/>
      <c r="X460" s="98"/>
      <c r="Y460" s="112"/>
      <c r="Z460" s="98"/>
      <c r="AA460" s="112"/>
      <c r="AB460" s="98"/>
      <c r="AC460" s="112"/>
      <c r="AD460" s="98"/>
      <c r="AE460" s="112"/>
      <c r="AF460" s="98"/>
      <c r="AG460" s="112"/>
      <c r="AH460" s="98"/>
      <c r="AI460" s="112"/>
      <c r="AJ460" s="98"/>
      <c r="AK460" s="112"/>
      <c r="AL460" s="98"/>
      <c r="AM460" s="112"/>
      <c r="AN460" s="98"/>
      <c r="AO460" s="112"/>
      <c r="AP460" s="98"/>
      <c r="AQ460" s="112"/>
      <c r="AR460" s="98"/>
      <c r="AS460" s="112"/>
      <c r="AT460" s="98"/>
      <c r="AU460" s="112"/>
      <c r="AV460" s="98"/>
      <c r="AW460" s="112"/>
      <c r="AX460" s="98"/>
      <c r="AY460" s="112"/>
      <c r="AZ460" s="98"/>
      <c r="BA460" s="112"/>
      <c r="BB460" s="98"/>
      <c r="BC460" s="112"/>
      <c r="BD460" s="98"/>
      <c r="BE460" s="112"/>
      <c r="BF460" s="98"/>
      <c r="BG460" s="112"/>
      <c r="BH460" s="98"/>
      <c r="BI460" s="112"/>
      <c r="BJ460" s="98"/>
      <c r="BK460" s="112"/>
      <c r="BL460" s="98"/>
      <c r="BM460" s="112"/>
      <c r="BN460" s="98"/>
      <c r="BO460" s="112"/>
      <c r="BP460" s="98"/>
      <c r="BQ460" s="112"/>
      <c r="BR460" s="98"/>
      <c r="BS460" s="112"/>
      <c r="BT460" s="98"/>
      <c r="BU460" s="112"/>
      <c r="BV460" s="98"/>
      <c r="BW460" s="112"/>
      <c r="BX460" s="98"/>
      <c r="BY460" s="112"/>
      <c r="BZ460" s="98"/>
      <c r="CA460" s="112"/>
      <c r="CB460" s="98"/>
      <c r="CC460" s="112"/>
      <c r="CD460" s="98"/>
      <c r="CE460" s="112"/>
      <c r="CF460" s="98"/>
      <c r="CG460" s="112"/>
      <c r="CH460" s="98"/>
      <c r="CI460" s="112"/>
      <c r="CJ460" s="98"/>
      <c r="CK460" s="112"/>
      <c r="CL460" s="98"/>
      <c r="CM460" s="112"/>
      <c r="CN460" s="98"/>
      <c r="CO460" s="112"/>
      <c r="CP460" s="98"/>
      <c r="CQ460" s="543"/>
      <c r="CR460" s="98"/>
      <c r="CS460" s="112"/>
      <c r="CT460" s="98"/>
      <c r="CU460" s="112"/>
      <c r="CV460" s="98"/>
      <c r="CW460" s="112"/>
      <c r="CX460" s="98"/>
      <c r="CY460" s="112"/>
      <c r="CZ460" s="98"/>
      <c r="DA460" s="112"/>
      <c r="DB460" s="98"/>
      <c r="DC460" s="112"/>
      <c r="DD460" s="98"/>
      <c r="DE460" s="112"/>
      <c r="DF460" s="98"/>
      <c r="DG460" s="112"/>
      <c r="DH460" s="98"/>
      <c r="DI460" s="112"/>
      <c r="DJ460" s="98"/>
      <c r="DK460" s="112"/>
      <c r="DL460" s="98"/>
      <c r="DM460" s="112"/>
      <c r="DN460" s="98"/>
      <c r="DO460" s="112"/>
      <c r="DP460" s="98"/>
      <c r="DQ460" s="112"/>
      <c r="DR460" s="98"/>
      <c r="DS460" s="112"/>
      <c r="DT460" s="98"/>
      <c r="DU460" s="112"/>
      <c r="DV460" s="98"/>
      <c r="DW460" s="112"/>
      <c r="DX460" s="98"/>
      <c r="DY460" s="112"/>
      <c r="DZ460" s="98"/>
      <c r="EA460" s="112"/>
      <c r="EB460" s="98"/>
      <c r="EC460" s="112"/>
      <c r="ED460" s="98"/>
      <c r="EE460" s="112"/>
      <c r="EF460" s="860"/>
      <c r="EG460" s="112"/>
      <c r="EH460" s="860"/>
      <c r="EI460" s="112"/>
      <c r="EJ460" s="860"/>
      <c r="EK460" s="112"/>
      <c r="EL460" s="860"/>
      <c r="EM460" s="112"/>
      <c r="EN460" s="860"/>
      <c r="EO460" s="112"/>
      <c r="EP460" s="98"/>
      <c r="EQ460" s="1022"/>
      <c r="ER460" s="98"/>
      <c r="ES460" s="1022"/>
      <c r="ET460" s="98"/>
      <c r="EU460" s="1022"/>
      <c r="EV460" s="98"/>
      <c r="EW460" s="1022"/>
      <c r="EX460" s="98"/>
      <c r="EY460" s="114"/>
      <c r="EZ460" s="594"/>
      <c r="FA460" s="405"/>
      <c r="FB460" s="114"/>
      <c r="FC460" s="113"/>
      <c r="FD460" s="112"/>
      <c r="FE460" s="113"/>
      <c r="FF460" s="114"/>
      <c r="FG460" s="113"/>
      <c r="FH460" s="114"/>
      <c r="FI460" s="113"/>
      <c r="FJ460" s="114"/>
      <c r="FK460" s="113"/>
      <c r="FL460" s="114"/>
      <c r="FM460" s="113"/>
      <c r="FN460" s="114"/>
      <c r="FO460" s="113"/>
      <c r="FP460" s="114"/>
      <c r="FQ460" s="113"/>
      <c r="FR460" s="115"/>
      <c r="FS460" s="116"/>
      <c r="FT460" s="115"/>
      <c r="FU460" s="116"/>
      <c r="FV460" s="115"/>
      <c r="FW460" s="98"/>
      <c r="FX460" s="484"/>
      <c r="FY460" s="98"/>
      <c r="FZ460" s="115"/>
      <c r="GA460" s="98"/>
      <c r="GB460" s="484"/>
      <c r="GC460" s="98"/>
      <c r="GD460" s="115"/>
      <c r="GE460" s="98"/>
      <c r="GF460" s="115"/>
      <c r="GG460" s="98"/>
      <c r="GH460" s="115"/>
      <c r="GI460" s="98"/>
      <c r="GJ460" s="115"/>
      <c r="GK460" s="98"/>
      <c r="GL460" s="115"/>
      <c r="GM460" s="98"/>
      <c r="GN460" s="115"/>
      <c r="GO460" s="98"/>
      <c r="GP460" s="115"/>
      <c r="GQ460" s="98"/>
      <c r="GR460" s="114"/>
      <c r="GS460" s="98"/>
      <c r="GT460" s="114"/>
      <c r="GU460" s="98"/>
      <c r="GV460" s="114"/>
      <c r="GW460" s="98"/>
      <c r="GX460" s="114"/>
      <c r="GY460" s="98"/>
      <c r="GZ460" s="98"/>
      <c r="HA460" s="98"/>
      <c r="HB460" s="10"/>
      <c r="HC460"/>
      <c r="HD460"/>
      <c r="HE460"/>
      <c r="HF460"/>
      <c r="HG460"/>
      <c r="HH460"/>
      <c r="HI460" s="10"/>
    </row>
    <row r="461" spans="1:217" s="2" customFormat="1" ht="12.75" customHeight="1" x14ac:dyDescent="0.2">
      <c r="A461" s="2" t="s">
        <v>64</v>
      </c>
      <c r="B461" s="91" t="s">
        <v>353</v>
      </c>
      <c r="C461" s="99"/>
      <c r="D461" s="113"/>
      <c r="E461" s="99"/>
      <c r="F461" s="113"/>
      <c r="G461" s="99"/>
      <c r="H461" s="113"/>
      <c r="I461" s="99"/>
      <c r="J461" s="98"/>
      <c r="K461" s="99"/>
      <c r="L461" s="98"/>
      <c r="M461" s="99"/>
      <c r="N461" s="98"/>
      <c r="O461" s="99"/>
      <c r="P461" s="98"/>
      <c r="Q461" s="99"/>
      <c r="R461" s="98"/>
      <c r="S461" s="99"/>
      <c r="T461" s="98"/>
      <c r="U461" s="99"/>
      <c r="V461" s="98"/>
      <c r="W461" s="99"/>
      <c r="X461" s="98"/>
      <c r="Y461" s="99"/>
      <c r="Z461" s="98"/>
      <c r="AA461" s="99"/>
      <c r="AB461" s="98"/>
      <c r="AC461" s="99"/>
      <c r="AD461" s="98"/>
      <c r="AE461" s="99"/>
      <c r="AF461" s="98"/>
      <c r="AG461" s="99"/>
      <c r="AH461" s="98"/>
      <c r="AI461" s="99"/>
      <c r="AJ461" s="98"/>
      <c r="AK461" s="99"/>
      <c r="AL461" s="98"/>
      <c r="AM461" s="99"/>
      <c r="AN461" s="98"/>
      <c r="AO461" s="99"/>
      <c r="AP461" s="98"/>
      <c r="AQ461" s="99"/>
      <c r="AR461" s="98"/>
      <c r="AS461" s="99"/>
      <c r="AT461" s="98"/>
      <c r="AU461" s="99"/>
      <c r="AV461" s="98"/>
      <c r="AW461" s="99"/>
      <c r="AX461" s="98"/>
      <c r="AY461" s="99"/>
      <c r="AZ461" s="98"/>
      <c r="BA461" s="99"/>
      <c r="BB461" s="98"/>
      <c r="BC461" s="99"/>
      <c r="BD461" s="98"/>
      <c r="BE461" s="99"/>
      <c r="BF461" s="98"/>
      <c r="BG461" s="99"/>
      <c r="BH461" s="98"/>
      <c r="BI461" s="99"/>
      <c r="BJ461" s="98"/>
      <c r="BK461" s="99"/>
      <c r="BL461" s="98"/>
      <c r="BM461" s="99">
        <f>BM454+BM456</f>
        <v>74</v>
      </c>
      <c r="BN461" s="98" t="str">
        <f>IF(ISERROR((BM461/BE461-1)*100),"NA",IF(((BM461/BE461-1)*100)&gt;100,"NM",IF(((BM461/BE461-1)*100)&lt;-50,"NM",(BM461/BE461-1)*100)))</f>
        <v>NA</v>
      </c>
      <c r="BO461" s="99">
        <f>BO454+BO456</f>
        <v>-92</v>
      </c>
      <c r="BP461" s="98" t="str">
        <f>IF(ISERROR((BO461/BG461-1)*100),"NA",IF(((BO461/BG461-1)*100)&gt;100,"NM",IF(((BO461/BG461-1)*100)&lt;-50,"NM",(BO461/BG461-1)*100)))</f>
        <v>NA</v>
      </c>
      <c r="BQ461" s="99">
        <f>BQ454+BQ456</f>
        <v>80</v>
      </c>
      <c r="BR461" s="98" t="str">
        <f>IF(ISERROR((BQ461/BI461-1)*100),"NA",IF(((BQ461/BI461-1)*100)&gt;100,"NM",IF(((BQ461/BI461-1)*100)&lt;-50,"NM",(BQ461/BI461-1)*100)))</f>
        <v>NA</v>
      </c>
      <c r="BS461" s="99">
        <f>BS454+BS456</f>
        <v>357</v>
      </c>
      <c r="BT461" s="98" t="str">
        <f>IF(ISERROR((BS461/BK461-1)*100),"NA",IF(((BS461/BK461-1)*100)&gt;100,"NM",IF(((BS461/BK461-1)*100)&lt;-50,"NM",(BS461/BK461-1)*100)))</f>
        <v>NA</v>
      </c>
      <c r="BU461" s="99">
        <f>BU454+BU456</f>
        <v>426</v>
      </c>
      <c r="BV461" s="98" t="str">
        <f>IF(ISERROR((BU461/BM461-1)*100),"NA",IF(((BU461/BM461-1)*100)&gt;100,"NM",IF(((BU461/BM461-1)*100)&lt;-50,"NM",(BU461/BM461-1)*100)))</f>
        <v>NM</v>
      </c>
      <c r="BW461" s="99">
        <f>BW454+BW456</f>
        <v>910</v>
      </c>
      <c r="BX461" s="98" t="str">
        <f>IF(ISERROR((BW461/BO461-1)*100),"NA",IF(((BW461/BO461-1)*100)&gt;100,"NM",IF(((BW461/BO461-1)*100)&lt;-50,"NM",(BW461/BO461-1)*100)))</f>
        <v>NM</v>
      </c>
      <c r="BY461" s="99">
        <f>BY454+BY456</f>
        <v>1577</v>
      </c>
      <c r="BZ461" s="98" t="str">
        <f>IF(ISERROR((BY461/BQ461-1)*100),"NA",IF(((BY461/BQ461-1)*100)&gt;100,"NM",IF(((BY461/BQ461-1)*100)&lt;-50,"NM",(BY461/BQ461-1)*100)))</f>
        <v>NM</v>
      </c>
      <c r="CA461" s="99">
        <f>CA454+CA456</f>
        <v>996</v>
      </c>
      <c r="CB461" s="98" t="str">
        <f>IF(ISERROR((CA461/BS461-1)*100),"NA",IF(((CA461/BS461-1)*100)&gt;100,"NM",IF(((CA461/BS461-1)*100)&lt;-50,"NM",(CA461/BS461-1)*100)))</f>
        <v>NM</v>
      </c>
      <c r="CC461" s="99">
        <f>CC454+CC456</f>
        <v>1177</v>
      </c>
      <c r="CD461" s="98" t="str">
        <f>IF(ISERROR((CC461/BU461-1)*100),"NA",IF(((CC461/BU461-1)*100)&gt;100,"NM",IF(((CC461/BU461-1)*100)&lt;-50,"NM",(CC461/BU461-1)*100)))</f>
        <v>NM</v>
      </c>
      <c r="CE461" s="99">
        <f>CE454+CE456</f>
        <v>1382</v>
      </c>
      <c r="CF461" s="98">
        <f>IF(ISERROR((CE461/BW461-1)*100),"NA",IF(((CE461/BW461-1)*100)&gt;100,"NM",IF(((CE461/BW461-1)*100)&lt;-50,"NM",(CE461/BW461-1)*100)))</f>
        <v>51.868131868131861</v>
      </c>
      <c r="CG461" s="99">
        <f>CG454+CG456</f>
        <v>1726</v>
      </c>
      <c r="CH461" s="98">
        <f>IF(ISERROR((CG461/BY461-1)*100),"NA",IF(((CG461/BY461-1)*100)&gt;100,"NM",IF(((CG461/BY461-1)*100)&lt;-50,"NM",(CG461/BY461-1)*100)))</f>
        <v>9.4483195941661435</v>
      </c>
      <c r="CI461" s="99">
        <f>CI454+CI456</f>
        <v>1499</v>
      </c>
      <c r="CJ461" s="98">
        <f>IF(ISERROR((CI461/CA461-1)*100),"NA",IF(((CI461/CA461-1)*100)&gt;100,"NM",IF(((CI461/CA461-1)*100)&lt;-50,"NM",(CI461/CA461-1)*100)))</f>
        <v>50.502008032128522</v>
      </c>
      <c r="CK461" s="99">
        <f>CK454+CK456</f>
        <v>2127</v>
      </c>
      <c r="CL461" s="98">
        <f>IF(ISERROR((CK461/CC461-1)*100),"NA",IF(((CK461/CC461-1)*100)&gt;100,"NM",IF(((CK461/CC461-1)*100)&lt;-50,"NM",(CK461/CC461-1)*100)))</f>
        <v>80.713678844519961</v>
      </c>
      <c r="CM461" s="99">
        <f>CM454+CM456</f>
        <v>2457</v>
      </c>
      <c r="CN461" s="98">
        <f>IF(ISERROR((CM461/CE461-1)*100),"NA",IF(((CM461/CE461-1)*100)&gt;100,"NM",IF(((CM461/CE461-1)*100)&lt;-50,"NM",(CM461/CE461-1)*100)))</f>
        <v>77.785817655571648</v>
      </c>
      <c r="CO461" s="99">
        <f>CO454+CO456</f>
        <v>3373</v>
      </c>
      <c r="CP461" s="98">
        <f>IF(ISERROR((CO461/CG461-1)*100),"NA",IF(((CO461/CG461-1)*100)&gt;100,"NM",IF(((CO461/CG461-1)*100)&lt;-50,"NM",(CO461/CG461-1)*100)))</f>
        <v>95.422943221320963</v>
      </c>
      <c r="CQ461" s="482">
        <f>CQ454+CQ456</f>
        <v>4675</v>
      </c>
      <c r="CR461" s="98" t="str">
        <f>IF(ISERROR((CQ461/CI461-1)*100),"NA",IF(((CQ461/CI461-1)*100)&gt;100,"NM",IF(((CQ461/CI461-1)*100)&lt;-50,"NM",(CQ461/CI461-1)*100)))</f>
        <v>NM</v>
      </c>
      <c r="CS461" s="99">
        <f>CS454+CS456</f>
        <v>3785</v>
      </c>
      <c r="CT461" s="98">
        <f>IF(ISERROR((CS461/CK461-1)*100),"NA",IF(((CS461/CK461-1)*100)&gt;100,"NM",IF(((CS461/CK461-1)*100)&lt;-50,"NM",(CS461/CK461-1)*100)))</f>
        <v>77.950164551010801</v>
      </c>
      <c r="CU461" s="99">
        <f>CU454+CU456</f>
        <v>2081</v>
      </c>
      <c r="CV461" s="98">
        <f>IF(ISERROR((CU461/CM461-1)*100),"NA",IF(((CU461/CM461-1)*100)&gt;100,"NM",IF(((CU461/CM461-1)*100)&lt;-50,"NM",(CU461/CM461-1)*100)))</f>
        <v>-15.3032153032153</v>
      </c>
      <c r="CW461" s="99">
        <f>CW454+CW456</f>
        <v>1767</v>
      </c>
      <c r="CX461" s="98">
        <f>IF(ISERROR((CW461/CO461-1)*100),"NA",IF(((CW461/CO461-1)*100)&gt;100,"NM",IF(((CW461/CO461-1)*100)&lt;-50,"NM",(CW461/CO461-1)*100)))</f>
        <v>-47.613400533649575</v>
      </c>
      <c r="CY461" s="99">
        <f>CY454+CY456</f>
        <v>1817</v>
      </c>
      <c r="CZ461" s="98" t="str">
        <f>IF(ISERROR((CY461/CQ461-1)*100),"NA",IF(((CY461/CQ461-1)*100)&gt;100,"NM",IF(((CY461/CQ461-1)*100)&lt;-50,"NM",(CY461/CQ461-1)*100)))</f>
        <v>NM</v>
      </c>
      <c r="DA461" s="99">
        <f>DA454+DA456</f>
        <v>784</v>
      </c>
      <c r="DB461" s="98" t="str">
        <f>IF(ISERROR((DA461/CS461-1)*100),"NA",IF(((DA461/CS461-1)*100)&gt;100,"NM",IF(((DA461/CS461-1)*100)&lt;-50,"NM",(DA461/CS461-1)*100)))</f>
        <v>NM</v>
      </c>
      <c r="DC461" s="99">
        <f>DC454+DC456</f>
        <v>789</v>
      </c>
      <c r="DD461" s="98" t="str">
        <f>IF(ISERROR((DC461/CU461-1)*100),"NA",IF(((DC461/CU461-1)*100)&gt;100,"NM",IF(((DC461/CU461-1)*100)&lt;-50,"NM",(DC461/CU461-1)*100)))</f>
        <v>NM</v>
      </c>
      <c r="DE461" s="99">
        <f>DE454+DE456</f>
        <v>-62</v>
      </c>
      <c r="DF461" s="98" t="str">
        <f>IF(ISERROR((DE461/CW461-1)*100),"NA",IF(((DE461/CW461-1)*100)&gt;100,"NM",IF(((DE461/CW461-1)*100)&lt;-50,"NM",(DE461/CW461-1)*100)))</f>
        <v>NM</v>
      </c>
      <c r="DG461" s="99">
        <f>DG454+DG456</f>
        <v>-49</v>
      </c>
      <c r="DH461" s="98" t="str">
        <f>IF(ISERROR((DG461/CY461-1)*100),"NA",IF(((DG461/CY461-1)*100)&gt;100,"NM",IF(((DG461/CY461-1)*100)&lt;-50,"NM",(DG461/CY461-1)*100)))</f>
        <v>NM</v>
      </c>
      <c r="DI461" s="99">
        <f>DI454+DI456</f>
        <v>-1143</v>
      </c>
      <c r="DJ461" s="98" t="str">
        <f>IF(ISERROR((DI461/DA461-1)*100),"NA",IF(((DI461/DA461-1)*100)&gt;100,"NM",IF(((DI461/DA461-1)*100)&lt;-50,"NM",(DI461/DA461-1)*100)))</f>
        <v>NM</v>
      </c>
      <c r="DK461" s="99">
        <f>DK454+DK456</f>
        <v>-1300</v>
      </c>
      <c r="DL461" s="98" t="str">
        <f>IF(ISERROR((DK461/DC461-1)*100),"NA",IF(((DK461/DC461-1)*100)&gt;100,"NM",IF(((DK461/DC461-1)*100)&lt;-50,"NM",(DK461/DC461-1)*100)))</f>
        <v>NM</v>
      </c>
      <c r="DM461" s="99">
        <f>DM454+DM456</f>
        <v>-1527</v>
      </c>
      <c r="DN461" s="98" t="str">
        <f>IF(ISERROR((DM461/DE461-1)*100),"NA",IF(((DM461/DE461-1)*100)&gt;100,"NM",IF(((DM461/DE461-1)*100)&lt;-50,"NM",(DM461/DE461-1)*100)))</f>
        <v>NM</v>
      </c>
      <c r="DO461" s="99">
        <f>DO454+DO456</f>
        <v>-1539</v>
      </c>
      <c r="DP461" s="98" t="str">
        <f>IF(ISERROR((DO461/DG461-1)*100),"NA",IF(((DO461/DG461-1)*100)&gt;100,"NM",IF(((DO461/DG461-1)*100)&lt;-50,"NM",(DO461/DG461-1)*100)))</f>
        <v>NM</v>
      </c>
      <c r="DQ461" s="99">
        <f>DQ454+DQ456</f>
        <v>-1630</v>
      </c>
      <c r="DR461" s="98">
        <f>IF(ISERROR((DQ461/DI461-1)*100),"NA",IF(((DQ461/DI461-1)*100)&gt;100,"NM",IF(((DQ461/DI461-1)*100)&lt;-50,"NM",(DQ461/DI461-1)*100)))</f>
        <v>42.607174103237085</v>
      </c>
      <c r="DS461" s="99">
        <f>DS454+DS456</f>
        <v>-293</v>
      </c>
      <c r="DT461" s="98" t="str">
        <f>IF(ISERROR((DS461/DK461-1)*100),"NA",IF(((DS461/DK461-1)*100)&gt;100,"NM",IF(((DS461/DK461-1)*100)&lt;-50,"NM",(DS461/DK461-1)*100)))</f>
        <v>NM</v>
      </c>
      <c r="DU461" s="99">
        <f>DU454+DU456</f>
        <v>-167</v>
      </c>
      <c r="DV461" s="98" t="str">
        <f>IF(ISERROR((DU461/DM461-1)*100),"NA",IF(((DU461/DM461-1)*100)&gt;100,"NM",IF(((DU461/DM461-1)*100)&lt;-50,"NM",(DU461/DM461-1)*100)))</f>
        <v>NM</v>
      </c>
      <c r="DW461" s="99">
        <f>DW454+DW456</f>
        <v>-84</v>
      </c>
      <c r="DX461" s="98" t="str">
        <f>IF(ISERROR((DW461/DO461-1)*100),"NA",IF(((DW461/DO461-1)*100)&gt;100,"NM",IF(((DW461/DO461-1)*100)&lt;-50,"NM",(DW461/DO461-1)*100)))</f>
        <v>NM</v>
      </c>
      <c r="DY461" s="99">
        <f>DY454+DY456</f>
        <v>-55</v>
      </c>
      <c r="DZ461" s="98" t="str">
        <f>IF(ISERROR((DY461/DQ461-1)*100),"NA",IF(((DY461/DQ461-1)*100)&gt;100,"NM",IF(((DY461/DQ461-1)*100)&lt;-50,"NM",(DY461/DQ461-1)*100)))</f>
        <v>NM</v>
      </c>
      <c r="EA461" s="99">
        <f>EA454+EA456</f>
        <v>-35</v>
      </c>
      <c r="EB461" s="98" t="str">
        <f>IF(ISERROR((EA461/DS461-1)*100),"NA",IF(((EA461/DS461-1)*100)&gt;100,"NM",IF(((EA461/DS461-1)*100)&lt;-50,"NM",(EA461/DS461-1)*100)))</f>
        <v>NM</v>
      </c>
      <c r="EC461" s="99">
        <f>EC454+EC456</f>
        <v>-198</v>
      </c>
      <c r="ED461" s="98">
        <f>IF(ISERROR((EC461/DU461-1)*100),"NA",IF(((EC461/DU461-1)*100)&gt;100,"NM",IF(((EC461/DU461-1)*100)&lt;-50,"NM",(EC461/DU461-1)*100)))</f>
        <v>18.562874251497007</v>
      </c>
      <c r="EE461" s="99">
        <f>EE454+EE456</f>
        <v>-509</v>
      </c>
      <c r="EF461" s="860" t="str">
        <f>IF(ISERROR((EE461/DW461-1)*100),"NA",IF(((EE461/DW461-1)*100)&gt;100,"NM",IF(((EE461/DW461-1)*100)&lt;-50,"NM",(EE461/DW461-1)*100)))</f>
        <v>NM</v>
      </c>
      <c r="EG461" s="99">
        <f>EG454+EG456</f>
        <v>-626</v>
      </c>
      <c r="EH461" s="860" t="str">
        <f>IF(ISERROR((EG461/DY461-1)*100),"NA",IF(((EG461/DY461-1)*100)&gt;100,"NM",IF(((EG461/DY461-1)*100)&lt;-50,"NM",(EG461/DY461-1)*100)))</f>
        <v>NM</v>
      </c>
      <c r="EI461" s="99">
        <f>EI454+EI456</f>
        <v>-728</v>
      </c>
      <c r="EJ461" s="860" t="str">
        <f t="shared" ref="EJ461" si="2790">IF(ISERROR((EI461/EA461-1)*100),"NA",IF(((EI461/EA461-1)*100)&gt;100,"NM",IF(((EI461/EA461-1)*100)&lt;-50,"NM",(EI461/EA461-1)*100)))</f>
        <v>NM</v>
      </c>
      <c r="EK461" s="99">
        <f>EK454+EK456</f>
        <v>-809</v>
      </c>
      <c r="EL461" s="860" t="str">
        <f t="shared" ref="EL461" si="2791">IF(ISERROR((EK461/EC461-1)*100),"NA",IF(((EK461/EC461-1)*100)&gt;100,"NM",IF(((EK461/EC461-1)*100)&lt;-50,"NM",(EK461/EC461-1)*100)))</f>
        <v>NM</v>
      </c>
      <c r="EM461" s="99">
        <f>EM454+EM456</f>
        <v>-831</v>
      </c>
      <c r="EN461" s="860">
        <f t="shared" ref="EN461" si="2792">IF(ISERROR((EM461/EE461-1)*100),"NA",IF(((EM461/EE461-1)*100)&gt;100,"NM",IF(((EM461/EE461-1)*100)&lt;-50,"NM",(EM461/EE461-1)*100)))</f>
        <v>63.261296660117885</v>
      </c>
      <c r="EO461" s="99">
        <f>EO454+EO456</f>
        <v>-1018</v>
      </c>
      <c r="EP461" s="98">
        <f t="shared" ref="EP461" si="2793">IF(ISERROR((EO461/EG461-1)*100),"NA",IF(((EO461/EG461-1)*100)&gt;100,"NM",IF(((EO461/EG461-1)*100)&lt;-50,"NM",(EO461/EG461-1)*100)))</f>
        <v>62.61980830670926</v>
      </c>
      <c r="EQ461" s="1006">
        <f t="shared" ref="EQ461" si="2794">EQ454+EQ456</f>
        <v>-1049.3386015283363</v>
      </c>
      <c r="ER461" s="98">
        <f t="shared" ref="ER461:ER464" si="2795">IF(ISERROR((EQ461/EI461-1)*100),"NA",IF(((EQ461/EI461-1)*100)&gt;100,"NM",IF(((EQ461/EI461-1)*100)&lt;-50,"NM",(EQ461/EI461-1)*100)))</f>
        <v>44.139917792353891</v>
      </c>
      <c r="ES461" s="1006">
        <f t="shared" ref="ES461" si="2796">ES454+ES456</f>
        <v>-1023.5680646954509</v>
      </c>
      <c r="ET461" s="98">
        <f t="shared" ref="ET461:ET464" si="2797">IF(ISERROR((ES461/EK461-1)*100),"NA",IF(((ES461/EK461-1)*100)&gt;100,"NM",IF(((ES461/EK461-1)*100)&lt;-50,"NM",(ES461/EK461-1)*100)))</f>
        <v>26.522628516124946</v>
      </c>
      <c r="EU461" s="1006">
        <f t="shared" ref="EU461" si="2798">EU454+EU456</f>
        <v>-1016.2899703117984</v>
      </c>
      <c r="EV461" s="98">
        <f t="shared" ref="EV461:EV464" si="2799">IF(ISERROR((EU461/EM461-1)*100),"NA",IF(((EU461/EM461-1)*100)&gt;100,"NM",IF(((EU461/EM461-1)*100)&lt;-50,"NM",(EU461/EM461-1)*100)))</f>
        <v>22.297228677713399</v>
      </c>
      <c r="EW461" s="1006">
        <f t="shared" ref="EW461" si="2800">EW454+EW456</f>
        <v>-1006.2018219954539</v>
      </c>
      <c r="EX461" s="98">
        <f t="shared" ref="EX461:EX464" si="2801">IF(ISERROR((EW461/EO461-1)*100),"NA",IF(((EW461/EO461-1)*100)&gt;100,"NM",IF(((EW461/EO461-1)*100)&lt;-50,"NM",(EW461/EO461-1)*100)))</f>
        <v>-1.1589565819789871</v>
      </c>
      <c r="EY461" s="99"/>
      <c r="EZ461" s="594"/>
      <c r="FA461" s="405"/>
      <c r="FB461" s="95"/>
      <c r="FC461" s="113"/>
      <c r="FD461" s="94"/>
      <c r="FE461" s="98" t="str">
        <f>IF(ISERROR((FD461/FB461-1)*100),"NA",IF(((FD461/FB461-1)*100)&gt;100,"NM",IF(((FD461/FB461-1)*100)&lt;-50,"NM",(FD461/FB461-1)*100)))</f>
        <v>NA</v>
      </c>
      <c r="FF461" s="99"/>
      <c r="FG461" s="98"/>
      <c r="FH461" s="99"/>
      <c r="FI461" s="98"/>
      <c r="FJ461" s="99"/>
      <c r="FK461" s="98"/>
      <c r="FL461" s="99"/>
      <c r="FM461" s="98"/>
      <c r="FN461" s="99"/>
      <c r="FO461" s="98"/>
      <c r="FP461" s="99"/>
      <c r="FQ461" s="98"/>
      <c r="FR461" s="99"/>
      <c r="FS461" s="120"/>
      <c r="FT461" s="99"/>
      <c r="FU461" s="120"/>
      <c r="FV461" s="99">
        <f>FV454+FV456</f>
        <v>771</v>
      </c>
      <c r="FW461" s="98" t="str">
        <f>IF(ISERROR((FV461/FT461-1)*100),"NA",IF(((FV461/FT461-1)*100)&gt;100,"NM",IF(((FV461/FT461-1)*100)&lt;-50,"NM",(FV461/FT461-1)*100)))</f>
        <v>NA</v>
      </c>
      <c r="FX461" s="482">
        <f>FX454+FX456</f>
        <v>4660</v>
      </c>
      <c r="FY461" s="98" t="str">
        <f>IF(ISERROR((FX461/FV461-1)*100),"NA",IF(((FX461/FV461-1)*100)&gt;100,"NM",IF(((FX461/FV461-1)*100)&lt;-50,"NM",(FX461/FV461-1)*100)))</f>
        <v>NM</v>
      </c>
      <c r="FZ461" s="99">
        <f>FZ454+FZ456</f>
        <v>6734</v>
      </c>
      <c r="GA461" s="98">
        <f>IF(ISERROR((FZ461/FX461-1)*100),"NA",IF(((FZ461/FX461-1)*100)&gt;100,"NM",IF(((FZ461/FX461-1)*100)&lt;-50,"NM",(FZ461/FX461-1)*100)))</f>
        <v>44.506437768240346</v>
      </c>
      <c r="GB461" s="482">
        <f>GB454+GB456</f>
        <v>14290</v>
      </c>
      <c r="GC461" s="98" t="str">
        <f>IF(ISERROR((GB461/FZ461-1)*100),"NA",IF(((GB461/FZ461-1)*100)&gt;100,"NM",IF(((GB461/FZ461-1)*100)&lt;-50,"NM",(GB461/FZ461-1)*100)))</f>
        <v>NM</v>
      </c>
      <c r="GD461" s="99">
        <f>GD454+GD456</f>
        <v>6449</v>
      </c>
      <c r="GE461" s="98" t="str">
        <f>IF(ISERROR((GD461/GB461-1)*100),"NA",IF(((GD461/GB461-1)*100)&gt;100,"NM",IF(((GD461/GB461-1)*100)&lt;-50,"NM",(GD461/GB461-1)*100)))</f>
        <v>NM</v>
      </c>
      <c r="GF461" s="99">
        <f>GF454+GF456</f>
        <v>-465</v>
      </c>
      <c r="GG461" s="98" t="str">
        <f>IF(ISERROR((GF461/GD461-1)*100),"NA",IF(((GF461/GD461-1)*100)&gt;100,"NM",IF(((GF461/GD461-1)*100)&lt;-50,"NM",(GF461/GD461-1)*100)))</f>
        <v>NM</v>
      </c>
      <c r="GH461" s="99">
        <f>GH454+GH456</f>
        <v>-5996</v>
      </c>
      <c r="GI461" s="98" t="str">
        <f>IF(ISERROR((GH461/GF461-1)*100),"NA",IF(((GH461/GF461-1)*100)&gt;100,"NM",IF(((GH461/GF461-1)*100)&lt;-50,"NM",(GH461/GF461-1)*100)))</f>
        <v>NM</v>
      </c>
      <c r="GJ461" s="99">
        <f>GJ454+GJ456</f>
        <v>-599</v>
      </c>
      <c r="GK461" s="98" t="str">
        <f>IF(ISERROR((GJ461/GH461-1)*100),"NA",IF(((GJ461/GH461-1)*100)&gt;100,"NM",IF(((GJ461/GH461-1)*100)&lt;-50,"NM",(GJ461/GH461-1)*100)))</f>
        <v>NM</v>
      </c>
      <c r="GL461" s="99">
        <f>GL454+GL456</f>
        <v>-1368</v>
      </c>
      <c r="GM461" s="98" t="str">
        <f>IF(ISERROR((GL461/GJ461-1)*100),"NA",IF(((GL461/GJ461-1)*100)&gt;100,"NM",IF(((GL461/GJ461-1)*100)&lt;-50,"NM",(GL461/GJ461-1)*100)))</f>
        <v>NM</v>
      </c>
      <c r="GN461" s="99">
        <f>GN454+GN456</f>
        <v>-3386</v>
      </c>
      <c r="GO461" s="98" t="str">
        <f>IF(ISERROR((GN461/GL461-1)*100),"NA",IF(((GN461/GL461-1)*100)&gt;100,"NM",IF(((GN461/GL461-1)*100)&lt;-50,"NM",(GN461/GL461-1)*100)))</f>
        <v>NM</v>
      </c>
      <c r="GP461" s="99">
        <f>GP454+GP456</f>
        <v>-4095.3984585310391</v>
      </c>
      <c r="GQ461" s="98">
        <f>IF(ISERROR((GP461/GN461-1)*100),"NA",IF(((GP461/GN461-1)*100)&gt;100,"NM",IF(((GP461/GN461-1)*100)&lt;-50,"NM",(GP461/GN461-1)*100)))</f>
        <v>20.950929076522119</v>
      </c>
      <c r="GR461" s="99">
        <f>GR454+GR456</f>
        <v>-4022.8797880207453</v>
      </c>
      <c r="GS461" s="98">
        <f>IF(ISERROR((GR461/GP461-1)*100),"NA",IF(((GR461/GP461-1)*100)&gt;100,"NM",IF(((GR461/GP461-1)*100)&lt;-50,"NM",(GR461/GP461-1)*100)))</f>
        <v>-1.7707354057144742</v>
      </c>
      <c r="GT461" s="99">
        <f>GT454+GT456</f>
        <v>-3722.0648412238129</v>
      </c>
      <c r="GU461" s="98">
        <f>IF(ISERROR((GT461/GR461-1)*100),"NA",IF(((GT461/GR461-1)*100)&gt;100,"NM",IF(((GT461/GR461-1)*100)&lt;-50,"NM",(GT461/GR461-1)*100)))</f>
        <v>-7.4776021817180123</v>
      </c>
      <c r="GV461" s="99">
        <f>GV454+GV456</f>
        <v>-3366.9731175503271</v>
      </c>
      <c r="GW461" s="98">
        <f>IF(ISERROR((GV461/GT461-1)*100),"NA",IF(((GV461/GT461-1)*100)&gt;100,"NM",IF(((GV461/GT461-1)*100)&lt;-50,"NM",(GV461/GT461-1)*100)))</f>
        <v>-9.5401810237333748</v>
      </c>
      <c r="GX461" s="99">
        <f>GX454+GX456</f>
        <v>-2983.9351013319747</v>
      </c>
      <c r="GY461" s="98">
        <f>IF(ISERROR((GX461/GV461-1)*100),"NA",IF(((GX461/GV461-1)*100)&gt;100,"NM",IF(((GX461/GV461-1)*100)&lt;-50,"NM",(GX461/GV461-1)*100)))</f>
        <v>-11.376331287641383</v>
      </c>
      <c r="GZ461" s="98">
        <f>IF(ISERROR(((GX461/GN461)^0.2-1)*100),"NA",IF((((GX461/GN461)^0.2-1)*100)&gt;100,"NM",IF((((GX461/GN461)^0.2-1)*100)&lt;-50,"NM",((GX461/GN461)^0.2-1)*100)))</f>
        <v>-2.4964374909907217</v>
      </c>
      <c r="HA461" s="98"/>
      <c r="HB461" s="10"/>
      <c r="HC461"/>
      <c r="HD461"/>
      <c r="HE461"/>
      <c r="HF461"/>
      <c r="HG461"/>
      <c r="HH461"/>
      <c r="HI461" s="10"/>
    </row>
    <row r="462" spans="1:217" s="2" customFormat="1" ht="12.75" customHeight="1" x14ac:dyDescent="0.2">
      <c r="A462" s="2" t="s">
        <v>302</v>
      </c>
      <c r="B462" s="91" t="s">
        <v>364</v>
      </c>
      <c r="C462" s="189"/>
      <c r="D462" s="98"/>
      <c r="E462" s="189"/>
      <c r="F462" s="98"/>
      <c r="G462" s="189"/>
      <c r="H462" s="98"/>
      <c r="I462" s="189"/>
      <c r="J462" s="98"/>
      <c r="K462" s="189"/>
      <c r="L462" s="98"/>
      <c r="M462" s="189"/>
      <c r="N462" s="98"/>
      <c r="O462" s="189"/>
      <c r="P462" s="98"/>
      <c r="Q462" s="189"/>
      <c r="R462" s="98"/>
      <c r="S462" s="189"/>
      <c r="T462" s="98"/>
      <c r="U462" s="189"/>
      <c r="V462" s="98"/>
      <c r="W462" s="189"/>
      <c r="X462" s="98"/>
      <c r="Y462" s="189"/>
      <c r="Z462" s="98"/>
      <c r="AA462" s="189"/>
      <c r="AB462" s="98"/>
      <c r="AC462" s="189"/>
      <c r="AD462" s="98"/>
      <c r="AE462" s="189"/>
      <c r="AF462" s="98"/>
      <c r="AG462" s="189"/>
      <c r="AH462" s="98"/>
      <c r="AI462" s="189"/>
      <c r="AJ462" s="98"/>
      <c r="AK462" s="189"/>
      <c r="AL462" s="98"/>
      <c r="AM462" s="189"/>
      <c r="AN462" s="98"/>
      <c r="AO462" s="189"/>
      <c r="AP462" s="98"/>
      <c r="AQ462" s="189"/>
      <c r="AR462" s="98"/>
      <c r="AS462" s="189"/>
      <c r="AT462" s="98"/>
      <c r="AU462" s="189"/>
      <c r="AV462" s="98"/>
      <c r="AW462" s="189"/>
      <c r="AX462" s="98"/>
      <c r="AY462" s="161"/>
      <c r="AZ462" s="98"/>
      <c r="BA462" s="161"/>
      <c r="BB462" s="98"/>
      <c r="BC462" s="161"/>
      <c r="BD462" s="98"/>
      <c r="BE462" s="161"/>
      <c r="BF462" s="98"/>
      <c r="BG462" s="161"/>
      <c r="BH462" s="98"/>
      <c r="BI462" s="161"/>
      <c r="BJ462" s="98"/>
      <c r="BK462" s="161"/>
      <c r="BL462" s="98"/>
      <c r="BM462" s="161">
        <f>-BM456/BM453*400</f>
        <v>11.596314548960789</v>
      </c>
      <c r="BN462" s="98"/>
      <c r="BO462" s="161">
        <f>-BO456/BO453*400</f>
        <v>10.264986967854039</v>
      </c>
      <c r="BP462" s="98"/>
      <c r="BQ462" s="161">
        <f>-BQ456/BQ453*400</f>
        <v>11.30313818876288</v>
      </c>
      <c r="BR462" s="98"/>
      <c r="BS462" s="161">
        <f>-BS456/BS453*400</f>
        <v>9.7160419114069754</v>
      </c>
      <c r="BT462" s="98"/>
      <c r="BU462" s="161">
        <f>-BU456/BU453*400</f>
        <v>9.0758250151439324</v>
      </c>
      <c r="BV462" s="98"/>
      <c r="BW462" s="161">
        <f>-BW456/BW453*400</f>
        <v>8.6727482975716299</v>
      </c>
      <c r="BX462" s="98"/>
      <c r="BY462" s="161">
        <f>-BY456/BY453*400</f>
        <v>8.8995506301314329</v>
      </c>
      <c r="BZ462" s="98"/>
      <c r="CA462" s="161">
        <f>-CA456/CA453*400</f>
        <v>7.2755110720462728</v>
      </c>
      <c r="CB462" s="98"/>
      <c r="CC462" s="161">
        <f>-CC456/CC453*400</f>
        <v>7.0901609408098167</v>
      </c>
      <c r="CD462" s="98"/>
      <c r="CE462" s="161">
        <f>-CE456/CE453*400</f>
        <v>7.4440377709191461</v>
      </c>
      <c r="CF462" s="98"/>
      <c r="CG462" s="161">
        <f>-CG456/CG453*400</f>
        <v>7.0062524972193119</v>
      </c>
      <c r="CH462" s="98"/>
      <c r="CI462" s="161">
        <f>-CI456/CI453*400</f>
        <v>8.3006169377453727</v>
      </c>
      <c r="CJ462" s="98"/>
      <c r="CK462" s="161">
        <f>-CK456/CK453*400</f>
        <v>7.5870761474376716</v>
      </c>
      <c r="CL462" s="98"/>
      <c r="CM462" s="161">
        <f>-CM456/CM453*400</f>
        <v>7.8522026062153945</v>
      </c>
      <c r="CN462" s="98"/>
      <c r="CO462" s="161">
        <f>-CO456/CO453*400</f>
        <v>8.1390271592000705</v>
      </c>
      <c r="CP462" s="98"/>
      <c r="CQ462" s="545">
        <f>-CQ456/CQ453*400</f>
        <v>7.13134058735639</v>
      </c>
      <c r="CR462" s="98"/>
      <c r="CS462" s="161">
        <f>-CS456/CS453*400</f>
        <v>7.3369840320279778</v>
      </c>
      <c r="CT462" s="98"/>
      <c r="CU462" s="161">
        <f>-CU456/CU453*400</f>
        <v>7.1543201150811147</v>
      </c>
      <c r="CV462" s="98"/>
      <c r="CW462" s="161">
        <f>-CW456/CW453*400</f>
        <v>6.3029176844345214</v>
      </c>
      <c r="CX462" s="98"/>
      <c r="CY462" s="161">
        <f>-CY456/CY453*400</f>
        <v>6.1453704267364708</v>
      </c>
      <c r="CZ462" s="98"/>
      <c r="DA462" s="161">
        <f>-DA456/DA453*400</f>
        <v>6.2430099509621177</v>
      </c>
      <c r="DB462" s="98"/>
      <c r="DC462" s="161">
        <f>-DC456/DC453*400</f>
        <v>6.1246040126715942</v>
      </c>
      <c r="DD462" s="98"/>
      <c r="DE462" s="161">
        <f>-DE456/DE453*400</f>
        <v>6.4816410963626963</v>
      </c>
      <c r="DF462" s="98"/>
      <c r="DG462" s="161">
        <f>-DG456/DG453*400</f>
        <v>6.1401449868224285</v>
      </c>
      <c r="DH462" s="98"/>
      <c r="DI462" s="161">
        <f>-DI456/DI453*400</f>
        <v>6.6522628336229062</v>
      </c>
      <c r="DJ462" s="98"/>
      <c r="DK462" s="161">
        <f>-DK456/DK453*400</f>
        <v>6.4788593661503606</v>
      </c>
      <c r="DL462" s="98"/>
      <c r="DM462" s="161">
        <f>-DM456/DM453*400</f>
        <v>7.0578257422578412</v>
      </c>
      <c r="DN462" s="98">
        <f t="shared" ref="DN462:DN464" si="2802">IF(ISERROR((DM462/DE462-1)*100),"NA",IF(((DM462/DE462-1)*100)&gt;100,"NM",IF(((DM462/DE462-1)*100)&lt;-50,"NM",(DM462/DE462-1)*100)))</f>
        <v>8.8894870501003531</v>
      </c>
      <c r="DO462" s="161">
        <f>-DO456/DO453*400</f>
        <v>6.8130505198894591</v>
      </c>
      <c r="DP462" s="98">
        <f t="shared" ref="DP462:DP464" si="2803">IF(ISERROR((DO462/DG462-1)*100),"NA",IF(((DO462/DG462-1)*100)&gt;100,"NM",IF(((DO462/DG462-1)*100)&lt;-50,"NM",(DO462/DG462-1)*100)))</f>
        <v>10.959114719785546</v>
      </c>
      <c r="DQ462" s="161">
        <f>-DQ456/DQ453*400</f>
        <v>7.4536476288083477</v>
      </c>
      <c r="DR462" s="98">
        <f t="shared" ref="DR462:DR464" si="2804">IF(ISERROR((DQ462/DI462-1)*100),"NA",IF(((DQ462/DI462-1)*100)&gt;100,"NM",IF(((DQ462/DI462-1)*100)&lt;-50,"NM",(DQ462/DI462-1)*100)))</f>
        <v>12.04679994204314</v>
      </c>
      <c r="DS462" s="161">
        <f>-DS456/DS453*400</f>
        <v>7.105309269318381</v>
      </c>
      <c r="DT462" s="98">
        <f t="shared" ref="DT462:DT464" si="2805">IF(ISERROR((DS462/DK462-1)*100),"NA",IF(((DS462/DK462-1)*100)&gt;100,"NM",IF(((DS462/DK462-1)*100)&lt;-50,"NM",(DS462/DK462-1)*100)))</f>
        <v>9.6691387752756199</v>
      </c>
      <c r="DU462" s="161">
        <f>-DU456/DU453*400</f>
        <v>7.282925250782009</v>
      </c>
      <c r="DV462" s="98">
        <f t="shared" ref="DV462:DV464" si="2806">IF(ISERROR((DU462/DM462-1)*100),"NA",IF(((DU462/DM462-1)*100)&gt;100,"NM",IF(((DU462/DM462-1)*100)&lt;-50,"NM",(DU462/DM462-1)*100)))</f>
        <v>3.1893605303459527</v>
      </c>
      <c r="DW462" s="161">
        <f>-DW456/DW453*400</f>
        <v>6.3845160160269741</v>
      </c>
      <c r="DX462" s="98">
        <f t="shared" ref="DX462:DX464" si="2807">IF(ISERROR((DW462/DO462-1)*100),"NA",IF(((DW462/DO462-1)*100)&gt;100,"NM",IF(((DW462/DO462-1)*100)&lt;-50,"NM",(DW462/DO462-1)*100)))</f>
        <v>-6.2899064466270582</v>
      </c>
      <c r="DY462" s="161">
        <f>-DY456/DY453*400</f>
        <v>6.8063933156523575</v>
      </c>
      <c r="DZ462" s="98">
        <f t="shared" ref="DZ462:DZ464" si="2808">IF(ISERROR((DY462/DQ462-1)*100),"NA",IF(((DY462/DQ462-1)*100)&gt;100,"NM",IF(((DY462/DQ462-1)*100)&lt;-50,"NM",(DY462/DQ462-1)*100)))</f>
        <v>-8.6837256788790498</v>
      </c>
      <c r="EA462" s="161">
        <f>-EA456/EA453*400</f>
        <v>5.9351276742581085</v>
      </c>
      <c r="EB462" s="98">
        <f t="shared" ref="EB462:EB464" si="2809">IF(ISERROR((EA462/DS462-1)*100),"NA",IF(((EA462/DS462-1)*100)&gt;100,"NM",IF(((EA462/DS462-1)*100)&lt;-50,"NM",(EA462/DS462-1)*100)))</f>
        <v>-16.469115568456161</v>
      </c>
      <c r="EC462" s="161">
        <f>-EC456/EC453*400</f>
        <v>6.7735692562897425</v>
      </c>
      <c r="ED462" s="98">
        <f t="shared" ref="ED462:ED464" si="2810">IF(ISERROR((EC462/DU462-1)*100),"NA",IF(((EC462/DU462-1)*100)&gt;100,"NM",IF(((EC462/DU462-1)*100)&lt;-50,"NM",(EC462/DU462-1)*100)))</f>
        <v>-6.9938380108676039</v>
      </c>
      <c r="EE462" s="161">
        <f>-EE456/EE453*400</f>
        <v>6.7513628173254574</v>
      </c>
      <c r="EF462" s="860">
        <f t="shared" ref="EF462:EF464" si="2811">IF(ISERROR((EE462/DW462-1)*100),"NA",IF(((EE462/DW462-1)*100)&gt;100,"NM",IF(((EE462/DW462-1)*100)&lt;-50,"NM",(EE462/DW462-1)*100)))</f>
        <v>5.7458827008592728</v>
      </c>
      <c r="EG462" s="161">
        <f>-EG456/EG453*400</f>
        <v>7.2980251346499099</v>
      </c>
      <c r="EH462" s="860">
        <f t="shared" ref="EH462:EH464" si="2812">IF(ISERROR((EG462/DY462-1)*100),"NA",IF(((EG462/DY462-1)*100)&gt;100,"NM",IF(((EG462/DY462-1)*100)&lt;-50,"NM",(EG462/DY462-1)*100)))</f>
        <v>7.2230885903547204</v>
      </c>
      <c r="EI462" s="161">
        <f>-EI456/EI453*400</f>
        <v>8.2800357609517921</v>
      </c>
      <c r="EJ462" s="860">
        <f t="shared" ref="EJ462:EJ464" si="2813">IF(ISERROR((EI462/EA462-1)*100),"NA",IF(((EI462/EA462-1)*100)&gt;100,"NM",IF(((EI462/EA462-1)*100)&lt;-50,"NM",(EI462/EA462-1)*100)))</f>
        <v>39.508974623478466</v>
      </c>
      <c r="EK462" s="161">
        <f>-EK456/EK453*400</f>
        <v>8.7491884388922472</v>
      </c>
      <c r="EL462" s="860">
        <f t="shared" ref="EL462:EL464" si="2814">IF(ISERROR((EK462/EC462-1)*100),"NA",IF(((EK462/EC462-1)*100)&gt;100,"NM",IF(((EK462/EC462-1)*100)&lt;-50,"NM",(EK462/EC462-1)*100)))</f>
        <v>29.166590136625548</v>
      </c>
      <c r="EM462" s="161">
        <f>-EM456/EM453*400</f>
        <v>8.5866346003963745</v>
      </c>
      <c r="EN462" s="860">
        <f t="shared" ref="EN462:EN464" si="2815">IF(ISERROR((EM462/EE462-1)*100),"NA",IF(((EM462/EE462-1)*100)&gt;100,"NM",IF(((EM462/EE462-1)*100)&lt;-50,"NM",(EM462/EE462-1)*100)))</f>
        <v>27.183723238235878</v>
      </c>
      <c r="EO462" s="161">
        <f>-EO456/EO453*400</f>
        <v>9.9386015283360578</v>
      </c>
      <c r="EP462" s="98">
        <f t="shared" ref="EP462:EP464" si="2816">IF(ISERROR((EO462/EG462-1)*100),"NA",IF(((EO462/EG462-1)*100)&gt;100,"NM",IF(((EO462/EG462-1)*100)&lt;-50,"NM",(EO462/EG462-1)*100)))</f>
        <v>36.182067682243172</v>
      </c>
      <c r="EQ462" s="1048">
        <f t="shared" ref="EQ462" si="2817">EO462</f>
        <v>9.9386015283360578</v>
      </c>
      <c r="ER462" s="98">
        <f t="shared" si="2795"/>
        <v>20.030901016224757</v>
      </c>
      <c r="ES462" s="1048">
        <f t="shared" ref="ES462" si="2818">EQ462</f>
        <v>9.9386015283360578</v>
      </c>
      <c r="ET462" s="98">
        <f t="shared" si="2797"/>
        <v>13.594553343445925</v>
      </c>
      <c r="EU462" s="1048">
        <f t="shared" ref="EU462" si="2819">ES462</f>
        <v>9.9386015283360578</v>
      </c>
      <c r="EV462" s="98">
        <f t="shared" si="2799"/>
        <v>15.745015257517458</v>
      </c>
      <c r="EW462" s="1048">
        <f t="shared" ref="EW462" si="2820">EU462</f>
        <v>9.9386015283360578</v>
      </c>
      <c r="EX462" s="98">
        <f t="shared" si="2801"/>
        <v>0</v>
      </c>
      <c r="EY462" s="170"/>
      <c r="EZ462" s="597"/>
      <c r="FA462" s="408"/>
      <c r="FB462" s="163"/>
      <c r="FC462" s="164"/>
      <c r="FD462" s="161">
        <f>(-FD456)/FD453*100</f>
        <v>7.7379449633930824</v>
      </c>
      <c r="FE462" s="164"/>
      <c r="FF462" s="162"/>
      <c r="FG462" s="164"/>
      <c r="FH462" s="162"/>
      <c r="FI462" s="164"/>
      <c r="FJ462" s="162"/>
      <c r="FK462" s="164"/>
      <c r="FL462" s="162"/>
      <c r="FM462" s="164"/>
      <c r="FN462" s="162"/>
      <c r="FO462" s="164"/>
      <c r="FP462" s="162"/>
      <c r="FQ462" s="164"/>
      <c r="FR462" s="171"/>
      <c r="FS462" s="120"/>
      <c r="FT462" s="171"/>
      <c r="FU462" s="120"/>
      <c r="FV462" s="171">
        <f>-FV456/FV453*100</f>
        <v>9.2636837532580376</v>
      </c>
      <c r="FW462" s="98"/>
      <c r="FX462" s="497">
        <f>-FX456/FX453*100</f>
        <v>8.6823846845689321</v>
      </c>
      <c r="FY462" s="98"/>
      <c r="FZ462" s="171">
        <f>-FZ456/FZ453*100</f>
        <v>7.9259267758183514</v>
      </c>
      <c r="GA462" s="98"/>
      <c r="GB462" s="497">
        <f>-GB456/GB453*100</f>
        <v>7.961260975746165</v>
      </c>
      <c r="GC462" s="98"/>
      <c r="GD462" s="171">
        <f>-GD456/GD453*100</f>
        <v>7.0262674305480486</v>
      </c>
      <c r="GE462" s="98"/>
      <c r="GF462" s="171">
        <f>-GF456/GF453*100</f>
        <v>6.6891939457937353</v>
      </c>
      <c r="GG462" s="98"/>
      <c r="GH462" s="171">
        <f>-GH456/GH453*100</f>
        <v>6.9756704178876596</v>
      </c>
      <c r="GI462" s="98">
        <f t="shared" ref="GI462:GI463" si="2821">IF(ISERROR((GH462/GF462-1)*100),"NA",IF(((GH462/GF462-1)*100)&gt;100,"NM",IF(((GH462/GF462-1)*100)&lt;-50,"NM",(GH462/GF462-1)*100)))</f>
        <v>4.2826755273565498</v>
      </c>
      <c r="GJ462" s="171">
        <f>-GJ456/GJ453*100</f>
        <v>6.8096197652006305</v>
      </c>
      <c r="GK462" s="98">
        <f t="shared" ref="GK462:GK463" si="2822">IF(ISERROR((GJ462/GH462-1)*100),"NA",IF(((GJ462/GH462-1)*100)&gt;100,"NM",IF(((GJ462/GH462-1)*100)&lt;-50,"NM",(GJ462/GH462-1)*100)))</f>
        <v>-2.3804257188130173</v>
      </c>
      <c r="GL462" s="171">
        <f>-GL456/GL453*100</f>
        <v>6.7471819645732696</v>
      </c>
      <c r="GM462" s="98">
        <f t="shared" ref="GM462:GW463" si="2823">IF(ISERROR((GL462/GJ462-1)*100),"NA",IF(((GL462/GJ462-1)*100)&gt;100,"NM",IF(((GL462/GJ462-1)*100)&lt;-50,"NM",(GL462/GJ462-1)*100)))</f>
        <v>-0.91690582999124359</v>
      </c>
      <c r="GN462" s="171">
        <f>-GN456/GN453*100</f>
        <v>9.0984113884877242</v>
      </c>
      <c r="GO462" s="98">
        <f t="shared" si="2823"/>
        <v>34.847576903362196</v>
      </c>
      <c r="GP462" s="171">
        <f>-GP456/GP453*100</f>
        <v>9.5190018357437705</v>
      </c>
      <c r="GQ462" s="98">
        <f t="shared" si="2823"/>
        <v>4.6226800404763235</v>
      </c>
      <c r="GR462" s="110">
        <f>GP462+0.5</f>
        <v>10.01900183574377</v>
      </c>
      <c r="GS462" s="98">
        <f t="shared" si="2823"/>
        <v>5.2526515765813242</v>
      </c>
      <c r="GT462" s="110">
        <f>GR462+0.5</f>
        <v>10.51900183574377</v>
      </c>
      <c r="GU462" s="98">
        <f t="shared" si="2823"/>
        <v>4.9905171013763239</v>
      </c>
      <c r="GV462" s="110">
        <f>GT462+0.5</f>
        <v>11.01900183574377</v>
      </c>
      <c r="GW462" s="98">
        <f t="shared" si="2823"/>
        <v>4.7533027164325725</v>
      </c>
      <c r="GX462" s="110">
        <f>GV462+0.5</f>
        <v>11.51900183574377</v>
      </c>
      <c r="GY462" s="98">
        <f t="shared" ref="GY462:GY463" si="2824">IF(ISERROR((GX462/GV462-1)*100),"NA",IF(((GX462/GV462-1)*100)&gt;100,"NM",IF(((GX462/GV462-1)*100)&lt;-50,"NM",(GX462/GV462-1)*100)))</f>
        <v>4.5376160876757998</v>
      </c>
      <c r="GZ462" s="98">
        <f>IF(ISERROR(((GX462/GN462)^0.2-1)*100),"NA",IF((((GX462/GN462)^0.2-1)*100)&gt;100,"NM",IF((((GX462/GN462)^0.2-1)*100)&lt;-50,"NM",((GX462/GN462)^0.2-1)*100)))</f>
        <v>4.8310306378449797</v>
      </c>
      <c r="HA462" s="98"/>
      <c r="HB462" s="10"/>
      <c r="HC462"/>
      <c r="HD462"/>
      <c r="HE462"/>
      <c r="HF462"/>
      <c r="HG462"/>
      <c r="HH462"/>
      <c r="HI462" s="10"/>
    </row>
    <row r="463" spans="1:217" s="2" customFormat="1" ht="12.75" customHeight="1" x14ac:dyDescent="0.2">
      <c r="B463" s="467" t="s">
        <v>362</v>
      </c>
      <c r="C463" s="137"/>
      <c r="D463" s="98"/>
      <c r="E463" s="137"/>
      <c r="F463" s="98"/>
      <c r="G463" s="137"/>
      <c r="H463" s="98"/>
      <c r="I463" s="137"/>
      <c r="J463" s="98"/>
      <c r="K463" s="137"/>
      <c r="L463" s="98"/>
      <c r="M463" s="137"/>
      <c r="N463" s="98"/>
      <c r="O463" s="137"/>
      <c r="P463" s="98"/>
      <c r="Q463" s="137"/>
      <c r="R463" s="98"/>
      <c r="S463" s="137"/>
      <c r="T463" s="98"/>
      <c r="U463" s="137"/>
      <c r="V463" s="98"/>
      <c r="W463" s="137"/>
      <c r="X463" s="98"/>
      <c r="Y463" s="137"/>
      <c r="Z463" s="98"/>
      <c r="AA463" s="137"/>
      <c r="AB463" s="98"/>
      <c r="AC463" s="137"/>
      <c r="AD463" s="98"/>
      <c r="AE463" s="137"/>
      <c r="AF463" s="98"/>
      <c r="AG463" s="137"/>
      <c r="AH463" s="98"/>
      <c r="AI463" s="137"/>
      <c r="AJ463" s="98"/>
      <c r="AK463" s="137"/>
      <c r="AL463" s="98"/>
      <c r="AM463" s="137"/>
      <c r="AN463" s="98"/>
      <c r="AO463" s="137"/>
      <c r="AP463" s="98"/>
      <c r="AQ463" s="137"/>
      <c r="AR463" s="98"/>
      <c r="AS463" s="137"/>
      <c r="AT463" s="98"/>
      <c r="AU463" s="137"/>
      <c r="AV463" s="98"/>
      <c r="AW463" s="137"/>
      <c r="AX463" s="98"/>
      <c r="AY463" s="137"/>
      <c r="AZ463" s="98"/>
      <c r="BA463" s="137"/>
      <c r="BB463" s="98"/>
      <c r="BC463" s="137"/>
      <c r="BD463" s="98"/>
      <c r="BE463" s="137"/>
      <c r="BF463" s="98"/>
      <c r="BG463" s="137"/>
      <c r="BH463" s="98"/>
      <c r="BI463" s="137"/>
      <c r="BJ463" s="98"/>
      <c r="BK463" s="137"/>
      <c r="BL463" s="98"/>
      <c r="BM463" s="137">
        <f>BM455/BM453*400</f>
        <v>-8.0608527962288417</v>
      </c>
      <c r="BN463" s="98"/>
      <c r="BO463" s="137">
        <f>BO455/BO453*400</f>
        <v>-30.881841876629018</v>
      </c>
      <c r="BP463" s="98"/>
      <c r="BQ463" s="137">
        <f>BQ455/BQ453*400</f>
        <v>-4.3854478579680753</v>
      </c>
      <c r="BR463" s="98"/>
      <c r="BS463" s="137">
        <f>BS455/BS453*400</f>
        <v>-41.033308414320125</v>
      </c>
      <c r="BT463" s="98"/>
      <c r="BU463" s="137">
        <f>BU455/BU453*400</f>
        <v>-72.79622850219917</v>
      </c>
      <c r="BV463" s="98"/>
      <c r="BW463" s="137">
        <f>BW455/BW453*400</f>
        <v>-25.343697802903765</v>
      </c>
      <c r="BX463" s="98"/>
      <c r="BY463" s="137">
        <f>BY455/BY453*400</f>
        <v>59.952022164408561</v>
      </c>
      <c r="BZ463" s="98"/>
      <c r="CA463" s="137">
        <f>CA455/CA453*400</f>
        <v>56.502877881425619</v>
      </c>
      <c r="CB463" s="98"/>
      <c r="CC463" s="137">
        <f>CC455/CC453*400</f>
        <v>16.712522217623142</v>
      </c>
      <c r="CD463" s="98"/>
      <c r="CE463" s="137">
        <f>CE455/CE453*400</f>
        <v>17.247036956297258</v>
      </c>
      <c r="CF463" s="98"/>
      <c r="CG463" s="137">
        <f>CG455/CG453*400</f>
        <v>-30.253879463948252</v>
      </c>
      <c r="CH463" s="98"/>
      <c r="CI463" s="137">
        <f>CI455/CI453*400</f>
        <v>39.140636624812572</v>
      </c>
      <c r="CJ463" s="98"/>
      <c r="CK463" s="137">
        <f>CK455/CK453*400</f>
        <v>29.4752374804021</v>
      </c>
      <c r="CL463" s="98"/>
      <c r="CM463" s="137">
        <f>CM455/CM453*400</f>
        <v>17.378497790868924</v>
      </c>
      <c r="CN463" s="98"/>
      <c r="CO463" s="137">
        <f>CO455/CO453*400</f>
        <v>2.2880097808051696</v>
      </c>
      <c r="CP463" s="98"/>
      <c r="CQ463" s="494">
        <f>CQ455/CQ453*400</f>
        <v>-48.383039430033001</v>
      </c>
      <c r="CR463" s="98"/>
      <c r="CS463" s="137">
        <f>CS455/CS453*400</f>
        <v>26.557452487230226</v>
      </c>
      <c r="CT463" s="98"/>
      <c r="CU463" s="137">
        <f>CU455/CU453*400</f>
        <v>35.788230794176094</v>
      </c>
      <c r="CV463" s="98"/>
      <c r="CW463" s="137">
        <f>CW455/CW453*400</f>
        <v>-10.750625646251368</v>
      </c>
      <c r="CX463" s="98"/>
      <c r="CY463" s="137">
        <f>CY455/CY453*400</f>
        <v>20.201497534546782</v>
      </c>
      <c r="CZ463" s="98"/>
      <c r="DA463" s="137">
        <f>DA455/DA453*400</f>
        <v>7.2180321757334172</v>
      </c>
      <c r="DB463" s="98"/>
      <c r="DC463" s="137">
        <f>DC455/DC453*400</f>
        <v>23.749384019711371</v>
      </c>
      <c r="DD463" s="98"/>
      <c r="DE463" s="137">
        <f>DE455/DE453*400</f>
        <v>-1.8140108469362048</v>
      </c>
      <c r="DF463" s="98"/>
      <c r="DG463" s="137">
        <f>DG455/DG453*400</f>
        <v>21.902264664659292</v>
      </c>
      <c r="DH463" s="98"/>
      <c r="DI463" s="137">
        <f>DI455/DI453*400</f>
        <v>22.218660443526929</v>
      </c>
      <c r="DJ463" s="98"/>
      <c r="DK463" s="137">
        <f>DK455/DK453*400</f>
        <v>6.7054101307591916</v>
      </c>
      <c r="DL463" s="98"/>
      <c r="DM463" s="137">
        <f>DM455/DM453*400</f>
        <v>15.16781080798707</v>
      </c>
      <c r="DN463" s="98" t="str">
        <f t="shared" si="2802"/>
        <v>NM</v>
      </c>
      <c r="DO463" s="137">
        <f>DO455/DO453*400</f>
        <v>-5.4451421793814303</v>
      </c>
      <c r="DP463" s="98" t="str">
        <f t="shared" si="2803"/>
        <v>NM</v>
      </c>
      <c r="DQ463" s="137">
        <f>DQ455/DQ453*400</f>
        <v>8.5244883381471475</v>
      </c>
      <c r="DR463" s="98" t="str">
        <f t="shared" si="2804"/>
        <v>NM</v>
      </c>
      <c r="DS463" s="137">
        <f>DS455/DS453*400</f>
        <v>11.512178026984406</v>
      </c>
      <c r="DT463" s="98">
        <f t="shared" si="2805"/>
        <v>71.684920124057939</v>
      </c>
      <c r="DU463" s="137">
        <f>DU455/DU453*400</f>
        <v>-1.5963757954913171</v>
      </c>
      <c r="DV463" s="98" t="str">
        <f t="shared" si="2806"/>
        <v>NM</v>
      </c>
      <c r="DW463" s="137">
        <f>DW455/DW453*400</f>
        <v>-22.945722855954283</v>
      </c>
      <c r="DX463" s="98" t="str">
        <f t="shared" si="2807"/>
        <v>NM</v>
      </c>
      <c r="DY463" s="137">
        <f>DY455/DY453*400</f>
        <v>11.190649423803601</v>
      </c>
      <c r="DZ463" s="98">
        <f t="shared" si="2808"/>
        <v>31.276494023991596</v>
      </c>
      <c r="EA463" s="137">
        <f>EA455/EA453*400</f>
        <v>2.8985507246376812</v>
      </c>
      <c r="EB463" s="98" t="str">
        <f t="shared" si="2809"/>
        <v>NM</v>
      </c>
      <c r="EC463" s="137">
        <f>EC455/EC453*400</f>
        <v>9.178877522808957</v>
      </c>
      <c r="ED463" s="98" t="str">
        <f t="shared" si="2810"/>
        <v>NM</v>
      </c>
      <c r="EE463" s="137">
        <f>EE455/EE453*400</f>
        <v>14.925985904249254</v>
      </c>
      <c r="EF463" s="860" t="str">
        <f t="shared" si="2811"/>
        <v>NM</v>
      </c>
      <c r="EG463" s="137">
        <f>EG455/EG453*400</f>
        <v>0.3231597845601436</v>
      </c>
      <c r="EH463" s="860" t="str">
        <f t="shared" si="2812"/>
        <v>NM</v>
      </c>
      <c r="EI463" s="137">
        <f>EI455/EI453*400</f>
        <v>19.164202370309241</v>
      </c>
      <c r="EJ463" s="860" t="str">
        <f t="shared" si="2813"/>
        <v>NM</v>
      </c>
      <c r="EK463" s="137">
        <f>EK455/EK453*400</f>
        <v>12.626771442004165</v>
      </c>
      <c r="EL463" s="860">
        <f t="shared" si="2814"/>
        <v>37.563350318461055</v>
      </c>
      <c r="EM463" s="137">
        <f>EM455/EM453*400</f>
        <v>14.135880820362082</v>
      </c>
      <c r="EN463" s="860">
        <f t="shared" si="2815"/>
        <v>-5.293486734851049</v>
      </c>
      <c r="EO463" s="137">
        <f>EO455/EO453*400</f>
        <v>15.6013958213702</v>
      </c>
      <c r="EP463" s="98" t="str">
        <f t="shared" si="2816"/>
        <v>NM</v>
      </c>
      <c r="EQ463" s="1033">
        <f>EQ455/EQ453*400</f>
        <v>-2.88</v>
      </c>
      <c r="ER463" s="98" t="str">
        <f t="shared" si="2795"/>
        <v>NM</v>
      </c>
      <c r="ES463" s="1033">
        <f t="shared" ref="ES463" si="2825">ES455/ES453*400</f>
        <v>4.8</v>
      </c>
      <c r="ET463" s="98" t="str">
        <f t="shared" si="2797"/>
        <v>NM</v>
      </c>
      <c r="EU463" s="1033">
        <f t="shared" ref="EU463" si="2826">EU455/EU453*400</f>
        <v>4.8</v>
      </c>
      <c r="EV463" s="98" t="str">
        <f t="shared" si="2799"/>
        <v>NM</v>
      </c>
      <c r="EW463" s="1033">
        <f t="shared" ref="EW463" si="2827">EW455/EW453*400</f>
        <v>4.8</v>
      </c>
      <c r="EX463" s="98" t="str">
        <f t="shared" si="2801"/>
        <v>NM</v>
      </c>
      <c r="EY463" s="125"/>
      <c r="EZ463" s="594"/>
      <c r="FA463" s="405"/>
      <c r="FB463" s="95"/>
      <c r="FC463" s="98"/>
      <c r="FD463" s="137">
        <f>(FD455)/FD459*100</f>
        <v>20.161159482991724</v>
      </c>
      <c r="FE463" s="98"/>
      <c r="FF463" s="125"/>
      <c r="FG463" s="98"/>
      <c r="FH463" s="125"/>
      <c r="FI463" s="98"/>
      <c r="FJ463" s="125"/>
      <c r="FK463" s="98"/>
      <c r="FL463" s="125"/>
      <c r="FM463" s="98"/>
      <c r="FN463" s="125"/>
      <c r="FO463" s="98"/>
      <c r="FP463" s="125"/>
      <c r="FQ463" s="98"/>
      <c r="FR463" s="130"/>
      <c r="FS463" s="120"/>
      <c r="FT463" s="130"/>
      <c r="FU463" s="120"/>
      <c r="FV463" s="130">
        <f>FV455/FV453*100</f>
        <v>-33.127715030408339</v>
      </c>
      <c r="FW463" s="98"/>
      <c r="FX463" s="487">
        <f>FX455/FX453*100</f>
        <v>29.427919825260183</v>
      </c>
      <c r="FY463" s="98"/>
      <c r="FZ463" s="130">
        <f>FZ455/FZ453*100</f>
        <v>14.335050540977775</v>
      </c>
      <c r="GA463" s="98"/>
      <c r="GB463" s="487">
        <f>GB455/GB453*100</f>
        <v>-1.676888946887642</v>
      </c>
      <c r="GC463" s="98"/>
      <c r="GD463" s="130">
        <f>GD455/GD453*100</f>
        <v>13.576079093320473</v>
      </c>
      <c r="GE463" s="98"/>
      <c r="GF463" s="130">
        <f>GF455/GF453*100</f>
        <v>17.303062302006335</v>
      </c>
      <c r="GG463" s="98"/>
      <c r="GH463" s="130">
        <f>GH455/GH453*100</f>
        <v>6.1950552833115813</v>
      </c>
      <c r="GI463" s="98" t="str">
        <f t="shared" si="2821"/>
        <v>NM</v>
      </c>
      <c r="GJ463" s="130">
        <f>GJ455/GJ453*100</f>
        <v>-0.65489749430523925</v>
      </c>
      <c r="GK463" s="98" t="str">
        <f t="shared" si="2822"/>
        <v>NM</v>
      </c>
      <c r="GL463" s="130">
        <f>GL455/GL453*100</f>
        <v>6.8622038187255585</v>
      </c>
      <c r="GM463" s="98" t="str">
        <f t="shared" si="2823"/>
        <v>NM</v>
      </c>
      <c r="GN463" s="130">
        <f>GN455/GN453*100</f>
        <v>15.709602732503496</v>
      </c>
      <c r="GO463" s="98" t="str">
        <f t="shared" si="2823"/>
        <v>NM</v>
      </c>
      <c r="GP463" s="130">
        <f>GP455/GP453*100</f>
        <v>2.6773478946006013</v>
      </c>
      <c r="GQ463" s="98" t="str">
        <f t="shared" si="2823"/>
        <v>NM</v>
      </c>
      <c r="GR463" s="130">
        <f>GR455/GR453*100</f>
        <v>0</v>
      </c>
      <c r="GS463" s="98" t="str">
        <f t="shared" si="2823"/>
        <v>NM</v>
      </c>
      <c r="GT463" s="130">
        <f>GT455/GT453*100</f>
        <v>0</v>
      </c>
      <c r="GU463" s="98" t="str">
        <f t="shared" si="2823"/>
        <v>NA</v>
      </c>
      <c r="GV463" s="130">
        <f>GV455/GV453*100</f>
        <v>0</v>
      </c>
      <c r="GW463" s="98" t="str">
        <f t="shared" si="2823"/>
        <v>NA</v>
      </c>
      <c r="GX463" s="130">
        <f>GX455/GX453*100</f>
        <v>0</v>
      </c>
      <c r="GY463" s="98" t="str">
        <f t="shared" si="2824"/>
        <v>NA</v>
      </c>
      <c r="GZ463" s="98" t="str">
        <f>IF(ISERROR(((GX463/GN463)^0.2-1)*100),"NA",IF((((GX463/GN463)^0.2-1)*100)&gt;100,"NM",IF((((GX463/GN463)^0.2-1)*100)&lt;-50,"NM",((GX463/GN463)^0.2-1)*100)))</f>
        <v>NM</v>
      </c>
      <c r="HA463" s="98"/>
      <c r="HB463" s="10"/>
      <c r="HC463"/>
      <c r="HD463"/>
      <c r="HE463"/>
      <c r="HF463"/>
      <c r="HG463"/>
      <c r="HH463"/>
      <c r="HI463" s="10"/>
    </row>
    <row r="464" spans="1:217" s="2" customFormat="1" ht="12.75" customHeight="1" x14ac:dyDescent="0.2">
      <c r="B464" s="467" t="s">
        <v>363</v>
      </c>
      <c r="C464" s="137"/>
      <c r="D464" s="98"/>
      <c r="E464" s="137"/>
      <c r="F464" s="98"/>
      <c r="G464" s="137"/>
      <c r="H464" s="98"/>
      <c r="I464" s="137"/>
      <c r="J464" s="98"/>
      <c r="K464" s="137"/>
      <c r="L464" s="98"/>
      <c r="M464" s="137"/>
      <c r="N464" s="98"/>
      <c r="O464" s="137"/>
      <c r="P464" s="98"/>
      <c r="Q464" s="137"/>
      <c r="R464" s="98"/>
      <c r="S464" s="137"/>
      <c r="T464" s="98"/>
      <c r="U464" s="137"/>
      <c r="V464" s="98"/>
      <c r="W464" s="137"/>
      <c r="X464" s="98"/>
      <c r="Y464" s="137"/>
      <c r="Z464" s="98"/>
      <c r="AA464" s="137"/>
      <c r="AB464" s="98"/>
      <c r="AC464" s="137"/>
      <c r="AD464" s="98"/>
      <c r="AE464" s="137"/>
      <c r="AF464" s="98"/>
      <c r="AG464" s="137"/>
      <c r="AH464" s="98"/>
      <c r="AI464" s="137"/>
      <c r="AJ464" s="98"/>
      <c r="AK464" s="137"/>
      <c r="AL464" s="98"/>
      <c r="AM464" s="137"/>
      <c r="AN464" s="98"/>
      <c r="AO464" s="137"/>
      <c r="AP464" s="98"/>
      <c r="AQ464" s="137"/>
      <c r="AR464" s="98"/>
      <c r="AS464" s="137"/>
      <c r="AT464" s="98"/>
      <c r="AU464" s="137"/>
      <c r="AV464" s="98"/>
      <c r="AW464" s="137"/>
      <c r="AX464" s="98"/>
      <c r="AY464" s="137"/>
      <c r="AZ464" s="98"/>
      <c r="BA464" s="137"/>
      <c r="BB464" s="98"/>
      <c r="BC464" s="137"/>
      <c r="BD464" s="98"/>
      <c r="BE464" s="137"/>
      <c r="BF464" s="98"/>
      <c r="BG464" s="137"/>
      <c r="BH464" s="98"/>
      <c r="BI464" s="137"/>
      <c r="BJ464" s="98"/>
      <c r="BK464" s="137"/>
      <c r="BL464" s="98"/>
      <c r="BM464" s="220">
        <f>(BM463/4)/BM$26*100</f>
        <v>39.624033894639219</v>
      </c>
      <c r="BN464" s="98"/>
      <c r="BO464" s="220">
        <f>(BO463/4)/BO$26*100</f>
        <v>77.827971613640429</v>
      </c>
      <c r="BP464" s="98"/>
      <c r="BQ464" s="220">
        <f>(BQ463/4)/BQ$26*100</f>
        <v>16.657942298820956</v>
      </c>
      <c r="BR464" s="98"/>
      <c r="BS464" s="220">
        <f>(BS463/4)/BS$26*100</f>
        <v>111.18294952721806</v>
      </c>
      <c r="BT464" s="98"/>
      <c r="BU464" s="220">
        <f>(BU463/4)/BU$26*100</f>
        <v>81.960739980217753</v>
      </c>
      <c r="BV464" s="98"/>
      <c r="BW464" s="220">
        <f>(BW463/4)/BW$26*100</f>
        <v>54.30356800689691</v>
      </c>
      <c r="BX464" s="98"/>
      <c r="BY464" s="220">
        <f>(BY463/4)/BY$26*100</f>
        <v>112.30110023872746</v>
      </c>
      <c r="BZ464" s="98"/>
      <c r="CA464" s="220">
        <f>(CA463/4)/CA$26*100</f>
        <v>97.515457551563429</v>
      </c>
      <c r="CB464" s="98"/>
      <c r="CC464" s="220">
        <f>(CC463/4)/CC$26*100</f>
        <v>50.473282506061459</v>
      </c>
      <c r="CD464" s="98"/>
      <c r="CE464" s="220">
        <f>(CE463/4)/CE$26*100</f>
        <v>88.496842382322754</v>
      </c>
      <c r="CF464" s="98"/>
      <c r="CG464" s="220">
        <f>(CG463/4)/CG$26*100</f>
        <v>60.455452461616275</v>
      </c>
      <c r="CH464" s="98"/>
      <c r="CI464" s="220">
        <f>(CI463/4)/CI$26*100</f>
        <v>88.315638691281904</v>
      </c>
      <c r="CJ464" s="98"/>
      <c r="CK464" s="220">
        <f>(CK463/4)/CK$26*100</f>
        <v>75.820750758160784</v>
      </c>
      <c r="CL464" s="98"/>
      <c r="CM464" s="220">
        <f>(CM463/4)/CM$26*100</f>
        <v>80.128656048755701</v>
      </c>
      <c r="CN464" s="98"/>
      <c r="CO464" s="220">
        <f>(CO463/4)/CO$26*100</f>
        <v>-64.752362172848521</v>
      </c>
      <c r="CP464" s="98"/>
      <c r="CQ464" s="509">
        <f>(CQ463/4)/CQ$26*100</f>
        <v>77.811892476869531</v>
      </c>
      <c r="CR464" s="98"/>
      <c r="CS464" s="220">
        <f>(CS463/4)/CS$26*100</f>
        <v>59.533318882607404</v>
      </c>
      <c r="CT464" s="98"/>
      <c r="CU464" s="220">
        <f>(CU463/4)/CU$26*100</f>
        <v>74.5795148739425</v>
      </c>
      <c r="CV464" s="98"/>
      <c r="CW464" s="220">
        <f>(CW463/4)/CW$26*100</f>
        <v>81.742246296564801</v>
      </c>
      <c r="CX464" s="98"/>
      <c r="CY464" s="220">
        <f>(CY463/4)/CY$26*100</f>
        <v>87.624735325621572</v>
      </c>
      <c r="CZ464" s="98"/>
      <c r="DA464" s="220">
        <f>(DA463/4)/DA$26*100</f>
        <v>-128.89343170952532</v>
      </c>
      <c r="DB464" s="98"/>
      <c r="DC464" s="220">
        <f>(DC463/4)/DC$26*100</f>
        <v>61.209752628122096</v>
      </c>
      <c r="DD464" s="98"/>
      <c r="DE464" s="220">
        <f>(DE463/4)/DE$26*100</f>
        <v>-18.895946322252136</v>
      </c>
      <c r="DF464" s="98"/>
      <c r="DG464" s="220">
        <f>(DG463/4)/DG$26*100</f>
        <v>133.55039429670302</v>
      </c>
      <c r="DH464" s="98"/>
      <c r="DI464" s="220">
        <f>(DI463/4)/DI$26*100</f>
        <v>56.107728392744768</v>
      </c>
      <c r="DJ464" s="98"/>
      <c r="DK464" s="220">
        <f>(DK463/4)/DK$26*100</f>
        <v>128.95019482229213</v>
      </c>
      <c r="DL464" s="98"/>
      <c r="DM464" s="220">
        <f>(DM463/4)/DM$26*100</f>
        <v>80.679844723335478</v>
      </c>
      <c r="DN464" s="98" t="str">
        <f t="shared" si="2802"/>
        <v>NM</v>
      </c>
      <c r="DO464" s="220">
        <f>(DO463/4)/DO$26*100</f>
        <v>2607.7583295073678</v>
      </c>
      <c r="DP464" s="98" t="str">
        <f t="shared" si="2803"/>
        <v>NM</v>
      </c>
      <c r="DQ464" s="220">
        <f>(DQ463/4)/DQ$26*100</f>
        <v>36.788225616836229</v>
      </c>
      <c r="DR464" s="98">
        <f t="shared" si="2804"/>
        <v>-34.432872848950922</v>
      </c>
      <c r="DS464" s="220">
        <f>(DS463/4)/DS$26*100</f>
        <v>719.51112668652536</v>
      </c>
      <c r="DT464" s="98" t="str">
        <f t="shared" si="2805"/>
        <v>NM</v>
      </c>
      <c r="DU464" s="220">
        <f>(DU463/4)/DU$26*100</f>
        <v>-99.773487218207308</v>
      </c>
      <c r="DV464" s="98" t="str">
        <f t="shared" si="2806"/>
        <v>NM</v>
      </c>
      <c r="DW464" s="220">
        <f>(DW463/4)/DW$26*100</f>
        <v>75.716123963589467</v>
      </c>
      <c r="DX464" s="98" t="str">
        <f t="shared" si="2807"/>
        <v>NM</v>
      </c>
      <c r="DY464" s="220">
        <f>(DY463/4)/DY$26*100</f>
        <v>44.806810133018665</v>
      </c>
      <c r="DZ464" s="98">
        <f t="shared" si="2808"/>
        <v>21.796605793655655</v>
      </c>
      <c r="EA464" s="220">
        <f>(EA463/4)/EA$26*100</f>
        <v>93.741515318290681</v>
      </c>
      <c r="EB464" s="98" t="str">
        <f t="shared" si="2809"/>
        <v>NM</v>
      </c>
      <c r="EC464" s="220">
        <f>(EC463/4)/EC$26*100</f>
        <v>182.37844099478602</v>
      </c>
      <c r="ED464" s="98" t="str">
        <f t="shared" si="2810"/>
        <v>NM</v>
      </c>
      <c r="EE464" s="220">
        <f>(EE463/4)/EE$26*100</f>
        <v>120.13433161668014</v>
      </c>
      <c r="EF464" s="860">
        <f t="shared" si="2811"/>
        <v>58.66413298500408</v>
      </c>
      <c r="EG464" s="220">
        <f>(EG463/4)/EG$26*100</f>
        <v>2.4826268721142202</v>
      </c>
      <c r="EH464" s="860" t="str">
        <f t="shared" si="2812"/>
        <v>NM</v>
      </c>
      <c r="EI464" s="220">
        <f>(EI463/4)/EI$26*100</f>
        <v>86.579535564785417</v>
      </c>
      <c r="EJ464" s="860">
        <f t="shared" si="2813"/>
        <v>-7.6401365277565914</v>
      </c>
      <c r="EK464" s="220">
        <f>(EK463/4)/EK$26*100</f>
        <v>121.41126386542464</v>
      </c>
      <c r="EL464" s="860">
        <f t="shared" si="2814"/>
        <v>-33.428938638149866</v>
      </c>
      <c r="EM464" s="220">
        <f>(EM463/4)/EM$26*100</f>
        <v>98.165839030292233</v>
      </c>
      <c r="EN464" s="860">
        <f t="shared" si="2815"/>
        <v>-18.28660657678115</v>
      </c>
      <c r="EO464" s="220">
        <f>(EO463/4)/EO$26*100</f>
        <v>60.94295242722734</v>
      </c>
      <c r="EP464" s="98" t="str">
        <f t="shared" si="2816"/>
        <v>NM</v>
      </c>
      <c r="EQ464" s="1026">
        <v>60</v>
      </c>
      <c r="ER464" s="98">
        <f t="shared" si="2795"/>
        <v>-30.699558956280814</v>
      </c>
      <c r="ES464" s="1026">
        <v>60</v>
      </c>
      <c r="ET464" s="98" t="str">
        <f t="shared" si="2797"/>
        <v>NM</v>
      </c>
      <c r="EU464" s="1026">
        <v>60</v>
      </c>
      <c r="EV464" s="98">
        <f t="shared" si="2799"/>
        <v>-38.878941398865784</v>
      </c>
      <c r="EW464" s="1026">
        <v>60</v>
      </c>
      <c r="EX464" s="98">
        <f t="shared" si="2801"/>
        <v>-1.5472706681766479</v>
      </c>
      <c r="EY464" s="125"/>
      <c r="EZ464" s="594"/>
      <c r="FA464" s="405"/>
      <c r="FB464" s="95"/>
      <c r="FC464" s="98"/>
      <c r="FD464" s="137"/>
      <c r="FE464" s="98"/>
      <c r="FF464" s="125"/>
      <c r="FG464" s="98"/>
      <c r="FH464" s="125"/>
      <c r="FI464" s="98"/>
      <c r="FJ464" s="125"/>
      <c r="FK464" s="98"/>
      <c r="FL464" s="125"/>
      <c r="FM464" s="98"/>
      <c r="FN464" s="125"/>
      <c r="FO464" s="98"/>
      <c r="FP464" s="125"/>
      <c r="FQ464" s="98"/>
      <c r="FR464" s="130"/>
      <c r="FS464" s="120"/>
      <c r="FT464" s="130"/>
      <c r="FU464" s="120"/>
      <c r="FV464" s="130"/>
      <c r="FW464" s="98"/>
      <c r="FX464" s="487"/>
      <c r="FY464" s="98"/>
      <c r="FZ464" s="130"/>
      <c r="GA464" s="98"/>
      <c r="GB464" s="487"/>
      <c r="GC464" s="98"/>
      <c r="GD464" s="130"/>
      <c r="GE464" s="98"/>
      <c r="GF464" s="130"/>
      <c r="GG464" s="98"/>
      <c r="GH464" s="130"/>
      <c r="GI464" s="98"/>
      <c r="GJ464" s="130"/>
      <c r="GK464" s="98"/>
      <c r="GL464" s="130"/>
      <c r="GM464" s="98"/>
      <c r="GN464" s="130"/>
      <c r="GO464" s="98"/>
      <c r="GP464" s="130"/>
      <c r="GQ464" s="98"/>
      <c r="GR464" s="80">
        <f>GP464</f>
        <v>0</v>
      </c>
      <c r="GS464" s="98"/>
      <c r="GT464" s="80">
        <f>GR464</f>
        <v>0</v>
      </c>
      <c r="GU464" s="98"/>
      <c r="GV464" s="80">
        <f>GT464</f>
        <v>0</v>
      </c>
      <c r="GW464" s="98"/>
      <c r="GX464" s="80">
        <f>GV464</f>
        <v>0</v>
      </c>
      <c r="GY464" s="98"/>
      <c r="GZ464" s="98" t="str">
        <f>IF(ISERROR(((GX464/GN464)^0.2-1)*100),"NA",IF((((GX464/GN464)^0.2-1)*100)&gt;100,"NM",IF((((GX464/GN464)^0.2-1)*100)&lt;-50,"NM",((GX464/GN464)^0.2-1)*100)))</f>
        <v>NA</v>
      </c>
      <c r="HA464" s="98"/>
      <c r="HB464" s="10"/>
      <c r="HC464"/>
      <c r="HD464"/>
      <c r="HE464"/>
      <c r="HF464"/>
      <c r="HG464"/>
      <c r="HH464"/>
      <c r="HI464" s="10"/>
    </row>
    <row r="465" spans="1:217" s="2" customFormat="1" ht="12.75" customHeight="1" x14ac:dyDescent="0.2">
      <c r="C465" s="10"/>
      <c r="D465" s="13"/>
      <c r="E465" s="10"/>
      <c r="F465" s="13"/>
      <c r="G465" s="10"/>
      <c r="H465" s="13"/>
      <c r="I465" s="10"/>
      <c r="J465" s="98"/>
      <c r="K465" s="10"/>
      <c r="L465" s="98"/>
      <c r="M465" s="10"/>
      <c r="N465" s="98"/>
      <c r="O465" s="10"/>
      <c r="P465" s="98"/>
      <c r="Q465" s="10"/>
      <c r="R465" s="98"/>
      <c r="S465" s="10"/>
      <c r="T465" s="98"/>
      <c r="U465" s="10"/>
      <c r="V465" s="98"/>
      <c r="W465" s="10"/>
      <c r="X465" s="98"/>
      <c r="Y465" s="10"/>
      <c r="Z465" s="98"/>
      <c r="AA465" s="10"/>
      <c r="AB465" s="98"/>
      <c r="AC465" s="10"/>
      <c r="AD465" s="98"/>
      <c r="AE465" s="10"/>
      <c r="AF465" s="98"/>
      <c r="AG465" s="23"/>
      <c r="AH465" s="98"/>
      <c r="AI465" s="23"/>
      <c r="AJ465" s="98"/>
      <c r="AK465" s="23"/>
      <c r="AL465" s="98"/>
      <c r="AM465" s="23"/>
      <c r="AN465" s="98"/>
      <c r="AO465" s="23"/>
      <c r="AP465" s="98"/>
      <c r="AQ465" s="23"/>
      <c r="AR465" s="98"/>
      <c r="AS465" s="23"/>
      <c r="AT465" s="98"/>
      <c r="AU465" s="23"/>
      <c r="AV465" s="98"/>
      <c r="AW465" s="23"/>
      <c r="AX465" s="98"/>
      <c r="AY465" s="23"/>
      <c r="AZ465" s="98"/>
      <c r="BA465" s="23"/>
      <c r="BB465" s="98"/>
      <c r="BC465" s="23"/>
      <c r="BD465" s="98"/>
      <c r="BE465" s="23"/>
      <c r="BF465" s="98"/>
      <c r="BG465" s="23"/>
      <c r="BH465" s="98"/>
      <c r="BI465" s="23"/>
      <c r="BJ465" s="98"/>
      <c r="BK465" s="23"/>
      <c r="BL465" s="98"/>
      <c r="BM465" s="23"/>
      <c r="BN465" s="98"/>
      <c r="BO465" s="23"/>
      <c r="BP465" s="98"/>
      <c r="BQ465" s="23"/>
      <c r="BR465" s="98"/>
      <c r="BS465" s="23"/>
      <c r="BT465" s="98"/>
      <c r="BU465" s="23"/>
      <c r="BV465" s="98"/>
      <c r="BW465" s="23"/>
      <c r="BX465" s="98"/>
      <c r="BY465" s="23"/>
      <c r="BZ465" s="98"/>
      <c r="CA465" s="23"/>
      <c r="CB465" s="98"/>
      <c r="CC465" s="23"/>
      <c r="CD465" s="98"/>
      <c r="CE465" s="172"/>
      <c r="CF465" s="98"/>
      <c r="CG465" s="172"/>
      <c r="CH465" s="98"/>
      <c r="CI465" s="172"/>
      <c r="CJ465" s="98"/>
      <c r="CK465" s="172"/>
      <c r="CL465" s="98"/>
      <c r="CM465" s="172"/>
      <c r="CN465" s="98"/>
      <c r="CO465" s="172"/>
      <c r="CP465" s="98"/>
      <c r="CQ465" s="546"/>
      <c r="CR465" s="98"/>
      <c r="CS465" s="172"/>
      <c r="CT465" s="98"/>
      <c r="CU465" s="172"/>
      <c r="CV465" s="98"/>
      <c r="CW465" s="172"/>
      <c r="CX465" s="98"/>
      <c r="CY465" s="172"/>
      <c r="CZ465" s="98"/>
      <c r="DA465" s="172"/>
      <c r="DB465" s="98"/>
      <c r="DC465" s="172"/>
      <c r="DD465" s="98"/>
      <c r="DE465" s="172"/>
      <c r="DF465" s="98"/>
      <c r="DG465" s="172"/>
      <c r="DH465" s="98"/>
      <c r="DI465" s="172"/>
      <c r="DJ465" s="98"/>
      <c r="DK465" s="172"/>
      <c r="DL465" s="98"/>
      <c r="DM465" s="172"/>
      <c r="DN465" s="98"/>
      <c r="DO465" s="172"/>
      <c r="DP465" s="98"/>
      <c r="DQ465" s="172"/>
      <c r="DR465" s="98"/>
      <c r="DS465" s="172"/>
      <c r="DT465" s="98"/>
      <c r="DU465" s="172"/>
      <c r="DV465" s="98"/>
      <c r="DW465" s="172"/>
      <c r="DX465" s="98"/>
      <c r="DY465" s="172"/>
      <c r="DZ465" s="98"/>
      <c r="EA465" s="172"/>
      <c r="EB465" s="98"/>
      <c r="EC465" s="172"/>
      <c r="ED465" s="98"/>
      <c r="EE465" s="172"/>
      <c r="EF465" s="860"/>
      <c r="EG465" s="172"/>
      <c r="EH465" s="860"/>
      <c r="EI465" s="172"/>
      <c r="EJ465" s="860"/>
      <c r="EK465" s="172"/>
      <c r="EL465" s="860"/>
      <c r="EM465" s="172"/>
      <c r="EN465" s="860"/>
      <c r="EO465" s="172"/>
      <c r="EP465" s="98"/>
      <c r="EQ465" s="1009"/>
      <c r="ER465" s="98"/>
      <c r="ES465" s="1009"/>
      <c r="ET465" s="98"/>
      <c r="EU465" s="1009"/>
      <c r="EV465" s="98"/>
      <c r="EW465" s="1009"/>
      <c r="EX465" s="98"/>
      <c r="EY465" s="24"/>
      <c r="EZ465" s="594"/>
      <c r="FA465" s="405"/>
      <c r="FB465" s="10"/>
      <c r="FC465" s="13"/>
      <c r="FD465" s="10"/>
      <c r="FE465" s="14"/>
      <c r="FF465" s="25"/>
      <c r="FG465" s="14"/>
      <c r="FH465" s="25"/>
      <c r="FI465" s="14"/>
      <c r="FJ465" s="25"/>
      <c r="FK465" s="14"/>
      <c r="FL465" s="25"/>
      <c r="FM465" s="14"/>
      <c r="FN465" s="25"/>
      <c r="FO465" s="14"/>
      <c r="FP465" s="25"/>
      <c r="FQ465" s="14"/>
      <c r="FR465" s="24"/>
      <c r="FS465" s="305"/>
      <c r="FT465" s="24"/>
      <c r="FU465" s="305"/>
      <c r="FV465" s="24"/>
      <c r="FW465" s="98"/>
      <c r="FX465" s="470"/>
      <c r="FY465" s="98"/>
      <c r="FZ465" s="24"/>
      <c r="GA465" s="98"/>
      <c r="GB465" s="470"/>
      <c r="GC465" s="98"/>
      <c r="GD465" s="24"/>
      <c r="GE465" s="98"/>
      <c r="GF465" s="24"/>
      <c r="GG465" s="98"/>
      <c r="GH465" s="24"/>
      <c r="GI465" s="98"/>
      <c r="GJ465" s="24"/>
      <c r="GK465" s="98"/>
      <c r="GL465" s="24"/>
      <c r="GM465" s="98"/>
      <c r="GN465" s="24"/>
      <c r="GO465" s="98"/>
      <c r="GP465" s="24"/>
      <c r="GQ465" s="98"/>
      <c r="GR465" s="24"/>
      <c r="GS465" s="98"/>
      <c r="GT465" s="24"/>
      <c r="GU465" s="98"/>
      <c r="GV465" s="24"/>
      <c r="GW465" s="98"/>
      <c r="GX465" s="24"/>
      <c r="GY465" s="98"/>
      <c r="GZ465" s="98"/>
      <c r="HA465" s="98"/>
      <c r="HB465" s="10"/>
      <c r="HC465"/>
      <c r="HD465"/>
      <c r="HE465"/>
      <c r="HF465"/>
      <c r="HG465"/>
      <c r="HH465"/>
      <c r="HI465" s="10"/>
    </row>
    <row r="466" spans="1:217" s="2" customFormat="1" ht="12.75" customHeight="1" x14ac:dyDescent="0.2">
      <c r="B466" s="91" t="s">
        <v>365</v>
      </c>
      <c r="C466" s="117"/>
      <c r="D466" s="98"/>
      <c r="E466" s="117"/>
      <c r="F466" s="98"/>
      <c r="G466" s="117"/>
      <c r="H466" s="98"/>
      <c r="I466" s="117"/>
      <c r="J466" s="98"/>
      <c r="K466" s="117"/>
      <c r="L466" s="98"/>
      <c r="M466" s="117"/>
      <c r="N466" s="98"/>
      <c r="O466" s="117"/>
      <c r="P466" s="98"/>
      <c r="Q466" s="117"/>
      <c r="R466" s="98"/>
      <c r="S466" s="117"/>
      <c r="T466" s="98"/>
      <c r="U466" s="117"/>
      <c r="V466" s="98"/>
      <c r="W466" s="117"/>
      <c r="X466" s="98"/>
      <c r="Y466" s="117"/>
      <c r="Z466" s="98"/>
      <c r="AA466" s="117"/>
      <c r="AB466" s="98"/>
      <c r="AC466" s="117"/>
      <c r="AD466" s="98"/>
      <c r="AE466" s="117"/>
      <c r="AF466" s="98"/>
      <c r="AG466" s="117"/>
      <c r="AH466" s="98"/>
      <c r="AI466" s="117"/>
      <c r="AJ466" s="98"/>
      <c r="AK466" s="117"/>
      <c r="AL466" s="98"/>
      <c r="AM466" s="117"/>
      <c r="AN466" s="98"/>
      <c r="AO466" s="117"/>
      <c r="AP466" s="98"/>
      <c r="AQ466" s="117"/>
      <c r="AR466" s="98"/>
      <c r="AS466" s="117"/>
      <c r="AT466" s="98"/>
      <c r="AU466" s="117"/>
      <c r="AV466" s="98"/>
      <c r="AW466" s="117"/>
      <c r="AX466" s="98"/>
      <c r="AY466" s="117"/>
      <c r="AZ466" s="98"/>
      <c r="BA466" s="117"/>
      <c r="BB466" s="98"/>
      <c r="BC466" s="117"/>
      <c r="BD466" s="98"/>
      <c r="BE466" s="117"/>
      <c r="BF466" s="98"/>
      <c r="BG466" s="117"/>
      <c r="BH466" s="98"/>
      <c r="BI466" s="117"/>
      <c r="BJ466" s="98"/>
      <c r="BK466" s="117"/>
      <c r="BL466" s="98"/>
      <c r="BM466" s="117">
        <f>BM444+BM458</f>
        <v>132920</v>
      </c>
      <c r="BN466" s="98" t="str">
        <f>IF(ISERROR((BM466/BE466-1)*100),"NA",IF(((BM466/BE466-1)*100)&gt;100,"NM",IF(((BM466/BE466-1)*100)&lt;-50,"NM",(BM466/BE466-1)*100)))</f>
        <v>NA</v>
      </c>
      <c r="BO466" s="117">
        <f>BO444+BO458</f>
        <v>125922</v>
      </c>
      <c r="BP466" s="98" t="str">
        <f>IF(ISERROR((BO466/BG466-1)*100),"NA",IF(((BO466/BG466-1)*100)&gt;100,"NM",IF(((BO466/BG466-1)*100)&lt;-50,"NM",(BO466/BG466-1)*100)))</f>
        <v>NA</v>
      </c>
      <c r="BQ466" s="117">
        <f>BQ444+BQ458</f>
        <v>125189</v>
      </c>
      <c r="BR466" s="98" t="str">
        <f>IF(ISERROR((BQ466/BI466-1)*100),"NA",IF(((BQ466/BI466-1)*100)&gt;100,"NM",IF(((BQ466/BI466-1)*100)&lt;-50,"NM",(BQ466/BI466-1)*100)))</f>
        <v>NA</v>
      </c>
      <c r="BS466" s="117">
        <f>BS444+BS458</f>
        <v>117703</v>
      </c>
      <c r="BT466" s="98" t="str">
        <f>IF(ISERROR((BS466/BK466-1)*100),"NA",IF(((BS466/BK466-1)*100)&gt;100,"NM",IF(((BS466/BK466-1)*100)&lt;-50,"NM",(BS466/BK466-1)*100)))</f>
        <v>NA</v>
      </c>
      <c r="BU466" s="117">
        <f>BU444+BU458</f>
        <v>110201</v>
      </c>
      <c r="BV466" s="98">
        <f>IF(ISERROR((BU466/BM466-1)*100),"NA",IF(((BU466/BM466-1)*100)&gt;100,"NM",IF(((BU466/BM466-1)*100)&lt;-50,"NM",(BU466/BM466-1)*100)))</f>
        <v>-17.0922359313873</v>
      </c>
      <c r="BW466" s="117">
        <f>BW444+BW458</f>
        <v>110609</v>
      </c>
      <c r="BX466" s="98">
        <f>IF(ISERROR((BW466/BO466-1)*100),"NA",IF(((BW466/BO466-1)*100)&gt;100,"NM",IF(((BW466/BO466-1)*100)&lt;-50,"NM",(BW466/BO466-1)*100)))</f>
        <v>-12.160702657200485</v>
      </c>
      <c r="BY466" s="117">
        <f>BY444+BY458</f>
        <v>121766</v>
      </c>
      <c r="BZ466" s="98">
        <f>IF(ISERROR((BY466/BQ466-1)*100),"NA",IF(((BY466/BQ466-1)*100)&gt;100,"NM",IF(((BY466/BQ466-1)*100)&lt;-50,"NM",(BY466/BQ466-1)*100)))</f>
        <v>-2.7342657901253342</v>
      </c>
      <c r="CA466" s="117">
        <f>CA444+CA458</f>
        <v>137781</v>
      </c>
      <c r="CB466" s="98">
        <f>IF(ISERROR((CA466/BS466-1)*100),"NA",IF(((CA466/BS466-1)*100)&gt;100,"NM",IF(((CA466/BS466-1)*100)&lt;-50,"NM",(CA466/BS466-1)*100)))</f>
        <v>17.058188831210753</v>
      </c>
      <c r="CC466" s="117">
        <f>CC444+CC458</f>
        <v>142238</v>
      </c>
      <c r="CD466" s="98">
        <f>IF(ISERROR((CC466/BU466-1)*100),"NA",IF(((CC466/BU466-1)*100)&gt;100,"NM",IF(((CC466/BU466-1)*100)&lt;-50,"NM",(CC466/BU466-1)*100)))</f>
        <v>29.071424034264659</v>
      </c>
      <c r="CE466" s="117">
        <f>CE444+CE458</f>
        <v>147568</v>
      </c>
      <c r="CF466" s="98">
        <f>IF(ISERROR((CE466/BW466-1)*100),"NA",IF(((CE466/BW466-1)*100)&gt;100,"NM",IF(((CE466/BW466-1)*100)&lt;-50,"NM",(CE466/BW466-1)*100)))</f>
        <v>33.414098310264073</v>
      </c>
      <c r="CG466" s="117">
        <f>CG444+CG458</f>
        <v>144723</v>
      </c>
      <c r="CH466" s="98">
        <f>IF(ISERROR((CG466/BY466-1)*100),"NA",IF(((CG466/BY466-1)*100)&gt;100,"NM",IF(((CG466/BY466-1)*100)&lt;-50,"NM",(CG466/BY466-1)*100)))</f>
        <v>18.853374505198506</v>
      </c>
      <c r="CI466" s="117">
        <f>CI444+CI458</f>
        <v>155072</v>
      </c>
      <c r="CJ466" s="98">
        <f>IF(ISERROR((CI466/CA466-1)*100),"NA",IF(((CI466/CA466-1)*100)&gt;100,"NM",IF(((CI466/CA466-1)*100)&lt;-50,"NM",(CI466/CA466-1)*100)))</f>
        <v>12.549625855524349</v>
      </c>
      <c r="CK466" s="117">
        <f>CK444+CK458</f>
        <v>162681</v>
      </c>
      <c r="CL466" s="98">
        <f>IF(ISERROR((CK466/CC466-1)*100),"NA",IF(((CK466/CC466-1)*100)&gt;100,"NM",IF(((CK466/CC466-1)*100)&lt;-50,"NM",(CK466/CC466-1)*100)))</f>
        <v>14.372389937991258</v>
      </c>
      <c r="CM466" s="117">
        <f>CM444+CM458</f>
        <v>164844</v>
      </c>
      <c r="CN466" s="98">
        <f>IF(ISERROR((CM466/CE466-1)*100),"NA",IF(((CM466/CE466-1)*100)&gt;100,"NM",IF(((CM466/CE466-1)*100)&lt;-50,"NM",(CM466/CE466-1)*100)))</f>
        <v>11.707145180526934</v>
      </c>
      <c r="CO466" s="117">
        <f>CO444+CO458</f>
        <v>169348</v>
      </c>
      <c r="CP466" s="98">
        <f>IF(ISERROR((CO466/CG466-1)*100),"NA",IF(((CO466/CG466-1)*100)&gt;100,"NM",IF(((CO466/CG466-1)*100)&lt;-50,"NM",(CO466/CG466-1)*100)))</f>
        <v>17.015263641577349</v>
      </c>
      <c r="CQ466" s="486">
        <f>CQ444+CQ458</f>
        <v>163646</v>
      </c>
      <c r="CR466" s="98">
        <f>IF(ISERROR((CQ466/CI466-1)*100),"NA",IF(((CQ466/CI466-1)*100)&gt;100,"NM",IF(((CQ466/CI466-1)*100)&lt;-50,"NM",(CQ466/CI466-1)*100)))</f>
        <v>5.5290445728435778</v>
      </c>
      <c r="CS466" s="117">
        <f>CS444+CS458</f>
        <v>174162</v>
      </c>
      <c r="CT466" s="98">
        <f>IF(ISERROR((CS466/CK466-1)*100),"NA",IF(((CS466/CK466-1)*100)&gt;100,"NM",IF(((CS466/CK466-1)*100)&lt;-50,"NM",(CS466/CK466-1)*100)))</f>
        <v>7.0573699448614136</v>
      </c>
      <c r="CU466" s="117">
        <f>CU444+CU458</f>
        <v>184822</v>
      </c>
      <c r="CV466" s="98">
        <f>IF(ISERROR((CU466/CM466-1)*100),"NA",IF(((CU466/CM466-1)*100)&gt;100,"NM",IF(((CU466/CM466-1)*100)&lt;-50,"NM",(CU466/CM466-1)*100)))</f>
        <v>12.119337070199698</v>
      </c>
      <c r="CW466" s="117">
        <f>CW444+CW458</f>
        <v>183642</v>
      </c>
      <c r="CX466" s="98">
        <f>IF(ISERROR((CW466/CO466-1)*100),"NA",IF(((CW466/CO466-1)*100)&gt;100,"NM",IF(((CW466/CO466-1)*100)&lt;-50,"NM",(CW466/CO466-1)*100)))</f>
        <v>8.4406075064364483</v>
      </c>
      <c r="CY466" s="117">
        <f>CY444+CY458</f>
        <v>191074</v>
      </c>
      <c r="CZ466" s="98">
        <f>IF(ISERROR((CY466/CQ466-1)*100),"NA",IF(((CY466/CQ466-1)*100)&gt;100,"NM",IF(((CY466/CQ466-1)*100)&lt;-50,"NM",(CY466/CQ466-1)*100)))</f>
        <v>16.760568544296838</v>
      </c>
      <c r="DA466" s="117">
        <f>DA444+DA458</f>
        <v>193592</v>
      </c>
      <c r="DB466" s="98">
        <f>IF(ISERROR((DA466/CS466-1)*100),"NA",IF(((DA466/CS466-1)*100)&gt;100,"NM",IF(((DA466/CS466-1)*100)&lt;-50,"NM",(DA466/CS466-1)*100)))</f>
        <v>11.156279785487078</v>
      </c>
      <c r="DC466" s="117">
        <f>DC444+DC458</f>
        <v>200846</v>
      </c>
      <c r="DD466" s="98">
        <f>IF(ISERROR((DC466/CU466-1)*100),"NA",IF(((DC466/CU466-1)*100)&gt;100,"NM",IF(((DC466/CU466-1)*100)&lt;-50,"NM",(DC466/CU466-1)*100)))</f>
        <v>8.6699635324799083</v>
      </c>
      <c r="DE466" s="117">
        <f>DE444+DE458</f>
        <v>198107</v>
      </c>
      <c r="DF466" s="98">
        <f>IF(ISERROR((DE466/CW466-1)*100),"NA",IF(((DE466/CW466-1)*100)&gt;100,"NM",IF(((DE466/CW466-1)*100)&lt;-50,"NM",(DE466/CW466-1)*100)))</f>
        <v>7.8767384367410598</v>
      </c>
      <c r="DG466" s="117">
        <f>DG444+DG458</f>
        <v>204405</v>
      </c>
      <c r="DH466" s="98">
        <f>IF(ISERROR((DG466/CY466-1)*100),"NA",IF(((DG466/CY466-1)*100)&gt;100,"NM",IF(((DG466/CY466-1)*100)&lt;-50,"NM",(DG466/CY466-1)*100)))</f>
        <v>6.9768780681830123</v>
      </c>
      <c r="DI466" s="117">
        <f>DI444+DI458</f>
        <v>209424</v>
      </c>
      <c r="DJ466" s="98">
        <f>IF(ISERROR((DI466/DA466-1)*100),"NA",IF(((DI466/DA466-1)*100)&gt;100,"NM",IF(((DI466/DA466-1)*100)&lt;-50,"NM",(DI466/DA466-1)*100)))</f>
        <v>8.1780238852845244</v>
      </c>
      <c r="DK466" s="117">
        <f>DK444+DK458</f>
        <v>209612</v>
      </c>
      <c r="DL466" s="98">
        <f>IF(ISERROR((DK466/DC466-1)*100),"NA",IF(((DK466/DC466-1)*100)&gt;100,"NM",IF(((DK466/DC466-1)*100)&lt;-50,"NM",(DK466/DC466-1)*100)))</f>
        <v>4.3645380042420578</v>
      </c>
      <c r="DM466" s="117">
        <f>DM444+DM458</f>
        <v>212902</v>
      </c>
      <c r="DN466" s="98">
        <f>IF(ISERROR((DM466/DE466-1)*100),"NA",IF(((DM466/DE466-1)*100)&gt;100,"NM",IF(((DM466/DE466-1)*100)&lt;-50,"NM",(DM466/DE466-1)*100)))</f>
        <v>7.4681863841257412</v>
      </c>
      <c r="DO466" s="117">
        <f>DO444+DO458</f>
        <v>208524</v>
      </c>
      <c r="DP466" s="98">
        <f>IF(ISERROR((DO466/DG466-1)*100),"NA",IF(((DO466/DG466-1)*100)&gt;100,"NM",IF(((DO466/DG466-1)*100)&lt;-50,"NM",(DO466/DG466-1)*100)))</f>
        <v>2.0151170470389612</v>
      </c>
      <c r="DQ466" s="117">
        <f>DQ444+DQ458</f>
        <v>209154</v>
      </c>
      <c r="DR466" s="98">
        <f>IF(ISERROR((DQ466/DI466-1)*100),"NA",IF(((DQ466/DI466-1)*100)&gt;100,"NM",IF(((DQ466/DI466-1)*100)&lt;-50,"NM",(DQ466/DI466-1)*100)))</f>
        <v>-0.12892505157001688</v>
      </c>
      <c r="DS466" s="117">
        <f>DS444+DS458</f>
        <v>67895</v>
      </c>
      <c r="DT466" s="98" t="str">
        <f>IF(ISERROR((DS466/DK466-1)*100),"NA",IF(((DS466/DK466-1)*100)&gt;100,"NM",IF(((DS466/DK466-1)*100)&lt;-50,"NM",(DS466/DK466-1)*100)))</f>
        <v>NM</v>
      </c>
      <c r="DU466" s="117">
        <f>DU444+DU458</f>
        <v>66894</v>
      </c>
      <c r="DV466" s="98" t="str">
        <f>IF(ISERROR((DU466/DM466-1)*100),"NA",IF(((DU466/DM466-1)*100)&gt;100,"NM",IF(((DU466/DM466-1)*100)&lt;-50,"NM",(DU466/DM466-1)*100)))</f>
        <v>NM</v>
      </c>
      <c r="DW466" s="117">
        <f>DW444+DW458</f>
        <v>64507</v>
      </c>
      <c r="DX466" s="98" t="str">
        <f>IF(ISERROR((DW466/DO466-1)*100),"NA",IF(((DW466/DO466-1)*100)&gt;100,"NM",IF(((DW466/DO466-1)*100)&lt;-50,"NM",(DW466/DO466-1)*100)))</f>
        <v>NM</v>
      </c>
      <c r="DY466" s="117">
        <f>DY444+DY458</f>
        <v>65123</v>
      </c>
      <c r="DZ466" s="98" t="str">
        <f>IF(ISERROR((DY466/DQ466-1)*100),"NA",IF(((DY466/DQ466-1)*100)&gt;100,"NM",IF(((DY466/DQ466-1)*100)&lt;-50,"NM",(DY466/DQ466-1)*100)))</f>
        <v>NM</v>
      </c>
      <c r="EA466" s="117">
        <f>EA444+EA458</f>
        <v>65539</v>
      </c>
      <c r="EB466" s="98">
        <f>IF(ISERROR((EA466/DS466-1)*100),"NA",IF(((EA466/DS466-1)*100)&gt;100,"NM",IF(((EA466/DS466-1)*100)&lt;-50,"NM",(EA466/DS466-1)*100)))</f>
        <v>-3.4700640695191076</v>
      </c>
      <c r="EC466" s="117">
        <f>EC444+EC458</f>
        <v>67082</v>
      </c>
      <c r="ED466" s="98">
        <f>IF(ISERROR((EC466/DU466-1)*100),"NA",IF(((EC466/DU466-1)*100)&gt;100,"NM",IF(((EC466/DU466-1)*100)&lt;-50,"NM",(EC466/DU466-1)*100)))</f>
        <v>0.28104164798039566</v>
      </c>
      <c r="EE466" s="117">
        <f>EE444+EE458</f>
        <v>67660</v>
      </c>
      <c r="EF466" s="860">
        <f>IF(ISERROR((EE466/DW466-1)*100),"NA",IF(((EE466/DW466-1)*100)&gt;100,"NM",IF(((EE466/DW466-1)*100)&lt;-50,"NM",(EE466/DW466-1)*100)))</f>
        <v>4.8878416295905946</v>
      </c>
      <c r="EG466" s="117">
        <f>EG444+EG458</f>
        <v>65887</v>
      </c>
      <c r="EH466" s="860">
        <f>IF(ISERROR((EG466/DY466-1)*100),"NA",IF(((EG466/DY466-1)*100)&gt;100,"NM",IF(((EG466/DY466-1)*100)&lt;-50,"NM",(EG466/DY466-1)*100)))</f>
        <v>1.1731646269367291</v>
      </c>
      <c r="EI466" s="117">
        <f>EI444+EI458</f>
        <v>66189</v>
      </c>
      <c r="EJ466" s="860">
        <f t="shared" ref="EJ466" si="2828">IF(ISERROR((EI466/EA466-1)*100),"NA",IF(((EI466/EA466-1)*100)&gt;100,"NM",IF(((EI466/EA466-1)*100)&lt;-50,"NM",(EI466/EA466-1)*100)))</f>
        <v>0.99177588916523618</v>
      </c>
      <c r="EK466" s="117">
        <f>EK444+EK458</f>
        <v>66236</v>
      </c>
      <c r="EL466" s="860">
        <f t="shared" ref="EL466" si="2829">IF(ISERROR((EK466/EC466-1)*100),"NA",IF(((EK466/EC466-1)*100)&gt;100,"NM",IF(((EK466/EC466-1)*100)&lt;-50,"NM",(EK466/EC466-1)*100)))</f>
        <v>-1.2611430786201971</v>
      </c>
      <c r="EM466" s="117">
        <f>EM444+EM458</f>
        <v>66458</v>
      </c>
      <c r="EN466" s="860">
        <f t="shared" ref="EN466" si="2830">IF(ISERROR((EM466/EE466-1)*100),"NA",IF(((EM466/EE466-1)*100)&gt;100,"NM",IF(((EM466/EE466-1)*100)&lt;-50,"NM",(EM466/EE466-1)*100)))</f>
        <v>-1.7765297073603303</v>
      </c>
      <c r="EO466" s="117">
        <f>EO444+EO458</f>
        <v>66469</v>
      </c>
      <c r="EP466" s="98">
        <f t="shared" ref="EP466" si="2831">IF(ISERROR((EO466/EG466-1)*100),"NA",IF(((EO466/EG466-1)*100)&gt;100,"NM",IF(((EO466/EG466-1)*100)&lt;-50,"NM",(EO466/EG466-1)*100)))</f>
        <v>0.88333055079150569</v>
      </c>
      <c r="EQ466" s="792">
        <f>EQ444+EQ458</f>
        <v>64408.506080577426</v>
      </c>
      <c r="ER466" s="98">
        <f t="shared" ref="ER466" si="2832">IF(ISERROR((EQ466/EI466-1)*100),"NA",IF(((EQ466/EI466-1)*100)&gt;100,"NM",IF(((EQ466/EI466-1)*100)&lt;-50,"NM",(EQ466/EI466-1)*100)))</f>
        <v>-2.6900148354297104</v>
      </c>
      <c r="ES466" s="792">
        <f t="shared" ref="ES466" si="2833">ES444+ES458</f>
        <v>63215.111738179039</v>
      </c>
      <c r="ET466" s="98">
        <f t="shared" ref="ET466" si="2834">IF(ISERROR((ES466/EK466-1)*100),"NA",IF(((ES466/EK466-1)*100)&gt;100,"NM",IF(((ES466/EK466-1)*100)&lt;-50,"NM",(ES466/EK466-1)*100)))</f>
        <v>-4.5607951292665039</v>
      </c>
      <c r="EU466" s="792">
        <f t="shared" ref="EU466" si="2835">EU444+EU458</f>
        <v>62007.893996901927</v>
      </c>
      <c r="EV466" s="98">
        <f t="shared" ref="EV466" si="2836">IF(ISERROR((EU466/EM466-1)*100),"NA",IF(((EU466/EM466-1)*100)&gt;100,"NM",IF(((EU466/EM466-1)*100)&lt;-50,"NM",(EU466/EM466-1)*100)))</f>
        <v>-6.6961178535286603</v>
      </c>
      <c r="EW466" s="792">
        <f t="shared" ref="EW466" si="2837">EW444+EW458</f>
        <v>60792.850747287404</v>
      </c>
      <c r="EX466" s="98">
        <f t="shared" ref="EX466" si="2838">IF(ISERROR((EW466/EO466-1)*100),"NA",IF(((EW466/EO466-1)*100)&gt;100,"NM",IF(((EW466/EO466-1)*100)&lt;-50,"NM",(EW466/EO466-1)*100)))</f>
        <v>-8.5395436259197428</v>
      </c>
      <c r="EY466" s="118"/>
      <c r="EZ466" s="594"/>
      <c r="FA466" s="405"/>
      <c r="FB466" s="118">
        <f>FB444+FB458</f>
        <v>36889</v>
      </c>
      <c r="FC466" s="98"/>
      <c r="FD466" s="117">
        <f>FD444+FD458</f>
        <v>42104</v>
      </c>
      <c r="FE466" s="98">
        <f>IF(ISERROR((FD466/FB466-1)*100),"NA",IF(((FD466/FB466-1)*100)&gt;100,"NM",IF(((FD466/FB466-1)*100)&lt;-50,"NM",(FD466/FB466-1)*100)))</f>
        <v>14.137005611428876</v>
      </c>
      <c r="FF466" s="118"/>
      <c r="FG466" s="98"/>
      <c r="FH466" s="118"/>
      <c r="FI466" s="98"/>
      <c r="FJ466" s="118"/>
      <c r="FK466" s="98"/>
      <c r="FL466" s="118"/>
      <c r="FM466" s="98"/>
      <c r="FN466" s="118"/>
      <c r="FO466" s="98"/>
      <c r="FP466" s="118"/>
      <c r="FQ466" s="98"/>
      <c r="FR466" s="119"/>
      <c r="FS466" s="120"/>
      <c r="FT466" s="119"/>
      <c r="FU466" s="120"/>
      <c r="FV466" s="119">
        <f>FV444+FV458</f>
        <v>110201</v>
      </c>
      <c r="FW466" s="98" t="str">
        <f>IF(ISERROR((FV466/FT466-1)*100),"NA",IF(((FV466/FT466-1)*100)&gt;100,"NM",IF(((FV466/FT466-1)*100)&lt;-50,"NM",(FV466/FT466-1)*100)))</f>
        <v>NA</v>
      </c>
      <c r="FX466" s="485">
        <f>FX444+FX458</f>
        <v>142238</v>
      </c>
      <c r="FY466" s="98">
        <f>IF(ISERROR((FX466/FV466-1)*100),"NA",IF(((FX466/FV466-1)*100)&gt;100,"NM",IF(((FX466/FV466-1)*100)&lt;-50,"NM",(FX466/FV466-1)*100)))</f>
        <v>29.071424034264659</v>
      </c>
      <c r="FZ466" s="119">
        <f>FZ444+FZ458</f>
        <v>162681</v>
      </c>
      <c r="GA466" s="98">
        <f>IF(ISERROR((FZ466/FX466-1)*100),"NA",IF(((FZ466/FX466-1)*100)&gt;100,"NM",IF(((FZ466/FX466-1)*100)&lt;-50,"NM",(FZ466/FX466-1)*100)))</f>
        <v>14.372389937991258</v>
      </c>
      <c r="GB466" s="485">
        <f>GB444+GB458</f>
        <v>174162</v>
      </c>
      <c r="GC466" s="98">
        <f>IF(ISERROR((GB466/FZ466-1)*100),"NA",IF(((GB466/FZ466-1)*100)&gt;100,"NM",IF(((GB466/FZ466-1)*100)&lt;-50,"NM",(GB466/FZ466-1)*100)))</f>
        <v>7.0573699448614136</v>
      </c>
      <c r="GD466" s="119">
        <f>GD444+GD458</f>
        <v>193592</v>
      </c>
      <c r="GE466" s="98">
        <f>IF(ISERROR((GD466/GB466-1)*100),"NA",IF(((GD466/GB466-1)*100)&gt;100,"NM",IF(((GD466/GB466-1)*100)&lt;-50,"NM",(GD466/GB466-1)*100)))</f>
        <v>11.156279785487078</v>
      </c>
      <c r="GF466" s="119">
        <f>GF444+GF458</f>
        <v>209424</v>
      </c>
      <c r="GG466" s="98">
        <f>IF(ISERROR((GF466/GD466-1)*100),"NA",IF(((GF466/GD466-1)*100)&gt;100,"NM",IF(((GF466/GD466-1)*100)&lt;-50,"NM",(GF466/GD466-1)*100)))</f>
        <v>8.1780238852845244</v>
      </c>
      <c r="GH466" s="119">
        <f>GH444+GH458</f>
        <v>209154</v>
      </c>
      <c r="GI466" s="98">
        <f>IF(ISERROR((GH466/GF466-1)*100),"NA",IF(((GH466/GF466-1)*100)&gt;100,"NM",IF(((GH466/GF466-1)*100)&lt;-50,"NM",(GH466/GF466-1)*100)))</f>
        <v>-0.12892505157001688</v>
      </c>
      <c r="GJ466" s="119">
        <f>GJ444+GJ458</f>
        <v>65123</v>
      </c>
      <c r="GK466" s="98" t="str">
        <f>IF(ISERROR((GJ466/GH466-1)*100),"NA",IF(((GJ466/GH466-1)*100)&gt;100,"NM",IF(((GJ466/GH466-1)*100)&lt;-50,"NM",(GJ466/GH466-1)*100)))</f>
        <v>NM</v>
      </c>
      <c r="GL466" s="119">
        <f>GL444+GL458</f>
        <v>65887</v>
      </c>
      <c r="GM466" s="98">
        <f>IF(ISERROR((GL466/GJ466-1)*100),"NA",IF(((GL466/GJ466-1)*100)&gt;100,"NM",IF(((GL466/GJ466-1)*100)&lt;-50,"NM",(GL466/GJ466-1)*100)))</f>
        <v>1.1731646269367291</v>
      </c>
      <c r="GN466" s="119">
        <f>GN444+GN458</f>
        <v>66469</v>
      </c>
      <c r="GO466" s="98">
        <f>IF(ISERROR((GN466/GL466-1)*100),"NA",IF(((GN466/GL466-1)*100)&gt;100,"NM",IF(((GN466/GL466-1)*100)&lt;-50,"NM",(GN466/GL466-1)*100)))</f>
        <v>0.88333055079150569</v>
      </c>
      <c r="GP466" s="119">
        <f>GP444+GP458</f>
        <v>60792.850747287412</v>
      </c>
      <c r="GQ466" s="98">
        <f>IF(ISERROR((GP466/GN466-1)*100),"NA",IF(((GP466/GN466-1)*100)&gt;100,"NM",IF(((GP466/GN466-1)*100)&lt;-50,"NM",(GP466/GN466-1)*100)))</f>
        <v>-8.5395436259197322</v>
      </c>
      <c r="GR466" s="118">
        <f>GR444+GR458</f>
        <v>54284.631752018009</v>
      </c>
      <c r="GS466" s="98">
        <f>IF(ISERROR((GR466/GP466-1)*100),"NA",IF(((GR466/GP466-1)*100)&gt;100,"NM",IF(((GR466/GP466-1)*100)&lt;-50,"NM",(GR466/GP466-1)*100)))</f>
        <v>-10.705566386948551</v>
      </c>
      <c r="GT466" s="118">
        <f>GT444+GT458</f>
        <v>47985.747661857284</v>
      </c>
      <c r="GU466" s="98">
        <f>IF(ISERROR((GT466/GR466-1)*100),"NA",IF(((GT466/GR466-1)*100)&gt;100,"NM",IF(((GT466/GR466-1)*100)&lt;-50,"NM",(GT466/GR466-1)*100)))</f>
        <v>-11.603438923441844</v>
      </c>
      <c r="GV466" s="118">
        <f>GV444+GV458</f>
        <v>41999.705369108393</v>
      </c>
      <c r="GW466" s="98">
        <f>IF(ISERROR((GV466/GT466-1)*100),"NA",IF(((GV466/GT466-1)*100)&gt;100,"NM",IF(((GV466/GT466-1)*100)&lt;-50,"NM",(GV466/GT466-1)*100)))</f>
        <v>-12.474625455314204</v>
      </c>
      <c r="GX466" s="118">
        <f>GX444+GX458</f>
        <v>36384.424882994317</v>
      </c>
      <c r="GY466" s="98">
        <f>IF(ISERROR((GX466/GV466-1)*100),"NA",IF(((GX466/GV466-1)*100)&gt;100,"NM",IF(((GX466/GV466-1)*100)&lt;-50,"NM",(GX466/GV466-1)*100)))</f>
        <v>-13.369809232624341</v>
      </c>
      <c r="GZ466" s="98">
        <f>IF(ISERROR(((GX466/GN466)^0.2-1)*100),"NA",IF((((GX466/GN466)^0.2-1)*100)&gt;100,"NM",IF((((GX466/GN466)^0.2-1)*100)&lt;-50,"NM",((GX466/GN466)^0.2-1)*100)))</f>
        <v>-11.353973398578244</v>
      </c>
      <c r="HA466" s="98"/>
      <c r="HB466" s="10"/>
      <c r="HC466"/>
      <c r="HD466"/>
      <c r="HE466"/>
      <c r="HF466"/>
      <c r="HG466"/>
      <c r="HH466"/>
      <c r="HI466" s="10"/>
    </row>
    <row r="467" spans="1:217" s="2" customFormat="1" ht="12.75" customHeight="1" x14ac:dyDescent="0.2">
      <c r="B467" s="91"/>
      <c r="C467" s="117"/>
      <c r="D467" s="98"/>
      <c r="E467" s="117"/>
      <c r="F467" s="98"/>
      <c r="G467" s="117"/>
      <c r="H467" s="98"/>
      <c r="I467" s="117"/>
      <c r="J467" s="98"/>
      <c r="K467" s="117"/>
      <c r="L467" s="98"/>
      <c r="M467" s="117"/>
      <c r="N467" s="98"/>
      <c r="O467" s="117"/>
      <c r="P467" s="98"/>
      <c r="Q467" s="117"/>
      <c r="R467" s="98"/>
      <c r="S467" s="117"/>
      <c r="T467" s="98"/>
      <c r="U467" s="117"/>
      <c r="V467" s="98"/>
      <c r="W467" s="117"/>
      <c r="X467" s="98"/>
      <c r="Y467" s="117"/>
      <c r="Z467" s="98"/>
      <c r="AA467" s="117"/>
      <c r="AB467" s="98"/>
      <c r="AC467" s="117"/>
      <c r="AD467" s="98"/>
      <c r="AE467" s="117"/>
      <c r="AF467" s="98"/>
      <c r="AG467" s="117"/>
      <c r="AH467" s="98"/>
      <c r="AI467" s="117"/>
      <c r="AJ467" s="98"/>
      <c r="AK467" s="117"/>
      <c r="AL467" s="98"/>
      <c r="AM467" s="117"/>
      <c r="AN467" s="98"/>
      <c r="AO467" s="117"/>
      <c r="AP467" s="98"/>
      <c r="AQ467" s="117"/>
      <c r="AR467" s="98"/>
      <c r="AS467" s="117"/>
      <c r="AT467" s="98"/>
      <c r="AU467" s="117"/>
      <c r="AV467" s="98"/>
      <c r="AW467" s="117"/>
      <c r="AX467" s="98"/>
      <c r="AY467" s="117"/>
      <c r="AZ467" s="98"/>
      <c r="BA467" s="117"/>
      <c r="BB467" s="98"/>
      <c r="BC467" s="117"/>
      <c r="BD467" s="98"/>
      <c r="BE467" s="117"/>
      <c r="BF467" s="98"/>
      <c r="BG467" s="117"/>
      <c r="BH467" s="98"/>
      <c r="BI467" s="117"/>
      <c r="BJ467" s="98"/>
      <c r="BK467" s="117"/>
      <c r="BL467" s="98"/>
      <c r="BM467" s="117"/>
      <c r="BN467" s="98"/>
      <c r="BO467" s="117"/>
      <c r="BP467" s="98"/>
      <c r="BQ467" s="117"/>
      <c r="BR467" s="98"/>
      <c r="BS467" s="117"/>
      <c r="BT467" s="98"/>
      <c r="BU467" s="117"/>
      <c r="BV467" s="98"/>
      <c r="BW467" s="117"/>
      <c r="BX467" s="98"/>
      <c r="BY467" s="117"/>
      <c r="BZ467" s="98"/>
      <c r="CA467" s="117"/>
      <c r="CB467" s="98"/>
      <c r="CC467" s="117"/>
      <c r="CD467" s="98"/>
      <c r="CE467" s="117"/>
      <c r="CF467" s="98"/>
      <c r="CG467" s="117"/>
      <c r="CH467" s="98"/>
      <c r="CI467" s="117"/>
      <c r="CJ467" s="98"/>
      <c r="CK467" s="117"/>
      <c r="CL467" s="98"/>
      <c r="CM467" s="117"/>
      <c r="CN467" s="98"/>
      <c r="CO467" s="117"/>
      <c r="CP467" s="98"/>
      <c r="CQ467" s="486"/>
      <c r="CR467" s="98"/>
      <c r="CS467" s="117"/>
      <c r="CT467" s="98"/>
      <c r="CU467" s="117"/>
      <c r="CV467" s="98"/>
      <c r="CW467" s="117"/>
      <c r="CX467" s="98"/>
      <c r="CY467" s="117"/>
      <c r="CZ467" s="98"/>
      <c r="DA467" s="117"/>
      <c r="DB467" s="98"/>
      <c r="DC467" s="117"/>
      <c r="DD467" s="98"/>
      <c r="DE467" s="117"/>
      <c r="DF467" s="98"/>
      <c r="DG467" s="117"/>
      <c r="DH467" s="98"/>
      <c r="DI467" s="117"/>
      <c r="DJ467" s="98"/>
      <c r="DK467" s="117"/>
      <c r="DL467" s="98"/>
      <c r="DM467" s="117"/>
      <c r="DN467" s="98"/>
      <c r="DO467" s="117"/>
      <c r="DP467" s="98"/>
      <c r="DQ467" s="117"/>
      <c r="DR467" s="98"/>
      <c r="DS467" s="117"/>
      <c r="DT467" s="98"/>
      <c r="DU467" s="117"/>
      <c r="DV467" s="98"/>
      <c r="DW467" s="117"/>
      <c r="DX467" s="98"/>
      <c r="DY467" s="117"/>
      <c r="DZ467" s="98"/>
      <c r="EA467" s="117"/>
      <c r="EB467" s="98"/>
      <c r="EC467" s="117"/>
      <c r="ED467" s="98"/>
      <c r="EE467" s="117"/>
      <c r="EF467" s="860"/>
      <c r="EG467" s="117"/>
      <c r="EH467" s="860"/>
      <c r="EI467" s="117"/>
      <c r="EJ467" s="860"/>
      <c r="EK467" s="117"/>
      <c r="EL467" s="860"/>
      <c r="EM467" s="117"/>
      <c r="EN467" s="860"/>
      <c r="EO467" s="117"/>
      <c r="EP467" s="98"/>
      <c r="EQ467" s="792"/>
      <c r="ER467" s="98"/>
      <c r="ES467" s="792"/>
      <c r="ET467" s="98"/>
      <c r="EU467" s="792"/>
      <c r="EV467" s="98"/>
      <c r="EW467" s="792"/>
      <c r="EX467" s="98"/>
      <c r="EY467" s="118"/>
      <c r="EZ467" s="594"/>
      <c r="FA467" s="405"/>
      <c r="FB467" s="118"/>
      <c r="FC467" s="98"/>
      <c r="FD467" s="117"/>
      <c r="FE467" s="98"/>
      <c r="FF467" s="118"/>
      <c r="FG467" s="98"/>
      <c r="FH467" s="118"/>
      <c r="FI467" s="98"/>
      <c r="FJ467" s="118"/>
      <c r="FK467" s="98"/>
      <c r="FL467" s="118"/>
      <c r="FM467" s="98"/>
      <c r="FN467" s="118"/>
      <c r="FO467" s="98"/>
      <c r="FP467" s="118"/>
      <c r="FQ467" s="98"/>
      <c r="FR467" s="119"/>
      <c r="FS467" s="120"/>
      <c r="FT467" s="119"/>
      <c r="FU467" s="120"/>
      <c r="FV467" s="119"/>
      <c r="FW467" s="98"/>
      <c r="FX467" s="485"/>
      <c r="FY467" s="98"/>
      <c r="FZ467" s="119"/>
      <c r="GA467" s="98"/>
      <c r="GB467" s="485"/>
      <c r="GC467" s="98"/>
      <c r="GD467" s="119"/>
      <c r="GE467" s="98"/>
      <c r="GF467" s="119"/>
      <c r="GG467" s="98"/>
      <c r="GH467" s="119"/>
      <c r="GI467" s="98"/>
      <c r="GJ467" s="119"/>
      <c r="GK467" s="98"/>
      <c r="GL467" s="119"/>
      <c r="GM467" s="98"/>
      <c r="GN467" s="119"/>
      <c r="GO467" s="98"/>
      <c r="GP467" s="119"/>
      <c r="GQ467" s="98"/>
      <c r="GR467" s="118"/>
      <c r="GS467" s="98"/>
      <c r="GT467" s="118"/>
      <c r="GU467" s="98"/>
      <c r="GV467" s="118"/>
      <c r="GW467" s="98"/>
      <c r="GX467" s="118"/>
      <c r="GY467" s="98"/>
      <c r="GZ467" s="98"/>
      <c r="HA467" s="98"/>
      <c r="HB467" s="10"/>
      <c r="HC467"/>
      <c r="HD467"/>
      <c r="HE467"/>
      <c r="HF467"/>
      <c r="HG467"/>
      <c r="HH467"/>
      <c r="HI467" s="10"/>
    </row>
    <row r="468" spans="1:217" s="2" customFormat="1" ht="12.75" customHeight="1" x14ac:dyDescent="0.2">
      <c r="B468" s="93" t="s">
        <v>284</v>
      </c>
      <c r="C468" s="112"/>
      <c r="D468" s="113"/>
      <c r="E468" s="112"/>
      <c r="F468" s="113"/>
      <c r="G468" s="112"/>
      <c r="H468" s="113"/>
      <c r="I468" s="112"/>
      <c r="J468" s="98"/>
      <c r="K468" s="112"/>
      <c r="L468" s="98"/>
      <c r="M468" s="112"/>
      <c r="N468" s="98"/>
      <c r="O468" s="112"/>
      <c r="P468" s="98"/>
      <c r="Q468" s="112"/>
      <c r="R468" s="98"/>
      <c r="S468" s="112"/>
      <c r="T468" s="98"/>
      <c r="U468" s="112"/>
      <c r="V468" s="98"/>
      <c r="W468" s="112"/>
      <c r="X468" s="98"/>
      <c r="Y468" s="112"/>
      <c r="Z468" s="98"/>
      <c r="AA468" s="112"/>
      <c r="AB468" s="98"/>
      <c r="AC468" s="112"/>
      <c r="AD468" s="98"/>
      <c r="AE468" s="112"/>
      <c r="AF468" s="98"/>
      <c r="AG468" s="112"/>
      <c r="AH468" s="98"/>
      <c r="AI468" s="112"/>
      <c r="AJ468" s="98"/>
      <c r="AK468" s="112"/>
      <c r="AL468" s="98"/>
      <c r="AM468" s="112"/>
      <c r="AN468" s="98"/>
      <c r="AO468" s="112"/>
      <c r="AP468" s="98"/>
      <c r="AQ468" s="112"/>
      <c r="AR468" s="98"/>
      <c r="AS468" s="112"/>
      <c r="AT468" s="98"/>
      <c r="AU468" s="112"/>
      <c r="AV468" s="98"/>
      <c r="AW468" s="112"/>
      <c r="AX468" s="98"/>
      <c r="AY468" s="112"/>
      <c r="AZ468" s="98"/>
      <c r="BA468" s="112"/>
      <c r="BB468" s="98"/>
      <c r="BC468" s="112"/>
      <c r="BD468" s="98"/>
      <c r="BE468" s="112"/>
      <c r="BF468" s="98"/>
      <c r="BG468" s="112"/>
      <c r="BH468" s="98"/>
      <c r="BI468" s="112"/>
      <c r="BJ468" s="98"/>
      <c r="BK468" s="112"/>
      <c r="BL468" s="98"/>
      <c r="BM468" s="112"/>
      <c r="BN468" s="98"/>
      <c r="BO468" s="112"/>
      <c r="BP468" s="98"/>
      <c r="BQ468" s="112"/>
      <c r="BR468" s="98"/>
      <c r="BS468" s="112"/>
      <c r="BT468" s="98"/>
      <c r="BU468" s="112"/>
      <c r="BV468" s="98"/>
      <c r="BW468" s="112"/>
      <c r="BX468" s="98"/>
      <c r="BY468" s="112"/>
      <c r="BZ468" s="98"/>
      <c r="CA468" s="112"/>
      <c r="CB468" s="98"/>
      <c r="CC468" s="112"/>
      <c r="CD468" s="98"/>
      <c r="CE468" s="112"/>
      <c r="CF468" s="98"/>
      <c r="CG468" s="112"/>
      <c r="CH468" s="98"/>
      <c r="CI468" s="112"/>
      <c r="CJ468" s="98"/>
      <c r="CK468" s="112"/>
      <c r="CL468" s="98"/>
      <c r="CM468" s="112"/>
      <c r="CN468" s="98"/>
      <c r="CO468" s="112"/>
      <c r="CP468" s="98"/>
      <c r="CQ468" s="543"/>
      <c r="CR468" s="98"/>
      <c r="CS468" s="112"/>
      <c r="CT468" s="98"/>
      <c r="CU468" s="112"/>
      <c r="CV468" s="98"/>
      <c r="CW468" s="112"/>
      <c r="CX468" s="98"/>
      <c r="CY468" s="112"/>
      <c r="CZ468" s="98"/>
      <c r="DA468" s="112"/>
      <c r="DB468" s="98"/>
      <c r="DC468" s="112"/>
      <c r="DD468" s="98"/>
      <c r="DE468" s="112"/>
      <c r="DF468" s="98"/>
      <c r="DG468" s="112"/>
      <c r="DH468" s="98"/>
      <c r="DI468" s="112"/>
      <c r="DJ468" s="98"/>
      <c r="DK468" s="112"/>
      <c r="DL468" s="98"/>
      <c r="DM468" s="112"/>
      <c r="DN468" s="98"/>
      <c r="DO468" s="112"/>
      <c r="DP468" s="98"/>
      <c r="DQ468" s="112"/>
      <c r="DR468" s="98"/>
      <c r="DS468" s="112"/>
      <c r="DT468" s="98"/>
      <c r="DU468" s="112"/>
      <c r="DV468" s="98"/>
      <c r="DW468" s="112"/>
      <c r="DX468" s="98"/>
      <c r="DY468" s="112"/>
      <c r="DZ468" s="98"/>
      <c r="EA468" s="112"/>
      <c r="EB468" s="98"/>
      <c r="EC468" s="112"/>
      <c r="ED468" s="98"/>
      <c r="EE468" s="112"/>
      <c r="EF468" s="860"/>
      <c r="EG468" s="112"/>
      <c r="EH468" s="860"/>
      <c r="EI468" s="112"/>
      <c r="EJ468" s="860"/>
      <c r="EK468" s="112"/>
      <c r="EL468" s="860"/>
      <c r="EM468" s="112"/>
      <c r="EN468" s="860"/>
      <c r="EO468" s="112"/>
      <c r="EP468" s="98"/>
      <c r="EQ468" s="1022"/>
      <c r="ER468" s="98"/>
      <c r="ES468" s="1022"/>
      <c r="ET468" s="98"/>
      <c r="EU468" s="1022"/>
      <c r="EV468" s="98"/>
      <c r="EW468" s="1022"/>
      <c r="EX468" s="98"/>
      <c r="EY468" s="114"/>
      <c r="EZ468" s="594"/>
      <c r="FA468" s="405"/>
      <c r="FB468" s="112"/>
      <c r="FC468" s="113"/>
      <c r="FD468" s="112"/>
      <c r="FE468" s="113"/>
      <c r="FF468" s="114"/>
      <c r="FG468" s="113"/>
      <c r="FH468" s="114"/>
      <c r="FI468" s="113"/>
      <c r="FJ468" s="114"/>
      <c r="FK468" s="113"/>
      <c r="FL468" s="114"/>
      <c r="FM468" s="113"/>
      <c r="FN468" s="114"/>
      <c r="FO468" s="113"/>
      <c r="FP468" s="114"/>
      <c r="FQ468" s="113"/>
      <c r="FR468" s="115"/>
      <c r="FS468" s="116"/>
      <c r="FT468" s="115"/>
      <c r="FU468" s="116"/>
      <c r="FV468" s="115"/>
      <c r="FW468" s="98"/>
      <c r="FX468" s="484"/>
      <c r="FY468" s="98"/>
      <c r="FZ468" s="115"/>
      <c r="GA468" s="98"/>
      <c r="GB468" s="484"/>
      <c r="GC468" s="98"/>
      <c r="GD468" s="115"/>
      <c r="GE468" s="98"/>
      <c r="GF468" s="114"/>
      <c r="GG468" s="98"/>
      <c r="GH468" s="114"/>
      <c r="GI468" s="98"/>
      <c r="GJ468" s="114"/>
      <c r="GK468" s="98"/>
      <c r="GL468" s="114"/>
      <c r="GM468" s="98"/>
      <c r="GN468" s="114"/>
      <c r="GO468" s="98"/>
      <c r="GP468" s="114"/>
      <c r="GQ468" s="98"/>
      <c r="GR468" s="114"/>
      <c r="GS468" s="98"/>
      <c r="GT468" s="114"/>
      <c r="GU468" s="98"/>
      <c r="GV468" s="114"/>
      <c r="GW468" s="98"/>
      <c r="GX468" s="114"/>
      <c r="GY468" s="98"/>
      <c r="GZ468" s="98"/>
      <c r="HA468" s="98"/>
      <c r="HB468" s="10"/>
      <c r="HC468"/>
      <c r="HD468"/>
      <c r="HE468"/>
      <c r="HF468"/>
      <c r="HG468"/>
      <c r="HH468"/>
      <c r="HI468" s="10"/>
    </row>
    <row r="469" spans="1:217" s="2" customFormat="1" ht="12.75" customHeight="1" x14ac:dyDescent="0.2">
      <c r="B469" s="91" t="s">
        <v>493</v>
      </c>
      <c r="C469" s="122">
        <v>24</v>
      </c>
      <c r="D469" s="98"/>
      <c r="E469" s="122">
        <v>18</v>
      </c>
      <c r="F469" s="98"/>
      <c r="G469" s="122">
        <v>29</v>
      </c>
      <c r="H469" s="98"/>
      <c r="I469" s="122">
        <v>22</v>
      </c>
      <c r="J469" s="98"/>
      <c r="K469" s="122">
        <v>26</v>
      </c>
      <c r="L469" s="98">
        <f t="shared" ref="L469:L476" si="2839">IF(ISERROR((K469/C469-1)*100),"NA",IF(((K469/C469-1)*100)&gt;100,"NM",IF(((K469/C469-1)*100)&lt;-50,"NM",(K469/C469-1)*100)))</f>
        <v>8.333333333333325</v>
      </c>
      <c r="M469" s="122">
        <v>20</v>
      </c>
      <c r="N469" s="98">
        <f t="shared" ref="N469:N476" si="2840">IF(ISERROR((M469/E469-1)*100),"NA",IF(((M469/E469-1)*100)&gt;100,"NM",IF(((M469/E469-1)*100)&lt;-50,"NM",(M469/E469-1)*100)))</f>
        <v>11.111111111111116</v>
      </c>
      <c r="O469" s="122">
        <v>17</v>
      </c>
      <c r="P469" s="98">
        <f t="shared" ref="P469:P476" si="2841">IF(ISERROR((O469/G469-1)*100),"NA",IF(((O469/G469-1)*100)&gt;100,"NM",IF(((O469/G469-1)*100)&lt;-50,"NM",(O469/G469-1)*100)))</f>
        <v>-41.379310344827594</v>
      </c>
      <c r="Q469" s="122">
        <v>28</v>
      </c>
      <c r="R469" s="98">
        <f t="shared" ref="R469:R476" si="2842">IF(ISERROR((Q469/I469-1)*100),"NA",IF(((Q469/I469-1)*100)&gt;100,"NM",IF(((Q469/I469-1)*100)&lt;-50,"NM",(Q469/I469-1)*100)))</f>
        <v>27.27272727272727</v>
      </c>
      <c r="S469" s="122">
        <v>20</v>
      </c>
      <c r="T469" s="98">
        <f t="shared" ref="T469:T476" si="2843">IF(ISERROR((S469/K469-1)*100),"NA",IF(((S469/K469-1)*100)&gt;100,"NM",IF(((S469/K469-1)*100)&lt;-50,"NM",(S469/K469-1)*100)))</f>
        <v>-23.076923076923073</v>
      </c>
      <c r="U469" s="122">
        <v>28</v>
      </c>
      <c r="V469" s="98">
        <f t="shared" ref="V469:V476" si="2844">IF(ISERROR((U469/M469-1)*100),"NA",IF(((U469/M469-1)*100)&gt;100,"NM",IF(((U469/M469-1)*100)&lt;-50,"NM",(U469/M469-1)*100)))</f>
        <v>39.999999999999993</v>
      </c>
      <c r="W469" s="122">
        <v>37</v>
      </c>
      <c r="X469" s="98" t="str">
        <f t="shared" ref="X469:X476" si="2845">IF(ISERROR((W469/O469-1)*100),"NA",IF(((W469/O469-1)*100)&gt;100,"NM",IF(((W469/O469-1)*100)&lt;-50,"NM",(W469/O469-1)*100)))</f>
        <v>NM</v>
      </c>
      <c r="Y469" s="122">
        <v>44</v>
      </c>
      <c r="Z469" s="98">
        <f t="shared" ref="Z469:Z476" si="2846">IF(ISERROR((Y469/Q469-1)*100),"NA",IF(((Y469/Q469-1)*100)&gt;100,"NM",IF(((Y469/Q469-1)*100)&lt;-50,"NM",(Y469/Q469-1)*100)))</f>
        <v>57.142857142857139</v>
      </c>
      <c r="AA469" s="122">
        <v>24</v>
      </c>
      <c r="AB469" s="98">
        <f t="shared" ref="AB469:AB476" si="2847">IF(ISERROR((AA469/S469-1)*100),"NA",IF(((AA469/S469-1)*100)&gt;100,"NM",IF(((AA469/S469-1)*100)&lt;-50,"NM",(AA469/S469-1)*100)))</f>
        <v>19.999999999999996</v>
      </c>
      <c r="AC469" s="122">
        <v>23</v>
      </c>
      <c r="AD469" s="98">
        <f t="shared" ref="AD469:AD476" si="2848">IF(ISERROR((AC469/U469-1)*100),"NA",IF(((AC469/U469-1)*100)&gt;100,"NM",IF(((AC469/U469-1)*100)&lt;-50,"NM",(AC469/U469-1)*100)))</f>
        <v>-17.857142857142861</v>
      </c>
      <c r="AE469" s="122">
        <v>19</v>
      </c>
      <c r="AF469" s="98">
        <f t="shared" ref="AF469:AF476" si="2849">IF(ISERROR((AE469/W469-1)*100),"NA",IF(((AE469/W469-1)*100)&gt;100,"NM",IF(((AE469/W469-1)*100)&lt;-50,"NM",(AE469/W469-1)*100)))</f>
        <v>-48.648648648648653</v>
      </c>
      <c r="AG469" s="122">
        <v>20</v>
      </c>
      <c r="AH469" s="98" t="str">
        <f t="shared" ref="AH469:AH476" si="2850">IF(ISERROR((AG469/Y469-1)*100),"NA",IF(((AG469/Y469-1)*100)&gt;100,"NM",IF(((AG469/Y469-1)*100)&lt;-50,"NM",(AG469/Y469-1)*100)))</f>
        <v>NM</v>
      </c>
      <c r="AI469" s="122">
        <v>18</v>
      </c>
      <c r="AJ469" s="98">
        <f t="shared" ref="AJ469:AJ476" si="2851">IF(ISERROR((AI469/AA469-1)*100),"NA",IF(((AI469/AA469-1)*100)&gt;100,"NM",IF(((AI469/AA469-1)*100)&lt;-50,"NM",(AI469/AA469-1)*100)))</f>
        <v>-25</v>
      </c>
      <c r="AK469" s="122">
        <v>26</v>
      </c>
      <c r="AL469" s="98">
        <f t="shared" ref="AL469:AL476" si="2852">IF(ISERROR((AK469/AC469-1)*100),"NA",IF(((AK469/AC469-1)*100)&gt;100,"NM",IF(((AK469/AC469-1)*100)&lt;-50,"NM",(AK469/AC469-1)*100)))</f>
        <v>13.043478260869556</v>
      </c>
      <c r="AM469" s="122">
        <v>34</v>
      </c>
      <c r="AN469" s="98">
        <f t="shared" ref="AN469:AN476" si="2853">IF(ISERROR((AM469/AE469-1)*100),"NA",IF(((AM469/AE469-1)*100)&gt;100,"NM",IF(((AM469/AE469-1)*100)&lt;-50,"NM",(AM469/AE469-1)*100)))</f>
        <v>78.94736842105263</v>
      </c>
      <c r="AO469" s="122">
        <v>48</v>
      </c>
      <c r="AP469" s="98" t="str">
        <f t="shared" ref="AP469:AP476" si="2854">IF(ISERROR((AO469/AG469-1)*100),"NA",IF(((AO469/AG469-1)*100)&gt;100,"NM",IF(((AO469/AG469-1)*100)&lt;-50,"NM",(AO469/AG469-1)*100)))</f>
        <v>NM</v>
      </c>
      <c r="AQ469" s="122">
        <v>63</v>
      </c>
      <c r="AR469" s="98" t="str">
        <f t="shared" ref="AR469:AR476" si="2855">IF(ISERROR((AQ469/AI469-1)*100),"NA",IF(((AQ469/AI469-1)*100)&gt;100,"NM",IF(((AQ469/AI469-1)*100)&lt;-50,"NM",(AQ469/AI469-1)*100)))</f>
        <v>NM</v>
      </c>
      <c r="AS469" s="122">
        <v>73</v>
      </c>
      <c r="AT469" s="98" t="str">
        <f t="shared" ref="AT469:AT476" si="2856">IF(ISERROR((AS469/AK469-1)*100),"NA",IF(((AS469/AK469-1)*100)&gt;100,"NM",IF(((AS469/AK469-1)*100)&lt;-50,"NM",(AS469/AK469-1)*100)))</f>
        <v>NM</v>
      </c>
      <c r="AU469" s="122">
        <v>118</v>
      </c>
      <c r="AV469" s="98" t="str">
        <f t="shared" ref="AV469:AV476" si="2857">IF(ISERROR((AU469/AM469-1)*100),"NA",IF(((AU469/AM469-1)*100)&gt;100,"NM",IF(((AU469/AM469-1)*100)&lt;-50,"NM",(AU469/AM469-1)*100)))</f>
        <v>NM</v>
      </c>
      <c r="AW469" s="122">
        <v>101</v>
      </c>
      <c r="AX469" s="98" t="str">
        <f t="shared" ref="AX469:AX476" si="2858">IF(ISERROR((AW469/AO469-1)*100),"NA",IF(((AW469/AO469-1)*100)&gt;100,"NM",IF(((AW469/AO469-1)*100)&lt;-50,"NM",(AW469/AO469-1)*100)))</f>
        <v>NM</v>
      </c>
      <c r="AY469" s="122">
        <v>98</v>
      </c>
      <c r="AZ469" s="98">
        <f t="shared" ref="AZ469:AZ476" si="2859">IF(ISERROR((AY469/AQ469-1)*100),"NA",IF(((AY469/AQ469-1)*100)&gt;100,"NM",IF(((AY469/AQ469-1)*100)&lt;-50,"NM",(AY469/AQ469-1)*100)))</f>
        <v>55.555555555555557</v>
      </c>
      <c r="BA469" s="122">
        <v>85</v>
      </c>
      <c r="BB469" s="98">
        <f t="shared" ref="BB469:BB476" si="2860">IF(ISERROR((BA469/AS469-1)*100),"NA",IF(((BA469/AS469-1)*100)&gt;100,"NM",IF(((BA469/AS469-1)*100)&lt;-50,"NM",(BA469/AS469-1)*100)))</f>
        <v>16.43835616438356</v>
      </c>
      <c r="BC469" s="122">
        <v>78</v>
      </c>
      <c r="BD469" s="98">
        <f t="shared" ref="BD469:BD476" si="2861">IF(ISERROR((BC469/AU469-1)*100),"NA",IF(((BC469/AU469-1)*100)&gt;100,"NM",IF(((BC469/AU469-1)*100)&lt;-50,"NM",(BC469/AU469-1)*100)))</f>
        <v>-33.898305084745758</v>
      </c>
      <c r="BE469" s="122">
        <v>105</v>
      </c>
      <c r="BF469" s="98">
        <f t="shared" ref="BF469:BF476" si="2862">IF(ISERROR((BE469/AW469-1)*100),"NA",IF(((BE469/AW469-1)*100)&gt;100,"NM",IF(((BE469/AW469-1)*100)&lt;-50,"NM",(BE469/AW469-1)*100)))</f>
        <v>3.9603960396039639</v>
      </c>
      <c r="BG469" s="122">
        <v>85</v>
      </c>
      <c r="BH469" s="98">
        <f t="shared" ref="BH469:BH476" si="2863">IF(ISERROR((BG469/AY469-1)*100),"NA",IF(((BG469/AY469-1)*100)&gt;100,"NM",IF(((BG469/AY469-1)*100)&lt;-50,"NM",(BG469/AY469-1)*100)))</f>
        <v>-13.265306122448983</v>
      </c>
      <c r="BI469" s="122">
        <v>87</v>
      </c>
      <c r="BJ469" s="98">
        <f t="shared" ref="BJ469:BJ476" si="2864">IF(ISERROR((BI469/BA469-1)*100),"NA",IF(((BI469/BA469-1)*100)&gt;100,"NM",IF(((BI469/BA469-1)*100)&lt;-50,"NM",(BI469/BA469-1)*100)))</f>
        <v>2.3529411764705799</v>
      </c>
      <c r="BK469" s="122">
        <v>86</v>
      </c>
      <c r="BL469" s="98">
        <f t="shared" ref="BL469:BL476" si="2865">IF(ISERROR((BK469/BC469-1)*100),"NA",IF(((BK469/BC469-1)*100)&gt;100,"NM",IF(((BK469/BC469-1)*100)&lt;-50,"NM",(BK469/BC469-1)*100)))</f>
        <v>10.256410256410264</v>
      </c>
      <c r="BM469" s="122">
        <v>81</v>
      </c>
      <c r="BN469" s="98">
        <f t="shared" ref="BN469:BN476" si="2866">IF(ISERROR((BM469/BE469-1)*100),"NA",IF(((BM469/BE469-1)*100)&gt;100,"NM",IF(((BM469/BE469-1)*100)&lt;-50,"NM",(BM469/BE469-1)*100)))</f>
        <v>-22.857142857142854</v>
      </c>
      <c r="BO469" s="174">
        <v>82</v>
      </c>
      <c r="BP469" s="175">
        <f t="shared" ref="BP469:BP476" si="2867">IF(ISERROR((BO469/BG469-1)*100),"NA",IF(((BO469/BG469-1)*100)&gt;100,"NM",IF(((BO469/BG469-1)*100)&lt;-50,"NM",(BO469/BG469-1)*100)))</f>
        <v>-3.5294117647058809</v>
      </c>
      <c r="BQ469" s="174">
        <v>81</v>
      </c>
      <c r="BR469" s="175">
        <f t="shared" ref="BR469:BR476" si="2868">IF(ISERROR((BQ469/BI469-1)*100),"NA",IF(((BQ469/BI469-1)*100)&gt;100,"NM",IF(((BQ469/BI469-1)*100)&lt;-50,"NM",(BQ469/BI469-1)*100)))</f>
        <v>-6.8965517241379342</v>
      </c>
      <c r="BS469" s="174">
        <v>59</v>
      </c>
      <c r="BT469" s="175">
        <f t="shared" ref="BT469:BT476" si="2869">IF(ISERROR((BS469/BK469-1)*100),"NA",IF(((BS469/BK469-1)*100)&gt;100,"NM",IF(((BS469/BK469-1)*100)&lt;-50,"NM",(BS469/BK469-1)*100)))</f>
        <v>-31.395348837209301</v>
      </c>
      <c r="BU469" s="174">
        <v>139</v>
      </c>
      <c r="BV469" s="175">
        <f t="shared" ref="BV469:BV476" si="2870">IF(ISERROR((BU469/BM469-1)*100),"NA",IF(((BU469/BM469-1)*100)&gt;100,"NM",IF(((BU469/BM469-1)*100)&lt;-50,"NM",(BU469/BM469-1)*100)))</f>
        <v>71.604938271604951</v>
      </c>
      <c r="BW469" s="174">
        <v>152</v>
      </c>
      <c r="BX469" s="175">
        <f t="shared" ref="BX469:BX476" si="2871">IF(ISERROR((BW469/BO469-1)*100),"NA",IF(((BW469/BO469-1)*100)&gt;100,"NM",IF(((BW469/BO469-1)*100)&lt;-50,"NM",(BW469/BO469-1)*100)))</f>
        <v>85.365853658536594</v>
      </c>
      <c r="BY469" s="174">
        <v>139</v>
      </c>
      <c r="BZ469" s="175">
        <f t="shared" ref="BZ469:BZ476" si="2872">IF(ISERROR((BY469/BQ469-1)*100),"NA",IF(((BY469/BQ469-1)*100)&gt;100,"NM",IF(((BY469/BQ469-1)*100)&lt;-50,"NM",(BY469/BQ469-1)*100)))</f>
        <v>71.604938271604951</v>
      </c>
      <c r="CA469" s="174">
        <v>140</v>
      </c>
      <c r="CB469" s="98" t="str">
        <f t="shared" ref="CB469:CB476" si="2873">IF(ISERROR((CA469/BS469-1)*100),"NA",IF(((CA469/BS469-1)*100)&gt;100,"NM",IF(((CA469/BS469-1)*100)&lt;-50,"NM",(CA469/BS469-1)*100)))</f>
        <v>NM</v>
      </c>
      <c r="CC469" s="122">
        <v>273</v>
      </c>
      <c r="CD469" s="98">
        <f t="shared" ref="CD469:CD476" si="2874">IF(ISERROR((CC469/BU469-1)*100),"NA",IF(((CC469/BU469-1)*100)&gt;100,"NM",IF(((CC469/BU469-1)*100)&lt;-50,"NM",(CC469/BU469-1)*100)))</f>
        <v>96.402877697841731</v>
      </c>
      <c r="CE469" s="122">
        <v>253</v>
      </c>
      <c r="CF469" s="98">
        <f t="shared" ref="CF469:CF476" si="2875">IF(ISERROR((CE469/BW469-1)*100),"NA",IF(((CE469/BW469-1)*100)&gt;100,"NM",IF(((CE469/BW469-1)*100)&lt;-50,"NM",(CE469/BW469-1)*100)))</f>
        <v>66.44736842105263</v>
      </c>
      <c r="CG469" s="122">
        <v>250</v>
      </c>
      <c r="CH469" s="98">
        <f t="shared" ref="CH469:CH476" si="2876">IF(ISERROR((CG469/BY469-1)*100),"NA",IF(((CG469/BY469-1)*100)&gt;100,"NM",IF(((CG469/BY469-1)*100)&lt;-50,"NM",(CG469/BY469-1)*100)))</f>
        <v>79.856115107913666</v>
      </c>
      <c r="CI469" s="122">
        <v>227</v>
      </c>
      <c r="CJ469" s="98">
        <f t="shared" ref="CJ469:CJ476" si="2877">IF(ISERROR((CI469/CA469-1)*100),"NA",IF(((CI469/CA469-1)*100)&gt;100,"NM",IF(((CI469/CA469-1)*100)&lt;-50,"NM",(CI469/CA469-1)*100)))</f>
        <v>62.142857142857146</v>
      </c>
      <c r="CK469" s="122">
        <v>145</v>
      </c>
      <c r="CL469" s="98">
        <f t="shared" ref="CL469:CL482" si="2878">IF(ISERROR((CK469/CC469-1)*100),"NA",IF(((CK469/CC469-1)*100)&gt;100,"NM",IF(((CK469/CC469-1)*100)&lt;-50,"NM",(CK469/CC469-1)*100)))</f>
        <v>-46.886446886446883</v>
      </c>
      <c r="CM469" s="122">
        <v>74</v>
      </c>
      <c r="CN469" s="98" t="str">
        <f t="shared" ref="CN469:CN476" si="2879">IF(ISERROR((CM469/CE469-1)*100),"NA",IF(((CM469/CE469-1)*100)&gt;100,"NM",IF(((CM469/CE469-1)*100)&lt;-50,"NM",(CM469/CE469-1)*100)))</f>
        <v>NM</v>
      </c>
      <c r="CO469" s="122">
        <v>147</v>
      </c>
      <c r="CP469" s="98">
        <f t="shared" ref="CP469:CP476" si="2880">IF(ISERROR((CO469/CG469-1)*100),"NA",IF(((CO469/CG469-1)*100)&gt;100,"NM",IF(((CO469/CG469-1)*100)&lt;-50,"NM",(CO469/CG469-1)*100)))</f>
        <v>-41.2</v>
      </c>
      <c r="CQ469" s="547">
        <v>282</v>
      </c>
      <c r="CR469" s="98">
        <f t="shared" ref="CR469:CR476" si="2881">IF(ISERROR((CQ469/CI469-1)*100),"NA",IF(((CQ469/CI469-1)*100)&gt;100,"NM",IF(((CQ469/CI469-1)*100)&lt;-50,"NM",(CQ469/CI469-1)*100)))</f>
        <v>24.229074889867853</v>
      </c>
      <c r="CS469" s="122">
        <v>208</v>
      </c>
      <c r="CT469" s="98">
        <f t="shared" ref="CT469:CT476" si="2882">IF(ISERROR((CS469/CK469-1)*100),"NA",IF(((CS469/CK469-1)*100)&gt;100,"NM",IF(((CS469/CK469-1)*100)&lt;-50,"NM",(CS469/CK469-1)*100)))</f>
        <v>43.448275862068961</v>
      </c>
      <c r="CU469" s="122">
        <v>177</v>
      </c>
      <c r="CV469" s="98" t="str">
        <f t="shared" ref="CV469:CV476" si="2883">IF(ISERROR((CU469/CM469-1)*100),"NA",IF(((CU469/CM469-1)*100)&gt;100,"NM",IF(((CU469/CM469-1)*100)&lt;-50,"NM",(CU469/CM469-1)*100)))</f>
        <v>NM</v>
      </c>
      <c r="CW469" s="122">
        <v>100</v>
      </c>
      <c r="CX469" s="98">
        <f t="shared" ref="CX469:CX476" si="2884">IF(ISERROR((CW469/CO469-1)*100),"NA",IF(((CW469/CO469-1)*100)&gt;100,"NM",IF(((CW469/CO469-1)*100)&lt;-50,"NM",(CW469/CO469-1)*100)))</f>
        <v>-31.972789115646261</v>
      </c>
      <c r="CY469" s="122">
        <v>104</v>
      </c>
      <c r="CZ469" s="98" t="str">
        <f t="shared" ref="CZ469:CZ476" si="2885">IF(ISERROR((CY469/CQ469-1)*100),"NA",IF(((CY469/CQ469-1)*100)&gt;100,"NM",IF(((CY469/CQ469-1)*100)&lt;-50,"NM",(CY469/CQ469-1)*100)))</f>
        <v>NM</v>
      </c>
      <c r="DA469" s="122">
        <v>100</v>
      </c>
      <c r="DB469" s="98" t="str">
        <f t="shared" ref="DB469:DB476" si="2886">IF(ISERROR((DA469/CS469-1)*100),"NA",IF(((DA469/CS469-1)*100)&gt;100,"NM",IF(((DA469/CS469-1)*100)&lt;-50,"NM",(DA469/CS469-1)*100)))</f>
        <v>NM</v>
      </c>
      <c r="DC469" s="122">
        <v>99</v>
      </c>
      <c r="DD469" s="98">
        <f t="shared" ref="DD469:DD476" si="2887">IF(ISERROR((DC469/CU469-1)*100),"NA",IF(((DC469/CU469-1)*100)&gt;100,"NM",IF(((DC469/CU469-1)*100)&lt;-50,"NM",(DC469/CU469-1)*100)))</f>
        <v>-44.067796610169495</v>
      </c>
      <c r="DE469" s="122">
        <v>88</v>
      </c>
      <c r="DF469" s="98">
        <f t="shared" ref="DF469:DF476" si="2888">IF(ISERROR((DE469/CW469-1)*100),"NA",IF(((DE469/CW469-1)*100)&gt;100,"NM",IF(((DE469/CW469-1)*100)&lt;-50,"NM",(DE469/CW469-1)*100)))</f>
        <v>-12</v>
      </c>
      <c r="DG469" s="122">
        <v>96</v>
      </c>
      <c r="DH469" s="98">
        <f t="shared" ref="DH469:DH476" si="2889">IF(ISERROR((DG469/CY469-1)*100),"NA",IF(((DG469/CY469-1)*100)&gt;100,"NM",IF(((DG469/CY469-1)*100)&lt;-50,"NM",(DG469/CY469-1)*100)))</f>
        <v>-7.6923076923076872</v>
      </c>
      <c r="DI469" s="122">
        <v>176</v>
      </c>
      <c r="DJ469" s="98">
        <f t="shared" ref="DJ469:DJ476" si="2890">IF(ISERROR((DI469/DA469-1)*100),"NA",IF(((DI469/DA469-1)*100)&gt;100,"NM",IF(((DI469/DA469-1)*100)&lt;-50,"NM",(DI469/DA469-1)*100)))</f>
        <v>76</v>
      </c>
      <c r="DK469" s="122">
        <v>238</v>
      </c>
      <c r="DL469" s="98" t="str">
        <f t="shared" ref="DL469:DL476" si="2891">IF(ISERROR((DK469/DC469-1)*100),"NA",IF(((DK469/DC469-1)*100)&gt;100,"NM",IF(((DK469/DC469-1)*100)&lt;-50,"NM",(DK469/DC469-1)*100)))</f>
        <v>NM</v>
      </c>
      <c r="DM469" s="122">
        <v>304</v>
      </c>
      <c r="DN469" s="98" t="str">
        <f t="shared" ref="DN469:DN476" si="2892">IF(ISERROR((DM469/DE469-1)*100),"NA",IF(((DM469/DE469-1)*100)&gt;100,"NM",IF(((DM469/DE469-1)*100)&lt;-50,"NM",(DM469/DE469-1)*100)))</f>
        <v>NM</v>
      </c>
      <c r="DO469" s="122">
        <v>348</v>
      </c>
      <c r="DP469" s="98" t="str">
        <f t="shared" ref="DP469:DP476" si="2893">IF(ISERROR((DO469/DG469-1)*100),"NA",IF(((DO469/DG469-1)*100)&gt;100,"NM",IF(((DO469/DG469-1)*100)&lt;-50,"NM",(DO469/DG469-1)*100)))</f>
        <v>NM</v>
      </c>
      <c r="DQ469" s="122">
        <v>248</v>
      </c>
      <c r="DR469" s="98">
        <f t="shared" ref="DR469:DR476" si="2894">IF(ISERROR((DQ469/DI469-1)*100),"NA",IF(((DQ469/DI469-1)*100)&gt;100,"NM",IF(((DQ469/DI469-1)*100)&lt;-50,"NM",(DQ469/DI469-1)*100)))</f>
        <v>40.909090909090921</v>
      </c>
      <c r="DS469" s="122">
        <v>1095</v>
      </c>
      <c r="DT469" s="98" t="str">
        <f t="shared" ref="DT469:DT476" si="2895">IF(ISERROR((DS469/DK469-1)*100),"NA",IF(((DS469/DK469-1)*100)&gt;100,"NM",IF(((DS469/DK469-1)*100)&lt;-50,"NM",(DS469/DK469-1)*100)))</f>
        <v>NM</v>
      </c>
      <c r="DU469" s="122">
        <v>1135</v>
      </c>
      <c r="DV469" s="98" t="str">
        <f t="shared" ref="DV469:DV476" si="2896">IF(ISERROR((DU469/DM469-1)*100),"NA",IF(((DU469/DM469-1)*100)&gt;100,"NM",IF(((DU469/DM469-1)*100)&lt;-50,"NM",(DU469/DM469-1)*100)))</f>
        <v>NM</v>
      </c>
      <c r="DW469" s="122">
        <v>1115</v>
      </c>
      <c r="DX469" s="98" t="str">
        <f t="shared" ref="DX469:DX476" si="2897">IF(ISERROR((DW469/DO469-1)*100),"NA",IF(((DW469/DO469-1)*100)&gt;100,"NM",IF(((DW469/DO469-1)*100)&lt;-50,"NM",(DW469/DO469-1)*100)))</f>
        <v>NM</v>
      </c>
      <c r="DY469" s="122">
        <v>1200</v>
      </c>
      <c r="DZ469" s="98" t="str">
        <f t="shared" ref="DZ469:DZ476" si="2898">IF(ISERROR((DY469/DQ469-1)*100),"NA",IF(((DY469/DQ469-1)*100)&gt;100,"NM",IF(((DY469/DQ469-1)*100)&lt;-50,"NM",(DY469/DQ469-1)*100)))</f>
        <v>NM</v>
      </c>
      <c r="EA469" s="122">
        <v>1097</v>
      </c>
      <c r="EB469" s="98">
        <f t="shared" ref="EB469:EB476" si="2899">IF(ISERROR((EA469/DS469-1)*100),"NA",IF(((EA469/DS469-1)*100)&gt;100,"NM",IF(((EA469/DS469-1)*100)&lt;-50,"NM",(EA469/DS469-1)*100)))</f>
        <v>0.18264840182649067</v>
      </c>
      <c r="EC469" s="122">
        <v>1122</v>
      </c>
      <c r="ED469" s="98">
        <f t="shared" ref="ED469:ED476" si="2900">IF(ISERROR((EC469/DU469-1)*100),"NA",IF(((EC469/DU469-1)*100)&gt;100,"NM",IF(((EC469/DU469-1)*100)&lt;-50,"NM",(EC469/DU469-1)*100)))</f>
        <v>-1.1453744493392093</v>
      </c>
      <c r="EE469" s="122">
        <v>1093</v>
      </c>
      <c r="EF469" s="860">
        <f t="shared" ref="EF469:EF476" si="2901">IF(ISERROR((EE469/DW469-1)*100),"NA",IF(((EE469/DW469-1)*100)&gt;100,"NM",IF(((EE469/DW469-1)*100)&lt;-50,"NM",(EE469/DW469-1)*100)))</f>
        <v>-1.9730941704035887</v>
      </c>
      <c r="EG469" s="122">
        <v>1194</v>
      </c>
      <c r="EH469" s="860">
        <f t="shared" ref="EH469:EH476" si="2902">IF(ISERROR((EG469/DY469-1)*100),"NA",IF(((EG469/DY469-1)*100)&gt;100,"NM",IF(((EG469/DY469-1)*100)&lt;-50,"NM",(EG469/DY469-1)*100)))</f>
        <v>-0.50000000000000044</v>
      </c>
      <c r="EI469" s="122">
        <v>1059</v>
      </c>
      <c r="EJ469" s="860">
        <f t="shared" ref="EJ469:EJ476" si="2903">IF(ISERROR((EI469/EA469-1)*100),"NA",IF(((EI469/EA469-1)*100)&gt;100,"NM",IF(((EI469/EA469-1)*100)&lt;-50,"NM",(EI469/EA469-1)*100)))</f>
        <v>-3.4639927073837784</v>
      </c>
      <c r="EK469" s="122">
        <v>1022</v>
      </c>
      <c r="EL469" s="860">
        <f t="shared" ref="EL469:EL476" si="2904">IF(ISERROR((EK469/EC469-1)*100),"NA",IF(((EK469/EC469-1)*100)&gt;100,"NM",IF(((EK469/EC469-1)*100)&lt;-50,"NM",(EK469/EC469-1)*100)))</f>
        <v>-8.9126559714794986</v>
      </c>
      <c r="EM469" s="122">
        <v>989</v>
      </c>
      <c r="EN469" s="860">
        <f t="shared" ref="EN469:EN476" si="2905">IF(ISERROR((EM469/EE469-1)*100),"NA",IF(((EM469/EE469-1)*100)&gt;100,"NM",IF(((EM469/EE469-1)*100)&lt;-50,"NM",(EM469/EE469-1)*100)))</f>
        <v>-9.51509606587374</v>
      </c>
      <c r="EO469" s="122">
        <v>1074</v>
      </c>
      <c r="EP469" s="98">
        <f t="shared" ref="EP469:EP476" si="2906">IF(ISERROR((EO469/EG469-1)*100),"NA",IF(((EO469/EG469-1)*100)&gt;100,"NM",IF(((EO469/EG469-1)*100)&lt;-50,"NM",(EO469/EG469-1)*100)))</f>
        <v>-10.050251256281406</v>
      </c>
      <c r="EQ469" s="1024">
        <f>EQ478/400*(EQ398+EQ388)</f>
        <v>1036.167901200989</v>
      </c>
      <c r="ER469" s="98">
        <f t="shared" ref="ER469:ER476" si="2907">IF(ISERROR((EQ469/EI469-1)*100),"NA",IF(((EQ469/EI469-1)*100)&gt;100,"NM",IF(((EQ469/EI469-1)*100)&lt;-50,"NM",(EQ469/EI469-1)*100)))</f>
        <v>-2.1560055523145438</v>
      </c>
      <c r="ES469" s="1024">
        <f t="shared" ref="ES469" si="2908">ES478/400*(ES398+ES388)</f>
        <v>1023.4686897737007</v>
      </c>
      <c r="ET469" s="98">
        <f t="shared" ref="ET469:ET476" si="2909">IF(ISERROR((ES469/EK469-1)*100),"NA",IF(((ES469/EK469-1)*100)&gt;100,"NM",IF(((ES469/EK469-1)*100)&lt;-50,"NM",(ES469/EK469-1)*100)))</f>
        <v>0.14370741425642208</v>
      </c>
      <c r="EU469" s="1024">
        <f t="shared" ref="EU469" si="2910">EU478/400*(EU398+EU388)</f>
        <v>1016.6379025686985</v>
      </c>
      <c r="EV469" s="98">
        <f t="shared" ref="EV469:EV476" si="2911">IF(ISERROR((EU469/EM469-1)*100),"NA",IF(((EU469/EM469-1)*100)&gt;100,"NM",IF(((EU469/EM469-1)*100)&lt;-50,"NM",(EU469/EM469-1)*100)))</f>
        <v>2.7945300878360335</v>
      </c>
      <c r="EW469" s="1024">
        <f t="shared" ref="EW469" si="2912">EW478/400*(EW398+EW388)</f>
        <v>1009.2903202571492</v>
      </c>
      <c r="EX469" s="98">
        <f t="shared" ref="EX469:EX476" si="2913">IF(ISERROR((EW469/EO469-1)*100),"NA",IF(((EW469/EO469-1)*100)&gt;100,"NM",IF(((EW469/EO469-1)*100)&lt;-50,"NM",(EW469/EO469-1)*100)))</f>
        <v>-6.0251098457030476</v>
      </c>
      <c r="EY469" s="176"/>
      <c r="EZ469" s="594"/>
      <c r="FA469" s="405"/>
      <c r="FB469" s="122">
        <v>92</v>
      </c>
      <c r="FC469" s="98"/>
      <c r="FD469" s="122">
        <v>74</v>
      </c>
      <c r="FE469" s="98">
        <f t="shared" ref="FE469:FE476" si="2914">IF(ISERROR((FD469/FB469-1)*100),"NA",IF(((FD469/FB469-1)*100)&gt;100,"NM",IF(((FD469/FB469-1)*100)&lt;-50,"NM",(FD469/FB469-1)*100)))</f>
        <v>-19.565217391304344</v>
      </c>
      <c r="FF469" s="118">
        <f>C469+E469+G469+I469</f>
        <v>93</v>
      </c>
      <c r="FG469" s="98">
        <f t="shared" ref="FG469:FG476" si="2915">IF(ISERROR((FF469/FD469-1)*100),"NA",IF(((FF469/FD469-1)*100)&gt;100,"NM",IF(((FF469/FD469-1)*100)&lt;-50,"NM",(FF469/FD469-1)*100)))</f>
        <v>25.675675675675681</v>
      </c>
      <c r="FH469" s="118">
        <f>K469+M469+O469+Q469</f>
        <v>91</v>
      </c>
      <c r="FI469" s="98">
        <f t="shared" ref="FI469:FI476" si="2916">IF(ISERROR((FH469/FF469-1)*100),"NA",IF(((FH469/FF469-1)*100)&gt;100,"NM",IF(((FH469/FF469-1)*100)&lt;-50,"NM",(FH469/FF469-1)*100)))</f>
        <v>-2.1505376344086002</v>
      </c>
      <c r="FJ469" s="118">
        <f>S469+U469+W469+Y469</f>
        <v>129</v>
      </c>
      <c r="FK469" s="98">
        <f t="shared" ref="FK469:FK476" si="2917">IF(ISERROR((FJ469/FH469-1)*100),"NA",IF(((FJ469/FH469-1)*100)&gt;100,"NM",IF(((FJ469/FH469-1)*100)&lt;-50,"NM",(FJ469/FH469-1)*100)))</f>
        <v>41.758241758241766</v>
      </c>
      <c r="FL469" s="118">
        <f>AA469+AC469+AE469+AG469</f>
        <v>86</v>
      </c>
      <c r="FM469" s="98">
        <f t="shared" ref="FM469:FM476" si="2918">IF(ISERROR((FL469/FJ469-1)*100),"NA",IF(((FL469/FJ469-1)*100)&gt;100,"NM",IF(((FL469/FJ469-1)*100)&lt;-50,"NM",(FL469/FJ469-1)*100)))</f>
        <v>-33.333333333333336</v>
      </c>
      <c r="FN469" s="118">
        <f>AI469+AK469+AM469+AO469</f>
        <v>126</v>
      </c>
      <c r="FO469" s="98">
        <f t="shared" ref="FO469:FO476" si="2919">IF(ISERROR((FN469/FL469-1)*100),"NA",IF(((FN469/FL469-1)*100)&gt;100,"NM",IF(((FN469/FL469-1)*100)&lt;-50,"NM",(FN469/FL469-1)*100)))</f>
        <v>46.511627906976742</v>
      </c>
      <c r="FP469" s="118">
        <f>AQ469+AS469+AU469+AW469</f>
        <v>355</v>
      </c>
      <c r="FQ469" s="98" t="str">
        <f t="shared" ref="FQ469:FQ476" si="2920">IF(ISERROR((FP469/FN469-1)*100),"NA",IF(((FP469/FN469-1)*100)&gt;100,"NM",IF(((FP469/FN469-1)*100)&lt;-50,"NM",(FP469/FN469-1)*100)))</f>
        <v>NM</v>
      </c>
      <c r="FR469" s="176">
        <f>AY469+BA469+BC469+BE469</f>
        <v>366</v>
      </c>
      <c r="FS469" s="120">
        <f t="shared" ref="FS469:FS476" si="2921">IF(ISERROR((FR469/FP469-1)*100),"NA",IF(((FR469/FP469-1)*100)&gt;100,"NM",IF(((FR469/FP469-1)*100)&lt;-50,"NM",(FR469/FP469-1)*100)))</f>
        <v>3.0985915492957705</v>
      </c>
      <c r="FT469" s="176">
        <f>BG469+BI469+BK469+BM469</f>
        <v>339</v>
      </c>
      <c r="FU469" s="120">
        <f t="shared" ref="FU469:FU476" si="2922">IF(ISERROR((FT469/FR469-1)*100),"NA",IF(((FT469/FR469-1)*100)&gt;100,"NM",IF(((FT469/FR469-1)*100)&lt;-50,"NM",(FT469/FR469-1)*100)))</f>
        <v>-7.3770491803278659</v>
      </c>
      <c r="FV469" s="176">
        <f>BO469+BQ469+BS469+BU469</f>
        <v>361</v>
      </c>
      <c r="FW469" s="98">
        <f t="shared" ref="FW469:FW476" si="2923">IF(ISERROR((FV469/FT469-1)*100),"NA",IF(((FV469/FT469-1)*100)&gt;100,"NM",IF(((FV469/FT469-1)*100)&lt;-50,"NM",(FV469/FT469-1)*100)))</f>
        <v>6.4896755162241915</v>
      </c>
      <c r="FX469" s="485">
        <f>BW469+BY469+CA469+CC469</f>
        <v>704</v>
      </c>
      <c r="FY469" s="98">
        <f t="shared" ref="FY469:FY476" si="2924">IF(ISERROR((FX469/FV469-1)*100),"NA",IF(((FX469/FV469-1)*100)&gt;100,"NM",IF(((FX469/FV469-1)*100)&lt;-50,"NM",(FX469/FV469-1)*100)))</f>
        <v>95.013850415512465</v>
      </c>
      <c r="FZ469" s="119">
        <f>CE469+CG469+CI469+CK469</f>
        <v>875</v>
      </c>
      <c r="GA469" s="98">
        <f t="shared" ref="GA469:GA476" si="2925">IF(ISERROR((FZ469/FX469-1)*100),"NA",IF(((FZ469/FX469-1)*100)&gt;100,"NM",IF(((FZ469/FX469-1)*100)&lt;-50,"NM",(FZ469/FX469-1)*100)))</f>
        <v>24.28977272727273</v>
      </c>
      <c r="GB469" s="485">
        <f>CM469+CO469+CQ469+CS469</f>
        <v>711</v>
      </c>
      <c r="GC469" s="98">
        <f t="shared" ref="GC469:GC476" si="2926">IF(ISERROR((GB469/FZ469-1)*100),"NA",IF(((GB469/FZ469-1)*100)&gt;100,"NM",IF(((GB469/FZ469-1)*100)&lt;-50,"NM",(GB469/FZ469-1)*100)))</f>
        <v>-18.74285714285714</v>
      </c>
      <c r="GD469" s="119">
        <f>CU469+CW469+CY469+DA469</f>
        <v>481</v>
      </c>
      <c r="GE469" s="98">
        <f t="shared" ref="GE469:GE476" si="2927">IF(ISERROR((GD469/GB469-1)*100),"NA",IF(((GD469/GB469-1)*100)&gt;100,"NM",IF(((GD469/GB469-1)*100)&lt;-50,"NM",(GD469/GB469-1)*100)))</f>
        <v>-32.348804500703231</v>
      </c>
      <c r="GF469" s="119">
        <f>DC469+DE469+DG469+DI469</f>
        <v>459</v>
      </c>
      <c r="GG469" s="98">
        <f t="shared" ref="GG469:GG476" si="2928">IF(ISERROR((GF469/GD469-1)*100),"NA",IF(((GF469/GD469-1)*100)&gt;100,"NM",IF(((GF469/GD469-1)*100)&lt;-50,"NM",(GF469/GD469-1)*100)))</f>
        <v>-4.5738045738045745</v>
      </c>
      <c r="GH469" s="119">
        <f>DK469+DM469+DO469+DQ469</f>
        <v>1138</v>
      </c>
      <c r="GI469" s="98" t="str">
        <f t="shared" ref="GI469:GI476" si="2929">IF(ISERROR((GH469/GF469-1)*100),"NA",IF(((GH469/GF469-1)*100)&gt;100,"NM",IF(((GH469/GF469-1)*100)&lt;-50,"NM",(GH469/GF469-1)*100)))</f>
        <v>NM</v>
      </c>
      <c r="GJ469" s="119">
        <f>DS469+DU469+DW469+DY469</f>
        <v>4545</v>
      </c>
      <c r="GK469" s="98" t="str">
        <f t="shared" ref="GK469:GK476" si="2930">IF(ISERROR((GJ469/GH469-1)*100),"NA",IF(((GJ469/GH469-1)*100)&gt;100,"NM",IF(((GJ469/GH469-1)*100)&lt;-50,"NM",(GJ469/GH469-1)*100)))</f>
        <v>NM</v>
      </c>
      <c r="GL469" s="119">
        <f>EA469+EC469+EE469+EG469</f>
        <v>4506</v>
      </c>
      <c r="GM469" s="98">
        <f t="shared" ref="GM469:GW476" si="2931">IF(ISERROR((GL469/GJ469-1)*100),"NA",IF(((GL469/GJ469-1)*100)&gt;100,"NM",IF(((GL469/GJ469-1)*100)&lt;-50,"NM",(GL469/GJ469-1)*100)))</f>
        <v>-0.85808580858085515</v>
      </c>
      <c r="GN469" s="119">
        <f>EI469+EK469+EM469+EO469</f>
        <v>4144</v>
      </c>
      <c r="GO469" s="98">
        <f t="shared" si="2931"/>
        <v>-8.0337328007101689</v>
      </c>
      <c r="GP469" s="119">
        <f>EQ469+ES469+EU469+EW469</f>
        <v>4085.5648138005372</v>
      </c>
      <c r="GQ469" s="98">
        <f t="shared" si="2931"/>
        <v>-1.4101154970912799</v>
      </c>
      <c r="GR469" s="1024">
        <f>GR478/100*(GR398+GR388)</f>
        <v>3917.6013739025666</v>
      </c>
      <c r="GS469" s="98">
        <f t="shared" si="2931"/>
        <v>-4.1111436864398883</v>
      </c>
      <c r="GT469" s="1024">
        <f>GT478/100*(GT398+GT388)</f>
        <v>3707.5245622326643</v>
      </c>
      <c r="GU469" s="98">
        <f t="shared" si="2931"/>
        <v>-5.3623835510510753</v>
      </c>
      <c r="GV469" s="1024">
        <f>GV478/100*(GV398+GV388)</f>
        <v>3476.491428610409</v>
      </c>
      <c r="GW469" s="98">
        <f t="shared" si="2931"/>
        <v>-6.2314660292669082</v>
      </c>
      <c r="GX469" s="1024">
        <f>GX478/100*(GX398+GX388)</f>
        <v>3233.2740510840476</v>
      </c>
      <c r="GY469" s="98">
        <f t="shared" ref="GY469:GY476" si="2932">IF(ISERROR((GX469/GV469-1)*100),"NA",IF(((GX469/GV469-1)*100)&gt;100,"NM",IF(((GX469/GV469-1)*100)&lt;-50,"NM",(GX469/GV469-1)*100)))</f>
        <v>-6.9960585987573705</v>
      </c>
      <c r="GZ469" s="98">
        <f t="shared" ref="GZ469:GZ476" si="2933">IF(ISERROR(((GX469/GN469)^0.2-1)*100),"NA",IF((((GX469/GN469)^0.2-1)*100)&gt;100,"NM",IF((((GX469/GN469)^0.2-1)*100)&lt;-50,"NM",((GX469/GN469)^0.2-1)*100)))</f>
        <v>-4.8421646795054123</v>
      </c>
      <c r="HA469" s="98"/>
      <c r="HB469" s="10"/>
      <c r="HC469"/>
      <c r="HD469"/>
      <c r="HE469"/>
      <c r="HF469"/>
      <c r="HG469"/>
      <c r="HH469"/>
      <c r="HI469" s="10"/>
    </row>
    <row r="470" spans="1:217" s="2" customFormat="1" ht="12.75" customHeight="1" x14ac:dyDescent="0.2">
      <c r="B470" s="91" t="s">
        <v>162</v>
      </c>
      <c r="C470" s="122">
        <v>110</v>
      </c>
      <c r="D470" s="98"/>
      <c r="E470" s="122">
        <v>110</v>
      </c>
      <c r="F470" s="98"/>
      <c r="G470" s="122">
        <v>118</v>
      </c>
      <c r="H470" s="98"/>
      <c r="I470" s="122">
        <v>117</v>
      </c>
      <c r="J470" s="98"/>
      <c r="K470" s="122">
        <v>80</v>
      </c>
      <c r="L470" s="98">
        <f t="shared" si="2839"/>
        <v>-27.27272727272727</v>
      </c>
      <c r="M470" s="122">
        <v>92</v>
      </c>
      <c r="N470" s="98">
        <f t="shared" si="2840"/>
        <v>-16.36363636363637</v>
      </c>
      <c r="O470" s="122">
        <v>87</v>
      </c>
      <c r="P470" s="98">
        <f t="shared" si="2841"/>
        <v>-26.271186440677962</v>
      </c>
      <c r="Q470" s="122">
        <v>86</v>
      </c>
      <c r="R470" s="98">
        <f t="shared" si="2842"/>
        <v>-26.49572649572649</v>
      </c>
      <c r="S470" s="122">
        <v>81</v>
      </c>
      <c r="T470" s="98">
        <f t="shared" si="2843"/>
        <v>1.2499999999999956</v>
      </c>
      <c r="U470" s="122">
        <v>79</v>
      </c>
      <c r="V470" s="98">
        <f t="shared" si="2844"/>
        <v>-14.130434782608692</v>
      </c>
      <c r="W470" s="122">
        <v>82</v>
      </c>
      <c r="X470" s="98">
        <f t="shared" si="2845"/>
        <v>-5.7471264367816133</v>
      </c>
      <c r="Y470" s="122">
        <v>78</v>
      </c>
      <c r="Z470" s="98">
        <f t="shared" si="2846"/>
        <v>-9.3023255813953547</v>
      </c>
      <c r="AA470" s="122">
        <v>82</v>
      </c>
      <c r="AB470" s="98">
        <f t="shared" si="2847"/>
        <v>1.2345679012345734</v>
      </c>
      <c r="AC470" s="122">
        <v>95</v>
      </c>
      <c r="AD470" s="98">
        <f t="shared" si="2848"/>
        <v>20.253164556962023</v>
      </c>
      <c r="AE470" s="122">
        <v>106</v>
      </c>
      <c r="AF470" s="98">
        <f t="shared" si="2849"/>
        <v>29.268292682926834</v>
      </c>
      <c r="AG470" s="122">
        <v>137</v>
      </c>
      <c r="AH470" s="98">
        <f t="shared" si="2850"/>
        <v>75.641025641025635</v>
      </c>
      <c r="AI470" s="122">
        <v>151</v>
      </c>
      <c r="AJ470" s="98">
        <f t="shared" si="2851"/>
        <v>84.146341463414643</v>
      </c>
      <c r="AK470" s="122">
        <v>156</v>
      </c>
      <c r="AL470" s="98">
        <f t="shared" si="2852"/>
        <v>64.21052631578948</v>
      </c>
      <c r="AM470" s="122">
        <v>156</v>
      </c>
      <c r="AN470" s="98">
        <f t="shared" si="2853"/>
        <v>47.169811320754704</v>
      </c>
      <c r="AO470" s="122">
        <v>177</v>
      </c>
      <c r="AP470" s="98">
        <f t="shared" si="2854"/>
        <v>29.197080291970813</v>
      </c>
      <c r="AQ470" s="122">
        <v>185</v>
      </c>
      <c r="AR470" s="98">
        <f t="shared" si="2855"/>
        <v>22.516556291390732</v>
      </c>
      <c r="AS470" s="122">
        <v>198</v>
      </c>
      <c r="AT470" s="98">
        <f t="shared" si="2856"/>
        <v>26.923076923076916</v>
      </c>
      <c r="AU470" s="122">
        <v>318</v>
      </c>
      <c r="AV470" s="98" t="str">
        <f t="shared" si="2857"/>
        <v>NM</v>
      </c>
      <c r="AW470" s="122">
        <v>334</v>
      </c>
      <c r="AX470" s="98">
        <f t="shared" si="2858"/>
        <v>88.700564971751405</v>
      </c>
      <c r="AY470" s="122">
        <v>356</v>
      </c>
      <c r="AZ470" s="98">
        <f t="shared" si="2859"/>
        <v>92.432432432432449</v>
      </c>
      <c r="BA470" s="122">
        <v>367</v>
      </c>
      <c r="BB470" s="98">
        <f t="shared" si="2860"/>
        <v>85.353535353535364</v>
      </c>
      <c r="BC470" s="122">
        <v>365</v>
      </c>
      <c r="BD470" s="98">
        <f t="shared" si="2861"/>
        <v>14.779874213836486</v>
      </c>
      <c r="BE470" s="122">
        <v>387</v>
      </c>
      <c r="BF470" s="98">
        <f t="shared" si="2862"/>
        <v>15.868263473053901</v>
      </c>
      <c r="BG470" s="122">
        <v>409</v>
      </c>
      <c r="BH470" s="98">
        <f t="shared" si="2863"/>
        <v>14.8876404494382</v>
      </c>
      <c r="BI470" s="122">
        <v>437</v>
      </c>
      <c r="BJ470" s="98">
        <f t="shared" si="2864"/>
        <v>19.073569482288821</v>
      </c>
      <c r="BK470" s="122">
        <v>442</v>
      </c>
      <c r="BL470" s="98">
        <f t="shared" si="2865"/>
        <v>21.095890410958894</v>
      </c>
      <c r="BM470" s="122">
        <v>474</v>
      </c>
      <c r="BN470" s="98">
        <f t="shared" si="2866"/>
        <v>22.480620155038757</v>
      </c>
      <c r="BO470" s="174">
        <v>431</v>
      </c>
      <c r="BP470" s="175">
        <f t="shared" si="2867"/>
        <v>5.3789731051344658</v>
      </c>
      <c r="BQ470" s="174">
        <v>445</v>
      </c>
      <c r="BR470" s="175">
        <f t="shared" si="2868"/>
        <v>1.8306636155606348</v>
      </c>
      <c r="BS470" s="174">
        <v>430</v>
      </c>
      <c r="BT470" s="175">
        <f t="shared" si="2869"/>
        <v>-2.714932126696834</v>
      </c>
      <c r="BU470" s="174">
        <v>381</v>
      </c>
      <c r="BV470" s="175">
        <f t="shared" si="2870"/>
        <v>-19.620253164556967</v>
      </c>
      <c r="BW470" s="174">
        <v>356</v>
      </c>
      <c r="BX470" s="175">
        <f t="shared" si="2871"/>
        <v>-17.401392111368907</v>
      </c>
      <c r="BY470" s="174">
        <v>397</v>
      </c>
      <c r="BZ470" s="175">
        <f t="shared" si="2872"/>
        <v>-10.786516853932582</v>
      </c>
      <c r="CA470" s="174">
        <v>466</v>
      </c>
      <c r="CB470" s="98">
        <f t="shared" si="2873"/>
        <v>8.3720930232558111</v>
      </c>
      <c r="CC470" s="122">
        <v>493</v>
      </c>
      <c r="CD470" s="98">
        <f t="shared" si="2874"/>
        <v>29.396325459317584</v>
      </c>
      <c r="CE470" s="122">
        <v>465</v>
      </c>
      <c r="CF470" s="98">
        <f t="shared" si="2875"/>
        <v>30.617977528089881</v>
      </c>
      <c r="CG470" s="122">
        <v>509</v>
      </c>
      <c r="CH470" s="98">
        <f t="shared" si="2876"/>
        <v>28.211586901763219</v>
      </c>
      <c r="CI470" s="122">
        <v>500</v>
      </c>
      <c r="CJ470" s="98">
        <f t="shared" si="2877"/>
        <v>7.296137339055786</v>
      </c>
      <c r="CK470" s="122">
        <v>550</v>
      </c>
      <c r="CL470" s="98">
        <f t="shared" si="2878"/>
        <v>11.561866125760645</v>
      </c>
      <c r="CM470" s="122">
        <v>586</v>
      </c>
      <c r="CN470" s="98">
        <f t="shared" si="2879"/>
        <v>26.021505376344088</v>
      </c>
      <c r="CO470" s="122">
        <v>622</v>
      </c>
      <c r="CP470" s="98">
        <f t="shared" si="2880"/>
        <v>22.200392927308442</v>
      </c>
      <c r="CQ470" s="547">
        <v>620</v>
      </c>
      <c r="CR470" s="98">
        <f t="shared" si="2881"/>
        <v>24</v>
      </c>
      <c r="CS470" s="122">
        <v>634</v>
      </c>
      <c r="CT470" s="98">
        <f t="shared" si="2882"/>
        <v>15.272727272727282</v>
      </c>
      <c r="CU470" s="122">
        <v>701</v>
      </c>
      <c r="CV470" s="98">
        <f t="shared" si="2883"/>
        <v>19.624573378839582</v>
      </c>
      <c r="CW470" s="122">
        <v>709</v>
      </c>
      <c r="CX470" s="98">
        <f t="shared" si="2884"/>
        <v>13.987138263665599</v>
      </c>
      <c r="CY470" s="122">
        <v>738</v>
      </c>
      <c r="CZ470" s="98">
        <f t="shared" si="2885"/>
        <v>19.032258064516139</v>
      </c>
      <c r="DA470" s="122">
        <v>774</v>
      </c>
      <c r="DB470" s="98">
        <f t="shared" si="2886"/>
        <v>22.082018927444793</v>
      </c>
      <c r="DC470" s="122">
        <v>771</v>
      </c>
      <c r="DD470" s="98">
        <f t="shared" si="2887"/>
        <v>9.9857346647646228</v>
      </c>
      <c r="DE470" s="122">
        <v>821</v>
      </c>
      <c r="DF470" s="98">
        <f t="shared" si="2888"/>
        <v>15.796897038081802</v>
      </c>
      <c r="DG470" s="122">
        <v>842</v>
      </c>
      <c r="DH470" s="98">
        <f t="shared" si="2889"/>
        <v>14.092140921409225</v>
      </c>
      <c r="DI470" s="122">
        <v>855</v>
      </c>
      <c r="DJ470" s="98">
        <f t="shared" si="2890"/>
        <v>10.465116279069765</v>
      </c>
      <c r="DK470" s="122">
        <v>847</v>
      </c>
      <c r="DL470" s="98">
        <f t="shared" si="2891"/>
        <v>9.8573281452658978</v>
      </c>
      <c r="DM470" s="122">
        <v>862</v>
      </c>
      <c r="DN470" s="98">
        <f t="shared" si="2892"/>
        <v>4.9939098660170433</v>
      </c>
      <c r="DO470" s="122">
        <v>877</v>
      </c>
      <c r="DP470" s="98">
        <f t="shared" si="2893"/>
        <v>4.1567695961995277</v>
      </c>
      <c r="DQ470" s="122">
        <v>858</v>
      </c>
      <c r="DR470" s="98">
        <f t="shared" si="2894"/>
        <v>0.35087719298245723</v>
      </c>
      <c r="DS470" s="122">
        <v>371</v>
      </c>
      <c r="DT470" s="98" t="str">
        <f t="shared" si="2895"/>
        <v>NM</v>
      </c>
      <c r="DU470" s="122">
        <v>376</v>
      </c>
      <c r="DV470" s="98" t="str">
        <f t="shared" si="2896"/>
        <v>NM</v>
      </c>
      <c r="DW470" s="122">
        <v>370</v>
      </c>
      <c r="DX470" s="98" t="str">
        <f t="shared" si="2897"/>
        <v>NM</v>
      </c>
      <c r="DY470" s="122">
        <v>365</v>
      </c>
      <c r="DZ470" s="98" t="str">
        <f t="shared" si="2898"/>
        <v>NM</v>
      </c>
      <c r="EA470" s="122">
        <v>355</v>
      </c>
      <c r="EB470" s="98">
        <f t="shared" si="2899"/>
        <v>-4.3126684636118569</v>
      </c>
      <c r="EC470" s="122">
        <v>361</v>
      </c>
      <c r="ED470" s="98">
        <f t="shared" si="2900"/>
        <v>-3.9893617021276584</v>
      </c>
      <c r="EE470" s="122">
        <v>357</v>
      </c>
      <c r="EF470" s="860">
        <f t="shared" si="2901"/>
        <v>-3.5135135135135109</v>
      </c>
      <c r="EG470" s="122">
        <v>363</v>
      </c>
      <c r="EH470" s="860">
        <f t="shared" si="2902"/>
        <v>-0.5479452054794498</v>
      </c>
      <c r="EI470" s="122">
        <v>362</v>
      </c>
      <c r="EJ470" s="860">
        <f t="shared" si="2903"/>
        <v>1.9718309859154903</v>
      </c>
      <c r="EK470" s="122">
        <v>345</v>
      </c>
      <c r="EL470" s="860">
        <f t="shared" si="2904"/>
        <v>-4.4321329639889218</v>
      </c>
      <c r="EM470" s="122">
        <v>349</v>
      </c>
      <c r="EN470" s="860">
        <f t="shared" si="2905"/>
        <v>-2.2408963585434205</v>
      </c>
      <c r="EO470" s="122">
        <v>305</v>
      </c>
      <c r="EP470" s="98">
        <f t="shared" si="2906"/>
        <v>-15.977961432506882</v>
      </c>
      <c r="EQ470" s="1024">
        <f>EQ398*(EQ479/400)</f>
        <v>349.54010243057087</v>
      </c>
      <c r="ER470" s="98">
        <f t="shared" si="2907"/>
        <v>-3.441960654538434</v>
      </c>
      <c r="ES470" s="1024">
        <f t="shared" ref="ES470" si="2934">ES398*(ES479/400)</f>
        <v>336.82393489982906</v>
      </c>
      <c r="ET470" s="98">
        <f t="shared" si="2909"/>
        <v>-2.3698739420785375</v>
      </c>
      <c r="EU470" s="1024">
        <f t="shared" ref="EU470" si="2935">EU398*(EU479/400)</f>
        <v>330.86309563345174</v>
      </c>
      <c r="EV470" s="98">
        <f t="shared" si="2911"/>
        <v>-5.196820735400653</v>
      </c>
      <c r="EW470" s="1024">
        <f t="shared" ref="EW470" si="2936">EW398*(EW479/400)</f>
        <v>324.87190273563556</v>
      </c>
      <c r="EX470" s="98">
        <f t="shared" si="2913"/>
        <v>6.5153779461100125</v>
      </c>
      <c r="EY470" s="176"/>
      <c r="EZ470" s="594"/>
      <c r="FA470" s="405"/>
      <c r="FB470" s="122">
        <v>249</v>
      </c>
      <c r="FC470" s="98"/>
      <c r="FD470" s="122">
        <v>317</v>
      </c>
      <c r="FE470" s="98">
        <f t="shared" si="2914"/>
        <v>27.30923694779117</v>
      </c>
      <c r="FF470" s="118">
        <f>C470+E470+G470+I470</f>
        <v>455</v>
      </c>
      <c r="FG470" s="98">
        <f t="shared" si="2915"/>
        <v>43.533123028391159</v>
      </c>
      <c r="FH470" s="118">
        <f>K470+M470+O470+Q470</f>
        <v>345</v>
      </c>
      <c r="FI470" s="98">
        <f t="shared" si="2916"/>
        <v>-24.175824175824179</v>
      </c>
      <c r="FJ470" s="118">
        <f>S470+U470+W470+Y470</f>
        <v>320</v>
      </c>
      <c r="FK470" s="98">
        <f t="shared" si="2917"/>
        <v>-7.2463768115942013</v>
      </c>
      <c r="FL470" s="118">
        <f>AA470+AC470+AE470+AG470</f>
        <v>420</v>
      </c>
      <c r="FM470" s="98">
        <f t="shared" si="2918"/>
        <v>31.25</v>
      </c>
      <c r="FN470" s="118">
        <f>AI470+AK470+AM470+AO470</f>
        <v>640</v>
      </c>
      <c r="FO470" s="98">
        <f t="shared" si="2919"/>
        <v>52.380952380952372</v>
      </c>
      <c r="FP470" s="118">
        <f>AQ470+AS470+AU470+AW470</f>
        <v>1035</v>
      </c>
      <c r="FQ470" s="98">
        <f t="shared" si="2920"/>
        <v>61.71875</v>
      </c>
      <c r="FR470" s="176">
        <f>AY470+BA470+BC470+BE470</f>
        <v>1475</v>
      </c>
      <c r="FS470" s="120">
        <f t="shared" si="2921"/>
        <v>42.51207729468598</v>
      </c>
      <c r="FT470" s="176">
        <f>BG470+BI470+BK470+BM470</f>
        <v>1762</v>
      </c>
      <c r="FU470" s="120">
        <f t="shared" si="2922"/>
        <v>19.457627118644073</v>
      </c>
      <c r="FV470" s="177">
        <v>1870</v>
      </c>
      <c r="FW470" s="98">
        <f t="shared" si="2923"/>
        <v>6.1293984108967026</v>
      </c>
      <c r="FX470" s="485">
        <f>BW470+BY470+CA470+CC470</f>
        <v>1712</v>
      </c>
      <c r="FY470" s="98">
        <f t="shared" si="2924"/>
        <v>-8.4491978609625651</v>
      </c>
      <c r="FZ470" s="119">
        <f>CE470+CG470+CI470+CK470</f>
        <v>2024</v>
      </c>
      <c r="GA470" s="98">
        <f t="shared" si="2925"/>
        <v>18.224299065420556</v>
      </c>
      <c r="GB470" s="485">
        <f>CM470+CO470+CQ470+CS470</f>
        <v>2462</v>
      </c>
      <c r="GC470" s="98">
        <f t="shared" si="2926"/>
        <v>21.640316205533594</v>
      </c>
      <c r="GD470" s="119">
        <f>CU470+CW470+CY470+DA470</f>
        <v>2922</v>
      </c>
      <c r="GE470" s="98">
        <f t="shared" si="2927"/>
        <v>18.683996750609253</v>
      </c>
      <c r="GF470" s="119">
        <f>DC470+DE470+DG470+DI470</f>
        <v>3289</v>
      </c>
      <c r="GG470" s="98">
        <f t="shared" si="2928"/>
        <v>12.559890485968506</v>
      </c>
      <c r="GH470" s="119">
        <f>DK470+DM470+DO470+DQ470</f>
        <v>3444</v>
      </c>
      <c r="GI470" s="98">
        <f t="shared" si="2929"/>
        <v>4.7126786257221109</v>
      </c>
      <c r="GJ470" s="119">
        <f>DS470+DU470+DW470+DY470</f>
        <v>1482</v>
      </c>
      <c r="GK470" s="98" t="str">
        <f t="shared" si="2930"/>
        <v>NM</v>
      </c>
      <c r="GL470" s="119">
        <f>EA470+EC470+EE470+EG470</f>
        <v>1436</v>
      </c>
      <c r="GM470" s="98">
        <f t="shared" si="2931"/>
        <v>-3.1039136302294157</v>
      </c>
      <c r="GN470" s="119">
        <f>EI470+EK470+EM470+EO470</f>
        <v>1361</v>
      </c>
      <c r="GO470" s="98">
        <f t="shared" si="2931"/>
        <v>-5.2228412256267394</v>
      </c>
      <c r="GP470" s="119">
        <f>EQ470+ES470+EU470+EW470</f>
        <v>1342.0990356994871</v>
      </c>
      <c r="GQ470" s="98">
        <f t="shared" si="2931"/>
        <v>-1.3887556429473147</v>
      </c>
      <c r="GR470" s="1090">
        <f>GR398*(GR479/100)</f>
        <v>1250.0843131790393</v>
      </c>
      <c r="GS470" s="98">
        <f t="shared" si="2931"/>
        <v>-6.8560307453384599</v>
      </c>
      <c r="GT470" s="1090">
        <f>GT398*(GT479/100)</f>
        <v>1096.9780105542825</v>
      </c>
      <c r="GU470" s="98">
        <f t="shared" si="2931"/>
        <v>-12.247678097439552</v>
      </c>
      <c r="GV470" s="1090">
        <f>GV398*(GV479/100)</f>
        <v>951.06611272987834</v>
      </c>
      <c r="GW470" s="98">
        <f t="shared" si="2931"/>
        <v>-13.301260045374796</v>
      </c>
      <c r="GX470" s="1090">
        <f>GX398*(GX479/100)</f>
        <v>813.79212986677703</v>
      </c>
      <c r="GY470" s="98">
        <f t="shared" si="2932"/>
        <v>-14.433695094979148</v>
      </c>
      <c r="GZ470" s="98">
        <f t="shared" si="2933"/>
        <v>-9.7741313217690973</v>
      </c>
      <c r="HA470" s="98"/>
      <c r="HB470" s="10"/>
      <c r="HC470"/>
      <c r="HD470"/>
      <c r="HE470"/>
      <c r="HF470"/>
      <c r="HG470"/>
      <c r="HH470"/>
      <c r="HI470" s="10"/>
    </row>
    <row r="471" spans="1:217" s="2" customFormat="1" ht="12.75" customHeight="1" x14ac:dyDescent="0.2">
      <c r="B471" s="9" t="s">
        <v>534</v>
      </c>
      <c r="C471" s="101">
        <v>467</v>
      </c>
      <c r="D471" s="98"/>
      <c r="E471" s="101">
        <v>473</v>
      </c>
      <c r="F471" s="98"/>
      <c r="G471" s="101">
        <v>467</v>
      </c>
      <c r="H471" s="98"/>
      <c r="I471" s="101">
        <v>487</v>
      </c>
      <c r="J471" s="98"/>
      <c r="K471" s="101">
        <v>482</v>
      </c>
      <c r="L471" s="98">
        <f t="shared" si="2839"/>
        <v>3.2119914346895095</v>
      </c>
      <c r="M471" s="101">
        <v>491</v>
      </c>
      <c r="N471" s="98">
        <f t="shared" si="2840"/>
        <v>3.8054968287526414</v>
      </c>
      <c r="O471" s="101">
        <v>499</v>
      </c>
      <c r="P471" s="98">
        <f t="shared" si="2841"/>
        <v>6.85224839400429</v>
      </c>
      <c r="Q471" s="101">
        <v>490</v>
      </c>
      <c r="R471" s="98">
        <f t="shared" si="2842"/>
        <v>0.61601642710471527</v>
      </c>
      <c r="S471" s="101">
        <v>457</v>
      </c>
      <c r="T471" s="98">
        <f t="shared" si="2843"/>
        <v>-5.1867219917012486</v>
      </c>
      <c r="U471" s="101">
        <v>478</v>
      </c>
      <c r="V471" s="98">
        <f t="shared" si="2844"/>
        <v>-2.6476578411405272</v>
      </c>
      <c r="W471" s="101">
        <v>496</v>
      </c>
      <c r="X471" s="98">
        <f t="shared" si="2845"/>
        <v>-0.60120240480961984</v>
      </c>
      <c r="Y471" s="101">
        <v>510</v>
      </c>
      <c r="Z471" s="98">
        <f t="shared" si="2846"/>
        <v>4.081632653061229</v>
      </c>
      <c r="AA471" s="101">
        <v>487</v>
      </c>
      <c r="AB471" s="98">
        <f t="shared" si="2847"/>
        <v>6.5645514223194645</v>
      </c>
      <c r="AC471" s="101">
        <v>479</v>
      </c>
      <c r="AD471" s="98">
        <f t="shared" si="2848"/>
        <v>0.20920502092049986</v>
      </c>
      <c r="AE471" s="101">
        <v>489</v>
      </c>
      <c r="AF471" s="98">
        <f t="shared" si="2849"/>
        <v>-1.4112903225806495</v>
      </c>
      <c r="AG471" s="101">
        <v>503</v>
      </c>
      <c r="AH471" s="98">
        <f t="shared" si="2850"/>
        <v>-1.3725490196078383</v>
      </c>
      <c r="AI471" s="101">
        <v>475</v>
      </c>
      <c r="AJ471" s="98">
        <f t="shared" si="2851"/>
        <v>-2.4640657084188944</v>
      </c>
      <c r="AK471" s="101">
        <v>494</v>
      </c>
      <c r="AL471" s="98">
        <f t="shared" si="2852"/>
        <v>3.1315240083507279</v>
      </c>
      <c r="AM471" s="101">
        <v>491</v>
      </c>
      <c r="AN471" s="98">
        <f t="shared" si="2853"/>
        <v>0.40899795501021519</v>
      </c>
      <c r="AO471" s="101">
        <v>513</v>
      </c>
      <c r="AP471" s="98">
        <f t="shared" si="2854"/>
        <v>1.9880715705765439</v>
      </c>
      <c r="AQ471" s="101">
        <v>511</v>
      </c>
      <c r="AR471" s="98">
        <f t="shared" si="2855"/>
        <v>7.5789473684210629</v>
      </c>
      <c r="AS471" s="101">
        <v>551</v>
      </c>
      <c r="AT471" s="98">
        <f t="shared" si="2856"/>
        <v>11.538461538461542</v>
      </c>
      <c r="AU471" s="101">
        <v>681</v>
      </c>
      <c r="AV471" s="98">
        <f t="shared" si="2857"/>
        <v>38.696537678207733</v>
      </c>
      <c r="AW471" s="101">
        <v>665</v>
      </c>
      <c r="AX471" s="98">
        <f t="shared" si="2858"/>
        <v>29.629629629629626</v>
      </c>
      <c r="AY471" s="101">
        <v>677</v>
      </c>
      <c r="AZ471" s="98">
        <f t="shared" si="2859"/>
        <v>32.485322896281808</v>
      </c>
      <c r="BA471" s="101">
        <v>667</v>
      </c>
      <c r="BB471" s="98">
        <f t="shared" si="2860"/>
        <v>21.052631578947366</v>
      </c>
      <c r="BC471" s="101">
        <v>658</v>
      </c>
      <c r="BD471" s="98">
        <f t="shared" si="2861"/>
        <v>-3.3773861967694607</v>
      </c>
      <c r="BE471" s="101">
        <v>697</v>
      </c>
      <c r="BF471" s="98">
        <f t="shared" si="2862"/>
        <v>4.8120300751879785</v>
      </c>
      <c r="BG471" s="101">
        <v>677</v>
      </c>
      <c r="BH471" s="98">
        <f t="shared" si="2863"/>
        <v>0</v>
      </c>
      <c r="BI471" s="101">
        <v>714</v>
      </c>
      <c r="BJ471" s="98">
        <f t="shared" si="2864"/>
        <v>7.0464767616191804</v>
      </c>
      <c r="BK471" s="101">
        <v>648</v>
      </c>
      <c r="BL471" s="98">
        <f t="shared" si="2865"/>
        <v>-1.5197568389057725</v>
      </c>
      <c r="BM471" s="101">
        <v>697</v>
      </c>
      <c r="BN471" s="98">
        <f t="shared" si="2866"/>
        <v>0</v>
      </c>
      <c r="BO471" s="178">
        <v>625</v>
      </c>
      <c r="BP471" s="175">
        <f t="shared" si="2867"/>
        <v>-7.6809453471196498</v>
      </c>
      <c r="BQ471" s="178">
        <v>598</v>
      </c>
      <c r="BR471" s="175">
        <f t="shared" si="2868"/>
        <v>-16.246498599439775</v>
      </c>
      <c r="BS471" s="178">
        <v>583</v>
      </c>
      <c r="BT471" s="175">
        <f t="shared" si="2869"/>
        <v>-10.030864197530864</v>
      </c>
      <c r="BU471" s="178">
        <v>558</v>
      </c>
      <c r="BV471" s="175">
        <f t="shared" si="2870"/>
        <v>-19.942611190817793</v>
      </c>
      <c r="BW471" s="178">
        <v>623</v>
      </c>
      <c r="BX471" s="175">
        <f t="shared" si="2871"/>
        <v>-0.31999999999999806</v>
      </c>
      <c r="BY471" s="178">
        <v>724</v>
      </c>
      <c r="BZ471" s="175">
        <f t="shared" si="2872"/>
        <v>21.070234113712381</v>
      </c>
      <c r="CA471" s="178">
        <v>749</v>
      </c>
      <c r="CB471" s="98">
        <f t="shared" si="2873"/>
        <v>28.473413379073765</v>
      </c>
      <c r="CC471" s="101">
        <f>840</f>
        <v>840</v>
      </c>
      <c r="CD471" s="98">
        <f t="shared" si="2874"/>
        <v>50.537634408602152</v>
      </c>
      <c r="CE471" s="101">
        <v>852</v>
      </c>
      <c r="CF471" s="98">
        <f t="shared" si="2875"/>
        <v>36.757624398073844</v>
      </c>
      <c r="CG471" s="101">
        <v>842</v>
      </c>
      <c r="CH471" s="98">
        <f t="shared" si="2876"/>
        <v>16.298342541436472</v>
      </c>
      <c r="CI471" s="101">
        <v>856</v>
      </c>
      <c r="CJ471" s="98">
        <f t="shared" si="2877"/>
        <v>14.285714285714279</v>
      </c>
      <c r="CK471" s="101">
        <v>845</v>
      </c>
      <c r="CL471" s="98">
        <f t="shared" si="2878"/>
        <v>0.59523809523809312</v>
      </c>
      <c r="CM471" s="101">
        <v>711</v>
      </c>
      <c r="CN471" s="98">
        <f t="shared" si="2879"/>
        <v>-16.549295774647888</v>
      </c>
      <c r="CO471" s="101">
        <v>709</v>
      </c>
      <c r="CP471" s="98">
        <f t="shared" si="2880"/>
        <v>-15.795724465558191</v>
      </c>
      <c r="CQ471" s="542">
        <v>714</v>
      </c>
      <c r="CR471" s="98">
        <f t="shared" si="2881"/>
        <v>-16.588785046728972</v>
      </c>
      <c r="CS471" s="101">
        <v>736</v>
      </c>
      <c r="CT471" s="98">
        <f t="shared" si="2882"/>
        <v>-12.899408284023671</v>
      </c>
      <c r="CU471" s="101">
        <v>760</v>
      </c>
      <c r="CV471" s="98">
        <f t="shared" si="2883"/>
        <v>6.891701828410679</v>
      </c>
      <c r="CW471" s="101">
        <v>750</v>
      </c>
      <c r="CX471" s="98">
        <f t="shared" si="2884"/>
        <v>5.7827926657263662</v>
      </c>
      <c r="CY471" s="101">
        <v>749</v>
      </c>
      <c r="CZ471" s="98">
        <f t="shared" si="2885"/>
        <v>4.9019607843137303</v>
      </c>
      <c r="DA471" s="101">
        <v>745</v>
      </c>
      <c r="DB471" s="98">
        <f t="shared" si="2886"/>
        <v>1.2228260869565188</v>
      </c>
      <c r="DC471" s="101">
        <v>757</v>
      </c>
      <c r="DD471" s="98">
        <f t="shared" si="2887"/>
        <v>-0.39473684210525883</v>
      </c>
      <c r="DE471" s="101">
        <v>789</v>
      </c>
      <c r="DF471" s="98">
        <f t="shared" si="2888"/>
        <v>5.2000000000000046</v>
      </c>
      <c r="DG471" s="101">
        <v>750</v>
      </c>
      <c r="DH471" s="98">
        <f t="shared" si="2889"/>
        <v>0.13351134846462109</v>
      </c>
      <c r="DI471" s="101">
        <v>768</v>
      </c>
      <c r="DJ471" s="98">
        <f t="shared" si="2890"/>
        <v>3.0872483221476621</v>
      </c>
      <c r="DK471" s="101">
        <v>745</v>
      </c>
      <c r="DL471" s="98">
        <f t="shared" si="2891"/>
        <v>-1.5852047556142668</v>
      </c>
      <c r="DM471" s="101">
        <v>725</v>
      </c>
      <c r="DN471" s="98">
        <f t="shared" si="2892"/>
        <v>-8.1115335868187532</v>
      </c>
      <c r="DO471" s="101">
        <v>718</v>
      </c>
      <c r="DP471" s="98">
        <f t="shared" si="2893"/>
        <v>-4.2666666666666631</v>
      </c>
      <c r="DQ471" s="101">
        <v>718</v>
      </c>
      <c r="DR471" s="98">
        <f t="shared" si="2894"/>
        <v>-6.5104166666666625</v>
      </c>
      <c r="DS471" s="101">
        <v>1584</v>
      </c>
      <c r="DT471" s="98" t="str">
        <f t="shared" si="2895"/>
        <v>NM</v>
      </c>
      <c r="DU471" s="101">
        <v>1585</v>
      </c>
      <c r="DV471" s="98" t="str">
        <f t="shared" si="2896"/>
        <v>NM</v>
      </c>
      <c r="DW471" s="101">
        <v>1521</v>
      </c>
      <c r="DX471" s="98" t="str">
        <f t="shared" si="2897"/>
        <v>NM</v>
      </c>
      <c r="DY471" s="101">
        <v>1511</v>
      </c>
      <c r="DZ471" s="98" t="str">
        <f t="shared" si="2898"/>
        <v>NM</v>
      </c>
      <c r="EA471" s="101">
        <v>1475</v>
      </c>
      <c r="EB471" s="98">
        <f t="shared" si="2899"/>
        <v>-6.8813131313131271</v>
      </c>
      <c r="EC471" s="101">
        <v>1477</v>
      </c>
      <c r="ED471" s="98">
        <f t="shared" si="2900"/>
        <v>-6.8138801261829691</v>
      </c>
      <c r="EE471" s="101">
        <v>1537</v>
      </c>
      <c r="EF471" s="860">
        <f t="shared" si="2901"/>
        <v>1.051939513477973</v>
      </c>
      <c r="EG471" s="101">
        <v>1455</v>
      </c>
      <c r="EH471" s="860">
        <f t="shared" si="2902"/>
        <v>-3.7061548643282594</v>
      </c>
      <c r="EI471" s="101">
        <v>1441</v>
      </c>
      <c r="EJ471" s="860">
        <f t="shared" si="2903"/>
        <v>-2.3050847457627088</v>
      </c>
      <c r="EK471" s="101">
        <v>1401</v>
      </c>
      <c r="EL471" s="860">
        <f t="shared" si="2904"/>
        <v>-5.1455653351387909</v>
      </c>
      <c r="EM471" s="101">
        <v>1390</v>
      </c>
      <c r="EN471" s="860">
        <f t="shared" si="2905"/>
        <v>-9.5640858815875021</v>
      </c>
      <c r="EO471" s="101">
        <v>1375</v>
      </c>
      <c r="EP471" s="98">
        <f t="shared" si="2906"/>
        <v>-5.4982817869415834</v>
      </c>
      <c r="EQ471" s="1023">
        <f>EQ388*(EQ480/400)</f>
        <v>1369.8720938168344</v>
      </c>
      <c r="ER471" s="98">
        <f t="shared" si="2907"/>
        <v>-4.9360101445638849</v>
      </c>
      <c r="ES471" s="1023">
        <f t="shared" ref="ES471" si="2937">ES388*(ES480/400)</f>
        <v>1366.0662534516648</v>
      </c>
      <c r="ET471" s="98">
        <f t="shared" si="2909"/>
        <v>-2.4934865487748148</v>
      </c>
      <c r="EU471" s="1023">
        <f t="shared" ref="EU471" si="2938">EU388*(EU480/400)</f>
        <v>1361.2241611611523</v>
      </c>
      <c r="EV471" s="98">
        <f t="shared" si="2911"/>
        <v>-2.0702042330106196</v>
      </c>
      <c r="EW471" s="1023">
        <f t="shared" ref="EW471" si="2939">EW388*(EW480/400)</f>
        <v>1352.8974236831882</v>
      </c>
      <c r="EX471" s="98">
        <f t="shared" si="2913"/>
        <v>-1.6074600957681318</v>
      </c>
      <c r="EY471" s="119"/>
      <c r="EZ471" s="594"/>
      <c r="FA471" s="405"/>
      <c r="FB471" s="121">
        <v>1583</v>
      </c>
      <c r="FC471" s="98"/>
      <c r="FD471" s="101">
        <v>1538</v>
      </c>
      <c r="FE471" s="98">
        <f t="shared" si="2914"/>
        <v>-2.8427037271004374</v>
      </c>
      <c r="FF471" s="118">
        <f>C471+E471+G471+I471</f>
        <v>1894</v>
      </c>
      <c r="FG471" s="98">
        <f t="shared" si="2915"/>
        <v>23.146944083224973</v>
      </c>
      <c r="FH471" s="118">
        <f>K471+M471+O471+Q471</f>
        <v>1962</v>
      </c>
      <c r="FI471" s="98">
        <f t="shared" si="2916"/>
        <v>3.5902851108764455</v>
      </c>
      <c r="FJ471" s="118">
        <f>S471+U471+W471+Y471</f>
        <v>1941</v>
      </c>
      <c r="FK471" s="98">
        <f t="shared" si="2917"/>
        <v>-1.0703363914373099</v>
      </c>
      <c r="FL471" s="118">
        <f>AA471+AC471+AE471+AG471</f>
        <v>1958</v>
      </c>
      <c r="FM471" s="98">
        <f t="shared" si="2918"/>
        <v>0.8758371973209611</v>
      </c>
      <c r="FN471" s="118">
        <f>AI471+AK471+AM471+AO471</f>
        <v>1973</v>
      </c>
      <c r="FO471" s="98">
        <f t="shared" si="2919"/>
        <v>0.76608784473952696</v>
      </c>
      <c r="FP471" s="118">
        <f>AQ471+AS471+AU471+AW471</f>
        <v>2408</v>
      </c>
      <c r="FQ471" s="98">
        <f t="shared" si="2920"/>
        <v>22.047643182970099</v>
      </c>
      <c r="FR471" s="119">
        <f>AY471+BA471+BC471+BE471</f>
        <v>2699</v>
      </c>
      <c r="FS471" s="120">
        <f t="shared" si="2921"/>
        <v>12.084717607973428</v>
      </c>
      <c r="FT471" s="119">
        <f>BG471+BI471+BK471+BM471</f>
        <v>2736</v>
      </c>
      <c r="FU471" s="120">
        <f t="shared" si="2922"/>
        <v>1.3708781030011163</v>
      </c>
      <c r="FV471" s="121">
        <v>2365</v>
      </c>
      <c r="FW471" s="98">
        <f t="shared" si="2923"/>
        <v>-13.559941520467833</v>
      </c>
      <c r="FX471" s="485">
        <f>BW471+BY471+CA471+CC471</f>
        <v>2936</v>
      </c>
      <c r="FY471" s="98">
        <f t="shared" si="2924"/>
        <v>24.143763213530644</v>
      </c>
      <c r="FZ471" s="119">
        <f>CE471+CG471+CI471+CK471</f>
        <v>3395</v>
      </c>
      <c r="GA471" s="98">
        <f t="shared" si="2925"/>
        <v>15.633514986376017</v>
      </c>
      <c r="GB471" s="485">
        <f>CM471+CO471+CQ471+CS471</f>
        <v>2870</v>
      </c>
      <c r="GC471" s="98">
        <f t="shared" si="2926"/>
        <v>-15.463917525773196</v>
      </c>
      <c r="GD471" s="119">
        <f>CU471+CW471+CY471+DA471</f>
        <v>3004</v>
      </c>
      <c r="GE471" s="98">
        <f t="shared" si="2927"/>
        <v>4.668989547038338</v>
      </c>
      <c r="GF471" s="119">
        <f>DC471+DE471+DG471+DI471</f>
        <v>3064</v>
      </c>
      <c r="GG471" s="98">
        <f t="shared" si="2928"/>
        <v>1.9973368841544659</v>
      </c>
      <c r="GH471" s="119">
        <f>DK471+DM471+DO471+DQ471</f>
        <v>2906</v>
      </c>
      <c r="GI471" s="98">
        <f t="shared" si="2929"/>
        <v>-5.1566579634464755</v>
      </c>
      <c r="GJ471" s="119">
        <f>DS471+DU471+DW471+DY471</f>
        <v>6201</v>
      </c>
      <c r="GK471" s="98" t="str">
        <f t="shared" si="2930"/>
        <v>NM</v>
      </c>
      <c r="GL471" s="119">
        <f>EA471+EC471+EE471+EG471</f>
        <v>5944</v>
      </c>
      <c r="GM471" s="98">
        <f t="shared" si="2931"/>
        <v>-4.1444928237381102</v>
      </c>
      <c r="GN471" s="119">
        <f>EI471+EK471+EM471+EO471</f>
        <v>5607</v>
      </c>
      <c r="GO471" s="98">
        <f t="shared" si="2931"/>
        <v>-5.6695827725437464</v>
      </c>
      <c r="GP471" s="119">
        <f>EQ471+ES471+EU471+EW471</f>
        <v>5450.0599321128402</v>
      </c>
      <c r="GQ471" s="98">
        <f t="shared" si="2931"/>
        <v>-2.79900245919672</v>
      </c>
      <c r="GR471" s="1023">
        <f>GR388*(GR480/100)</f>
        <v>5334.4264206351263</v>
      </c>
      <c r="GS471" s="98">
        <f t="shared" si="2931"/>
        <v>-2.1216924752767929</v>
      </c>
      <c r="GT471" s="1023">
        <f>GT388*(GT480/100)</f>
        <v>5160.1710290496503</v>
      </c>
      <c r="GU471" s="98">
        <f t="shared" si="2931"/>
        <v>-3.266619086007172</v>
      </c>
      <c r="GV471" s="1023">
        <f>GV388*(GV480/100)</f>
        <v>4934.7955694063858</v>
      </c>
      <c r="GW471" s="98">
        <f t="shared" si="2931"/>
        <v>-4.3675967012429044</v>
      </c>
      <c r="GX471" s="1023">
        <f>GX388*(GX480/100)</f>
        <v>4673.9185853624713</v>
      </c>
      <c r="GY471" s="98">
        <f t="shared" si="2932"/>
        <v>-5.2864800653798056</v>
      </c>
      <c r="GZ471" s="98">
        <f t="shared" si="2933"/>
        <v>-3.5748956744424243</v>
      </c>
      <c r="HA471" s="98"/>
      <c r="HB471" s="10"/>
      <c r="HC471"/>
      <c r="HD471"/>
      <c r="HE471"/>
      <c r="HF471"/>
      <c r="HG471"/>
      <c r="HH471"/>
      <c r="HI471" s="10"/>
    </row>
    <row r="472" spans="1:217" s="2" customFormat="1" ht="12.75" customHeight="1" x14ac:dyDescent="0.2">
      <c r="B472" s="434" t="s">
        <v>306</v>
      </c>
      <c r="C472" s="101">
        <v>279</v>
      </c>
      <c r="D472" s="98"/>
      <c r="E472" s="101">
        <v>278</v>
      </c>
      <c r="F472" s="98"/>
      <c r="G472" s="101">
        <v>283</v>
      </c>
      <c r="H472" s="98"/>
      <c r="I472" s="101">
        <v>284</v>
      </c>
      <c r="J472" s="98"/>
      <c r="K472" s="101">
        <v>289</v>
      </c>
      <c r="L472" s="98">
        <f t="shared" si="2839"/>
        <v>3.584229390680993</v>
      </c>
      <c r="M472" s="101">
        <v>291</v>
      </c>
      <c r="N472" s="98">
        <f t="shared" si="2840"/>
        <v>4.6762589928057485</v>
      </c>
      <c r="O472" s="101">
        <v>290</v>
      </c>
      <c r="P472" s="98">
        <f t="shared" si="2841"/>
        <v>2.4734982332155431</v>
      </c>
      <c r="Q472" s="101">
        <v>308</v>
      </c>
      <c r="R472" s="98">
        <f t="shared" si="2842"/>
        <v>8.4507042253521227</v>
      </c>
      <c r="S472" s="101">
        <v>297</v>
      </c>
      <c r="T472" s="98">
        <f t="shared" si="2843"/>
        <v>2.7681660899653959</v>
      </c>
      <c r="U472" s="101">
        <v>309</v>
      </c>
      <c r="V472" s="98">
        <f t="shared" si="2844"/>
        <v>6.1855670103092786</v>
      </c>
      <c r="W472" s="101">
        <v>290</v>
      </c>
      <c r="X472" s="98">
        <f t="shared" si="2845"/>
        <v>0</v>
      </c>
      <c r="Y472" s="101">
        <v>312</v>
      </c>
      <c r="Z472" s="98">
        <f t="shared" si="2846"/>
        <v>1.298701298701288</v>
      </c>
      <c r="AA472" s="101">
        <v>296</v>
      </c>
      <c r="AB472" s="98">
        <f t="shared" si="2847"/>
        <v>-0.33670033670033517</v>
      </c>
      <c r="AC472" s="101">
        <v>307</v>
      </c>
      <c r="AD472" s="98">
        <f t="shared" si="2848"/>
        <v>-0.64724919093851474</v>
      </c>
      <c r="AE472" s="101">
        <v>303</v>
      </c>
      <c r="AF472" s="98">
        <f t="shared" si="2849"/>
        <v>4.482758620689653</v>
      </c>
      <c r="AG472" s="101">
        <v>299</v>
      </c>
      <c r="AH472" s="98">
        <f t="shared" si="2850"/>
        <v>-4.1666666666666625</v>
      </c>
      <c r="AI472" s="101">
        <v>280</v>
      </c>
      <c r="AJ472" s="98">
        <f t="shared" si="2851"/>
        <v>-5.4054054054054053</v>
      </c>
      <c r="AK472" s="101">
        <v>281</v>
      </c>
      <c r="AL472" s="98">
        <f t="shared" si="2852"/>
        <v>-8.4690553745928376</v>
      </c>
      <c r="AM472" s="101">
        <v>266</v>
      </c>
      <c r="AN472" s="98">
        <f t="shared" si="2853"/>
        <v>-12.211221122112214</v>
      </c>
      <c r="AO472" s="101">
        <v>267</v>
      </c>
      <c r="AP472" s="98">
        <f t="shared" si="2854"/>
        <v>-10.702341137123749</v>
      </c>
      <c r="AQ472" s="101">
        <v>261</v>
      </c>
      <c r="AR472" s="98">
        <f t="shared" si="2855"/>
        <v>-6.7857142857142838</v>
      </c>
      <c r="AS472" s="101">
        <v>260</v>
      </c>
      <c r="AT472" s="98">
        <f t="shared" si="2856"/>
        <v>-7.473309608540923</v>
      </c>
      <c r="AU472" s="101">
        <v>338</v>
      </c>
      <c r="AV472" s="98">
        <f t="shared" si="2857"/>
        <v>27.06766917293233</v>
      </c>
      <c r="AW472" s="101">
        <v>322</v>
      </c>
      <c r="AX472" s="98">
        <f t="shared" si="2858"/>
        <v>20.599250936329593</v>
      </c>
      <c r="AY472" s="101">
        <v>314</v>
      </c>
      <c r="AZ472" s="98">
        <f t="shared" si="2859"/>
        <v>20.306513409961681</v>
      </c>
      <c r="BA472" s="101">
        <v>351</v>
      </c>
      <c r="BB472" s="98">
        <f t="shared" si="2860"/>
        <v>35.000000000000007</v>
      </c>
      <c r="BC472" s="101">
        <v>352</v>
      </c>
      <c r="BD472" s="98">
        <f t="shared" si="2861"/>
        <v>4.1420118343195256</v>
      </c>
      <c r="BE472" s="101">
        <v>339</v>
      </c>
      <c r="BF472" s="98">
        <f t="shared" si="2862"/>
        <v>5.2795031055900665</v>
      </c>
      <c r="BG472" s="101">
        <v>333</v>
      </c>
      <c r="BH472" s="98">
        <f t="shared" si="2863"/>
        <v>6.0509554140127486</v>
      </c>
      <c r="BI472" s="101">
        <v>318</v>
      </c>
      <c r="BJ472" s="98">
        <f t="shared" si="2864"/>
        <v>-9.4017094017094021</v>
      </c>
      <c r="BK472" s="101">
        <v>327</v>
      </c>
      <c r="BL472" s="98">
        <f t="shared" si="2865"/>
        <v>-7.1022727272727293</v>
      </c>
      <c r="BM472" s="101">
        <v>344</v>
      </c>
      <c r="BN472" s="98">
        <f t="shared" si="2866"/>
        <v>1.4749262536873253</v>
      </c>
      <c r="BO472" s="178">
        <v>334</v>
      </c>
      <c r="BP472" s="175">
        <f t="shared" si="2867"/>
        <v>0.30030030030030463</v>
      </c>
      <c r="BQ472" s="178">
        <v>322</v>
      </c>
      <c r="BR472" s="175">
        <f t="shared" si="2868"/>
        <v>1.2578616352201255</v>
      </c>
      <c r="BS472" s="178">
        <v>316</v>
      </c>
      <c r="BT472" s="175">
        <f t="shared" si="2869"/>
        <v>-3.3639143730886834</v>
      </c>
      <c r="BU472" s="178">
        <v>366</v>
      </c>
      <c r="BV472" s="175">
        <f t="shared" si="2870"/>
        <v>6.3953488372092915</v>
      </c>
      <c r="BW472" s="178">
        <v>402</v>
      </c>
      <c r="BX472" s="175">
        <f t="shared" si="2871"/>
        <v>20.359281437125752</v>
      </c>
      <c r="BY472" s="178">
        <v>428</v>
      </c>
      <c r="BZ472" s="175">
        <f t="shared" si="2872"/>
        <v>32.9192546583851</v>
      </c>
      <c r="CA472" s="178">
        <v>431</v>
      </c>
      <c r="CB472" s="98">
        <f t="shared" si="2873"/>
        <v>36.392405063291136</v>
      </c>
      <c r="CC472" s="101">
        <v>426</v>
      </c>
      <c r="CD472" s="98">
        <f t="shared" si="2874"/>
        <v>16.393442622950815</v>
      </c>
      <c r="CE472" s="101">
        <v>406</v>
      </c>
      <c r="CF472" s="98">
        <f t="shared" si="2875"/>
        <v>0.99502487562188602</v>
      </c>
      <c r="CG472" s="101">
        <v>405</v>
      </c>
      <c r="CH472" s="98">
        <f t="shared" si="2876"/>
        <v>-5.373831775700932</v>
      </c>
      <c r="CI472" s="101">
        <v>394</v>
      </c>
      <c r="CJ472" s="98">
        <f t="shared" si="2877"/>
        <v>-8.5846867749419964</v>
      </c>
      <c r="CK472" s="101">
        <v>407</v>
      </c>
      <c r="CL472" s="98">
        <f t="shared" si="2878"/>
        <v>-4.4600938967136123</v>
      </c>
      <c r="CM472" s="101">
        <v>393</v>
      </c>
      <c r="CN472" s="98">
        <f t="shared" si="2879"/>
        <v>-3.2019704433497553</v>
      </c>
      <c r="CO472" s="101">
        <v>394</v>
      </c>
      <c r="CP472" s="98">
        <f t="shared" si="2880"/>
        <v>-2.7160493827160459</v>
      </c>
      <c r="CQ472" s="542">
        <v>408</v>
      </c>
      <c r="CR472" s="98">
        <f t="shared" si="2881"/>
        <v>3.5532994923857864</v>
      </c>
      <c r="CS472" s="101">
        <v>398</v>
      </c>
      <c r="CT472" s="98">
        <f t="shared" si="2882"/>
        <v>-2.2113022113022129</v>
      </c>
      <c r="CU472" s="101">
        <v>380</v>
      </c>
      <c r="CV472" s="98">
        <f t="shared" si="2883"/>
        <v>-3.30788804071247</v>
      </c>
      <c r="CW472" s="101">
        <v>377</v>
      </c>
      <c r="CX472" s="98">
        <f t="shared" si="2884"/>
        <v>-4.3147208121827374</v>
      </c>
      <c r="CY472" s="101">
        <v>381</v>
      </c>
      <c r="CZ472" s="98">
        <f t="shared" si="2885"/>
        <v>-6.6176470588235281</v>
      </c>
      <c r="DA472" s="101">
        <v>369</v>
      </c>
      <c r="DB472" s="98">
        <f t="shared" si="2886"/>
        <v>-7.2864321608040239</v>
      </c>
      <c r="DC472" s="101">
        <v>364</v>
      </c>
      <c r="DD472" s="98">
        <f t="shared" si="2887"/>
        <v>-4.2105263157894761</v>
      </c>
      <c r="DE472" s="101">
        <v>367</v>
      </c>
      <c r="DF472" s="98">
        <f t="shared" si="2888"/>
        <v>-2.6525198938992078</v>
      </c>
      <c r="DG472" s="101">
        <v>356</v>
      </c>
      <c r="DH472" s="98">
        <f t="shared" si="2889"/>
        <v>-6.5616797900262425</v>
      </c>
      <c r="DI472" s="101">
        <v>355</v>
      </c>
      <c r="DJ472" s="98">
        <f t="shared" si="2890"/>
        <v>-3.7940379403794022</v>
      </c>
      <c r="DK472" s="101">
        <v>336</v>
      </c>
      <c r="DL472" s="98">
        <f t="shared" si="2891"/>
        <v>-7.6923076923076872</v>
      </c>
      <c r="DM472" s="101">
        <v>335</v>
      </c>
      <c r="DN472" s="98">
        <f t="shared" si="2892"/>
        <v>-8.719346049046317</v>
      </c>
      <c r="DO472" s="101">
        <v>337</v>
      </c>
      <c r="DP472" s="98">
        <f t="shared" si="2893"/>
        <v>-5.3370786516853901</v>
      </c>
      <c r="DQ472" s="101">
        <v>333</v>
      </c>
      <c r="DR472" s="98">
        <f t="shared" si="2894"/>
        <v>-6.1971830985915517</v>
      </c>
      <c r="DS472" s="101">
        <v>262</v>
      </c>
      <c r="DT472" s="98">
        <f t="shared" si="2895"/>
        <v>-22.023809523809522</v>
      </c>
      <c r="DU472" s="101">
        <v>265</v>
      </c>
      <c r="DV472" s="98">
        <f t="shared" si="2896"/>
        <v>-20.895522388059707</v>
      </c>
      <c r="DW472" s="101">
        <v>266</v>
      </c>
      <c r="DX472" s="98">
        <f t="shared" si="2897"/>
        <v>-21.068249258160233</v>
      </c>
      <c r="DY472" s="101">
        <v>269</v>
      </c>
      <c r="DZ472" s="98">
        <f t="shared" si="2898"/>
        <v>-19.219219219219219</v>
      </c>
      <c r="EA472" s="101">
        <v>258</v>
      </c>
      <c r="EB472" s="98">
        <f t="shared" si="2899"/>
        <v>-1.5267175572519109</v>
      </c>
      <c r="EC472" s="101">
        <v>261</v>
      </c>
      <c r="ED472" s="98">
        <f t="shared" si="2900"/>
        <v>-1.5094339622641506</v>
      </c>
      <c r="EE472" s="101">
        <v>261</v>
      </c>
      <c r="EF472" s="860">
        <f t="shared" si="2901"/>
        <v>-1.8796992481203034</v>
      </c>
      <c r="EG472" s="101">
        <v>262</v>
      </c>
      <c r="EH472" s="860">
        <f t="shared" si="2902"/>
        <v>-2.6022304832713727</v>
      </c>
      <c r="EI472" s="101">
        <v>257</v>
      </c>
      <c r="EJ472" s="860">
        <f t="shared" si="2903"/>
        <v>-0.38759689922480689</v>
      </c>
      <c r="EK472" s="101">
        <v>255</v>
      </c>
      <c r="EL472" s="860">
        <f t="shared" si="2904"/>
        <v>-2.2988505747126409</v>
      </c>
      <c r="EM472" s="101">
        <v>255</v>
      </c>
      <c r="EN472" s="860">
        <f t="shared" si="2905"/>
        <v>-2.2988505747126409</v>
      </c>
      <c r="EO472" s="101">
        <v>251</v>
      </c>
      <c r="EP472" s="98">
        <f t="shared" si="2906"/>
        <v>-4.19847328244275</v>
      </c>
      <c r="EQ472" s="1023">
        <f>EQ388*(EQ481/400)</f>
        <v>250.53171001117744</v>
      </c>
      <c r="ER472" s="98">
        <f t="shared" si="2907"/>
        <v>-2.5168443536274565</v>
      </c>
      <c r="ES472" s="1023">
        <f t="shared" ref="ES472" si="2940">ES388*(ES481/400)</f>
        <v>250.30390643077502</v>
      </c>
      <c r="ET472" s="98">
        <f t="shared" si="2909"/>
        <v>-1.8416053212647054</v>
      </c>
      <c r="EU472" s="1023">
        <f t="shared" ref="EU472" si="2941">EU388*(EU481/400)</f>
        <v>249.88501871310299</v>
      </c>
      <c r="EV472" s="98">
        <f t="shared" si="2911"/>
        <v>-2.005875014469416</v>
      </c>
      <c r="EW472" s="1023">
        <f t="shared" ref="EW472" si="2942">EW388*(EW481/400)</f>
        <v>249.29263722631632</v>
      </c>
      <c r="EX472" s="98">
        <f t="shared" si="2913"/>
        <v>-0.68022421262298183</v>
      </c>
      <c r="EY472" s="119"/>
      <c r="EZ472" s="594"/>
      <c r="FA472" s="405"/>
      <c r="FB472" s="121">
        <v>986</v>
      </c>
      <c r="FC472" s="98"/>
      <c r="FD472" s="101">
        <v>940</v>
      </c>
      <c r="FE472" s="98">
        <f t="shared" si="2914"/>
        <v>-4.6653144016227222</v>
      </c>
      <c r="FF472" s="118">
        <f>C472+E472+G472+I472</f>
        <v>1124</v>
      </c>
      <c r="FG472" s="98">
        <f t="shared" si="2915"/>
        <v>19.574468085106389</v>
      </c>
      <c r="FH472" s="118">
        <f>K472+M472+O472+Q472</f>
        <v>1178</v>
      </c>
      <c r="FI472" s="98">
        <f t="shared" si="2916"/>
        <v>4.8042704626334531</v>
      </c>
      <c r="FJ472" s="118">
        <f>S472+U472+W472+Y472</f>
        <v>1208</v>
      </c>
      <c r="FK472" s="98">
        <f t="shared" si="2917"/>
        <v>2.5466893039049143</v>
      </c>
      <c r="FL472" s="118">
        <f>AA472+AC472+AE472+AG472</f>
        <v>1205</v>
      </c>
      <c r="FM472" s="98">
        <f t="shared" si="2918"/>
        <v>-0.2483443708609312</v>
      </c>
      <c r="FN472" s="118">
        <f>AI472+AK472+AM472+AO472</f>
        <v>1094</v>
      </c>
      <c r="FO472" s="98">
        <f t="shared" si="2919"/>
        <v>-9.2116182572614118</v>
      </c>
      <c r="FP472" s="118">
        <f>AQ472+AS472+AU472+AW472</f>
        <v>1181</v>
      </c>
      <c r="FQ472" s="98">
        <f t="shared" si="2920"/>
        <v>7.9524680073126186</v>
      </c>
      <c r="FR472" s="119">
        <f>AY472+BA472+BC472+BE472</f>
        <v>1356</v>
      </c>
      <c r="FS472" s="120">
        <f t="shared" si="2921"/>
        <v>14.817950889077046</v>
      </c>
      <c r="FT472" s="119">
        <f>BG472+BI472+BK472+BM472</f>
        <v>1322</v>
      </c>
      <c r="FU472" s="120">
        <f t="shared" si="2922"/>
        <v>-2.5073746312684331</v>
      </c>
      <c r="FV472" s="121">
        <v>1337</v>
      </c>
      <c r="FW472" s="98">
        <f t="shared" si="2923"/>
        <v>1.1346444780635512</v>
      </c>
      <c r="FX472" s="485">
        <f>BW472+BY472+CA472+CC472</f>
        <v>1687</v>
      </c>
      <c r="FY472" s="98">
        <f t="shared" si="2924"/>
        <v>26.178010471204182</v>
      </c>
      <c r="FZ472" s="119">
        <f>CE472+CG472+CI472+CK472</f>
        <v>1612</v>
      </c>
      <c r="GA472" s="98">
        <f t="shared" si="2925"/>
        <v>-4.4457617071724904</v>
      </c>
      <c r="GB472" s="485">
        <f>CM472+CO472+CQ472+CS472</f>
        <v>1593</v>
      </c>
      <c r="GC472" s="98">
        <f t="shared" si="2926"/>
        <v>-1.1786600496277888</v>
      </c>
      <c r="GD472" s="119">
        <f>CU472+CW472+CY472+DA472</f>
        <v>1507</v>
      </c>
      <c r="GE472" s="98">
        <f t="shared" si="2927"/>
        <v>-5.3986189579409931</v>
      </c>
      <c r="GF472" s="119">
        <f>DC472+DE472+DG472+DI472</f>
        <v>1442</v>
      </c>
      <c r="GG472" s="98">
        <f t="shared" si="2928"/>
        <v>-4.3132050431320508</v>
      </c>
      <c r="GH472" s="119">
        <f>DK472+DM472+DO472+DQ472</f>
        <v>1341</v>
      </c>
      <c r="GI472" s="98">
        <f t="shared" si="2929"/>
        <v>-7.0041608876560302</v>
      </c>
      <c r="GJ472" s="119">
        <f>DS472+DU472+DW472+DY472</f>
        <v>1062</v>
      </c>
      <c r="GK472" s="98">
        <f t="shared" si="2930"/>
        <v>-20.805369127516784</v>
      </c>
      <c r="GL472" s="119">
        <f>EA472+EC472+EE472+EG472</f>
        <v>1042</v>
      </c>
      <c r="GM472" s="98">
        <f t="shared" si="2931"/>
        <v>-1.883239171374762</v>
      </c>
      <c r="GN472" s="119">
        <f>EI472+EK472+EM472+EO472</f>
        <v>1018</v>
      </c>
      <c r="GO472" s="98">
        <f t="shared" si="2931"/>
        <v>-2.303262955854124</v>
      </c>
      <c r="GP472" s="119">
        <f>EQ472+ES472+EU472+EW472</f>
        <v>1000.0132723813717</v>
      </c>
      <c r="GQ472" s="98">
        <f t="shared" si="2931"/>
        <v>-1.7668691177434415</v>
      </c>
      <c r="GR472" s="1023">
        <f>GR388*(GR481/100)</f>
        <v>988.05955992276768</v>
      </c>
      <c r="GS472" s="98">
        <f t="shared" si="2931"/>
        <v>-1.1953553806479222</v>
      </c>
      <c r="GT472" s="1023">
        <f>GT388*(GT481/100)</f>
        <v>964.91554400871576</v>
      </c>
      <c r="GU472" s="98">
        <f t="shared" si="2931"/>
        <v>-2.3423705263133088</v>
      </c>
      <c r="GV472" s="1023">
        <f>GV388*(GV481/100)</f>
        <v>931.67369205536727</v>
      </c>
      <c r="GW472" s="98">
        <f t="shared" si="2931"/>
        <v>-3.4450530059082829</v>
      </c>
      <c r="GX472" s="1023">
        <f>GX388*(GX481/100)</f>
        <v>891.01637713952289</v>
      </c>
      <c r="GY472" s="98">
        <f t="shared" si="2932"/>
        <v>-4.3639007157270093</v>
      </c>
      <c r="GZ472" s="98">
        <f t="shared" si="2933"/>
        <v>-2.6294592871824229</v>
      </c>
      <c r="HA472" s="98"/>
      <c r="HB472" s="10"/>
      <c r="HC472"/>
      <c r="HD472"/>
      <c r="HE472"/>
      <c r="HF472"/>
      <c r="HG472"/>
      <c r="HH472"/>
      <c r="HI472" s="10"/>
    </row>
    <row r="473" spans="1:217" s="2" customFormat="1" ht="12.75" customHeight="1" x14ac:dyDescent="0.2">
      <c r="B473" s="179" t="s">
        <v>535</v>
      </c>
      <c r="C473" s="117">
        <f>C471-C472</f>
        <v>188</v>
      </c>
      <c r="D473" s="98"/>
      <c r="E473" s="117">
        <f>E471-E472</f>
        <v>195</v>
      </c>
      <c r="F473" s="98"/>
      <c r="G473" s="117">
        <f>G471-G472</f>
        <v>184</v>
      </c>
      <c r="H473" s="98"/>
      <c r="I473" s="117">
        <f>I471-I472</f>
        <v>203</v>
      </c>
      <c r="J473" s="98"/>
      <c r="K473" s="117">
        <f>K471-K472</f>
        <v>193</v>
      </c>
      <c r="L473" s="98">
        <f t="shared" si="2839"/>
        <v>2.659574468085113</v>
      </c>
      <c r="M473" s="117">
        <f>M471-M472</f>
        <v>200</v>
      </c>
      <c r="N473" s="98">
        <f t="shared" si="2840"/>
        <v>2.564102564102555</v>
      </c>
      <c r="O473" s="117">
        <f>O471-O472</f>
        <v>209</v>
      </c>
      <c r="P473" s="98">
        <f t="shared" si="2841"/>
        <v>13.586956521739136</v>
      </c>
      <c r="Q473" s="117">
        <f>Q471-Q472</f>
        <v>182</v>
      </c>
      <c r="R473" s="98">
        <f t="shared" si="2842"/>
        <v>-10.344827586206895</v>
      </c>
      <c r="S473" s="117">
        <f>S471-S472</f>
        <v>160</v>
      </c>
      <c r="T473" s="98">
        <f t="shared" si="2843"/>
        <v>-17.098445595854926</v>
      </c>
      <c r="U473" s="117">
        <f>U471-U472</f>
        <v>169</v>
      </c>
      <c r="V473" s="98">
        <f t="shared" si="2844"/>
        <v>-15.500000000000004</v>
      </c>
      <c r="W473" s="117">
        <f>W471-W472</f>
        <v>206</v>
      </c>
      <c r="X473" s="98">
        <f t="shared" si="2845"/>
        <v>-1.4354066985645897</v>
      </c>
      <c r="Y473" s="117">
        <f>Y471-Y472</f>
        <v>198</v>
      </c>
      <c r="Z473" s="98">
        <f t="shared" si="2846"/>
        <v>8.7912087912087813</v>
      </c>
      <c r="AA473" s="117">
        <f>AA471-AA472</f>
        <v>191</v>
      </c>
      <c r="AB473" s="98">
        <f t="shared" si="2847"/>
        <v>19.375000000000007</v>
      </c>
      <c r="AC473" s="117">
        <f>AC471-AC472</f>
        <v>172</v>
      </c>
      <c r="AD473" s="98">
        <f t="shared" si="2848"/>
        <v>1.7751479289940919</v>
      </c>
      <c r="AE473" s="117">
        <f>AE471-AE472</f>
        <v>186</v>
      </c>
      <c r="AF473" s="98">
        <f t="shared" si="2849"/>
        <v>-9.7087378640776656</v>
      </c>
      <c r="AG473" s="117">
        <f>AG471-AG472</f>
        <v>204</v>
      </c>
      <c r="AH473" s="98">
        <f t="shared" si="2850"/>
        <v>3.0303030303030276</v>
      </c>
      <c r="AI473" s="117">
        <f>AI471-AI472</f>
        <v>195</v>
      </c>
      <c r="AJ473" s="98">
        <f t="shared" si="2851"/>
        <v>2.0942408376963373</v>
      </c>
      <c r="AK473" s="117">
        <f>AK471-AK472</f>
        <v>213</v>
      </c>
      <c r="AL473" s="98">
        <f t="shared" si="2852"/>
        <v>23.837209302325579</v>
      </c>
      <c r="AM473" s="117">
        <f>AM471-AM472</f>
        <v>225</v>
      </c>
      <c r="AN473" s="98">
        <f t="shared" si="2853"/>
        <v>20.967741935483875</v>
      </c>
      <c r="AO473" s="117">
        <f>AO471-AO472</f>
        <v>246</v>
      </c>
      <c r="AP473" s="98">
        <f t="shared" si="2854"/>
        <v>20.588235294117641</v>
      </c>
      <c r="AQ473" s="117">
        <f>AQ471-AQ472</f>
        <v>250</v>
      </c>
      <c r="AR473" s="98">
        <f t="shared" si="2855"/>
        <v>28.205128205128215</v>
      </c>
      <c r="AS473" s="117">
        <f>AS471-AS472</f>
        <v>291</v>
      </c>
      <c r="AT473" s="98">
        <f t="shared" si="2856"/>
        <v>36.619718309859152</v>
      </c>
      <c r="AU473" s="117">
        <f>AU471-AU472</f>
        <v>343</v>
      </c>
      <c r="AV473" s="98">
        <f t="shared" si="2857"/>
        <v>52.44444444444445</v>
      </c>
      <c r="AW473" s="117">
        <f>AW471-AW472</f>
        <v>343</v>
      </c>
      <c r="AX473" s="98">
        <f t="shared" si="2858"/>
        <v>39.430894308943088</v>
      </c>
      <c r="AY473" s="117">
        <f>AY471-AY472</f>
        <v>363</v>
      </c>
      <c r="AZ473" s="98">
        <f t="shared" si="2859"/>
        <v>45.199999999999996</v>
      </c>
      <c r="BA473" s="117">
        <f>BA471-BA472</f>
        <v>316</v>
      </c>
      <c r="BB473" s="98">
        <f t="shared" si="2860"/>
        <v>8.5910652920962107</v>
      </c>
      <c r="BC473" s="117">
        <f>BC471-BC472</f>
        <v>306</v>
      </c>
      <c r="BD473" s="98">
        <f t="shared" si="2861"/>
        <v>-10.787172011661806</v>
      </c>
      <c r="BE473" s="117">
        <f>BE471-BE472</f>
        <v>358</v>
      </c>
      <c r="BF473" s="98">
        <f t="shared" si="2862"/>
        <v>4.3731778425655898</v>
      </c>
      <c r="BG473" s="117">
        <f>BG471-BG472</f>
        <v>344</v>
      </c>
      <c r="BH473" s="98">
        <f t="shared" si="2863"/>
        <v>-5.2341597796143224</v>
      </c>
      <c r="BI473" s="117">
        <f>BI471-BI472</f>
        <v>396</v>
      </c>
      <c r="BJ473" s="98">
        <f t="shared" si="2864"/>
        <v>25.316455696202532</v>
      </c>
      <c r="BK473" s="117">
        <f>BK471-BK472</f>
        <v>321</v>
      </c>
      <c r="BL473" s="98">
        <f t="shared" si="2865"/>
        <v>4.9019607843137303</v>
      </c>
      <c r="BM473" s="117">
        <f>BM471-BM472</f>
        <v>353</v>
      </c>
      <c r="BN473" s="98">
        <f t="shared" si="2866"/>
        <v>-1.3966480446927387</v>
      </c>
      <c r="BO473" s="180">
        <f>BO471-BO472</f>
        <v>291</v>
      </c>
      <c r="BP473" s="175">
        <f t="shared" si="2867"/>
        <v>-15.406976744186052</v>
      </c>
      <c r="BQ473" s="180">
        <f>BQ471-BQ472</f>
        <v>276</v>
      </c>
      <c r="BR473" s="175">
        <f t="shared" si="2868"/>
        <v>-30.303030303030297</v>
      </c>
      <c r="BS473" s="180">
        <f>BS471-BS472</f>
        <v>267</v>
      </c>
      <c r="BT473" s="175">
        <f t="shared" si="2869"/>
        <v>-16.822429906542059</v>
      </c>
      <c r="BU473" s="180">
        <f>BU471-BU472</f>
        <v>192</v>
      </c>
      <c r="BV473" s="175">
        <f t="shared" si="2870"/>
        <v>-45.609065155807357</v>
      </c>
      <c r="BW473" s="180">
        <f>BW471-BW472</f>
        <v>221</v>
      </c>
      <c r="BX473" s="175">
        <f t="shared" si="2871"/>
        <v>-24.054982817869419</v>
      </c>
      <c r="BY473" s="180">
        <f>BY471-BY472</f>
        <v>296</v>
      </c>
      <c r="BZ473" s="175">
        <f t="shared" si="2872"/>
        <v>7.2463768115942129</v>
      </c>
      <c r="CA473" s="180">
        <f>CA471-CA472</f>
        <v>318</v>
      </c>
      <c r="CB473" s="98">
        <f t="shared" si="2873"/>
        <v>19.101123595505619</v>
      </c>
      <c r="CC473" s="117">
        <f>CC471-CC472</f>
        <v>414</v>
      </c>
      <c r="CD473" s="98" t="str">
        <f t="shared" si="2874"/>
        <v>NM</v>
      </c>
      <c r="CE473" s="117">
        <f>CE471-CE472</f>
        <v>446</v>
      </c>
      <c r="CF473" s="98" t="str">
        <f t="shared" si="2875"/>
        <v>NM</v>
      </c>
      <c r="CG473" s="117">
        <f>CG471-CG472</f>
        <v>437</v>
      </c>
      <c r="CH473" s="98">
        <f t="shared" si="2876"/>
        <v>47.63513513513513</v>
      </c>
      <c r="CI473" s="117">
        <f>CI471-CI472</f>
        <v>462</v>
      </c>
      <c r="CJ473" s="98">
        <f t="shared" si="2877"/>
        <v>45.283018867924518</v>
      </c>
      <c r="CK473" s="117">
        <f>CK471-CK472</f>
        <v>438</v>
      </c>
      <c r="CL473" s="98">
        <f t="shared" si="2878"/>
        <v>5.7971014492753659</v>
      </c>
      <c r="CM473" s="117">
        <f>CM471-CM472</f>
        <v>318</v>
      </c>
      <c r="CN473" s="98">
        <f t="shared" si="2879"/>
        <v>-28.699551569506731</v>
      </c>
      <c r="CO473" s="117">
        <f>CO471-CO472</f>
        <v>315</v>
      </c>
      <c r="CP473" s="98">
        <f t="shared" si="2880"/>
        <v>-27.917620137299771</v>
      </c>
      <c r="CQ473" s="486">
        <f>CQ471-CQ472</f>
        <v>306</v>
      </c>
      <c r="CR473" s="98">
        <f t="shared" si="2881"/>
        <v>-33.766233766233768</v>
      </c>
      <c r="CS473" s="117">
        <f>CS471-CS472</f>
        <v>338</v>
      </c>
      <c r="CT473" s="98">
        <f t="shared" si="2882"/>
        <v>-22.831050228310502</v>
      </c>
      <c r="CU473" s="117">
        <f>CU471-CU472</f>
        <v>380</v>
      </c>
      <c r="CV473" s="98">
        <f t="shared" si="2883"/>
        <v>19.496855345911946</v>
      </c>
      <c r="CW473" s="117">
        <f>CW471-CW472</f>
        <v>373</v>
      </c>
      <c r="CX473" s="98">
        <f t="shared" si="2884"/>
        <v>18.412698412698415</v>
      </c>
      <c r="CY473" s="117">
        <f>CY471-CY472</f>
        <v>368</v>
      </c>
      <c r="CZ473" s="98">
        <f t="shared" si="2885"/>
        <v>20.261437908496728</v>
      </c>
      <c r="DA473" s="117">
        <f>DA471-DA472</f>
        <v>376</v>
      </c>
      <c r="DB473" s="98">
        <f t="shared" si="2886"/>
        <v>11.242603550295849</v>
      </c>
      <c r="DC473" s="117">
        <f>DC471-DC472</f>
        <v>393</v>
      </c>
      <c r="DD473" s="98">
        <f t="shared" si="2887"/>
        <v>3.4210526315789469</v>
      </c>
      <c r="DE473" s="117">
        <f>DE471-DE472</f>
        <v>422</v>
      </c>
      <c r="DF473" s="98">
        <f t="shared" si="2888"/>
        <v>13.136729222520117</v>
      </c>
      <c r="DG473" s="117">
        <f>DG471-DG472</f>
        <v>394</v>
      </c>
      <c r="DH473" s="98">
        <f t="shared" si="2889"/>
        <v>7.0652173913043459</v>
      </c>
      <c r="DI473" s="117">
        <f>DI471-DI472</f>
        <v>413</v>
      </c>
      <c r="DJ473" s="98">
        <f t="shared" si="2890"/>
        <v>9.840425531914887</v>
      </c>
      <c r="DK473" s="117">
        <f>DK471-DK472</f>
        <v>409</v>
      </c>
      <c r="DL473" s="98">
        <f t="shared" si="2891"/>
        <v>4.0712468193384144</v>
      </c>
      <c r="DM473" s="117">
        <f>DM471-DM472</f>
        <v>390</v>
      </c>
      <c r="DN473" s="98">
        <f t="shared" si="2892"/>
        <v>-7.5829383886255926</v>
      </c>
      <c r="DO473" s="117">
        <f>DO471-DO472</f>
        <v>381</v>
      </c>
      <c r="DP473" s="98">
        <f t="shared" si="2893"/>
        <v>-3.2994923857868064</v>
      </c>
      <c r="DQ473" s="117">
        <f>DQ471-DQ472</f>
        <v>385</v>
      </c>
      <c r="DR473" s="98">
        <f t="shared" si="2894"/>
        <v>-6.7796610169491567</v>
      </c>
      <c r="DS473" s="117">
        <f>DS471-DS472</f>
        <v>1322</v>
      </c>
      <c r="DT473" s="98" t="str">
        <f t="shared" si="2895"/>
        <v>NM</v>
      </c>
      <c r="DU473" s="117">
        <f>DU471-DU472</f>
        <v>1320</v>
      </c>
      <c r="DV473" s="98" t="str">
        <f t="shared" si="2896"/>
        <v>NM</v>
      </c>
      <c r="DW473" s="117">
        <f>DW471-DW472</f>
        <v>1255</v>
      </c>
      <c r="DX473" s="98" t="str">
        <f t="shared" si="2897"/>
        <v>NM</v>
      </c>
      <c r="DY473" s="117">
        <f>DY471-DY472</f>
        <v>1242</v>
      </c>
      <c r="DZ473" s="98" t="str">
        <f t="shared" si="2898"/>
        <v>NM</v>
      </c>
      <c r="EA473" s="117">
        <f>EA471-EA472</f>
        <v>1217</v>
      </c>
      <c r="EB473" s="98">
        <f t="shared" si="2899"/>
        <v>-7.9425113464447801</v>
      </c>
      <c r="EC473" s="117">
        <f>EC471-EC472</f>
        <v>1216</v>
      </c>
      <c r="ED473" s="98">
        <f t="shared" si="2900"/>
        <v>-7.8787878787878736</v>
      </c>
      <c r="EE473" s="117">
        <f>EE471-EE472</f>
        <v>1276</v>
      </c>
      <c r="EF473" s="860">
        <f t="shared" si="2901"/>
        <v>1.6733067729083562</v>
      </c>
      <c r="EG473" s="117">
        <f>EG471-EG472</f>
        <v>1193</v>
      </c>
      <c r="EH473" s="860">
        <f t="shared" si="2902"/>
        <v>-3.9452495974235058</v>
      </c>
      <c r="EI473" s="117">
        <f>EI471-EI472</f>
        <v>1184</v>
      </c>
      <c r="EJ473" s="860">
        <f t="shared" si="2903"/>
        <v>-2.7115858668857795</v>
      </c>
      <c r="EK473" s="117">
        <f>EK471-EK472</f>
        <v>1146</v>
      </c>
      <c r="EL473" s="860">
        <f t="shared" si="2904"/>
        <v>-5.7565789473684177</v>
      </c>
      <c r="EM473" s="117">
        <f>EM471-EM472</f>
        <v>1135</v>
      </c>
      <c r="EN473" s="860">
        <f t="shared" si="2905"/>
        <v>-11.050156739811911</v>
      </c>
      <c r="EO473" s="117">
        <f>EO471-EO472</f>
        <v>1124</v>
      </c>
      <c r="EP473" s="98">
        <f t="shared" si="2906"/>
        <v>-5.7837384744341964</v>
      </c>
      <c r="EQ473" s="792">
        <f t="shared" ref="EQ473" si="2943">EQ471-EQ472</f>
        <v>1119.340383805657</v>
      </c>
      <c r="ER473" s="98">
        <f t="shared" si="2907"/>
        <v>-5.4611162326303253</v>
      </c>
      <c r="ES473" s="792">
        <f t="shared" ref="ES473" si="2944">ES471-ES472</f>
        <v>1115.7623470208898</v>
      </c>
      <c r="ET473" s="98">
        <f t="shared" si="2909"/>
        <v>-2.638538654372613</v>
      </c>
      <c r="EU473" s="792">
        <f t="shared" ref="EU473" si="2945">EU471-EU472</f>
        <v>1111.3391424480494</v>
      </c>
      <c r="EV473" s="98">
        <f t="shared" si="2911"/>
        <v>-2.0846570530352992</v>
      </c>
      <c r="EW473" s="792">
        <f t="shared" ref="EW473" si="2946">EW471-EW472</f>
        <v>1103.6047864568718</v>
      </c>
      <c r="EX473" s="98">
        <f t="shared" si="2913"/>
        <v>-1.814520777858375</v>
      </c>
      <c r="EY473" s="118"/>
      <c r="EZ473" s="594"/>
      <c r="FA473" s="405"/>
      <c r="FB473" s="118">
        <f>FB471-FB472</f>
        <v>597</v>
      </c>
      <c r="FC473" s="98"/>
      <c r="FD473" s="117">
        <f>FD471-FD472</f>
        <v>598</v>
      </c>
      <c r="FE473" s="98">
        <f t="shared" si="2914"/>
        <v>0.16750418760469454</v>
      </c>
      <c r="FF473" s="118">
        <f>FF471-FF472</f>
        <v>770</v>
      </c>
      <c r="FG473" s="98">
        <f t="shared" si="2915"/>
        <v>28.762541806020071</v>
      </c>
      <c r="FH473" s="118">
        <f>FH471-FH472</f>
        <v>784</v>
      </c>
      <c r="FI473" s="98">
        <f t="shared" si="2916"/>
        <v>1.8181818181818077</v>
      </c>
      <c r="FJ473" s="118">
        <f>FJ471-FJ472</f>
        <v>733</v>
      </c>
      <c r="FK473" s="98">
        <f t="shared" si="2917"/>
        <v>-6.5051020408163236</v>
      </c>
      <c r="FL473" s="118">
        <f>FL471-FL472</f>
        <v>753</v>
      </c>
      <c r="FM473" s="98">
        <f t="shared" si="2918"/>
        <v>2.7285129604365688</v>
      </c>
      <c r="FN473" s="118">
        <f>FN471-FN472</f>
        <v>879</v>
      </c>
      <c r="FO473" s="98">
        <f t="shared" si="2919"/>
        <v>16.733067729083672</v>
      </c>
      <c r="FP473" s="118">
        <f>FP471-FP472</f>
        <v>1227</v>
      </c>
      <c r="FQ473" s="98">
        <f t="shared" si="2920"/>
        <v>39.590443686006815</v>
      </c>
      <c r="FR473" s="119">
        <f>FR471-FR472</f>
        <v>1343</v>
      </c>
      <c r="FS473" s="120">
        <f t="shared" si="2921"/>
        <v>9.4539527302363489</v>
      </c>
      <c r="FT473" s="119">
        <f>FT471-FT472</f>
        <v>1414</v>
      </c>
      <c r="FU473" s="120">
        <f t="shared" si="2922"/>
        <v>5.2866716306775974</v>
      </c>
      <c r="FV473" s="119">
        <f>FV471-FV472</f>
        <v>1028</v>
      </c>
      <c r="FW473" s="98">
        <f t="shared" si="2923"/>
        <v>-27.298444130127297</v>
      </c>
      <c r="FX473" s="485">
        <f>FX471-FX472</f>
        <v>1249</v>
      </c>
      <c r="FY473" s="98">
        <f t="shared" si="2924"/>
        <v>21.498054474708162</v>
      </c>
      <c r="FZ473" s="119">
        <f>FZ471-FZ472</f>
        <v>1783</v>
      </c>
      <c r="GA473" s="98">
        <f t="shared" si="2925"/>
        <v>42.754203362690156</v>
      </c>
      <c r="GB473" s="485">
        <f>GB471-GB472</f>
        <v>1277</v>
      </c>
      <c r="GC473" s="98">
        <f t="shared" si="2926"/>
        <v>-28.379136287156481</v>
      </c>
      <c r="GD473" s="119">
        <f>GD471-GD472</f>
        <v>1497</v>
      </c>
      <c r="GE473" s="98">
        <f t="shared" si="2927"/>
        <v>17.227877838684424</v>
      </c>
      <c r="GF473" s="119">
        <f>GF471-GF472</f>
        <v>1622</v>
      </c>
      <c r="GG473" s="98">
        <f t="shared" si="2928"/>
        <v>8.3500334001336043</v>
      </c>
      <c r="GH473" s="119">
        <f>GH471-GH472</f>
        <v>1565</v>
      </c>
      <c r="GI473" s="98">
        <f t="shared" si="2929"/>
        <v>-3.5141800246609178</v>
      </c>
      <c r="GJ473" s="119">
        <f>GJ471-GJ472</f>
        <v>5139</v>
      </c>
      <c r="GK473" s="98" t="str">
        <f t="shared" si="2930"/>
        <v>NM</v>
      </c>
      <c r="GL473" s="119">
        <f>GL471-GL472</f>
        <v>4902</v>
      </c>
      <c r="GM473" s="98">
        <f t="shared" si="2931"/>
        <v>-4.6117921774664339</v>
      </c>
      <c r="GN473" s="119">
        <f>GN471-GN472</f>
        <v>4589</v>
      </c>
      <c r="GO473" s="98">
        <f t="shared" si="2931"/>
        <v>-6.3851489188086479</v>
      </c>
      <c r="GP473" s="119">
        <f>GP471-GP472</f>
        <v>4450.046659731468</v>
      </c>
      <c r="GQ473" s="98">
        <f t="shared" si="2931"/>
        <v>-3.0279655756925705</v>
      </c>
      <c r="GR473" s="118">
        <f>GR471-GR472</f>
        <v>4346.3668607123582</v>
      </c>
      <c r="GS473" s="98">
        <f t="shared" si="2931"/>
        <v>-2.3298586946808864</v>
      </c>
      <c r="GT473" s="118">
        <f>GT471-GT472</f>
        <v>4195.2554850409342</v>
      </c>
      <c r="GU473" s="98">
        <f t="shared" si="2931"/>
        <v>-3.4767285071434895</v>
      </c>
      <c r="GV473" s="118">
        <f>GV471-GV472</f>
        <v>4003.1218773510186</v>
      </c>
      <c r="GW473" s="98">
        <f t="shared" si="2931"/>
        <v>-4.579783242641799</v>
      </c>
      <c r="GX473" s="118">
        <f>GX471-GX472</f>
        <v>3782.9022082229485</v>
      </c>
      <c r="GY473" s="98">
        <f t="shared" si="2932"/>
        <v>-5.5011982116766278</v>
      </c>
      <c r="GZ473" s="98">
        <f t="shared" si="2933"/>
        <v>-3.7897348900106653</v>
      </c>
      <c r="HA473" s="98"/>
      <c r="HB473" s="10"/>
      <c r="HC473"/>
      <c r="HD473"/>
      <c r="HE473"/>
      <c r="HF473"/>
      <c r="HG473"/>
      <c r="HH473"/>
      <c r="HI473" s="10"/>
    </row>
    <row r="474" spans="1:217" s="2" customFormat="1" ht="12.75" customHeight="1" x14ac:dyDescent="0.2">
      <c r="B474" s="91" t="s">
        <v>537</v>
      </c>
      <c r="C474" s="122">
        <v>11</v>
      </c>
      <c r="D474" s="98"/>
      <c r="E474" s="122">
        <v>13</v>
      </c>
      <c r="F474" s="98"/>
      <c r="G474" s="122">
        <v>10</v>
      </c>
      <c r="H474" s="98"/>
      <c r="I474" s="122">
        <v>9</v>
      </c>
      <c r="J474" s="98"/>
      <c r="K474" s="122">
        <v>17</v>
      </c>
      <c r="L474" s="98">
        <f t="shared" si="2839"/>
        <v>54.54545454545454</v>
      </c>
      <c r="M474" s="122">
        <v>11</v>
      </c>
      <c r="N474" s="98">
        <f t="shared" si="2840"/>
        <v>-15.384615384615385</v>
      </c>
      <c r="O474" s="122">
        <v>11</v>
      </c>
      <c r="P474" s="98">
        <f t="shared" si="2841"/>
        <v>10.000000000000009</v>
      </c>
      <c r="Q474" s="122">
        <v>17</v>
      </c>
      <c r="R474" s="98">
        <f t="shared" si="2842"/>
        <v>88.888888888888886</v>
      </c>
      <c r="S474" s="122">
        <v>7</v>
      </c>
      <c r="T474" s="98" t="str">
        <f t="shared" si="2843"/>
        <v>NM</v>
      </c>
      <c r="U474" s="122">
        <v>5</v>
      </c>
      <c r="V474" s="98" t="str">
        <f t="shared" si="2844"/>
        <v>NM</v>
      </c>
      <c r="W474" s="122">
        <v>2</v>
      </c>
      <c r="X474" s="98" t="str">
        <f t="shared" si="2845"/>
        <v>NM</v>
      </c>
      <c r="Y474" s="122">
        <v>7</v>
      </c>
      <c r="Z474" s="98" t="str">
        <f t="shared" si="2846"/>
        <v>NM</v>
      </c>
      <c r="AA474" s="122">
        <v>1</v>
      </c>
      <c r="AB474" s="98" t="str">
        <f t="shared" si="2847"/>
        <v>NM</v>
      </c>
      <c r="AC474" s="122">
        <v>7</v>
      </c>
      <c r="AD474" s="98">
        <f t="shared" si="2848"/>
        <v>39.999999999999993</v>
      </c>
      <c r="AE474" s="122">
        <v>3</v>
      </c>
      <c r="AF474" s="98">
        <f t="shared" si="2849"/>
        <v>50</v>
      </c>
      <c r="AG474" s="122">
        <v>7</v>
      </c>
      <c r="AH474" s="98">
        <f t="shared" si="2850"/>
        <v>0</v>
      </c>
      <c r="AI474" s="122">
        <v>7</v>
      </c>
      <c r="AJ474" s="98" t="str">
        <f t="shared" si="2851"/>
        <v>NM</v>
      </c>
      <c r="AK474" s="122">
        <v>10</v>
      </c>
      <c r="AL474" s="98">
        <f t="shared" si="2852"/>
        <v>42.857142857142861</v>
      </c>
      <c r="AM474" s="122">
        <v>11</v>
      </c>
      <c r="AN474" s="98" t="str">
        <f t="shared" si="2853"/>
        <v>NM</v>
      </c>
      <c r="AO474" s="122">
        <v>11</v>
      </c>
      <c r="AP474" s="98">
        <f t="shared" si="2854"/>
        <v>57.142857142857139</v>
      </c>
      <c r="AQ474" s="122">
        <v>11</v>
      </c>
      <c r="AR474" s="98">
        <f t="shared" si="2855"/>
        <v>57.142857142857139</v>
      </c>
      <c r="AS474" s="122">
        <v>13</v>
      </c>
      <c r="AT474" s="98">
        <f t="shared" si="2856"/>
        <v>30.000000000000004</v>
      </c>
      <c r="AU474" s="122">
        <v>26</v>
      </c>
      <c r="AV474" s="98" t="str">
        <f t="shared" si="2857"/>
        <v>NM</v>
      </c>
      <c r="AW474" s="122">
        <v>29</v>
      </c>
      <c r="AX474" s="98" t="str">
        <f t="shared" si="2858"/>
        <v>NM</v>
      </c>
      <c r="AY474" s="122">
        <v>29</v>
      </c>
      <c r="AZ474" s="98" t="str">
        <f t="shared" si="2859"/>
        <v>NM</v>
      </c>
      <c r="BA474" s="122">
        <v>36</v>
      </c>
      <c r="BB474" s="98" t="str">
        <f t="shared" si="2860"/>
        <v>NM</v>
      </c>
      <c r="BC474" s="122">
        <v>31</v>
      </c>
      <c r="BD474" s="98">
        <f t="shared" si="2861"/>
        <v>19.23076923076923</v>
      </c>
      <c r="BE474" s="122">
        <v>40</v>
      </c>
      <c r="BF474" s="98">
        <f t="shared" si="2862"/>
        <v>37.931034482758633</v>
      </c>
      <c r="BG474" s="122">
        <v>42</v>
      </c>
      <c r="BH474" s="98">
        <f t="shared" si="2863"/>
        <v>44.827586206896555</v>
      </c>
      <c r="BI474" s="122">
        <v>42</v>
      </c>
      <c r="BJ474" s="98">
        <f t="shared" si="2864"/>
        <v>16.666666666666675</v>
      </c>
      <c r="BK474" s="122">
        <v>44</v>
      </c>
      <c r="BL474" s="98">
        <f t="shared" si="2865"/>
        <v>41.935483870967751</v>
      </c>
      <c r="BM474" s="122">
        <v>46</v>
      </c>
      <c r="BN474" s="98">
        <f t="shared" si="2866"/>
        <v>14.999999999999991</v>
      </c>
      <c r="BO474" s="174">
        <v>42</v>
      </c>
      <c r="BP474" s="175">
        <f t="shared" si="2867"/>
        <v>0</v>
      </c>
      <c r="BQ474" s="174">
        <v>48</v>
      </c>
      <c r="BR474" s="175">
        <f t="shared" si="2868"/>
        <v>14.285714285714279</v>
      </c>
      <c r="BS474" s="174">
        <v>44</v>
      </c>
      <c r="BT474" s="175">
        <f t="shared" si="2869"/>
        <v>0</v>
      </c>
      <c r="BU474" s="174">
        <v>33</v>
      </c>
      <c r="BV474" s="175">
        <f t="shared" si="2870"/>
        <v>-28.260869565217394</v>
      </c>
      <c r="BW474" s="174">
        <v>30</v>
      </c>
      <c r="BX474" s="175">
        <f t="shared" si="2871"/>
        <v>-28.571428571428569</v>
      </c>
      <c r="BY474" s="174">
        <v>34</v>
      </c>
      <c r="BZ474" s="175">
        <f t="shared" si="2872"/>
        <v>-29.166666666666664</v>
      </c>
      <c r="CA474" s="174">
        <v>61</v>
      </c>
      <c r="CB474" s="98">
        <f t="shared" si="2873"/>
        <v>38.636363636363647</v>
      </c>
      <c r="CC474" s="122">
        <v>47</v>
      </c>
      <c r="CD474" s="98">
        <f t="shared" si="2874"/>
        <v>42.424242424242429</v>
      </c>
      <c r="CE474" s="122">
        <v>49</v>
      </c>
      <c r="CF474" s="98">
        <f t="shared" si="2875"/>
        <v>63.333333333333329</v>
      </c>
      <c r="CG474" s="122">
        <v>54</v>
      </c>
      <c r="CH474" s="98">
        <f t="shared" si="2876"/>
        <v>58.823529411764696</v>
      </c>
      <c r="CI474" s="122">
        <v>56</v>
      </c>
      <c r="CJ474" s="98">
        <f t="shared" si="2877"/>
        <v>-8.1967213114754074</v>
      </c>
      <c r="CK474" s="122">
        <v>61</v>
      </c>
      <c r="CL474" s="98">
        <f t="shared" si="2878"/>
        <v>29.787234042553191</v>
      </c>
      <c r="CM474" s="122">
        <v>75</v>
      </c>
      <c r="CN474" s="98">
        <f t="shared" si="2879"/>
        <v>53.061224489795912</v>
      </c>
      <c r="CO474" s="122">
        <v>75</v>
      </c>
      <c r="CP474" s="98">
        <f t="shared" si="2880"/>
        <v>38.888888888888886</v>
      </c>
      <c r="CQ474" s="547">
        <v>77</v>
      </c>
      <c r="CR474" s="98">
        <f t="shared" si="2881"/>
        <v>37.5</v>
      </c>
      <c r="CS474" s="122">
        <v>80</v>
      </c>
      <c r="CT474" s="98">
        <f t="shared" si="2882"/>
        <v>31.147540983606547</v>
      </c>
      <c r="CU474" s="122">
        <v>85</v>
      </c>
      <c r="CV474" s="98">
        <f t="shared" si="2883"/>
        <v>13.33333333333333</v>
      </c>
      <c r="CW474" s="122">
        <v>88</v>
      </c>
      <c r="CX474" s="98">
        <f t="shared" si="2884"/>
        <v>17.333333333333336</v>
      </c>
      <c r="CY474" s="122">
        <v>88</v>
      </c>
      <c r="CZ474" s="98">
        <f t="shared" si="2885"/>
        <v>14.285714285714279</v>
      </c>
      <c r="DA474" s="122">
        <v>91</v>
      </c>
      <c r="DB474" s="98">
        <f t="shared" si="2886"/>
        <v>13.749999999999996</v>
      </c>
      <c r="DC474" s="122">
        <v>99</v>
      </c>
      <c r="DD474" s="98">
        <f t="shared" si="2887"/>
        <v>16.470588235294127</v>
      </c>
      <c r="DE474" s="122">
        <v>97</v>
      </c>
      <c r="DF474" s="98">
        <f t="shared" si="2888"/>
        <v>10.22727272727273</v>
      </c>
      <c r="DG474" s="122">
        <v>115</v>
      </c>
      <c r="DH474" s="98">
        <f t="shared" si="2889"/>
        <v>30.681818181818187</v>
      </c>
      <c r="DI474" s="122">
        <v>107</v>
      </c>
      <c r="DJ474" s="98">
        <f t="shared" si="2890"/>
        <v>17.582417582417587</v>
      </c>
      <c r="DK474" s="122">
        <v>108</v>
      </c>
      <c r="DL474" s="98">
        <f t="shared" si="2891"/>
        <v>9.0909090909090828</v>
      </c>
      <c r="DM474" s="122">
        <v>111</v>
      </c>
      <c r="DN474" s="98">
        <f t="shared" si="2892"/>
        <v>14.432989690721643</v>
      </c>
      <c r="DO474" s="122">
        <v>110</v>
      </c>
      <c r="DP474" s="98">
        <f t="shared" si="2893"/>
        <v>-4.3478260869565188</v>
      </c>
      <c r="DQ474" s="122">
        <v>108</v>
      </c>
      <c r="DR474" s="98">
        <f t="shared" si="2894"/>
        <v>0.93457943925232545</v>
      </c>
      <c r="DS474" s="122">
        <v>239</v>
      </c>
      <c r="DT474" s="98" t="str">
        <f t="shared" si="2895"/>
        <v>NM</v>
      </c>
      <c r="DU474" s="122">
        <v>249</v>
      </c>
      <c r="DV474" s="98" t="str">
        <f t="shared" si="2896"/>
        <v>NM</v>
      </c>
      <c r="DW474" s="122">
        <v>223</v>
      </c>
      <c r="DX474" s="98" t="str">
        <f t="shared" si="2897"/>
        <v>NM</v>
      </c>
      <c r="DY474" s="122">
        <v>219</v>
      </c>
      <c r="DZ474" s="98" t="str">
        <f t="shared" si="2898"/>
        <v>NM</v>
      </c>
      <c r="EA474" s="122">
        <v>204</v>
      </c>
      <c r="EB474" s="98">
        <f t="shared" si="2899"/>
        <v>-14.644351464435147</v>
      </c>
      <c r="EC474" s="122">
        <v>203</v>
      </c>
      <c r="ED474" s="98">
        <f t="shared" si="2900"/>
        <v>-18.473895582329313</v>
      </c>
      <c r="EE474" s="122">
        <v>105</v>
      </c>
      <c r="EF474" s="860" t="str">
        <f t="shared" si="2901"/>
        <v>NM</v>
      </c>
      <c r="EG474" s="122">
        <v>69</v>
      </c>
      <c r="EH474" s="860" t="str">
        <f t="shared" si="2902"/>
        <v>NM</v>
      </c>
      <c r="EI474" s="122">
        <v>96</v>
      </c>
      <c r="EJ474" s="860" t="str">
        <f t="shared" si="2903"/>
        <v>NM</v>
      </c>
      <c r="EK474" s="122">
        <v>37</v>
      </c>
      <c r="EL474" s="860" t="str">
        <f t="shared" si="2904"/>
        <v>NM</v>
      </c>
      <c r="EM474" s="122">
        <v>37</v>
      </c>
      <c r="EN474" s="860" t="str">
        <f t="shared" si="2905"/>
        <v>NM</v>
      </c>
      <c r="EO474" s="122">
        <v>74</v>
      </c>
      <c r="EP474" s="98">
        <f t="shared" si="2906"/>
        <v>7.2463768115942129</v>
      </c>
      <c r="EQ474" s="950">
        <f>EO474</f>
        <v>74</v>
      </c>
      <c r="ER474" s="98">
        <f t="shared" si="2907"/>
        <v>-22.916666666666664</v>
      </c>
      <c r="ES474" s="950">
        <f t="shared" ref="ES474" si="2947">EQ474</f>
        <v>74</v>
      </c>
      <c r="ET474" s="98">
        <f t="shared" si="2909"/>
        <v>100</v>
      </c>
      <c r="EU474" s="950">
        <f t="shared" ref="EU474" si="2948">ES474</f>
        <v>74</v>
      </c>
      <c r="EV474" s="98">
        <f t="shared" si="2911"/>
        <v>100</v>
      </c>
      <c r="EW474" s="950">
        <f t="shared" ref="EW474" si="2949">EU474</f>
        <v>74</v>
      </c>
      <c r="EX474" s="98">
        <f t="shared" si="2913"/>
        <v>0</v>
      </c>
      <c r="EY474" s="101"/>
      <c r="EZ474" s="594"/>
      <c r="FA474" s="405"/>
      <c r="FB474" s="177">
        <v>37</v>
      </c>
      <c r="FC474" s="98"/>
      <c r="FD474" s="122">
        <v>37</v>
      </c>
      <c r="FE474" s="98">
        <f t="shared" si="2914"/>
        <v>0</v>
      </c>
      <c r="FF474" s="118">
        <f>C474+E474+G474+I474</f>
        <v>43</v>
      </c>
      <c r="FG474" s="98">
        <f t="shared" si="2915"/>
        <v>16.216216216216207</v>
      </c>
      <c r="FH474" s="118">
        <f>K474+M474+O474+Q474</f>
        <v>56</v>
      </c>
      <c r="FI474" s="98">
        <f t="shared" si="2916"/>
        <v>30.232558139534895</v>
      </c>
      <c r="FJ474" s="118">
        <f>S474+U474+W474+Y474</f>
        <v>21</v>
      </c>
      <c r="FK474" s="98" t="str">
        <f t="shared" si="2917"/>
        <v>NM</v>
      </c>
      <c r="FL474" s="118">
        <f>AA474+AC474+AE474+AG474</f>
        <v>18</v>
      </c>
      <c r="FM474" s="98">
        <f t="shared" si="2918"/>
        <v>-14.28571428571429</v>
      </c>
      <c r="FN474" s="118">
        <f>AI474+AK474+AM474+AO474</f>
        <v>39</v>
      </c>
      <c r="FO474" s="98" t="str">
        <f t="shared" si="2919"/>
        <v>NM</v>
      </c>
      <c r="FP474" s="118">
        <f>AQ474+AS474+AU474+AW474</f>
        <v>79</v>
      </c>
      <c r="FQ474" s="98" t="str">
        <f t="shared" si="2920"/>
        <v>NM</v>
      </c>
      <c r="FR474" s="100">
        <f>AY474+BA474+BC474+BE474</f>
        <v>136</v>
      </c>
      <c r="FS474" s="120">
        <f t="shared" si="2921"/>
        <v>72.151898734177223</v>
      </c>
      <c r="FT474" s="100">
        <f>BG474+BI474+BK474+BM474</f>
        <v>174</v>
      </c>
      <c r="FU474" s="120">
        <f t="shared" si="2922"/>
        <v>27.941176470588225</v>
      </c>
      <c r="FV474" s="101">
        <v>168</v>
      </c>
      <c r="FW474" s="98">
        <f t="shared" si="2923"/>
        <v>-3.4482758620689613</v>
      </c>
      <c r="FX474" s="485">
        <f>BW474+BY474+CA474+CC474</f>
        <v>172</v>
      </c>
      <c r="FY474" s="98">
        <f t="shared" si="2924"/>
        <v>2.3809523809523725</v>
      </c>
      <c r="FZ474" s="119">
        <f>CE474+CG474+CI474+CK474</f>
        <v>220</v>
      </c>
      <c r="GA474" s="98">
        <f t="shared" si="2925"/>
        <v>27.906976744186053</v>
      </c>
      <c r="GB474" s="485">
        <f>CM474+CO474+CQ474+CS474</f>
        <v>307</v>
      </c>
      <c r="GC474" s="98">
        <f t="shared" si="2926"/>
        <v>39.545454545454547</v>
      </c>
      <c r="GD474" s="119">
        <f>CU474+CW474+CY474+DA474</f>
        <v>352</v>
      </c>
      <c r="GE474" s="98">
        <f t="shared" si="2927"/>
        <v>14.657980456026065</v>
      </c>
      <c r="GF474" s="119">
        <f>DC474+DE474+DG474+DI474</f>
        <v>418</v>
      </c>
      <c r="GG474" s="98">
        <f t="shared" si="2928"/>
        <v>18.75</v>
      </c>
      <c r="GH474" s="119">
        <f>DK474+DM474+DO474+DQ474</f>
        <v>437</v>
      </c>
      <c r="GI474" s="98">
        <f t="shared" si="2929"/>
        <v>4.5454545454545414</v>
      </c>
      <c r="GJ474" s="119">
        <f>DS474+DU474+DW474+DY474</f>
        <v>930</v>
      </c>
      <c r="GK474" s="98" t="str">
        <f t="shared" si="2930"/>
        <v>NM</v>
      </c>
      <c r="GL474" s="119">
        <f>EA474+EC474+EE474+EG474</f>
        <v>581</v>
      </c>
      <c r="GM474" s="98">
        <f t="shared" si="2931"/>
        <v>-37.526881720430104</v>
      </c>
      <c r="GN474" s="119">
        <f>EI474+EK474+EM474+EO474</f>
        <v>244</v>
      </c>
      <c r="GO474" s="98" t="str">
        <f t="shared" si="2931"/>
        <v>NM</v>
      </c>
      <c r="GP474" s="119">
        <f>EQ474+ES474+EU474+EW474</f>
        <v>296</v>
      </c>
      <c r="GQ474" s="98">
        <f t="shared" si="2931"/>
        <v>21.311475409836067</v>
      </c>
      <c r="GR474" s="101">
        <f>GP474*0.98</f>
        <v>290.08</v>
      </c>
      <c r="GS474" s="98">
        <f t="shared" si="2931"/>
        <v>-2.0000000000000018</v>
      </c>
      <c r="GT474" s="101">
        <f>GR474*0.98</f>
        <v>284.27839999999998</v>
      </c>
      <c r="GU474" s="98">
        <f t="shared" si="2931"/>
        <v>-2.0000000000000018</v>
      </c>
      <c r="GV474" s="101">
        <f>GT474*0.98</f>
        <v>278.59283199999999</v>
      </c>
      <c r="GW474" s="98">
        <f t="shared" si="2931"/>
        <v>-2.0000000000000018</v>
      </c>
      <c r="GX474" s="101">
        <f>GV474*0.98</f>
        <v>273.02097535999997</v>
      </c>
      <c r="GY474" s="98">
        <f t="shared" si="2932"/>
        <v>-2.0000000000000129</v>
      </c>
      <c r="GZ474" s="98">
        <f t="shared" si="2933"/>
        <v>2.2730570107688086</v>
      </c>
      <c r="HA474" s="98"/>
      <c r="HB474" s="10"/>
      <c r="HC474"/>
      <c r="HD474"/>
      <c r="HE474"/>
      <c r="HF474"/>
      <c r="HG474"/>
      <c r="HH474"/>
      <c r="HI474" s="10"/>
    </row>
    <row r="475" spans="1:217" s="2" customFormat="1" ht="12.75" customHeight="1" x14ac:dyDescent="0.2">
      <c r="A475" s="2" t="s">
        <v>216</v>
      </c>
      <c r="B475" s="131" t="s">
        <v>538</v>
      </c>
      <c r="C475" s="182">
        <f>+C474+C471+C470+C469</f>
        <v>612</v>
      </c>
      <c r="D475" s="98"/>
      <c r="E475" s="182">
        <f>+E474+E471+E470+E469</f>
        <v>614</v>
      </c>
      <c r="F475" s="98"/>
      <c r="G475" s="182">
        <f>+G474+G471+G470+G469</f>
        <v>624</v>
      </c>
      <c r="H475" s="98"/>
      <c r="I475" s="182">
        <f>+I474+I471+I470+I469</f>
        <v>635</v>
      </c>
      <c r="J475" s="98"/>
      <c r="K475" s="182">
        <f>+K474+K471+K470+K469</f>
        <v>605</v>
      </c>
      <c r="L475" s="98">
        <f t="shared" si="2839"/>
        <v>-1.1437908496731986</v>
      </c>
      <c r="M475" s="182">
        <f>+M474+M471+M470+M469</f>
        <v>614</v>
      </c>
      <c r="N475" s="98">
        <f t="shared" si="2840"/>
        <v>0</v>
      </c>
      <c r="O475" s="182">
        <f>+O474+O471+O470+O469</f>
        <v>614</v>
      </c>
      <c r="P475" s="98">
        <f t="shared" si="2841"/>
        <v>-1.602564102564108</v>
      </c>
      <c r="Q475" s="182">
        <f>+Q474+Q471+Q470+Q469</f>
        <v>621</v>
      </c>
      <c r="R475" s="98">
        <f t="shared" si="2842"/>
        <v>-2.2047244094488216</v>
      </c>
      <c r="S475" s="182">
        <f>+S474+S471+S470+S469</f>
        <v>565</v>
      </c>
      <c r="T475" s="98">
        <f t="shared" si="2843"/>
        <v>-6.6115702479338845</v>
      </c>
      <c r="U475" s="182">
        <f>+U474+U471+U470+U469</f>
        <v>590</v>
      </c>
      <c r="V475" s="98">
        <f t="shared" si="2844"/>
        <v>-3.9087947882736174</v>
      </c>
      <c r="W475" s="182">
        <f>+W474+W471+W470+W469</f>
        <v>617</v>
      </c>
      <c r="X475" s="98">
        <f t="shared" si="2845"/>
        <v>0.48859934853420217</v>
      </c>
      <c r="Y475" s="182">
        <f>+Y474+Y471+Y470+Y469</f>
        <v>639</v>
      </c>
      <c r="Z475" s="98">
        <f t="shared" si="2846"/>
        <v>2.8985507246376718</v>
      </c>
      <c r="AA475" s="182">
        <f>+AA474+AA471+AA470+AA469</f>
        <v>594</v>
      </c>
      <c r="AB475" s="98">
        <f t="shared" si="2847"/>
        <v>5.1327433628318486</v>
      </c>
      <c r="AC475" s="182">
        <f>+AC474+AC471+AC470+AC469</f>
        <v>604</v>
      </c>
      <c r="AD475" s="98">
        <f t="shared" si="2848"/>
        <v>2.3728813559322104</v>
      </c>
      <c r="AE475" s="182">
        <f>+AE474+AE471+AE470+AE469</f>
        <v>617</v>
      </c>
      <c r="AF475" s="98">
        <f t="shared" si="2849"/>
        <v>0</v>
      </c>
      <c r="AG475" s="182">
        <f>+AG474+AG471+AG470+AG469</f>
        <v>667</v>
      </c>
      <c r="AH475" s="98">
        <f t="shared" si="2850"/>
        <v>4.3818466353677588</v>
      </c>
      <c r="AI475" s="182">
        <f>+AI474+AI471+AI470+AI469</f>
        <v>651</v>
      </c>
      <c r="AJ475" s="98">
        <f t="shared" si="2851"/>
        <v>9.5959595959596022</v>
      </c>
      <c r="AK475" s="182">
        <f>+AK474+AK471+AK470+AK469</f>
        <v>686</v>
      </c>
      <c r="AL475" s="98">
        <f t="shared" si="2852"/>
        <v>13.576158940397342</v>
      </c>
      <c r="AM475" s="182">
        <f>+AM474+AM471+AM470+AM469</f>
        <v>692</v>
      </c>
      <c r="AN475" s="98">
        <f t="shared" si="2853"/>
        <v>12.155591572123182</v>
      </c>
      <c r="AO475" s="182">
        <f>+AO474+AO471+AO470+AO469</f>
        <v>749</v>
      </c>
      <c r="AP475" s="98">
        <f t="shared" si="2854"/>
        <v>12.293853073463268</v>
      </c>
      <c r="AQ475" s="182">
        <f>+AQ474+AQ471+AQ470+AQ469</f>
        <v>770</v>
      </c>
      <c r="AR475" s="98">
        <f t="shared" si="2855"/>
        <v>18.279569892473123</v>
      </c>
      <c r="AS475" s="182">
        <f>+AS474+AS471+AS470+AS469</f>
        <v>835</v>
      </c>
      <c r="AT475" s="98">
        <f t="shared" si="2856"/>
        <v>21.720116618075803</v>
      </c>
      <c r="AU475" s="182">
        <f>+AU474+AU471+AU470+AU469</f>
        <v>1143</v>
      </c>
      <c r="AV475" s="98">
        <f t="shared" si="2857"/>
        <v>65.173410404624278</v>
      </c>
      <c r="AW475" s="182">
        <f>+AW474+AW471+AW470+AW469</f>
        <v>1129</v>
      </c>
      <c r="AX475" s="98">
        <f t="shared" si="2858"/>
        <v>50.734312416555419</v>
      </c>
      <c r="AY475" s="182">
        <f>+AY474+AY471+AY470+AY469</f>
        <v>1160</v>
      </c>
      <c r="AZ475" s="98">
        <f t="shared" si="2859"/>
        <v>50.649350649350652</v>
      </c>
      <c r="BA475" s="182">
        <f>+BA474+BA471+BA470+BA469</f>
        <v>1155</v>
      </c>
      <c r="BB475" s="98">
        <f t="shared" si="2860"/>
        <v>38.323353293413163</v>
      </c>
      <c r="BC475" s="182">
        <f>+BC474+BC471+BC470+BC469</f>
        <v>1132</v>
      </c>
      <c r="BD475" s="98">
        <f t="shared" si="2861"/>
        <v>-0.96237970253718608</v>
      </c>
      <c r="BE475" s="182">
        <f>+BE474+BE471+BE470+BE469</f>
        <v>1229</v>
      </c>
      <c r="BF475" s="98">
        <f t="shared" si="2862"/>
        <v>8.8573959255978671</v>
      </c>
      <c r="BG475" s="182">
        <f>+BG474+BG471+BG470+BG469</f>
        <v>1213</v>
      </c>
      <c r="BH475" s="98">
        <f t="shared" si="2863"/>
        <v>4.5689655172413746</v>
      </c>
      <c r="BI475" s="182">
        <f>+BI474+BI471+BI470+BI469</f>
        <v>1280</v>
      </c>
      <c r="BJ475" s="98">
        <f t="shared" si="2864"/>
        <v>10.822510822510822</v>
      </c>
      <c r="BK475" s="182">
        <f>+BK474+BK471+BK470+BK469</f>
        <v>1220</v>
      </c>
      <c r="BL475" s="98">
        <f t="shared" si="2865"/>
        <v>7.7738515901060179</v>
      </c>
      <c r="BM475" s="182">
        <f>+BM474+BM471+BM470+BM469</f>
        <v>1298</v>
      </c>
      <c r="BN475" s="98">
        <f t="shared" si="2866"/>
        <v>5.6143205858421474</v>
      </c>
      <c r="BO475" s="182">
        <f>+BO474+BO471+BO470+BO469</f>
        <v>1180</v>
      </c>
      <c r="BP475" s="98">
        <f t="shared" si="2867"/>
        <v>-2.7205276174773307</v>
      </c>
      <c r="BQ475" s="182">
        <f>+BQ474+BQ471+BQ470+BQ469</f>
        <v>1172</v>
      </c>
      <c r="BR475" s="98">
        <f t="shared" si="2868"/>
        <v>-8.4374999999999982</v>
      </c>
      <c r="BS475" s="182">
        <f>+BS474+BS471+BS470+BS469</f>
        <v>1116</v>
      </c>
      <c r="BT475" s="98">
        <f t="shared" si="2869"/>
        <v>-8.5245901639344304</v>
      </c>
      <c r="BU475" s="182">
        <f>+BU474+BU471+BU470+BU469</f>
        <v>1111</v>
      </c>
      <c r="BV475" s="98">
        <f t="shared" si="2870"/>
        <v>-14.406779661016945</v>
      </c>
      <c r="BW475" s="182">
        <f>+BW474+BW471+BW470+BW469</f>
        <v>1161</v>
      </c>
      <c r="BX475" s="98">
        <f t="shared" si="2871"/>
        <v>-1.6101694915254261</v>
      </c>
      <c r="BY475" s="182">
        <f>+BY474+BY471+BY470+BY469</f>
        <v>1294</v>
      </c>
      <c r="BZ475" s="98">
        <f t="shared" si="2872"/>
        <v>10.409556313993185</v>
      </c>
      <c r="CA475" s="182">
        <f>+CA474+CA471+CA470+CA469</f>
        <v>1416</v>
      </c>
      <c r="CB475" s="98">
        <f t="shared" si="2873"/>
        <v>26.881720430107524</v>
      </c>
      <c r="CC475" s="182">
        <f>+CC474+CC471+CC470+CC469</f>
        <v>1653</v>
      </c>
      <c r="CD475" s="98">
        <f t="shared" si="2874"/>
        <v>48.784878487848779</v>
      </c>
      <c r="CE475" s="182">
        <f>+CE474+CE471+CE470+CE469</f>
        <v>1619</v>
      </c>
      <c r="CF475" s="98">
        <f t="shared" si="2875"/>
        <v>39.448751076658063</v>
      </c>
      <c r="CG475" s="182">
        <f>+CG474+CG471+CG470+CG469</f>
        <v>1655</v>
      </c>
      <c r="CH475" s="98">
        <f t="shared" si="2876"/>
        <v>27.897990726429668</v>
      </c>
      <c r="CI475" s="182">
        <f>+CI474+CI471+CI470+CI469</f>
        <v>1639</v>
      </c>
      <c r="CJ475" s="98">
        <f t="shared" si="2877"/>
        <v>15.748587570621474</v>
      </c>
      <c r="CK475" s="182">
        <f>+CK474+CK471+CK470+CK469</f>
        <v>1601</v>
      </c>
      <c r="CL475" s="98">
        <f t="shared" si="2878"/>
        <v>-3.145795523290984</v>
      </c>
      <c r="CM475" s="182">
        <f>+CM474+CM471+CM470+CM469</f>
        <v>1446</v>
      </c>
      <c r="CN475" s="98">
        <f t="shared" si="2879"/>
        <v>-10.685608400247071</v>
      </c>
      <c r="CO475" s="182">
        <f>+CO474+CO471+CO470+CO469</f>
        <v>1553</v>
      </c>
      <c r="CP475" s="98">
        <f t="shared" si="2880"/>
        <v>-6.1631419939576997</v>
      </c>
      <c r="CQ475" s="512">
        <f>+CQ474+CQ471+CQ470+CQ469</f>
        <v>1693</v>
      </c>
      <c r="CR475" s="98">
        <f t="shared" si="2881"/>
        <v>3.2946918852959195</v>
      </c>
      <c r="CS475" s="182">
        <f>+CS474+CS471+CS470+CS469</f>
        <v>1658</v>
      </c>
      <c r="CT475" s="98">
        <f t="shared" si="2882"/>
        <v>3.5602748282323571</v>
      </c>
      <c r="CU475" s="182">
        <f>+CU474+CU471+CU470+CU469</f>
        <v>1723</v>
      </c>
      <c r="CV475" s="98">
        <f t="shared" si="2883"/>
        <v>19.156293222683264</v>
      </c>
      <c r="CW475" s="182">
        <f>+CW474+CW471+CW470+CW469</f>
        <v>1647</v>
      </c>
      <c r="CX475" s="98">
        <f t="shared" si="2884"/>
        <v>6.052801030263999</v>
      </c>
      <c r="CY475" s="182">
        <f>+CY474+CY471+CY470+CY469</f>
        <v>1679</v>
      </c>
      <c r="CZ475" s="98">
        <f t="shared" si="2885"/>
        <v>-0.8269344359125852</v>
      </c>
      <c r="DA475" s="182">
        <f>+DA474+DA471+DA470+DA469</f>
        <v>1710</v>
      </c>
      <c r="DB475" s="98">
        <f t="shared" si="2886"/>
        <v>3.1363088057901001</v>
      </c>
      <c r="DC475" s="182">
        <f>+DC474+DC471+DC470+DC469</f>
        <v>1726</v>
      </c>
      <c r="DD475" s="98">
        <f t="shared" si="2887"/>
        <v>0.17411491584444772</v>
      </c>
      <c r="DE475" s="182">
        <f>+DE474+DE471+DE470+DE469</f>
        <v>1795</v>
      </c>
      <c r="DF475" s="98">
        <f t="shared" si="2888"/>
        <v>8.9860352155434207</v>
      </c>
      <c r="DG475" s="182">
        <f>+DG474+DG471+DG470+DG469</f>
        <v>1803</v>
      </c>
      <c r="DH475" s="98">
        <f t="shared" si="2889"/>
        <v>7.3853484216795717</v>
      </c>
      <c r="DI475" s="182">
        <f>+DI474+DI471+DI470+DI469</f>
        <v>1906</v>
      </c>
      <c r="DJ475" s="98">
        <f t="shared" si="2890"/>
        <v>11.461988304093573</v>
      </c>
      <c r="DK475" s="182">
        <f>+DK474+DK471+DK470+DK469</f>
        <v>1938</v>
      </c>
      <c r="DL475" s="98">
        <f t="shared" si="2891"/>
        <v>12.282734646581694</v>
      </c>
      <c r="DM475" s="182">
        <f>+DM474+DM471+DM470+DM469</f>
        <v>2002</v>
      </c>
      <c r="DN475" s="98">
        <f t="shared" si="2892"/>
        <v>11.532033426183851</v>
      </c>
      <c r="DO475" s="182">
        <f>+DO474+DO471+DO470+DO469</f>
        <v>2053</v>
      </c>
      <c r="DP475" s="98">
        <f t="shared" si="2893"/>
        <v>13.865779256794241</v>
      </c>
      <c r="DQ475" s="182">
        <f>+DQ474+DQ471+DQ470+DQ469</f>
        <v>1932</v>
      </c>
      <c r="DR475" s="98">
        <f t="shared" si="2894"/>
        <v>1.3641133263378791</v>
      </c>
      <c r="DS475" s="182">
        <f>+DS474+DS471+DS470+DS469</f>
        <v>3289</v>
      </c>
      <c r="DT475" s="98">
        <f t="shared" si="2895"/>
        <v>69.711042311661501</v>
      </c>
      <c r="DU475" s="182">
        <f>+DU474+DU471+DU470+DU469</f>
        <v>3345</v>
      </c>
      <c r="DV475" s="98">
        <f t="shared" si="2896"/>
        <v>67.082917082917092</v>
      </c>
      <c r="DW475" s="182">
        <f>+DW474+DW471+DW470+DW469</f>
        <v>3229</v>
      </c>
      <c r="DX475" s="98">
        <f t="shared" si="2897"/>
        <v>57.282026302971254</v>
      </c>
      <c r="DY475" s="182">
        <f>+DY474+DY471+DY470+DY469</f>
        <v>3295</v>
      </c>
      <c r="DZ475" s="98">
        <f t="shared" si="2898"/>
        <v>70.548654244306405</v>
      </c>
      <c r="EA475" s="182">
        <f>+EA474+EA471+EA470+EA469</f>
        <v>3131</v>
      </c>
      <c r="EB475" s="98">
        <f t="shared" si="2899"/>
        <v>-4.803891760413503</v>
      </c>
      <c r="EC475" s="182">
        <f>+EC474+EC471+EC470+EC469</f>
        <v>3163</v>
      </c>
      <c r="ED475" s="98">
        <f t="shared" si="2900"/>
        <v>-5.4409566517189862</v>
      </c>
      <c r="EE475" s="182">
        <f>+EE474+EE471+EE470+EE469</f>
        <v>3092</v>
      </c>
      <c r="EF475" s="860">
        <f t="shared" si="2901"/>
        <v>-4.2427996283679104</v>
      </c>
      <c r="EG475" s="182">
        <f>+EG474+EG471+EG470+EG469</f>
        <v>3081</v>
      </c>
      <c r="EH475" s="860">
        <f t="shared" si="2902"/>
        <v>-6.4946889226100151</v>
      </c>
      <c r="EI475" s="182">
        <f>+EI474+EI471+EI470+EI469</f>
        <v>2958</v>
      </c>
      <c r="EJ475" s="860">
        <f t="shared" si="2903"/>
        <v>-5.5253912488023023</v>
      </c>
      <c r="EK475" s="182">
        <f>+EK474+EK471+EK470+EK469</f>
        <v>2805</v>
      </c>
      <c r="EL475" s="860">
        <f t="shared" si="2904"/>
        <v>-11.318368637369591</v>
      </c>
      <c r="EM475" s="182">
        <f>+EM474+EM471+EM470+EM469</f>
        <v>2765</v>
      </c>
      <c r="EN475" s="860">
        <f t="shared" si="2905"/>
        <v>-10.575679172056917</v>
      </c>
      <c r="EO475" s="182">
        <f>+EO474+EO471+EO470+EO469</f>
        <v>2828</v>
      </c>
      <c r="EP475" s="98">
        <f t="shared" si="2906"/>
        <v>-8.2116196040246674</v>
      </c>
      <c r="EQ475" s="795">
        <f t="shared" ref="EQ475" si="2950">+EQ474+EQ471+EQ470+EQ469</f>
        <v>2829.5800974483946</v>
      </c>
      <c r="ER475" s="98">
        <f t="shared" si="2907"/>
        <v>-4.3414436291955845</v>
      </c>
      <c r="ES475" s="795">
        <f t="shared" ref="ES475" si="2951">+ES474+ES471+ES470+ES469</f>
        <v>2800.3588781251947</v>
      </c>
      <c r="ET475" s="98">
        <f t="shared" si="2909"/>
        <v>-0.16545889036738703</v>
      </c>
      <c r="EU475" s="795">
        <f t="shared" ref="EU475" si="2952">+EU474+EU471+EU470+EU469</f>
        <v>2782.7251593633023</v>
      </c>
      <c r="EV475" s="98">
        <f t="shared" si="2911"/>
        <v>0.64105458818453087</v>
      </c>
      <c r="EW475" s="795">
        <f t="shared" ref="EW475" si="2953">+EW474+EW471+EW470+EW469</f>
        <v>2761.059646675973</v>
      </c>
      <c r="EX475" s="98">
        <f t="shared" si="2913"/>
        <v>-2.3670563410193468</v>
      </c>
      <c r="EY475" s="183"/>
      <c r="EZ475" s="594"/>
      <c r="FA475" s="405"/>
      <c r="FB475" s="183">
        <f>+FB474+FB471+FB470+FB469</f>
        <v>1961</v>
      </c>
      <c r="FC475" s="98"/>
      <c r="FD475" s="182">
        <f>+FD474+FD471+FD470+FD469</f>
        <v>1966</v>
      </c>
      <c r="FE475" s="98">
        <f t="shared" si="2914"/>
        <v>0.25497195308517018</v>
      </c>
      <c r="FF475" s="183">
        <f>+FF474+FF471+FF470+FF469</f>
        <v>2485</v>
      </c>
      <c r="FG475" s="98">
        <f t="shared" si="2915"/>
        <v>26.398779247202441</v>
      </c>
      <c r="FH475" s="183">
        <f>+FH474+FH471+FH470+FH469</f>
        <v>2454</v>
      </c>
      <c r="FI475" s="98">
        <f t="shared" si="2916"/>
        <v>-1.247484909456742</v>
      </c>
      <c r="FJ475" s="183">
        <f>+FJ474+FJ471+FJ470+FJ469</f>
        <v>2411</v>
      </c>
      <c r="FK475" s="98">
        <f t="shared" si="2917"/>
        <v>-1.7522412387938058</v>
      </c>
      <c r="FL475" s="183">
        <f>+FL474+FL471+FL470+FL469</f>
        <v>2482</v>
      </c>
      <c r="FM475" s="98">
        <f t="shared" si="2918"/>
        <v>2.9448361675653345</v>
      </c>
      <c r="FN475" s="183">
        <f>+FN474+FN471+FN470+FN469</f>
        <v>2778</v>
      </c>
      <c r="FO475" s="98">
        <f t="shared" si="2919"/>
        <v>11.925866236905724</v>
      </c>
      <c r="FP475" s="183">
        <f>+FP474+FP471+FP470+FP469</f>
        <v>3877</v>
      </c>
      <c r="FQ475" s="98">
        <f t="shared" si="2920"/>
        <v>39.560835133189357</v>
      </c>
      <c r="FR475" s="184">
        <f>+FR474+FR471+FR470+FR469</f>
        <v>4676</v>
      </c>
      <c r="FS475" s="120">
        <f t="shared" si="2921"/>
        <v>20.60871808099045</v>
      </c>
      <c r="FT475" s="184">
        <f>+FT474+FT471+FT470+FT469</f>
        <v>5011</v>
      </c>
      <c r="FU475" s="120">
        <f t="shared" si="2922"/>
        <v>7.1642429426860499</v>
      </c>
      <c r="FV475" s="184">
        <f>+FV474+FV471+FV470+FV469</f>
        <v>4764</v>
      </c>
      <c r="FW475" s="98">
        <f t="shared" si="2923"/>
        <v>-4.9291558571143534</v>
      </c>
      <c r="FX475" s="498">
        <f>+FX474+FX471+FX470+FX469</f>
        <v>5524</v>
      </c>
      <c r="FY475" s="98">
        <f t="shared" si="2924"/>
        <v>15.952980688497064</v>
      </c>
      <c r="FZ475" s="184">
        <f>+FZ474+FZ471+FZ470+FZ469</f>
        <v>6514</v>
      </c>
      <c r="GA475" s="98">
        <f t="shared" si="2925"/>
        <v>17.921795800144814</v>
      </c>
      <c r="GB475" s="498">
        <f>+GB474+GB471+GB470+GB469</f>
        <v>6350</v>
      </c>
      <c r="GC475" s="98">
        <f t="shared" si="2926"/>
        <v>-2.5176542830825932</v>
      </c>
      <c r="GD475" s="184">
        <f>+GD474+GD471+GD470+GD469</f>
        <v>6759</v>
      </c>
      <c r="GE475" s="98">
        <f t="shared" si="2927"/>
        <v>6.4409448818897541</v>
      </c>
      <c r="GF475" s="184">
        <f>+GF474+GF471+GF470+GF469</f>
        <v>7230</v>
      </c>
      <c r="GG475" s="98">
        <f t="shared" si="2928"/>
        <v>6.9684864624944609</v>
      </c>
      <c r="GH475" s="184">
        <f>+GH474+GH471+GH470+GH469</f>
        <v>7925</v>
      </c>
      <c r="GI475" s="98">
        <f t="shared" si="2929"/>
        <v>9.612724757952984</v>
      </c>
      <c r="GJ475" s="184">
        <f>+GJ474+GJ471+GJ470+GJ469</f>
        <v>13158</v>
      </c>
      <c r="GK475" s="98">
        <f t="shared" si="2930"/>
        <v>66.031545741324919</v>
      </c>
      <c r="GL475" s="184">
        <f>+GL474+GL471+GL470+GL469</f>
        <v>12467</v>
      </c>
      <c r="GM475" s="98">
        <f t="shared" si="2931"/>
        <v>-5.2515579875361045</v>
      </c>
      <c r="GN475" s="184">
        <f>+GN474+GN471+GN470+GN469</f>
        <v>11356</v>
      </c>
      <c r="GO475" s="98">
        <f t="shared" si="2931"/>
        <v>-8.9115264297746073</v>
      </c>
      <c r="GP475" s="184">
        <f>+GP474+GP471+GP470+GP469</f>
        <v>11173.723781612865</v>
      </c>
      <c r="GQ475" s="98">
        <f t="shared" si="2931"/>
        <v>-1.6051093552935436</v>
      </c>
      <c r="GR475" s="183">
        <f>+GR474+GR471+GR470+GR469</f>
        <v>10792.192107716732</v>
      </c>
      <c r="GS475" s="98">
        <f t="shared" si="2931"/>
        <v>-3.4145436324815037</v>
      </c>
      <c r="GT475" s="183">
        <f>+GT474+GT471+GT470+GT469</f>
        <v>10248.952001836597</v>
      </c>
      <c r="GU475" s="98">
        <f t="shared" si="2931"/>
        <v>-5.0336400655034863</v>
      </c>
      <c r="GV475" s="183">
        <f>+GV474+GV471+GV470+GV469</f>
        <v>9640.9459427466736</v>
      </c>
      <c r="GW475" s="98">
        <f t="shared" si="2931"/>
        <v>-5.9323729780466294</v>
      </c>
      <c r="GX475" s="183">
        <f>+GX474+GX471+GX470+GX469</f>
        <v>8994.0057416732961</v>
      </c>
      <c r="GY475" s="98">
        <f t="shared" si="2932"/>
        <v>-6.7103394720317899</v>
      </c>
      <c r="GZ475" s="98">
        <f t="shared" si="2933"/>
        <v>-4.5566761654985966</v>
      </c>
      <c r="HA475" s="98"/>
      <c r="HB475" s="10"/>
      <c r="HC475"/>
      <c r="HD475"/>
      <c r="HE475"/>
      <c r="HF475"/>
      <c r="HG475"/>
      <c r="HH475"/>
      <c r="HI475" s="10"/>
    </row>
    <row r="476" spans="1:217" s="2" customFormat="1" ht="12.75" customHeight="1" x14ac:dyDescent="0.2">
      <c r="B476" s="179" t="s">
        <v>539</v>
      </c>
      <c r="C476" s="117">
        <f>C475-C472</f>
        <v>333</v>
      </c>
      <c r="D476" s="98"/>
      <c r="E476" s="117">
        <f>E475-E472</f>
        <v>336</v>
      </c>
      <c r="F476" s="98"/>
      <c r="G476" s="117">
        <f>G475-G472</f>
        <v>341</v>
      </c>
      <c r="H476" s="98"/>
      <c r="I476" s="117">
        <f>I475-I472</f>
        <v>351</v>
      </c>
      <c r="J476" s="98"/>
      <c r="K476" s="117">
        <f>K475-K472</f>
        <v>316</v>
      </c>
      <c r="L476" s="98">
        <f t="shared" si="2839"/>
        <v>-5.1051051051051015</v>
      </c>
      <c r="M476" s="117">
        <f>M475-M472</f>
        <v>323</v>
      </c>
      <c r="N476" s="98">
        <f t="shared" si="2840"/>
        <v>-3.8690476190476164</v>
      </c>
      <c r="O476" s="117">
        <f>O475-O472</f>
        <v>324</v>
      </c>
      <c r="P476" s="98">
        <f t="shared" si="2841"/>
        <v>-4.9853372434017551</v>
      </c>
      <c r="Q476" s="117">
        <f>Q475-Q472</f>
        <v>313</v>
      </c>
      <c r="R476" s="98">
        <f t="shared" si="2842"/>
        <v>-10.826210826210826</v>
      </c>
      <c r="S476" s="117">
        <f>S475-S472</f>
        <v>268</v>
      </c>
      <c r="T476" s="98">
        <f t="shared" si="2843"/>
        <v>-15.189873417721522</v>
      </c>
      <c r="U476" s="117">
        <f>U475-U472</f>
        <v>281</v>
      </c>
      <c r="V476" s="98">
        <f t="shared" si="2844"/>
        <v>-13.003095975232192</v>
      </c>
      <c r="W476" s="117">
        <f>W475-W472</f>
        <v>327</v>
      </c>
      <c r="X476" s="98">
        <f t="shared" si="2845"/>
        <v>0.92592592592593004</v>
      </c>
      <c r="Y476" s="117">
        <f>Y475-Y472</f>
        <v>327</v>
      </c>
      <c r="Z476" s="98">
        <f t="shared" si="2846"/>
        <v>4.4728434504792247</v>
      </c>
      <c r="AA476" s="117">
        <f>AA475-AA472</f>
        <v>298</v>
      </c>
      <c r="AB476" s="98">
        <f t="shared" si="2847"/>
        <v>11.194029850746269</v>
      </c>
      <c r="AC476" s="117">
        <f>AC475-AC472</f>
        <v>297</v>
      </c>
      <c r="AD476" s="98">
        <f t="shared" si="2848"/>
        <v>5.6939501779359469</v>
      </c>
      <c r="AE476" s="117">
        <f>AE475-AE472</f>
        <v>314</v>
      </c>
      <c r="AF476" s="98">
        <f t="shared" si="2849"/>
        <v>-3.9755351681957207</v>
      </c>
      <c r="AG476" s="117">
        <f>AG475-AG472</f>
        <v>368</v>
      </c>
      <c r="AH476" s="98">
        <f t="shared" si="2850"/>
        <v>12.538226299694188</v>
      </c>
      <c r="AI476" s="117">
        <f>AI475-AI472</f>
        <v>371</v>
      </c>
      <c r="AJ476" s="98">
        <f t="shared" si="2851"/>
        <v>24.496644295302005</v>
      </c>
      <c r="AK476" s="117">
        <f>AK475-AK472</f>
        <v>405</v>
      </c>
      <c r="AL476" s="98">
        <f t="shared" si="2852"/>
        <v>36.363636363636353</v>
      </c>
      <c r="AM476" s="117">
        <f>AM475-AM472</f>
        <v>426</v>
      </c>
      <c r="AN476" s="98">
        <f t="shared" si="2853"/>
        <v>35.66878980891719</v>
      </c>
      <c r="AO476" s="117">
        <f>AO475-AO472</f>
        <v>482</v>
      </c>
      <c r="AP476" s="98">
        <f t="shared" si="2854"/>
        <v>30.978260869565212</v>
      </c>
      <c r="AQ476" s="117">
        <f>AQ475-AQ472</f>
        <v>509</v>
      </c>
      <c r="AR476" s="98">
        <f t="shared" si="2855"/>
        <v>37.196765498652297</v>
      </c>
      <c r="AS476" s="117">
        <f>AS475-AS472</f>
        <v>575</v>
      </c>
      <c r="AT476" s="98">
        <f t="shared" si="2856"/>
        <v>41.975308641975317</v>
      </c>
      <c r="AU476" s="117">
        <f>AU475-AU472</f>
        <v>805</v>
      </c>
      <c r="AV476" s="98">
        <f t="shared" si="2857"/>
        <v>88.967136150234751</v>
      </c>
      <c r="AW476" s="117">
        <f>AW475-AW472</f>
        <v>807</v>
      </c>
      <c r="AX476" s="98">
        <f t="shared" si="2858"/>
        <v>67.427385892116192</v>
      </c>
      <c r="AY476" s="117">
        <f>AY475-AY472</f>
        <v>846</v>
      </c>
      <c r="AZ476" s="98">
        <f t="shared" si="2859"/>
        <v>66.208251473477404</v>
      </c>
      <c r="BA476" s="117">
        <f>BA475-BA472</f>
        <v>804</v>
      </c>
      <c r="BB476" s="98">
        <f t="shared" si="2860"/>
        <v>39.826086956521742</v>
      </c>
      <c r="BC476" s="117">
        <f>BC475-BC472</f>
        <v>780</v>
      </c>
      <c r="BD476" s="98">
        <f t="shared" si="2861"/>
        <v>-3.105590062111796</v>
      </c>
      <c r="BE476" s="117">
        <f>BE475-BE472</f>
        <v>890</v>
      </c>
      <c r="BF476" s="98">
        <f t="shared" si="2862"/>
        <v>10.285006195786872</v>
      </c>
      <c r="BG476" s="117">
        <f>BG475-BG472</f>
        <v>880</v>
      </c>
      <c r="BH476" s="98">
        <f t="shared" si="2863"/>
        <v>4.0189125295508221</v>
      </c>
      <c r="BI476" s="117">
        <f>BI475-BI472</f>
        <v>962</v>
      </c>
      <c r="BJ476" s="98">
        <f t="shared" si="2864"/>
        <v>19.651741293532332</v>
      </c>
      <c r="BK476" s="117">
        <f>BK475-BK472</f>
        <v>893</v>
      </c>
      <c r="BL476" s="98">
        <f t="shared" si="2865"/>
        <v>14.48717948717948</v>
      </c>
      <c r="BM476" s="117">
        <f>BM475-BM472</f>
        <v>954</v>
      </c>
      <c r="BN476" s="98">
        <f t="shared" si="2866"/>
        <v>7.1910112359550471</v>
      </c>
      <c r="BO476" s="117">
        <f>BO475-BO472</f>
        <v>846</v>
      </c>
      <c r="BP476" s="98">
        <f t="shared" si="2867"/>
        <v>-3.8636363636363691</v>
      </c>
      <c r="BQ476" s="117">
        <f>BQ475-BQ472</f>
        <v>850</v>
      </c>
      <c r="BR476" s="98">
        <f t="shared" si="2868"/>
        <v>-11.642411642411643</v>
      </c>
      <c r="BS476" s="117">
        <f>BS475-BS472</f>
        <v>800</v>
      </c>
      <c r="BT476" s="98">
        <f t="shared" si="2869"/>
        <v>-10.414333706606937</v>
      </c>
      <c r="BU476" s="117">
        <f>BU475-BU472</f>
        <v>745</v>
      </c>
      <c r="BV476" s="98">
        <f t="shared" si="2870"/>
        <v>-21.907756813417191</v>
      </c>
      <c r="BW476" s="117">
        <f>BW475-BW472</f>
        <v>759</v>
      </c>
      <c r="BX476" s="98">
        <f t="shared" si="2871"/>
        <v>-10.283687943262409</v>
      </c>
      <c r="BY476" s="117">
        <f>BY475-BY472</f>
        <v>866</v>
      </c>
      <c r="BZ476" s="98">
        <f t="shared" si="2872"/>
        <v>1.8823529411764683</v>
      </c>
      <c r="CA476" s="117">
        <f>CA475-CA472</f>
        <v>985</v>
      </c>
      <c r="CB476" s="98">
        <f t="shared" si="2873"/>
        <v>23.124999999999996</v>
      </c>
      <c r="CC476" s="117">
        <f>CC475-CC472</f>
        <v>1227</v>
      </c>
      <c r="CD476" s="98">
        <f t="shared" si="2874"/>
        <v>64.697986577181197</v>
      </c>
      <c r="CE476" s="117">
        <f>CE475-CE472</f>
        <v>1213</v>
      </c>
      <c r="CF476" s="98">
        <f t="shared" si="2875"/>
        <v>59.815546772068508</v>
      </c>
      <c r="CG476" s="117">
        <f>CG475-CG472</f>
        <v>1250</v>
      </c>
      <c r="CH476" s="98">
        <f t="shared" si="2876"/>
        <v>44.341801385681293</v>
      </c>
      <c r="CI476" s="117">
        <f>CI475-CI472</f>
        <v>1245</v>
      </c>
      <c r="CJ476" s="98">
        <f t="shared" si="2877"/>
        <v>26.395939086294405</v>
      </c>
      <c r="CK476" s="117">
        <f>CK475-CK472</f>
        <v>1194</v>
      </c>
      <c r="CL476" s="98">
        <f t="shared" si="2878"/>
        <v>-2.6894865525672329</v>
      </c>
      <c r="CM476" s="117">
        <f>CM475-CM472</f>
        <v>1053</v>
      </c>
      <c r="CN476" s="98">
        <f t="shared" si="2879"/>
        <v>-13.190436933223415</v>
      </c>
      <c r="CO476" s="117">
        <f>CO475-CO472</f>
        <v>1159</v>
      </c>
      <c r="CP476" s="98">
        <f t="shared" si="2880"/>
        <v>-7.2799999999999976</v>
      </c>
      <c r="CQ476" s="486">
        <f>CQ475-CQ472</f>
        <v>1285</v>
      </c>
      <c r="CR476" s="98">
        <f t="shared" si="2881"/>
        <v>3.2128514056224855</v>
      </c>
      <c r="CS476" s="117">
        <f>CS475-CS472</f>
        <v>1260</v>
      </c>
      <c r="CT476" s="98">
        <f t="shared" si="2882"/>
        <v>5.5276381909547645</v>
      </c>
      <c r="CU476" s="117">
        <f>CU475-CU472</f>
        <v>1343</v>
      </c>
      <c r="CV476" s="98">
        <f t="shared" si="2883"/>
        <v>27.540360873694205</v>
      </c>
      <c r="CW476" s="117">
        <f>CW475-CW472</f>
        <v>1270</v>
      </c>
      <c r="CX476" s="98">
        <f t="shared" si="2884"/>
        <v>9.5772217428818038</v>
      </c>
      <c r="CY476" s="117">
        <f>CY475-CY472</f>
        <v>1298</v>
      </c>
      <c r="CZ476" s="98">
        <f t="shared" si="2885"/>
        <v>1.0116731517509692</v>
      </c>
      <c r="DA476" s="117">
        <f>DA475-DA472</f>
        <v>1341</v>
      </c>
      <c r="DB476" s="98">
        <f t="shared" si="2886"/>
        <v>6.4285714285714279</v>
      </c>
      <c r="DC476" s="117">
        <f>DC475-DC472</f>
        <v>1362</v>
      </c>
      <c r="DD476" s="98">
        <f t="shared" si="2887"/>
        <v>1.4147431124348575</v>
      </c>
      <c r="DE476" s="117">
        <f>DE475-DE472</f>
        <v>1428</v>
      </c>
      <c r="DF476" s="98">
        <f t="shared" si="2888"/>
        <v>12.440944881889759</v>
      </c>
      <c r="DG476" s="117">
        <f>DG475-DG472</f>
        <v>1447</v>
      </c>
      <c r="DH476" s="98">
        <f t="shared" si="2889"/>
        <v>11.479198767334363</v>
      </c>
      <c r="DI476" s="117">
        <f>DI475-DI472</f>
        <v>1551</v>
      </c>
      <c r="DJ476" s="98">
        <f t="shared" si="2890"/>
        <v>15.659955257270685</v>
      </c>
      <c r="DK476" s="117">
        <f>DK475-DK472</f>
        <v>1602</v>
      </c>
      <c r="DL476" s="98">
        <f t="shared" si="2891"/>
        <v>17.621145374449341</v>
      </c>
      <c r="DM476" s="117">
        <f>DM475-DM472</f>
        <v>1667</v>
      </c>
      <c r="DN476" s="98">
        <f t="shared" si="2892"/>
        <v>16.736694677871157</v>
      </c>
      <c r="DO476" s="117">
        <f>DO475-DO472</f>
        <v>1716</v>
      </c>
      <c r="DP476" s="98">
        <f t="shared" si="2893"/>
        <v>18.590186592950928</v>
      </c>
      <c r="DQ476" s="117">
        <f>DQ475-DQ472</f>
        <v>1599</v>
      </c>
      <c r="DR476" s="98">
        <f t="shared" si="2894"/>
        <v>3.0947775628626717</v>
      </c>
      <c r="DS476" s="117">
        <f>DS475-DS472</f>
        <v>3027</v>
      </c>
      <c r="DT476" s="98">
        <f t="shared" si="2895"/>
        <v>88.951310861423224</v>
      </c>
      <c r="DU476" s="117">
        <f>DU475-DU472</f>
        <v>3080</v>
      </c>
      <c r="DV476" s="98">
        <f t="shared" si="2896"/>
        <v>84.763047390521891</v>
      </c>
      <c r="DW476" s="117">
        <f>DW475-DW472</f>
        <v>2963</v>
      </c>
      <c r="DX476" s="98">
        <f t="shared" si="2897"/>
        <v>72.668997668997662</v>
      </c>
      <c r="DY476" s="117">
        <f>DY475-DY472</f>
        <v>3026</v>
      </c>
      <c r="DZ476" s="98">
        <f t="shared" si="2898"/>
        <v>89.243277048155093</v>
      </c>
      <c r="EA476" s="117">
        <f>EA475-EA472</f>
        <v>2873</v>
      </c>
      <c r="EB476" s="98">
        <f t="shared" si="2899"/>
        <v>-5.0875454245127187</v>
      </c>
      <c r="EC476" s="117">
        <f>EC475-EC472</f>
        <v>2902</v>
      </c>
      <c r="ED476" s="98">
        <f t="shared" si="2900"/>
        <v>-5.7792207792207844</v>
      </c>
      <c r="EE476" s="117">
        <f>EE475-EE472</f>
        <v>2831</v>
      </c>
      <c r="EF476" s="860">
        <f t="shared" si="2901"/>
        <v>-4.4549443131960853</v>
      </c>
      <c r="EG476" s="117">
        <f>EG475-EG472</f>
        <v>2819</v>
      </c>
      <c r="EH476" s="860">
        <f t="shared" si="2902"/>
        <v>-6.8407138136153289</v>
      </c>
      <c r="EI476" s="117">
        <f>EI475-EI472</f>
        <v>2701</v>
      </c>
      <c r="EJ476" s="860">
        <f t="shared" si="2903"/>
        <v>-5.9867734075878865</v>
      </c>
      <c r="EK476" s="117">
        <f>EK475-EK472</f>
        <v>2550</v>
      </c>
      <c r="EL476" s="860">
        <f t="shared" si="2904"/>
        <v>-12.129565816678156</v>
      </c>
      <c r="EM476" s="117">
        <f>EM475-EM472</f>
        <v>2510</v>
      </c>
      <c r="EN476" s="860">
        <f t="shared" si="2905"/>
        <v>-11.338749558459904</v>
      </c>
      <c r="EO476" s="117">
        <f>EO475-EO472</f>
        <v>2577</v>
      </c>
      <c r="EP476" s="98">
        <f t="shared" si="2906"/>
        <v>-8.5846044696700989</v>
      </c>
      <c r="EQ476" s="792">
        <f t="shared" ref="EQ476" si="2954">EQ475-EQ472</f>
        <v>2579.0483874372171</v>
      </c>
      <c r="ER476" s="98">
        <f t="shared" si="2907"/>
        <v>-4.5150541489367928</v>
      </c>
      <c r="ES476" s="792">
        <f t="shared" ref="ES476" si="2955">ES475-ES472</f>
        <v>2550.0549716944197</v>
      </c>
      <c r="ET476" s="98">
        <f t="shared" si="2909"/>
        <v>2.1557527223325934E-3</v>
      </c>
      <c r="EU476" s="792">
        <f t="shared" ref="EU476" si="2956">EU475-EU472</f>
        <v>2532.8401406501994</v>
      </c>
      <c r="EV476" s="98">
        <f t="shared" si="2911"/>
        <v>0.90996576295614418</v>
      </c>
      <c r="EW476" s="792">
        <f t="shared" ref="EW476" si="2957">EW475-EW472</f>
        <v>2511.7670094496566</v>
      </c>
      <c r="EX476" s="98">
        <f t="shared" si="2913"/>
        <v>-2.5313539212395542</v>
      </c>
      <c r="EY476" s="118"/>
      <c r="EZ476" s="594"/>
      <c r="FA476" s="405"/>
      <c r="FB476" s="118">
        <f>FB475-FB472</f>
        <v>975</v>
      </c>
      <c r="FC476" s="98"/>
      <c r="FD476" s="117">
        <f>FD475-FD472</f>
        <v>1026</v>
      </c>
      <c r="FE476" s="98">
        <f t="shared" si="2914"/>
        <v>5.2307692307692388</v>
      </c>
      <c r="FF476" s="118">
        <f>FF475-FF472</f>
        <v>1361</v>
      </c>
      <c r="FG476" s="98">
        <f t="shared" si="2915"/>
        <v>32.651072124756332</v>
      </c>
      <c r="FH476" s="118">
        <f>FH475-FH472</f>
        <v>1276</v>
      </c>
      <c r="FI476" s="98">
        <f t="shared" si="2916"/>
        <v>-6.2454077883908887</v>
      </c>
      <c r="FJ476" s="118">
        <f>FJ475-FJ472</f>
        <v>1203</v>
      </c>
      <c r="FK476" s="98">
        <f t="shared" si="2917"/>
        <v>-5.7210031347962431</v>
      </c>
      <c r="FL476" s="118">
        <f>FL475-FL472</f>
        <v>1277</v>
      </c>
      <c r="FM476" s="98">
        <f t="shared" si="2918"/>
        <v>6.1512884455527939</v>
      </c>
      <c r="FN476" s="118">
        <f>FN475-FN472</f>
        <v>1684</v>
      </c>
      <c r="FO476" s="98">
        <f t="shared" si="2919"/>
        <v>31.871574001566174</v>
      </c>
      <c r="FP476" s="118">
        <f>FP475-FP472</f>
        <v>2696</v>
      </c>
      <c r="FQ476" s="98">
        <f t="shared" si="2920"/>
        <v>60.095011876484563</v>
      </c>
      <c r="FR476" s="119">
        <f>FR475-FR472</f>
        <v>3320</v>
      </c>
      <c r="FS476" s="120">
        <f t="shared" si="2921"/>
        <v>23.145400593471809</v>
      </c>
      <c r="FT476" s="119">
        <f>FT475-FT472</f>
        <v>3689</v>
      </c>
      <c r="FU476" s="120">
        <f t="shared" si="2922"/>
        <v>11.114457831325296</v>
      </c>
      <c r="FV476" s="119">
        <f>FV475-FV472</f>
        <v>3427</v>
      </c>
      <c r="FW476" s="98">
        <f t="shared" si="2923"/>
        <v>-7.1021957169964729</v>
      </c>
      <c r="FX476" s="485">
        <f>FX475-FX472</f>
        <v>3837</v>
      </c>
      <c r="FY476" s="98">
        <f t="shared" si="2924"/>
        <v>11.963816749343458</v>
      </c>
      <c r="FZ476" s="119">
        <f>FZ475-FZ472</f>
        <v>4902</v>
      </c>
      <c r="GA476" s="98">
        <f t="shared" si="2925"/>
        <v>27.756059421422986</v>
      </c>
      <c r="GB476" s="485">
        <f>GB475-GB472</f>
        <v>4757</v>
      </c>
      <c r="GC476" s="98">
        <f t="shared" si="2926"/>
        <v>-2.9579763361893052</v>
      </c>
      <c r="GD476" s="119">
        <f>GD475-GD472</f>
        <v>5252</v>
      </c>
      <c r="GE476" s="98">
        <f t="shared" si="2927"/>
        <v>10.405717889426104</v>
      </c>
      <c r="GF476" s="119">
        <f>GF475-GF472</f>
        <v>5788</v>
      </c>
      <c r="GG476" s="98">
        <f t="shared" si="2928"/>
        <v>10.205635948210201</v>
      </c>
      <c r="GH476" s="119">
        <f>GH475-GH472</f>
        <v>6584</v>
      </c>
      <c r="GI476" s="98">
        <f t="shared" si="2929"/>
        <v>13.752591568762963</v>
      </c>
      <c r="GJ476" s="119">
        <f>GJ475-GJ472</f>
        <v>12096</v>
      </c>
      <c r="GK476" s="98">
        <f t="shared" si="2930"/>
        <v>83.718104495747255</v>
      </c>
      <c r="GL476" s="119">
        <f>GL475-GL472</f>
        <v>11425</v>
      </c>
      <c r="GM476" s="98">
        <f t="shared" si="2931"/>
        <v>-5.5472883597883609</v>
      </c>
      <c r="GN476" s="119">
        <f>GN475-GN472</f>
        <v>10338</v>
      </c>
      <c r="GO476" s="98">
        <f t="shared" si="2931"/>
        <v>-9.5142231947483609</v>
      </c>
      <c r="GP476" s="119">
        <f>GP475-GP472</f>
        <v>10173.710509231494</v>
      </c>
      <c r="GQ476" s="98">
        <f t="shared" si="2931"/>
        <v>-1.5891806032937272</v>
      </c>
      <c r="GR476" s="118">
        <f>GR475-GR472</f>
        <v>9804.1325477939645</v>
      </c>
      <c r="GS476" s="98">
        <f t="shared" si="2931"/>
        <v>-3.6326762109279542</v>
      </c>
      <c r="GT476" s="118">
        <f>GT475-GT472</f>
        <v>9284.0364578278804</v>
      </c>
      <c r="GU476" s="98">
        <f t="shared" si="2931"/>
        <v>-5.3048659576018453</v>
      </c>
      <c r="GV476" s="118">
        <f>GV475-GV472</f>
        <v>8709.2722506913069</v>
      </c>
      <c r="GW476" s="98">
        <f t="shared" si="2931"/>
        <v>-6.1908870107027507</v>
      </c>
      <c r="GX476" s="118">
        <f>GX475-GX472</f>
        <v>8102.9893645337734</v>
      </c>
      <c r="GY476" s="98">
        <f t="shared" si="2932"/>
        <v>-6.9613495675187931</v>
      </c>
      <c r="GZ476" s="98">
        <f t="shared" si="2933"/>
        <v>-4.7550960420259081</v>
      </c>
      <c r="HA476" s="98"/>
      <c r="HB476" s="10"/>
      <c r="HC476"/>
      <c r="HD476"/>
      <c r="HE476"/>
      <c r="HF476"/>
      <c r="HG476"/>
      <c r="HH476"/>
      <c r="HI476" s="10"/>
    </row>
    <row r="477" spans="1:217" s="2" customFormat="1" ht="12.75" customHeight="1" x14ac:dyDescent="0.2">
      <c r="B477" s="91"/>
      <c r="C477" s="122"/>
      <c r="D477" s="98"/>
      <c r="E477" s="122"/>
      <c r="F477" s="98"/>
      <c r="G477" s="122"/>
      <c r="H477" s="98"/>
      <c r="I477" s="122"/>
      <c r="J477" s="98"/>
      <c r="K477" s="122"/>
      <c r="L477" s="98"/>
      <c r="M477" s="122"/>
      <c r="N477" s="98"/>
      <c r="O477" s="122"/>
      <c r="P477" s="98"/>
      <c r="Q477" s="122"/>
      <c r="R477" s="98"/>
      <c r="S477" s="122"/>
      <c r="T477" s="98"/>
      <c r="U477" s="122"/>
      <c r="V477" s="98"/>
      <c r="W477" s="122"/>
      <c r="X477" s="98"/>
      <c r="Y477" s="122"/>
      <c r="Z477" s="98"/>
      <c r="AA477" s="122"/>
      <c r="AB477" s="98"/>
      <c r="AC477" s="122"/>
      <c r="AD477" s="98"/>
      <c r="AE477" s="122"/>
      <c r="AF477" s="98"/>
      <c r="AG477" s="122"/>
      <c r="AH477" s="98"/>
      <c r="AI477" s="122"/>
      <c r="AJ477" s="98"/>
      <c r="AK477" s="122"/>
      <c r="AL477" s="98"/>
      <c r="AM477" s="122"/>
      <c r="AN477" s="98"/>
      <c r="AO477" s="122"/>
      <c r="AP477" s="98"/>
      <c r="AQ477" s="122"/>
      <c r="AR477" s="98"/>
      <c r="AS477" s="122"/>
      <c r="AT477" s="98"/>
      <c r="AU477" s="122"/>
      <c r="AV477" s="98"/>
      <c r="AW477" s="122"/>
      <c r="AX477" s="98"/>
      <c r="AY477" s="122"/>
      <c r="AZ477" s="98"/>
      <c r="BA477" s="122"/>
      <c r="BB477" s="98"/>
      <c r="BC477" s="122"/>
      <c r="BD477" s="98"/>
      <c r="BE477" s="122"/>
      <c r="BF477" s="98"/>
      <c r="BG477" s="122"/>
      <c r="BH477" s="98"/>
      <c r="BI477" s="122"/>
      <c r="BJ477" s="98"/>
      <c r="BK477" s="122"/>
      <c r="BL477" s="98"/>
      <c r="BM477" s="122"/>
      <c r="BN477" s="98"/>
      <c r="BO477" s="122"/>
      <c r="BP477" s="98"/>
      <c r="BQ477" s="122"/>
      <c r="BR477" s="98"/>
      <c r="BS477" s="122"/>
      <c r="BT477" s="98"/>
      <c r="BU477" s="122"/>
      <c r="BV477" s="98"/>
      <c r="BW477" s="122"/>
      <c r="BX477" s="98"/>
      <c r="BY477" s="122"/>
      <c r="BZ477" s="98"/>
      <c r="CA477" s="122"/>
      <c r="CB477" s="98"/>
      <c r="CC477" s="122"/>
      <c r="CD477" s="98"/>
      <c r="CE477" s="122"/>
      <c r="CF477" s="98"/>
      <c r="CG477" s="122"/>
      <c r="CH477" s="98"/>
      <c r="CI477" s="122"/>
      <c r="CJ477" s="98"/>
      <c r="CK477" s="122"/>
      <c r="CL477" s="98" t="str">
        <f t="shared" si="2878"/>
        <v>NA</v>
      </c>
      <c r="CM477" s="122"/>
      <c r="CN477" s="98"/>
      <c r="CO477" s="122"/>
      <c r="CP477" s="98"/>
      <c r="CQ477" s="547"/>
      <c r="CR477" s="98"/>
      <c r="CS477" s="122"/>
      <c r="CT477" s="98"/>
      <c r="CU477" s="122"/>
      <c r="CV477" s="98"/>
      <c r="CW477" s="122"/>
      <c r="CX477" s="98"/>
      <c r="CY477" s="122"/>
      <c r="CZ477" s="98"/>
      <c r="DA477" s="122"/>
      <c r="DB477" s="98"/>
      <c r="DC477" s="122"/>
      <c r="DD477" s="98"/>
      <c r="DE477" s="122"/>
      <c r="DF477" s="98"/>
      <c r="DG477" s="122"/>
      <c r="DH477" s="98"/>
      <c r="DI477" s="122"/>
      <c r="DJ477" s="98"/>
      <c r="DK477" s="122"/>
      <c r="DL477" s="98"/>
      <c r="DM477" s="122"/>
      <c r="DN477" s="98"/>
      <c r="DO477" s="122"/>
      <c r="DP477" s="98"/>
      <c r="DQ477" s="122"/>
      <c r="DR477" s="98"/>
      <c r="DS477" s="122"/>
      <c r="DT477" s="98"/>
      <c r="DU477" s="122"/>
      <c r="DV477" s="98"/>
      <c r="DW477" s="122"/>
      <c r="DX477" s="98"/>
      <c r="DY477" s="122"/>
      <c r="DZ477" s="98"/>
      <c r="EA477" s="122"/>
      <c r="EB477" s="98"/>
      <c r="EC477" s="122"/>
      <c r="ED477" s="98"/>
      <c r="EE477" s="122"/>
      <c r="EF477" s="860"/>
      <c r="EG477" s="122"/>
      <c r="EH477" s="860"/>
      <c r="EI477" s="122"/>
      <c r="EJ477" s="860"/>
      <c r="EK477" s="122"/>
      <c r="EL477" s="860"/>
      <c r="EM477" s="122"/>
      <c r="EN477" s="860"/>
      <c r="EO477" s="122"/>
      <c r="EP477" s="98"/>
      <c r="EQ477" s="1024"/>
      <c r="ER477" s="98"/>
      <c r="ES477" s="1024"/>
      <c r="ET477" s="98"/>
      <c r="EU477" s="1024"/>
      <c r="EV477" s="98"/>
      <c r="EW477" s="1024"/>
      <c r="EX477" s="98"/>
      <c r="EY477" s="176"/>
      <c r="EZ477" s="594"/>
      <c r="FA477" s="405"/>
      <c r="FB477" s="122"/>
      <c r="FC477" s="98"/>
      <c r="FD477" s="122"/>
      <c r="FE477" s="98"/>
      <c r="FF477" s="118"/>
      <c r="FG477" s="98"/>
      <c r="FH477" s="118"/>
      <c r="FI477" s="98"/>
      <c r="FJ477" s="118"/>
      <c r="FK477" s="98"/>
      <c r="FL477" s="118"/>
      <c r="FM477" s="98"/>
      <c r="FN477" s="118"/>
      <c r="FO477" s="98"/>
      <c r="FP477" s="118"/>
      <c r="FQ477" s="98"/>
      <c r="FR477" s="176"/>
      <c r="FS477" s="120"/>
      <c r="FT477" s="176"/>
      <c r="FU477" s="120"/>
      <c r="FV477" s="176"/>
      <c r="FW477" s="98"/>
      <c r="FX477" s="499"/>
      <c r="FY477" s="98"/>
      <c r="FZ477" s="176"/>
      <c r="GA477" s="98"/>
      <c r="GB477" s="499"/>
      <c r="GC477" s="98"/>
      <c r="GD477" s="176"/>
      <c r="GE477" s="98"/>
      <c r="GF477" s="176"/>
      <c r="GG477" s="98"/>
      <c r="GH477" s="176"/>
      <c r="GI477" s="98"/>
      <c r="GJ477" s="176"/>
      <c r="GK477" s="98"/>
      <c r="GL477" s="176"/>
      <c r="GM477" s="98"/>
      <c r="GN477" s="176"/>
      <c r="GO477" s="98"/>
      <c r="GP477" s="176"/>
      <c r="GQ477" s="98"/>
      <c r="GR477" s="176"/>
      <c r="GS477" s="98"/>
      <c r="GT477" s="176"/>
      <c r="GU477" s="98"/>
      <c r="GV477" s="176"/>
      <c r="GW477" s="98"/>
      <c r="GX477" s="176"/>
      <c r="GY477" s="98"/>
      <c r="GZ477" s="98"/>
      <c r="HA477" s="98"/>
      <c r="HB477" s="10"/>
      <c r="HC477"/>
      <c r="HD477"/>
      <c r="HE477"/>
      <c r="HF477"/>
      <c r="HG477"/>
      <c r="HH477"/>
      <c r="HI477" s="10"/>
    </row>
    <row r="478" spans="1:217" s="2" customFormat="1" ht="12.75" customHeight="1" x14ac:dyDescent="0.2">
      <c r="B478" s="91" t="s">
        <v>742</v>
      </c>
      <c r="C478" s="186"/>
      <c r="D478" s="98"/>
      <c r="E478" s="186"/>
      <c r="F478" s="98"/>
      <c r="G478" s="186"/>
      <c r="H478" s="98"/>
      <c r="I478" s="186"/>
      <c r="J478" s="98"/>
      <c r="K478" s="186"/>
      <c r="L478" s="98"/>
      <c r="M478" s="186"/>
      <c r="N478" s="98"/>
      <c r="O478" s="186"/>
      <c r="P478" s="98"/>
      <c r="Q478" s="186"/>
      <c r="R478" s="98"/>
      <c r="S478" s="186"/>
      <c r="T478" s="98"/>
      <c r="U478" s="186"/>
      <c r="V478" s="98"/>
      <c r="W478" s="186"/>
      <c r="X478" s="98"/>
      <c r="Y478" s="186"/>
      <c r="Z478" s="98"/>
      <c r="AA478" s="186"/>
      <c r="AB478" s="98"/>
      <c r="AC478" s="186"/>
      <c r="AD478" s="98"/>
      <c r="AE478" s="186"/>
      <c r="AF478" s="98"/>
      <c r="AG478" s="186"/>
      <c r="AH478" s="98"/>
      <c r="AI478" s="186"/>
      <c r="AJ478" s="98"/>
      <c r="AK478" s="186"/>
      <c r="AL478" s="98"/>
      <c r="AM478" s="186"/>
      <c r="AN478" s="98"/>
      <c r="AO478" s="186"/>
      <c r="AP478" s="98"/>
      <c r="AQ478" s="186"/>
      <c r="AR478" s="98"/>
      <c r="AS478" s="186"/>
      <c r="AT478" s="98"/>
      <c r="AU478" s="186"/>
      <c r="AV478" s="98"/>
      <c r="AW478" s="186"/>
      <c r="AX478" s="98"/>
      <c r="AY478" s="186"/>
      <c r="AZ478" s="98"/>
      <c r="BA478" s="186"/>
      <c r="BB478" s="98"/>
      <c r="BC478" s="186"/>
      <c r="BD478" s="98"/>
      <c r="BE478" s="186"/>
      <c r="BF478" s="98"/>
      <c r="BG478" s="186"/>
      <c r="BH478" s="98"/>
      <c r="BI478" s="186"/>
      <c r="BJ478" s="98"/>
      <c r="BK478" s="186"/>
      <c r="BL478" s="98"/>
      <c r="BM478" s="186">
        <f>BM469/(BM398+BM388)*400</f>
        <v>0.24263937722559847</v>
      </c>
      <c r="BN478" s="98" t="str">
        <f>IF(ISERROR((BM478/BE478-1)*100),"NA",IF(((BM478/BE478-1)*100)&gt;100,"NM",IF(((BM478/BE478-1)*100)&lt;-50,"NM",(BM478/BE478-1)*100)))</f>
        <v>NA</v>
      </c>
      <c r="BO478" s="186">
        <f>BO469/(BO398+BO388)*400</f>
        <v>0.25382380139835248</v>
      </c>
      <c r="BP478" s="98" t="str">
        <f>IF(ISERROR((BO478/BG478-1)*100),"NA",IF(((BO478/BG478-1)*100)&gt;100,"NM",IF(((BO478/BG478-1)*100)&lt;-50,"NM",(BO478/BG478-1)*100)))</f>
        <v>NA</v>
      </c>
      <c r="BQ478" s="186">
        <f>BQ469/(BQ398+BQ388)*400</f>
        <v>0.258841763000008</v>
      </c>
      <c r="BR478" s="98" t="str">
        <f>IF(ISERROR((BQ478/BI478-1)*100),"NA",IF(((BQ478/BI478-1)*100)&gt;100,"NM",IF(((BQ478/BI478-1)*100)&lt;-50,"NM",(BQ478/BI478-1)*100)))</f>
        <v>NA</v>
      </c>
      <c r="BS478" s="186">
        <f>BS469/(BS398+BS388)*400</f>
        <v>0.19480626681854951</v>
      </c>
      <c r="BT478" s="98" t="str">
        <f>IF(ISERROR((BS478/BK478-1)*100),"NA",IF(((BS478/BK478-1)*100)&gt;100,"NM",IF(((BS478/BK478-1)*100)&lt;-50,"NM",(BS478/BK478-1)*100)))</f>
        <v>NA</v>
      </c>
      <c r="BU478" s="186">
        <f>BU469/(BU398+BU388)*400</f>
        <v>0.48488654003802351</v>
      </c>
      <c r="BV478" s="98">
        <f>IF(ISERROR((BU478/BM478-1)*100),"NA",IF(((BU478/BM478-1)*100)&gt;100,"NM",IF(((BU478/BM478-1)*100)&lt;-50,"NM",(BU478/BM478-1)*100)))</f>
        <v>99.838355003355957</v>
      </c>
      <c r="BW478" s="186">
        <f>BW469/(BW398+BW388)*400</f>
        <v>0.55313961316617843</v>
      </c>
      <c r="BX478" s="98" t="str">
        <f>IF(ISERROR((BW478/BO478-1)*100),"NA",IF(((BW478/BO478-1)*100)&gt;100,"NM",IF(((BW478/BO478-1)*100)&lt;-50,"NM",(BW478/BO478-1)*100)))</f>
        <v>NM</v>
      </c>
      <c r="BY478" s="186">
        <f>BY469/(BY398+BY388)*400</f>
        <v>0.48199246670047552</v>
      </c>
      <c r="BZ478" s="98">
        <f>IF(ISERROR((BY478/BQ478-1)*100),"NA",IF(((BY478/BQ478-1)*100)&gt;100,"NM",IF(((BY478/BQ478-1)*100)&lt;-50,"NM",(BY478/BQ478-1)*100)))</f>
        <v>86.211243933020441</v>
      </c>
      <c r="CA478" s="186">
        <f>CA469/(CA398+CA388)*400</f>
        <v>0.42581341768494374</v>
      </c>
      <c r="CB478" s="98" t="str">
        <f>IF(ISERROR((CA478/BS478-1)*100),"NA",IF(((CA478/BS478-1)*100)&gt;100,"NM",IF(((CA478/BS478-1)*100)&lt;-50,"NM",(CA478/BS478-1)*100)))</f>
        <v>NM</v>
      </c>
      <c r="CC478" s="186">
        <f>CC469/(CC398+CC388)*400</f>
        <v>0.7842461326323954</v>
      </c>
      <c r="CD478" s="98">
        <f>IF(ISERROR((CC478/BU478-1)*100),"NA",IF(((CC478/BU478-1)*100)&gt;100,"NM",IF(((CC478/BU478-1)*100)&lt;-50,"NM",(CC478/BU478-1)*100)))</f>
        <v>61.738070223788213</v>
      </c>
      <c r="CE478" s="186">
        <f>CE469/(CE398+CE388)*400</f>
        <v>0.70143579471219997</v>
      </c>
      <c r="CF478" s="98">
        <f>IF(ISERROR((CE478/BW478-1)*100),"NA",IF(((CE478/BW478-1)*100)&gt;100,"NM",IF(((CE478/BW478-1)*100)&lt;-50,"NM",(CE478/BW478-1)*100)))</f>
        <v>26.809900794696695</v>
      </c>
      <c r="CG478" s="186">
        <f>CG469/(CG398+CG388)*400</f>
        <v>0.68220036907039971</v>
      </c>
      <c r="CH478" s="98">
        <f>IF(ISERROR((CG478/BY478-1)*100),"NA",IF(((CG478/BY478-1)*100)&gt;100,"NM",IF(((CG478/BY478-1)*100)&lt;-50,"NM",(CG478/BY478-1)*100)))</f>
        <v>41.537558406351472</v>
      </c>
      <c r="CI478" s="186">
        <f>CI469/(CI398+CI388)*400</f>
        <v>0.60802689246696207</v>
      </c>
      <c r="CJ478" s="98">
        <f>IF(ISERROR((CI478/CA478-1)*100),"NA",IF(((CI478/CA478-1)*100)&gt;100,"NM",IF(((CI478/CA478-1)*100)&lt;-50,"NM",(CI478/CA478-1)*100)))</f>
        <v>42.791858408942083</v>
      </c>
      <c r="CK478" s="186">
        <f>CK469/(CK398+CK388)*400</f>
        <v>0.36859565057132326</v>
      </c>
      <c r="CL478" s="98" t="str">
        <f t="shared" si="2878"/>
        <v>NM</v>
      </c>
      <c r="CM478" s="186">
        <f>CM469/(CM398+CM388)*400</f>
        <v>0.18419644301733687</v>
      </c>
      <c r="CN478" s="98" t="str">
        <f>IF(ISERROR((CM478/CE478-1)*100),"NA",IF(((CM478/CE478-1)*100)&gt;100,"NM",IF(((CM478/CE478-1)*100)&lt;-50,"NM",(CM478/CE478-1)*100)))</f>
        <v>NM</v>
      </c>
      <c r="CO478" s="186">
        <f>CO469/(CO398+CO388)*400</f>
        <v>0.35296342206441583</v>
      </c>
      <c r="CP478" s="98">
        <f>IF(ISERROR((CO478/CG478-1)*100),"NA",IF(((CO478/CG478-1)*100)&gt;100,"NM",IF(((CO478/CG478-1)*100)&lt;-50,"NM",(CO478/CG478-1)*100)))</f>
        <v>-48.261033258398648</v>
      </c>
      <c r="CQ478" s="186">
        <f>CQ469/(CQ398+CQ388)*400</f>
        <v>0.67392772005711654</v>
      </c>
      <c r="CR478" s="98">
        <f>IF(ISERROR((CQ478/CI478-1)*100),"NA",IF(((CQ478/CI478-1)*100)&gt;100,"NM",IF(((CQ478/CI478-1)*100)&lt;-50,"NM",(CQ478/CI478-1)*100)))</f>
        <v>10.838472509459818</v>
      </c>
      <c r="CS478" s="186">
        <f>CS469/(CS398+CS388)*400</f>
        <v>0.49533096979493174</v>
      </c>
      <c r="CT478" s="98">
        <f>IF(ISERROR((CS478/CK478-1)*100),"NA",IF(((CS478/CK478-1)*100)&gt;100,"NM",IF(((CS478/CK478-1)*100)&lt;-50,"NM",(CS478/CK478-1)*100)))</f>
        <v>34.383292105364973</v>
      </c>
      <c r="CU478" s="186">
        <f>CU469/(CU398+CU388)*400</f>
        <v>0.39751162216183444</v>
      </c>
      <c r="CV478" s="98" t="str">
        <f>IF(ISERROR((CU478/CM478-1)*100),"NA",IF(((CU478/CM478-1)*100)&gt;100,"NM",IF(((CU478/CM478-1)*100)&lt;-50,"NM",(CU478/CM478-1)*100)))</f>
        <v>NM</v>
      </c>
      <c r="CW478" s="186">
        <f>CW469/(CW398+CW388)*400</f>
        <v>0.2172024326672459</v>
      </c>
      <c r="CX478" s="98">
        <f>IF(ISERROR((CW478/CO478-1)*100),"NA",IF(((CW478/CO478-1)*100)&gt;100,"NM",IF(((CW478/CO478-1)*100)&lt;-50,"NM",(CW478/CO478-1)*100)))</f>
        <v>-38.463189359149382</v>
      </c>
      <c r="CY478" s="186">
        <f>CY469/(CY398+CY388)*400</f>
        <v>0.22315202231520223</v>
      </c>
      <c r="CZ478" s="98" t="str">
        <f>IF(ISERROR((CY478/CQ478-1)*100),"NA",IF(((CY478/CQ478-1)*100)&gt;100,"NM",IF(((CY478/CQ478-1)*100)&lt;-50,"NM",(CY478/CQ478-1)*100)))</f>
        <v>NM</v>
      </c>
      <c r="DA478" s="186">
        <f>DA469/(DA398+DA388)*400</f>
        <v>0.20853970074552944</v>
      </c>
      <c r="DB478" s="98" t="str">
        <f>IF(ISERROR((DA478/CS478-1)*100),"NA",IF(((DA478/CS478-1)*100)&gt;100,"NM",IF(((DA478/CS478-1)*100)&lt;-50,"NM",(DA478/CS478-1)*100)))</f>
        <v>NM</v>
      </c>
      <c r="DC478" s="186">
        <f>DC469/(DC398+DC388)*400</f>
        <v>0.20201556438098298</v>
      </c>
      <c r="DD478" s="98">
        <f>IF(ISERROR((DC478/CU478-1)*100),"NA",IF(((DC478/CU478-1)*100)&gt;100,"NM",IF(((DC478/CU478-1)*100)&lt;-50,"NM",(DC478/CU478-1)*100)))</f>
        <v>-49.179960253152387</v>
      </c>
      <c r="DE478" s="186">
        <f>DE469/(DE398+DE388)*400</f>
        <v>0.17743858331422005</v>
      </c>
      <c r="DF478" s="98">
        <f>IF(ISERROR((DE478/CW478-1)*100),"NA",IF(((DE478/CW478-1)*100)&gt;100,"NM",IF(((DE478/CW478-1)*100)&lt;-50,"NM",(DE478/CW478-1)*100)))</f>
        <v>-18.307276242133096</v>
      </c>
      <c r="DG478" s="186">
        <f>DG469/(DG398+DG388)*400</f>
        <v>0.19182304324260868</v>
      </c>
      <c r="DH478" s="98">
        <f>IF(ISERROR((DG478/CY478-1)*100),"NA",IF(((DG478/CY478-1)*100)&gt;100,"NM",IF(((DG478/CY478-1)*100)&lt;-50,"NM",(DG478/CY478-1)*100)))</f>
        <v>-14.039298746905981</v>
      </c>
      <c r="DI478" s="186">
        <f>DI469/(DI398+DI388)*400</f>
        <v>0.34218942906860317</v>
      </c>
      <c r="DJ478" s="98">
        <f>IF(ISERROR((DI478/DA478-1)*100),"NA",IF(((DI478/DA478-1)*100)&gt;100,"NM",IF(((DI478/DA478-1)*100)&lt;-50,"NM",(DI478/DA478-1)*100)))</f>
        <v>64.08838597412192</v>
      </c>
      <c r="DK478" s="186">
        <f>DK469/(DK398+DK388)*400</f>
        <v>0.4558000799565266</v>
      </c>
      <c r="DL478" s="98" t="str">
        <f>IF(ISERROR((DK478/DC478-1)*100),"NA",IF(((DK478/DC478-1)*100)&gt;100,"NM",IF(((DK478/DC478-1)*100)&lt;-50,"NM",(DK478/DC478-1)*100)))</f>
        <v>NM</v>
      </c>
      <c r="DM478" s="186">
        <f>DM469/(DM398+DM388)*400</f>
        <v>0.57790968735371062</v>
      </c>
      <c r="DN478" s="98" t="str">
        <f>IF(ISERROR((DM478/DE478-1)*100),"NA",IF(((DM478/DE478-1)*100)&gt;100,"NM",IF(((DM478/DE478-1)*100)&lt;-50,"NM",(DM478/DE478-1)*100)))</f>
        <v>NM</v>
      </c>
      <c r="DO478" s="186">
        <f>DO469/(DO398+DO388)*400</f>
        <v>0.66224535429174947</v>
      </c>
      <c r="DP478" s="98" t="str">
        <f>IF(ISERROR((DO478/DG478-1)*100),"NA",IF(((DO478/DG478-1)*100)&gt;100,"NM",IF(((DO478/DG478-1)*100)&lt;-50,"NM",(DO478/DG478-1)*100)))</f>
        <v>NM</v>
      </c>
      <c r="DQ478" s="186">
        <f>DQ469/(DQ398+DQ388)*400</f>
        <v>0.47603280403476189</v>
      </c>
      <c r="DR478" s="98">
        <f>IF(ISERROR((DQ478/DI478-1)*100),"NA",IF(((DQ478/DI478-1)*100)&gt;100,"NM",IF(((DQ478/DI478-1)*100)&lt;-50,"NM",(DQ478/DI478-1)*100)))</f>
        <v>39.113825149556391</v>
      </c>
      <c r="DS478" s="186">
        <f>DS469/(DS398+DS388)*400</f>
        <v>2.8979658000337434</v>
      </c>
      <c r="DT478" s="98" t="str">
        <f>IF(ISERROR((DS478/DK478-1)*100),"NA",IF(((DS478/DK478-1)*100)&gt;100,"NM",IF(((DS478/DK478-1)*100)&lt;-50,"NM",(DS478/DK478-1)*100)))</f>
        <v>NM</v>
      </c>
      <c r="DU478" s="186">
        <f>DU469/(DU398+DU388)*400</f>
        <v>3.0081564771439742</v>
      </c>
      <c r="DV478" s="98" t="str">
        <f>IF(ISERROR((DU478/DM478-1)*100),"NA",IF(((DU478/DM478-1)*100)&gt;100,"NM",IF(((DU478/DM478-1)*100)&lt;-50,"NM",(DU478/DM478-1)*100)))</f>
        <v>NM</v>
      </c>
      <c r="DW478" s="186">
        <f>DW469/(DW398+DW388)*400</f>
        <v>2.9733234222552594</v>
      </c>
      <c r="DX478" s="98" t="str">
        <f>IF(ISERROR((DW478/DO478-1)*100),"NA",IF(((DW478/DO478-1)*100)&gt;100,"NM",IF(((DW478/DO478-1)*100)&lt;-50,"NM",(DW478/DO478-1)*100)))</f>
        <v>NM</v>
      </c>
      <c r="DY478" s="186">
        <f>DY469/(DY398+DY388)*400</f>
        <v>3.2252537367588214</v>
      </c>
      <c r="DZ478" s="98" t="str">
        <f>IF(ISERROR((DY478/DQ478-1)*100),"NA",IF(((DY478/DQ478-1)*100)&gt;100,"NM",IF(((DY478/DQ478-1)*100)&lt;-50,"NM",(DY478/DQ478-1)*100)))</f>
        <v>NM</v>
      </c>
      <c r="EA478" s="186">
        <f>EA469/(EA398+EA388)*400</f>
        <v>2.9627529024918049</v>
      </c>
      <c r="EB478" s="98">
        <f>IF(ISERROR((EA478/DS478-1)*100),"NA",IF(((EA478/DS478-1)*100)&gt;100,"NM",IF(((EA478/DS478-1)*100)&lt;-50,"NM",(EA478/DS478-1)*100)))</f>
        <v>2.2356061778681768</v>
      </c>
      <c r="EC478" s="186">
        <f>EC469/(EC398+EC388)*400</f>
        <v>2.9983895681697699</v>
      </c>
      <c r="ED478" s="98">
        <f>IF(ISERROR((EC478/DU478-1)*100),"NA",IF(((EC478/DU478-1)*100)&gt;100,"NM",IF(((EC478/DU478-1)*100)&lt;-50,"NM",(EC478/DU478-1)*100)))</f>
        <v>-0.32468088174313348</v>
      </c>
      <c r="EE478" s="186">
        <f>EE469/(EE398+EE388)*400</f>
        <v>2.9112343214017335</v>
      </c>
      <c r="EF478" s="860">
        <f>IF(ISERROR((EE478/DW478-1)*100),"NA",IF(((EE478/DW478-1)*100)&gt;100,"NM",IF(((EE478/DW478-1)*100)&lt;-50,"NM",(EE478/DW478-1)*100)))</f>
        <v>-2.0882054198608335</v>
      </c>
      <c r="EG478" s="186">
        <f>EG469/(EG398+EG388)*400</f>
        <v>3.1870914787343727</v>
      </c>
      <c r="EH478" s="860">
        <f>IF(ISERROR((EG478/DY478-1)*100),"NA",IF(((EG478/DY478-1)*100)&gt;100,"NM",IF(((EG478/DY478-1)*100)&lt;-50,"NM",(EG478/DY478-1)*100)))</f>
        <v>-1.1832327357536698</v>
      </c>
      <c r="EI478" s="186">
        <f>EI469/(EI398+EI388)*400</f>
        <v>2.8502249194841736</v>
      </c>
      <c r="EJ478" s="860">
        <f t="shared" ref="EJ478:EJ482" si="2958">IF(ISERROR((EI478/EA478-1)*100),"NA",IF(((EI478/EA478-1)*100)&gt;100,"NM",IF(((EI478/EA478-1)*100)&lt;-50,"NM",(EI478/EA478-1)*100)))</f>
        <v>-3.7980886935589653</v>
      </c>
      <c r="EK478" s="186">
        <f>EK469/(EK398+EK388)*400</f>
        <v>2.7330240630467468</v>
      </c>
      <c r="EL478" s="860">
        <f t="shared" ref="EL478:EL482" si="2959">IF(ISERROR((EK478/EC478-1)*100),"NA",IF(((EK478/EC478-1)*100)&gt;100,"NM",IF(((EK478/EC478-1)*100)&lt;-50,"NM",(EK478/EC478-1)*100)))</f>
        <v>-8.8502677550670423</v>
      </c>
      <c r="EM478" s="186">
        <f>EM469/(EM398+EM388)*400</f>
        <v>2.6385417854710793</v>
      </c>
      <c r="EN478" s="860">
        <f t="shared" ref="EN478:EN482" si="2960">IF(ISERROR((EM478/EE478-1)*100),"NA",IF(((EM478/EE478-1)*100)&gt;100,"NM",IF(((EM478/EE478-1)*100)&lt;-50,"NM",(EM478/EE478-1)*100)))</f>
        <v>-9.366904406353493</v>
      </c>
      <c r="EO478" s="186">
        <f>EO469/(EO398+EO388)*400</f>
        <v>2.8569604494525489</v>
      </c>
      <c r="EP478" s="98">
        <f t="shared" ref="EP478:EP482" si="2961">IF(ISERROR((EO478/EG478-1)*100),"NA",IF(((EO478/EG478-1)*100)&gt;100,"NM",IF(((EO478/EG478-1)*100)&lt;-50,"NM",(EO478/EG478-1)*100)))</f>
        <v>-10.358379465559686</v>
      </c>
      <c r="EQ478" s="1049">
        <v>2.75</v>
      </c>
      <c r="ER478" s="98">
        <f t="shared" ref="ER478:ER482" si="2962">IF(ISERROR((EQ478/EI478-1)*100),"NA",IF(((EQ478/EI478-1)*100)&gt;100,"NM",IF(((EQ478/EI478-1)*100)&lt;-50,"NM",(EQ478/EI478-1)*100)))</f>
        <v>-3.516386331444743</v>
      </c>
      <c r="ES478" s="1049">
        <f t="shared" ref="ES478:ES479" si="2963">EQ478</f>
        <v>2.75</v>
      </c>
      <c r="ET478" s="98">
        <f t="shared" ref="ET478:ET482" si="2964">IF(ISERROR((ES478/EK478-1)*100),"NA",IF(((ES478/EK478-1)*100)&gt;100,"NM",IF(((ES478/EK478-1)*100)&lt;-50,"NM",(ES478/EK478-1)*100)))</f>
        <v>0.62114114481408578</v>
      </c>
      <c r="EU478" s="1049">
        <f t="shared" ref="EU478:EU479" si="2965">ES478</f>
        <v>2.75</v>
      </c>
      <c r="EV478" s="98">
        <f t="shared" ref="EV478:EV482" si="2966">IF(ISERROR((EU478/EM478-1)*100),"NA",IF(((EU478/EM478-1)*100)&gt;100,"NM",IF(((EU478/EM478-1)*100)&lt;-50,"NM",(EU478/EM478-1)*100)))</f>
        <v>4.224235338725979</v>
      </c>
      <c r="EW478" s="1049">
        <f t="shared" ref="EW478:EW479" si="2967">EU478</f>
        <v>2.75</v>
      </c>
      <c r="EX478" s="98">
        <f t="shared" ref="EX478:EX482" si="2968">IF(ISERROR((EW478/EO478-1)*100),"NA",IF(((EW478/EO478-1)*100)&gt;100,"NM",IF(((EW478/EO478-1)*100)&lt;-50,"NM",(EW478/EO478-1)*100)))</f>
        <v>-3.743854748603348</v>
      </c>
      <c r="EY478" s="185"/>
      <c r="EZ478" s="594"/>
      <c r="FA478" s="405"/>
      <c r="FB478" s="187" t="s">
        <v>494</v>
      </c>
      <c r="FC478" s="98"/>
      <c r="FD478" s="186" t="e">
        <f>FD469/(#REF!)*100</f>
        <v>#REF!</v>
      </c>
      <c r="FE478" s="98" t="str">
        <f t="shared" ref="FE478:FE483" si="2969">IF(ISERROR((FD478/FB478-1)*100),"NA",IF(((FD478/FB478-1)*100)&gt;100,"NM",IF(((FD478/FB478-1)*100)&lt;-50,"NM",(FD478/FB478-1)*100)))</f>
        <v>NA</v>
      </c>
      <c r="FF478" s="186"/>
      <c r="FG478" s="98"/>
      <c r="FH478" s="186"/>
      <c r="FI478" s="98"/>
      <c r="FJ478" s="186"/>
      <c r="FK478" s="98"/>
      <c r="FL478" s="186"/>
      <c r="FM478" s="98"/>
      <c r="FN478" s="186"/>
      <c r="FO478" s="98"/>
      <c r="FP478" s="186"/>
      <c r="FQ478" s="98"/>
      <c r="FR478" s="188"/>
      <c r="FS478" s="120"/>
      <c r="FT478" s="188"/>
      <c r="FU478" s="120"/>
      <c r="FV478" s="186">
        <f>FV469/(FV398+FV388)*100</f>
        <v>0.29697146688274562</v>
      </c>
      <c r="FW478" s="98" t="str">
        <f>IF(ISERROR((FV478/FT478-1)*100),"NA",IF(((FV478/FT478-1)*100)&gt;100,"NM",IF(((FV478/FT478-1)*100)&lt;-50,"NM",(FV478/FT478-1)*100)))</f>
        <v>NA</v>
      </c>
      <c r="FX478" s="548">
        <f>FX469/(FX398+FX388)*100</f>
        <v>0.55775850799599114</v>
      </c>
      <c r="FY478" s="98">
        <f>IF(ISERROR((FX478/FV478-1)*100),"NA",IF(((FX478/FV478-1)*100)&gt;100,"NM",IF(((FX478/FV478-1)*100)&lt;-50,"NM",(FX478/FV478-1)*100)))</f>
        <v>87.815521083785825</v>
      </c>
      <c r="FZ478" s="186">
        <f>FZ469/(FZ398+FZ388)*100</f>
        <v>0.57392291067463819</v>
      </c>
      <c r="GA478" s="98">
        <f>IF(ISERROR((FZ478/FX478-1)*100),"NA",IF(((FZ478/FX478-1)*100)&gt;100,"NM",IF(((FZ478/FX478-1)*100)&lt;-50,"NM",(FZ478/FX478-1)*100)))</f>
        <v>2.8981006021271183</v>
      </c>
      <c r="GB478" s="548">
        <f>GB469/(GB398+GB388)*100</f>
        <v>0.42792142134912609</v>
      </c>
      <c r="GC478" s="98">
        <f>IF(ISERROR((GB478/FZ478-1)*100),"NA",IF(((GB478/FZ478-1)*100)&gt;100,"NM",IF(((GB478/FZ478-1)*100)&lt;-50,"NM",(GB478/FZ478-1)*100)))</f>
        <v>-25.439216070654759</v>
      </c>
      <c r="GD478" s="186">
        <f>GD469/(GD398+GD388)*100</f>
        <v>0.26158790930894021</v>
      </c>
      <c r="GE478" s="98">
        <f>IF(ISERROR((GD478/GB478-1)*100),"NA",IF(((GD478/GB478-1)*100)&gt;100,"NM",IF(((GD478/GB478-1)*100)&lt;-50,"NM",(GD478/GB478-1)*100)))</f>
        <v>-38.870106459213737</v>
      </c>
      <c r="GF478" s="186">
        <f>GF469/(GF398+GF388)*100</f>
        <v>0.22778251980070269</v>
      </c>
      <c r="GG478" s="98">
        <f>IF(ISERROR((GF478/GD478-1)*100),"NA",IF(((GF478/GD478-1)*100)&gt;100,"NM",IF(((GF478/GD478-1)*100)&lt;-50,"NM",(GF478/GD478-1)*100)))</f>
        <v>-12.923146791281059</v>
      </c>
      <c r="GH478" s="186">
        <f>GH469/(GH398+GH388)*100</f>
        <v>0.54374572958922829</v>
      </c>
      <c r="GI478" s="98" t="str">
        <f>IF(ISERROR((GH478/GF478-1)*100),"NA",IF(((GH478/GF478-1)*100)&gt;100,"NM",IF(((GH478/GF478-1)*100)&lt;-50,"NM",(GH478/GF478-1)*100)))</f>
        <v>NM</v>
      </c>
      <c r="GJ478" s="186">
        <f>GJ469/(GJ398+GJ388)*100</f>
        <v>3.0280317793434266</v>
      </c>
      <c r="GK478" s="98" t="str">
        <f>IF(ISERROR((GJ478/GH478-1)*100),"NA",IF(((GJ478/GH478-1)*100)&gt;100,"NM",IF(((GJ478/GH478-1)*100)&lt;-50,"NM",(GJ478/GH478-1)*100)))</f>
        <v>NM</v>
      </c>
      <c r="GL478" s="186">
        <f>GL469/(GL398+GL388)*100</f>
        <v>2.9895703404899021</v>
      </c>
      <c r="GM478" s="98">
        <f>IF(ISERROR((GL478/GJ478-1)*100),"NA",IF(((GL478/GJ478-1)*100)&gt;100,"NM",IF(((GL478/GJ478-1)*100)&lt;-50,"NM",(GL478/GJ478-1)*100)))</f>
        <v>-1.2701794979795178</v>
      </c>
      <c r="GN478" s="186">
        <f>GN469/(GN398+GN388)*100</f>
        <v>2.7090367687676302</v>
      </c>
      <c r="GO478" s="98">
        <f>IF(ISERROR((GN478/GL478-1)*100),"NA",IF(((GN478/GL478-1)*100)&gt;100,"NM",IF(((GN478/GL478-1)*100)&lt;-50,"NM",(GN478/GL478-1)*100)))</f>
        <v>-9.3837421358783146</v>
      </c>
      <c r="GP478" s="186">
        <f>GP469/(GP398+GP388)*100</f>
        <v>2.6969597959238092</v>
      </c>
      <c r="GQ478" s="98">
        <f>IF(ISERROR((GP478/GN478-1)*100),"NA",IF(((GP478/GN478-1)*100)&gt;100,"NM",IF(((GP478/GN478-1)*100)&lt;-50,"NM",(GP478/GN478-1)*100)))</f>
        <v>-0.44580320883997882</v>
      </c>
      <c r="GR478" s="185">
        <f>GP478</f>
        <v>2.6969597959238092</v>
      </c>
      <c r="GS478" s="98">
        <f>IF(ISERROR((GR478/GP478-1)*100),"NA",IF(((GR478/GP478-1)*100)&gt;100,"NM",IF(((GR478/GP478-1)*100)&lt;-50,"NM",(GR478/GP478-1)*100)))</f>
        <v>0</v>
      </c>
      <c r="GT478" s="185">
        <f>GR478</f>
        <v>2.6969597959238092</v>
      </c>
      <c r="GU478" s="98">
        <f>IF(ISERROR((GT478/GR478-1)*100),"NA",IF(((GT478/GR478-1)*100)&gt;100,"NM",IF(((GT478/GR478-1)*100)&lt;-50,"NM",(GT478/GR478-1)*100)))</f>
        <v>0</v>
      </c>
      <c r="GV478" s="185">
        <f>GT478</f>
        <v>2.6969597959238092</v>
      </c>
      <c r="GW478" s="98">
        <f>IF(ISERROR((GV478/GT478-1)*100),"NA",IF(((GV478/GT478-1)*100)&gt;100,"NM",IF(((GV478/GT478-1)*100)&lt;-50,"NM",(GV478/GT478-1)*100)))</f>
        <v>0</v>
      </c>
      <c r="GX478" s="185">
        <f>GV478</f>
        <v>2.6969597959238092</v>
      </c>
      <c r="GY478" s="98">
        <f>IF(ISERROR((GX478/GV478-1)*100),"NA",IF(((GX478/GV478-1)*100)&gt;100,"NM",IF(((GX478/GV478-1)*100)&lt;-50,"NM",(GX478/GV478-1)*100)))</f>
        <v>0</v>
      </c>
      <c r="GZ478" s="98">
        <f>IF(ISERROR(((GX478/GN478)^0.2-1)*100),"NA",IF((((GX478/GN478)^0.2-1)*100)&gt;100,"NM",IF((((GX478/GN478)^0.2-1)*100)&lt;-50,"NM",((GX478/GN478)^0.2-1)*100)))</f>
        <v>-8.9320060776376664E-2</v>
      </c>
      <c r="HA478" s="98"/>
      <c r="HB478" s="10"/>
      <c r="HC478"/>
      <c r="HD478"/>
      <c r="HE478"/>
      <c r="HF478"/>
      <c r="HG478"/>
      <c r="HH478"/>
      <c r="HI478" s="10"/>
    </row>
    <row r="479" spans="1:217" s="2" customFormat="1" ht="12.75" customHeight="1" x14ac:dyDescent="0.2">
      <c r="B479" s="102" t="s">
        <v>163</v>
      </c>
      <c r="C479" s="189"/>
      <c r="D479" s="98"/>
      <c r="E479" s="189"/>
      <c r="F479" s="98"/>
      <c r="G479" s="189"/>
      <c r="H479" s="98"/>
      <c r="I479" s="189"/>
      <c r="J479" s="98"/>
      <c r="K479" s="189"/>
      <c r="L479" s="98"/>
      <c r="M479" s="189"/>
      <c r="N479" s="98"/>
      <c r="O479" s="189"/>
      <c r="P479" s="98"/>
      <c r="Q479" s="189"/>
      <c r="R479" s="98"/>
      <c r="S479" s="189"/>
      <c r="T479" s="98"/>
      <c r="U479" s="189"/>
      <c r="V479" s="98"/>
      <c r="W479" s="189"/>
      <c r="X479" s="98"/>
      <c r="Y479" s="189"/>
      <c r="Z479" s="98"/>
      <c r="AA479" s="189"/>
      <c r="AB479" s="98"/>
      <c r="AC479" s="189"/>
      <c r="AD479" s="98"/>
      <c r="AE479" s="189"/>
      <c r="AF479" s="98"/>
      <c r="AG479" s="189"/>
      <c r="AH479" s="98"/>
      <c r="AI479" s="189"/>
      <c r="AJ479" s="98"/>
      <c r="AK479" s="189"/>
      <c r="AL479" s="98"/>
      <c r="AM479" s="189"/>
      <c r="AN479" s="98"/>
      <c r="AO479" s="189"/>
      <c r="AP479" s="98"/>
      <c r="AQ479" s="189"/>
      <c r="AR479" s="98"/>
      <c r="AS479" s="189"/>
      <c r="AT479" s="98"/>
      <c r="AU479" s="189"/>
      <c r="AV479" s="98"/>
      <c r="AW479" s="189"/>
      <c r="AX479" s="98"/>
      <c r="AY479" s="189"/>
      <c r="AZ479" s="98"/>
      <c r="BA479" s="189"/>
      <c r="BB479" s="98"/>
      <c r="BC479" s="189"/>
      <c r="BD479" s="98"/>
      <c r="BE479" s="189"/>
      <c r="BF479" s="98"/>
      <c r="BG479" s="189"/>
      <c r="BH479" s="98"/>
      <c r="BI479" s="189"/>
      <c r="BJ479" s="98"/>
      <c r="BK479" s="189"/>
      <c r="BL479" s="98"/>
      <c r="BM479" s="189">
        <f>(BM470*4)/BM398*100</f>
        <v>2.0390714481601577</v>
      </c>
      <c r="BN479" s="98" t="str">
        <f>IF(ISERROR((BM479/BE479-1)*100),"NA",IF(((BM479/BE479-1)*100)&gt;100,"NM",IF(((BM479/BE479-1)*100)&lt;-50,"NM",(BM479/BE479-1)*100)))</f>
        <v>NA</v>
      </c>
      <c r="BO479" s="189">
        <f>(BO470*4)/BO398*100</f>
        <v>1.9496417929014491</v>
      </c>
      <c r="BP479" s="98" t="str">
        <f>IF(ISERROR((BO479/BG479-1)*100),"NA",IF(((BO479/BG479-1)*100)&gt;100,"NM",IF(((BO479/BG479-1)*100)&lt;-50,"NM",(BO479/BG479-1)*100)))</f>
        <v>NA</v>
      </c>
      <c r="BQ479" s="189">
        <f>(BQ470*4)/BQ398*100</f>
        <v>2.1015844529977095</v>
      </c>
      <c r="BR479" s="98" t="str">
        <f>IF(ISERROR((BQ479/BI479-1)*100),"NA",IF(((BQ479/BI479-1)*100)&gt;100,"NM",IF(((BQ479/BI479-1)*100)&lt;-50,"NM",(BQ479/BI479-1)*100)))</f>
        <v>NA</v>
      </c>
      <c r="BS479" s="189">
        <f>(BS470*4)/BS398*100</f>
        <v>2.1477985065308061</v>
      </c>
      <c r="BT479" s="98" t="str">
        <f>IF(ISERROR((BS479/BK479-1)*100),"NA",IF(((BS479/BK479-1)*100)&gt;100,"NM",IF(((BS479/BK479-1)*100)&lt;-50,"NM",(BS479/BK479-1)*100)))</f>
        <v>NA</v>
      </c>
      <c r="BU479" s="189">
        <f>(BU470*4)/BU398*100</f>
        <v>2.2099447513812152</v>
      </c>
      <c r="BV479" s="98">
        <f>IF(ISERROR((BU479/BM479-1)*100),"NA",IF(((BU479/BM479-1)*100)&gt;100,"NM",IF(((BU479/BM479-1)*100)&lt;-50,"NM",(BU479/BM479-1)*100)))</f>
        <v>8.3799566403244707</v>
      </c>
      <c r="BW479" s="189">
        <f>(BW470*4)/BW398*100</f>
        <v>2.3455193826540275</v>
      </c>
      <c r="BX479" s="98">
        <f>IF(ISERROR((BW479/BO479-1)*100),"NA",IF(((BW479/BO479-1)*100)&gt;100,"NM",IF(((BW479/BO479-1)*100)&lt;-50,"NM",(BW479/BO479-1)*100)))</f>
        <v>20.305144831935241</v>
      </c>
      <c r="BY479" s="189">
        <f>(BY470*4)/BY398*100</f>
        <v>2.4313503333920248</v>
      </c>
      <c r="BZ479" s="98">
        <f>IF(ISERROR((BY479/BQ479-1)*100),"NA",IF(((BY479/BQ479-1)*100)&gt;100,"NM",IF(((BY479/BQ479-1)*100)&lt;-50,"NM",(BY479/BQ479-1)*100)))</f>
        <v>15.691298054852654</v>
      </c>
      <c r="CA479" s="189">
        <f>(CA470*4)/CA398*100</f>
        <v>2.4314523492734339</v>
      </c>
      <c r="CB479" s="98">
        <f>IF(ISERROR((CA479/BS479-1)*100),"NA",IF(((CA479/BS479-1)*100)&gt;100,"NM",IF(((CA479/BS479-1)*100)&lt;-50,"NM",(CA479/BS479-1)*100)))</f>
        <v>13.206725020066923</v>
      </c>
      <c r="CC479" s="189">
        <f>(CC470*4)/CC398*100</f>
        <v>2.3240328805869006</v>
      </c>
      <c r="CD479" s="98">
        <f>IF(ISERROR((CC479/BU479-1)*100),"NA",IF(((CC479/BU479-1)*100)&gt;100,"NM",IF(((CC479/BU479-1)*100)&lt;-50,"NM",(CC479/BU479-1)*100)))</f>
        <v>5.1624878465572621</v>
      </c>
      <c r="CE479" s="189">
        <f>(CE470*4)/CE398*100</f>
        <v>2.0659091666388991</v>
      </c>
      <c r="CF479" s="98">
        <f>IF(ISERROR((CE479/BW479-1)*100),"NA",IF(((CE479/BW479-1)*100)&gt;100,"NM",IF(((CE479/BW479-1)*100)&lt;-50,"NM",(CE479/BW479-1)*100)))</f>
        <v>-11.921036256743299</v>
      </c>
      <c r="CG479" s="189">
        <f>(CG470*4)/CG398*100</f>
        <v>2.2620714174610583</v>
      </c>
      <c r="CH479" s="98">
        <f>IF(ISERROR((CG479/BY479-1)*100),"NA",IF(((CG479/BY479-1)*100)&gt;100,"NM",IF(((CG479/BY479-1)*100)&lt;-50,"NM",(CG479/BY479-1)*100)))</f>
        <v>-6.9623416093559047</v>
      </c>
      <c r="CI479" s="189">
        <f>(CI470*4)/CI398*100</f>
        <v>2.1606905567019217</v>
      </c>
      <c r="CJ479" s="98">
        <f>IF(ISERROR((CI479/CA479-1)*100),"NA",IF(((CI479/CA479-1)*100)&gt;100,"NM",IF(((CI479/CA479-1)*100)&lt;-50,"NM",(CI479/CA479-1)*100)))</f>
        <v>-11.135805011865486</v>
      </c>
      <c r="CK479" s="189">
        <f>(CK470*4)/CK398*100</f>
        <v>2.142662355370291</v>
      </c>
      <c r="CL479" s="98">
        <f t="shared" si="2878"/>
        <v>-7.804129052202013</v>
      </c>
      <c r="CM479" s="189">
        <f>(CM470*4)/CM398*100</f>
        <v>2.1126443204657912</v>
      </c>
      <c r="CN479" s="98">
        <f>IF(ISERROR((CM479/CE479-1)*100),"NA",IF(((CM479/CE479-1)*100)&gt;100,"NM",IF(((CM479/CE479-1)*100)&lt;-50,"NM",(CM479/CE479-1)*100)))</f>
        <v>2.2622075830626809</v>
      </c>
      <c r="CO479" s="189">
        <f>(CO470*4)/CO398*100</f>
        <v>2.1365576346726893</v>
      </c>
      <c r="CP479" s="98">
        <f>IF(ISERROR((CO479/CG479-1)*100),"NA",IF(((CO479/CG479-1)*100)&gt;100,"NM",IF(((CO479/CG479-1)*100)&lt;-50,"NM",(CO479/CG479-1)*100)))</f>
        <v>-5.5486215784135258</v>
      </c>
      <c r="CQ479" s="189">
        <f>(CQ470*4)/CQ398*100</f>
        <v>2.1853686047126417</v>
      </c>
      <c r="CR479" s="98">
        <f>IF(ISERROR((CQ479/CI479-1)*100),"NA",IF(((CQ479/CI479-1)*100)&gt;100,"NM",IF(((CQ479/CI479-1)*100)&lt;-50,"NM",(CQ479/CI479-1)*100)))</f>
        <v>1.1421370790081431</v>
      </c>
      <c r="CS479" s="189">
        <f>(CS470*4)/CS398*100</f>
        <v>2.2097618145141968</v>
      </c>
      <c r="CT479" s="98">
        <f>IF(ISERROR((CS479/CK479-1)*100),"NA",IF(((CS479/CK479-1)*100)&gt;100,"NM",IF(((CS479/CK479-1)*100)&lt;-50,"NM",(CS479/CK479-1)*100)))</f>
        <v>3.1315927577543867</v>
      </c>
      <c r="CU479" s="189">
        <f>(CU470*4)/CU398*100</f>
        <v>2.2071527807842317</v>
      </c>
      <c r="CV479" s="98">
        <f>IF(ISERROR((CU479/CM479-1)*100),"NA",IF(((CU479/CM479-1)*100)&gt;100,"NM",IF(((CU479/CM479-1)*100)&lt;-50,"NM",(CU479/CM479-1)*100)))</f>
        <v>4.4734676539212037</v>
      </c>
      <c r="CW479" s="189">
        <f>(CW470*4)/CW398*100</f>
        <v>2.1431918141559478</v>
      </c>
      <c r="CX479" s="98">
        <f>IF(ISERROR((CW479/CO479-1)*100),"NA",IF(((CW479/CO479-1)*100)&gt;100,"NM",IF(((CW479/CO479-1)*100)&lt;-50,"NM",(CW479/CO479-1)*100)))</f>
        <v>0.31050786440753875</v>
      </c>
      <c r="CY479" s="189">
        <f>(CY470*4)/CY398*100</f>
        <v>2.1825118108489763</v>
      </c>
      <c r="CZ479" s="98">
        <f>IF(ISERROR((CY479/CQ479-1)*100),"NA",IF(((CY479/CQ479-1)*100)&gt;100,"NM",IF(((CY479/CQ479-1)*100)&lt;-50,"NM",(CY479/CQ479-1)*100)))</f>
        <v>-0.13072366178890071</v>
      </c>
      <c r="DA479" s="189">
        <f>(DA470*4)/DA398*100</f>
        <v>2.2051360581768451</v>
      </c>
      <c r="DB479" s="98">
        <f>IF(ISERROR((DA479/CS479-1)*100),"NA",IF(((DA479/CS479-1)*100)&gt;100,"NM",IF(((DA479/CS479-1)*100)&lt;-50,"NM",(DA479/CS479-1)*100)))</f>
        <v>-0.20933280261106191</v>
      </c>
      <c r="DC479" s="189">
        <f>(DC470*4)/DC398*100</f>
        <v>2.1092299327358095</v>
      </c>
      <c r="DD479" s="98">
        <f>IF(ISERROR((DC479/CU479-1)*100),"NA",IF(((DC479/CU479-1)*100)&gt;100,"NM",IF(((DC479/CU479-1)*100)&lt;-50,"NM",(DC479/CU479-1)*100)))</f>
        <v>-4.4366139444877444</v>
      </c>
      <c r="DE479" s="189">
        <f>(DE470*4)/DE398*100</f>
        <v>2.1968024617031241</v>
      </c>
      <c r="DF479" s="98">
        <f>IF(ISERROR((DE479/CW479-1)*100),"NA",IF(((DE479/CW479-1)*100)&gt;100,"NM",IF(((DE479/CW479-1)*100)&lt;-50,"NM",(DE479/CW479-1)*100)))</f>
        <v>2.5014395441916859</v>
      </c>
      <c r="DG479" s="189">
        <f>(DG470*4)/DG398*100</f>
        <v>2.2169708858009862</v>
      </c>
      <c r="DH479" s="98">
        <f>IF(ISERROR((DG479/CY479-1)*100),"NA",IF(((DG479/CY479-1)*100)&gt;100,"NM",IF(((DG479/CY479-1)*100)&lt;-50,"NM",(DG479/CY479-1)*100)))</f>
        <v>1.5788723241138225</v>
      </c>
      <c r="DI479" s="189">
        <f>(DI470*4)/DI398*100</f>
        <v>2.155342192083844</v>
      </c>
      <c r="DJ479" s="98">
        <f>IF(ISERROR((DI479/DA479-1)*100),"NA",IF(((DI479/DA479-1)*100)&gt;100,"NM",IF(((DI479/DA479-1)*100)&lt;-50,"NM",(DI479/DA479-1)*100)))</f>
        <v>-2.2580858858282649</v>
      </c>
      <c r="DK479" s="189">
        <f>(DK470*4)/DK398*100</f>
        <v>2.0913386604445021</v>
      </c>
      <c r="DL479" s="98">
        <f>IF(ISERROR((DK479/DC479-1)*100),"NA",IF(((DK479/DC479-1)*100)&gt;100,"NM",IF(((DK479/DC479-1)*100)&lt;-50,"NM",(DK479/DC479-1)*100)))</f>
        <v>-0.84823717005102495</v>
      </c>
      <c r="DM479" s="189">
        <f>(DM470*4)/DM398*100</f>
        <v>2.1053724243839738</v>
      </c>
      <c r="DN479" s="98">
        <f>IF(ISERROR((DM479/DE479-1)*100),"NA",IF(((DM479/DE479-1)*100)&gt;100,"NM",IF(((DM479/DE479-1)*100)&lt;-50,"NM",(DM479/DE479-1)*100)))</f>
        <v>-4.161959890024292</v>
      </c>
      <c r="DO479" s="189">
        <f>(DO470*4)/DO398*100</f>
        <v>2.1535344854047085</v>
      </c>
      <c r="DP479" s="98">
        <f>IF(ISERROR((DO479/DG479-1)*100),"NA",IF(((DO479/DG479-1)*100)&gt;100,"NM",IF(((DO479/DG479-1)*100)&lt;-50,"NM",(DO479/DG479-1)*100)))</f>
        <v>-2.8613997956657089</v>
      </c>
      <c r="DQ479" s="189">
        <f>(DQ470*4)/DQ398*100</f>
        <v>2.1362879507010475</v>
      </c>
      <c r="DR479" s="98">
        <f>IF(ISERROR((DQ479/DI479-1)*100),"NA",IF(((DQ479/DI479-1)*100)&gt;100,"NM",IF(((DQ479/DI479-1)*100)&lt;-50,"NM",(DQ479/DI479-1)*100)))</f>
        <v>-0.88404715746664975</v>
      </c>
      <c r="DS479" s="189">
        <f>(DS470*4)/DS398*100</f>
        <v>2.897560308890863</v>
      </c>
      <c r="DT479" s="98">
        <f>IF(ISERROR((DS479/DK479-1)*100),"NA",IF(((DS479/DK479-1)*100)&gt;100,"NM",IF(((DS479/DK479-1)*100)&lt;-50,"NM",(DS479/DK479-1)*100)))</f>
        <v>38.550506605898207</v>
      </c>
      <c r="DU479" s="189">
        <f>(DU470*4)/DU398*100</f>
        <v>2.9348345740684731</v>
      </c>
      <c r="DV479" s="98">
        <f>IF(ISERROR((DU479/DM479-1)*100),"NA",IF(((DU479/DM479-1)*100)&gt;100,"NM",IF(((DU479/DM479-1)*100)&lt;-50,"NM",(DU479/DM479-1)*100)))</f>
        <v>39.397407322231736</v>
      </c>
      <c r="DW479" s="189">
        <f>(DW470*4)/DW398*100</f>
        <v>3.0148706457526995</v>
      </c>
      <c r="DX479" s="98">
        <f>IF(ISERROR((DW479/DO479-1)*100),"NA",IF(((DW479/DO479-1)*100)&gt;100,"NM",IF(((DW479/DO479-1)*100)&lt;-50,"NM",(DW479/DO479-1)*100)))</f>
        <v>39.996395051278789</v>
      </c>
      <c r="DY479" s="189">
        <f>(DY470*4)/DY398*100</f>
        <v>3.0480167014613779</v>
      </c>
      <c r="DZ479" s="98">
        <f>IF(ISERROR((DY479/DQ479-1)*100),"NA",IF(((DY479/DQ479-1)*100)&gt;100,"NM",IF(((DY479/DQ479-1)*100)&lt;-50,"NM",(DY479/DQ479-1)*100)))</f>
        <v>42.678176903124701</v>
      </c>
      <c r="EA479" s="189">
        <f>(EA470*4)/EA398*100</f>
        <v>3.0910891735690109</v>
      </c>
      <c r="EB479" s="98">
        <f>IF(ISERROR((EA479/DS479-1)*100),"NA",IF(((EA479/DS479-1)*100)&gt;100,"NM",IF(((EA479/DS479-1)*100)&lt;-50,"NM",(EA479/DS479-1)*100)))</f>
        <v>6.6790280114040979</v>
      </c>
      <c r="EC479" s="189">
        <f>(EC470*4)/EC398*100</f>
        <v>3.1601626914781753</v>
      </c>
      <c r="ED479" s="98">
        <f>IF(ISERROR((EC479/DU479-1)*100),"NA",IF(((EC479/DU479-1)*100)&gt;100,"NM",IF(((EC479/DU479-1)*100)&lt;-50,"NM",(EC479/DU479-1)*100)))</f>
        <v>7.6777110165134888</v>
      </c>
      <c r="EE479" s="189">
        <f>(EE470*4)/EE398*100</f>
        <v>3.106552803239691</v>
      </c>
      <c r="EF479" s="860">
        <f>IF(ISERROR((EE479/DW479-1)*100),"NA",IF(((EE479/DW479-1)*100)&gt;100,"NM",IF(((EE479/DW479-1)*100)&lt;-50,"NM",(EE479/DW479-1)*100)))</f>
        <v>3.0409980479975784</v>
      </c>
      <c r="EG479" s="189">
        <f>(EG470*4)/EG398*100</f>
        <v>3.1056830577716936</v>
      </c>
      <c r="EH479" s="860">
        <f>IF(ISERROR((EG479/DY479-1)*100),"NA",IF(((EG479/DY479-1)*100)&gt;100,"NM",IF(((EG479/DY479-1)*100)&lt;-50,"NM",(EG479/DY479-1)*100)))</f>
        <v>1.891930457030222</v>
      </c>
      <c r="EI479" s="189">
        <f>(EI470*4)/EI398*100</f>
        <v>3.1606507710088874</v>
      </c>
      <c r="EJ479" s="860">
        <f t="shared" si="2958"/>
        <v>2.2503911577406832</v>
      </c>
      <c r="EK479" s="189">
        <f>(EK470*4)/EK398*100</f>
        <v>2.9390842835662596</v>
      </c>
      <c r="EL479" s="860">
        <f t="shared" si="2959"/>
        <v>-6.9957919732450691</v>
      </c>
      <c r="EM479" s="189">
        <f>(EM470*4)/EM398*100</f>
        <v>2.9528225260592937</v>
      </c>
      <c r="EN479" s="860">
        <f t="shared" si="2960"/>
        <v>-4.948580852064655</v>
      </c>
      <c r="EO479" s="189">
        <f>(EO470*4)/EO398*100</f>
        <v>2.5589878154424426</v>
      </c>
      <c r="EP479" s="98">
        <f t="shared" si="2961"/>
        <v>-17.603059686377055</v>
      </c>
      <c r="EQ479" s="1049">
        <v>2.9</v>
      </c>
      <c r="ER479" s="98">
        <f t="shared" si="2962"/>
        <v>-8.2467437845303966</v>
      </c>
      <c r="ES479" s="1049">
        <f t="shared" si="2963"/>
        <v>2.9</v>
      </c>
      <c r="ET479" s="98">
        <f t="shared" si="2964"/>
        <v>-1.3298115942029121</v>
      </c>
      <c r="EU479" s="1049">
        <f t="shared" si="2965"/>
        <v>2.9</v>
      </c>
      <c r="EV479" s="98">
        <f t="shared" si="2966"/>
        <v>-1.7888825214899873</v>
      </c>
      <c r="EW479" s="1049">
        <f t="shared" si="2967"/>
        <v>2.9</v>
      </c>
      <c r="EX479" s="98">
        <f t="shared" si="2968"/>
        <v>13.326057377049171</v>
      </c>
      <c r="EY479" s="185"/>
      <c r="EZ479" s="594"/>
      <c r="FA479" s="405"/>
      <c r="FB479" s="189" t="e">
        <f>(FB470)/#REF!*100</f>
        <v>#REF!</v>
      </c>
      <c r="FC479" s="98"/>
      <c r="FD479" s="189" t="e">
        <f>(FD470)/#REF!*100</f>
        <v>#REF!</v>
      </c>
      <c r="FE479" s="98" t="str">
        <f t="shared" si="2969"/>
        <v>NA</v>
      </c>
      <c r="FF479" s="190"/>
      <c r="FG479" s="98"/>
      <c r="FH479" s="190"/>
      <c r="FI479" s="98"/>
      <c r="FJ479" s="190"/>
      <c r="FK479" s="98"/>
      <c r="FL479" s="190"/>
      <c r="FM479" s="98"/>
      <c r="FN479" s="190"/>
      <c r="FO479" s="98"/>
      <c r="FP479" s="190"/>
      <c r="FQ479" s="98"/>
      <c r="FR479" s="188"/>
      <c r="FS479" s="120"/>
      <c r="FT479" s="188"/>
      <c r="FU479" s="120"/>
      <c r="FV479" s="189">
        <f>(FV470)/FV398*100</f>
        <v>2.4231586585808325</v>
      </c>
      <c r="FW479" s="98" t="str">
        <f>IF(ISERROR((FV479/FT479-1)*100),"NA",IF(((FV479/FT479-1)*100)&gt;100,"NM",IF(((FV479/FT479-1)*100)&lt;-50,"NM",(FV479/FT479-1)*100)))</f>
        <v>NA</v>
      </c>
      <c r="FX479" s="549">
        <f>(FX470)/FX398*100</f>
        <v>2.2915119026107442</v>
      </c>
      <c r="FY479" s="98">
        <f>IF(ISERROR((FX479/FV479-1)*100),"NA",IF(((FX479/FV479-1)*100)&gt;100,"NM",IF(((FX479/FV479-1)*100)&lt;-50,"NM",(FX479/FV479-1)*100)))</f>
        <v>-5.4328574608147884</v>
      </c>
      <c r="FZ479" s="189">
        <f>(FZ470)/FZ398*100</f>
        <v>2.0813195401353268</v>
      </c>
      <c r="GA479" s="98">
        <f>IF(ISERROR((FZ479/FX479-1)*100),"NA",IF(((FZ479/FX479-1)*100)&gt;100,"NM",IF(((FZ479/FX479-1)*100)&lt;-50,"NM",(FZ479/FX479-1)*100)))</f>
        <v>-9.1726498228502766</v>
      </c>
      <c r="GB479" s="549">
        <f>(GB470)/GB398*100</f>
        <v>2.1639675668549079</v>
      </c>
      <c r="GC479" s="98">
        <f>IF(ISERROR((GB479/FZ479-1)*100),"NA",IF(((GB479/FZ479-1)*100)&gt;100,"NM",IF(((GB479/FZ479-1)*100)&lt;-50,"NM",(GB479/FZ479-1)*100)))</f>
        <v>3.9709436790377417</v>
      </c>
      <c r="GD479" s="189">
        <f>(GD470)/GD398*100</f>
        <v>2.2278728084387733</v>
      </c>
      <c r="GE479" s="98">
        <f>IF(ISERROR((GD479/GB479-1)*100),"NA",IF(((GD479/GB479-1)*100)&gt;100,"NM",IF(((GD479/GB479-1)*100)&lt;-50,"NM",(GD479/GB479-1)*100)))</f>
        <v>2.9531515426890032</v>
      </c>
      <c r="GF479" s="189">
        <f>(GF470)/GF398*100</f>
        <v>2.1603620527708993</v>
      </c>
      <c r="GG479" s="98">
        <f>IF(ISERROR((GF479/GD479-1)*100),"NA",IF(((GF479/GD479-1)*100)&gt;100,"NM",IF(((GF479/GD479-1)*100)&lt;-50,"NM",(GF479/GD479-1)*100)))</f>
        <v>-3.0302787220237937</v>
      </c>
      <c r="GH479" s="189">
        <f>(GH470)/GH398*100</f>
        <v>2.1259981048739309</v>
      </c>
      <c r="GI479" s="98">
        <f>IF(ISERROR((GH479/GF479-1)*100),"NA",IF(((GH479/GF479-1)*100)&gt;100,"NM",IF(((GH479/GF479-1)*100)&lt;-50,"NM",(GH479/GF479-1)*100)))</f>
        <v>-1.5906568925746933</v>
      </c>
      <c r="GJ479" s="189">
        <f>(GJ470)/GJ398*100</f>
        <v>2.9755749866982564</v>
      </c>
      <c r="GK479" s="98">
        <f>IF(ISERROR((GJ479/GH479-1)*100),"NA",IF(((GJ479/GH479-1)*100)&gt;100,"NM",IF(((GJ479/GH479-1)*100)&lt;-50,"NM",(GJ479/GH479-1)*100)))</f>
        <v>39.961318868377084</v>
      </c>
      <c r="GL479" s="189">
        <f>(GL470)/GL398*100</f>
        <v>2.9482717912393626</v>
      </c>
      <c r="GM479" s="98">
        <f>IF(ISERROR((GL479/GJ479-1)*100),"NA",IF(((GL479/GJ479-1)*100)&gt;100,"NM",IF(((GL479/GJ479-1)*100)&lt;-50,"NM",(GL479/GJ479-1)*100)))</f>
        <v>-0.91757712646959311</v>
      </c>
      <c r="GN479" s="189">
        <f>(GN470)/GN398*100</f>
        <v>2.7123440551636175</v>
      </c>
      <c r="GO479" s="98">
        <f>IF(ISERROR((GN479/GL479-1)*100),"NA",IF(((GN479/GL479-1)*100)&gt;100,"NM",IF(((GN479/GL479-1)*100)&lt;-50,"NM",(GN479/GL479-1)*100)))</f>
        <v>-8.002238354577484</v>
      </c>
      <c r="GP479" s="189">
        <f>(GP470)/GP398*100</f>
        <v>2.722621751420788</v>
      </c>
      <c r="GQ479" s="98">
        <f>IF(ISERROR((GP479/GN479-1)*100),"NA",IF(((GP479/GN479-1)*100)&gt;100,"NM",IF(((GP479/GN479-1)*100)&lt;-50,"NM",(GP479/GN479-1)*100)))</f>
        <v>0.3789230292375434</v>
      </c>
      <c r="GR479" s="185">
        <f>GP479+0.1</f>
        <v>2.8226217514207881</v>
      </c>
      <c r="GS479" s="98">
        <f>IF(ISERROR((GR479/GP479-1)*100),"NA",IF(((GR479/GP479-1)*100)&gt;100,"NM",IF(((GR479/GP479-1)*100)&lt;-50,"NM",(GR479/GP479-1)*100)))</f>
        <v>3.6729303270943037</v>
      </c>
      <c r="GT479" s="185">
        <f>GR479</f>
        <v>2.8226217514207881</v>
      </c>
      <c r="GU479" s="98">
        <f>IF(ISERROR((GT479/GR479-1)*100),"NA",IF(((GT479/GR479-1)*100)&gt;100,"NM",IF(((GT479/GR479-1)*100)&lt;-50,"NM",(GT479/GR479-1)*100)))</f>
        <v>0</v>
      </c>
      <c r="GV479" s="185">
        <f>GT479</f>
        <v>2.8226217514207881</v>
      </c>
      <c r="GW479" s="98">
        <f>IF(ISERROR((GV479/GT479-1)*100),"NA",IF(((GV479/GT479-1)*100)&gt;100,"NM",IF(((GV479/GT479-1)*100)&lt;-50,"NM",(GV479/GT479-1)*100)))</f>
        <v>0</v>
      </c>
      <c r="GX479" s="185">
        <f>GV479</f>
        <v>2.8226217514207881</v>
      </c>
      <c r="GY479" s="98">
        <f>IF(ISERROR((GX479/GV479-1)*100),"NA",IF(((GX479/GV479-1)*100)&gt;100,"NM",IF(((GX479/GV479-1)*100)&lt;-50,"NM",(GX479/GV479-1)*100)))</f>
        <v>0</v>
      </c>
      <c r="GZ479" s="98">
        <f>IF(ISERROR(((GX479/GN479)^0.2-1)*100),"NA",IF((((GX479/GN479)^0.2-1)*100)&gt;100,"NM",IF((((GX479/GN479)^0.2-1)*100)&lt;-50,"NM",((GX479/GN479)^0.2-1)*100)))</f>
        <v>0.80024348989169436</v>
      </c>
      <c r="HA479" s="98"/>
      <c r="HB479" s="10"/>
      <c r="HC479"/>
      <c r="HD479"/>
      <c r="HE479"/>
      <c r="HF479"/>
      <c r="HG479"/>
      <c r="HH479"/>
      <c r="HI479" s="10"/>
    </row>
    <row r="480" spans="1:217" s="2" customFormat="1" ht="12.75" customHeight="1" x14ac:dyDescent="0.2">
      <c r="B480" s="91" t="s">
        <v>552</v>
      </c>
      <c r="C480" s="189"/>
      <c r="D480" s="98"/>
      <c r="E480" s="189"/>
      <c r="F480" s="98"/>
      <c r="G480" s="189"/>
      <c r="H480" s="98"/>
      <c r="I480" s="189"/>
      <c r="J480" s="98"/>
      <c r="K480" s="189"/>
      <c r="L480" s="98"/>
      <c r="M480" s="189"/>
      <c r="N480" s="98"/>
      <c r="O480" s="189"/>
      <c r="P480" s="98"/>
      <c r="Q480" s="189"/>
      <c r="R480" s="98"/>
      <c r="S480" s="189"/>
      <c r="T480" s="98"/>
      <c r="U480" s="189"/>
      <c r="V480" s="98"/>
      <c r="W480" s="189"/>
      <c r="X480" s="98"/>
      <c r="Y480" s="189"/>
      <c r="Z480" s="98"/>
      <c r="AA480" s="189"/>
      <c r="AB480" s="98"/>
      <c r="AC480" s="189"/>
      <c r="AD480" s="98"/>
      <c r="AE480" s="189"/>
      <c r="AF480" s="98"/>
      <c r="AG480" s="189"/>
      <c r="AH480" s="98"/>
      <c r="AI480" s="189"/>
      <c r="AJ480" s="98"/>
      <c r="AK480" s="189"/>
      <c r="AL480" s="98"/>
      <c r="AM480" s="189"/>
      <c r="AN480" s="98"/>
      <c r="AO480" s="189"/>
      <c r="AP480" s="98"/>
      <c r="AQ480" s="189"/>
      <c r="AR480" s="98"/>
      <c r="AS480" s="189"/>
      <c r="AT480" s="98"/>
      <c r="AU480" s="189"/>
      <c r="AV480" s="98"/>
      <c r="AW480" s="189"/>
      <c r="AX480" s="98"/>
      <c r="AY480" s="189"/>
      <c r="AZ480" s="98"/>
      <c r="BA480" s="189"/>
      <c r="BB480" s="98"/>
      <c r="BC480" s="189"/>
      <c r="BD480" s="98"/>
      <c r="BE480" s="189"/>
      <c r="BF480" s="98"/>
      <c r="BG480" s="189"/>
      <c r="BH480" s="98"/>
      <c r="BI480" s="189"/>
      <c r="BJ480" s="98"/>
      <c r="BK480" s="189"/>
      <c r="BL480" s="98"/>
      <c r="BM480" s="189">
        <f>(BM471*4)/BM388*100</f>
        <v>6.875801519187136</v>
      </c>
      <c r="BN480" s="98" t="str">
        <f>IF(ISERROR((BM480/BE480-1)*100),"NA",IF(((BM480/BE480-1)*100)&gt;100,"NM",IF(((BM480/BE480-1)*100)&lt;-50,"NM",(BM480/BE480-1)*100)))</f>
        <v>NA</v>
      </c>
      <c r="BO480" s="189">
        <f>(BO471*4)/BO388*100</f>
        <v>6.1279015613893177</v>
      </c>
      <c r="BP480" s="98" t="str">
        <f>IF(ISERROR((BO480/BG480-1)*100),"NA",IF(((BO480/BG480-1)*100)&gt;100,"NM",IF(((BO480/BG480-1)*100)&lt;-50,"NM",(BO480/BG480-1)*100)))</f>
        <v>NA</v>
      </c>
      <c r="BQ480" s="189">
        <f>(BQ471*4)/BQ388*100</f>
        <v>5.9098208770846199</v>
      </c>
      <c r="BR480" s="98" t="str">
        <f>IF(ISERROR((BQ480/BI480-1)*100),"NA",IF(((BQ480/BI480-1)*100)&gt;100,"NM",IF(((BQ480/BI480-1)*100)&lt;-50,"NM",(BQ480/BI480-1)*100)))</f>
        <v>NA</v>
      </c>
      <c r="BS480" s="189">
        <f>(BS471*4)/BS388*100</f>
        <v>5.6789401909214892</v>
      </c>
      <c r="BT480" s="98" t="str">
        <f>IF(ISERROR((BS480/BK480-1)*100),"NA",IF(((BS480/BK480-1)*100)&gt;100,"NM",IF(((BS480/BK480-1)*100)&lt;-50,"NM",(BS480/BK480-1)*100)))</f>
        <v>NA</v>
      </c>
      <c r="BU480" s="189">
        <f>(BU471*4)/BU388*100</f>
        <v>4.8834919593042336</v>
      </c>
      <c r="BV480" s="98">
        <f>IF(ISERROR((BU480/BM480-1)*100),"NA",IF(((BU480/BM480-1)*100)&gt;100,"NM",IF(((BU480/BM480-1)*100)&lt;-50,"NM",(BU480/BM480-1)*100)))</f>
        <v>-28.97567002658964</v>
      </c>
      <c r="BW480" s="189">
        <f>(BW471*4)/BW388*100</f>
        <v>5.0643715769258124</v>
      </c>
      <c r="BX480" s="98">
        <f>IF(ISERROR((BW480/BO480-1)*100),"NA",IF(((BW480/BO480-1)*100)&gt;100,"NM",IF(((BW480/BO480-1)*100)&lt;-50,"NM",(BW480/BO480-1)*100)))</f>
        <v>-17.35553311046305</v>
      </c>
      <c r="BY480" s="189">
        <f>(BY471*4)/BY388*100</f>
        <v>5.7872544513498925</v>
      </c>
      <c r="BZ480" s="98">
        <f>IF(ISERROR((BY480/BQ480-1)*100),"NA",IF(((BY480/BQ480-1)*100)&gt;100,"NM",IF(((BY480/BQ480-1)*100)&lt;-50,"NM",(BY480/BQ480-1)*100)))</f>
        <v>-2.0739448501726931</v>
      </c>
      <c r="CA480" s="189">
        <f>(CA471*4)/CA388*100</f>
        <v>5.4620699713770033</v>
      </c>
      <c r="CB480" s="98">
        <f>IF(ISERROR((CA480/BS480-1)*100),"NA",IF(((CA480/BS480-1)*100)&gt;100,"NM",IF(((CA480/BS480-1)*100)&lt;-50,"NM",(CA480/BS480-1)*100)))</f>
        <v>-3.8188502124248513</v>
      </c>
      <c r="CC480" s="189">
        <f>(CC471*4)/CC388*100</f>
        <v>6.1776629680361097</v>
      </c>
      <c r="CD480" s="98">
        <f>IF(ISERROR((CC480/BU480-1)*100),"NA",IF(((CC480/BU480-1)*100)&gt;100,"NM",IF(((CC480/BU480-1)*100)&lt;-50,"NM",(CC480/BU480-1)*100)))</f>
        <v>26.500934567244805</v>
      </c>
      <c r="CE480" s="189">
        <f>(CE471*4)/CE388*100</f>
        <v>6.282896252938194</v>
      </c>
      <c r="CF480" s="98">
        <f>IF(ISERROR((CE480/BW480-1)*100),"NA",IF(((CE480/BW480-1)*100)&gt;100,"NM",IF(((CE480/BW480-1)*100)&lt;-50,"NM",(CE480/BW480-1)*100)))</f>
        <v>24.060728118059082</v>
      </c>
      <c r="CG480" s="189">
        <f>(CG471*4)/CG388*100</f>
        <v>5.9527912546285249</v>
      </c>
      <c r="CH480" s="98">
        <f>IF(ISERROR((CG480/BY480-1)*100),"NA",IF(((CG480/BY480-1)*100)&gt;100,"NM",IF(((CG480/BY480-1)*100)&lt;-50,"NM",(CG480/BY480-1)*100)))</f>
        <v>2.8603684989178424</v>
      </c>
      <c r="CI480" s="189">
        <f>(CI471*4)/CI388*100</f>
        <v>6.0310889955524241</v>
      </c>
      <c r="CJ480" s="98">
        <f>IF(ISERROR((CI480/CA480-1)*100),"NA",IF(((CI480/CA480-1)*100)&gt;100,"NM",IF(((CI480/CA480-1)*100)&lt;-50,"NM",(CI480/CA480-1)*100)))</f>
        <v>10.417644357491994</v>
      </c>
      <c r="CK480" s="189">
        <f>(CK471*4)/CK388*100</f>
        <v>6.1816452686638135</v>
      </c>
      <c r="CL480" s="98">
        <f t="shared" si="2878"/>
        <v>6.4462898806705304E-2</v>
      </c>
      <c r="CM480" s="189">
        <f>(CM471*4)/CM388*100</f>
        <v>5.71692765392888</v>
      </c>
      <c r="CN480" s="98">
        <f>IF(ISERROR((CM480/CE480-1)*100),"NA",IF(((CM480/CE480-1)*100)&gt;100,"NM",IF(((CM480/CE480-1)*100)&lt;-50,"NM",(CM480/CE480-1)*100)))</f>
        <v>-9.0080844283341293</v>
      </c>
      <c r="CO480" s="189">
        <f>(CO471*4)/CO388*100</f>
        <v>5.6561063411812809</v>
      </c>
      <c r="CP480" s="98">
        <f>IF(ISERROR((CO480/CG480-1)*100),"NA",IF(((CO480/CG480-1)*100)&gt;100,"NM",IF(((CO480/CG480-1)*100)&lt;-50,"NM",(CO480/CG480-1)*100)))</f>
        <v>-4.9839629974687938</v>
      </c>
      <c r="CQ480" s="189">
        <f>(CQ471*4)/CQ388*100</f>
        <v>5.2991928750347892</v>
      </c>
      <c r="CR480" s="98">
        <f>IF(ISERROR((CQ480/CI480-1)*100),"NA",IF(((CQ480/CI480-1)*100)&gt;100,"NM",IF(((CQ480/CI480-1)*100)&lt;-50,"NM",(CQ480/CI480-1)*100)))</f>
        <v>-12.135389165329268</v>
      </c>
      <c r="CS480" s="189">
        <f>(CS471*4)/CS388*100</f>
        <v>5.5333145381073212</v>
      </c>
      <c r="CT480" s="98">
        <f>IF(ISERROR((CS480/CK480-1)*100),"NA",IF(((CS480/CK480-1)*100)&gt;100,"NM",IF(((CS480/CK480-1)*100)&lt;-50,"NM",(CS480/CK480-1)*100)))</f>
        <v>-10.487996356617712</v>
      </c>
      <c r="CU480" s="189">
        <f>(CU471*4)/CU388*100</f>
        <v>5.9530220398891647</v>
      </c>
      <c r="CV480" s="98">
        <f>IF(ISERROR((CU480/CM480-1)*100),"NA",IF(((CU480/CM480-1)*100)&gt;100,"NM",IF(((CU480/CM480-1)*100)&lt;-50,"NM",(CU480/CM480-1)*100)))</f>
        <v>4.1297424115211978</v>
      </c>
      <c r="CW480" s="189">
        <f>(CW471*4)/CW388*100</f>
        <v>5.7877069105220507</v>
      </c>
      <c r="CX480" s="98">
        <f>IF(ISERROR((CW480/CO480-1)*100),"NA",IF(((CW480/CO480-1)*100)&gt;100,"NM",IF(((CW480/CO480-1)*100)&lt;-50,"NM",(CW480/CO480-1)*100)))</f>
        <v>2.3266989940165184</v>
      </c>
      <c r="CY480" s="189">
        <f>(CY471*4)/CY388*100</f>
        <v>5.8557942262963474</v>
      </c>
      <c r="CZ480" s="98">
        <f>IF(ISERROR((CY480/CQ480-1)*100),"NA",IF(((CY480/CQ480-1)*100)&gt;100,"NM",IF(((CY480/CQ480-1)*100)&lt;-50,"NM",(CY480/CQ480-1)*100)))</f>
        <v>10.503511843922153</v>
      </c>
      <c r="DA480" s="189">
        <f>(DA471*4)/DA388*100</f>
        <v>5.7964812635551102</v>
      </c>
      <c r="DB480" s="98">
        <f>IF(ISERROR((DA480/CS480-1)*100),"NA",IF(((DA480/CS480-1)*100)&gt;100,"NM",IF(((DA480/CS480-1)*100)&lt;-50,"NM",(DA480/CS480-1)*100)))</f>
        <v>4.7560413136717328</v>
      </c>
      <c r="DC480" s="189">
        <f>(DC471*4)/DC388*100</f>
        <v>6.0791005822124076</v>
      </c>
      <c r="DD480" s="98">
        <f>IF(ISERROR((DC480/CU480-1)*100),"NA",IF(((DC480/CU480-1)*100)&gt;100,"NM",IF(((DC480/CU480-1)*100)&lt;-50,"NM",(DC480/CU480-1)*100)))</f>
        <v>2.1178914084045708</v>
      </c>
      <c r="DE480" s="189">
        <f>(DE471*4)/DE388*100</f>
        <v>6.4555058960696288</v>
      </c>
      <c r="DF480" s="98">
        <f>IF(ISERROR((DE480/CW480-1)*100),"NA",IF(((DE480/CW480-1)*100)&gt;100,"NM",IF(((DE480/CW480-1)*100)&lt;-50,"NM",(DE480/CW480-1)*100)))</f>
        <v>11.538230872291066</v>
      </c>
      <c r="DG480" s="189">
        <f>(DG471*4)/DG388*100</f>
        <v>6.2156198526898097</v>
      </c>
      <c r="DH480" s="98">
        <f>IF(ISERROR((DG480/CY480-1)*100),"NA",IF(((DG480/CY480-1)*100)&gt;100,"NM",IF(((DG480/CY480-1)*100)&lt;-50,"NM",(DG480/CY480-1)*100)))</f>
        <v>6.1447792133406898</v>
      </c>
      <c r="DI480" s="189">
        <f>(DI471*4)/DI388*100</f>
        <v>6.5280448803085518</v>
      </c>
      <c r="DJ480" s="98">
        <f>IF(ISERROR((DI480/DA480-1)*100),"NA",IF(((DI480/DA480-1)*100)&gt;100,"NM",IF(((DI480/DA480-1)*100)&lt;-50,"NM",(DI480/DA480-1)*100)))</f>
        <v>12.62082259030295</v>
      </c>
      <c r="DK480" s="189">
        <f>(DK471*4)/DK388*100</f>
        <v>6.359096922879945</v>
      </c>
      <c r="DL480" s="98">
        <f>IF(ISERROR((DK480/DC480-1)*100),"NA",IF(((DK480/DC480-1)*100)&gt;100,"NM",IF(((DK480/DC480-1)*100)&lt;-50,"NM",(DK480/DC480-1)*100)))</f>
        <v>4.6058843225396329</v>
      </c>
      <c r="DM480" s="189">
        <f>(DM471*4)/DM388*100</f>
        <v>6.2175721452767885</v>
      </c>
      <c r="DN480" s="98">
        <f>IF(ISERROR((DM480/DE480-1)*100),"NA",IF(((DM480/DE480-1)*100)&gt;100,"NM",IF(((DM480/DE480-1)*100)&lt;-50,"NM",(DM480/DE480-1)*100)))</f>
        <v>-3.6857491050810376</v>
      </c>
      <c r="DO480" s="189">
        <f>(DO471*4)/DO388*100</f>
        <v>6.0720099790693247</v>
      </c>
      <c r="DP480" s="98">
        <f>IF(ISERROR((DO480/DG480-1)*100),"NA",IF(((DO480/DG480-1)*100)&gt;100,"NM",IF(((DO480/DG480-1)*100)&lt;-50,"NM",(DO480/DG480-1)*100)))</f>
        <v>-2.31046745174317</v>
      </c>
      <c r="DQ480" s="189">
        <f>(DQ471*4)/DQ388*100</f>
        <v>6.0163606464654924</v>
      </c>
      <c r="DR480" s="98">
        <f>IF(ISERROR((DQ480/DI480-1)*100),"NA",IF(((DQ480/DI480-1)*100)&gt;100,"NM",IF(((DQ480/DI480-1)*100)&lt;-50,"NM",(DQ480/DI480-1)*100)))</f>
        <v>-7.8382462624686289</v>
      </c>
      <c r="DS480" s="189">
        <f>(DS471*4)/DS388*100</f>
        <v>6.3407555666750062</v>
      </c>
      <c r="DT480" s="98">
        <f>IF(ISERROR((DS480/DK480-1)*100),"NA",IF(((DS480/DK480-1)*100)&gt;100,"NM",IF(((DS480/DK480-1)*100)&lt;-50,"NM",(DS480/DK480-1)*100)))</f>
        <v>-0.28842705854894568</v>
      </c>
      <c r="DU480" s="189">
        <f>(DU471*4)/DU388*100</f>
        <v>6.3605764648638345</v>
      </c>
      <c r="DV480" s="98">
        <f>IF(ISERROR((DU480/DM480-1)*100),"NA",IF(((DU480/DM480-1)*100)&gt;100,"NM",IF(((DU480/DM480-1)*100)&lt;-50,"NM",(DU480/DM480-1)*100)))</f>
        <v>2.3000025773030952</v>
      </c>
      <c r="DW480" s="189">
        <f>(DW471*4)/DW388*100</f>
        <v>6.0291049989842485</v>
      </c>
      <c r="DX480" s="98">
        <f>IF(ISERROR((DW480/DO480-1)*100),"NA",IF(((DW480/DO480-1)*100)&gt;100,"NM",IF(((DW480/DO480-1)*100)&lt;-50,"NM",(DW480/DO480-1)*100)))</f>
        <v>-0.70660259507103751</v>
      </c>
      <c r="DY480" s="189">
        <f>(DY471*4)/DY388*100</f>
        <v>5.9885757316040049</v>
      </c>
      <c r="DZ480" s="98">
        <f>IF(ISERROR((DY480/DQ480-1)*100),"NA",IF(((DY480/DQ480-1)*100)&gt;100,"NM",IF(((DY480/DQ480-1)*100)&lt;-50,"NM",(DY480/DQ480-1)*100)))</f>
        <v>-0.46182262823307729</v>
      </c>
      <c r="EA480" s="189">
        <f>(EA471*4)/EA388*100</f>
        <v>5.7748588095960534</v>
      </c>
      <c r="EB480" s="98">
        <f>IF(ISERROR((EA480/DS480-1)*100),"NA",IF(((EA480/DS480-1)*100)&gt;100,"NM",IF(((EA480/DS480-1)*100)&lt;-50,"NM",(EA480/DS480-1)*100)))</f>
        <v>-8.9247527542794085</v>
      </c>
      <c r="EC480" s="189">
        <f>(EC471*4)/EC388*100</f>
        <v>5.6815067340472076</v>
      </c>
      <c r="ED480" s="98">
        <f>IF(ISERROR((EC480/DU480-1)*100),"NA",IF(((EC480/DU480-1)*100)&gt;100,"NM",IF(((EC480/DU480-1)*100)&lt;-50,"NM",(EC480/DU480-1)*100)))</f>
        <v>-10.676229341284472</v>
      </c>
      <c r="EE480" s="189">
        <f>(EE471*4)/EE388*100</f>
        <v>5.8996540622496028</v>
      </c>
      <c r="EF480" s="860">
        <f>IF(ISERROR((EE480/DW480-1)*100),"NA",IF(((EE480/DW480-1)*100)&gt;100,"NM",IF(((EE480/DW480-1)*100)&lt;-50,"NM",(EE480/DW480-1)*100)))</f>
        <v>-2.1471003864828142</v>
      </c>
      <c r="EG480" s="189">
        <f>(EG471*4)/EG388*100</f>
        <v>5.6449227217838729</v>
      </c>
      <c r="EH480" s="860">
        <f>IF(ISERROR((EG480/DY480-1)*100),"NA",IF(((EG480/DY480-1)*100)&gt;100,"NM",IF(((EG480/DY480-1)*100)&lt;-50,"NM",(EG480/DY480-1)*100)))</f>
        <v>-5.7384764795833432</v>
      </c>
      <c r="EI480" s="189">
        <f>(EI471*4)/EI388*100</f>
        <v>5.6066493850097032</v>
      </c>
      <c r="EJ480" s="860">
        <f t="shared" si="2958"/>
        <v>-2.9127885223243499</v>
      </c>
      <c r="EK480" s="189">
        <f>(EK471*4)/EK388*100</f>
        <v>5.4606843395095712</v>
      </c>
      <c r="EL480" s="860">
        <f t="shared" si="2959"/>
        <v>-3.8866871918733836</v>
      </c>
      <c r="EM480" s="189">
        <f>(EM471*4)/EM388*100</f>
        <v>5.4162262735681335</v>
      </c>
      <c r="EN480" s="860">
        <f t="shared" si="2960"/>
        <v>-8.1941717866951151</v>
      </c>
      <c r="EO480" s="189">
        <f>(EO471*4)/EO388*100</f>
        <v>5.3556909084712423</v>
      </c>
      <c r="EP480" s="98">
        <f t="shared" si="2961"/>
        <v>-5.1237515120708181</v>
      </c>
      <c r="EQ480" s="1050">
        <f>EO480-0.01</f>
        <v>5.3456909084712425</v>
      </c>
      <c r="ER480" s="98">
        <f t="shared" si="2962"/>
        <v>-4.6544461516744073</v>
      </c>
      <c r="ES480" s="1050">
        <f>EQ480-0.01</f>
        <v>5.3356909084712427</v>
      </c>
      <c r="ET480" s="98">
        <f t="shared" si="2964"/>
        <v>-2.2889700862942397</v>
      </c>
      <c r="EU480" s="1050">
        <f>ES480-0.01</f>
        <v>5.3256909084712429</v>
      </c>
      <c r="EV480" s="98">
        <f t="shared" si="2966"/>
        <v>-1.6715580281184805</v>
      </c>
      <c r="EW480" s="1050">
        <f t="shared" ref="EW480" si="2970">EU480-0.02</f>
        <v>5.3056909084712434</v>
      </c>
      <c r="EX480" s="98">
        <f t="shared" si="2968"/>
        <v>-0.93358636363634062</v>
      </c>
      <c r="EY480" s="191"/>
      <c r="EZ480" s="594"/>
      <c r="FA480" s="405"/>
      <c r="FB480" s="190" t="e">
        <f>(FB471)/#REF!*100</f>
        <v>#REF!</v>
      </c>
      <c r="FC480" s="98"/>
      <c r="FD480" s="189" t="e">
        <f>(FD471)/#REF!*100</f>
        <v>#REF!</v>
      </c>
      <c r="FE480" s="98" t="str">
        <f t="shared" si="2969"/>
        <v>NA</v>
      </c>
      <c r="FF480" s="190"/>
      <c r="FG480" s="98"/>
      <c r="FH480" s="190"/>
      <c r="FI480" s="98"/>
      <c r="FJ480" s="190"/>
      <c r="FK480" s="98"/>
      <c r="FL480" s="190"/>
      <c r="FM480" s="98"/>
      <c r="FN480" s="190"/>
      <c r="FO480" s="98"/>
      <c r="FP480" s="190"/>
      <c r="FQ480" s="98"/>
      <c r="FR480" s="192"/>
      <c r="FS480" s="120"/>
      <c r="FT480" s="192"/>
      <c r="FU480" s="120"/>
      <c r="FV480" s="189">
        <f>(FV471)/FV388*100</f>
        <v>5.3279565653266046</v>
      </c>
      <c r="FW480" s="98" t="str">
        <f>IF(ISERROR((FV480/FT480-1)*100),"NA",IF(((FV480/FT480-1)*100)&gt;100,"NM",IF(((FV480/FT480-1)*100)&lt;-50,"NM",(FV480/FT480-1)*100)))</f>
        <v>NA</v>
      </c>
      <c r="FX480" s="549">
        <f>(FX471)/FX388*100</f>
        <v>5.6999747616921317</v>
      </c>
      <c r="FY480" s="98">
        <f>IF(ISERROR((FX480/FV480-1)*100),"NA",IF(((FX480/FV480-1)*100)&gt;100,"NM",IF(((FX480/FV480-1)*100)&lt;-50,"NM",(FX480/FV480-1)*100)))</f>
        <v>6.9823804267954426</v>
      </c>
      <c r="FZ480" s="189">
        <f>(FZ471)/FZ388*100</f>
        <v>6.1488585219194585</v>
      </c>
      <c r="GA480" s="98">
        <f>IF(ISERROR((FZ480/FX480-1)*100),"NA",IF(((FZ480/FX480-1)*100)&gt;100,"NM",IF(((FZ480/FX480-1)*100)&lt;-50,"NM",(FZ480/FX480-1)*100)))</f>
        <v>7.8751885577484249</v>
      </c>
      <c r="GB480" s="549">
        <f>(GB471)/GB388*100</f>
        <v>5.4792428335512939</v>
      </c>
      <c r="GC480" s="98">
        <f>IF(ISERROR((GB480/FZ480-1)*100),"NA",IF(((GB480/FZ480-1)*100)&gt;100,"NM",IF(((GB480/FZ480-1)*100)&lt;-50,"NM",(GB480/FZ480-1)*100)))</f>
        <v>-10.890081239975158</v>
      </c>
      <c r="GD480" s="189">
        <f>(GD471)/GD388*100</f>
        <v>5.697973274153318</v>
      </c>
      <c r="GE480" s="98">
        <f>IF(ISERROR((GD480/GB480-1)*100),"NA",IF(((GD480/GB480-1)*100)&gt;100,"NM",IF(((GD480/GB480-1)*100)&lt;-50,"NM",(GD480/GB480-1)*100)))</f>
        <v>3.9919829663810802</v>
      </c>
      <c r="GF480" s="189">
        <f>(GF471)/GF388*100</f>
        <v>6.2194255556683249</v>
      </c>
      <c r="GG480" s="98">
        <f>IF(ISERROR((GF480/GD480-1)*100),"NA",IF(((GF480/GD480-1)*100)&gt;100,"NM",IF(((GF480/GD480-1)*100)&lt;-50,"NM",(GF480/GD480-1)*100)))</f>
        <v>9.1515396163821308</v>
      </c>
      <c r="GH480" s="189">
        <f>(GH471)/GH388*100</f>
        <v>6.1444776876803857</v>
      </c>
      <c r="GI480" s="98">
        <f>IF(ISERROR((GH480/GF480-1)*100),"NA",IF(((GH480/GF480-1)*100)&gt;100,"NM",IF(((GH480/GF480-1)*100)&lt;-50,"NM",(GH480/GF480-1)*100)))</f>
        <v>-1.2050609387812772</v>
      </c>
      <c r="GJ480" s="189">
        <f>(GJ471)/GJ388*100</f>
        <v>6.1829457982690545</v>
      </c>
      <c r="GK480" s="98">
        <f>IF(ISERROR((GJ480/GH480-1)*100),"NA",IF(((GJ480/GH480-1)*100)&gt;100,"NM",IF(((GJ480/GH480-1)*100)&lt;-50,"NM",(GJ480/GH480-1)*100)))</f>
        <v>0.62605989546999918</v>
      </c>
      <c r="GL480" s="189">
        <f>(GL471)/GL388*100</f>
        <v>5.8264513441321348</v>
      </c>
      <c r="GM480" s="98">
        <f>IF(ISERROR((GL480/GJ480-1)*100),"NA",IF(((GL480/GJ480-1)*100)&gt;100,"NM",IF(((GL480/GJ480-1)*100)&lt;-50,"NM",(GL480/GJ480-1)*100)))</f>
        <v>-5.7657703264473392</v>
      </c>
      <c r="GN480" s="189">
        <f>(GN471)/GN388*100</f>
        <v>5.4547311791344617</v>
      </c>
      <c r="GO480" s="98">
        <f>IF(ISERROR((GN480/GL480-1)*100),"NA",IF(((GN480/GL480-1)*100)&gt;100,"NM",IF(((GN480/GL480-1)*100)&lt;-50,"NM",(GN480/GL480-1)*100)))</f>
        <v>-6.3798724651160992</v>
      </c>
      <c r="GP480" s="189">
        <f>(GP471)/GP388*100</f>
        <v>5.3330825890620357</v>
      </c>
      <c r="GQ480" s="98">
        <f>IF(ISERROR((GP480/GN480-1)*100),"NA",IF(((GP480/GN480-1)*100)&gt;100,"NM",IF(((GP480/GN480-1)*100)&lt;-50,"NM",(GP480/GN480-1)*100)))</f>
        <v>-2.2301482158783248</v>
      </c>
      <c r="GR480" s="185">
        <f>GP480-0.05</f>
        <v>5.2830825890620359</v>
      </c>
      <c r="GS480" s="98">
        <f>IF(ISERROR((GR480/GP480-1)*100),"NA",IF(((GR480/GP480-1)*100)&gt;100,"NM",IF(((GR480/GP480-1)*100)&lt;-50,"NM",(GR480/GP480-1)*100)))</f>
        <v>-0.93754407821374786</v>
      </c>
      <c r="GT480" s="185">
        <f>GR480-0.05</f>
        <v>5.233082589062036</v>
      </c>
      <c r="GU480" s="98">
        <f>IF(ISERROR((GT480/GR480-1)*100),"NA",IF(((GT480/GR480-1)*100)&gt;100,"NM",IF(((GT480/GR480-1)*100)&lt;-50,"NM",(GT480/GR480-1)*100)))</f>
        <v>-0.94641715621706091</v>
      </c>
      <c r="GV480" s="185">
        <f>GT480-0.05</f>
        <v>5.1830825890620362</v>
      </c>
      <c r="GW480" s="98">
        <f>IF(ISERROR((GV480/GT480-1)*100),"NA",IF(((GV480/GT480-1)*100)&gt;100,"NM",IF(((GV480/GT480-1)*100)&lt;-50,"NM",(GV480/GT480-1)*100)))</f>
        <v>-0.95545979160557293</v>
      </c>
      <c r="GX480" s="185">
        <f>GV480-0.05</f>
        <v>5.1330825890620364</v>
      </c>
      <c r="GY480" s="98">
        <f>IF(ISERROR((GX480/GV480-1)*100),"NA",IF(((GX480/GV480-1)*100)&gt;100,"NM",IF(((GX480/GV480-1)*100)&lt;-50,"NM",(GX480/GV480-1)*100)))</f>
        <v>-0.96467689142202273</v>
      </c>
      <c r="GZ480" s="98">
        <f>IF(ISERROR(((GX480/GN480)^0.2-1)*100),"NA",IF((((GX480/GN480)^0.2-1)*100)&gt;100,"NM",IF((((GX480/GN480)^0.2-1)*100)&lt;-50,"NM",((GX480/GN480)^0.2-1)*100)))</f>
        <v>-1.2081814652735057</v>
      </c>
      <c r="HA480" s="98"/>
      <c r="HB480" s="10"/>
      <c r="HC480"/>
      <c r="HD480"/>
      <c r="HE480"/>
      <c r="HF480"/>
      <c r="HG480"/>
      <c r="HH480"/>
      <c r="HI480" s="10"/>
    </row>
    <row r="481" spans="1:217" s="2" customFormat="1" ht="12.75" customHeight="1" x14ac:dyDescent="0.2">
      <c r="B481" s="91" t="s">
        <v>158</v>
      </c>
      <c r="C481" s="189"/>
      <c r="D481" s="98"/>
      <c r="E481" s="189"/>
      <c r="F481" s="98"/>
      <c r="G481" s="189"/>
      <c r="H481" s="98"/>
      <c r="I481" s="189"/>
      <c r="J481" s="98"/>
      <c r="K481" s="189"/>
      <c r="L481" s="98"/>
      <c r="M481" s="189"/>
      <c r="N481" s="98"/>
      <c r="O481" s="189"/>
      <c r="P481" s="98"/>
      <c r="Q481" s="189"/>
      <c r="R481" s="98"/>
      <c r="S481" s="189"/>
      <c r="T481" s="98"/>
      <c r="U481" s="189"/>
      <c r="V481" s="98"/>
      <c r="W481" s="189"/>
      <c r="X481" s="98"/>
      <c r="Y481" s="189"/>
      <c r="Z481" s="98"/>
      <c r="AA481" s="189"/>
      <c r="AB481" s="98"/>
      <c r="AC481" s="189"/>
      <c r="AD481" s="98"/>
      <c r="AE481" s="189"/>
      <c r="AF481" s="98"/>
      <c r="AG481" s="189"/>
      <c r="AH481" s="98"/>
      <c r="AI481" s="189"/>
      <c r="AJ481" s="98"/>
      <c r="AK481" s="189"/>
      <c r="AL481" s="98"/>
      <c r="AM481" s="189"/>
      <c r="AN481" s="98"/>
      <c r="AO481" s="189"/>
      <c r="AP481" s="98"/>
      <c r="AQ481" s="189"/>
      <c r="AR481" s="98"/>
      <c r="AS481" s="189"/>
      <c r="AT481" s="98"/>
      <c r="AU481" s="189"/>
      <c r="AV481" s="98"/>
      <c r="AW481" s="189"/>
      <c r="AX481" s="98"/>
      <c r="AY481" s="189"/>
      <c r="AZ481" s="98"/>
      <c r="BA481" s="189"/>
      <c r="BB481" s="98"/>
      <c r="BC481" s="189"/>
      <c r="BD481" s="98"/>
      <c r="BE481" s="189"/>
      <c r="BF481" s="98"/>
      <c r="BG481" s="189"/>
      <c r="BH481" s="98"/>
      <c r="BI481" s="189"/>
      <c r="BJ481" s="98"/>
      <c r="BK481" s="189"/>
      <c r="BL481" s="98"/>
      <c r="BM481" s="189">
        <f>(BM472*4)/BM388*100</f>
        <v>3.3935089276906383</v>
      </c>
      <c r="BN481" s="98" t="str">
        <f>IF(ISERROR((BM481/BE481-1)*100),"NA",IF(((BM481/BE481-1)*100)&gt;100,"NM",IF(((BM481/BE481-1)*100)&lt;-50,"NM",(BM481/BE481-1)*100)))</f>
        <v>NA</v>
      </c>
      <c r="BO481" s="189">
        <f>(BO472*4)/BO388*100</f>
        <v>3.2747505944064517</v>
      </c>
      <c r="BP481" s="98" t="str">
        <f>IF(ISERROR((BO481/BG481-1)*100),"NA",IF(((BO481/BG481-1)*100)&gt;100,"NM",IF(((BO481/BG481-1)*100)&lt;-50,"NM",(BO481/BG481-1)*100)))</f>
        <v>NA</v>
      </c>
      <c r="BQ481" s="189">
        <f>(BQ472*4)/BQ388*100</f>
        <v>3.1822112415071033</v>
      </c>
      <c r="BR481" s="98" t="str">
        <f>IF(ISERROR((BQ481/BI481-1)*100),"NA",IF(((BQ481/BI481-1)*100)&gt;100,"NM",IF(((BQ481/BI481-1)*100)&lt;-50,"NM",(BQ481/BI481-1)*100)))</f>
        <v>NA</v>
      </c>
      <c r="BS481" s="189">
        <f>(BS472*4)/BS388*100</f>
        <v>3.078121955971167</v>
      </c>
      <c r="BT481" s="98" t="str">
        <f>IF(ISERROR((BS481/BK481-1)*100),"NA",IF(((BS481/BK481-1)*100)&gt;100,"NM",IF(((BS481/BK481-1)*100)&lt;-50,"NM",(BS481/BK481-1)*100)))</f>
        <v>NA</v>
      </c>
      <c r="BU481" s="189">
        <f>(BU472*4)/BU388*100</f>
        <v>3.2031506399737446</v>
      </c>
      <c r="BV481" s="98">
        <f>IF(ISERROR((BU481/BM481-1)*100),"NA",IF(((BU481/BM481-1)*100)&gt;100,"NM",IF(((BU481/BM481-1)*100)&lt;-50,"NM",(BU481/BM481-1)*100)))</f>
        <v>-5.6094824493783442</v>
      </c>
      <c r="BW481" s="189">
        <f>(BW472*4)/BW388*100</f>
        <v>3.2678609533293366</v>
      </c>
      <c r="BX481" s="98">
        <f>IF(ISERROR((BW481/BO481-1)*100),"NA",IF(((BW481/BO481-1)*100)&gt;100,"NM",IF(((BW481/BO481-1)*100)&lt;-50,"NM",(BW481/BO481-1)*100)))</f>
        <v>-0.21038674178373018</v>
      </c>
      <c r="BY481" s="189">
        <f>(BY472*4)/BY388*100</f>
        <v>3.4211946204112631</v>
      </c>
      <c r="BZ481" s="98">
        <f>IF(ISERROR((BY481/BQ481-1)*100),"NA",IF(((BY481/BQ481-1)*100)&gt;100,"NM",IF(((BY481/BQ481-1)*100)&lt;-50,"NM",(BY481/BQ481-1)*100)))</f>
        <v>7.5099784636225575</v>
      </c>
      <c r="CA481" s="189">
        <f>(CA472*4)/CA388*100</f>
        <v>3.1430602906054586</v>
      </c>
      <c r="CB481" s="98">
        <f>IF(ISERROR((CA481/BS481-1)*100),"NA",IF(((CA481/BS481-1)*100)&gt;100,"NM",IF(((CA481/BS481-1)*100)&lt;-50,"NM",(CA481/BS481-1)*100)))</f>
        <v>2.1096738713785923</v>
      </c>
      <c r="CC481" s="189">
        <f>(CC472*4)/CC388*100</f>
        <v>3.1329576480754557</v>
      </c>
      <c r="CD481" s="98">
        <f>IF(ISERROR((CC481/BU481-1)*100),"NA",IF(((CC481/BU481-1)*100)&gt;100,"NM",IF(((CC481/BU481-1)*100)&lt;-50,"NM",(CC481/BU481-1)*100)))</f>
        <v>-2.1913734253492412</v>
      </c>
      <c r="CE481" s="189">
        <f>(CE472*4)/CE388*100</f>
        <v>2.9939622989353367</v>
      </c>
      <c r="CF481" s="98">
        <f>IF(ISERROR((CE481/BW481-1)*100),"NA",IF(((CE481/BW481-1)*100)&gt;100,"NM",IF(((CE481/BW481-1)*100)&lt;-50,"NM",(CE481/BW481-1)*100)))</f>
        <v>-8.381588393929329</v>
      </c>
      <c r="CG481" s="189">
        <f>(CG472*4)/CG388*100</f>
        <v>2.863278453829635</v>
      </c>
      <c r="CH481" s="98">
        <f>IF(ISERROR((CG481/BY481-1)*100),"NA",IF(((CG481/BY481-1)*100)&gt;100,"NM",IF(((CG481/BY481-1)*100)&lt;-50,"NM",(CG481/BY481-1)*100)))</f>
        <v>-16.307641876116385</v>
      </c>
      <c r="CI481" s="189">
        <f>(CI472*4)/CI388*100</f>
        <v>2.7759918974855786</v>
      </c>
      <c r="CJ481" s="98">
        <f>IF(ISERROR((CI481/CA481-1)*100),"NA",IF(((CI481/CA481-1)*100)&gt;100,"NM",IF(((CI481/CA481-1)*100)&lt;-50,"NM",(CI481/CA481-1)*100)))</f>
        <v>-11.678693985509591</v>
      </c>
      <c r="CK481" s="189">
        <f>(CK472*4)/CK388*100</f>
        <v>2.9774315081019789</v>
      </c>
      <c r="CL481" s="98">
        <f t="shared" si="2878"/>
        <v>-4.9641954167179652</v>
      </c>
      <c r="CM481" s="189">
        <f>(CM472*4)/CM388*100</f>
        <v>3.1599895471083683</v>
      </c>
      <c r="CN481" s="98">
        <f>IF(ISERROR((CM481/CE481-1)*100),"NA",IF(((CM481/CE481-1)*100)&gt;100,"NM",IF(((CM481/CE481-1)*100)&lt;-50,"NM",(CM481/CE481-1)*100)))</f>
        <v>5.5454020991537289</v>
      </c>
      <c r="CO481" s="189">
        <f>(CO472*4)/CO388*100</f>
        <v>3.1431676987664665</v>
      </c>
      <c r="CP481" s="98">
        <f>IF(ISERROR((CO481/CG481-1)*100),"NA",IF(((CO481/CG481-1)*100)&gt;100,"NM",IF(((CO481/CG481-1)*100)&lt;-50,"NM",(CO481/CG481-1)*100)))</f>
        <v>9.7751318794188524</v>
      </c>
      <c r="CQ481" s="189">
        <f>(CQ472*4)/CQ388*100</f>
        <v>3.0281102143055945</v>
      </c>
      <c r="CR481" s="98">
        <f>IF(ISERROR((CQ481/CI481-1)*100),"NA",IF(((CQ481/CI481-1)*100)&gt;100,"NM",IF(((CQ481/CI481-1)*100)&lt;-50,"NM",(CQ481/CI481-1)*100)))</f>
        <v>9.0820984401423601</v>
      </c>
      <c r="CS481" s="189">
        <f>(CS472*4)/CS388*100</f>
        <v>2.9921999812047737</v>
      </c>
      <c r="CT481" s="98">
        <f>IF(ISERROR((CS481/CK481-1)*100),"NA",IF(((CS481/CK481-1)*100)&gt;100,"NM",IF(((CS481/CK481-1)*100)&lt;-50,"NM",(CS481/CK481-1)*100)))</f>
        <v>0.49601386505810918</v>
      </c>
      <c r="CU481" s="189">
        <f>(CU472*4)/CU388*100</f>
        <v>2.9765110199445823</v>
      </c>
      <c r="CV481" s="98">
        <f>IF(ISERROR((CU481/CM481-1)*100),"NA",IF(((CU481/CM481-1)*100)&gt;100,"NM",IF(((CU481/CM481-1)*100)&lt;-50,"NM",(CU481/CM481-1)*100)))</f>
        <v>-5.8063017117155553</v>
      </c>
      <c r="CW481" s="189">
        <f>(CW472*4)/CW388*100</f>
        <v>2.9092873403557511</v>
      </c>
      <c r="CX481" s="98">
        <f>IF(ISERROR((CW481/CO481-1)*100),"NA",IF(((CW481/CO481-1)*100)&gt;100,"NM",IF(((CW481/CO481-1)*100)&lt;-50,"NM",(CW481/CO481-1)*100)))</f>
        <v>-7.4409125069114683</v>
      </c>
      <c r="CY481" s="189">
        <f>(CY472*4)/CY388*100</f>
        <v>2.9787150870746437</v>
      </c>
      <c r="CZ481" s="98">
        <f>IF(ISERROR((CY481/CQ481-1)*100),"NA",IF(((CY481/CQ481-1)*100)&gt;100,"NM",IF(((CY481/CQ481-1)*100)&lt;-50,"NM",(CY481/CQ481-1)*100)))</f>
        <v>-1.631219596882405</v>
      </c>
      <c r="DA481" s="189">
        <f>(DA472*4)/DA388*100</f>
        <v>2.8710088406064909</v>
      </c>
      <c r="DB481" s="98">
        <f>IF(ISERROR((DA481/CS481-1)*100),"NA",IF(((DA481/CS481-1)*100)&gt;100,"NM",IF(((DA481/CS481-1)*100)&lt;-50,"NM",(DA481/CS481-1)*100)))</f>
        <v>-4.0502353238264011</v>
      </c>
      <c r="DC481" s="189">
        <f>(DC472*4)/DC388*100</f>
        <v>2.9231078096767718</v>
      </c>
      <c r="DD481" s="98">
        <f>IF(ISERROR((DC481/CU481-1)*100),"NA",IF(((DC481/CU481-1)*100)&gt;100,"NM",IF(((DC481/CU481-1)*100)&lt;-50,"NM",(DC481/CU481-1)*100)))</f>
        <v>-1.7941546296981192</v>
      </c>
      <c r="DE481" s="189">
        <f>(DE472*4)/DE388*100</f>
        <v>3.0027511582478494</v>
      </c>
      <c r="DF481" s="98">
        <f>IF(ISERROR((DE481/CW481-1)*100),"NA",IF(((DE481/CW481-1)*100)&gt;100,"NM",IF(((DE481/CW481-1)*100)&lt;-50,"NM",(DE481/CW481-1)*100)))</f>
        <v>3.2126018147341062</v>
      </c>
      <c r="DG481" s="189">
        <f>(DG472*4)/DG388*100</f>
        <v>2.9503475567434294</v>
      </c>
      <c r="DH481" s="98">
        <f>IF(ISERROR((DG481/CY481-1)*100),"NA",IF(((DG481/CY481-1)*100)&gt;100,"NM",IF(((DG481/CY481-1)*100)&lt;-50,"NM",(DG481/CY481-1)*100)))</f>
        <v>-0.95234117738577373</v>
      </c>
      <c r="DI481" s="189">
        <f>(DI472*4)/DI388*100</f>
        <v>3.0175207454551249</v>
      </c>
      <c r="DJ481" s="98">
        <f>IF(ISERROR((DI481/DA481-1)*100),"NA",IF(((DI481/DA481-1)*100)&gt;100,"NM",IF(((DI481/DA481-1)*100)&lt;-50,"NM",(DI481/DA481-1)*100)))</f>
        <v>5.1031505990655202</v>
      </c>
      <c r="DK481" s="189">
        <f>(DK472*4)/DK388*100</f>
        <v>2.8679953907216933</v>
      </c>
      <c r="DL481" s="98">
        <f>IF(ISERROR((DK481/DC481-1)*100),"NA",IF(((DK481/DC481-1)*100)&gt;100,"NM",IF(((DK481/DC481-1)*100)&lt;-50,"NM",(DK481/DC481-1)*100)))</f>
        <v>-1.8854049369179005</v>
      </c>
      <c r="DM481" s="189">
        <f>(DM472*4)/DM388*100</f>
        <v>2.8729471291968611</v>
      </c>
      <c r="DN481" s="98">
        <f>IF(ISERROR((DM481/DE481-1)*100),"NA",IF(((DM481/DE481-1)*100)&gt;100,"NM",IF(((DM481/DE481-1)*100)&lt;-50,"NM",(DM481/DE481-1)*100)))</f>
        <v>-4.3228366990866736</v>
      </c>
      <c r="DO481" s="189">
        <f>(DO472*4)/DO388*100</f>
        <v>2.8499545444935412</v>
      </c>
      <c r="DP481" s="98">
        <f>IF(ISERROR((DO481/DG481-1)*100),"NA",IF(((DO481/DG481-1)*100)&gt;100,"NM",IF(((DO481/DG481-1)*100)&lt;-50,"NM",(DO481/DG481-1)*100)))</f>
        <v>-3.4027520595133254</v>
      </c>
      <c r="DQ481" s="189">
        <f>(DQ472*4)/DQ388*100</f>
        <v>2.7903176814387312</v>
      </c>
      <c r="DR481" s="98">
        <f>IF(ISERROR((DQ481/DI481-1)*100),"NA",IF(((DQ481/DI481-1)*100)&gt;100,"NM",IF(((DQ481/DI481-1)*100)&lt;-50,"NM",(DQ481/DI481-1)*100)))</f>
        <v>-7.529461540855964</v>
      </c>
      <c r="DS481" s="189">
        <f>(DS472*4)/DS388*100</f>
        <v>1.0487865899424569</v>
      </c>
      <c r="DT481" s="98" t="str">
        <f>IF(ISERROR((DS481/DK481-1)*100),"NA",IF(((DS481/DK481-1)*100)&gt;100,"NM",IF(((DS481/DK481-1)*100)&lt;-50,"NM",(DS481/DK481-1)*100)))</f>
        <v>NM</v>
      </c>
      <c r="DU481" s="189">
        <f>(DU472*4)/DU388*100</f>
        <v>1.0634402291412719</v>
      </c>
      <c r="DV481" s="98" t="str">
        <f>IF(ISERROR((DU481/DM481-1)*100),"NA",IF(((DU481/DM481-1)*100)&gt;100,"NM",IF(((DU481/DM481-1)*100)&lt;-50,"NM",(DU481/DM481-1)*100)))</f>
        <v>NM</v>
      </c>
      <c r="DW481" s="189">
        <f>(DW472*4)/DW388*100</f>
        <v>1.0543996908151283</v>
      </c>
      <c r="DX481" s="98" t="str">
        <f>IF(ISERROR((DW481/DO481-1)*100),"NA",IF(((DW481/DO481-1)*100)&gt;100,"NM",IF(((DW481/DO481-1)*100)&lt;-50,"NM",(DW481/DO481-1)*100)))</f>
        <v>NM</v>
      </c>
      <c r="DY481" s="189">
        <f>(DY472*4)/DY388*100</f>
        <v>1.0661329396435986</v>
      </c>
      <c r="DZ481" s="98" t="str">
        <f>IF(ISERROR((DY481/DQ481-1)*100),"NA",IF(((DY481/DQ481-1)*100)&gt;100,"NM",IF(((DY481/DQ481-1)*100)&lt;-50,"NM",(DY481/DQ481-1)*100)))</f>
        <v>NM</v>
      </c>
      <c r="EA481" s="189">
        <f>(EA472*4)/EA388*100</f>
        <v>1.0101108968649368</v>
      </c>
      <c r="EB481" s="98">
        <f>IF(ISERROR((EA481/DS481-1)*100),"NA",IF(((EA481/DS481-1)*100)&gt;100,"NM",IF(((EA481/DS481-1)*100)&lt;-50,"NM",(EA481/DS481-1)*100)))</f>
        <v>-3.6876609072244215</v>
      </c>
      <c r="EC481" s="189">
        <f>(EC472*4)/EC388*100</f>
        <v>1.0039764777158573</v>
      </c>
      <c r="ED481" s="98">
        <f>IF(ISERROR((EC481/DU481-1)*100),"NA",IF(((EC481/DU481-1)*100)&gt;100,"NM",IF(((EC481/DU481-1)*100)&lt;-50,"NM",(EC481/DU481-1)*100)))</f>
        <v>-5.5916402065616433</v>
      </c>
      <c r="EE481" s="189">
        <f>(EE472*4)/EE388*100</f>
        <v>1.0018280483065363</v>
      </c>
      <c r="EF481" s="860">
        <f>IF(ISERROR((EE481/DW481-1)*100),"NA",IF(((EE481/DW481-1)*100)&gt;100,"NM",IF(((EE481/DW481-1)*100)&lt;-50,"NM",(EE481/DW481-1)*100)))</f>
        <v>-4.9859311384993221</v>
      </c>
      <c r="EG481" s="189">
        <f>(EG472*4)/EG388*100</f>
        <v>1.0164740571184705</v>
      </c>
      <c r="EH481" s="860">
        <f>IF(ISERROR((EG481/DY481-1)*100),"NA",IF(((EG481/DY481-1)*100)&gt;100,"NM",IF(((EG481/DY481-1)*100)&lt;-50,"NM",(EG481/DY481-1)*100)))</f>
        <v>-4.6578508813102326</v>
      </c>
      <c r="EI481" s="189">
        <f>(EI472*4)/EI388*100</f>
        <v>0.99993677442574169</v>
      </c>
      <c r="EJ481" s="860">
        <f t="shared" si="2958"/>
        <v>-1.0072282628345475</v>
      </c>
      <c r="EK481" s="189">
        <f>(EK472*4)/EK388*100</f>
        <v>0.99391470847604613</v>
      </c>
      <c r="EL481" s="860">
        <f t="shared" si="2959"/>
        <v>-1.0021917308961958</v>
      </c>
      <c r="EM481" s="189">
        <f>(EM472*4)/EM388*100</f>
        <v>0.99362424443156416</v>
      </c>
      <c r="EN481" s="860">
        <f t="shared" si="2960"/>
        <v>-0.8188834290315139</v>
      </c>
      <c r="EO481" s="189">
        <f>(EO472*4)/EO388*100</f>
        <v>0.97765703129184134</v>
      </c>
      <c r="EP481" s="98">
        <f t="shared" si="2961"/>
        <v>-3.818791591855164</v>
      </c>
      <c r="EQ481" s="1050">
        <f t="shared" ref="EQ481" si="2971">EO481</f>
        <v>0.97765703129184134</v>
      </c>
      <c r="ER481" s="98">
        <f t="shared" si="2962"/>
        <v>-2.2281151872522664</v>
      </c>
      <c r="ES481" s="1050">
        <f t="shared" ref="ES481" si="2972">EQ481</f>
        <v>0.97765703129184134</v>
      </c>
      <c r="ET481" s="98">
        <f t="shared" si="2964"/>
        <v>-1.6357215609710041</v>
      </c>
      <c r="EU481" s="1050">
        <f t="shared" ref="EU481" si="2973">ES481</f>
        <v>0.97765703129184134</v>
      </c>
      <c r="EV481" s="98">
        <f t="shared" si="2966"/>
        <v>-1.6069669424036093</v>
      </c>
      <c r="EW481" s="1050">
        <f t="shared" ref="EW481" si="2974">EU481</f>
        <v>0.97765703129184134</v>
      </c>
      <c r="EX481" s="98">
        <f t="shared" si="2968"/>
        <v>0</v>
      </c>
      <c r="EY481" s="191"/>
      <c r="EZ481" s="594"/>
      <c r="FA481" s="405"/>
      <c r="FB481" s="190" t="e">
        <f>(FB472)/#REF!*100</f>
        <v>#REF!</v>
      </c>
      <c r="FC481" s="98"/>
      <c r="FD481" s="189" t="e">
        <f>(FD472)/#REF!*100</f>
        <v>#REF!</v>
      </c>
      <c r="FE481" s="98" t="str">
        <f t="shared" si="2969"/>
        <v>NA</v>
      </c>
      <c r="FF481" s="190"/>
      <c r="FG481" s="98"/>
      <c r="FH481" s="190"/>
      <c r="FI481" s="98"/>
      <c r="FJ481" s="190"/>
      <c r="FK481" s="98"/>
      <c r="FL481" s="190"/>
      <c r="FM481" s="98"/>
      <c r="FN481" s="190"/>
      <c r="FO481" s="98"/>
      <c r="FP481" s="190"/>
      <c r="FQ481" s="98"/>
      <c r="FR481" s="192"/>
      <c r="FS481" s="120"/>
      <c r="FT481" s="192"/>
      <c r="FU481" s="120"/>
      <c r="FV481" s="189">
        <f>(FV472)/FV388*100</f>
        <v>3.012041407121214</v>
      </c>
      <c r="FW481" s="98" t="str">
        <f>IF(ISERROR((FV481/FT481-1)*100),"NA",IF(((FV481/FT481-1)*100)&gt;100,"NM",IF(((FV481/FT481-1)*100)&lt;-50,"NM",(FV481/FT481-1)*100)))</f>
        <v>NA</v>
      </c>
      <c r="FX481" s="549">
        <f>(FX472)/FX388*100</f>
        <v>3.2751557980158807</v>
      </c>
      <c r="FY481" s="98">
        <f>IF(ISERROR((FX481/FV481-1)*100),"NA",IF(((FX481/FV481-1)*100)&gt;100,"NM",IF(((FX481/FV481-1)*100)&lt;-50,"NM",(FX481/FV481-1)*100)))</f>
        <v>8.7354174571637309</v>
      </c>
      <c r="FZ481" s="189">
        <f>(FZ472)/FZ388*100</f>
        <v>2.919575828375307</v>
      </c>
      <c r="GA481" s="98">
        <f>IF(ISERROR((FZ481/FX481-1)*100),"NA",IF(((FZ481/FX481-1)*100)&gt;100,"NM",IF(((FZ481/FX481-1)*100)&lt;-50,"NM",(FZ481/FX481-1)*100)))</f>
        <v>-10.856887170252705</v>
      </c>
      <c r="GB481" s="549">
        <f>(GB472)/GB388*100</f>
        <v>3.0412661441976345</v>
      </c>
      <c r="GC481" s="98">
        <f>IF(ISERROR((GB481/FZ481-1)*100),"NA",IF(((GB481/FZ481-1)*100)&gt;100,"NM",IF(((GB481/FZ481-1)*100)&lt;-50,"NM",(GB481/FZ481-1)*100)))</f>
        <v>4.1680820425906262</v>
      </c>
      <c r="GD481" s="189">
        <f>(GD472)/GD388*100</f>
        <v>2.8584706138978193</v>
      </c>
      <c r="GE481" s="98">
        <f>IF(ISERROR((GD481/GB481-1)*100),"NA",IF(((GD481/GB481-1)*100)&gt;100,"NM",IF(((GD481/GB481-1)*100)&lt;-50,"NM",(GD481/GB481-1)*100)))</f>
        <v>-6.0105075199869296</v>
      </c>
      <c r="GF481" s="189">
        <f>(GF472)/GF388*100</f>
        <v>2.9270273013295443</v>
      </c>
      <c r="GG481" s="98">
        <f>IF(ISERROR((GF481/GD481-1)*100),"NA",IF(((GF481/GD481-1)*100)&gt;100,"NM",IF(((GF481/GD481-1)*100)&lt;-50,"NM",(GF481/GD481-1)*100)))</f>
        <v>2.3983695021527973</v>
      </c>
      <c r="GH481" s="189">
        <f>(GH472)/GH388*100</f>
        <v>2.8354248379832749</v>
      </c>
      <c r="GI481" s="98">
        <f>IF(ISERROR((GH481/GF481-1)*100),"NA",IF(((GH481/GF481-1)*100)&gt;100,"NM",IF(((GH481/GF481-1)*100)&lt;-50,"NM",(GH481/GF481-1)*100)))</f>
        <v>-3.1295390823536495</v>
      </c>
      <c r="GJ481" s="189">
        <f>(GJ472)/GJ388*100</f>
        <v>1.0589079886730746</v>
      </c>
      <c r="GK481" s="98" t="str">
        <f>IF(ISERROR((GJ481/GH481-1)*100),"NA",IF(((GJ481/GH481-1)*100)&gt;100,"NM",IF(((GJ481/GH481-1)*100)&lt;-50,"NM",(GJ481/GH481-1)*100)))</f>
        <v>NM</v>
      </c>
      <c r="GL481" s="189">
        <f>(GL472)/GL388*100</f>
        <v>1.021393388389247</v>
      </c>
      <c r="GM481" s="98">
        <f>IF(ISERROR((GL481/GJ481-1)*100),"NA",IF(((GL481/GJ481-1)*100)&gt;100,"NM",IF(((GL481/GJ481-1)*100)&lt;-50,"NM",(GL481/GJ481-1)*100)))</f>
        <v>-3.542762986502479</v>
      </c>
      <c r="GN481" s="189">
        <f>(GN472)/GN388*100</f>
        <v>0.99035426080950273</v>
      </c>
      <c r="GO481" s="98">
        <f>IF(ISERROR((GN481/GL481-1)*100),"NA",IF(((GN481/GL481-1)*100)&gt;100,"NM",IF(((GN481/GL481-1)*100)&lt;-50,"NM",(GN481/GL481-1)*100)))</f>
        <v>-3.0389003818297122</v>
      </c>
      <c r="GP481" s="189">
        <f>(GP472)/GP388*100</f>
        <v>0.97854949086780518</v>
      </c>
      <c r="GQ481" s="98">
        <f>IF(ISERROR((GP481/GN481-1)*100),"NA",IF(((GP481/GN481-1)*100)&gt;100,"NM",IF(((GP481/GN481-1)*100)&lt;-50,"NM",(GP481/GN481-1)*100)))</f>
        <v>-1.1919744690196521</v>
      </c>
      <c r="GR481" s="185">
        <f>GP481</f>
        <v>0.97854949086780518</v>
      </c>
      <c r="GS481" s="98">
        <f>IF(ISERROR((GR481/GP481-1)*100),"NA",IF(((GR481/GP481-1)*100)&gt;100,"NM",IF(((GR481/GP481-1)*100)&lt;-50,"NM",(GR481/GP481-1)*100)))</f>
        <v>0</v>
      </c>
      <c r="GT481" s="185">
        <f>GR481</f>
        <v>0.97854949086780518</v>
      </c>
      <c r="GU481" s="98">
        <f>IF(ISERROR((GT481/GR481-1)*100),"NA",IF(((GT481/GR481-1)*100)&gt;100,"NM",IF(((GT481/GR481-1)*100)&lt;-50,"NM",(GT481/GR481-1)*100)))</f>
        <v>0</v>
      </c>
      <c r="GV481" s="185">
        <f>GT481</f>
        <v>0.97854949086780518</v>
      </c>
      <c r="GW481" s="98">
        <f>IF(ISERROR((GV481/GT481-1)*100),"NA",IF(((GV481/GT481-1)*100)&gt;100,"NM",IF(((GV481/GT481-1)*100)&lt;-50,"NM",(GV481/GT481-1)*100)))</f>
        <v>0</v>
      </c>
      <c r="GX481" s="185">
        <f>GV481</f>
        <v>0.97854949086780518</v>
      </c>
      <c r="GY481" s="98">
        <f>IF(ISERROR((GX481/GV481-1)*100),"NA",IF(((GX481/GV481-1)*100)&gt;100,"NM",IF(((GX481/GV481-1)*100)&lt;-50,"NM",(GX481/GV481-1)*100)))</f>
        <v>0</v>
      </c>
      <c r="GZ481" s="98">
        <f>IF(ISERROR(((GX481/GN481)^0.2-1)*100),"NA",IF((((GX481/GN481)^0.2-1)*100)&gt;100,"NM",IF((((GX481/GN481)^0.2-1)*100)&lt;-50,"NM",((GX481/GN481)^0.2-1)*100)))</f>
        <v>-0.2395397338529337</v>
      </c>
      <c r="HA481" s="98"/>
      <c r="HB481" s="10"/>
      <c r="HC481"/>
      <c r="HD481"/>
      <c r="HE481"/>
      <c r="HF481"/>
      <c r="HG481"/>
      <c r="HH481"/>
      <c r="HI481" s="10"/>
    </row>
    <row r="482" spans="1:217" s="2" customFormat="1" ht="12.75" customHeight="1" x14ac:dyDescent="0.2">
      <c r="A482" s="2" t="s">
        <v>206</v>
      </c>
      <c r="B482" s="91" t="s">
        <v>603</v>
      </c>
      <c r="C482" s="189"/>
      <c r="D482" s="98"/>
      <c r="E482" s="189"/>
      <c r="F482" s="98"/>
      <c r="G482" s="189"/>
      <c r="H482" s="98"/>
      <c r="I482" s="189"/>
      <c r="J482" s="98"/>
      <c r="K482" s="189"/>
      <c r="L482" s="98"/>
      <c r="M482" s="189"/>
      <c r="N482" s="98"/>
      <c r="O482" s="189"/>
      <c r="P482" s="98"/>
      <c r="Q482" s="189"/>
      <c r="R482" s="98"/>
      <c r="S482" s="189"/>
      <c r="T482" s="98"/>
      <c r="U482" s="189"/>
      <c r="V482" s="98"/>
      <c r="W482" s="189"/>
      <c r="X482" s="98"/>
      <c r="Y482" s="189"/>
      <c r="Z482" s="98"/>
      <c r="AA482" s="189"/>
      <c r="AB482" s="98"/>
      <c r="AC482" s="189"/>
      <c r="AD482" s="98"/>
      <c r="AE482" s="189"/>
      <c r="AF482" s="98"/>
      <c r="AG482" s="189"/>
      <c r="AH482" s="98"/>
      <c r="AI482" s="189"/>
      <c r="AJ482" s="98"/>
      <c r="AK482" s="189"/>
      <c r="AL482" s="98"/>
      <c r="AM482" s="189"/>
      <c r="AN482" s="98"/>
      <c r="AO482" s="189"/>
      <c r="AP482" s="98"/>
      <c r="AQ482" s="189"/>
      <c r="AR482" s="98"/>
      <c r="AS482" s="189"/>
      <c r="AT482" s="98"/>
      <c r="AU482" s="189"/>
      <c r="AV482" s="98"/>
      <c r="AW482" s="189"/>
      <c r="AX482" s="98"/>
      <c r="AY482" s="189"/>
      <c r="AZ482" s="98"/>
      <c r="BA482" s="189"/>
      <c r="BB482" s="98"/>
      <c r="BC482" s="189"/>
      <c r="BD482" s="98"/>
      <c r="BE482" s="189"/>
      <c r="BF482" s="98"/>
      <c r="BG482" s="189"/>
      <c r="BH482" s="98"/>
      <c r="BI482" s="189"/>
      <c r="BJ482" s="98"/>
      <c r="BK482" s="189"/>
      <c r="BL482" s="98"/>
      <c r="BM482" s="189">
        <f>+BM480-BM481</f>
        <v>3.4822925914964977</v>
      </c>
      <c r="BN482" s="98" t="str">
        <f>IF(ISERROR((BM482/BE482-1)*100),"NA",IF(((BM482/BE482-1)*100)&gt;100,"NM",IF(((BM482/BE482-1)*100)&lt;-50,"NM",(BM482/BE482-1)*100)))</f>
        <v>NA</v>
      </c>
      <c r="BO482" s="189">
        <f>+BO480-BO481</f>
        <v>2.8531509669828661</v>
      </c>
      <c r="BP482" s="98" t="str">
        <f>IF(ISERROR((BO482/BG482-1)*100),"NA",IF(((BO482/BG482-1)*100)&gt;100,"NM",IF(((BO482/BG482-1)*100)&lt;-50,"NM",(BO482/BG482-1)*100)))</f>
        <v>NA</v>
      </c>
      <c r="BQ482" s="189">
        <f>+BQ480-BQ481</f>
        <v>2.7276096355775166</v>
      </c>
      <c r="BR482" s="98" t="str">
        <f>IF(ISERROR((BQ482/BI482-1)*100),"NA",IF(((BQ482/BI482-1)*100)&gt;100,"NM",IF(((BQ482/BI482-1)*100)&lt;-50,"NM",(BQ482/BI482-1)*100)))</f>
        <v>NA</v>
      </c>
      <c r="BS482" s="189">
        <f>+BS480-BS481</f>
        <v>2.6008182349503222</v>
      </c>
      <c r="BT482" s="98" t="str">
        <f>IF(ISERROR((BS482/BK482-1)*100),"NA",IF(((BS482/BK482-1)*100)&gt;100,"NM",IF(((BS482/BK482-1)*100)&lt;-50,"NM",(BS482/BK482-1)*100)))</f>
        <v>NA</v>
      </c>
      <c r="BU482" s="189">
        <f>+BU480-BU481</f>
        <v>1.680341319330489</v>
      </c>
      <c r="BV482" s="98" t="str">
        <f>IF(ISERROR((BU482/BM482-1)*100),"NA",IF(((BU482/BM482-1)*100)&gt;100,"NM",IF(((BU482/BM482-1)*100)&lt;-50,"NM",(BU482/BM482-1)*100)))</f>
        <v>NM</v>
      </c>
      <c r="BW482" s="189">
        <f>+BW480-BW481</f>
        <v>1.7965106235964758</v>
      </c>
      <c r="BX482" s="98">
        <f>IF(ISERROR((BW482/BO482-1)*100),"NA",IF(((BW482/BO482-1)*100)&gt;100,"NM",IF(((BW482/BO482-1)*100)&lt;-50,"NM",(BW482/BO482-1)*100)))</f>
        <v>-37.034154715751342</v>
      </c>
      <c r="BY482" s="189">
        <f>+BY480-BY481</f>
        <v>2.3660598309386294</v>
      </c>
      <c r="BZ482" s="98">
        <f>IF(ISERROR((BY482/BQ482-1)*100),"NA",IF(((BY482/BQ482-1)*100)&gt;100,"NM",IF(((BY482/BQ482-1)*100)&lt;-50,"NM",(BY482/BQ482-1)*100)))</f>
        <v>-13.255188716267174</v>
      </c>
      <c r="CA482" s="189">
        <f>+CA480-CA481</f>
        <v>2.3190096807715448</v>
      </c>
      <c r="CB482" s="98">
        <f>IF(ISERROR((CA482/BS482-1)*100),"NA",IF(((CA482/BS482-1)*100)&gt;100,"NM",IF(((CA482/BS482-1)*100)&lt;-50,"NM",(CA482/BS482-1)*100)))</f>
        <v>-10.835380588761524</v>
      </c>
      <c r="CC482" s="189">
        <f>+CC480-CC481</f>
        <v>3.044705319960654</v>
      </c>
      <c r="CD482" s="98">
        <f>IF(ISERROR((CC482/BU482-1)*100),"NA",IF(((CC482/BU482-1)*100)&gt;100,"NM",IF(((CC482/BU482-1)*100)&lt;-50,"NM",(CC482/BU482-1)*100)))</f>
        <v>81.195646678127204</v>
      </c>
      <c r="CE482" s="189">
        <f>+CE480-CE481</f>
        <v>3.2889339540028573</v>
      </c>
      <c r="CF482" s="98">
        <f>IF(ISERROR((CE482/BW482-1)*100),"NA",IF(((CE482/BW482-1)*100)&gt;100,"NM",IF(((CE482/BW482-1)*100)&lt;-50,"NM",(CE482/BW482-1)*100)))</f>
        <v>83.073448651178296</v>
      </c>
      <c r="CG482" s="189">
        <f>+CG480-CG481</f>
        <v>3.0895128007988899</v>
      </c>
      <c r="CH482" s="98">
        <f>IF(ISERROR((CG482/BY482-1)*100),"NA",IF(((CG482/BY482-1)*100)&gt;100,"NM",IF(((CG482/BY482-1)*100)&lt;-50,"NM",(CG482/BY482-1)*100)))</f>
        <v>30.576275392548414</v>
      </c>
      <c r="CI482" s="189">
        <f>+CI480-CI481</f>
        <v>3.2550970980668454</v>
      </c>
      <c r="CJ482" s="98">
        <f>IF(ISERROR((CI482/CA482-1)*100),"NA",IF(((CI482/CA482-1)*100)&gt;100,"NM",IF(((CI482/CA482-1)*100)&lt;-50,"NM",(CI482/CA482-1)*100)))</f>
        <v>40.365826199736276</v>
      </c>
      <c r="CK482" s="189">
        <f>+CK480-CK481</f>
        <v>3.2042137605618346</v>
      </c>
      <c r="CL482" s="98">
        <f t="shared" si="2878"/>
        <v>5.2388794263755534</v>
      </c>
      <c r="CM482" s="189">
        <f>+CM480-CM481</f>
        <v>2.5569381068205117</v>
      </c>
      <c r="CN482" s="98">
        <f>IF(ISERROR((CM482/CE482-1)*100),"NA",IF(((CM482/CE482-1)*100)&gt;100,"NM",IF(((CM482/CE482-1)*100)&lt;-50,"NM",(CM482/CE482-1)*100)))</f>
        <v>-22.256325527347755</v>
      </c>
      <c r="CO482" s="189">
        <f>+CO480-CO481</f>
        <v>2.5129386424148143</v>
      </c>
      <c r="CP482" s="98">
        <f>IF(ISERROR((CO482/CG482-1)*100),"NA",IF(((CO482/CG482-1)*100)&gt;100,"NM",IF(((CO482/CG482-1)*100)&lt;-50,"NM",(CO482/CG482-1)*100)))</f>
        <v>-18.662300354767403</v>
      </c>
      <c r="CQ482" s="189">
        <f>+CQ480-CQ481</f>
        <v>2.2710826607291947</v>
      </c>
      <c r="CR482" s="98">
        <f>IF(ISERROR((CQ482/CI482-1)*100),"NA",IF(((CQ482/CI482-1)*100)&gt;100,"NM",IF(((CQ482/CI482-1)*100)&lt;-50,"NM",(CQ482/CI482-1)*100)))</f>
        <v>-30.229956517181698</v>
      </c>
      <c r="CS482" s="189">
        <f>+CS480-CS481</f>
        <v>2.5411145569025475</v>
      </c>
      <c r="CT482" s="98">
        <f>IF(ISERROR((CS482/CK482-1)*100),"NA",IF(((CS482/CK482-1)*100)&gt;100,"NM",IF(((CS482/CK482-1)*100)&lt;-50,"NM",(CS482/CK482-1)*100)))</f>
        <v>-20.694599462147544</v>
      </c>
      <c r="CU482" s="189">
        <f>+CU480-CU481</f>
        <v>2.9765110199445823</v>
      </c>
      <c r="CV482" s="98">
        <f>IF(ISERROR((CU482/CM482-1)*100),"NA",IF(((CU482/CM482-1)*100)&gt;100,"NM",IF(((CU482/CM482-1)*100)&lt;-50,"NM",(CU482/CM482-1)*100)))</f>
        <v>16.409193167596815</v>
      </c>
      <c r="CW482" s="189">
        <f>+CW480-CW481</f>
        <v>2.8784195701662996</v>
      </c>
      <c r="CX482" s="98">
        <f>IF(ISERROR((CW482/CO482-1)*100),"NA",IF(((CW482/CO482-1)*100)&gt;100,"NM",IF(((CW482/CO482-1)*100)&lt;-50,"NM",(CW482/CO482-1)*100)))</f>
        <v>14.543965442796303</v>
      </c>
      <c r="CY482" s="189">
        <f>+CY480-CY481</f>
        <v>2.8770791392217037</v>
      </c>
      <c r="CZ482" s="98">
        <f>IF(ISERROR((CY482/CQ482-1)*100),"NA",IF(((CY482/CQ482-1)*100)&gt;100,"NM",IF(((CY482/CQ482-1)*100)&lt;-50,"NM",(CY482/CQ482-1)*100)))</f>
        <v>26.683153764994927</v>
      </c>
      <c r="DA482" s="189">
        <f>+DA480-DA481</f>
        <v>2.9254724229486193</v>
      </c>
      <c r="DB482" s="98">
        <f>IF(ISERROR((DA482/CS482-1)*100),"NA",IF(((DA482/CS482-1)*100)&gt;100,"NM",IF(((DA482/CS482-1)*100)&lt;-50,"NM",(DA482/CS482-1)*100)))</f>
        <v>15.125562324690268</v>
      </c>
      <c r="DC482" s="189">
        <f>+DC480-DC481</f>
        <v>3.1559927725356358</v>
      </c>
      <c r="DD482" s="98">
        <f>IF(ISERROR((DC482/CU482-1)*100),"NA",IF(((DC482/CU482-1)*100)&gt;100,"NM",IF(((DC482/CU482-1)*100)&lt;-50,"NM",(DC482/CU482-1)*100)))</f>
        <v>6.0299374465072608</v>
      </c>
      <c r="DE482" s="189">
        <f>+DE480-DE481</f>
        <v>3.4527547378217793</v>
      </c>
      <c r="DF482" s="98">
        <f>IF(ISERROR((DE482/CW482-1)*100),"NA",IF(((DE482/CW482-1)*100)&gt;100,"NM",IF(((DE482/CW482-1)*100)&lt;-50,"NM",(DE482/CW482-1)*100)))</f>
        <v>19.953142815183746</v>
      </c>
      <c r="DG482" s="189">
        <f>+DG480-DG481</f>
        <v>3.2652722959463802</v>
      </c>
      <c r="DH482" s="98">
        <f>IF(ISERROR((DG482/CY482-1)*100),"NA",IF(((DG482/CY482-1)*100)&gt;100,"NM",IF(((DG482/CY482-1)*100)&lt;-50,"NM",(DG482/CY482-1)*100)))</f>
        <v>13.492613096130857</v>
      </c>
      <c r="DI482" s="189">
        <f>+DI480-DI481</f>
        <v>3.5105241348534268</v>
      </c>
      <c r="DJ482" s="98">
        <f>IF(ISERROR((DI482/DA482-1)*100),"NA",IF(((DI482/DA482-1)*100)&gt;100,"NM",IF(((DI482/DA482-1)*100)&lt;-50,"NM",(DI482/DA482-1)*100)))</f>
        <v>19.998537922129067</v>
      </c>
      <c r="DK482" s="189">
        <f>+DK480-DK481</f>
        <v>3.4911015321582517</v>
      </c>
      <c r="DL482" s="98">
        <f>IF(ISERROR((DK482/DC482-1)*100),"NA",IF(((DK482/DC482-1)*100)&gt;100,"NM",IF(((DK482/DC482-1)*100)&lt;-50,"NM",(DK482/DC482-1)*100)))</f>
        <v>10.618172593385822</v>
      </c>
      <c r="DM482" s="189">
        <f>+DM480-DM481</f>
        <v>3.3446250160799273</v>
      </c>
      <c r="DN482" s="98">
        <f>IF(ISERROR((DM482/DE482-1)*100),"NA",IF(((DM482/DE482-1)*100)&gt;100,"NM",IF(((DM482/DE482-1)*100)&lt;-50,"NM",(DM482/DE482-1)*100)))</f>
        <v>-3.1316942543699766</v>
      </c>
      <c r="DO482" s="189">
        <f>+DO480-DO481</f>
        <v>3.2220554345757835</v>
      </c>
      <c r="DP482" s="98">
        <f>IF(ISERROR((DO482/DG482-1)*100),"NA",IF(((DO482/DG482-1)*100)&gt;100,"NM",IF(((DO482/DG482-1)*100)&lt;-50,"NM",(DO482/DG482-1)*100)))</f>
        <v>-1.3235300904076985</v>
      </c>
      <c r="DQ482" s="189">
        <f>+DQ480-DQ481</f>
        <v>3.2260429650267612</v>
      </c>
      <c r="DR482" s="98">
        <f>IF(ISERROR((DQ482/DI482-1)*100),"NA",IF(((DQ482/DI482-1)*100)&gt;100,"NM",IF(((DQ482/DI482-1)*100)&lt;-50,"NM",(DQ482/DI482-1)*100)))</f>
        <v>-8.10366654375796</v>
      </c>
      <c r="DS482" s="189">
        <f>+DS480-DS481</f>
        <v>5.2919689767325497</v>
      </c>
      <c r="DT482" s="98">
        <f>IF(ISERROR((DS482/DK482-1)*100),"NA",IF(((DS482/DK482-1)*100)&gt;100,"NM",IF(((DS482/DK482-1)*100)&lt;-50,"NM",(DS482/DK482-1)*100)))</f>
        <v>51.584505004670397</v>
      </c>
      <c r="DU482" s="189">
        <f>+DU480-DU481</f>
        <v>5.2971362357225624</v>
      </c>
      <c r="DV482" s="98">
        <f>IF(ISERROR((DU482/DM482-1)*100),"NA",IF(((DU482/DM482-1)*100)&gt;100,"NM",IF(((DU482/DM482-1)*100)&lt;-50,"NM",(DU482/DM482-1)*100)))</f>
        <v>58.37758224780243</v>
      </c>
      <c r="DW482" s="189">
        <f>+DW480-DW481</f>
        <v>4.9747053081691206</v>
      </c>
      <c r="DX482" s="98">
        <f>IF(ISERROR((DW482/DO482-1)*100),"NA",IF(((DW482/DO482-1)*100)&gt;100,"NM",IF(((DW482/DO482-1)*100)&lt;-50,"NM",(DW482/DO482-1)*100)))</f>
        <v>54.395397881293484</v>
      </c>
      <c r="DY482" s="189">
        <f>+DY480-DY481</f>
        <v>4.9224427919604068</v>
      </c>
      <c r="DZ482" s="98">
        <f>IF(ISERROR((DY482/DQ482-1)*100),"NA",IF(((DY482/DQ482-1)*100)&gt;100,"NM",IF(((DY482/DQ482-1)*100)&lt;-50,"NM",(DY482/DQ482-1)*100)))</f>
        <v>52.584539180790891</v>
      </c>
      <c r="EA482" s="189">
        <f>+EA480-EA481</f>
        <v>4.7647479127311163</v>
      </c>
      <c r="EB482" s="98">
        <f>IF(ISERROR((EA482/DS482-1)*100),"NA",IF(((EA482/DS482-1)*100)&gt;100,"NM",IF(((EA482/DS482-1)*100)&lt;-50,"NM",(EA482/DS482-1)*100)))</f>
        <v>-9.9626635439378326</v>
      </c>
      <c r="EC482" s="189">
        <f>+EC480-EC481</f>
        <v>4.6775302563313499</v>
      </c>
      <c r="ED482" s="98">
        <f>IF(ISERROR((EC482/DU482-1)*100),"NA",IF(((EC482/DU482-1)*100)&gt;100,"NM",IF(((EC482/DU482-1)*100)&lt;-50,"NM",(EC482/DU482-1)*100)))</f>
        <v>-11.69699912969473</v>
      </c>
      <c r="EE482" s="189">
        <f>+EE480-EE481</f>
        <v>4.8978260139430665</v>
      </c>
      <c r="EF482" s="860">
        <f>IF(ISERROR((EE482/DW482-1)*100),"NA",IF(((EE482/DW482-1)*100)&gt;100,"NM",IF(((EE482/DW482-1)*100)&lt;-50,"NM",(EE482/DW482-1)*100)))</f>
        <v>-1.5454039880474557</v>
      </c>
      <c r="EG482" s="189">
        <f>+EG480-EG481</f>
        <v>4.6284486646654024</v>
      </c>
      <c r="EH482" s="860">
        <f>IF(ISERROR((EG482/DY482-1)*100),"NA",IF(((EG482/DY482-1)*100)&gt;100,"NM",IF(((EG482/DY482-1)*100)&lt;-50,"NM",(EG482/DY482-1)*100)))</f>
        <v>-5.9725250189838874</v>
      </c>
      <c r="EI482" s="189">
        <f>+EI480-EI481</f>
        <v>4.606712610583962</v>
      </c>
      <c r="EJ482" s="860">
        <f t="shared" si="2958"/>
        <v>-3.3167610341964471</v>
      </c>
      <c r="EK482" s="189">
        <f>+EK480-EK481</f>
        <v>4.4667696310335252</v>
      </c>
      <c r="EL482" s="860">
        <f t="shared" si="2959"/>
        <v>-4.5058099840732391</v>
      </c>
      <c r="EM482" s="189">
        <f>+EM480-EM481</f>
        <v>4.4226020291365691</v>
      </c>
      <c r="EN482" s="860">
        <f t="shared" si="2960"/>
        <v>-9.7027534962172197</v>
      </c>
      <c r="EO482" s="189">
        <f>+EO480-EO481</f>
        <v>4.3780338771794014</v>
      </c>
      <c r="EP482" s="98">
        <f t="shared" si="2961"/>
        <v>-5.4103395247250496</v>
      </c>
      <c r="EQ482" s="1051">
        <f t="shared" ref="EQ482" si="2975">+EQ480-EQ481</f>
        <v>4.3680338771794016</v>
      </c>
      <c r="ER482" s="98">
        <f t="shared" si="2962"/>
        <v>-5.181107518107253</v>
      </c>
      <c r="ES482" s="1051">
        <f t="shared" ref="ES482" si="2976">+ES480-ES481</f>
        <v>4.3580338771794018</v>
      </c>
      <c r="ET482" s="98">
        <f t="shared" si="2964"/>
        <v>-2.4343264335520254</v>
      </c>
      <c r="EU482" s="1051">
        <f t="shared" ref="EU482" si="2977">+EU480-EU481</f>
        <v>4.348033877179402</v>
      </c>
      <c r="EV482" s="98">
        <f t="shared" si="2966"/>
        <v>-1.6860696817372234</v>
      </c>
      <c r="EW482" s="1051">
        <f t="shared" ref="EW482" si="2978">+EW480-EW481</f>
        <v>4.3280338771794025</v>
      </c>
      <c r="EX482" s="98">
        <f t="shared" si="2968"/>
        <v>-1.1420651690391193</v>
      </c>
      <c r="EY482" s="190"/>
      <c r="EZ482" s="594"/>
      <c r="FA482" s="405"/>
      <c r="FB482" s="190" t="e">
        <f>+FB480-FB481</f>
        <v>#REF!</v>
      </c>
      <c r="FC482" s="98"/>
      <c r="FD482" s="189" t="e">
        <f>+FD480-FD481</f>
        <v>#REF!</v>
      </c>
      <c r="FE482" s="98" t="str">
        <f t="shared" si="2969"/>
        <v>NA</v>
      </c>
      <c r="FF482" s="190"/>
      <c r="FG482" s="98"/>
      <c r="FH482" s="190"/>
      <c r="FI482" s="98"/>
      <c r="FJ482" s="190"/>
      <c r="FK482" s="98"/>
      <c r="FL482" s="190"/>
      <c r="FM482" s="98"/>
      <c r="FN482" s="190"/>
      <c r="FO482" s="98"/>
      <c r="FP482" s="190"/>
      <c r="FQ482" s="98"/>
      <c r="FR482" s="193"/>
      <c r="FS482" s="120"/>
      <c r="FT482" s="193"/>
      <c r="FU482" s="120"/>
      <c r="FV482" s="193">
        <f>+FV480-FV481</f>
        <v>2.3159151582053905</v>
      </c>
      <c r="FW482" s="98" t="str">
        <f>IF(ISERROR((FV482/FT482-1)*100),"NA",IF(((FV482/FT482-1)*100)&gt;100,"NM",IF(((FV482/FT482-1)*100)&lt;-50,"NM",(FV482/FT482-1)*100)))</f>
        <v>NA</v>
      </c>
      <c r="FX482" s="501">
        <f>+FX480-FX481</f>
        <v>2.4248189636762509</v>
      </c>
      <c r="FY482" s="98">
        <f>IF(ISERROR((FX482/FV482-1)*100),"NA",IF(((FX482/FV482-1)*100)&gt;100,"NM",IF(((FX482/FV482-1)*100)&lt;-50,"NM",(FX482/FV482-1)*100)))</f>
        <v>4.7024091139526103</v>
      </c>
      <c r="FZ482" s="193">
        <f>+FZ480-FZ481</f>
        <v>3.2292826935441514</v>
      </c>
      <c r="GA482" s="98">
        <f>IF(ISERROR((FZ482/FX482-1)*100),"NA",IF(((FZ482/FX482-1)*100)&gt;100,"NM",IF(((FZ482/FX482-1)*100)&lt;-50,"NM",(FZ482/FX482-1)*100)))</f>
        <v>33.176238800452907</v>
      </c>
      <c r="GB482" s="501">
        <f>+GB480-GB481</f>
        <v>2.4379766893536594</v>
      </c>
      <c r="GC482" s="98">
        <f>IF(ISERROR((GB482/FZ482-1)*100),"NA",IF(((GB482/FZ482-1)*100)&gt;100,"NM",IF(((GB482/FZ482-1)*100)&lt;-50,"NM",(GB482/FZ482-1)*100)))</f>
        <v>-24.50407967603574</v>
      </c>
      <c r="GD482" s="193">
        <f>+GD480-GD481</f>
        <v>2.8395026602554987</v>
      </c>
      <c r="GE482" s="98">
        <f>IF(ISERROR((GD482/GB482-1)*100),"NA",IF(((GD482/GB482-1)*100)&gt;100,"NM",IF(((GD482/GB482-1)*100)&lt;-50,"NM",(GD482/GB482-1)*100)))</f>
        <v>16.46963946190516</v>
      </c>
      <c r="GF482" s="193">
        <f>+GF480-GF481</f>
        <v>3.2923982543387806</v>
      </c>
      <c r="GG482" s="98">
        <f>IF(ISERROR((GF482/GD482-1)*100),"NA",IF(((GF482/GD482-1)*100)&gt;100,"NM",IF(((GF482/GD482-1)*100)&lt;-50,"NM",(GF482/GD482-1)*100)))</f>
        <v>15.949821087419958</v>
      </c>
      <c r="GH482" s="193">
        <f>+GH480-GH481</f>
        <v>3.3090528496971108</v>
      </c>
      <c r="GI482" s="98">
        <f>IF(ISERROR((GH482/GF482-1)*100),"NA",IF(((GH482/GF482-1)*100)&gt;100,"NM",IF(((GH482/GF482-1)*100)&lt;-50,"NM",(GH482/GF482-1)*100)))</f>
        <v>0.50584996321092479</v>
      </c>
      <c r="GJ482" s="193">
        <f>+GJ480-GJ481</f>
        <v>5.12403780959598</v>
      </c>
      <c r="GK482" s="98">
        <f>IF(ISERROR((GJ482/GH482-1)*100),"NA",IF(((GJ482/GH482-1)*100)&gt;100,"NM",IF(((GJ482/GH482-1)*100)&lt;-50,"NM",(GJ482/GH482-1)*100)))</f>
        <v>54.849077435103567</v>
      </c>
      <c r="GL482" s="193">
        <f>+GL480-GL481</f>
        <v>4.8050579557428881</v>
      </c>
      <c r="GM482" s="98">
        <f>IF(ISERROR((GL482/GJ482-1)*100),"NA",IF(((GL482/GJ482-1)*100)&gt;100,"NM",IF(((GL482/GJ482-1)*100)&lt;-50,"NM",(GL482/GJ482-1)*100)))</f>
        <v>-6.2251658888177293</v>
      </c>
      <c r="GN482" s="193">
        <f>+GN480-GN481</f>
        <v>4.4643769183249589</v>
      </c>
      <c r="GO482" s="98">
        <f>IF(ISERROR((GN482/GL482-1)*100),"NA",IF(((GN482/GL482-1)*100)&gt;100,"NM",IF(((GN482/GL482-1)*100)&lt;-50,"NM",(GN482/GL482-1)*100)))</f>
        <v>-7.090050537491555</v>
      </c>
      <c r="GP482" s="193">
        <f>+GP480-GP481</f>
        <v>4.3545330981942305</v>
      </c>
      <c r="GQ482" s="98">
        <f>IF(ISERROR((GP482/GN482-1)*100),"NA",IF(((GP482/GN482-1)*100)&gt;100,"NM",IF(((GP482/GN482-1)*100)&lt;-50,"NM",(GP482/GN482-1)*100)))</f>
        <v>-2.4604513046345144</v>
      </c>
      <c r="GR482" s="190">
        <f>+GR480-GR481</f>
        <v>4.3045330981942307</v>
      </c>
      <c r="GS482" s="98">
        <f>IF(ISERROR((GR482/GP482-1)*100),"NA",IF(((GR482/GP482-1)*100)&gt;100,"NM",IF(((GR482/GP482-1)*100)&lt;-50,"NM",(GR482/GP482-1)*100)))</f>
        <v>-1.1482287279142356</v>
      </c>
      <c r="GT482" s="190">
        <f>+GT480-GT481</f>
        <v>4.2545330981942309</v>
      </c>
      <c r="GU482" s="98">
        <f>IF(ISERROR((GT482/GR482-1)*100),"NA",IF(((GT482/GR482-1)*100)&gt;100,"NM",IF(((GT482/GR482-1)*100)&lt;-50,"NM",(GT482/GR482-1)*100)))</f>
        <v>-1.1615661643065267</v>
      </c>
      <c r="GV482" s="190">
        <f>+GV480-GV481</f>
        <v>4.204533098194231</v>
      </c>
      <c r="GW482" s="98">
        <f>IF(ISERROR((GV482/GT482-1)*100),"NA",IF(((GV482/GT482-1)*100)&gt;100,"NM",IF(((GV482/GT482-1)*100)&lt;-50,"NM",(GV482/GT482-1)*100)))</f>
        <v>-1.1752170883620905</v>
      </c>
      <c r="GX482" s="190">
        <f>+GX480-GX481</f>
        <v>4.1545330981942312</v>
      </c>
      <c r="GY482" s="98">
        <f>IF(ISERROR((GX482/GV482-1)*100),"NA",IF(((GX482/GV482-1)*100)&gt;100,"NM",IF(((GX482/GV482-1)*100)&lt;-50,"NM",(GX482/GV482-1)*100)))</f>
        <v>-1.1891926839979861</v>
      </c>
      <c r="GZ482" s="98">
        <f>IF(ISERROR(((GX482/GN482)^0.2-1)*100),"NA",IF((((GX482/GN482)^0.2-1)*100)&gt;100,"NM",IF((((GX482/GN482)^0.2-1)*100)&lt;-50,"NM",((GX482/GN482)^0.2-1)*100)))</f>
        <v>-1.428293820318538</v>
      </c>
      <c r="HA482" s="98"/>
      <c r="HB482" s="10"/>
      <c r="HC482"/>
      <c r="HD482"/>
      <c r="HE482"/>
      <c r="HF482"/>
      <c r="HG482"/>
      <c r="HH482"/>
      <c r="HI482" s="10"/>
    </row>
    <row r="483" spans="1:217" s="772" customFormat="1" ht="12.75" customHeight="1" x14ac:dyDescent="0.2">
      <c r="A483" s="772" t="s">
        <v>31</v>
      </c>
      <c r="B483" s="822" t="s">
        <v>743</v>
      </c>
      <c r="C483" s="1102">
        <v>2.02</v>
      </c>
      <c r="D483" s="860"/>
      <c r="E483" s="1102">
        <v>2.31</v>
      </c>
      <c r="F483" s="860"/>
      <c r="G483" s="1102">
        <v>2.12</v>
      </c>
      <c r="H483" s="860"/>
      <c r="I483" s="1102">
        <v>2.2400000000000002</v>
      </c>
      <c r="J483" s="860"/>
      <c r="K483" s="1102">
        <v>2.25</v>
      </c>
      <c r="L483" s="860"/>
      <c r="M483" s="1102">
        <v>2.42</v>
      </c>
      <c r="N483" s="860"/>
      <c r="O483" s="1102">
        <v>2.52</v>
      </c>
      <c r="P483" s="860"/>
      <c r="Q483" s="1102">
        <v>1.83</v>
      </c>
      <c r="R483" s="860"/>
      <c r="S483" s="1102">
        <v>1.93</v>
      </c>
      <c r="T483" s="860"/>
      <c r="U483" s="1102">
        <v>2.14</v>
      </c>
      <c r="V483" s="860"/>
      <c r="W483" s="1102">
        <v>2.2799999999999998</v>
      </c>
      <c r="X483" s="860"/>
      <c r="Y483" s="1102">
        <v>2.29</v>
      </c>
      <c r="Z483" s="860"/>
      <c r="AA483" s="1102">
        <v>2.17</v>
      </c>
      <c r="AB483" s="860"/>
      <c r="AC483" s="1102">
        <v>1.95</v>
      </c>
      <c r="AD483" s="860"/>
      <c r="AE483" s="1102">
        <v>2.2200000000000002</v>
      </c>
      <c r="AF483" s="860"/>
      <c r="AG483" s="1102">
        <v>2.34</v>
      </c>
      <c r="AH483" s="860"/>
      <c r="AI483" s="1102">
        <v>1.95</v>
      </c>
      <c r="AJ483" s="860"/>
      <c r="AK483" s="1102">
        <v>2.44</v>
      </c>
      <c r="AL483" s="860"/>
      <c r="AM483" s="1102">
        <v>2.42</v>
      </c>
      <c r="AN483" s="860"/>
      <c r="AO483" s="1102">
        <v>2.74</v>
      </c>
      <c r="AP483" s="860"/>
      <c r="AQ483" s="1102">
        <v>2.68</v>
      </c>
      <c r="AR483" s="860"/>
      <c r="AS483" s="1102">
        <v>3.18</v>
      </c>
      <c r="AT483" s="860"/>
      <c r="AU483" s="1102">
        <v>2.77</v>
      </c>
      <c r="AV483" s="860"/>
      <c r="AW483" s="1102">
        <v>2.68</v>
      </c>
      <c r="AX483" s="860"/>
      <c r="AY483" s="1102">
        <v>2.63</v>
      </c>
      <c r="AZ483" s="860"/>
      <c r="BA483" s="1102">
        <v>2.62</v>
      </c>
      <c r="BB483" s="860"/>
      <c r="BC483" s="1102">
        <v>2.6</v>
      </c>
      <c r="BD483" s="860"/>
      <c r="BE483" s="1102">
        <v>2.76</v>
      </c>
      <c r="BF483" s="860"/>
      <c r="BG483" s="1102">
        <v>2.57</v>
      </c>
      <c r="BH483" s="860"/>
      <c r="BI483" s="1102">
        <v>3.06</v>
      </c>
      <c r="BJ483" s="860"/>
      <c r="BK483" s="1102">
        <v>2.7</v>
      </c>
      <c r="BL483" s="860"/>
      <c r="BM483" s="1102">
        <v>2.98</v>
      </c>
      <c r="BN483" s="860"/>
      <c r="BO483" s="1102">
        <v>2.4300000000000002</v>
      </c>
      <c r="BP483" s="860"/>
      <c r="BQ483" s="1102">
        <v>2.27</v>
      </c>
      <c r="BR483" s="860"/>
      <c r="BS483" s="1102">
        <v>2.0099999999999998</v>
      </c>
      <c r="BT483" s="860"/>
      <c r="BU483" s="1102">
        <v>1.17</v>
      </c>
      <c r="BV483" s="860"/>
      <c r="BW483" s="1102">
        <v>1.34</v>
      </c>
      <c r="BX483" s="860"/>
      <c r="BY483" s="1102">
        <v>1.88</v>
      </c>
      <c r="BZ483" s="860"/>
      <c r="CA483" s="1102">
        <v>1.98</v>
      </c>
      <c r="CB483" s="860"/>
      <c r="CC483" s="1102">
        <v>2.0699999999999998</v>
      </c>
      <c r="CD483" s="860"/>
      <c r="CE483" s="1102">
        <v>2.44</v>
      </c>
      <c r="CF483" s="860"/>
      <c r="CG483" s="1102">
        <v>2.38</v>
      </c>
      <c r="CH483" s="860"/>
      <c r="CI483" s="1102">
        <v>2.68</v>
      </c>
      <c r="CJ483" s="860"/>
      <c r="CK483" s="1102">
        <v>2.82</v>
      </c>
      <c r="CL483" s="860"/>
      <c r="CM483" s="1102">
        <v>2.59</v>
      </c>
      <c r="CN483" s="860"/>
      <c r="CO483" s="1102">
        <v>2.57</v>
      </c>
      <c r="CP483" s="860"/>
      <c r="CQ483" s="1117">
        <v>2.57</v>
      </c>
      <c r="CR483" s="860"/>
      <c r="CS483" s="1102"/>
      <c r="CT483" s="860"/>
      <c r="CU483" s="1102"/>
      <c r="CV483" s="860"/>
      <c r="CW483" s="1102"/>
      <c r="CX483" s="860"/>
      <c r="CY483" s="1102"/>
      <c r="CZ483" s="860"/>
      <c r="DA483" s="1102"/>
      <c r="DB483" s="860"/>
      <c r="DC483" s="1102"/>
      <c r="DD483" s="860"/>
      <c r="DE483" s="1102"/>
      <c r="DF483" s="860"/>
      <c r="DG483" s="1102"/>
      <c r="DH483" s="860"/>
      <c r="DI483" s="1102"/>
      <c r="DJ483" s="860"/>
      <c r="DK483" s="1102"/>
      <c r="DL483" s="860"/>
      <c r="DM483" s="1102"/>
      <c r="DN483" s="860"/>
      <c r="DO483" s="1102"/>
      <c r="DP483" s="860"/>
      <c r="DQ483" s="1102"/>
      <c r="DR483" s="860"/>
      <c r="DS483" s="1102">
        <f>2.22+2.61</f>
        <v>4.83</v>
      </c>
      <c r="DT483" s="860"/>
      <c r="DU483" s="1102">
        <f>2.68+2.43</f>
        <v>5.1100000000000003</v>
      </c>
      <c r="DV483" s="860"/>
      <c r="DW483" s="1102">
        <f>2.06+2.03</f>
        <v>4.09</v>
      </c>
      <c r="DX483" s="860"/>
      <c r="DY483" s="1102">
        <f>1.91+2.12</f>
        <v>4.03</v>
      </c>
      <c r="DZ483" s="860"/>
      <c r="EA483" s="1102">
        <f>1.6+1.98</f>
        <v>3.58</v>
      </c>
      <c r="EB483" s="860"/>
      <c r="EC483" s="1102">
        <f>2.18+2.33</f>
        <v>4.51</v>
      </c>
      <c r="ED483" s="860"/>
      <c r="EE483" s="1102">
        <f>1.95+2.4</f>
        <v>4.3499999999999996</v>
      </c>
      <c r="EF483" s="860"/>
      <c r="EG483" s="1102">
        <f>1.57+2.19</f>
        <v>3.76</v>
      </c>
      <c r="EH483" s="860"/>
      <c r="EI483" s="1102">
        <f>1.51+2.16</f>
        <v>3.67</v>
      </c>
      <c r="EJ483" s="860"/>
      <c r="EK483" s="1102">
        <f>1.29+2.03</f>
        <v>3.32</v>
      </c>
      <c r="EL483" s="860"/>
      <c r="EM483" s="1102">
        <f>1.18+1.95</f>
        <v>3.13</v>
      </c>
      <c r="EN483" s="860"/>
      <c r="EO483" s="1102">
        <f>1.1+1.87</f>
        <v>2.97</v>
      </c>
      <c r="EP483" s="860"/>
      <c r="EQ483" s="1051"/>
      <c r="ER483" s="860"/>
      <c r="ES483" s="1051"/>
      <c r="ET483" s="860"/>
      <c r="EU483" s="1051"/>
      <c r="EV483" s="860"/>
      <c r="EW483" s="1051"/>
      <c r="EX483" s="860"/>
      <c r="EY483" s="1051"/>
      <c r="EZ483" s="594"/>
      <c r="FA483" s="405"/>
      <c r="FB483" s="1103" t="s">
        <v>494</v>
      </c>
      <c r="FC483" s="860"/>
      <c r="FD483" s="1102">
        <v>2.15</v>
      </c>
      <c r="FE483" s="860" t="str">
        <f t="shared" si="2969"/>
        <v>NA</v>
      </c>
      <c r="FF483" s="1052">
        <v>2.29</v>
      </c>
      <c r="FG483" s="860">
        <f>IF(ISERROR((FF483/FD483-1)*100),"NA",IF(((FF483/FD483-1)*100)&gt;100,"NM",IF(((FF483/FD483-1)*100)&lt;-50,"NM",(FF483/FD483-1)*100)))</f>
        <v>6.5116279069767469</v>
      </c>
      <c r="FH483" s="1051"/>
      <c r="FI483" s="860"/>
      <c r="FJ483" s="1051"/>
      <c r="FK483" s="860"/>
      <c r="FL483" s="1051"/>
      <c r="FM483" s="860"/>
      <c r="FN483" s="1051"/>
      <c r="FO483" s="860"/>
      <c r="FP483" s="1051"/>
      <c r="FQ483" s="860"/>
      <c r="FR483" s="939"/>
      <c r="FS483" s="824"/>
      <c r="FT483" s="939"/>
      <c r="FU483" s="824"/>
      <c r="FV483" s="939"/>
      <c r="FW483" s="860"/>
      <c r="FX483" s="828"/>
      <c r="FY483" s="860"/>
      <c r="FZ483" s="939"/>
      <c r="GA483" s="860"/>
      <c r="GB483" s="828"/>
      <c r="GC483" s="860"/>
      <c r="GD483" s="939"/>
      <c r="GE483" s="860"/>
      <c r="GF483" s="939"/>
      <c r="GG483" s="860"/>
      <c r="GH483" s="1051"/>
      <c r="GI483" s="860"/>
      <c r="GJ483" s="1051"/>
      <c r="GK483" s="860"/>
      <c r="GL483" s="1051"/>
      <c r="GM483" s="860"/>
      <c r="GN483" s="1051"/>
      <c r="GO483" s="860"/>
      <c r="GP483" s="1051"/>
      <c r="GQ483" s="860"/>
      <c r="GR483" s="1051"/>
      <c r="GS483" s="860"/>
      <c r="GT483" s="1051"/>
      <c r="GU483" s="860"/>
      <c r="GV483" s="1051"/>
      <c r="GW483" s="860"/>
      <c r="GX483" s="1051"/>
      <c r="GY483" s="860"/>
      <c r="GZ483" s="860"/>
      <c r="HA483" s="860"/>
      <c r="HC483"/>
      <c r="HD483"/>
      <c r="HE483"/>
      <c r="HF483"/>
      <c r="HG483"/>
      <c r="HH483"/>
    </row>
    <row r="484" spans="1:217" s="772" customFormat="1" ht="12.75" customHeight="1" x14ac:dyDescent="0.2">
      <c r="A484" s="772" t="s">
        <v>31</v>
      </c>
      <c r="B484" s="822" t="s">
        <v>744</v>
      </c>
      <c r="C484" s="1102">
        <v>2.02</v>
      </c>
      <c r="D484" s="860"/>
      <c r="E484" s="1102">
        <v>2.31</v>
      </c>
      <c r="F484" s="860"/>
      <c r="G484" s="1102">
        <v>2.12</v>
      </c>
      <c r="H484" s="860"/>
      <c r="I484" s="1102">
        <v>2.2400000000000002</v>
      </c>
      <c r="J484" s="860"/>
      <c r="K484" s="1102">
        <v>2.25</v>
      </c>
      <c r="L484" s="860"/>
      <c r="M484" s="1102">
        <v>2.42</v>
      </c>
      <c r="N484" s="860"/>
      <c r="O484" s="1102">
        <v>2.52</v>
      </c>
      <c r="P484" s="860"/>
      <c r="Q484" s="1102">
        <v>1.83</v>
      </c>
      <c r="R484" s="860"/>
      <c r="S484" s="1102">
        <v>1.93</v>
      </c>
      <c r="T484" s="860"/>
      <c r="U484" s="1102">
        <v>2.14</v>
      </c>
      <c r="V484" s="860"/>
      <c r="W484" s="1102">
        <v>2.2799999999999998</v>
      </c>
      <c r="X484" s="860"/>
      <c r="Y484" s="1102">
        <v>2.29</v>
      </c>
      <c r="Z484" s="860"/>
      <c r="AA484" s="1102">
        <v>2.17</v>
      </c>
      <c r="AB484" s="860"/>
      <c r="AC484" s="1102">
        <v>1.95</v>
      </c>
      <c r="AD484" s="860"/>
      <c r="AE484" s="1102">
        <v>2.2200000000000002</v>
      </c>
      <c r="AF484" s="860"/>
      <c r="AG484" s="1102">
        <v>2.34</v>
      </c>
      <c r="AH484" s="860"/>
      <c r="AI484" s="1102">
        <v>1.95</v>
      </c>
      <c r="AJ484" s="860"/>
      <c r="AK484" s="1102">
        <v>2.44</v>
      </c>
      <c r="AL484" s="860"/>
      <c r="AM484" s="1102">
        <v>2.42</v>
      </c>
      <c r="AN484" s="860"/>
      <c r="AO484" s="1102">
        <v>2.74</v>
      </c>
      <c r="AP484" s="860"/>
      <c r="AQ484" s="1102">
        <v>2.68</v>
      </c>
      <c r="AR484" s="860"/>
      <c r="AS484" s="1102">
        <v>3.18</v>
      </c>
      <c r="AT484" s="860"/>
      <c r="AU484" s="1102">
        <v>2.77</v>
      </c>
      <c r="AV484" s="860"/>
      <c r="AW484" s="1102">
        <v>2.68</v>
      </c>
      <c r="AX484" s="860"/>
      <c r="AY484" s="1102">
        <v>2.63</v>
      </c>
      <c r="AZ484" s="860"/>
      <c r="BA484" s="1102">
        <v>2.62</v>
      </c>
      <c r="BB484" s="860"/>
      <c r="BC484" s="1102">
        <v>2.6</v>
      </c>
      <c r="BD484" s="860"/>
      <c r="BE484" s="1102">
        <v>2.76</v>
      </c>
      <c r="BF484" s="860"/>
      <c r="BG484" s="1102">
        <v>2.57</v>
      </c>
      <c r="BH484" s="860"/>
      <c r="BI484" s="1102">
        <v>3.06</v>
      </c>
      <c r="BJ484" s="860"/>
      <c r="BK484" s="1102">
        <v>2.7</v>
      </c>
      <c r="BL484" s="860"/>
      <c r="BM484" s="1102">
        <v>2.98</v>
      </c>
      <c r="BN484" s="860"/>
      <c r="BO484" s="1102">
        <v>2.4300000000000002</v>
      </c>
      <c r="BP484" s="860"/>
      <c r="BQ484" s="1102">
        <v>2.27</v>
      </c>
      <c r="BR484" s="860"/>
      <c r="BS484" s="1102">
        <v>2.0099999999999998</v>
      </c>
      <c r="BT484" s="860"/>
      <c r="BU484" s="1102">
        <v>1.17</v>
      </c>
      <c r="BV484" s="860"/>
      <c r="BW484" s="1102">
        <v>1.34</v>
      </c>
      <c r="BX484" s="860"/>
      <c r="BY484" s="1102">
        <v>1.88</v>
      </c>
      <c r="BZ484" s="860"/>
      <c r="CA484" s="1102">
        <v>1.98</v>
      </c>
      <c r="CB484" s="860"/>
      <c r="CC484" s="1102">
        <v>2.0699999999999998</v>
      </c>
      <c r="CD484" s="860"/>
      <c r="CE484" s="1102">
        <v>2.44</v>
      </c>
      <c r="CF484" s="860"/>
      <c r="CG484" s="1102">
        <v>2.38</v>
      </c>
      <c r="CH484" s="860"/>
      <c r="CI484" s="1102">
        <v>2.68</v>
      </c>
      <c r="CJ484" s="860"/>
      <c r="CK484" s="1102">
        <v>2.82</v>
      </c>
      <c r="CL484" s="860"/>
      <c r="CM484" s="1102">
        <v>2.59</v>
      </c>
      <c r="CN484" s="860"/>
      <c r="CO484" s="1102">
        <v>2.57</v>
      </c>
      <c r="CP484" s="860"/>
      <c r="CQ484" s="1117">
        <v>2.57</v>
      </c>
      <c r="CR484" s="860"/>
      <c r="CS484" s="1102"/>
      <c r="CT484" s="860"/>
      <c r="CU484" s="1102"/>
      <c r="CV484" s="860"/>
      <c r="CW484" s="1102"/>
      <c r="CX484" s="860"/>
      <c r="CY484" s="1102"/>
      <c r="CZ484" s="860"/>
      <c r="DA484" s="1102"/>
      <c r="DB484" s="860"/>
      <c r="DC484" s="1102"/>
      <c r="DD484" s="860"/>
      <c r="DE484" s="1102"/>
      <c r="DF484" s="860"/>
      <c r="DG484" s="1102"/>
      <c r="DH484" s="860"/>
      <c r="DI484" s="1102"/>
      <c r="DJ484" s="860"/>
      <c r="DK484" s="1102"/>
      <c r="DL484" s="860"/>
      <c r="DM484" s="1102"/>
      <c r="DN484" s="860"/>
      <c r="DO484" s="1102"/>
      <c r="DP484" s="860"/>
      <c r="DQ484" s="1102"/>
      <c r="DR484" s="860"/>
      <c r="DS484" s="1102">
        <f>1.99+2.33</f>
        <v>4.32</v>
      </c>
      <c r="DT484" s="860"/>
      <c r="DU484" s="1102">
        <f>2.3+1.94</f>
        <v>4.24</v>
      </c>
      <c r="DV484" s="860"/>
      <c r="DW484" s="1102">
        <f>2.04+2.01</f>
        <v>4.05</v>
      </c>
      <c r="DX484" s="860"/>
      <c r="DY484" s="1102">
        <f>2+2.02</f>
        <v>4.0199999999999996</v>
      </c>
      <c r="DZ484" s="860"/>
      <c r="EA484" s="1102">
        <f>1.51+1.88</f>
        <v>3.3899999999999997</v>
      </c>
      <c r="EB484" s="860"/>
      <c r="EC484" s="1102">
        <f>1.59+1.97</f>
        <v>3.56</v>
      </c>
      <c r="ED484" s="860"/>
      <c r="EE484" s="1102">
        <f>1.6+2.02</f>
        <v>3.62</v>
      </c>
      <c r="EF484" s="860"/>
      <c r="EG484" s="1102">
        <f>1.38+1.88</f>
        <v>3.26</v>
      </c>
      <c r="EH484" s="860"/>
      <c r="EI484" s="1102">
        <f>1.27+1.87</f>
        <v>3.14</v>
      </c>
      <c r="EJ484" s="860"/>
      <c r="EK484" s="1102">
        <f>1.06+1.77</f>
        <v>2.83</v>
      </c>
      <c r="EL484" s="860"/>
      <c r="EM484" s="1102">
        <f>0.95+1.67</f>
        <v>2.62</v>
      </c>
      <c r="EN484" s="860"/>
      <c r="EO484" s="1102">
        <f>0.94+1.67</f>
        <v>2.61</v>
      </c>
      <c r="EP484" s="860"/>
      <c r="EQ484" s="1051"/>
      <c r="ER484" s="860"/>
      <c r="ES484" s="1051"/>
      <c r="ET484" s="860"/>
      <c r="EU484" s="1051"/>
      <c r="EV484" s="860"/>
      <c r="EW484" s="1051"/>
      <c r="EX484" s="860"/>
      <c r="EY484" s="1051"/>
      <c r="EZ484" s="594"/>
      <c r="FA484" s="405"/>
      <c r="FB484" s="1103" t="s">
        <v>494</v>
      </c>
      <c r="FC484" s="860"/>
      <c r="FD484" s="1102">
        <v>2.15</v>
      </c>
      <c r="FE484" s="860" t="str">
        <f t="shared" ref="FE484" si="2979">IF(ISERROR((FD484/FB484-1)*100),"NA",IF(((FD484/FB484-1)*100)&gt;100,"NM",IF(((FD484/FB484-1)*100)&lt;-50,"NM",(FD484/FB484-1)*100)))</f>
        <v>NA</v>
      </c>
      <c r="FF484" s="1052">
        <v>2.29</v>
      </c>
      <c r="FG484" s="860">
        <f>IF(ISERROR((FF484/FD484-1)*100),"NA",IF(((FF484/FD484-1)*100)&gt;100,"NM",IF(((FF484/FD484-1)*100)&lt;-50,"NM",(FF484/FD484-1)*100)))</f>
        <v>6.5116279069767469</v>
      </c>
      <c r="FH484" s="1051"/>
      <c r="FI484" s="860"/>
      <c r="FJ484" s="1051"/>
      <c r="FK484" s="860"/>
      <c r="FL484" s="1051"/>
      <c r="FM484" s="860"/>
      <c r="FN484" s="1051"/>
      <c r="FO484" s="860"/>
      <c r="FP484" s="1051"/>
      <c r="FQ484" s="860"/>
      <c r="FR484" s="939"/>
      <c r="FS484" s="824"/>
      <c r="FT484" s="939"/>
      <c r="FU484" s="824"/>
      <c r="FV484" s="939"/>
      <c r="FW484" s="860"/>
      <c r="FX484" s="828"/>
      <c r="FY484" s="860"/>
      <c r="FZ484" s="939"/>
      <c r="GA484" s="860"/>
      <c r="GB484" s="828"/>
      <c r="GC484" s="860"/>
      <c r="GD484" s="939"/>
      <c r="GE484" s="860"/>
      <c r="GF484" s="939"/>
      <c r="GG484" s="860"/>
      <c r="GH484" s="1051"/>
      <c r="GI484" s="860"/>
      <c r="GJ484" s="1051"/>
      <c r="GK484" s="860"/>
      <c r="GL484" s="1051"/>
      <c r="GM484" s="860"/>
      <c r="GN484" s="1051"/>
      <c r="GO484" s="860"/>
      <c r="GP484" s="1051"/>
      <c r="GQ484" s="860"/>
      <c r="GR484" s="1051"/>
      <c r="GS484" s="860"/>
      <c r="GT484" s="1051"/>
      <c r="GU484" s="860"/>
      <c r="GV484" s="1051"/>
      <c r="GW484" s="860"/>
      <c r="GX484" s="1051"/>
      <c r="GY484" s="860"/>
      <c r="GZ484" s="860"/>
      <c r="HA484" s="860"/>
      <c r="HC484"/>
      <c r="HD484"/>
      <c r="HE484"/>
      <c r="HF484"/>
      <c r="HG484"/>
      <c r="HH484"/>
    </row>
    <row r="485" spans="1:217" s="2" customFormat="1" ht="12.75" customHeight="1" x14ac:dyDescent="0.2">
      <c r="B485" s="91"/>
      <c r="C485" s="194"/>
      <c r="D485" s="113"/>
      <c r="E485" s="194"/>
      <c r="F485" s="113"/>
      <c r="G485" s="194"/>
      <c r="H485" s="113"/>
      <c r="I485" s="194"/>
      <c r="J485" s="98"/>
      <c r="K485" s="194"/>
      <c r="L485" s="98"/>
      <c r="M485" s="194"/>
      <c r="N485" s="98"/>
      <c r="O485" s="194"/>
      <c r="P485" s="98"/>
      <c r="Q485" s="194"/>
      <c r="R485" s="98"/>
      <c r="S485" s="194"/>
      <c r="T485" s="98"/>
      <c r="U485" s="194"/>
      <c r="V485" s="98"/>
      <c r="W485" s="194"/>
      <c r="X485" s="98"/>
      <c r="Y485" s="194"/>
      <c r="Z485" s="98"/>
      <c r="AA485" s="194"/>
      <c r="AB485" s="98"/>
      <c r="AC485" s="194"/>
      <c r="AD485" s="98"/>
      <c r="AE485" s="194"/>
      <c r="AF485" s="98"/>
      <c r="AG485" s="194"/>
      <c r="AH485" s="98"/>
      <c r="AI485" s="194"/>
      <c r="AJ485" s="98"/>
      <c r="AK485" s="194"/>
      <c r="AL485" s="98"/>
      <c r="AM485" s="194"/>
      <c r="AN485" s="98"/>
      <c r="AO485" s="194"/>
      <c r="AP485" s="98"/>
      <c r="AQ485" s="194"/>
      <c r="AR485" s="98"/>
      <c r="AS485" s="194"/>
      <c r="AT485" s="98"/>
      <c r="AU485" s="194"/>
      <c r="AV485" s="98"/>
      <c r="AW485" s="194"/>
      <c r="AX485" s="98"/>
      <c r="AY485" s="194"/>
      <c r="AZ485" s="98"/>
      <c r="BA485" s="194"/>
      <c r="BB485" s="98"/>
      <c r="BC485" s="194"/>
      <c r="BD485" s="98"/>
      <c r="BE485" s="194"/>
      <c r="BF485" s="98"/>
      <c r="BG485" s="194"/>
      <c r="BH485" s="98"/>
      <c r="BI485" s="194"/>
      <c r="BJ485" s="98"/>
      <c r="BK485" s="194"/>
      <c r="BL485" s="98"/>
      <c r="BM485" s="194"/>
      <c r="BN485" s="98"/>
      <c r="BO485" s="194"/>
      <c r="BP485" s="98"/>
      <c r="BQ485" s="194"/>
      <c r="BR485" s="98"/>
      <c r="BS485" s="194"/>
      <c r="BT485" s="98"/>
      <c r="BU485" s="194"/>
      <c r="BV485" s="98"/>
      <c r="BW485" s="194"/>
      <c r="BX485" s="98"/>
      <c r="BY485" s="194"/>
      <c r="BZ485" s="98"/>
      <c r="CA485" s="194"/>
      <c r="CB485" s="98"/>
      <c r="CC485" s="194"/>
      <c r="CD485" s="98"/>
      <c r="CE485" s="194"/>
      <c r="CF485" s="98"/>
      <c r="CG485" s="194"/>
      <c r="CH485" s="98"/>
      <c r="CI485" s="194"/>
      <c r="CJ485" s="98"/>
      <c r="CK485" s="194"/>
      <c r="CL485" s="98"/>
      <c r="CM485" s="194"/>
      <c r="CN485" s="98"/>
      <c r="CO485" s="194"/>
      <c r="CP485" s="98"/>
      <c r="CQ485" s="550"/>
      <c r="CR485" s="98"/>
      <c r="CS485" s="194"/>
      <c r="CT485" s="98"/>
      <c r="CU485" s="194"/>
      <c r="CV485" s="98"/>
      <c r="CW485" s="194"/>
      <c r="CX485" s="98"/>
      <c r="CY485" s="194"/>
      <c r="CZ485" s="98"/>
      <c r="DA485" s="194"/>
      <c r="DB485" s="98"/>
      <c r="DC485" s="194"/>
      <c r="DD485" s="98"/>
      <c r="DE485" s="194"/>
      <c r="DF485" s="98"/>
      <c r="DG485" s="194"/>
      <c r="DH485" s="98"/>
      <c r="DI485" s="194"/>
      <c r="DJ485" s="98"/>
      <c r="DK485" s="194"/>
      <c r="DL485" s="98"/>
      <c r="DM485" s="194"/>
      <c r="DN485" s="98"/>
      <c r="DO485" s="194"/>
      <c r="DP485" s="98"/>
      <c r="DQ485" s="194"/>
      <c r="DR485" s="98"/>
      <c r="DS485" s="194"/>
      <c r="DT485" s="98"/>
      <c r="DU485" s="194"/>
      <c r="DV485" s="98"/>
      <c r="DW485" s="194"/>
      <c r="DX485" s="98"/>
      <c r="DY485" s="194"/>
      <c r="DZ485" s="98"/>
      <c r="EA485" s="194"/>
      <c r="EB485" s="98"/>
      <c r="EC485" s="194"/>
      <c r="ED485" s="98"/>
      <c r="EE485" s="194"/>
      <c r="EF485" s="860"/>
      <c r="EG485" s="194"/>
      <c r="EH485" s="860"/>
      <c r="EI485" s="194"/>
      <c r="EJ485" s="860"/>
      <c r="EK485" s="194"/>
      <c r="EL485" s="860"/>
      <c r="EM485" s="194"/>
      <c r="EN485" s="860"/>
      <c r="EO485" s="194"/>
      <c r="EP485" s="98"/>
      <c r="EQ485" s="1052"/>
      <c r="ER485" s="98"/>
      <c r="ES485" s="1052"/>
      <c r="ET485" s="98"/>
      <c r="EU485" s="1052"/>
      <c r="EV485" s="98"/>
      <c r="EW485" s="1052"/>
      <c r="EX485" s="98"/>
      <c r="EY485" s="195"/>
      <c r="EZ485" s="594"/>
      <c r="FA485" s="405"/>
      <c r="FB485" s="195"/>
      <c r="FC485" s="113"/>
      <c r="FD485" s="194"/>
      <c r="FE485" s="113"/>
      <c r="FF485" s="195"/>
      <c r="FG485" s="113"/>
      <c r="FH485" s="195"/>
      <c r="FI485" s="113"/>
      <c r="FJ485" s="195"/>
      <c r="FK485" s="113"/>
      <c r="FL485" s="195"/>
      <c r="FM485" s="113"/>
      <c r="FN485" s="195"/>
      <c r="FO485" s="113"/>
      <c r="FP485" s="195"/>
      <c r="FQ485" s="113"/>
      <c r="FR485" s="193"/>
      <c r="FS485" s="116"/>
      <c r="FT485" s="193"/>
      <c r="FU485" s="116"/>
      <c r="FV485" s="193"/>
      <c r="FW485" s="98"/>
      <c r="FX485" s="501"/>
      <c r="FY485" s="98"/>
      <c r="FZ485" s="193"/>
      <c r="GA485" s="98"/>
      <c r="GB485" s="501"/>
      <c r="GC485" s="98"/>
      <c r="GD485" s="193"/>
      <c r="GE485" s="98"/>
      <c r="GF485" s="193"/>
      <c r="GG485" s="98"/>
      <c r="GH485" s="193"/>
      <c r="GI485" s="98"/>
      <c r="GJ485" s="193"/>
      <c r="GK485" s="98"/>
      <c r="GL485" s="193"/>
      <c r="GM485" s="98"/>
      <c r="GN485" s="193"/>
      <c r="GO485" s="98"/>
      <c r="GP485" s="193"/>
      <c r="GQ485" s="98"/>
      <c r="GR485" s="195"/>
      <c r="GS485" s="98"/>
      <c r="GT485" s="195"/>
      <c r="GU485" s="98"/>
      <c r="GV485" s="195"/>
      <c r="GW485" s="98"/>
      <c r="GX485" s="195"/>
      <c r="GY485" s="98"/>
      <c r="GZ485" s="98"/>
      <c r="HA485" s="98"/>
      <c r="HB485" s="10"/>
      <c r="HC485"/>
      <c r="HD485"/>
      <c r="HE485"/>
      <c r="HF485"/>
      <c r="HG485"/>
      <c r="HH485"/>
      <c r="HI485" s="10"/>
    </row>
    <row r="486" spans="1:217" s="2" customFormat="1" ht="12.75" customHeight="1" x14ac:dyDescent="0.2">
      <c r="B486" s="131" t="s">
        <v>620</v>
      </c>
      <c r="C486" s="112"/>
      <c r="D486" s="113"/>
      <c r="E486" s="112"/>
      <c r="F486" s="113"/>
      <c r="G486" s="112"/>
      <c r="H486" s="113"/>
      <c r="I486" s="112"/>
      <c r="J486" s="98"/>
      <c r="K486" s="112"/>
      <c r="L486" s="98"/>
      <c r="M486" s="112"/>
      <c r="N486" s="98"/>
      <c r="O486" s="112"/>
      <c r="P486" s="98"/>
      <c r="Q486" s="112"/>
      <c r="R486" s="98"/>
      <c r="S486" s="112"/>
      <c r="T486" s="98"/>
      <c r="U486" s="112"/>
      <c r="V486" s="98"/>
      <c r="W486" s="112"/>
      <c r="X486" s="98"/>
      <c r="Y486" s="112"/>
      <c r="Z486" s="98"/>
      <c r="AA486" s="112"/>
      <c r="AB486" s="98"/>
      <c r="AC486" s="112"/>
      <c r="AD486" s="98"/>
      <c r="AE486" s="112"/>
      <c r="AF486" s="98"/>
      <c r="AG486" s="112"/>
      <c r="AH486" s="98"/>
      <c r="AI486" s="112"/>
      <c r="AJ486" s="98"/>
      <c r="AK486" s="112"/>
      <c r="AL486" s="98"/>
      <c r="AM486" s="112"/>
      <c r="AN486" s="98"/>
      <c r="AO486" s="112"/>
      <c r="AP486" s="98"/>
      <c r="AQ486" s="112"/>
      <c r="AR486" s="98"/>
      <c r="AS486" s="112"/>
      <c r="AT486" s="98"/>
      <c r="AU486" s="112"/>
      <c r="AV486" s="98"/>
      <c r="AW486" s="112"/>
      <c r="AX486" s="98"/>
      <c r="AY486" s="112"/>
      <c r="AZ486" s="98"/>
      <c r="BA486" s="112"/>
      <c r="BB486" s="98"/>
      <c r="BC486" s="112"/>
      <c r="BD486" s="98"/>
      <c r="BE486" s="112"/>
      <c r="BF486" s="98"/>
      <c r="BG486" s="112"/>
      <c r="BH486" s="98"/>
      <c r="BI486" s="112"/>
      <c r="BJ486" s="98"/>
      <c r="BK486" s="112"/>
      <c r="BL486" s="98"/>
      <c r="BM486" s="112"/>
      <c r="BN486" s="98"/>
      <c r="BO486" s="112"/>
      <c r="BP486" s="98"/>
      <c r="BQ486" s="112"/>
      <c r="BR486" s="98"/>
      <c r="BS486" s="112"/>
      <c r="BT486" s="98"/>
      <c r="BU486" s="112"/>
      <c r="BV486" s="98"/>
      <c r="BW486" s="112"/>
      <c r="BX486" s="98"/>
      <c r="BY486" s="112"/>
      <c r="BZ486" s="98"/>
      <c r="CA486" s="112"/>
      <c r="CB486" s="98"/>
      <c r="CC486" s="112"/>
      <c r="CD486" s="98"/>
      <c r="CE486" s="112"/>
      <c r="CF486" s="98"/>
      <c r="CG486" s="112"/>
      <c r="CH486" s="98"/>
      <c r="CI486" s="112"/>
      <c r="CJ486" s="98"/>
      <c r="CK486" s="112"/>
      <c r="CL486" s="98"/>
      <c r="CM486" s="112"/>
      <c r="CN486" s="98"/>
      <c r="CO486" s="112"/>
      <c r="CP486" s="98"/>
      <c r="CQ486" s="543"/>
      <c r="CR486" s="98"/>
      <c r="CS486" s="112"/>
      <c r="CT486" s="98"/>
      <c r="CU486" s="112"/>
      <c r="CV486" s="98"/>
      <c r="CW486" s="112"/>
      <c r="CX486" s="98"/>
      <c r="CY486" s="112"/>
      <c r="CZ486" s="98"/>
      <c r="DA486" s="112"/>
      <c r="DB486" s="98"/>
      <c r="DC486" s="112"/>
      <c r="DD486" s="98"/>
      <c r="DE486" s="112"/>
      <c r="DF486" s="98"/>
      <c r="DG486" s="112"/>
      <c r="DH486" s="98"/>
      <c r="DI486" s="112"/>
      <c r="DJ486" s="98"/>
      <c r="DK486" s="112"/>
      <c r="DL486" s="98"/>
      <c r="DM486" s="112"/>
      <c r="DN486" s="98"/>
      <c r="DO486" s="112"/>
      <c r="DP486" s="98"/>
      <c r="DQ486" s="112"/>
      <c r="DR486" s="98"/>
      <c r="DS486" s="112"/>
      <c r="DT486" s="98"/>
      <c r="DU486" s="112"/>
      <c r="DV486" s="98"/>
      <c r="DW486" s="112"/>
      <c r="DX486" s="98"/>
      <c r="DY486" s="112"/>
      <c r="DZ486" s="98"/>
      <c r="EA486" s="112"/>
      <c r="EB486" s="98"/>
      <c r="EC486" s="112"/>
      <c r="ED486" s="98"/>
      <c r="EE486" s="112"/>
      <c r="EF486" s="860"/>
      <c r="EG486" s="112"/>
      <c r="EH486" s="860"/>
      <c r="EI486" s="112"/>
      <c r="EJ486" s="860"/>
      <c r="EK486" s="112"/>
      <c r="EL486" s="860"/>
      <c r="EM486" s="112"/>
      <c r="EN486" s="860"/>
      <c r="EO486" s="112"/>
      <c r="EP486" s="98"/>
      <c r="EQ486" s="1022"/>
      <c r="ER486" s="98"/>
      <c r="ES486" s="1022"/>
      <c r="ET486" s="98"/>
      <c r="EU486" s="1022"/>
      <c r="EV486" s="98"/>
      <c r="EW486" s="1022"/>
      <c r="EX486" s="98"/>
      <c r="EY486" s="114"/>
      <c r="EZ486" s="594"/>
      <c r="FA486" s="405"/>
      <c r="FB486" s="114"/>
      <c r="FC486" s="113"/>
      <c r="FD486" s="112"/>
      <c r="FE486" s="113"/>
      <c r="FF486" s="114"/>
      <c r="FG486" s="113"/>
      <c r="FH486" s="114"/>
      <c r="FI486" s="113"/>
      <c r="FJ486" s="114"/>
      <c r="FK486" s="113"/>
      <c r="FL486" s="114"/>
      <c r="FM486" s="113"/>
      <c r="FN486" s="114"/>
      <c r="FO486" s="113"/>
      <c r="FP486" s="114"/>
      <c r="FQ486" s="113"/>
      <c r="FR486" s="115"/>
      <c r="FS486" s="116"/>
      <c r="FT486" s="115"/>
      <c r="FU486" s="116"/>
      <c r="FV486" s="115"/>
      <c r="FW486" s="98"/>
      <c r="FX486" s="484"/>
      <c r="FY486" s="98"/>
      <c r="FZ486" s="115"/>
      <c r="GA486" s="98"/>
      <c r="GB486" s="484"/>
      <c r="GC486" s="98"/>
      <c r="GD486" s="115"/>
      <c r="GE486" s="98"/>
      <c r="GF486" s="115"/>
      <c r="GG486" s="98"/>
      <c r="GH486" s="115"/>
      <c r="GI486" s="98"/>
      <c r="GJ486" s="115"/>
      <c r="GK486" s="98"/>
      <c r="GL486" s="115"/>
      <c r="GM486" s="98"/>
      <c r="GN486" s="115"/>
      <c r="GO486" s="98"/>
      <c r="GP486" s="115"/>
      <c r="GQ486" s="98"/>
      <c r="GR486" s="114"/>
      <c r="GS486" s="98"/>
      <c r="GT486" s="114"/>
      <c r="GU486" s="98"/>
      <c r="GV486" s="114"/>
      <c r="GW486" s="98"/>
      <c r="GX486" s="114"/>
      <c r="GY486" s="98"/>
      <c r="GZ486" s="98"/>
      <c r="HA486" s="98"/>
      <c r="HB486" s="10"/>
      <c r="HC486"/>
      <c r="HD486"/>
      <c r="HE486"/>
      <c r="HF486"/>
      <c r="HG486"/>
      <c r="HH486"/>
      <c r="HI486" s="10"/>
    </row>
    <row r="487" spans="1:217" s="2" customFormat="1" ht="12.75" customHeight="1" x14ac:dyDescent="0.2">
      <c r="B487" s="179" t="s">
        <v>540</v>
      </c>
      <c r="C487" s="122">
        <v>47</v>
      </c>
      <c r="D487" s="98"/>
      <c r="E487" s="122">
        <v>45</v>
      </c>
      <c r="F487" s="98"/>
      <c r="G487" s="122">
        <v>53</v>
      </c>
      <c r="H487" s="98"/>
      <c r="I487" s="122">
        <v>50</v>
      </c>
      <c r="J487" s="98"/>
      <c r="K487" s="122">
        <v>43</v>
      </c>
      <c r="L487" s="98">
        <f>IF(ISERROR((K487/C487-1)*100),"NA",IF(((K487/C487-1)*100)&gt;100,"NM",IF(((K487/C487-1)*100)&lt;-50,"NM",(K487/C487-1)*100)))</f>
        <v>-8.5106382978723421</v>
      </c>
      <c r="M487" s="122">
        <v>42</v>
      </c>
      <c r="N487" s="98">
        <f>IF(ISERROR((M487/E487-1)*100),"NA",IF(((M487/E487-1)*100)&gt;100,"NM",IF(((M487/E487-1)*100)&lt;-50,"NM",(M487/E487-1)*100)))</f>
        <v>-6.6666666666666652</v>
      </c>
      <c r="O487" s="122">
        <v>48</v>
      </c>
      <c r="P487" s="98">
        <f>IF(ISERROR((O487/G487-1)*100),"NA",IF(((O487/G487-1)*100)&gt;100,"NM",IF(((O487/G487-1)*100)&lt;-50,"NM",(O487/G487-1)*100)))</f>
        <v>-9.4339622641509422</v>
      </c>
      <c r="Q487" s="122">
        <v>49</v>
      </c>
      <c r="R487" s="98">
        <f>IF(ISERROR((Q487/I487-1)*100),"NA",IF(((Q487/I487-1)*100)&gt;100,"NM",IF(((Q487/I487-1)*100)&lt;-50,"NM",(Q487/I487-1)*100)))</f>
        <v>-2.0000000000000018</v>
      </c>
      <c r="S487" s="122">
        <v>48</v>
      </c>
      <c r="T487" s="98">
        <f>IF(ISERROR((S487/K487-1)*100),"NA",IF(((S487/K487-1)*100)&gt;100,"NM",IF(((S487/K487-1)*100)&lt;-50,"NM",(S487/K487-1)*100)))</f>
        <v>11.627906976744185</v>
      </c>
      <c r="U487" s="122">
        <v>60</v>
      </c>
      <c r="V487" s="98">
        <f>IF(ISERROR((U487/M487-1)*100),"NA",IF(((U487/M487-1)*100)&gt;100,"NM",IF(((U487/M487-1)*100)&lt;-50,"NM",(U487/M487-1)*100)))</f>
        <v>42.857142857142861</v>
      </c>
      <c r="W487" s="122">
        <v>76</v>
      </c>
      <c r="X487" s="98">
        <f>IF(ISERROR((W487/O487-1)*100),"NA",IF(((W487/O487-1)*100)&gt;100,"NM",IF(((W487/O487-1)*100)&lt;-50,"NM",(W487/O487-1)*100)))</f>
        <v>58.333333333333329</v>
      </c>
      <c r="Y487" s="122">
        <v>104</v>
      </c>
      <c r="Z487" s="98" t="str">
        <f>IF(ISERROR((Y487/Q487-1)*100),"NA",IF(((Y487/Q487-1)*100)&gt;100,"NM",IF(((Y487/Q487-1)*100)&lt;-50,"NM",(Y487/Q487-1)*100)))</f>
        <v>NM</v>
      </c>
      <c r="AA487" s="122">
        <v>64</v>
      </c>
      <c r="AB487" s="98">
        <f>IF(ISERROR((AA487/S487-1)*100),"NA",IF(((AA487/S487-1)*100)&gt;100,"NM",IF(((AA487/S487-1)*100)&lt;-50,"NM",(AA487/S487-1)*100)))</f>
        <v>33.333333333333329</v>
      </c>
      <c r="AC487" s="122">
        <v>46</v>
      </c>
      <c r="AD487" s="98">
        <f>IF(ISERROR((AC487/U487-1)*100),"NA",IF(((AC487/U487-1)*100)&gt;100,"NM",IF(((AC487/U487-1)*100)&lt;-50,"NM",(AC487/U487-1)*100)))</f>
        <v>-23.333333333333329</v>
      </c>
      <c r="AE487" s="122">
        <v>55</v>
      </c>
      <c r="AF487" s="98">
        <f>IF(ISERROR((AE487/W487-1)*100),"NA",IF(((AE487/W487-1)*100)&gt;100,"NM",IF(((AE487/W487-1)*100)&lt;-50,"NM",(AE487/W487-1)*100)))</f>
        <v>-27.631578947368418</v>
      </c>
      <c r="AG487" s="122">
        <v>53</v>
      </c>
      <c r="AH487" s="98">
        <f>IF(ISERROR((AG487/Y487-1)*100),"NA",IF(((AG487/Y487-1)*100)&gt;100,"NM",IF(((AG487/Y487-1)*100)&lt;-50,"NM",(AG487/Y487-1)*100)))</f>
        <v>-49.03846153846154</v>
      </c>
      <c r="AI487" s="122">
        <v>68</v>
      </c>
      <c r="AJ487" s="98">
        <f>IF(ISERROR((AI487/AA487-1)*100),"NA",IF(((AI487/AA487-1)*100)&gt;100,"NM",IF(((AI487/AA487-1)*100)&lt;-50,"NM",(AI487/AA487-1)*100)))</f>
        <v>6.25</v>
      </c>
      <c r="AK487" s="122">
        <v>58</v>
      </c>
      <c r="AL487" s="98">
        <f>IF(ISERROR((AK487/AC487-1)*100),"NA",IF(((AK487/AC487-1)*100)&gt;100,"NM",IF(((AK487/AC487-1)*100)&lt;-50,"NM",(AK487/AC487-1)*100)))</f>
        <v>26.086956521739136</v>
      </c>
      <c r="AM487" s="122">
        <v>78</v>
      </c>
      <c r="AN487" s="98">
        <f>IF(ISERROR((AM487/AE487-1)*100),"NA",IF(((AM487/AE487-1)*100)&gt;100,"NM",IF(((AM487/AE487-1)*100)&lt;-50,"NM",(AM487/AE487-1)*100)))</f>
        <v>41.81818181818182</v>
      </c>
      <c r="AO487" s="122">
        <v>111</v>
      </c>
      <c r="AP487" s="98" t="str">
        <f>IF(ISERROR((AO487/AG487-1)*100),"NA",IF(((AO487/AG487-1)*100)&gt;100,"NM",IF(((AO487/AG487-1)*100)&lt;-50,"NM",(AO487/AG487-1)*100)))</f>
        <v>NM</v>
      </c>
      <c r="AQ487" s="122">
        <v>96</v>
      </c>
      <c r="AR487" s="98">
        <f>IF(ISERROR((AQ487/AI487-1)*100),"NA",IF(((AQ487/AI487-1)*100)&gt;100,"NM",IF(((AQ487/AI487-1)*100)&lt;-50,"NM",(AQ487/AI487-1)*100)))</f>
        <v>41.176470588235304</v>
      </c>
      <c r="AS487" s="122">
        <v>113</v>
      </c>
      <c r="AT487" s="98">
        <f>IF(ISERROR((AS487/AK487-1)*100),"NA",IF(((AS487/AK487-1)*100)&gt;100,"NM",IF(((AS487/AK487-1)*100)&lt;-50,"NM",(AS487/AK487-1)*100)))</f>
        <v>94.827586206896555</v>
      </c>
      <c r="AU487" s="122">
        <v>178</v>
      </c>
      <c r="AV487" s="98" t="str">
        <f>IF(ISERROR((AU487/AM487-1)*100),"NA",IF(((AU487/AM487-1)*100)&gt;100,"NM",IF(((AU487/AM487-1)*100)&lt;-50,"NM",(AU487/AM487-1)*100)))</f>
        <v>NM</v>
      </c>
      <c r="AW487" s="122">
        <v>152</v>
      </c>
      <c r="AX487" s="98">
        <f>IF(ISERROR((AW487/AO487-1)*100),"NA",IF(((AW487/AO487-1)*100)&gt;100,"NM",IF(((AW487/AO487-1)*100)&lt;-50,"NM",(AW487/AO487-1)*100)))</f>
        <v>36.936936936936938</v>
      </c>
      <c r="AY487" s="122">
        <v>173</v>
      </c>
      <c r="AZ487" s="98">
        <f>IF(ISERROR((AY487/AQ487-1)*100),"NA",IF(((AY487/AQ487-1)*100)&gt;100,"NM",IF(((AY487/AQ487-1)*100)&lt;-50,"NM",(AY487/AQ487-1)*100)))</f>
        <v>80.208333333333329</v>
      </c>
      <c r="BA487" s="122">
        <v>125</v>
      </c>
      <c r="BB487" s="98">
        <f>IF(ISERROR((BA487/AS487-1)*100),"NA",IF(((BA487/AS487-1)*100)&gt;100,"NM",IF(((BA487/AS487-1)*100)&lt;-50,"NM",(BA487/AS487-1)*100)))</f>
        <v>10.619469026548668</v>
      </c>
      <c r="BC487" s="122">
        <v>138</v>
      </c>
      <c r="BD487" s="98">
        <f>IF(ISERROR((BC487/AU487-1)*100),"NA",IF(((BC487/AU487-1)*100)&gt;100,"NM",IF(((BC487/AU487-1)*100)&lt;-50,"NM",(BC487/AU487-1)*100)))</f>
        <v>-22.471910112359549</v>
      </c>
      <c r="BE487" s="122">
        <v>167</v>
      </c>
      <c r="BF487" s="98">
        <f>IF(ISERROR((BE487/AW487-1)*100),"NA",IF(((BE487/AW487-1)*100)&gt;100,"NM",IF(((BE487/AW487-1)*100)&lt;-50,"NM",(BE487/AW487-1)*100)))</f>
        <v>9.8684210526315717</v>
      </c>
      <c r="BG487" s="122">
        <v>159</v>
      </c>
      <c r="BH487" s="98">
        <f>IF(ISERROR((BG487/AY487-1)*100),"NA",IF(((BG487/AY487-1)*100)&gt;100,"NM",IF(((BG487/AY487-1)*100)&lt;-50,"NM",(BG487/AY487-1)*100)))</f>
        <v>-8.0924855491329435</v>
      </c>
      <c r="BI487" s="122">
        <v>151</v>
      </c>
      <c r="BJ487" s="98">
        <f>IF(ISERROR((BI487/BA487-1)*100),"NA",IF(((BI487/BA487-1)*100)&gt;100,"NM",IF(((BI487/BA487-1)*100)&lt;-50,"NM",(BI487/BA487-1)*100)))</f>
        <v>20.799999999999997</v>
      </c>
      <c r="BK487" s="122">
        <v>139</v>
      </c>
      <c r="BL487" s="98">
        <f>IF(ISERROR((BK487/BC487-1)*100),"NA",IF(((BK487/BC487-1)*100)&gt;100,"NM",IF(((BK487/BC487-1)*100)&lt;-50,"NM",(BK487/BC487-1)*100)))</f>
        <v>0.72463768115942351</v>
      </c>
      <c r="BM487" s="122">
        <v>157</v>
      </c>
      <c r="BN487" s="98">
        <f>IF(ISERROR((BM487/BE487-1)*100),"NA",IF(((BM487/BE487-1)*100)&gt;100,"NM",IF(((BM487/BE487-1)*100)&lt;-50,"NM",(BM487/BE487-1)*100)))</f>
        <v>-5.9880239520958112</v>
      </c>
      <c r="BO487" s="122">
        <v>123</v>
      </c>
      <c r="BP487" s="98">
        <f>IF(ISERROR((BO487/BG487-1)*100),"NA",IF(((BO487/BG487-1)*100)&gt;100,"NM",IF(((BO487/BG487-1)*100)&lt;-50,"NM",(BO487/BG487-1)*100)))</f>
        <v>-22.641509433962259</v>
      </c>
      <c r="BQ487" s="122">
        <v>169</v>
      </c>
      <c r="BR487" s="98">
        <f>IF(ISERROR((BQ487/BI487-1)*100),"NA",IF(((BQ487/BI487-1)*100)&gt;100,"NM",IF(((BQ487/BI487-1)*100)&lt;-50,"NM",(BQ487/BI487-1)*100)))</f>
        <v>11.920529801324498</v>
      </c>
      <c r="BS487" s="122">
        <v>130</v>
      </c>
      <c r="BT487" s="98">
        <f>IF(ISERROR((BS487/BK487-1)*100),"NA",IF(((BS487/BK487-1)*100)&gt;100,"NM",IF(((BS487/BK487-1)*100)&lt;-50,"NM",(BS487/BK487-1)*100)))</f>
        <v>-6.4748201438848962</v>
      </c>
      <c r="BU487" s="122">
        <v>271</v>
      </c>
      <c r="BV487" s="98">
        <f>IF(ISERROR((BU487/BM487-1)*100),"NA",IF(((BU487/BM487-1)*100)&gt;100,"NM",IF(((BU487/BM487-1)*100)&lt;-50,"NM",(BU487/BM487-1)*100)))</f>
        <v>72.611464968152873</v>
      </c>
      <c r="BW487" s="122">
        <v>325</v>
      </c>
      <c r="BX487" s="98" t="str">
        <f>IF(ISERROR((BW487/BO487-1)*100),"NA",IF(((BW487/BO487-1)*100)&gt;100,"NM",IF(((BW487/BO487-1)*100)&lt;-50,"NM",(BW487/BO487-1)*100)))</f>
        <v>NM</v>
      </c>
      <c r="BY487" s="122">
        <v>353</v>
      </c>
      <c r="BZ487" s="98" t="str">
        <f>IF(ISERROR((BY487/BQ487-1)*100),"NA",IF(((BY487/BQ487-1)*100)&gt;100,"NM",IF(((BY487/BQ487-1)*100)&lt;-50,"NM",(BY487/BQ487-1)*100)))</f>
        <v>NM</v>
      </c>
      <c r="CA487" s="122">
        <v>424</v>
      </c>
      <c r="CB487" s="98" t="str">
        <f>IF(ISERROR((CA487/BS487-1)*100),"NA",IF(((CA487/BS487-1)*100)&gt;100,"NM",IF(((CA487/BS487-1)*100)&lt;-50,"NM",(CA487/BS487-1)*100)))</f>
        <v>NM</v>
      </c>
      <c r="CC487" s="122">
        <v>440</v>
      </c>
      <c r="CD487" s="98">
        <f>IF(ISERROR((CC487/BU487-1)*100),"NA",IF(((CC487/BU487-1)*100)&gt;100,"NM",IF(((CC487/BU487-1)*100)&lt;-50,"NM",(CC487/BU487-1)*100)))</f>
        <v>62.361623616236159</v>
      </c>
      <c r="CE487" s="122">
        <v>407</v>
      </c>
      <c r="CF487" s="98">
        <f>IF(ISERROR((CE487/BW487-1)*100),"NA",IF(((CE487/BW487-1)*100)&gt;100,"NM",IF(((CE487/BW487-1)*100)&lt;-50,"NM",(CE487/BW487-1)*100)))</f>
        <v>25.230769230769234</v>
      </c>
      <c r="CG487" s="122">
        <v>422</v>
      </c>
      <c r="CH487" s="98">
        <f>IF(ISERROR((CG487/BY487-1)*100),"NA",IF(((CG487/BY487-1)*100)&gt;100,"NM",IF(((CG487/BY487-1)*100)&lt;-50,"NM",(CG487/BY487-1)*100)))</f>
        <v>19.546742209631731</v>
      </c>
      <c r="CI487" s="122">
        <v>378</v>
      </c>
      <c r="CJ487" s="98">
        <f>IF(ISERROR((CI487/CA487-1)*100),"NA",IF(((CI487/CA487-1)*100)&gt;100,"NM",IF(((CI487/CA487-1)*100)&lt;-50,"NM",(CI487/CA487-1)*100)))</f>
        <v>-10.849056603773588</v>
      </c>
      <c r="CK487" s="122">
        <v>280</v>
      </c>
      <c r="CL487" s="98">
        <f>IF(ISERROR((CK487/CC487-1)*100),"NA",IF(((CK487/CC487-1)*100)&gt;100,"NM",IF(((CK487/CC487-1)*100)&lt;-50,"NM",(CK487/CC487-1)*100)))</f>
        <v>-36.363636363636367</v>
      </c>
      <c r="CM487" s="122">
        <v>176</v>
      </c>
      <c r="CN487" s="98" t="str">
        <f>IF(ISERROR((CM487/CE487-1)*100),"NA",IF(((CM487/CE487-1)*100)&gt;100,"NM",IF(((CM487/CE487-1)*100)&lt;-50,"NM",(CM487/CE487-1)*100)))</f>
        <v>NM</v>
      </c>
      <c r="CO487" s="122">
        <v>248</v>
      </c>
      <c r="CP487" s="98">
        <f>IF(ISERROR((CO487/CG487-1)*100),"NA",IF(((CO487/CG487-1)*100)&gt;100,"NM",IF(((CO487/CG487-1)*100)&lt;-50,"NM",(CO487/CG487-1)*100)))</f>
        <v>-41.232227488151665</v>
      </c>
      <c r="CQ487" s="547">
        <v>413</v>
      </c>
      <c r="CR487" s="98">
        <f>IF(ISERROR((CQ487/CI487-1)*100),"NA",IF(((CQ487/CI487-1)*100)&gt;100,"NM",IF(((CQ487/CI487-1)*100)&lt;-50,"NM",(CQ487/CI487-1)*100)))</f>
        <v>9.259259259259256</v>
      </c>
      <c r="CS487" s="122">
        <v>316</v>
      </c>
      <c r="CT487" s="98">
        <f>IF(ISERROR((CS487/CK487-1)*100),"NA",IF(((CS487/CK487-1)*100)&gt;100,"NM",IF(((CS487/CK487-1)*100)&lt;-50,"NM",(CS487/CK487-1)*100)))</f>
        <v>12.857142857142856</v>
      </c>
      <c r="CU487" s="122">
        <v>288</v>
      </c>
      <c r="CV487" s="98">
        <f>IF(ISERROR((CU487/CM487-1)*100),"NA",IF(((CU487/CM487-1)*100)&gt;100,"NM",IF(((CU487/CM487-1)*100)&lt;-50,"NM",(CU487/CM487-1)*100)))</f>
        <v>63.636363636363647</v>
      </c>
      <c r="CW487" s="122">
        <v>232</v>
      </c>
      <c r="CX487" s="98">
        <f>IF(ISERROR((CW487/CO487-1)*100),"NA",IF(((CW487/CO487-1)*100)&gt;100,"NM",IF(((CW487/CO487-1)*100)&lt;-50,"NM",(CW487/CO487-1)*100)))</f>
        <v>-6.4516129032258114</v>
      </c>
      <c r="CY487" s="122">
        <v>249</v>
      </c>
      <c r="CZ487" s="98">
        <f>IF(ISERROR((CY487/CQ487-1)*100),"NA",IF(((CY487/CQ487-1)*100)&gt;100,"NM",IF(((CY487/CQ487-1)*100)&lt;-50,"NM",(CY487/CQ487-1)*100)))</f>
        <v>-39.709443099273614</v>
      </c>
      <c r="DA487" s="122">
        <v>185</v>
      </c>
      <c r="DB487" s="98">
        <f>IF(ISERROR((DA487/CS487-1)*100),"NA",IF(((DA487/CS487-1)*100)&gt;100,"NM",IF(((DA487/CS487-1)*100)&lt;-50,"NM",(DA487/CS487-1)*100)))</f>
        <v>-41.455696202531641</v>
      </c>
      <c r="DC487" s="122">
        <v>227</v>
      </c>
      <c r="DD487" s="98">
        <f>IF(ISERROR((DC487/CU487-1)*100),"NA",IF(((DC487/CU487-1)*100)&gt;100,"NM",IF(((DC487/CU487-1)*100)&lt;-50,"NM",(DC487/CU487-1)*100)))</f>
        <v>-21.180555555555557</v>
      </c>
      <c r="DE487" s="122">
        <v>219</v>
      </c>
      <c r="DF487" s="98">
        <f>IF(ISERROR((DE487/CW487-1)*100),"NA",IF(((DE487/CW487-1)*100)&gt;100,"NM",IF(((DE487/CW487-1)*100)&lt;-50,"NM",(DE487/CW487-1)*100)))</f>
        <v>-5.6034482758620658</v>
      </c>
      <c r="DG487" s="122">
        <v>263</v>
      </c>
      <c r="DH487" s="98">
        <f>IF(ISERROR((DG487/CY487-1)*100),"NA",IF(((DG487/CY487-1)*100)&gt;100,"NM",IF(((DG487/CY487-1)*100)&lt;-50,"NM",(DG487/CY487-1)*100)))</f>
        <v>5.6224899598393607</v>
      </c>
      <c r="DI487" s="122">
        <v>324</v>
      </c>
      <c r="DJ487" s="98">
        <f>IF(ISERROR((DI487/DA487-1)*100),"NA",IF(((DI487/DA487-1)*100)&gt;100,"NM",IF(((DI487/DA487-1)*100)&lt;-50,"NM",(DI487/DA487-1)*100)))</f>
        <v>75.135135135135144</v>
      </c>
      <c r="DK487" s="122">
        <v>375</v>
      </c>
      <c r="DL487" s="98">
        <f>IF(ISERROR((DK487/DC487-1)*100),"NA",IF(((DK487/DC487-1)*100)&gt;100,"NM",IF(((DK487/DC487-1)*100)&lt;-50,"NM",(DK487/DC487-1)*100)))</f>
        <v>65.198237885462547</v>
      </c>
      <c r="DM487" s="122">
        <v>447</v>
      </c>
      <c r="DN487" s="98" t="str">
        <f>IF(ISERROR((DM487/DE487-1)*100),"NA",IF(((DM487/DE487-1)*100)&gt;100,"NM",IF(((DM487/DE487-1)*100)&lt;-50,"NM",(DM487/DE487-1)*100)))</f>
        <v>NM</v>
      </c>
      <c r="DO487" s="122">
        <v>581</v>
      </c>
      <c r="DP487" s="98" t="str">
        <f>IF(ISERROR((DO487/DG487-1)*100),"NA",IF(((DO487/DG487-1)*100)&gt;100,"NM",IF(((DO487/DG487-1)*100)&lt;-50,"NM",(DO487/DG487-1)*100)))</f>
        <v>NM</v>
      </c>
      <c r="DQ487" s="122">
        <v>396</v>
      </c>
      <c r="DR487" s="98">
        <f>IF(ISERROR((DQ487/DI487-1)*100),"NA",IF(((DQ487/DI487-1)*100)&gt;100,"NM",IF(((DQ487/DI487-1)*100)&lt;-50,"NM",(DQ487/DI487-1)*100)))</f>
        <v>22.222222222222232</v>
      </c>
      <c r="DS487" s="122">
        <v>1821</v>
      </c>
      <c r="DT487" s="98" t="str">
        <f>IF(ISERROR((DS487/DK487-1)*100),"NA",IF(((DS487/DK487-1)*100)&gt;100,"NM",IF(((DS487/DK487-1)*100)&lt;-50,"NM",(DS487/DK487-1)*100)))</f>
        <v>NM</v>
      </c>
      <c r="DU487" s="122">
        <v>1773</v>
      </c>
      <c r="DV487" s="98" t="str">
        <f>IF(ISERROR((DU487/DM487-1)*100),"NA",IF(((DU487/DM487-1)*100)&gt;100,"NM",IF(((DU487/DM487-1)*100)&lt;-50,"NM",(DU487/DM487-1)*100)))</f>
        <v>NM</v>
      </c>
      <c r="DW487" s="122">
        <v>1885</v>
      </c>
      <c r="DX487" s="98" t="str">
        <f>IF(ISERROR((DW487/DO487-1)*100),"NA",IF(((DW487/DO487-1)*100)&gt;100,"NM",IF(((DW487/DO487-1)*100)&lt;-50,"NM",(DW487/DO487-1)*100)))</f>
        <v>NM</v>
      </c>
      <c r="DY487" s="122">
        <v>1878</v>
      </c>
      <c r="DZ487" s="98" t="str">
        <f>IF(ISERROR((DY487/DQ487-1)*100),"NA",IF(((DY487/DQ487-1)*100)&gt;100,"NM",IF(((DY487/DQ487-1)*100)&lt;-50,"NM",(DY487/DQ487-1)*100)))</f>
        <v>NM</v>
      </c>
      <c r="EA487" s="122">
        <v>1823</v>
      </c>
      <c r="EB487" s="98">
        <f>IF(ISERROR((EA487/DS487-1)*100),"NA",IF(((EA487/DS487-1)*100)&gt;100,"NM",IF(((EA487/DS487-1)*100)&lt;-50,"NM",(EA487/DS487-1)*100)))</f>
        <v>0.10982976386599841</v>
      </c>
      <c r="EC487" s="122">
        <v>1927</v>
      </c>
      <c r="ED487" s="98">
        <f>IF(ISERROR((EC487/DU487-1)*100),"NA",IF(((EC487/DU487-1)*100)&gt;100,"NM",IF(((EC487/DU487-1)*100)&lt;-50,"NM",(EC487/DU487-1)*100)))</f>
        <v>8.6858432036097</v>
      </c>
      <c r="EE487" s="122">
        <v>1853</v>
      </c>
      <c r="EF487" s="860">
        <f>IF(ISERROR((EE487/DW487-1)*100),"NA",IF(((EE487/DW487-1)*100)&gt;100,"NM",IF(((EE487/DW487-1)*100)&lt;-50,"NM",(EE487/DW487-1)*100)))</f>
        <v>-1.6976127320954881</v>
      </c>
      <c r="EG487" s="122">
        <v>1928</v>
      </c>
      <c r="EH487" s="860">
        <f>IF(ISERROR((EG487/DY487-1)*100),"NA",IF(((EG487/DY487-1)*100)&gt;100,"NM",IF(((EG487/DY487-1)*100)&lt;-50,"NM",(EG487/DY487-1)*100)))</f>
        <v>2.6624068157614422</v>
      </c>
      <c r="EI487" s="122">
        <v>1733</v>
      </c>
      <c r="EJ487" s="860">
        <f t="shared" ref="EJ487:EJ492" si="2980">IF(ISERROR((EI487/EA487-1)*100),"NA",IF(((EI487/EA487-1)*100)&gt;100,"NM",IF(((EI487/EA487-1)*100)&lt;-50,"NM",(EI487/EA487-1)*100)))</f>
        <v>-4.9369171695008207</v>
      </c>
      <c r="EK487" s="122">
        <v>1717</v>
      </c>
      <c r="EL487" s="860">
        <f t="shared" ref="EL487:EL492" si="2981">IF(ISERROR((EK487/EC487-1)*100),"NA",IF(((EK487/EC487-1)*100)&gt;100,"NM",IF(((EK487/EC487-1)*100)&lt;-50,"NM",(EK487/EC487-1)*100)))</f>
        <v>-10.897768552153607</v>
      </c>
      <c r="EM487" s="122">
        <v>1732</v>
      </c>
      <c r="EN487" s="860">
        <f t="shared" ref="EN487:EN492" si="2982">IF(ISERROR((EM487/EE487-1)*100),"NA",IF(((EM487/EE487-1)*100)&gt;100,"NM",IF(((EM487/EE487-1)*100)&lt;-50,"NM",(EM487/EE487-1)*100)))</f>
        <v>-6.5299514301133339</v>
      </c>
      <c r="EO487" s="122">
        <f>1818</f>
        <v>1818</v>
      </c>
      <c r="EP487" s="98">
        <f t="shared" ref="EP487:EP492" si="2983">IF(ISERROR((EO487/EG487-1)*100),"NA",IF(((EO487/EG487-1)*100)&gt;100,"NM",IF(((EO487/EG487-1)*100)&lt;-50,"NM",(EO487/EG487-1)*100)))</f>
        <v>-5.7053941908713712</v>
      </c>
      <c r="EQ487" s="1024">
        <f>EQ476*(EQ495/100)</f>
        <v>1753.7529034573079</v>
      </c>
      <c r="ER487" s="98">
        <f t="shared" ref="ER487:ER489" si="2984">IF(ISERROR((EQ487/EI487-1)*100),"NA",IF(((EQ487/EI487-1)*100)&gt;100,"NM",IF(((EQ487/EI487-1)*100)&lt;-50,"NM",(EQ487/EI487-1)*100)))</f>
        <v>1.1975131827644425</v>
      </c>
      <c r="ES487" s="1024">
        <f t="shared" ref="ES487" si="2985">ES476*(ES495/100)</f>
        <v>1734.0373807522055</v>
      </c>
      <c r="ET487" s="98">
        <f t="shared" ref="ET487:ET489" si="2986">IF(ISERROR((ES487/EK487-1)*100),"NA",IF(((ES487/EK487-1)*100)&gt;100,"NM",IF(((ES487/EK487-1)*100)&lt;-50,"NM",(ES487/EK487-1)*100)))</f>
        <v>0.99227610670968858</v>
      </c>
      <c r="EU487" s="1024">
        <f t="shared" ref="EU487" si="2987">EU476*(EU495/100)</f>
        <v>1722.3312956421357</v>
      </c>
      <c r="EV487" s="98">
        <f t="shared" ref="EV487:EV489" si="2988">IF(ISERROR((EU487/EM487-1)*100),"NA",IF(((EU487/EM487-1)*100)&gt;100,"NM",IF(((EU487/EM487-1)*100)&lt;-50,"NM",(EU487/EM487-1)*100)))</f>
        <v>-0.55823928163188929</v>
      </c>
      <c r="EW487" s="1024">
        <f t="shared" ref="EW487" si="2989">EW476*(EW495/100)</f>
        <v>1708.0015664257667</v>
      </c>
      <c r="EX487" s="98">
        <f t="shared" ref="EX487:EX489" si="2990">IF(ISERROR((EW487/EO487-1)*100),"NA",IF(((EW487/EO487-1)*100)&gt;100,"NM",IF(((EW487/EO487-1)*100)&lt;-50,"NM",(EW487/EO487-1)*100)))</f>
        <v>-6.0505188984726788</v>
      </c>
      <c r="EY487" s="176"/>
      <c r="EZ487" s="594"/>
      <c r="FA487" s="405"/>
      <c r="FB487" s="177">
        <v>242</v>
      </c>
      <c r="FC487" s="98"/>
      <c r="FD487" s="122">
        <v>176</v>
      </c>
      <c r="FE487" s="98">
        <f>IF(ISERROR((FD487/FB487-1)*100),"NA",IF(((FD487/FB487-1)*100)&gt;100,"NM",IF(((FD487/FB487-1)*100)&lt;-50,"NM",(FD487/FB487-1)*100)))</f>
        <v>-27.27272727272727</v>
      </c>
      <c r="FF487" s="118">
        <f>C487+E487+G487+I487</f>
        <v>195</v>
      </c>
      <c r="FG487" s="98">
        <f>IF(ISERROR((FF487/FD487-1)*100),"NA",IF(((FF487/FD487-1)*100)&gt;100,"NM",IF(((FF487/FD487-1)*100)&lt;-50,"NM",(FF487/FD487-1)*100)))</f>
        <v>10.795454545454541</v>
      </c>
      <c r="FH487" s="118">
        <f>K487+M487+O487+Q487</f>
        <v>182</v>
      </c>
      <c r="FI487" s="98">
        <f>IF(ISERROR((FH487/FF487-1)*100),"NA",IF(((FH487/FF487-1)*100)&gt;100,"NM",IF(((FH487/FF487-1)*100)&lt;-50,"NM",(FH487/FF487-1)*100)))</f>
        <v>-6.6666666666666652</v>
      </c>
      <c r="FJ487" s="118">
        <f>S487+U487+W487+Y487</f>
        <v>288</v>
      </c>
      <c r="FK487" s="98">
        <f>IF(ISERROR((FJ487/FH487-1)*100),"NA",IF(((FJ487/FH487-1)*100)&gt;100,"NM",IF(((FJ487/FH487-1)*100)&lt;-50,"NM",(FJ487/FH487-1)*100)))</f>
        <v>58.241758241758234</v>
      </c>
      <c r="FL487" s="118">
        <f>AA487+AC487+AE487+AG487</f>
        <v>218</v>
      </c>
      <c r="FM487" s="98">
        <f>IF(ISERROR((FL487/FJ487-1)*100),"NA",IF(((FL487/FJ487-1)*100)&gt;100,"NM",IF(((FL487/FJ487-1)*100)&lt;-50,"NM",(FL487/FJ487-1)*100)))</f>
        <v>-24.305555555555557</v>
      </c>
      <c r="FN487" s="118">
        <f>AI487+AK487+AM487+AO487</f>
        <v>315</v>
      </c>
      <c r="FO487" s="98">
        <f>IF(ISERROR((FN487/FL487-1)*100),"NA",IF(((FN487/FL487-1)*100)&gt;100,"NM",IF(((FN487/FL487-1)*100)&lt;-50,"NM",(FN487/FL487-1)*100)))</f>
        <v>44.495412844036707</v>
      </c>
      <c r="FP487" s="118">
        <f>AQ487+AS487+AU487+AW487</f>
        <v>539</v>
      </c>
      <c r="FQ487" s="98">
        <f>IF(ISERROR((FP487/FN487-1)*100),"NA",IF(((FP487/FN487-1)*100)&gt;100,"NM",IF(((FP487/FN487-1)*100)&lt;-50,"NM",(FP487/FN487-1)*100)))</f>
        <v>71.1111111111111</v>
      </c>
      <c r="FR487" s="176">
        <f>AY487+BA487+BC487+BE487</f>
        <v>603</v>
      </c>
      <c r="FS487" s="120">
        <f>IF(ISERROR((FR487/FP487-1)*100),"NA",IF(((FR487/FP487-1)*100)&gt;100,"NM",IF(((FR487/FP487-1)*100)&lt;-50,"NM",(FR487/FP487-1)*100)))</f>
        <v>11.873840445269025</v>
      </c>
      <c r="FT487" s="176">
        <f>BG487+BI487+BK487+BM487</f>
        <v>606</v>
      </c>
      <c r="FU487" s="120">
        <f>IF(ISERROR((FT487/FR487-1)*100),"NA",IF(((FT487/FR487-1)*100)&gt;100,"NM",IF(((FT487/FR487-1)*100)&lt;-50,"NM",(FT487/FR487-1)*100)))</f>
        <v>0.49751243781095411</v>
      </c>
      <c r="FV487" s="177">
        <v>692</v>
      </c>
      <c r="FW487" s="98">
        <f>IF(ISERROR((FV487/FT487-1)*100),"NA",IF(((FV487/FT487-1)*100)&gt;100,"NM",IF(((FV487/FT487-1)*100)&lt;-50,"NM",(FV487/FT487-1)*100)))</f>
        <v>14.191419141914196</v>
      </c>
      <c r="FX487" s="485">
        <f>BW487+BY487+CA487+CC487</f>
        <v>1542</v>
      </c>
      <c r="FY487" s="98" t="str">
        <f>IF(ISERROR((FX487/FV487-1)*100),"NA",IF(((FX487/FV487-1)*100)&gt;100,"NM",IF(((FX487/FV487-1)*100)&lt;-50,"NM",(FX487/FV487-1)*100)))</f>
        <v>NM</v>
      </c>
      <c r="FZ487" s="119">
        <f>CE487+CG487+CI487+CK487</f>
        <v>1487</v>
      </c>
      <c r="GA487" s="98">
        <f>IF(ISERROR((FZ487/FX487-1)*100),"NA",IF(((FZ487/FX487-1)*100)&gt;100,"NM",IF(((FZ487/FX487-1)*100)&lt;-50,"NM",(FZ487/FX487-1)*100)))</f>
        <v>-3.566796368352787</v>
      </c>
      <c r="GB487" s="485">
        <f>CM487+CO487+CQ487+CS487</f>
        <v>1153</v>
      </c>
      <c r="GC487" s="98">
        <f>IF(ISERROR((GB487/FZ487-1)*100),"NA",IF(((GB487/FZ487-1)*100)&gt;100,"NM",IF(((GB487/FZ487-1)*100)&lt;-50,"NM",(GB487/FZ487-1)*100)))</f>
        <v>-22.46133154001345</v>
      </c>
      <c r="GD487" s="119">
        <f>CU487+CW487+CY487+DA487</f>
        <v>954</v>
      </c>
      <c r="GE487" s="98">
        <f>IF(ISERROR((GD487/GB487-1)*100),"NA",IF(((GD487/GB487-1)*100)&gt;100,"NM",IF(((GD487/GB487-1)*100)&lt;-50,"NM",(GD487/GB487-1)*100)))</f>
        <v>-17.259323503902856</v>
      </c>
      <c r="GF487" s="119">
        <f>DC487+DE487+DG487+DI487</f>
        <v>1033</v>
      </c>
      <c r="GG487" s="98">
        <f>IF(ISERROR((GF487/GD487-1)*100),"NA",IF(((GF487/GD487-1)*100)&gt;100,"NM",IF(((GF487/GD487-1)*100)&lt;-50,"NM",(GF487/GD487-1)*100)))</f>
        <v>8.2809224318658217</v>
      </c>
      <c r="GH487" s="119">
        <f>DK487+DM487+DO487+DQ487</f>
        <v>1799</v>
      </c>
      <c r="GI487" s="98">
        <f>IF(ISERROR((GH487/GF487-1)*100),"NA",IF(((GH487/GF487-1)*100)&gt;100,"NM",IF(((GH487/GF487-1)*100)&lt;-50,"NM",(GH487/GF487-1)*100)))</f>
        <v>74.152952565343668</v>
      </c>
      <c r="GJ487" s="119">
        <f>DS487+DU487+DW487+DY487</f>
        <v>7357</v>
      </c>
      <c r="GK487" s="98" t="str">
        <f>IF(ISERROR((GJ487/GH487-1)*100),"NA",IF(((GJ487/GH487-1)*100)&gt;100,"NM",IF(((GJ487/GH487-1)*100)&lt;-50,"NM",(GJ487/GH487-1)*100)))</f>
        <v>NM</v>
      </c>
      <c r="GL487" s="119">
        <f>EA487+EC487+EE487+EG487</f>
        <v>7531</v>
      </c>
      <c r="GM487" s="98">
        <f>IF(ISERROR((GL487/GJ487-1)*100),"NA",IF(((GL487/GJ487-1)*100)&gt;100,"NM",IF(((GL487/GJ487-1)*100)&lt;-50,"NM",(GL487/GJ487-1)*100)))</f>
        <v>2.3650944678537345</v>
      </c>
      <c r="GN487" s="119">
        <f>EI487+EK487+EM487+EO487</f>
        <v>7000</v>
      </c>
      <c r="GO487" s="98">
        <f>IF(ISERROR((GN487/GL487-1)*100),"NA",IF(((GN487/GL487-1)*100)&gt;100,"NM",IF(((GN487/GL487-1)*100)&lt;-50,"NM",(GN487/GL487-1)*100)))</f>
        <v>-7.0508564599654715</v>
      </c>
      <c r="GP487" s="119">
        <f>EQ487+ES487+EU487+EW487</f>
        <v>6918.1231462774158</v>
      </c>
      <c r="GQ487" s="98">
        <f>IF(ISERROR((GP487/GN487-1)*100),"NA",IF(((GP487/GN487-1)*100)&gt;100,"NM",IF(((GP487/GN487-1)*100)&lt;-50,"NM",(GP487/GN487-1)*100)))</f>
        <v>-1.1696693388940638</v>
      </c>
      <c r="GR487" s="176">
        <f>GR476*(GR495/100)</f>
        <v>6666.8101324998961</v>
      </c>
      <c r="GS487" s="98">
        <f>IF(ISERROR((GR487/GP487-1)*100),"NA",IF(((GR487/GP487-1)*100)&gt;100,"NM",IF(((GR487/GP487-1)*100)&lt;-50,"NM",(GR487/GP487-1)*100)))</f>
        <v>-3.6326762109279431</v>
      </c>
      <c r="GT487" s="176">
        <f>GT476*(GT495/100)</f>
        <v>6331.7128642386151</v>
      </c>
      <c r="GU487" s="98">
        <f>IF(ISERROR((GT487/GR487-1)*100),"NA",IF(((GT487/GR487-1)*100)&gt;100,"NM",IF(((GT487/GR487-1)*100)&lt;-50,"NM",(GT487/GR487-1)*100)))</f>
        <v>-5.0263508574771354</v>
      </c>
      <c r="GV487" s="176">
        <f>GV476*(GV495/100)</f>
        <v>5939.7236749714721</v>
      </c>
      <c r="GW487" s="98">
        <f>IF(ISERROR((GV487/GT487-1)*100),"NA",IF(((GV487/GT487-1)*100)&gt;100,"NM",IF(((GV487/GT487-1)*100)&lt;-50,"NM",(GV487/GT487-1)*100)))</f>
        <v>-6.1908870107027392</v>
      </c>
      <c r="GX487" s="176">
        <f>GX476*(GX495/100)</f>
        <v>5526.2387466120335</v>
      </c>
      <c r="GY487" s="98">
        <f>IF(ISERROR((GX487/GV487-1)*100),"NA",IF(((GX487/GV487-1)*100)&gt;100,"NM",IF(((GX487/GV487-1)*100)&lt;-50,"NM",(GX487/GV487-1)*100)))</f>
        <v>-6.9613495675188037</v>
      </c>
      <c r="GZ487" s="98">
        <f>IF(ISERROR(((GX487/GN487)^0.2-1)*100),"NA",IF((((GX487/GN487)^0.2-1)*100)&gt;100,"NM",IF((((GX487/GN487)^0.2-1)*100)&lt;-50,"NM",((GX487/GN487)^0.2-1)*100)))</f>
        <v>-4.6180228219368402</v>
      </c>
      <c r="HA487" s="98"/>
      <c r="HB487" s="10"/>
      <c r="HC487"/>
      <c r="HD487"/>
      <c r="HE487"/>
      <c r="HF487"/>
      <c r="HG487"/>
      <c r="HH487"/>
      <c r="HI487" s="10"/>
    </row>
    <row r="488" spans="1:217" s="2" customFormat="1" ht="12.75" customHeight="1" x14ac:dyDescent="0.2">
      <c r="A488" s="2" t="s">
        <v>217</v>
      </c>
      <c r="B488" s="179" t="s">
        <v>356</v>
      </c>
      <c r="C488" s="122">
        <v>206</v>
      </c>
      <c r="D488" s="98"/>
      <c r="E488" s="122">
        <v>190</v>
      </c>
      <c r="F488" s="98"/>
      <c r="G488" s="122">
        <v>213</v>
      </c>
      <c r="H488" s="98"/>
      <c r="I488" s="122">
        <v>266</v>
      </c>
      <c r="J488" s="98"/>
      <c r="K488" s="122">
        <v>199</v>
      </c>
      <c r="L488" s="98">
        <f>IF(ISERROR((K488/C488-1)*100),"NA",IF(((K488/C488-1)*100)&gt;100,"NM",IF(((K488/C488-1)*100)&lt;-50,"NM",(K488/C488-1)*100)))</f>
        <v>-3.398058252427183</v>
      </c>
      <c r="M488" s="122">
        <v>217</v>
      </c>
      <c r="N488" s="98">
        <f>IF(ISERROR((M488/E488-1)*100),"NA",IF(((M488/E488-1)*100)&gt;100,"NM",IF(((M488/E488-1)*100)&lt;-50,"NM",(M488/E488-1)*100)))</f>
        <v>14.210526315789473</v>
      </c>
      <c r="O488" s="122">
        <v>222</v>
      </c>
      <c r="P488" s="98">
        <f>IF(ISERROR((O488/G488-1)*100),"NA",IF(((O488/G488-1)*100)&gt;100,"NM",IF(((O488/G488-1)*100)&lt;-50,"NM",(O488/G488-1)*100)))</f>
        <v>4.2253521126760507</v>
      </c>
      <c r="Q488" s="122">
        <f>272-22/(40/62)</f>
        <v>237.9</v>
      </c>
      <c r="R488" s="98">
        <f>IF(ISERROR((Q488/I488-1)*100),"NA",IF(((Q488/I488-1)*100)&gt;100,"NM",IF(((Q488/I488-1)*100)&lt;-50,"NM",(Q488/I488-1)*100)))</f>
        <v>-10.563909774436087</v>
      </c>
      <c r="S488" s="122">
        <v>204</v>
      </c>
      <c r="T488" s="98">
        <f>IF(ISERROR((S488/K488-1)*100),"NA",IF(((S488/K488-1)*100)&gt;100,"NM",IF(((S488/K488-1)*100)&lt;-50,"NM",(S488/K488-1)*100)))</f>
        <v>2.5125628140703515</v>
      </c>
      <c r="U488" s="122">
        <v>188</v>
      </c>
      <c r="V488" s="98">
        <f>IF(ISERROR((U488/M488-1)*100),"NA",IF(((U488/M488-1)*100)&gt;100,"NM",IF(((U488/M488-1)*100)&lt;-50,"NM",(U488/M488-1)*100)))</f>
        <v>-13.364055299539167</v>
      </c>
      <c r="W488" s="122">
        <v>216</v>
      </c>
      <c r="X488" s="98">
        <f>IF(ISERROR((W488/O488-1)*100),"NA",IF(((W488/O488-1)*100)&gt;100,"NM",IF(((W488/O488-1)*100)&lt;-50,"NM",(W488/O488-1)*100)))</f>
        <v>-2.7027027027026973</v>
      </c>
      <c r="Y488" s="122">
        <v>228</v>
      </c>
      <c r="Z488" s="98">
        <f>IF(ISERROR((Y488/Q488-1)*100),"NA",IF(((Y488/Q488-1)*100)&gt;100,"NM",IF(((Y488/Q488-1)*100)&lt;-50,"NM",(Y488/Q488-1)*100)))</f>
        <v>-4.1614123581336759</v>
      </c>
      <c r="AA488" s="122">
        <v>234</v>
      </c>
      <c r="AB488" s="98">
        <f>IF(ISERROR((AA488/S488-1)*100),"NA",IF(((AA488/S488-1)*100)&gt;100,"NM",IF(((AA488/S488-1)*100)&lt;-50,"NM",(AA488/S488-1)*100)))</f>
        <v>14.705882352941169</v>
      </c>
      <c r="AC488" s="122">
        <v>274</v>
      </c>
      <c r="AD488" s="98">
        <f>IF(ISERROR((AC488/U488-1)*100),"NA",IF(((AC488/U488-1)*100)&gt;100,"NM",IF(((AC488/U488-1)*100)&lt;-50,"NM",(AC488/U488-1)*100)))</f>
        <v>45.744680851063826</v>
      </c>
      <c r="AE488" s="122">
        <v>261</v>
      </c>
      <c r="AF488" s="98">
        <f>IF(ISERROR((AE488/W488-1)*100),"NA",IF(((AE488/W488-1)*100)&gt;100,"NM",IF(((AE488/W488-1)*100)&lt;-50,"NM",(AE488/W488-1)*100)))</f>
        <v>20.833333333333325</v>
      </c>
      <c r="AG488" s="122">
        <v>281</v>
      </c>
      <c r="AH488" s="98">
        <f>IF(ISERROR((AG488/Y488-1)*100),"NA",IF(((AG488/Y488-1)*100)&gt;100,"NM",IF(((AG488/Y488-1)*100)&lt;-50,"NM",(AG488/Y488-1)*100)))</f>
        <v>23.245614035087712</v>
      </c>
      <c r="AI488" s="122">
        <v>299</v>
      </c>
      <c r="AJ488" s="98">
        <f>IF(ISERROR((AI488/AA488-1)*100),"NA",IF(((AI488/AA488-1)*100)&gt;100,"NM",IF(((AI488/AA488-1)*100)&lt;-50,"NM",(AI488/AA488-1)*100)))</f>
        <v>27.777777777777768</v>
      </c>
      <c r="AK488" s="122">
        <v>302</v>
      </c>
      <c r="AL488" s="98">
        <f>IF(ISERROR((AK488/AC488-1)*100),"NA",IF(((AK488/AC488-1)*100)&gt;100,"NM",IF(((AK488/AC488-1)*100)&lt;-50,"NM",(AK488/AC488-1)*100)))</f>
        <v>10.218978102189791</v>
      </c>
      <c r="AM488" s="122">
        <v>268</v>
      </c>
      <c r="AN488" s="98">
        <f>IF(ISERROR((AM488/AE488-1)*100),"NA",IF(((AM488/AE488-1)*100)&gt;100,"NM",IF(((AM488/AE488-1)*100)&lt;-50,"NM",(AM488/AE488-1)*100)))</f>
        <v>2.6819923371647514</v>
      </c>
      <c r="AO488" s="122">
        <v>281</v>
      </c>
      <c r="AP488" s="98">
        <f>IF(ISERROR((AO488/AG488-1)*100),"NA",IF(((AO488/AG488-1)*100)&gt;100,"NM",IF(((AO488/AG488-1)*100)&lt;-50,"NM",(AO488/AG488-1)*100)))</f>
        <v>0</v>
      </c>
      <c r="AQ488" s="122">
        <v>259</v>
      </c>
      <c r="AR488" s="98">
        <f>IF(ISERROR((AQ488/AI488-1)*100),"NA",IF(((AQ488/AI488-1)*100)&gt;100,"NM",IF(((AQ488/AI488-1)*100)&lt;-50,"NM",(AQ488/AI488-1)*100)))</f>
        <v>-13.377926421404684</v>
      </c>
      <c r="AS488" s="122">
        <v>292</v>
      </c>
      <c r="AT488" s="98">
        <f>IF(ISERROR((AS488/AK488-1)*100),"NA",IF(((AS488/AK488-1)*100)&gt;100,"NM",IF(((AS488/AK488-1)*100)&lt;-50,"NM",(AS488/AK488-1)*100)))</f>
        <v>-3.3112582781456901</v>
      </c>
      <c r="AU488" s="122">
        <f>427</f>
        <v>427</v>
      </c>
      <c r="AV488" s="98">
        <f>IF(ISERROR((AU488/AM488-1)*100),"NA",IF(((AU488/AM488-1)*100)&gt;100,"NM",IF(((AU488/AM488-1)*100)&lt;-50,"NM",(AU488/AM488-1)*100)))</f>
        <v>59.328358208955237</v>
      </c>
      <c r="AW488" s="122">
        <f>422</f>
        <v>422</v>
      </c>
      <c r="AX488" s="98">
        <f>IF(ISERROR((AW488/AO488-1)*100),"NA",IF(((AW488/AO488-1)*100)&gt;100,"NM",IF(((AW488/AO488-1)*100)&lt;-50,"NM",(AW488/AO488-1)*100)))</f>
        <v>50.177935943060504</v>
      </c>
      <c r="AY488" s="122">
        <f>400</f>
        <v>400</v>
      </c>
      <c r="AZ488" s="98">
        <f>IF(ISERROR((AY488/AQ488-1)*100),"NA",IF(((AY488/AQ488-1)*100)&gt;100,"NM",IF(((AY488/AQ488-1)*100)&lt;-50,"NM",(AY488/AQ488-1)*100)))</f>
        <v>54.440154440154444</v>
      </c>
      <c r="BA488" s="122">
        <f>477</f>
        <v>477</v>
      </c>
      <c r="BB488" s="98">
        <f>IF(ISERROR((BA488/AS488-1)*100),"NA",IF(((BA488/AS488-1)*100)&gt;100,"NM",IF(((BA488/AS488-1)*100)&lt;-50,"NM",(BA488/AS488-1)*100)))</f>
        <v>63.356164383561641</v>
      </c>
      <c r="BC488" s="122">
        <f>387</f>
        <v>387</v>
      </c>
      <c r="BD488" s="98">
        <f>IF(ISERROR((BC488/AU488-1)*100),"NA",IF(((BC488/AU488-1)*100)&gt;100,"NM",IF(((BC488/AU488-1)*100)&lt;-50,"NM",(BC488/AU488-1)*100)))</f>
        <v>-9.3676814988290396</v>
      </c>
      <c r="BE488" s="122">
        <f>450</f>
        <v>450</v>
      </c>
      <c r="BF488" s="98">
        <f>IF(ISERROR((BE488/AW488-1)*100),"NA",IF(((BE488/AW488-1)*100)&gt;100,"NM",IF(((BE488/AW488-1)*100)&lt;-50,"NM",(BE488/AW488-1)*100)))</f>
        <v>6.6350710900473953</v>
      </c>
      <c r="BG488" s="122">
        <f>420</f>
        <v>420</v>
      </c>
      <c r="BH488" s="98">
        <f>IF(ISERROR((BG488/AY488-1)*100),"NA",IF(((BG488/AY488-1)*100)&gt;100,"NM",IF(((BG488/AY488-1)*100)&lt;-50,"NM",(BG488/AY488-1)*100)))</f>
        <v>5.0000000000000044</v>
      </c>
      <c r="BI488" s="122">
        <v>464</v>
      </c>
      <c r="BJ488" s="98">
        <f>IF(ISERROR((BI488/BA488-1)*100),"NA",IF(((BI488/BA488-1)*100)&gt;100,"NM",IF(((BI488/BA488-1)*100)&lt;-50,"NM",(BI488/BA488-1)*100)))</f>
        <v>-2.7253668763102756</v>
      </c>
      <c r="BK488" s="122">
        <v>463</v>
      </c>
      <c r="BL488" s="98">
        <f>IF(ISERROR((BK488/BC488-1)*100),"NA",IF(((BK488/BC488-1)*100)&gt;100,"NM",IF(((BK488/BC488-1)*100)&lt;-50,"NM",(BK488/BC488-1)*100)))</f>
        <v>19.638242894056845</v>
      </c>
      <c r="BM488" s="122">
        <v>469</v>
      </c>
      <c r="BN488" s="98">
        <f>IF(ISERROR((BM488/BE488-1)*100),"NA",IF(((BM488/BE488-1)*100)&gt;100,"NM",IF(((BM488/BE488-1)*100)&lt;-50,"NM",(BM488/BE488-1)*100)))</f>
        <v>4.2222222222222161</v>
      </c>
      <c r="BO488" s="122">
        <v>423</v>
      </c>
      <c r="BP488" s="98">
        <f>IF(ISERROR((BO488/BG488-1)*100),"NA",IF(((BO488/BG488-1)*100)&gt;100,"NM",IF(((BO488/BG488-1)*100)&lt;-50,"NM",(BO488/BG488-1)*100)))</f>
        <v>0.71428571428571175</v>
      </c>
      <c r="BQ488" s="122">
        <v>456</v>
      </c>
      <c r="BR488" s="98">
        <f>IF(ISERROR((BQ488/BI488-1)*100),"NA",IF(((BQ488/BI488-1)*100)&gt;100,"NM",IF(((BQ488/BI488-1)*100)&lt;-50,"NM",(BQ488/BI488-1)*100)))</f>
        <v>-1.7241379310344862</v>
      </c>
      <c r="BS488" s="122">
        <v>464</v>
      </c>
      <c r="BT488" s="98">
        <f>IF(ISERROR((BS488/BK488-1)*100),"NA",IF(((BS488/BK488-1)*100)&gt;100,"NM",IF(((BS488/BK488-1)*100)&lt;-50,"NM",(BS488/BK488-1)*100)))</f>
        <v>0.21598272138227959</v>
      </c>
      <c r="BU488" s="122">
        <v>539</v>
      </c>
      <c r="BV488" s="98">
        <f>IF(ISERROR((BU488/BM488-1)*100),"NA",IF(((BU488/BM488-1)*100)&gt;100,"NM",IF(((BU488/BM488-1)*100)&lt;-50,"NM",(BU488/BM488-1)*100)))</f>
        <v>14.925373134328357</v>
      </c>
      <c r="BW488" s="122">
        <v>619</v>
      </c>
      <c r="BX488" s="98">
        <f>IF(ISERROR((BW488/BO488-1)*100),"NA",IF(((BW488/BO488-1)*100)&gt;100,"NM",IF(((BW488/BO488-1)*100)&lt;-50,"NM",(BW488/BO488-1)*100)))</f>
        <v>46.335697399527184</v>
      </c>
      <c r="BY488" s="122">
        <f>621+1</f>
        <v>622</v>
      </c>
      <c r="BZ488" s="98">
        <f>IF(ISERROR((BY488/BQ488-1)*100),"NA",IF(((BY488/BQ488-1)*100)&gt;100,"NM",IF(((BY488/BQ488-1)*100)&lt;-50,"NM",(BY488/BQ488-1)*100)))</f>
        <v>36.403508771929815</v>
      </c>
      <c r="CA488" s="122">
        <v>580</v>
      </c>
      <c r="CB488" s="98">
        <f>IF(ISERROR((CA488/BS488-1)*100),"NA",IF(((CA488/BS488-1)*100)&gt;100,"NM",IF(((CA488/BS488-1)*100)&lt;-50,"NM",(CA488/BS488-1)*100)))</f>
        <v>25</v>
      </c>
      <c r="CC488" s="122">
        <f>594-1</f>
        <v>593</v>
      </c>
      <c r="CD488" s="98">
        <f>IF(ISERROR((CC488/BU488-1)*100),"NA",IF(((CC488/BU488-1)*100)&gt;100,"NM",IF(((CC488/BU488-1)*100)&lt;-50,"NM",(CC488/BU488-1)*100)))</f>
        <v>10.018552875695729</v>
      </c>
      <c r="CE488" s="122">
        <f>562+1</f>
        <v>563</v>
      </c>
      <c r="CF488" s="98">
        <f>IF(ISERROR((CE488/BW488-1)*100),"NA",IF(((CE488/BW488-1)*100)&gt;100,"NM",IF(((CE488/BW488-1)*100)&lt;-50,"NM",(CE488/BW488-1)*100)))</f>
        <v>-9.0468497576736695</v>
      </c>
      <c r="CG488" s="122">
        <f>607+1</f>
        <v>608</v>
      </c>
      <c r="CH488" s="98">
        <f>IF(ISERROR((CG488/BY488-1)*100),"NA",IF(((CG488/BY488-1)*100)&gt;100,"NM",IF(((CG488/BY488-1)*100)&lt;-50,"NM",(CG488/BY488-1)*100)))</f>
        <v>-2.2508038585209</v>
      </c>
      <c r="CI488" s="122">
        <f>615+2</f>
        <v>617</v>
      </c>
      <c r="CJ488" s="98">
        <f>IF(ISERROR((CI488/CA488-1)*100),"NA",IF(((CI488/CA488-1)*100)&gt;100,"NM",IF(((CI488/CA488-1)*100)&lt;-50,"NM",(CI488/CA488-1)*100)))</f>
        <v>6.3793103448275934</v>
      </c>
      <c r="CK488" s="122">
        <f>653-1</f>
        <v>652</v>
      </c>
      <c r="CL488" s="98">
        <f>IF(ISERROR((CK488/CC488-1)*100),"NA",IF(((CK488/CC488-1)*100)&gt;100,"NM",IF(((CK488/CC488-1)*100)&lt;-50,"NM",(CK488/CC488-1)*100)))</f>
        <v>9.9494097807757207</v>
      </c>
      <c r="CM488" s="122">
        <v>672</v>
      </c>
      <c r="CN488" s="98">
        <f>IF(ISERROR((CM488/CE488-1)*100),"NA",IF(((CM488/CE488-1)*100)&gt;100,"NM",IF(((CM488/CE488-1)*100)&lt;-50,"NM",(CM488/CE488-1)*100)))</f>
        <v>19.360568383658961</v>
      </c>
      <c r="CO488" s="122">
        <v>779</v>
      </c>
      <c r="CP488" s="98">
        <f>IF(ISERROR((CO488/CG488-1)*100),"NA",IF(((CO488/CG488-1)*100)&gt;100,"NM",IF(((CO488/CG488-1)*100)&lt;-50,"NM",(CO488/CG488-1)*100)))</f>
        <v>28.125</v>
      </c>
      <c r="CQ488" s="547">
        <v>858</v>
      </c>
      <c r="CR488" s="98">
        <f>IF(ISERROR((CQ488/CI488-1)*100),"NA",IF(((CQ488/CI488-1)*100)&gt;100,"NM",IF(((CQ488/CI488-1)*100)&lt;-50,"NM",(CQ488/CI488-1)*100)))</f>
        <v>39.05996758508914</v>
      </c>
      <c r="CS488" s="122">
        <f>808+1</f>
        <v>809</v>
      </c>
      <c r="CT488" s="98">
        <f>IF(ISERROR((CS488/CK488-1)*100),"NA",IF(((CS488/CK488-1)*100)&gt;100,"NM",IF(((CS488/CK488-1)*100)&lt;-50,"NM",(CS488/CK488-1)*100)))</f>
        <v>24.079754601226998</v>
      </c>
      <c r="CU488" s="122">
        <v>718</v>
      </c>
      <c r="CV488" s="98">
        <f>IF(ISERROR((CU488/CM488-1)*100),"NA",IF(((CU488/CM488-1)*100)&gt;100,"NM",IF(((CU488/CM488-1)*100)&lt;-50,"NM",(CU488/CM488-1)*100)))</f>
        <v>6.8452380952380931</v>
      </c>
      <c r="CW488" s="122">
        <f>680+1</f>
        <v>681</v>
      </c>
      <c r="CX488" s="98">
        <f>IF(ISERROR((CW488/CO488-1)*100),"NA",IF(((CW488/CO488-1)*100)&gt;100,"NM",IF(((CW488/CO488-1)*100)&lt;-50,"NM",(CW488/CO488-1)*100)))</f>
        <v>-12.580231065468549</v>
      </c>
      <c r="CY488" s="122">
        <v>664</v>
      </c>
      <c r="CZ488" s="98">
        <f>IF(ISERROR((CY488/CQ488-1)*100),"NA",IF(((CY488/CQ488-1)*100)&gt;100,"NM",IF(((CY488/CQ488-1)*100)&lt;-50,"NM",(CY488/CQ488-1)*100)))</f>
        <v>-22.610722610722611</v>
      </c>
      <c r="DA488" s="122">
        <v>635</v>
      </c>
      <c r="DB488" s="98">
        <f>IF(ISERROR((DA488/CS488-1)*100),"NA",IF(((DA488/CS488-1)*100)&gt;100,"NM",IF(((DA488/CS488-1)*100)&lt;-50,"NM",(DA488/CS488-1)*100)))</f>
        <v>-21.508034610630411</v>
      </c>
      <c r="DC488" s="122">
        <v>626</v>
      </c>
      <c r="DD488" s="98">
        <f>IF(ISERROR((DC488/CU488-1)*100),"NA",IF(((DC488/CU488-1)*100)&gt;100,"NM",IF(((DC488/CU488-1)*100)&lt;-50,"NM",(DC488/CU488-1)*100)))</f>
        <v>-12.813370473537599</v>
      </c>
      <c r="DE488" s="122">
        <v>590</v>
      </c>
      <c r="DF488" s="98">
        <f>IF(ISERROR((DE488/CW488-1)*100),"NA",IF(((DE488/CW488-1)*100)&gt;100,"NM",IF(((DE488/CW488-1)*100)&lt;-50,"NM",(DE488/CW488-1)*100)))</f>
        <v>-13.362701908957419</v>
      </c>
      <c r="DG488" s="122">
        <v>593</v>
      </c>
      <c r="DH488" s="98">
        <f>IF(ISERROR((DG488/CY488-1)*100),"NA",IF(((DG488/CY488-1)*100)&gt;100,"NM",IF(((DG488/CY488-1)*100)&lt;-50,"NM",(DG488/CY488-1)*100)))</f>
        <v>-10.692771084337348</v>
      </c>
      <c r="DI488" s="122">
        <v>583</v>
      </c>
      <c r="DJ488" s="98">
        <f>IF(ISERROR((DI488/DA488-1)*100),"NA",IF(((DI488/DA488-1)*100)&gt;100,"NM",IF(((DI488/DA488-1)*100)&lt;-50,"NM",(DI488/DA488-1)*100)))</f>
        <v>-8.1889763779527609</v>
      </c>
      <c r="DK488" s="122">
        <v>555</v>
      </c>
      <c r="DL488" s="98">
        <f>IF(ISERROR((DK488/DC488-1)*100),"NA",IF(((DK488/DC488-1)*100)&gt;100,"NM",IF(((DK488/DC488-1)*100)&lt;-50,"NM",(DK488/DC488-1)*100)))</f>
        <v>-11.341853035143767</v>
      </c>
      <c r="DM488" s="122">
        <f>535+1</f>
        <v>536</v>
      </c>
      <c r="DN488" s="98">
        <f>IF(ISERROR((DM488/DE488-1)*100),"NA",IF(((DM488/DE488-1)*100)&gt;100,"NM",IF(((DM488/DE488-1)*100)&lt;-50,"NM",(DM488/DE488-1)*100)))</f>
        <v>-9.1525423728813564</v>
      </c>
      <c r="DO488" s="122">
        <f>542</f>
        <v>542</v>
      </c>
      <c r="DP488" s="98">
        <f>IF(ISERROR((DO488/DG488-1)*100),"NA",IF(((DO488/DG488-1)*100)&gt;100,"NM",IF(((DO488/DG488-1)*100)&lt;-50,"NM",(DO488/DG488-1)*100)))</f>
        <v>-8.6003372681281665</v>
      </c>
      <c r="DQ488" s="122">
        <f>577+1</f>
        <v>578</v>
      </c>
      <c r="DR488" s="98">
        <f>IF(ISERROR((DQ488/DI488-1)*100),"NA",IF(((DQ488/DI488-1)*100)&gt;100,"NM",IF(((DQ488/DI488-1)*100)&lt;-50,"NM",(DQ488/DI488-1)*100)))</f>
        <v>-0.85763293310463506</v>
      </c>
      <c r="DS488" s="122">
        <v>638</v>
      </c>
      <c r="DT488" s="98">
        <f>IF(ISERROR((DS488/DK488-1)*100),"NA",IF(((DS488/DK488-1)*100)&gt;100,"NM",IF(((DS488/DK488-1)*100)&lt;-50,"NM",(DS488/DK488-1)*100)))</f>
        <v>14.954954954954957</v>
      </c>
      <c r="DU488" s="122">
        <v>703</v>
      </c>
      <c r="DV488" s="98">
        <f>IF(ISERROR((DU488/DM488-1)*100),"NA",IF(((DU488/DM488-1)*100)&gt;100,"NM",IF(((DU488/DM488-1)*100)&lt;-50,"NM",(DU488/DM488-1)*100)))</f>
        <v>31.156716417910445</v>
      </c>
      <c r="DW488" s="122">
        <v>647</v>
      </c>
      <c r="DX488" s="98">
        <f>IF(ISERROR((DW488/DO488-1)*100),"NA",IF(((DW488/DO488-1)*100)&gt;100,"NM",IF(((DW488/DO488-1)*100)&lt;-50,"NM",(DW488/DO488-1)*100)))</f>
        <v>19.372693726937264</v>
      </c>
      <c r="DY488" s="122">
        <v>706</v>
      </c>
      <c r="DZ488" s="98">
        <f>IF(ISERROR((DY488/DQ488-1)*100),"NA",IF(((DY488/DQ488-1)*100)&gt;100,"NM",IF(((DY488/DQ488-1)*100)&lt;-50,"NM",(DY488/DQ488-1)*100)))</f>
        <v>22.145328719723189</v>
      </c>
      <c r="EA488" s="122">
        <v>596</v>
      </c>
      <c r="EB488" s="98">
        <f>IF(ISERROR((EA488/DS488-1)*100),"NA",IF(((EA488/DS488-1)*100)&gt;100,"NM",IF(((EA488/DS488-1)*100)&lt;-50,"NM",(EA488/DS488-1)*100)))</f>
        <v>-6.5830721003134807</v>
      </c>
      <c r="EC488" s="122">
        <v>864</v>
      </c>
      <c r="ED488" s="98">
        <f>IF(ISERROR((EC488/DU488-1)*100),"NA",IF(((EC488/DU488-1)*100)&gt;100,"NM",IF(((EC488/DU488-1)*100)&lt;-50,"NM",(EC488/DU488-1)*100)))</f>
        <v>22.901849217638691</v>
      </c>
      <c r="EE488" s="122">
        <v>401</v>
      </c>
      <c r="EF488" s="860">
        <f>IF(ISERROR((EE488/DW488-1)*100),"NA",IF(((EE488/DW488-1)*100)&gt;100,"NM",IF(((EE488/DW488-1)*100)&lt;-50,"NM",(EE488/DW488-1)*100)))</f>
        <v>-38.021638330757348</v>
      </c>
      <c r="EG488" s="122">
        <v>531</v>
      </c>
      <c r="EH488" s="860">
        <f>IF(ISERROR((EG488/DY488-1)*100),"NA",IF(((EG488/DY488-1)*100)&gt;100,"NM",IF(((EG488/DY488-1)*100)&lt;-50,"NM",(EG488/DY488-1)*100)))</f>
        <v>-24.787535410764871</v>
      </c>
      <c r="EI488" s="122">
        <v>340</v>
      </c>
      <c r="EJ488" s="860">
        <f t="shared" si="2980"/>
        <v>-42.95302013422819</v>
      </c>
      <c r="EK488" s="122">
        <v>370</v>
      </c>
      <c r="EL488" s="860" t="str">
        <f t="shared" si="2981"/>
        <v>NM</v>
      </c>
      <c r="EM488" s="122">
        <v>322</v>
      </c>
      <c r="EN488" s="860">
        <f t="shared" si="2982"/>
        <v>-19.700748129675816</v>
      </c>
      <c r="EO488" s="122">
        <v>333</v>
      </c>
      <c r="EP488" s="98">
        <f t="shared" si="2983"/>
        <v>-37.288135593220339</v>
      </c>
      <c r="EQ488" s="1024">
        <f>EQ476*EQ497/100</f>
        <v>333.26469267232949</v>
      </c>
      <c r="ER488" s="98">
        <f t="shared" si="2984"/>
        <v>-1.9809727434325075</v>
      </c>
      <c r="ES488" s="1024">
        <f t="shared" ref="ES488" si="2991">ES476*ES497/100</f>
        <v>329.51816281499481</v>
      </c>
      <c r="ET488" s="98">
        <f t="shared" si="2986"/>
        <v>-10.941037077028426</v>
      </c>
      <c r="EU488" s="1024">
        <f t="shared" ref="EU488" si="2992">EU476*EU497/100</f>
        <v>327.29366194664971</v>
      </c>
      <c r="EV488" s="98">
        <f t="shared" si="2988"/>
        <v>1.6439943933694634</v>
      </c>
      <c r="EW488" s="1024">
        <f t="shared" ref="EW488" si="2993">EW476*EW497/100</f>
        <v>324.57059144227219</v>
      </c>
      <c r="EX488" s="98">
        <f t="shared" si="2990"/>
        <v>-2.5313539212395875</v>
      </c>
      <c r="EY488" s="176"/>
      <c r="EZ488" s="594"/>
      <c r="FA488" s="405"/>
      <c r="FB488" s="177">
        <v>570</v>
      </c>
      <c r="FC488" s="98"/>
      <c r="FD488" s="122">
        <v>650</v>
      </c>
      <c r="FE488" s="98">
        <f>IF(ISERROR((FD488/FB488-1)*100),"NA",IF(((FD488/FB488-1)*100)&gt;100,"NM",IF(((FD488/FB488-1)*100)&lt;-50,"NM",(FD488/FB488-1)*100)))</f>
        <v>14.035087719298245</v>
      </c>
      <c r="FF488" s="118">
        <f>C488+E488+G488+I488</f>
        <v>875</v>
      </c>
      <c r="FG488" s="98">
        <f>IF(ISERROR((FF488/FD488-1)*100),"NA",IF(((FF488/FD488-1)*100)&gt;100,"NM",IF(((FF488/FD488-1)*100)&lt;-50,"NM",(FF488/FD488-1)*100)))</f>
        <v>34.615384615384627</v>
      </c>
      <c r="FH488" s="118">
        <f>K488+M488+O488+Q488</f>
        <v>875.9</v>
      </c>
      <c r="FI488" s="98">
        <f>IF(ISERROR((FH488/FF488-1)*100),"NA",IF(((FH488/FF488-1)*100)&gt;100,"NM",IF(((FH488/FF488-1)*100)&lt;-50,"NM",(FH488/FF488-1)*100)))</f>
        <v>0.10285714285713787</v>
      </c>
      <c r="FJ488" s="118">
        <f>S488+U488+W488+Y488</f>
        <v>836</v>
      </c>
      <c r="FK488" s="98">
        <f>IF(ISERROR((FJ488/FH488-1)*100),"NA",IF(((FJ488/FH488-1)*100)&gt;100,"NM",IF(((FJ488/FH488-1)*100)&lt;-50,"NM",(FJ488/FH488-1)*100)))</f>
        <v>-4.5553145336225569</v>
      </c>
      <c r="FL488" s="118">
        <f>AA488+AC488+AE488+AG488</f>
        <v>1050</v>
      </c>
      <c r="FM488" s="98">
        <f>IF(ISERROR((FL488/FJ488-1)*100),"NA",IF(((FL488/FJ488-1)*100)&gt;100,"NM",IF(((FL488/FJ488-1)*100)&lt;-50,"NM",(FL488/FJ488-1)*100)))</f>
        <v>25.59808612440191</v>
      </c>
      <c r="FN488" s="118">
        <f>AI488+AK488+AM488+AO488</f>
        <v>1150</v>
      </c>
      <c r="FO488" s="98">
        <f>IF(ISERROR((FN488/FL488-1)*100),"NA",IF(((FN488/FL488-1)*100)&gt;100,"NM",IF(((FN488/FL488-1)*100)&lt;-50,"NM",(FN488/FL488-1)*100)))</f>
        <v>9.5238095238095344</v>
      </c>
      <c r="FP488" s="118">
        <f>AQ488+AS488+AU488+AW488</f>
        <v>1400</v>
      </c>
      <c r="FQ488" s="98">
        <f>IF(ISERROR((FP488/FN488-1)*100),"NA",IF(((FP488/FN488-1)*100)&gt;100,"NM",IF(((FP488/FN488-1)*100)&lt;-50,"NM",(FP488/FN488-1)*100)))</f>
        <v>21.739130434782616</v>
      </c>
      <c r="FR488" s="176">
        <f>AY488+BA488+BC488+BE488</f>
        <v>1714</v>
      </c>
      <c r="FS488" s="120">
        <f>IF(ISERROR((FR488/FP488-1)*100),"NA",IF(((FR488/FP488-1)*100)&gt;100,"NM",IF(((FR488/FP488-1)*100)&lt;-50,"NM",(FR488/FP488-1)*100)))</f>
        <v>22.42857142857142</v>
      </c>
      <c r="FT488" s="176">
        <f>BG488+BI488+BK488+BM488</f>
        <v>1816</v>
      </c>
      <c r="FU488" s="120">
        <f>IF(ISERROR((FT488/FR488-1)*100),"NA",IF(((FT488/FR488-1)*100)&gt;100,"NM",IF(((FT488/FR488-1)*100)&lt;-50,"NM",(FT488/FR488-1)*100)))</f>
        <v>5.9509918319719857</v>
      </c>
      <c r="FV488" s="177">
        <f>2065+2</f>
        <v>2067</v>
      </c>
      <c r="FW488" s="98">
        <f>IF(ISERROR((FV488/FT488-1)*100),"NA",IF(((FV488/FT488-1)*100)&gt;100,"NM",IF(((FV488/FT488-1)*100)&lt;-50,"NM",(FV488/FT488-1)*100)))</f>
        <v>13.821585903083712</v>
      </c>
      <c r="FX488" s="485">
        <f>BW488+BY488+CA488+CC488</f>
        <v>2414</v>
      </c>
      <c r="FY488" s="98">
        <f>IF(ISERROR((FX488/FV488-1)*100),"NA",IF(((FX488/FV488-1)*100)&gt;100,"NM",IF(((FX488/FV488-1)*100)&lt;-50,"NM",(FX488/FV488-1)*100)))</f>
        <v>16.787614900822454</v>
      </c>
      <c r="FZ488" s="119">
        <f>CE488+CG488+CI488+CK488</f>
        <v>2440</v>
      </c>
      <c r="GA488" s="98">
        <f>IF(ISERROR((FZ488/FX488-1)*100),"NA",IF(((FZ488/FX488-1)*100)&gt;100,"NM",IF(((FZ488/FX488-1)*100)&lt;-50,"NM",(FZ488/FX488-1)*100)))</f>
        <v>1.0770505385252704</v>
      </c>
      <c r="GB488" s="485">
        <f>CM488+CO488+CQ488+CS488</f>
        <v>3118</v>
      </c>
      <c r="GC488" s="98">
        <f>IF(ISERROR((GB488/FZ488-1)*100),"NA",IF(((GB488/FZ488-1)*100)&gt;100,"NM",IF(((GB488/FZ488-1)*100)&lt;-50,"NM",(GB488/FZ488-1)*100)))</f>
        <v>27.786885245901651</v>
      </c>
      <c r="GD488" s="119">
        <f>CU488+CW488+CY488+DA488</f>
        <v>2698</v>
      </c>
      <c r="GE488" s="98">
        <f>IF(ISERROR((GD488/GB488-1)*100),"NA",IF(((GD488/GB488-1)*100)&gt;100,"NM",IF(((GD488/GB488-1)*100)&lt;-50,"NM",(GD488/GB488-1)*100)))</f>
        <v>-13.470173187940993</v>
      </c>
      <c r="GF488" s="119">
        <f>DC488+DE488+DG488+DI488</f>
        <v>2392</v>
      </c>
      <c r="GG488" s="98">
        <f>IF(ISERROR((GF488/GD488-1)*100),"NA",IF(((GF488/GD488-1)*100)&gt;100,"NM",IF(((GF488/GD488-1)*100)&lt;-50,"NM",(GF488/GD488-1)*100)))</f>
        <v>-11.341734618235733</v>
      </c>
      <c r="GH488" s="119">
        <f>DK488+DM488+DO488+DQ488</f>
        <v>2211</v>
      </c>
      <c r="GI488" s="98">
        <f>IF(ISERROR((GH488/GF488-1)*100),"NA",IF(((GH488/GF488-1)*100)&gt;100,"NM",IF(((GH488/GF488-1)*100)&lt;-50,"NM",(GH488/GF488-1)*100)))</f>
        <v>-7.5668896321070207</v>
      </c>
      <c r="GJ488" s="119">
        <f>DS488+DU488+DW488+DY488</f>
        <v>2694</v>
      </c>
      <c r="GK488" s="98">
        <f>IF(ISERROR((GJ488/GH488-1)*100),"NA",IF(((GJ488/GH488-1)*100)&gt;100,"NM",IF(((GJ488/GH488-1)*100)&lt;-50,"NM",(GJ488/GH488-1)*100)))</f>
        <v>21.845318860244234</v>
      </c>
      <c r="GL488" s="119">
        <f>EA488+EC488+EE488+EG488</f>
        <v>2392</v>
      </c>
      <c r="GM488" s="98">
        <f>IF(ISERROR((GL488/GJ488-1)*100),"NA",IF(((GL488/GJ488-1)*100)&gt;100,"NM",IF(((GL488/GJ488-1)*100)&lt;-50,"NM",(GL488/GJ488-1)*100)))</f>
        <v>-11.210096510764666</v>
      </c>
      <c r="GN488" s="119">
        <f>EI488+EK488+EM488+EO488</f>
        <v>1365</v>
      </c>
      <c r="GO488" s="98">
        <f>IF(ISERROR((GN488/GL488-1)*100),"NA",IF(((GN488/GL488-1)*100)&gt;100,"NM",IF(((GN488/GL488-1)*100)&lt;-50,"NM",(GN488/GL488-1)*100)))</f>
        <v>-42.934782608695656</v>
      </c>
      <c r="GP488" s="119">
        <f>EQ488+ES488+EU488+EW488</f>
        <v>1314.6471088762462</v>
      </c>
      <c r="GQ488" s="98">
        <f>IF(ISERROR((GP488/GN488-1)*100),"NA",IF(((GP488/GN488-1)*100)&gt;100,"NM",IF(((GP488/GN488-1)*100)&lt;-50,"NM",(GP488/GN488-1)*100)))</f>
        <v>-3.6888564925826928</v>
      </c>
      <c r="GR488" s="176">
        <f>GR476*(GR498/100)</f>
        <v>1266.8902360944467</v>
      </c>
      <c r="GS488" s="98">
        <f>IF(ISERROR((GR488/GP488-1)*100),"NA",IF(((GR488/GP488-1)*100)&gt;100,"NM",IF(((GR488/GP488-1)*100)&lt;-50,"NM",(GR488/GP488-1)*100)))</f>
        <v>-3.6326762109279542</v>
      </c>
      <c r="GT488" s="176">
        <f>GT476*(GT498/100)</f>
        <v>1199.6834072396907</v>
      </c>
      <c r="GU488" s="98">
        <f>IF(ISERROR((GT488/GR488-1)*100),"NA",IF(((GT488/GR488-1)*100)&gt;100,"NM",IF(((GT488/GR488-1)*100)&lt;-50,"NM",(GT488/GR488-1)*100)))</f>
        <v>-5.3048659576018453</v>
      </c>
      <c r="GV488" s="176">
        <f>GV476*(GV498/100)</f>
        <v>1125.4123630113327</v>
      </c>
      <c r="GW488" s="98">
        <f>IF(ISERROR((GV488/GT488-1)*100),"NA",IF(((GV488/GT488-1)*100)&gt;100,"NM",IF(((GV488/GT488-1)*100)&lt;-50,"NM",(GV488/GT488-1)*100)))</f>
        <v>-6.1908870107027392</v>
      </c>
      <c r="GX488" s="176">
        <f>GX476*(GX498/100)</f>
        <v>1047.0684743460401</v>
      </c>
      <c r="GY488" s="98">
        <f>IF(ISERROR((GX488/GV488-1)*100),"NA",IF(((GX488/GV488-1)*100)&gt;100,"NM",IF(((GX488/GV488-1)*100)&lt;-50,"NM",(GX488/GV488-1)*100)))</f>
        <v>-6.9613495675188037</v>
      </c>
      <c r="GZ488" s="98">
        <f>IF(ISERROR(((GX488/GN488)^0.2-1)*100),"NA",IF((((GX488/GN488)^0.2-1)*100)&gt;100,"NM",IF((((GX488/GN488)^0.2-1)*100)&lt;-50,"NM",((GX488/GN488)^0.2-1)*100)))</f>
        <v>-5.1650353849516435</v>
      </c>
      <c r="HA488" s="98"/>
      <c r="HB488" s="10"/>
      <c r="HC488"/>
      <c r="HD488"/>
      <c r="HE488"/>
      <c r="HF488"/>
      <c r="HG488"/>
      <c r="HH488"/>
      <c r="HI488" s="10"/>
    </row>
    <row r="489" spans="1:217" s="2" customFormat="1" ht="12.75" customHeight="1" x14ac:dyDescent="0.2">
      <c r="B489" s="18" t="s">
        <v>120</v>
      </c>
      <c r="C489" s="122">
        <v>-15</v>
      </c>
      <c r="D489" s="98"/>
      <c r="E489" s="122">
        <v>-1</v>
      </c>
      <c r="F489" s="98"/>
      <c r="G489" s="122">
        <v>-5</v>
      </c>
      <c r="H489" s="98"/>
      <c r="I489" s="122">
        <v>-6</v>
      </c>
      <c r="J489" s="98"/>
      <c r="K489" s="122">
        <v>16</v>
      </c>
      <c r="L489" s="98" t="str">
        <f>IF(ISERROR((K489/C489-1)*100),"NA",IF(((K489/C489-1)*100)&gt;100,"NM",IF(((K489/C489-1)*100)&lt;-50,"NM",(K489/C489-1)*100)))</f>
        <v>NM</v>
      </c>
      <c r="M489" s="122">
        <v>-9</v>
      </c>
      <c r="N489" s="98" t="str">
        <f>IF(ISERROR((M489/E489-1)*100),"NA",IF(((M489/E489-1)*100)&gt;100,"NM",IF(((M489/E489-1)*100)&lt;-50,"NM",(M489/E489-1)*100)))</f>
        <v>NM</v>
      </c>
      <c r="O489" s="122">
        <v>-35</v>
      </c>
      <c r="P489" s="98" t="str">
        <f>IF(ISERROR((O489/G489-1)*100),"NA",IF(((O489/G489-1)*100)&gt;100,"NM",IF(((O489/G489-1)*100)&lt;-50,"NM",(O489/G489-1)*100)))</f>
        <v>NM</v>
      </c>
      <c r="Q489" s="122">
        <v>-70</v>
      </c>
      <c r="R489" s="98" t="str">
        <f>IF(ISERROR((Q489/I489-1)*100),"NA",IF(((Q489/I489-1)*100)&gt;100,"NM",IF(((Q489/I489-1)*100)&lt;-50,"NM",(Q489/I489-1)*100)))</f>
        <v>NM</v>
      </c>
      <c r="S489" s="122">
        <v>-46</v>
      </c>
      <c r="T489" s="98" t="str">
        <f>IF(ISERROR((S489/K489-1)*100),"NA",IF(((S489/K489-1)*100)&gt;100,"NM",IF(((S489/K489-1)*100)&lt;-50,"NM",(S489/K489-1)*100)))</f>
        <v>NM</v>
      </c>
      <c r="U489" s="122">
        <v>-45</v>
      </c>
      <c r="V489" s="98" t="str">
        <f>IF(ISERROR((U489/M489-1)*100),"NA",IF(((U489/M489-1)*100)&gt;100,"NM",IF(((U489/M489-1)*100)&lt;-50,"NM",(U489/M489-1)*100)))</f>
        <v>NM</v>
      </c>
      <c r="W489" s="122">
        <v>-33</v>
      </c>
      <c r="X489" s="98">
        <f>IF(ISERROR((W489/O489-1)*100),"NA",IF(((W489/O489-1)*100)&gt;100,"NM",IF(((W489/O489-1)*100)&lt;-50,"NM",(W489/O489-1)*100)))</f>
        <v>-5.7142857142857162</v>
      </c>
      <c r="Y489" s="122">
        <v>-78</v>
      </c>
      <c r="Z489" s="98">
        <f>IF(ISERROR((Y489/Q489-1)*100),"NA",IF(((Y489/Q489-1)*100)&gt;100,"NM",IF(((Y489/Q489-1)*100)&lt;-50,"NM",(Y489/Q489-1)*100)))</f>
        <v>11.428571428571432</v>
      </c>
      <c r="AA489" s="122">
        <v>-76</v>
      </c>
      <c r="AB489" s="98">
        <f>IF(ISERROR((AA489/S489-1)*100),"NA",IF(((AA489/S489-1)*100)&gt;100,"NM",IF(((AA489/S489-1)*100)&lt;-50,"NM",(AA489/S489-1)*100)))</f>
        <v>65.217391304347828</v>
      </c>
      <c r="AC489" s="122">
        <v>-108</v>
      </c>
      <c r="AD489" s="98" t="str">
        <f>IF(ISERROR((AC489/U489-1)*100),"NA",IF(((AC489/U489-1)*100)&gt;100,"NM",IF(((AC489/U489-1)*100)&lt;-50,"NM",(AC489/U489-1)*100)))</f>
        <v>NM</v>
      </c>
      <c r="AE489" s="122">
        <v>-103</v>
      </c>
      <c r="AF489" s="98" t="str">
        <f>IF(ISERROR((AE489/W489-1)*100),"NA",IF(((AE489/W489-1)*100)&gt;100,"NM",IF(((AE489/W489-1)*100)&lt;-50,"NM",(AE489/W489-1)*100)))</f>
        <v>NM</v>
      </c>
      <c r="AG489" s="122">
        <v>-95</v>
      </c>
      <c r="AH489" s="98">
        <f>IF(ISERROR((AG489/Y489-1)*100),"NA",IF(((AG489/Y489-1)*100)&gt;100,"NM",IF(((AG489/Y489-1)*100)&lt;-50,"NM",(AG489/Y489-1)*100)))</f>
        <v>21.794871794871785</v>
      </c>
      <c r="AI489" s="122">
        <v>-122</v>
      </c>
      <c r="AJ489" s="98">
        <f>IF(ISERROR((AI489/AA489-1)*100),"NA",IF(((AI489/AA489-1)*100)&gt;100,"NM",IF(((AI489/AA489-1)*100)&lt;-50,"NM",(AI489/AA489-1)*100)))</f>
        <v>60.526315789473692</v>
      </c>
      <c r="AK489" s="122">
        <v>-105</v>
      </c>
      <c r="AL489" s="98">
        <f>IF(ISERROR((AK489/AC489-1)*100),"NA",IF(((AK489/AC489-1)*100)&gt;100,"NM",IF(((AK489/AC489-1)*100)&lt;-50,"NM",(AK489/AC489-1)*100)))</f>
        <v>-2.777777777777779</v>
      </c>
      <c r="AM489" s="122">
        <f>-149+84</f>
        <v>-65</v>
      </c>
      <c r="AN489" s="98">
        <f>IF(ISERROR((AM489/AE489-1)*100),"NA",IF(((AM489/AE489-1)*100)&gt;100,"NM",IF(((AM489/AE489-1)*100)&lt;-50,"NM",(AM489/AE489-1)*100)))</f>
        <v>-36.89320388349514</v>
      </c>
      <c r="AO489" s="122">
        <f>-154+62</f>
        <v>-92</v>
      </c>
      <c r="AP489" s="98">
        <f>IF(ISERROR((AO489/AG489-1)*100),"NA",IF(((AO489/AG489-1)*100)&gt;100,"NM",IF(((AO489/AG489-1)*100)&lt;-50,"NM",(AO489/AG489-1)*100)))</f>
        <v>-3.157894736842104</v>
      </c>
      <c r="AQ489" s="122">
        <f>81-145</f>
        <v>-64</v>
      </c>
      <c r="AR489" s="98">
        <f>IF(ISERROR((AQ489/AI489-1)*100),"NA",IF(((AQ489/AI489-1)*100)&gt;100,"NM",IF(((AQ489/AI489-1)*100)&lt;-50,"NM",(AQ489/AI489-1)*100)))</f>
        <v>-47.540983606557376</v>
      </c>
      <c r="AS489" s="122">
        <f>57-147</f>
        <v>-90</v>
      </c>
      <c r="AT489" s="98">
        <f>IF(ISERROR((AS489/AK489-1)*100),"NA",IF(((AS489/AK489-1)*100)&gt;100,"NM",IF(((AS489/AK489-1)*100)&lt;-50,"NM",(AS489/AK489-1)*100)))</f>
        <v>-14.28571428571429</v>
      </c>
      <c r="AU489" s="122">
        <f>147-204</f>
        <v>-57</v>
      </c>
      <c r="AV489" s="98">
        <f>IF(ISERROR((AU489/AM489-1)*100),"NA",IF(((AU489/AM489-1)*100)&gt;100,"NM",IF(((AU489/AM489-1)*100)&lt;-50,"NM",(AU489/AM489-1)*100)))</f>
        <v>-12.307692307692308</v>
      </c>
      <c r="AW489" s="122">
        <f>-220+144</f>
        <v>-76</v>
      </c>
      <c r="AX489" s="98">
        <f>IF(ISERROR((AW489/AO489-1)*100),"NA",IF(((AW489/AO489-1)*100)&gt;100,"NM",IF(((AW489/AO489-1)*100)&lt;-50,"NM",(AW489/AO489-1)*100)))</f>
        <v>-17.391304347826086</v>
      </c>
      <c r="AY489" s="122">
        <f>-212+139</f>
        <v>-73</v>
      </c>
      <c r="AZ489" s="98">
        <f>IF(ISERROR((AY489/AQ489-1)*100),"NA",IF(((AY489/AQ489-1)*100)&gt;100,"NM",IF(((AY489/AQ489-1)*100)&lt;-50,"NM",(AY489/AQ489-1)*100)))</f>
        <v>14.0625</v>
      </c>
      <c r="BA489" s="122">
        <f>-253+140</f>
        <v>-113</v>
      </c>
      <c r="BB489" s="98">
        <f>IF(ISERROR((BA489/AS489-1)*100),"NA",IF(((BA489/AS489-1)*100)&gt;100,"NM",IF(((BA489/AS489-1)*100)&lt;-50,"NM",(BA489/AS489-1)*100)))</f>
        <v>25.555555555555554</v>
      </c>
      <c r="BC489" s="122">
        <f>-186+146</f>
        <v>-40</v>
      </c>
      <c r="BD489" s="98">
        <f>IF(ISERROR((BC489/AU489-1)*100),"NA",IF(((BC489/AU489-1)*100)&gt;100,"NM",IF(((BC489/AU489-1)*100)&lt;-50,"NM",(BC489/AU489-1)*100)))</f>
        <v>-29.824561403508774</v>
      </c>
      <c r="BE489" s="122">
        <f>-210+132</f>
        <v>-78</v>
      </c>
      <c r="BF489" s="98">
        <f>IF(ISERROR((BE489/AW489-1)*100),"NA",IF(((BE489/AW489-1)*100)&gt;100,"NM",IF(((BE489/AW489-1)*100)&lt;-50,"NM",(BE489/AW489-1)*100)))</f>
        <v>2.6315789473684292</v>
      </c>
      <c r="BG489" s="122">
        <f>-205+186</f>
        <v>-19</v>
      </c>
      <c r="BH489" s="98" t="str">
        <f>IF(ISERROR((BG489/AY489-1)*100),"NA",IF(((BG489/AY489-1)*100)&gt;100,"NM",IF(((BG489/AY489-1)*100)&lt;-50,"NM",(BG489/AY489-1)*100)))</f>
        <v>NM</v>
      </c>
      <c r="BI489" s="122">
        <f>-250+183</f>
        <v>-67</v>
      </c>
      <c r="BJ489" s="98">
        <f>IF(ISERROR((BI489/BA489-1)*100),"NA",IF(((BI489/BA489-1)*100)&gt;100,"NM",IF(((BI489/BA489-1)*100)&lt;-50,"NM",(BI489/BA489-1)*100)))</f>
        <v>-40.707964601769909</v>
      </c>
      <c r="BK489" s="122">
        <f>-251+183</f>
        <v>-68</v>
      </c>
      <c r="BL489" s="98">
        <f>IF(ISERROR((BK489/BC489-1)*100),"NA",IF(((BK489/BC489-1)*100)&gt;100,"NM",IF(((BK489/BC489-1)*100)&lt;-50,"NM",(BK489/BC489-1)*100)))</f>
        <v>70</v>
      </c>
      <c r="BM489" s="122">
        <f>-226+270</f>
        <v>44</v>
      </c>
      <c r="BN489" s="98" t="str">
        <f>IF(ISERROR((BM489/BE489-1)*100),"NA",IF(((BM489/BE489-1)*100)&gt;100,"NM",IF(((BM489/BE489-1)*100)&lt;-50,"NM",(BM489/BE489-1)*100)))</f>
        <v>NM</v>
      </c>
      <c r="BO489" s="122">
        <f>-196+244</f>
        <v>48</v>
      </c>
      <c r="BP489" s="98" t="str">
        <f>IF(ISERROR((BO489/BG489-1)*100),"NA",IF(((BO489/BG489-1)*100)&gt;100,"NM",IF(((BO489/BG489-1)*100)&lt;-50,"NM",(BO489/BG489-1)*100)))</f>
        <v>NM</v>
      </c>
      <c r="BQ489" s="122">
        <f>-222+226</f>
        <v>4</v>
      </c>
      <c r="BR489" s="98" t="str">
        <f>IF(ISERROR((BQ489/BI489-1)*100),"NA",IF(((BQ489/BI489-1)*100)&gt;100,"NM",IF(((BQ489/BI489-1)*100)&lt;-50,"NM",(BQ489/BI489-1)*100)))</f>
        <v>NM</v>
      </c>
      <c r="BS489" s="122">
        <f>-237+318</f>
        <v>81</v>
      </c>
      <c r="BT489" s="98" t="str">
        <f>IF(ISERROR((BS489/BK489-1)*100),"NA",IF(((BS489/BK489-1)*100)&gt;100,"NM",IF(((BS489/BK489-1)*100)&lt;-50,"NM",(BS489/BK489-1)*100)))</f>
        <v>NM</v>
      </c>
      <c r="BU489" s="122">
        <f>-325+568</f>
        <v>243</v>
      </c>
      <c r="BV489" s="98" t="str">
        <f>IF(ISERROR((BU489/BM489-1)*100),"NA",IF(((BU489/BM489-1)*100)&gt;100,"NM",IF(((BU489/BM489-1)*100)&lt;-50,"NM",(BU489/BM489-1)*100)))</f>
        <v>NM</v>
      </c>
      <c r="BW489" s="122">
        <f>-329+326</f>
        <v>-3</v>
      </c>
      <c r="BX489" s="98" t="str">
        <f>IF(ISERROR((BW489/BO489-1)*100),"NA",IF(((BW489/BO489-1)*100)&gt;100,"NM",IF(((BW489/BO489-1)*100)&lt;-50,"NM",(BW489/BO489-1)*100)))</f>
        <v>NM</v>
      </c>
      <c r="BY489" s="122">
        <f>-285-44</f>
        <v>-329</v>
      </c>
      <c r="BZ489" s="98" t="str">
        <f>IF(ISERROR((BY489/BQ489-1)*100),"NA",IF(((BY489/BQ489-1)*100)&gt;100,"NM",IF(((BY489/BQ489-1)*100)&lt;-50,"NM",(BY489/BQ489-1)*100)))</f>
        <v>NM</v>
      </c>
      <c r="CA489" s="122">
        <f>-223+42</f>
        <v>-181</v>
      </c>
      <c r="CB489" s="98" t="str">
        <f>IF(ISERROR((CA489/BS489-1)*100),"NA",IF(((CA489/BS489-1)*100)&gt;100,"NM",IF(((CA489/BS489-1)*100)&lt;-50,"NM",(CA489/BS489-1)*100)))</f>
        <v>NM</v>
      </c>
      <c r="CC489" s="122">
        <f>-230+100</f>
        <v>-130</v>
      </c>
      <c r="CD489" s="98" t="str">
        <f>IF(ISERROR((CC489/BU489-1)*100),"NA",IF(((CC489/BU489-1)*100)&gt;100,"NM",IF(((CC489/BU489-1)*100)&lt;-50,"NM",(CC489/BU489-1)*100)))</f>
        <v>NM</v>
      </c>
      <c r="CE489" s="122">
        <f>-234+169</f>
        <v>-65</v>
      </c>
      <c r="CF489" s="98" t="str">
        <f>IF(ISERROR((CE489/BW489-1)*100),"NA",IF(((CE489/BW489-1)*100)&gt;100,"NM",IF(((CE489/BW489-1)*100)&lt;-50,"NM",(CE489/BW489-1)*100)))</f>
        <v>NM</v>
      </c>
      <c r="CG489" s="122">
        <f>-262+272</f>
        <v>10</v>
      </c>
      <c r="CH489" s="98" t="str">
        <f>IF(ISERROR((CG489/BY489-1)*100),"NA",IF(((CG489/BY489-1)*100)&gt;100,"NM",IF(((CG489/BY489-1)*100)&lt;-50,"NM",(CG489/BY489-1)*100)))</f>
        <v>NM</v>
      </c>
      <c r="CI489" s="122">
        <f>-270+153</f>
        <v>-117</v>
      </c>
      <c r="CJ489" s="98">
        <f>IF(ISERROR((CI489/CA489-1)*100),"NA",IF(((CI489/CA489-1)*100)&gt;100,"NM",IF(((CI489/CA489-1)*100)&lt;-50,"NM",(CI489/CA489-1)*100)))</f>
        <v>-35.359116022099442</v>
      </c>
      <c r="CK489" s="122">
        <f>-301+214</f>
        <v>-87</v>
      </c>
      <c r="CL489" s="98">
        <f>IF(ISERROR((CK489/CC489-1)*100),"NA",IF(((CK489/CC489-1)*100)&gt;100,"NM",IF(((CK489/CC489-1)*100)&lt;-50,"NM",(CK489/CC489-1)*100)))</f>
        <v>-33.07692307692308</v>
      </c>
      <c r="CM489" s="122">
        <f>-288+177</f>
        <v>-111</v>
      </c>
      <c r="CN489" s="98">
        <f>IF(ISERROR((CM489/CE489-1)*100),"NA",IF(((CM489/CE489-1)*100)&gt;100,"NM",IF(((CM489/CE489-1)*100)&lt;-50,"NM",(CM489/CE489-1)*100)))</f>
        <v>70.769230769230759</v>
      </c>
      <c r="CO489" s="122">
        <f>-363+215</f>
        <v>-148</v>
      </c>
      <c r="CP489" s="98" t="str">
        <f>IF(ISERROR((CO489/CG489-1)*100),"NA",IF(((CO489/CG489-1)*100)&gt;100,"NM",IF(((CO489/CG489-1)*100)&lt;-50,"NM",(CO489/CG489-1)*100)))</f>
        <v>NM</v>
      </c>
      <c r="CQ489" s="547">
        <f>-450+319</f>
        <v>-131</v>
      </c>
      <c r="CR489" s="98">
        <f>IF(ISERROR((CQ489/CI489-1)*100),"NA",IF(((CQ489/CI489-1)*100)&gt;100,"NM",IF(((CQ489/CI489-1)*100)&lt;-50,"NM",(CQ489/CI489-1)*100)))</f>
        <v>11.965811965811968</v>
      </c>
      <c r="CS489" s="122">
        <f>-390+204</f>
        <v>-186</v>
      </c>
      <c r="CT489" s="98" t="str">
        <f>IF(ISERROR((CS489/CK489-1)*100),"NA",IF(((CS489/CK489-1)*100)&gt;100,"NM",IF(((CS489/CK489-1)*100)&lt;-50,"NM",(CS489/CK489-1)*100)))</f>
        <v>NM</v>
      </c>
      <c r="CU489" s="122">
        <f>-282+185</f>
        <v>-97</v>
      </c>
      <c r="CV489" s="98">
        <f>IF(ISERROR((CU489/CM489-1)*100),"NA",IF(((CU489/CM489-1)*100)&gt;100,"NM",IF(((CU489/CM489-1)*100)&lt;-50,"NM",(CU489/CM489-1)*100)))</f>
        <v>-12.612612612612617</v>
      </c>
      <c r="CW489" s="122">
        <f>-248+258</f>
        <v>10</v>
      </c>
      <c r="CX489" s="98" t="str">
        <f>IF(ISERROR((CW489/CO489-1)*100),"NA",IF(((CW489/CO489-1)*100)&gt;100,"NM",IF(((CW489/CO489-1)*100)&lt;-50,"NM",(CW489/CO489-1)*100)))</f>
        <v>NM</v>
      </c>
      <c r="CY489" s="122">
        <f>-244+186</f>
        <v>-58</v>
      </c>
      <c r="CZ489" s="98" t="str">
        <f>IF(ISERROR((CY489/CQ489-1)*100),"NA",IF(((CY489/CQ489-1)*100)&gt;100,"NM",IF(((CY489/CQ489-1)*100)&lt;-50,"NM",(CY489/CQ489-1)*100)))</f>
        <v>NM</v>
      </c>
      <c r="DA489" s="122">
        <f>-198+8</f>
        <v>-190</v>
      </c>
      <c r="DB489" s="98">
        <f>IF(ISERROR((DA489/CS489-1)*100),"NA",IF(((DA489/CS489-1)*100)&gt;100,"NM",IF(((DA489/CS489-1)*100)&lt;-50,"NM",(DA489/CS489-1)*100)))</f>
        <v>2.1505376344086002</v>
      </c>
      <c r="DC489" s="122">
        <f>-193+130</f>
        <v>-63</v>
      </c>
      <c r="DD489" s="98">
        <f>IF(ISERROR((DC489/CU489-1)*100),"NA",IF(((DC489/CU489-1)*100)&gt;100,"NM",IF(((DC489/CU489-1)*100)&lt;-50,"NM",(DC489/CU489-1)*100)))</f>
        <v>-35.051546391752574</v>
      </c>
      <c r="DE489" s="122">
        <f>-144+196+1</f>
        <v>53</v>
      </c>
      <c r="DF489" s="98" t="str">
        <f>IF(ISERROR((DE489/CW489-1)*100),"NA",IF(((DE489/CW489-1)*100)&gt;100,"NM",IF(((DE489/CW489-1)*100)&lt;-50,"NM",(DE489/CW489-1)*100)))</f>
        <v>NM</v>
      </c>
      <c r="DG489" s="122">
        <f>-142+83</f>
        <v>-59</v>
      </c>
      <c r="DH489" s="98">
        <f>IF(ISERROR((DG489/CY489-1)*100),"NA",IF(((DG489/CY489-1)*100)&gt;100,"NM",IF(((DG489/CY489-1)*100)&lt;-50,"NM",(DG489/CY489-1)*100)))</f>
        <v>1.7241379310344751</v>
      </c>
      <c r="DI489" s="122">
        <f>-101+171</f>
        <v>70</v>
      </c>
      <c r="DJ489" s="98" t="str">
        <f>IF(ISERROR((DI489/DA489-1)*100),"NA",IF(((DI489/DA489-1)*100)&gt;100,"NM",IF(((DI489/DA489-1)*100)&lt;-50,"NM",(DI489/DA489-1)*100)))</f>
        <v>NM</v>
      </c>
      <c r="DK489" s="122">
        <f>-89+228</f>
        <v>139</v>
      </c>
      <c r="DL489" s="98" t="str">
        <f>IF(ISERROR((DK489/DC489-1)*100),"NA",IF(((DK489/DC489-1)*100)&gt;100,"NM",IF(((DK489/DC489-1)*100)&lt;-50,"NM",(DK489/DC489-1)*100)))</f>
        <v>NM</v>
      </c>
      <c r="DM489" s="122">
        <f>-81+182</f>
        <v>101</v>
      </c>
      <c r="DN489" s="98">
        <f>IF(ISERROR((DM489/DE489-1)*100),"NA",IF(((DM489/DE489-1)*100)&gt;100,"NM",IF(((DM489/DE489-1)*100)&lt;-50,"NM",(DM489/DE489-1)*100)))</f>
        <v>90.566037735849065</v>
      </c>
      <c r="DO489" s="122">
        <f>-81+171</f>
        <v>90</v>
      </c>
      <c r="DP489" s="98" t="str">
        <f>IF(ISERROR((DO489/DG489-1)*100),"NA",IF(((DO489/DG489-1)*100)&gt;100,"NM",IF(((DO489/DG489-1)*100)&lt;-50,"NM",(DO489/DG489-1)*100)))</f>
        <v>NM</v>
      </c>
      <c r="DQ489" s="122">
        <f>-84+180</f>
        <v>96</v>
      </c>
      <c r="DR489" s="98">
        <f>IF(ISERROR((DQ489/DI489-1)*100),"NA",IF(((DQ489/DI489-1)*100)&gt;100,"NM",IF(((DQ489/DI489-1)*100)&lt;-50,"NM",(DQ489/DI489-1)*100)))</f>
        <v>37.142857142857146</v>
      </c>
      <c r="DS489" s="122">
        <f>-92+111</f>
        <v>19</v>
      </c>
      <c r="DT489" s="98" t="str">
        <f>IF(ISERROR((DS489/DK489-1)*100),"NA",IF(((DS489/DK489-1)*100)&gt;100,"NM",IF(((DS489/DK489-1)*100)&lt;-50,"NM",(DS489/DK489-1)*100)))</f>
        <v>NM</v>
      </c>
      <c r="DU489" s="122">
        <f>-99+139</f>
        <v>40</v>
      </c>
      <c r="DV489" s="98" t="str">
        <f>IF(ISERROR((DU489/DM489-1)*100),"NA",IF(((DU489/DM489-1)*100)&gt;100,"NM",IF(((DU489/DM489-1)*100)&lt;-50,"NM",(DU489/DM489-1)*100)))</f>
        <v>NM</v>
      </c>
      <c r="DW489" s="122">
        <f>-101+173</f>
        <v>72</v>
      </c>
      <c r="DX489" s="98">
        <f>IF(ISERROR((DW489/DO489-1)*100),"NA",IF(((DW489/DO489-1)*100)&gt;100,"NM",IF(((DW489/DO489-1)*100)&lt;-50,"NM",(DW489/DO489-1)*100)))</f>
        <v>-19.999999999999996</v>
      </c>
      <c r="DY489" s="122">
        <f>-118+154</f>
        <v>36</v>
      </c>
      <c r="DZ489" s="98" t="str">
        <f>IF(ISERROR((DY489/DQ489-1)*100),"NA",IF(((DY489/DQ489-1)*100)&gt;100,"NM",IF(((DY489/DQ489-1)*100)&lt;-50,"NM",(DY489/DQ489-1)*100)))</f>
        <v>NM</v>
      </c>
      <c r="EA489" s="122">
        <f>-100+148</f>
        <v>48</v>
      </c>
      <c r="EB489" s="98" t="str">
        <f>IF(ISERROR((EA489/DS489-1)*100),"NA",IF(((EA489/DS489-1)*100)&gt;100,"NM",IF(((EA489/DS489-1)*100)&lt;-50,"NM",(EA489/DS489-1)*100)))</f>
        <v>NM</v>
      </c>
      <c r="EC489" s="122">
        <f>-96+269</f>
        <v>173</v>
      </c>
      <c r="ED489" s="98" t="str">
        <f>IF(ISERROR((EC489/DU489-1)*100),"NA",IF(((EC489/DU489-1)*100)&gt;100,"NM",IF(((EC489/DU489-1)*100)&lt;-50,"NM",(EC489/DU489-1)*100)))</f>
        <v>NM</v>
      </c>
      <c r="EE489" s="122">
        <f>-44+219</f>
        <v>175</v>
      </c>
      <c r="EF489" s="860" t="str">
        <f>IF(ISERROR((EE489/DW489-1)*100),"NA",IF(((EE489/DW489-1)*100)&gt;100,"NM",IF(((EE489/DW489-1)*100)&lt;-50,"NM",(EE489/DW489-1)*100)))</f>
        <v>NM</v>
      </c>
      <c r="EG489" s="122">
        <f>-41+100</f>
        <v>59</v>
      </c>
      <c r="EH489" s="860">
        <f>IF(ISERROR((EG489/DY489-1)*100),"NA",IF(((EG489/DY489-1)*100)&gt;100,"NM",IF(((EG489/DY489-1)*100)&lt;-50,"NM",(EG489/DY489-1)*100)))</f>
        <v>63.888888888888886</v>
      </c>
      <c r="EI489" s="122">
        <f>-34+74</f>
        <v>40</v>
      </c>
      <c r="EJ489" s="860">
        <f t="shared" si="2980"/>
        <v>-16.666666666666664</v>
      </c>
      <c r="EK489" s="122">
        <f>-23+139</f>
        <v>116</v>
      </c>
      <c r="EL489" s="860">
        <f t="shared" si="2981"/>
        <v>-32.947976878612714</v>
      </c>
      <c r="EM489" s="122">
        <f>-14-70</f>
        <v>-84</v>
      </c>
      <c r="EN489" s="860" t="str">
        <f t="shared" si="2982"/>
        <v>NM</v>
      </c>
      <c r="EO489" s="122">
        <f>-11+159</f>
        <v>148</v>
      </c>
      <c r="EP489" s="98" t="str">
        <f t="shared" si="2983"/>
        <v>NM</v>
      </c>
      <c r="EQ489" s="950">
        <f>EO489*0.8</f>
        <v>118.4</v>
      </c>
      <c r="ER489" s="98" t="str">
        <f t="shared" si="2984"/>
        <v>NM</v>
      </c>
      <c r="ES489" s="950">
        <f t="shared" ref="ES489:ES491" si="2994">EQ489</f>
        <v>118.4</v>
      </c>
      <c r="ET489" s="98">
        <f t="shared" si="2986"/>
        <v>2.0689655172413834</v>
      </c>
      <c r="EU489" s="950">
        <f t="shared" ref="EU489:EU491" si="2995">ES489</f>
        <v>118.4</v>
      </c>
      <c r="EV489" s="98" t="str">
        <f t="shared" si="2988"/>
        <v>NM</v>
      </c>
      <c r="EW489" s="950">
        <f t="shared" ref="EW489:EW491" si="2996">EU489</f>
        <v>118.4</v>
      </c>
      <c r="EX489" s="98">
        <f t="shared" si="2990"/>
        <v>-19.999999999999996</v>
      </c>
      <c r="EY489" s="122"/>
      <c r="EZ489" s="594"/>
      <c r="FA489" s="405"/>
      <c r="FB489" s="122">
        <v>-97</v>
      </c>
      <c r="FC489" s="98"/>
      <c r="FD489" s="122">
        <v>-112</v>
      </c>
      <c r="FE489" s="98">
        <f>IF(ISERROR((FD489/FB489-1)*100),"NA",IF(((FD489/FB489-1)*100)&gt;100,"NM",IF(((FD489/FB489-1)*100)&lt;-50,"NM",(FD489/FB489-1)*100)))</f>
        <v>15.463917525773185</v>
      </c>
      <c r="FF489" s="122">
        <v>-27</v>
      </c>
      <c r="FG489" s="98" t="str">
        <f>IF(ISERROR((FF489/FD489-1)*100),"NA",IF(((FF489/FD489-1)*100)&gt;100,"NM",IF(((FF489/FD489-1)*100)&lt;-50,"NM",(FF489/FD489-1)*100)))</f>
        <v>NM</v>
      </c>
      <c r="FH489" s="122">
        <v>-98</v>
      </c>
      <c r="FI489" s="98" t="str">
        <f>IF(ISERROR((FH489/FF489-1)*100),"NA",IF(((FH489/FF489-1)*100)&gt;100,"NM",IF(((FH489/FF489-1)*100)&lt;-50,"NM",(FH489/FF489-1)*100)))</f>
        <v>NM</v>
      </c>
      <c r="FJ489" s="122">
        <v>-202</v>
      </c>
      <c r="FK489" s="98" t="str">
        <f>IF(ISERROR((FJ489/FH489-1)*100),"NA",IF(((FJ489/FH489-1)*100)&gt;100,"NM",IF(((FJ489/FH489-1)*100)&lt;-50,"NM",(FJ489/FH489-1)*100)))</f>
        <v>NM</v>
      </c>
      <c r="FL489" s="122">
        <v>-382</v>
      </c>
      <c r="FM489" s="98">
        <f>IF(ISERROR((FL489/FJ489-1)*100),"NA",IF(((FL489/FJ489-1)*100)&gt;100,"NM",IF(((FL489/FJ489-1)*100)&lt;-50,"NM",(FL489/FJ489-1)*100)))</f>
        <v>89.108910891089096</v>
      </c>
      <c r="FN489" s="118">
        <f>AI489+AK489+AM489+AO489</f>
        <v>-384</v>
      </c>
      <c r="FO489" s="98">
        <f>IF(ISERROR((FN489/FL489-1)*100),"NA",IF(((FN489/FL489-1)*100)&gt;100,"NM",IF(((FN489/FL489-1)*100)&lt;-50,"NM",(FN489/FL489-1)*100)))</f>
        <v>0.52356020942407877</v>
      </c>
      <c r="FP489" s="118">
        <f>AQ489+AS489+AU489+AW489</f>
        <v>-287</v>
      </c>
      <c r="FQ489" s="98">
        <f>IF(ISERROR((FP489/FN489-1)*100),"NA",IF(((FP489/FN489-1)*100)&gt;100,"NM",IF(((FP489/FN489-1)*100)&lt;-50,"NM",(FP489/FN489-1)*100)))</f>
        <v>-25.260416666666664</v>
      </c>
      <c r="FR489" s="123">
        <f>AY489+BA489+BC489+BE489</f>
        <v>-304</v>
      </c>
      <c r="FS489" s="120">
        <f>IF(ISERROR((FR489/FP489-1)*100),"NA",IF(((FR489/FP489-1)*100)&gt;100,"NM",IF(((FR489/FP489-1)*100)&lt;-50,"NM",(FR489/FP489-1)*100)))</f>
        <v>5.9233449477351874</v>
      </c>
      <c r="FT489" s="123">
        <f>BG489+BI489+BK489+BM489</f>
        <v>-110</v>
      </c>
      <c r="FU489" s="120" t="str">
        <f>IF(ISERROR((FT489/FR489-1)*100),"NA",IF(((FT489/FR489-1)*100)&gt;100,"NM",IF(((FT489/FR489-1)*100)&lt;-50,"NM",(FT489/FR489-1)*100)))</f>
        <v>NM</v>
      </c>
      <c r="FV489" s="123">
        <f>BO489+BQ489+BS489+BU489</f>
        <v>376</v>
      </c>
      <c r="FW489" s="98" t="str">
        <f>IF(ISERROR((FV489/FT489-1)*100),"NA",IF(((FV489/FT489-1)*100)&gt;100,"NM",IF(((FV489/FT489-1)*100)&lt;-50,"NM",(FV489/FT489-1)*100)))</f>
        <v>NM</v>
      </c>
      <c r="FX489" s="485">
        <f>BW489+BY489+CA489+CC489</f>
        <v>-643</v>
      </c>
      <c r="FY489" s="98" t="str">
        <f>IF(ISERROR((FX489/FV489-1)*100),"NA",IF(((FX489/FV489-1)*100)&gt;100,"NM",IF(((FX489/FV489-1)*100)&lt;-50,"NM",(FX489/FV489-1)*100)))</f>
        <v>NM</v>
      </c>
      <c r="FZ489" s="119">
        <f>CE489+CG489+CI489+CK489</f>
        <v>-259</v>
      </c>
      <c r="GA489" s="98" t="str">
        <f>IF(ISERROR((FZ489/FX489-1)*100),"NA",IF(((FZ489/FX489-1)*100)&gt;100,"NM",IF(((FZ489/FX489-1)*100)&lt;-50,"NM",(FZ489/FX489-1)*100)))</f>
        <v>NM</v>
      </c>
      <c r="GB489" s="485">
        <f>CM489+CO489+CQ489+CS489</f>
        <v>-576</v>
      </c>
      <c r="GC489" s="98" t="str">
        <f>IF(ISERROR((GB489/FZ489-1)*100),"NA",IF(((GB489/FZ489-1)*100)&gt;100,"NM",IF(((GB489/FZ489-1)*100)&lt;-50,"NM",(GB489/FZ489-1)*100)))</f>
        <v>NM</v>
      </c>
      <c r="GD489" s="119">
        <f>CU489+CW489+CY489+DA489</f>
        <v>-335</v>
      </c>
      <c r="GE489" s="98">
        <f>IF(ISERROR((GD489/GB489-1)*100),"NA",IF(((GD489/GB489-1)*100)&gt;100,"NM",IF(((GD489/GB489-1)*100)&lt;-50,"NM",(GD489/GB489-1)*100)))</f>
        <v>-41.840277777777779</v>
      </c>
      <c r="GF489" s="119">
        <f>DC489+DE489+DG489+DI489</f>
        <v>1</v>
      </c>
      <c r="GG489" s="98" t="str">
        <f>IF(ISERROR((GF489/GD489-1)*100),"NA",IF(((GF489/GD489-1)*100)&gt;100,"NM",IF(((GF489/GD489-1)*100)&lt;-50,"NM",(GF489/GD489-1)*100)))</f>
        <v>NM</v>
      </c>
      <c r="GH489" s="119">
        <f>DK489+DM489+DO489+DQ489</f>
        <v>426</v>
      </c>
      <c r="GI489" s="98" t="str">
        <f>IF(ISERROR((GH489/GF489-1)*100),"NA",IF(((GH489/GF489-1)*100)&gt;100,"NM",IF(((GH489/GF489-1)*100)&lt;-50,"NM",(GH489/GF489-1)*100)))</f>
        <v>NM</v>
      </c>
      <c r="GJ489" s="119">
        <f>DS489+DU489+DW489+DY489</f>
        <v>167</v>
      </c>
      <c r="GK489" s="98" t="str">
        <f>IF(ISERROR((GJ489/GH489-1)*100),"NA",IF(((GJ489/GH489-1)*100)&gt;100,"NM",IF(((GJ489/GH489-1)*100)&lt;-50,"NM",(GJ489/GH489-1)*100)))</f>
        <v>NM</v>
      </c>
      <c r="GL489" s="119">
        <f>EA489+EC489+EE489+EG489</f>
        <v>455</v>
      </c>
      <c r="GM489" s="98" t="str">
        <f>IF(ISERROR((GL489/GJ489-1)*100),"NA",IF(((GL489/GJ489-1)*100)&gt;100,"NM",IF(((GL489/GJ489-1)*100)&lt;-50,"NM",(GL489/GJ489-1)*100)))</f>
        <v>NM</v>
      </c>
      <c r="GN489" s="119">
        <f>EI489+EK489+EM489+EO489</f>
        <v>220</v>
      </c>
      <c r="GO489" s="98" t="str">
        <f>IF(ISERROR((GN489/GL489-1)*100),"NA",IF(((GN489/GL489-1)*100)&gt;100,"NM",IF(((GN489/GL489-1)*100)&lt;-50,"NM",(GN489/GL489-1)*100)))</f>
        <v>NM</v>
      </c>
      <c r="GP489" s="119">
        <f>EQ489+ES489+EU489+EW489</f>
        <v>473.6</v>
      </c>
      <c r="GQ489" s="98" t="str">
        <f>IF(ISERROR((GP489/GN489-1)*100),"NA",IF(((GP489/GN489-1)*100)&gt;100,"NM",IF(((GP489/GN489-1)*100)&lt;-50,"NM",(GP489/GN489-1)*100)))</f>
        <v>NM</v>
      </c>
      <c r="GR489" s="122">
        <f>GP489*0.99</f>
        <v>468.86400000000003</v>
      </c>
      <c r="GS489" s="98">
        <f>IF(ISERROR((GR489/GP489-1)*100),"NA",IF(((GR489/GP489-1)*100)&gt;100,"NM",IF(((GR489/GP489-1)*100)&lt;-50,"NM",(GR489/GP489-1)*100)))</f>
        <v>-1.0000000000000009</v>
      </c>
      <c r="GT489" s="122">
        <f>GR489*0.99</f>
        <v>464.17536000000001</v>
      </c>
      <c r="GU489" s="98">
        <f>IF(ISERROR((GT489/GR489-1)*100),"NA",IF(((GT489/GR489-1)*100)&gt;100,"NM",IF(((GT489/GR489-1)*100)&lt;-50,"NM",(GT489/GR489-1)*100)))</f>
        <v>-1.0000000000000009</v>
      </c>
      <c r="GV489" s="122">
        <f>GT489*0.99</f>
        <v>459.5336064</v>
      </c>
      <c r="GW489" s="98">
        <f>IF(ISERROR((GV489/GT489-1)*100),"NA",IF(((GV489/GT489-1)*100)&gt;100,"NM",IF(((GV489/GT489-1)*100)&lt;-50,"NM",(GV489/GT489-1)*100)))</f>
        <v>-1.0000000000000009</v>
      </c>
      <c r="GX489" s="122">
        <f>GV489*0.99</f>
        <v>454.93827033600002</v>
      </c>
      <c r="GY489" s="98">
        <f>IF(ISERROR((GX489/GV489-1)*100),"NA",IF(((GX489/GV489-1)*100)&gt;100,"NM",IF(((GX489/GV489-1)*100)&lt;-50,"NM",(GX489/GV489-1)*100)))</f>
        <v>-1.0000000000000009</v>
      </c>
      <c r="GZ489" s="98">
        <f>IF(ISERROR(((GX489/GN489)^0.2-1)*100),"NA",IF((((GX489/GN489)^0.2-1)*100)&gt;100,"NM",IF((((GX489/GN489)^0.2-1)*100)&lt;-50,"NM",((GX489/GN489)^0.2-1)*100)))</f>
        <v>15.639434244321016</v>
      </c>
      <c r="HA489" s="98"/>
      <c r="HB489" s="10"/>
      <c r="HC489"/>
      <c r="HD489"/>
      <c r="HE489"/>
      <c r="HF489"/>
      <c r="HG489"/>
      <c r="HH489"/>
      <c r="HI489" s="10"/>
    </row>
    <row r="490" spans="1:217" s="2" customFormat="1" ht="12.75" customHeight="1" x14ac:dyDescent="0.2">
      <c r="B490" s="1133" t="s">
        <v>750</v>
      </c>
      <c r="C490" s="122"/>
      <c r="D490" s="98"/>
      <c r="E490" s="122"/>
      <c r="F490" s="98"/>
      <c r="G490" s="122"/>
      <c r="H490" s="98"/>
      <c r="I490" s="122"/>
      <c r="J490" s="98"/>
      <c r="K490" s="122"/>
      <c r="L490" s="98"/>
      <c r="M490" s="122"/>
      <c r="N490" s="98"/>
      <c r="O490" s="122"/>
      <c r="P490" s="98"/>
      <c r="Q490" s="122"/>
      <c r="R490" s="98"/>
      <c r="S490" s="122"/>
      <c r="T490" s="98"/>
      <c r="U490" s="122"/>
      <c r="V490" s="98"/>
      <c r="W490" s="122"/>
      <c r="X490" s="98"/>
      <c r="Y490" s="122"/>
      <c r="Z490" s="98"/>
      <c r="AA490" s="122"/>
      <c r="AB490" s="98"/>
      <c r="AC490" s="122"/>
      <c r="AD490" s="98"/>
      <c r="AE490" s="122"/>
      <c r="AF490" s="98"/>
      <c r="AG490" s="122"/>
      <c r="AH490" s="98"/>
      <c r="AI490" s="122"/>
      <c r="AJ490" s="98"/>
      <c r="AK490" s="122"/>
      <c r="AL490" s="98"/>
      <c r="AM490" s="122"/>
      <c r="AN490" s="98"/>
      <c r="AO490" s="122"/>
      <c r="AP490" s="98"/>
      <c r="AQ490" s="122"/>
      <c r="AR490" s="98"/>
      <c r="AS490" s="122"/>
      <c r="AT490" s="98"/>
      <c r="AU490" s="122"/>
      <c r="AV490" s="98"/>
      <c r="AW490" s="122"/>
      <c r="AX490" s="98"/>
      <c r="AY490" s="122"/>
      <c r="AZ490" s="98"/>
      <c r="BA490" s="122"/>
      <c r="BB490" s="98"/>
      <c r="BC490" s="122"/>
      <c r="BD490" s="98"/>
      <c r="BE490" s="122"/>
      <c r="BF490" s="98"/>
      <c r="BG490" s="122"/>
      <c r="BH490" s="98"/>
      <c r="BI490" s="122"/>
      <c r="BJ490" s="98"/>
      <c r="BK490" s="122"/>
      <c r="BL490" s="98"/>
      <c r="BM490" s="122"/>
      <c r="BN490" s="98"/>
      <c r="BO490" s="122"/>
      <c r="BP490" s="98"/>
      <c r="BQ490" s="122"/>
      <c r="BR490" s="98"/>
      <c r="BS490" s="122"/>
      <c r="BT490" s="98"/>
      <c r="BU490" s="122"/>
      <c r="BV490" s="98"/>
      <c r="BW490" s="122"/>
      <c r="BX490" s="98"/>
      <c r="BY490" s="122"/>
      <c r="BZ490" s="98"/>
      <c r="CA490" s="122"/>
      <c r="CB490" s="98"/>
      <c r="CC490" s="122"/>
      <c r="CD490" s="98"/>
      <c r="CE490" s="122"/>
      <c r="CF490" s="98"/>
      <c r="CG490" s="122"/>
      <c r="CH490" s="98"/>
      <c r="CI490" s="122"/>
      <c r="CJ490" s="98"/>
      <c r="CK490" s="122"/>
      <c r="CL490" s="98"/>
      <c r="CM490" s="122"/>
      <c r="CN490" s="98"/>
      <c r="CO490" s="122"/>
      <c r="CP490" s="98"/>
      <c r="CQ490" s="547"/>
      <c r="CR490" s="98"/>
      <c r="CS490" s="122"/>
      <c r="CT490" s="98"/>
      <c r="CU490" s="122"/>
      <c r="CV490" s="98"/>
      <c r="CW490" s="122"/>
      <c r="CX490" s="98"/>
      <c r="CY490" s="122"/>
      <c r="CZ490" s="98"/>
      <c r="DA490" s="122"/>
      <c r="DB490" s="98"/>
      <c r="DC490" s="122"/>
      <c r="DD490" s="98"/>
      <c r="DE490" s="122"/>
      <c r="DF490" s="98"/>
      <c r="DG490" s="122"/>
      <c r="DH490" s="98"/>
      <c r="DI490" s="122"/>
      <c r="DJ490" s="98"/>
      <c r="DK490" s="122"/>
      <c r="DL490" s="98"/>
      <c r="DM490" s="122"/>
      <c r="DN490" s="98"/>
      <c r="DO490" s="122"/>
      <c r="DP490" s="98"/>
      <c r="DQ490" s="122"/>
      <c r="DR490" s="98"/>
      <c r="DS490" s="122">
        <v>14</v>
      </c>
      <c r="DT490" s="98"/>
      <c r="DU490" s="122">
        <v>14</v>
      </c>
      <c r="DV490" s="98"/>
      <c r="DW490" s="122">
        <v>13</v>
      </c>
      <c r="DX490" s="98"/>
      <c r="DY490" s="122">
        <v>14</v>
      </c>
      <c r="DZ490" s="98"/>
      <c r="EA490" s="122">
        <v>14</v>
      </c>
      <c r="EB490" s="98"/>
      <c r="EC490" s="122">
        <v>14</v>
      </c>
      <c r="ED490" s="98"/>
      <c r="EE490" s="122">
        <v>15</v>
      </c>
      <c r="EF490" s="860"/>
      <c r="EG490" s="122">
        <v>14</v>
      </c>
      <c r="EH490" s="860"/>
      <c r="EI490" s="122">
        <v>15</v>
      </c>
      <c r="EJ490" s="860"/>
      <c r="EK490" s="122">
        <v>5</v>
      </c>
      <c r="EL490" s="860"/>
      <c r="EM490" s="122">
        <v>2</v>
      </c>
      <c r="EN490" s="860"/>
      <c r="EO490" s="122">
        <v>2</v>
      </c>
      <c r="EP490" s="98"/>
      <c r="EQ490" s="950">
        <f>EO490</f>
        <v>2</v>
      </c>
      <c r="ER490" s="98"/>
      <c r="ES490" s="950">
        <f t="shared" si="2994"/>
        <v>2</v>
      </c>
      <c r="ET490" s="98"/>
      <c r="EU490" s="950">
        <f t="shared" si="2995"/>
        <v>2</v>
      </c>
      <c r="EV490" s="98"/>
      <c r="EW490" s="950">
        <f t="shared" si="2996"/>
        <v>2</v>
      </c>
      <c r="EX490" s="98"/>
      <c r="EY490" s="122"/>
      <c r="EZ490" s="594"/>
      <c r="FA490" s="405"/>
      <c r="FB490" s="122"/>
      <c r="FC490" s="98"/>
      <c r="FD490" s="122"/>
      <c r="FE490" s="98"/>
      <c r="FF490" s="122"/>
      <c r="FG490" s="98"/>
      <c r="FH490" s="122"/>
      <c r="FI490" s="98"/>
      <c r="FJ490" s="122"/>
      <c r="FK490" s="98"/>
      <c r="FL490" s="122"/>
      <c r="FM490" s="98"/>
      <c r="FN490" s="118"/>
      <c r="FO490" s="98"/>
      <c r="FP490" s="118"/>
      <c r="FQ490" s="98"/>
      <c r="FR490" s="123"/>
      <c r="FS490" s="120"/>
      <c r="FT490" s="123"/>
      <c r="FU490" s="120"/>
      <c r="FV490" s="123"/>
      <c r="FW490" s="98"/>
      <c r="FX490" s="485"/>
      <c r="FY490" s="98"/>
      <c r="FZ490" s="119"/>
      <c r="GA490" s="98"/>
      <c r="GB490" s="485"/>
      <c r="GC490" s="98"/>
      <c r="GD490" s="119"/>
      <c r="GE490" s="98"/>
      <c r="GF490" s="119"/>
      <c r="GG490" s="98"/>
      <c r="GH490" s="119"/>
      <c r="GI490" s="98"/>
      <c r="GJ490" s="119">
        <f>DS490+DU490+DW490+DY490</f>
        <v>55</v>
      </c>
      <c r="GK490" s="98"/>
      <c r="GL490" s="119">
        <f>EA490+EC490+EE490+EG490</f>
        <v>57</v>
      </c>
      <c r="GM490" s="98"/>
      <c r="GN490" s="119">
        <f>EI490+EK490+EM490+EO490</f>
        <v>24</v>
      </c>
      <c r="GO490" s="98"/>
      <c r="GP490" s="119">
        <f>EQ490+ES490+EU490+EW490</f>
        <v>8</v>
      </c>
      <c r="GQ490" s="98"/>
      <c r="GR490" s="122">
        <f>GP490</f>
        <v>8</v>
      </c>
      <c r="GS490" s="98"/>
      <c r="GT490" s="122">
        <f>GR490</f>
        <v>8</v>
      </c>
      <c r="GU490" s="98"/>
      <c r="GV490" s="122">
        <f>GT490</f>
        <v>8</v>
      </c>
      <c r="GW490" s="98"/>
      <c r="GX490" s="122">
        <f>GV490</f>
        <v>8</v>
      </c>
      <c r="GY490" s="98"/>
      <c r="GZ490" s="98">
        <f>IF(ISERROR(((GX490/GN490)^0.2-1)*100),"NA",IF((((GX490/GN490)^0.2-1)*100)&gt;100,"NM",IF((((GX490/GN490)^0.2-1)*100)&lt;-50,"NM",((GX490/GN490)^0.2-1)*100)))</f>
        <v>-19.72584382397693</v>
      </c>
      <c r="HA490" s="98"/>
      <c r="HB490" s="10"/>
      <c r="HC490"/>
      <c r="HD490"/>
      <c r="HE490"/>
      <c r="HF490"/>
      <c r="HG490"/>
      <c r="HH490"/>
      <c r="HI490" s="10"/>
    </row>
    <row r="491" spans="1:217" s="5" customFormat="1" ht="12.75" customHeight="1" x14ac:dyDescent="0.2">
      <c r="B491" s="179" t="s">
        <v>685</v>
      </c>
      <c r="C491" s="284"/>
      <c r="D491" s="230"/>
      <c r="E491" s="284"/>
      <c r="F491" s="230"/>
      <c r="G491" s="284"/>
      <c r="H491" s="230"/>
      <c r="I491" s="284"/>
      <c r="J491" s="230"/>
      <c r="K491" s="284"/>
      <c r="L491" s="230"/>
      <c r="M491" s="284"/>
      <c r="N491" s="230"/>
      <c r="O491" s="284"/>
      <c r="P491" s="230"/>
      <c r="Q491" s="284"/>
      <c r="R491" s="230"/>
      <c r="S491" s="284"/>
      <c r="T491" s="230"/>
      <c r="U491" s="284"/>
      <c r="V491" s="230"/>
      <c r="W491" s="284"/>
      <c r="X491" s="230"/>
      <c r="Y491" s="284"/>
      <c r="Z491" s="230"/>
      <c r="AA491" s="284"/>
      <c r="AB491" s="230"/>
      <c r="AC491" s="284"/>
      <c r="AD491" s="230"/>
      <c r="AE491" s="284"/>
      <c r="AF491" s="230"/>
      <c r="AG491" s="284"/>
      <c r="AH491" s="230"/>
      <c r="AI491" s="284"/>
      <c r="AJ491" s="230"/>
      <c r="AK491" s="284"/>
      <c r="AL491" s="230"/>
      <c r="AM491" s="284"/>
      <c r="AN491" s="230"/>
      <c r="AO491" s="284"/>
      <c r="AP491" s="230"/>
      <c r="AQ491" s="284"/>
      <c r="AR491" s="230"/>
      <c r="AS491" s="284"/>
      <c r="AT491" s="230"/>
      <c r="AU491" s="284"/>
      <c r="AV491" s="230"/>
      <c r="AW491" s="284"/>
      <c r="AX491" s="230"/>
      <c r="AY491" s="284"/>
      <c r="AZ491" s="230"/>
      <c r="BA491" s="284"/>
      <c r="BB491" s="230"/>
      <c r="BC491" s="284"/>
      <c r="BD491" s="230"/>
      <c r="BE491" s="284"/>
      <c r="BF491" s="230"/>
      <c r="BG491" s="284"/>
      <c r="BH491" s="230"/>
      <c r="BI491" s="284"/>
      <c r="BJ491" s="230"/>
      <c r="BK491" s="284"/>
      <c r="BL491" s="230"/>
      <c r="BM491" s="284"/>
      <c r="BN491" s="230"/>
      <c r="BO491" s="284"/>
      <c r="BP491" s="230"/>
      <c r="BQ491" s="284"/>
      <c r="BR491" s="230"/>
      <c r="BS491" s="284"/>
      <c r="BT491" s="230"/>
      <c r="BU491" s="284"/>
      <c r="BV491" s="230"/>
      <c r="BW491" s="284"/>
      <c r="BX491" s="230"/>
      <c r="BY491" s="284"/>
      <c r="BZ491" s="230"/>
      <c r="CA491" s="284"/>
      <c r="CB491" s="230"/>
      <c r="CC491" s="284"/>
      <c r="CD491" s="230"/>
      <c r="CE491" s="284"/>
      <c r="CF491" s="230"/>
      <c r="CG491" s="284"/>
      <c r="CH491" s="230"/>
      <c r="CI491" s="284"/>
      <c r="CJ491" s="230"/>
      <c r="CK491" s="284"/>
      <c r="CL491" s="230"/>
      <c r="CM491" s="284"/>
      <c r="CN491" s="230"/>
      <c r="CO491" s="284"/>
      <c r="CP491" s="230"/>
      <c r="CQ491" s="562"/>
      <c r="CR491" s="230"/>
      <c r="CS491" s="284"/>
      <c r="CT491" s="230"/>
      <c r="CU491" s="284"/>
      <c r="CV491" s="230"/>
      <c r="CW491" s="284"/>
      <c r="CX491" s="230"/>
      <c r="CY491" s="284"/>
      <c r="CZ491" s="230"/>
      <c r="DA491" s="284"/>
      <c r="DB491" s="230"/>
      <c r="DC491" s="284"/>
      <c r="DD491" s="230"/>
      <c r="DE491" s="284"/>
      <c r="DF491" s="230"/>
      <c r="DG491" s="284"/>
      <c r="DH491" s="230"/>
      <c r="DI491" s="284"/>
      <c r="DJ491" s="230"/>
      <c r="DK491" s="284"/>
      <c r="DL491" s="230"/>
      <c r="DM491" s="101"/>
      <c r="DN491" s="98"/>
      <c r="DO491" s="101"/>
      <c r="DP491" s="98"/>
      <c r="DQ491" s="101"/>
      <c r="DR491" s="98"/>
      <c r="DS491" s="101"/>
      <c r="DT491" s="98"/>
      <c r="DU491" s="101"/>
      <c r="DV491" s="98"/>
      <c r="DW491" s="101"/>
      <c r="DX491" s="98"/>
      <c r="DY491" s="101"/>
      <c r="DZ491" s="98"/>
      <c r="EA491" s="101"/>
      <c r="EB491" s="98"/>
      <c r="EC491" s="101"/>
      <c r="ED491" s="98"/>
      <c r="EE491" s="101"/>
      <c r="EF491" s="860"/>
      <c r="EG491" s="101"/>
      <c r="EH491" s="860"/>
      <c r="EI491" s="101"/>
      <c r="EJ491" s="860"/>
      <c r="EK491" s="101"/>
      <c r="EL491" s="860"/>
      <c r="EM491" s="101"/>
      <c r="EN491" s="860"/>
      <c r="EO491" s="101"/>
      <c r="EP491" s="98"/>
      <c r="EQ491" s="952">
        <v>50</v>
      </c>
      <c r="ER491" s="98"/>
      <c r="ES491" s="952">
        <f t="shared" si="2994"/>
        <v>50</v>
      </c>
      <c r="ET491" s="98"/>
      <c r="EU491" s="952">
        <f t="shared" si="2995"/>
        <v>50</v>
      </c>
      <c r="EV491" s="98"/>
      <c r="EW491" s="952">
        <f t="shared" si="2996"/>
        <v>50</v>
      </c>
      <c r="EX491" s="98"/>
      <c r="EY491" s="121"/>
      <c r="EZ491" s="594"/>
      <c r="FA491" s="405"/>
      <c r="FB491" s="200"/>
      <c r="FC491" s="200"/>
      <c r="FD491" s="121"/>
      <c r="FE491" s="98"/>
      <c r="FF491" s="118"/>
      <c r="FG491" s="98"/>
      <c r="FH491" s="118"/>
      <c r="FI491" s="98"/>
      <c r="FJ491" s="118"/>
      <c r="FK491" s="98"/>
      <c r="FL491" s="118"/>
      <c r="FM491" s="98"/>
      <c r="FN491" s="118"/>
      <c r="FO491" s="98"/>
      <c r="FP491" s="118"/>
      <c r="FQ491" s="98"/>
      <c r="FR491" s="119"/>
      <c r="FS491" s="120"/>
      <c r="FT491" s="119"/>
      <c r="FU491" s="98"/>
      <c r="FV491" s="121"/>
      <c r="FW491" s="98"/>
      <c r="FX491" s="485"/>
      <c r="FY491" s="98"/>
      <c r="FZ491" s="119"/>
      <c r="GA491" s="98"/>
      <c r="GB491" s="542"/>
      <c r="GC491" s="98"/>
      <c r="GD491" s="119"/>
      <c r="GE491" s="98"/>
      <c r="GF491" s="119"/>
      <c r="GG491" s="98"/>
      <c r="GH491" s="119"/>
      <c r="GI491" s="98"/>
      <c r="GJ491" s="119"/>
      <c r="GK491" s="98"/>
      <c r="GL491" s="119">
        <f t="shared" ref="GL491" si="2997">EA491+EC491+EE491+EG491</f>
        <v>0</v>
      </c>
      <c r="GM491" s="98"/>
      <c r="GN491" s="119">
        <f t="shared" ref="GN491" si="2998">EI491+EK491+EM491+EO491</f>
        <v>0</v>
      </c>
      <c r="GO491" s="98"/>
      <c r="GP491" s="119">
        <f>EQ491+ES491+EU491+EW491</f>
        <v>200</v>
      </c>
      <c r="GQ491" s="98"/>
      <c r="GR491" s="121">
        <v>250</v>
      </c>
      <c r="GS491" s="98"/>
      <c r="GT491" s="121">
        <v>250</v>
      </c>
      <c r="GU491" s="98"/>
      <c r="GV491" s="121">
        <f>GT491</f>
        <v>250</v>
      </c>
      <c r="GW491" s="98"/>
      <c r="GX491" s="121">
        <f>GV491</f>
        <v>250</v>
      </c>
      <c r="GY491" s="98"/>
      <c r="GZ491" s="98" t="s">
        <v>494</v>
      </c>
      <c r="HA491" s="98"/>
      <c r="HB491" s="15"/>
      <c r="HC491"/>
      <c r="HD491"/>
      <c r="HE491"/>
      <c r="HF491"/>
      <c r="HG491"/>
      <c r="HH491"/>
      <c r="HI491" s="15"/>
    </row>
    <row r="492" spans="1:217" s="2" customFormat="1" ht="12.75" customHeight="1" x14ac:dyDescent="0.2">
      <c r="B492" s="131" t="s">
        <v>160</v>
      </c>
      <c r="C492" s="182">
        <f>C489+C488+C487+C472</f>
        <v>517</v>
      </c>
      <c r="D492" s="98"/>
      <c r="E492" s="182">
        <f>E489+E488+E487+E472</f>
        <v>512</v>
      </c>
      <c r="F492" s="98"/>
      <c r="G492" s="182">
        <f>G489+G488+G487+G472</f>
        <v>544</v>
      </c>
      <c r="H492" s="98"/>
      <c r="I492" s="182">
        <f>I489+I488+I487+I472</f>
        <v>594</v>
      </c>
      <c r="J492" s="98"/>
      <c r="K492" s="182">
        <f>K489+K488+K487+K472</f>
        <v>547</v>
      </c>
      <c r="L492" s="98">
        <f>IF(ISERROR((K492/C492-1)*100),"NA",IF(((K492/C492-1)*100)&gt;100,"NM",IF(((K492/C492-1)*100)&lt;-50,"NM",(K492/C492-1)*100)))</f>
        <v>5.8027079303675011</v>
      </c>
      <c r="M492" s="182">
        <f>M489+M488+M487+M472</f>
        <v>541</v>
      </c>
      <c r="N492" s="98">
        <f>IF(ISERROR((M492/E492-1)*100),"NA",IF(((M492/E492-1)*100)&gt;100,"NM",IF(((M492/E492-1)*100)&lt;-50,"NM",(M492/E492-1)*100)))</f>
        <v>5.6640625</v>
      </c>
      <c r="O492" s="182">
        <f>O489+O488+O487+O472</f>
        <v>525</v>
      </c>
      <c r="P492" s="98">
        <f>IF(ISERROR((O492/G492-1)*100),"NA",IF(((O492/G492-1)*100)&gt;100,"NM",IF(((O492/G492-1)*100)&lt;-50,"NM",(O492/G492-1)*100)))</f>
        <v>-3.4926470588235281</v>
      </c>
      <c r="Q492" s="182">
        <f>Q489+Q488+Q487+Q472</f>
        <v>524.9</v>
      </c>
      <c r="R492" s="98">
        <f>IF(ISERROR((Q492/I492-1)*100),"NA",IF(((Q492/I492-1)*100)&gt;100,"NM",IF(((Q492/I492-1)*100)&lt;-50,"NM",(Q492/I492-1)*100)))</f>
        <v>-11.63299663299664</v>
      </c>
      <c r="S492" s="182">
        <f>S489+S488+S487+S472</f>
        <v>503</v>
      </c>
      <c r="T492" s="98">
        <f>IF(ISERROR((S492/K492-1)*100),"NA",IF(((S492/K492-1)*100)&gt;100,"NM",IF(((S492/K492-1)*100)&lt;-50,"NM",(S492/K492-1)*100)))</f>
        <v>-8.0438756855575893</v>
      </c>
      <c r="U492" s="182">
        <f>U489+U488+U487+U472</f>
        <v>512</v>
      </c>
      <c r="V492" s="98">
        <f>IF(ISERROR((U492/M492-1)*100),"NA",IF(((U492/M492-1)*100)&gt;100,"NM",IF(((U492/M492-1)*100)&lt;-50,"NM",(U492/M492-1)*100)))</f>
        <v>-5.3604436229205188</v>
      </c>
      <c r="W492" s="182">
        <f>W489+W488+W487+W472</f>
        <v>549</v>
      </c>
      <c r="X492" s="98">
        <f>IF(ISERROR((W492/O492-1)*100),"NA",IF(((W492/O492-1)*100)&gt;100,"NM",IF(((W492/O492-1)*100)&lt;-50,"NM",(W492/O492-1)*100)))</f>
        <v>4.5714285714285818</v>
      </c>
      <c r="Y492" s="182">
        <f>Y489+Y488+Y487+Y472</f>
        <v>566</v>
      </c>
      <c r="Z492" s="98">
        <f>IF(ISERROR((Y492/Q492-1)*100),"NA",IF(((Y492/Q492-1)*100)&gt;100,"NM",IF(((Y492/Q492-1)*100)&lt;-50,"NM",(Y492/Q492-1)*100)))</f>
        <v>7.8300628691179375</v>
      </c>
      <c r="AA492" s="182">
        <f>AA489+AA488+AA487+AA472</f>
        <v>518</v>
      </c>
      <c r="AB492" s="98">
        <f>IF(ISERROR((AA492/S492-1)*100),"NA",IF(((AA492/S492-1)*100)&gt;100,"NM",IF(((AA492/S492-1)*100)&lt;-50,"NM",(AA492/S492-1)*100)))</f>
        <v>2.9821073558648159</v>
      </c>
      <c r="AC492" s="182">
        <f>AC489+AC488+AC487+AC472</f>
        <v>519</v>
      </c>
      <c r="AD492" s="98">
        <f>IF(ISERROR((AC492/U492-1)*100),"NA",IF(((AC492/U492-1)*100)&gt;100,"NM",IF(((AC492/U492-1)*100)&lt;-50,"NM",(AC492/U492-1)*100)))</f>
        <v>1.3671875</v>
      </c>
      <c r="AE492" s="182">
        <f>AE489+AE488+AE487+AE472</f>
        <v>516</v>
      </c>
      <c r="AF492" s="98">
        <f>IF(ISERROR((AE492/W492-1)*100),"NA",IF(((AE492/W492-1)*100)&gt;100,"NM",IF(((AE492/W492-1)*100)&lt;-50,"NM",(AE492/W492-1)*100)))</f>
        <v>-6.010928961748629</v>
      </c>
      <c r="AG492" s="182">
        <f>AG489+AG488+AG487+AG472</f>
        <v>538</v>
      </c>
      <c r="AH492" s="98">
        <f>IF(ISERROR((AG492/Y492-1)*100),"NA",IF(((AG492/Y492-1)*100)&gt;100,"NM",IF(((AG492/Y492-1)*100)&lt;-50,"NM",(AG492/Y492-1)*100)))</f>
        <v>-4.9469964664310968</v>
      </c>
      <c r="AI492" s="182">
        <f>AI489+AI488+AI487+AI472</f>
        <v>525</v>
      </c>
      <c r="AJ492" s="98">
        <f>IF(ISERROR((AI492/AA492-1)*100),"NA",IF(((AI492/AA492-1)*100)&gt;100,"NM",IF(((AI492/AA492-1)*100)&lt;-50,"NM",(AI492/AA492-1)*100)))</f>
        <v>1.3513513513513598</v>
      </c>
      <c r="AK492" s="182">
        <f>AK489+AK488+AK487+AK472</f>
        <v>536</v>
      </c>
      <c r="AL492" s="98">
        <f>IF(ISERROR((AK492/AC492-1)*100),"NA",IF(((AK492/AC492-1)*100)&gt;100,"NM",IF(((AK492/AC492-1)*100)&lt;-50,"NM",(AK492/AC492-1)*100)))</f>
        <v>3.2755298651252485</v>
      </c>
      <c r="AM492" s="182">
        <f>AM489+AM488+AM487+AM472</f>
        <v>547</v>
      </c>
      <c r="AN492" s="98">
        <f>IF(ISERROR((AM492/AE492-1)*100),"NA",IF(((AM492/AE492-1)*100)&gt;100,"NM",IF(((AM492/AE492-1)*100)&lt;-50,"NM",(AM492/AE492-1)*100)))</f>
        <v>6.0077519379845068</v>
      </c>
      <c r="AO492" s="182">
        <f>AO489+AO488+AO487+AO472</f>
        <v>567</v>
      </c>
      <c r="AP492" s="98">
        <f>IF(ISERROR((AO492/AG492-1)*100),"NA",IF(((AO492/AG492-1)*100)&gt;100,"NM",IF(((AO492/AG492-1)*100)&lt;-50,"NM",(AO492/AG492-1)*100)))</f>
        <v>5.3903345724906959</v>
      </c>
      <c r="AQ492" s="182">
        <f>AQ489+AQ488+AQ487+AQ472</f>
        <v>552</v>
      </c>
      <c r="AR492" s="98">
        <f>IF(ISERROR((AQ492/AI492-1)*100),"NA",IF(((AQ492/AI492-1)*100)&gt;100,"NM",IF(((AQ492/AI492-1)*100)&lt;-50,"NM",(AQ492/AI492-1)*100)))</f>
        <v>5.1428571428571379</v>
      </c>
      <c r="AS492" s="182">
        <f>AS489+AS488+AS487+AS472</f>
        <v>575</v>
      </c>
      <c r="AT492" s="98">
        <f>IF(ISERROR((AS492/AK492-1)*100),"NA",IF(((AS492/AK492-1)*100)&gt;100,"NM",IF(((AS492/AK492-1)*100)&lt;-50,"NM",(AS492/AK492-1)*100)))</f>
        <v>7.2761194029850706</v>
      </c>
      <c r="AU492" s="182">
        <f>AU489+AU488+AU487+AU472</f>
        <v>886</v>
      </c>
      <c r="AV492" s="98">
        <f>IF(ISERROR((AU492/AM492-1)*100),"NA",IF(((AU492/AM492-1)*100)&gt;100,"NM",IF(((AU492/AM492-1)*100)&lt;-50,"NM",(AU492/AM492-1)*100)))</f>
        <v>61.974405850091415</v>
      </c>
      <c r="AW492" s="182">
        <f>AW489+AW488+AW487+AW472</f>
        <v>820</v>
      </c>
      <c r="AX492" s="98">
        <f>IF(ISERROR((AW492/AO492-1)*100),"NA",IF(((AW492/AO492-1)*100)&gt;100,"NM",IF(((AW492/AO492-1)*100)&lt;-50,"NM",(AW492/AO492-1)*100)))</f>
        <v>44.620811287477949</v>
      </c>
      <c r="AY492" s="182">
        <f>AY489+AY488+AY487+AY472</f>
        <v>814</v>
      </c>
      <c r="AZ492" s="98">
        <f>IF(ISERROR((AY492/AQ492-1)*100),"NA",IF(((AY492/AQ492-1)*100)&gt;100,"NM",IF(((AY492/AQ492-1)*100)&lt;-50,"NM",(AY492/AQ492-1)*100)))</f>
        <v>47.463768115942038</v>
      </c>
      <c r="BA492" s="182">
        <f>BA489+BA488+BA487+BA472</f>
        <v>840</v>
      </c>
      <c r="BB492" s="98">
        <f>IF(ISERROR((BA492/AS492-1)*100),"NA",IF(((BA492/AS492-1)*100)&gt;100,"NM",IF(((BA492/AS492-1)*100)&lt;-50,"NM",(BA492/AS492-1)*100)))</f>
        <v>46.086956521739133</v>
      </c>
      <c r="BC492" s="182">
        <f>BC489+BC488+BC487+BC472</f>
        <v>837</v>
      </c>
      <c r="BD492" s="98">
        <f>IF(ISERROR((BC492/AU492-1)*100),"NA",IF(((BC492/AU492-1)*100)&gt;100,"NM",IF(((BC492/AU492-1)*100)&lt;-50,"NM",(BC492/AU492-1)*100)))</f>
        <v>-5.5304740406320496</v>
      </c>
      <c r="BE492" s="182">
        <f>BE489+BE488+BE487+BE472</f>
        <v>878</v>
      </c>
      <c r="BF492" s="98">
        <f>IF(ISERROR((BE492/AW492-1)*100),"NA",IF(((BE492/AW492-1)*100)&gt;100,"NM",IF(((BE492/AW492-1)*100)&lt;-50,"NM",(BE492/AW492-1)*100)))</f>
        <v>7.0731707317073234</v>
      </c>
      <c r="BG492" s="182">
        <f>BG489+BG488+BG487+BG472</f>
        <v>893</v>
      </c>
      <c r="BH492" s="98">
        <f>IF(ISERROR((BG492/AY492-1)*100),"NA",IF(((BG492/AY492-1)*100)&gt;100,"NM",IF(((BG492/AY492-1)*100)&lt;-50,"NM",(BG492/AY492-1)*100)))</f>
        <v>9.7051597051597049</v>
      </c>
      <c r="BI492" s="182">
        <f>BI489+BI488+BI487+BI472</f>
        <v>866</v>
      </c>
      <c r="BJ492" s="98">
        <f>IF(ISERROR((BI492/BA492-1)*100),"NA",IF(((BI492/BA492-1)*100)&gt;100,"NM",IF(((BI492/BA492-1)*100)&lt;-50,"NM",(BI492/BA492-1)*100)))</f>
        <v>3.0952380952380842</v>
      </c>
      <c r="BK492" s="182">
        <f>BK489+BK488+BK487+BK472</f>
        <v>861</v>
      </c>
      <c r="BL492" s="98">
        <f>IF(ISERROR((BK492/BC492-1)*100),"NA",IF(((BK492/BC492-1)*100)&gt;100,"NM",IF(((BK492/BC492-1)*100)&lt;-50,"NM",(BK492/BC492-1)*100)))</f>
        <v>2.8673835125448077</v>
      </c>
      <c r="BM492" s="182">
        <f>BM489+BM488+BM487+BM472</f>
        <v>1014</v>
      </c>
      <c r="BN492" s="98">
        <f>IF(ISERROR((BM492/BE492-1)*100),"NA",IF(((BM492/BE492-1)*100)&gt;100,"NM",IF(((BM492/BE492-1)*100)&lt;-50,"NM",(BM492/BE492-1)*100)))</f>
        <v>15.489749430523926</v>
      </c>
      <c r="BO492" s="182">
        <f>BO489+BO488+BO487+BO472</f>
        <v>928</v>
      </c>
      <c r="BP492" s="98">
        <f>IF(ISERROR((BO492/BG492-1)*100),"NA",IF(((BO492/BG492-1)*100)&gt;100,"NM",IF(((BO492/BG492-1)*100)&lt;-50,"NM",(BO492/BG492-1)*100)))</f>
        <v>3.919372900335949</v>
      </c>
      <c r="BQ492" s="182">
        <f>BQ489+BQ488+BQ487+BQ472</f>
        <v>951</v>
      </c>
      <c r="BR492" s="98">
        <f>IF(ISERROR((BQ492/BI492-1)*100),"NA",IF(((BQ492/BI492-1)*100)&gt;100,"NM",IF(((BQ492/BI492-1)*100)&lt;-50,"NM",(BQ492/BI492-1)*100)))</f>
        <v>9.8152424942263181</v>
      </c>
      <c r="BS492" s="182">
        <f>BS489+BS488+BS487+BS472</f>
        <v>991</v>
      </c>
      <c r="BT492" s="98">
        <f>IF(ISERROR((BS492/BK492-1)*100),"NA",IF(((BS492/BK492-1)*100)&gt;100,"NM",IF(((BS492/BK492-1)*100)&lt;-50,"NM",(BS492/BK492-1)*100)))</f>
        <v>15.098722415795596</v>
      </c>
      <c r="BU492" s="182">
        <f>BU489+BU488+BU487+BU472</f>
        <v>1419</v>
      </c>
      <c r="BV492" s="98">
        <f>IF(ISERROR((BU492/BM492-1)*100),"NA",IF(((BU492/BM492-1)*100)&gt;100,"NM",IF(((BU492/BM492-1)*100)&lt;-50,"NM",(BU492/BM492-1)*100)))</f>
        <v>39.940828402366854</v>
      </c>
      <c r="BW492" s="182">
        <f>BW489+BW488+BW487+BW472</f>
        <v>1343</v>
      </c>
      <c r="BX492" s="98">
        <f>IF(ISERROR((BW492/BO492-1)*100),"NA",IF(((BW492/BO492-1)*100)&gt;100,"NM",IF(((BW492/BO492-1)*100)&lt;-50,"NM",(BW492/BO492-1)*100)))</f>
        <v>44.719827586206897</v>
      </c>
      <c r="BY492" s="182">
        <f>BY489+BY488+BY487+BY472</f>
        <v>1074</v>
      </c>
      <c r="BZ492" s="98">
        <f>IF(ISERROR((BY492/BQ492-1)*100),"NA",IF(((BY492/BQ492-1)*100)&gt;100,"NM",IF(((BY492/BQ492-1)*100)&lt;-50,"NM",(BY492/BQ492-1)*100)))</f>
        <v>12.933753943217674</v>
      </c>
      <c r="CA492" s="182">
        <f>CA489+CA488+CA487+CA472</f>
        <v>1254</v>
      </c>
      <c r="CB492" s="98">
        <f>IF(ISERROR((CA492/BS492-1)*100),"NA",IF(((CA492/BS492-1)*100)&gt;100,"NM",IF(((CA492/BS492-1)*100)&lt;-50,"NM",(CA492/BS492-1)*100)))</f>
        <v>26.538849646821383</v>
      </c>
      <c r="CC492" s="182">
        <f>CC489+CC488+CC487+CC472</f>
        <v>1329</v>
      </c>
      <c r="CD492" s="98">
        <f>IF(ISERROR((CC492/BU492-1)*100),"NA",IF(((CC492/BU492-1)*100)&gt;100,"NM",IF(((CC492/BU492-1)*100)&lt;-50,"NM",(CC492/BU492-1)*100)))</f>
        <v>-6.3424947145877431</v>
      </c>
      <c r="CE492" s="182">
        <f>CE489+CE488+CE487+CE472</f>
        <v>1311</v>
      </c>
      <c r="CF492" s="98">
        <f>IF(ISERROR((CE492/BW492-1)*100),"NA",IF(((CE492/BW492-1)*100)&gt;100,"NM",IF(((CE492/BW492-1)*100)&lt;-50,"NM",(CE492/BW492-1)*100)))</f>
        <v>-2.3827252419955314</v>
      </c>
      <c r="CG492" s="182">
        <f>CG489+CG488+CG487+CG472</f>
        <v>1445</v>
      </c>
      <c r="CH492" s="98">
        <f>IF(ISERROR((CG492/BY492-1)*100),"NA",IF(((CG492/BY492-1)*100)&gt;100,"NM",IF(((CG492/BY492-1)*100)&lt;-50,"NM",(CG492/BY492-1)*100)))</f>
        <v>34.543761638733713</v>
      </c>
      <c r="CI492" s="182">
        <f>CI489+CI488+CI487+CI472</f>
        <v>1272</v>
      </c>
      <c r="CJ492" s="98">
        <f>IF(ISERROR((CI492/CA492-1)*100),"NA",IF(((CI492/CA492-1)*100)&gt;100,"NM",IF(((CI492/CA492-1)*100)&lt;-50,"NM",(CI492/CA492-1)*100)))</f>
        <v>1.4354066985645897</v>
      </c>
      <c r="CK492" s="182">
        <f>CK489+CK488+CK487+CK472</f>
        <v>1252</v>
      </c>
      <c r="CL492" s="98">
        <f>IF(ISERROR((CK492/CC492-1)*100),"NA",IF(((CK492/CC492-1)*100)&gt;100,"NM",IF(((CK492/CC492-1)*100)&lt;-50,"NM",(CK492/CC492-1)*100)))</f>
        <v>-5.7938299473288213</v>
      </c>
      <c r="CM492" s="182">
        <f>CM489+CM488+CM487+CM472</f>
        <v>1130</v>
      </c>
      <c r="CN492" s="98">
        <f>IF(ISERROR((CM492/CE492-1)*100),"NA",IF(((CM492/CE492-1)*100)&gt;100,"NM",IF(((CM492/CE492-1)*100)&lt;-50,"NM",(CM492/CE492-1)*100)))</f>
        <v>-13.806254767353165</v>
      </c>
      <c r="CO492" s="182">
        <f>CO489+CO488+CO487+CO472</f>
        <v>1273</v>
      </c>
      <c r="CP492" s="98">
        <f>IF(ISERROR((CO492/CG492-1)*100),"NA",IF(((CO492/CG492-1)*100)&gt;100,"NM",IF(((CO492/CG492-1)*100)&lt;-50,"NM",(CO492/CG492-1)*100)))</f>
        <v>-11.903114186851216</v>
      </c>
      <c r="CQ492" s="182">
        <f>CQ489+CQ488+CQ487+CQ472</f>
        <v>1548</v>
      </c>
      <c r="CR492" s="98">
        <f>IF(ISERROR((CQ492/CI492-1)*100),"NA",IF(((CQ492/CI492-1)*100)&gt;100,"NM",IF(((CQ492/CI492-1)*100)&lt;-50,"NM",(CQ492/CI492-1)*100)))</f>
        <v>21.698113207547177</v>
      </c>
      <c r="CS492" s="182">
        <f>CS489+CS488+CS487+CS472</f>
        <v>1337</v>
      </c>
      <c r="CT492" s="98">
        <f>IF(ISERROR((CS492/CK492-1)*100),"NA",IF(((CS492/CK492-1)*100)&gt;100,"NM",IF(((CS492/CK492-1)*100)&lt;-50,"NM",(CS492/CK492-1)*100)))</f>
        <v>6.7891373801916899</v>
      </c>
      <c r="CU492" s="182">
        <f>CU489+CU488+CU487+CU472</f>
        <v>1289</v>
      </c>
      <c r="CV492" s="98">
        <f>IF(ISERROR((CU492/CM492-1)*100),"NA",IF(((CU492/CM492-1)*100)&gt;100,"NM",IF(((CU492/CM492-1)*100)&lt;-50,"NM",(CU492/CM492-1)*100)))</f>
        <v>14.070796460176993</v>
      </c>
      <c r="CW492" s="182">
        <f>CW489+CW488+CW487+CW472</f>
        <v>1300</v>
      </c>
      <c r="CX492" s="98">
        <f>IF(ISERROR((CW492/CO492-1)*100),"NA",IF(((CW492/CO492-1)*100)&gt;100,"NM",IF(((CW492/CO492-1)*100)&lt;-50,"NM",(CW492/CO492-1)*100)))</f>
        <v>2.1209740769835062</v>
      </c>
      <c r="CY492" s="182">
        <f>CY489+CY488+CY487+CY472</f>
        <v>1236</v>
      </c>
      <c r="CZ492" s="98">
        <f>IF(ISERROR((CY492/CQ492-1)*100),"NA",IF(((CY492/CQ492-1)*100)&gt;100,"NM",IF(((CY492/CQ492-1)*100)&lt;-50,"NM",(CY492/CQ492-1)*100)))</f>
        <v>-20.155038759689926</v>
      </c>
      <c r="DA492" s="182">
        <f>DA489+DA488+DA487+DA472</f>
        <v>999</v>
      </c>
      <c r="DB492" s="98">
        <f>IF(ISERROR((DA492/CS492-1)*100),"NA",IF(((DA492/CS492-1)*100)&gt;100,"NM",IF(((DA492/CS492-1)*100)&lt;-50,"NM",(DA492/CS492-1)*100)))</f>
        <v>-25.280478683620046</v>
      </c>
      <c r="DC492" s="182">
        <f>DC489+DC488+DC487+DC472</f>
        <v>1154</v>
      </c>
      <c r="DD492" s="98">
        <f>IF(ISERROR((DC492/CU492-1)*100),"NA",IF(((DC492/CU492-1)*100)&gt;100,"NM",IF(((DC492/CU492-1)*100)&lt;-50,"NM",(DC492/CU492-1)*100)))</f>
        <v>-10.473235065942587</v>
      </c>
      <c r="DE492" s="182">
        <f>DE489+DE488+DE487+DE472</f>
        <v>1229</v>
      </c>
      <c r="DF492" s="98">
        <f>IF(ISERROR((DE492/CW492-1)*100),"NA",IF(((DE492/CW492-1)*100)&gt;100,"NM",IF(((DE492/CW492-1)*100)&lt;-50,"NM",(DE492/CW492-1)*100)))</f>
        <v>-5.4615384615384617</v>
      </c>
      <c r="DG492" s="182">
        <f>DG489+DG488+DG487+DG472</f>
        <v>1153</v>
      </c>
      <c r="DH492" s="98">
        <f>IF(ISERROR((DG492/CY492-1)*100),"NA",IF(((DG492/CY492-1)*100)&gt;100,"NM",IF(((DG492/CY492-1)*100)&lt;-50,"NM",(DG492/CY492-1)*100)))</f>
        <v>-6.7152103559870557</v>
      </c>
      <c r="DI492" s="182">
        <f>DI489+DI488+DI487+DI472</f>
        <v>1332</v>
      </c>
      <c r="DJ492" s="98">
        <f>IF(ISERROR((DI492/DA492-1)*100),"NA",IF(((DI492/DA492-1)*100)&gt;100,"NM",IF(((DI492/DA492-1)*100)&lt;-50,"NM",(DI492/DA492-1)*100)))</f>
        <v>33.333333333333329</v>
      </c>
      <c r="DK492" s="182">
        <f>DK489+DK488+DK487+DK472</f>
        <v>1405</v>
      </c>
      <c r="DL492" s="98">
        <f>IF(ISERROR((DK492/DC492-1)*100),"NA",IF(((DK492/DC492-1)*100)&gt;100,"NM",IF(((DK492/DC492-1)*100)&lt;-50,"NM",(DK492/DC492-1)*100)))</f>
        <v>21.750433275563253</v>
      </c>
      <c r="DM492" s="182">
        <f>DM489+DM488+DM487+DM472</f>
        <v>1419</v>
      </c>
      <c r="DN492" s="98">
        <f>IF(ISERROR((DM492/DE492-1)*100),"NA",IF(((DM492/DE492-1)*100)&gt;100,"NM",IF(((DM492/DE492-1)*100)&lt;-50,"NM",(DM492/DE492-1)*100)))</f>
        <v>15.459723352318955</v>
      </c>
      <c r="DO492" s="182">
        <f>DO489+DO488+DO487+DO472</f>
        <v>1550</v>
      </c>
      <c r="DP492" s="98">
        <f>IF(ISERROR((DO492/DG492-1)*100),"NA",IF(((DO492/DG492-1)*100)&gt;100,"NM",IF(((DO492/DG492-1)*100)&lt;-50,"NM",(DO492/DG492-1)*100)))</f>
        <v>34.431916738941879</v>
      </c>
      <c r="DQ492" s="182">
        <f>DQ489+DQ488+DQ487+DQ472</f>
        <v>1403</v>
      </c>
      <c r="DR492" s="98">
        <f>IF(ISERROR((DQ492/DI492-1)*100),"NA",IF(((DQ492/DI492-1)*100)&gt;100,"NM",IF(((DQ492/DI492-1)*100)&lt;-50,"NM",(DQ492/DI492-1)*100)))</f>
        <v>5.330330330330324</v>
      </c>
      <c r="DS492" s="182">
        <f>SUM(DS487:DS491)+DS472</f>
        <v>2754</v>
      </c>
      <c r="DT492" s="98">
        <f>IF(ISERROR((DS492/DK492-1)*100),"NA",IF(((DS492/DK492-1)*100)&gt;100,"NM",IF(((DS492/DK492-1)*100)&lt;-50,"NM",(DS492/DK492-1)*100)))</f>
        <v>96.014234875444842</v>
      </c>
      <c r="DU492" s="182">
        <f>SUM(DU487:DU491)+DU472</f>
        <v>2795</v>
      </c>
      <c r="DV492" s="98">
        <f>IF(ISERROR((DU492/DM492-1)*100),"NA",IF(((DU492/DM492-1)*100)&gt;100,"NM",IF(((DU492/DM492-1)*100)&lt;-50,"NM",(DU492/DM492-1)*100)))</f>
        <v>96.969696969696969</v>
      </c>
      <c r="DW492" s="182">
        <f>SUM(DW487:DW491)+DW472</f>
        <v>2883</v>
      </c>
      <c r="DX492" s="98">
        <f>IF(ISERROR((DW492/DO492-1)*100),"NA",IF(((DW492/DO492-1)*100)&gt;100,"NM",IF(((DW492/DO492-1)*100)&lt;-50,"NM",(DW492/DO492-1)*100)))</f>
        <v>86.000000000000014</v>
      </c>
      <c r="DY492" s="182">
        <f>SUM(DY487:DY491)+DY472</f>
        <v>2903</v>
      </c>
      <c r="DZ492" s="98" t="str">
        <f>IF(ISERROR((DY492/DQ492-1)*100),"NA",IF(((DY492/DQ492-1)*100)&gt;100,"NM",IF(((DY492/DQ492-1)*100)&lt;-50,"NM",(DY492/DQ492-1)*100)))</f>
        <v>NM</v>
      </c>
      <c r="EA492" s="182">
        <f>SUM(EA487:EA491)+EA472</f>
        <v>2739</v>
      </c>
      <c r="EB492" s="98">
        <f>IF(ISERROR((EA492/DS492-1)*100),"NA",IF(((EA492/DS492-1)*100)&gt;100,"NM",IF(((EA492/DS492-1)*100)&lt;-50,"NM",(EA492/DS492-1)*100)))</f>
        <v>-0.54466230936819349</v>
      </c>
      <c r="EC492" s="182">
        <f>SUM(EC487:EC491)+EC472</f>
        <v>3239</v>
      </c>
      <c r="ED492" s="98">
        <f>IF(ISERROR((EC492/DU492-1)*100),"NA",IF(((EC492/DU492-1)*100)&gt;100,"NM",IF(((EC492/DU492-1)*100)&lt;-50,"NM",(EC492/DU492-1)*100)))</f>
        <v>15.885509838998214</v>
      </c>
      <c r="EE492" s="182">
        <f>SUM(EE487:EE491)+EE472</f>
        <v>2705</v>
      </c>
      <c r="EF492" s="860">
        <f>IF(ISERROR((EE492/DW492-1)*100),"NA",IF(((EE492/DW492-1)*100)&gt;100,"NM",IF(((EE492/DW492-1)*100)&lt;-50,"NM",(EE492/DW492-1)*100)))</f>
        <v>-6.1741241762053427</v>
      </c>
      <c r="EG492" s="182">
        <f>SUM(EG487:EG491)+EG472</f>
        <v>2794</v>
      </c>
      <c r="EH492" s="860">
        <f>IF(ISERROR((EG492/DY492-1)*100),"NA",IF(((EG492/DY492-1)*100)&gt;100,"NM",IF(((EG492/DY492-1)*100)&lt;-50,"NM",(EG492/DY492-1)*100)))</f>
        <v>-3.7547364795039617</v>
      </c>
      <c r="EI492" s="182">
        <f>SUM(EI487:EI491)+EI472</f>
        <v>2385</v>
      </c>
      <c r="EJ492" s="860">
        <f t="shared" si="2980"/>
        <v>-12.924424972617743</v>
      </c>
      <c r="EK492" s="182">
        <f>SUM(EK487:EK491)+EK472</f>
        <v>2463</v>
      </c>
      <c r="EL492" s="860">
        <f t="shared" si="2981"/>
        <v>-23.95801173201605</v>
      </c>
      <c r="EM492" s="182">
        <f>SUM(EM487:EM491)+EM472</f>
        <v>2227</v>
      </c>
      <c r="EN492" s="860">
        <f t="shared" si="2982"/>
        <v>-17.670979667282804</v>
      </c>
      <c r="EO492" s="182">
        <f>SUM(EO487:EO491)+EO472</f>
        <v>2552</v>
      </c>
      <c r="EP492" s="98">
        <f t="shared" si="2983"/>
        <v>-8.6614173228346409</v>
      </c>
      <c r="EQ492" s="182">
        <f>SUM(EQ487:EQ491)+EQ472</f>
        <v>2507.9493061408148</v>
      </c>
      <c r="ER492" s="98">
        <f t="shared" ref="ER492" si="2999">IF(ISERROR((EQ492/EI492-1)*100),"NA",IF(((EQ492/EI492-1)*100)&gt;100,"NM",IF(((EQ492/EI492-1)*100)&lt;-50,"NM",(EQ492/EI492-1)*100)))</f>
        <v>5.1551071757155009</v>
      </c>
      <c r="ES492" s="182">
        <f t="shared" ref="ES492" si="3000">SUM(ES487:ES491)+ES472</f>
        <v>2484.2594499979755</v>
      </c>
      <c r="ET492" s="98">
        <f t="shared" ref="ET492" si="3001">IF(ISERROR((ES492/EK492-1)*100),"NA",IF(((ES492/EK492-1)*100)&gt;100,"NM",IF(((ES492/EK492-1)*100)&lt;-50,"NM",(ES492/EK492-1)*100)))</f>
        <v>0.86315265927630058</v>
      </c>
      <c r="EU492" s="182">
        <f t="shared" ref="EU492" si="3002">SUM(EU487:EU491)+EU472</f>
        <v>2469.9099763018885</v>
      </c>
      <c r="EV492" s="98">
        <f t="shared" ref="EV492" si="3003">IF(ISERROR((EU492/EM492-1)*100),"NA",IF(((EU492/EM492-1)*100)&gt;100,"NM",IF(((EU492/EM492-1)*100)&lt;-50,"NM",(EU492/EM492-1)*100)))</f>
        <v>10.907497813286415</v>
      </c>
      <c r="EW492" s="182">
        <f t="shared" ref="EW492" si="3004">SUM(EW487:EW491)+EW472</f>
        <v>2452.2647950943551</v>
      </c>
      <c r="EX492" s="98">
        <f t="shared" ref="EX492" si="3005">IF(ISERROR((EW492/EO492-1)*100),"NA",IF(((EW492/EO492-1)*100)&gt;100,"NM",IF(((EW492/EO492-1)*100)&lt;-50,"NM",(EW492/EO492-1)*100)))</f>
        <v>-3.908119314484515</v>
      </c>
      <c r="EY492" s="182"/>
      <c r="EZ492" s="594"/>
      <c r="FA492" s="405"/>
      <c r="FB492" s="182">
        <f>FB489+FB488+FB487+FB472</f>
        <v>1701</v>
      </c>
      <c r="FC492" s="182"/>
      <c r="FD492" s="182">
        <f>FD489+FD488+FD487+FD472</f>
        <v>1654</v>
      </c>
      <c r="FE492" s="98">
        <f>IF(ISERROR((FD492/FB492-1)*100),"NA",IF(((FD492/FB492-1)*100)&gt;100,"NM",IF(((FD492/FB492-1)*100)&lt;-50,"NM",(FD492/FB492-1)*100)))</f>
        <v>-2.7630805408583203</v>
      </c>
      <c r="FF492" s="182">
        <f>FF489+FF488+FF487+FF472</f>
        <v>2167</v>
      </c>
      <c r="FG492" s="98">
        <f>IF(ISERROR((FF492/FD492-1)*100),"NA",IF(((FF492/FD492-1)*100)&gt;100,"NM",IF(((FF492/FD492-1)*100)&lt;-50,"NM",(FF492/FD492-1)*100)))</f>
        <v>31.015719467956472</v>
      </c>
      <c r="FH492" s="182">
        <f>FH489+FH488+FH487+FH472</f>
        <v>2137.9</v>
      </c>
      <c r="FI492" s="98">
        <f>IF(ISERROR((FH492/FF492-1)*100),"NA",IF(((FH492/FF492-1)*100)&gt;100,"NM",IF(((FH492/FF492-1)*100)&lt;-50,"NM",(FH492/FF492-1)*100)))</f>
        <v>-1.3428703276418985</v>
      </c>
      <c r="FJ492" s="182">
        <f>FJ489+FJ488+FJ487+FJ472</f>
        <v>2130</v>
      </c>
      <c r="FK492" s="98">
        <f>IF(ISERROR((FJ492/FH492-1)*100),"NA",IF(((FJ492/FH492-1)*100)&gt;100,"NM",IF(((FJ492/FH492-1)*100)&lt;-50,"NM",(FJ492/FH492-1)*100)))</f>
        <v>-0.369521493053937</v>
      </c>
      <c r="FL492" s="182">
        <f>FL489+FL488+FL487+FL472</f>
        <v>2091</v>
      </c>
      <c r="FM492" s="98">
        <f>IF(ISERROR((FL492/FJ492-1)*100),"NA",IF(((FL492/FJ492-1)*100)&gt;100,"NM",IF(((FL492/FJ492-1)*100)&lt;-50,"NM",(FL492/FJ492-1)*100)))</f>
        <v>-1.8309859154929553</v>
      </c>
      <c r="FN492" s="182">
        <f>FN489+FN488+FN487+FN472</f>
        <v>2175</v>
      </c>
      <c r="FO492" s="98">
        <f>IF(ISERROR((FN492/FL492-1)*100),"NA",IF(((FN492/FL492-1)*100)&gt;100,"NM",IF(((FN492/FL492-1)*100)&lt;-50,"NM",(FN492/FL492-1)*100)))</f>
        <v>4.0172166427546729</v>
      </c>
      <c r="FP492" s="182">
        <f>FP489+FP488+FP487+FP472</f>
        <v>2833</v>
      </c>
      <c r="FQ492" s="98">
        <f>IF(ISERROR((FP492/FN492-1)*100),"NA",IF(((FP492/FN492-1)*100)&gt;100,"NM",IF(((FP492/FN492-1)*100)&lt;-50,"NM",(FP492/FN492-1)*100)))</f>
        <v>30.252873563218397</v>
      </c>
      <c r="FR492" s="197">
        <f>FR489+FR488+FR487+FR472</f>
        <v>3369</v>
      </c>
      <c r="FS492" s="120">
        <f>IF(ISERROR((FR492/FP492-1)*100),"NA",IF(((FR492/FP492-1)*100)&gt;100,"NM",IF(((FR492/FP492-1)*100)&lt;-50,"NM",(FR492/FP492-1)*100)))</f>
        <v>18.91987292622661</v>
      </c>
      <c r="FT492" s="197">
        <f>FT489+FT488+FT487+FT472</f>
        <v>3634</v>
      </c>
      <c r="FU492" s="120">
        <f>IF(ISERROR((FT492/FR492-1)*100),"NA",IF(((FT492/FR492-1)*100)&gt;100,"NM",IF(((FT492/FR492-1)*100)&lt;-50,"NM",(FT492/FR492-1)*100)))</f>
        <v>7.8658355595132123</v>
      </c>
      <c r="FV492" s="197">
        <f>FV489+FV488+FV487+FV472</f>
        <v>4472</v>
      </c>
      <c r="FW492" s="98">
        <f>IF(ISERROR((FV492/FT492-1)*100),"NA",IF(((FV492/FT492-1)*100)&gt;100,"NM",IF(((FV492/FT492-1)*100)&lt;-50,"NM",(FV492/FT492-1)*100)))</f>
        <v>23.059988992845359</v>
      </c>
      <c r="FX492" s="502">
        <f>FX489+FX488+FX487+FX472</f>
        <v>5000</v>
      </c>
      <c r="FY492" s="98">
        <f>IF(ISERROR((FX492/FV492-1)*100),"NA",IF(((FX492/FV492-1)*100)&gt;100,"NM",IF(((FX492/FV492-1)*100)&lt;-50,"NM",(FX492/FV492-1)*100)))</f>
        <v>11.806797853309492</v>
      </c>
      <c r="FZ492" s="197">
        <f>FZ489+FZ488+FZ487+FZ472</f>
        <v>5280</v>
      </c>
      <c r="GA492" s="98">
        <f>IF(ISERROR((FZ492/FX492-1)*100),"NA",IF(((FZ492/FX492-1)*100)&gt;100,"NM",IF(((FZ492/FX492-1)*100)&lt;-50,"NM",(FZ492/FX492-1)*100)))</f>
        <v>5.600000000000005</v>
      </c>
      <c r="GB492" s="502">
        <f>GB489+GB488+GB487+GB472</f>
        <v>5288</v>
      </c>
      <c r="GC492" s="98">
        <f>IF(ISERROR((GB492/FZ492-1)*100),"NA",IF(((GB492/FZ492-1)*100)&gt;100,"NM",IF(((GB492/FZ492-1)*100)&lt;-50,"NM",(GB492/FZ492-1)*100)))</f>
        <v>0.15151515151514694</v>
      </c>
      <c r="GD492" s="197">
        <f>GD489+GD488+GD487+GD472</f>
        <v>4824</v>
      </c>
      <c r="GE492" s="98">
        <f>IF(ISERROR((GD492/GB492-1)*100),"NA",IF(((GD492/GB492-1)*100)&gt;100,"NM",IF(((GD492/GB492-1)*100)&lt;-50,"NM",(GD492/GB492-1)*100)))</f>
        <v>-8.7745839636913736</v>
      </c>
      <c r="GF492" s="197">
        <f>GF489+GF488+GF487+GF472</f>
        <v>4868</v>
      </c>
      <c r="GG492" s="98">
        <f>IF(ISERROR((GF492/GD492-1)*100),"NA",IF(((GF492/GD492-1)*100)&gt;100,"NM",IF(((GF492/GD492-1)*100)&lt;-50,"NM",(GF492/GD492-1)*100)))</f>
        <v>0.9121061359867344</v>
      </c>
      <c r="GH492" s="197">
        <f>GH489+GH488+GH487+GH472</f>
        <v>5777</v>
      </c>
      <c r="GI492" s="98">
        <f>IF(ISERROR((GH492/GF492-1)*100),"NA",IF(((GH492/GF492-1)*100)&gt;100,"NM",IF(((GH492/GF492-1)*100)&lt;-50,"NM",(GH492/GF492-1)*100)))</f>
        <v>18.672966310599826</v>
      </c>
      <c r="GJ492" s="182">
        <f>SUM(GJ487:GJ491)+GJ472</f>
        <v>11335</v>
      </c>
      <c r="GK492" s="98">
        <f>IF(ISERROR((GJ492/GH492-1)*100),"NA",IF(((GJ492/GH492-1)*100)&gt;100,"NM",IF(((GJ492/GH492-1)*100)&lt;-50,"NM",(GJ492/GH492-1)*100)))</f>
        <v>96.209105071836603</v>
      </c>
      <c r="GL492" s="182">
        <f>SUM(GL487:GL491)+GL472</f>
        <v>11477</v>
      </c>
      <c r="GM492" s="98">
        <f>IF(ISERROR((GL492/GJ492-1)*100),"NA",IF(((GL492/GJ492-1)*100)&gt;100,"NM",IF(((GL492/GJ492-1)*100)&lt;-50,"NM",(GL492/GJ492-1)*100)))</f>
        <v>1.2527569475077271</v>
      </c>
      <c r="GN492" s="182">
        <f>SUM(GN487:GN491)+GN472</f>
        <v>9627</v>
      </c>
      <c r="GO492" s="98">
        <f>IF(ISERROR((GN492/GL492-1)*100),"NA",IF(((GN492/GL492-1)*100)&gt;100,"NM",IF(((GN492/GL492-1)*100)&lt;-50,"NM",(GN492/GL492-1)*100)))</f>
        <v>-16.11919491156225</v>
      </c>
      <c r="GP492" s="182">
        <f>SUM(GP487:GP491)+GP472</f>
        <v>9914.3835275350339</v>
      </c>
      <c r="GQ492" s="98">
        <f>IF(ISERROR((GP492/GN492-1)*100),"NA",IF(((GP492/GN492-1)*100)&gt;100,"NM",IF(((GP492/GN492-1)*100)&lt;-50,"NM",(GP492/GN492-1)*100)))</f>
        <v>2.9851825858006942</v>
      </c>
      <c r="GR492" s="182">
        <f>SUM(GR487:GR491)+GR472</f>
        <v>9648.6239285171105</v>
      </c>
      <c r="GS492" s="98">
        <f>IF(ISERROR((GR492/GP492-1)*100),"NA",IF(((GR492/GP492-1)*100)&gt;100,"NM",IF(((GR492/GP492-1)*100)&lt;-50,"NM",(GR492/GP492-1)*100)))</f>
        <v>-2.6805458784183056</v>
      </c>
      <c r="GT492" s="182">
        <f>SUM(GT487:GT491)+GT472</f>
        <v>9218.4871754870219</v>
      </c>
      <c r="GU492" s="98">
        <f>IF(ISERROR((GT492/GR492-1)*100),"NA",IF(((GT492/GR492-1)*100)&gt;100,"NM",IF(((GT492/GR492-1)*100)&lt;-50,"NM",(GT492/GR492-1)*100)))</f>
        <v>-4.4580113829371326</v>
      </c>
      <c r="GV492" s="182">
        <f>SUM(GV487:GV491)+GV472</f>
        <v>8714.3433364381726</v>
      </c>
      <c r="GW492" s="98">
        <f>IF(ISERROR((GV492/GT492-1)*100),"NA",IF(((GV492/GT492-1)*100)&gt;100,"NM",IF(((GV492/GT492-1)*100)&lt;-50,"NM",(GV492/GT492-1)*100)))</f>
        <v>-5.4688348473209691</v>
      </c>
      <c r="GX492" s="182">
        <f>SUM(GX487:GX491)+GX472</f>
        <v>8177.2618684335957</v>
      </c>
      <c r="GY492" s="98">
        <f>IF(ISERROR((GX492/GV492-1)*100),"NA",IF(((GX492/GV492-1)*100)&gt;100,"NM",IF(((GX492/GV492-1)*100)&lt;-50,"NM",(GX492/GV492-1)*100)))</f>
        <v>-6.1631892073706007</v>
      </c>
      <c r="GZ492" s="98">
        <f>IF(ISERROR(((GX492/GN492)^0.2-1)*100),"NA",IF((((GX492/GN492)^0.2-1)*100)&gt;100,"NM",IF((((GX492/GN492)^0.2-1)*100)&lt;-50,"NM",((GX492/GN492)^0.2-1)*100)))</f>
        <v>-3.2115830260705636</v>
      </c>
      <c r="HA492" s="98"/>
      <c r="HB492" s="10"/>
      <c r="HC492"/>
      <c r="HD492"/>
      <c r="HE492"/>
      <c r="HF492"/>
      <c r="HG492"/>
      <c r="HH492"/>
      <c r="HI492" s="10"/>
    </row>
    <row r="493" spans="1:217" s="2" customFormat="1" ht="12.75" customHeight="1" x14ac:dyDescent="0.2">
      <c r="B493" s="179"/>
      <c r="C493" s="182"/>
      <c r="D493" s="98"/>
      <c r="E493" s="182"/>
      <c r="F493" s="98"/>
      <c r="G493" s="182"/>
      <c r="H493" s="98"/>
      <c r="I493" s="182"/>
      <c r="J493" s="98"/>
      <c r="K493" s="182"/>
      <c r="L493" s="98"/>
      <c r="M493" s="182"/>
      <c r="N493" s="98"/>
      <c r="O493" s="182"/>
      <c r="P493" s="98"/>
      <c r="Q493" s="182"/>
      <c r="R493" s="98"/>
      <c r="S493" s="182"/>
      <c r="T493" s="98"/>
      <c r="U493" s="182"/>
      <c r="V493" s="98"/>
      <c r="W493" s="182"/>
      <c r="X493" s="98"/>
      <c r="Y493" s="182"/>
      <c r="Z493" s="98"/>
      <c r="AA493" s="182"/>
      <c r="AB493" s="98"/>
      <c r="AC493" s="182"/>
      <c r="AD493" s="98"/>
      <c r="AE493" s="182"/>
      <c r="AF493" s="98"/>
      <c r="AG493" s="182"/>
      <c r="AH493" s="98"/>
      <c r="AI493" s="182"/>
      <c r="AJ493" s="98"/>
      <c r="AK493" s="182"/>
      <c r="AL493" s="98"/>
      <c r="AM493" s="182"/>
      <c r="AN493" s="98"/>
      <c r="AO493" s="182"/>
      <c r="AP493" s="98"/>
      <c r="AQ493" s="182"/>
      <c r="AR493" s="98"/>
      <c r="AS493" s="182"/>
      <c r="AT493" s="98"/>
      <c r="AU493" s="182"/>
      <c r="AV493" s="98"/>
      <c r="AW493" s="182"/>
      <c r="AX493" s="98"/>
      <c r="AY493" s="182"/>
      <c r="AZ493" s="98"/>
      <c r="BA493" s="182"/>
      <c r="BB493" s="98"/>
      <c r="BC493" s="182"/>
      <c r="BD493" s="98"/>
      <c r="BE493" s="182"/>
      <c r="BF493" s="98"/>
      <c r="BG493" s="182"/>
      <c r="BH493" s="98"/>
      <c r="BI493" s="182"/>
      <c r="BJ493" s="98"/>
      <c r="BK493" s="182"/>
      <c r="BL493" s="98"/>
      <c r="BM493" s="182"/>
      <c r="BN493" s="98"/>
      <c r="BO493" s="182"/>
      <c r="BP493" s="98"/>
      <c r="BQ493" s="182"/>
      <c r="BR493" s="98"/>
      <c r="BS493" s="182"/>
      <c r="BT493" s="98"/>
      <c r="BU493" s="182"/>
      <c r="BV493" s="98"/>
      <c r="BW493" s="182"/>
      <c r="BX493" s="98"/>
      <c r="BY493" s="182"/>
      <c r="BZ493" s="98"/>
      <c r="CA493" s="182"/>
      <c r="CB493" s="98"/>
      <c r="CC493" s="182"/>
      <c r="CD493" s="98"/>
      <c r="CE493" s="182"/>
      <c r="CF493" s="98"/>
      <c r="CG493" s="182"/>
      <c r="CH493" s="98"/>
      <c r="CI493" s="182"/>
      <c r="CJ493" s="98"/>
      <c r="CK493" s="182"/>
      <c r="CL493" s="98"/>
      <c r="CM493" s="182"/>
      <c r="CN493" s="98"/>
      <c r="CO493" s="182"/>
      <c r="CP493" s="98"/>
      <c r="CQ493" s="512"/>
      <c r="CR493" s="98"/>
      <c r="CS493" s="182"/>
      <c r="CT493" s="98"/>
      <c r="CU493" s="182"/>
      <c r="CV493" s="98"/>
      <c r="CW493" s="182"/>
      <c r="CX493" s="98"/>
      <c r="CY493" s="182"/>
      <c r="CZ493" s="98"/>
      <c r="DA493" s="182"/>
      <c r="DB493" s="98"/>
      <c r="DC493" s="182"/>
      <c r="DD493" s="98"/>
      <c r="DE493" s="182"/>
      <c r="DF493" s="98"/>
      <c r="DG493" s="182"/>
      <c r="DH493" s="98"/>
      <c r="DI493" s="182"/>
      <c r="DJ493" s="465"/>
      <c r="DK493" s="182"/>
      <c r="DL493" s="465"/>
      <c r="DM493" s="182"/>
      <c r="DN493" s="98"/>
      <c r="DO493" s="182"/>
      <c r="DP493" s="98"/>
      <c r="DQ493" s="182"/>
      <c r="DR493" s="98"/>
      <c r="DS493" s="182"/>
      <c r="DT493" s="98"/>
      <c r="DU493" s="182"/>
      <c r="DV493" s="98"/>
      <c r="DW493" s="182"/>
      <c r="DX493" s="98"/>
      <c r="DY493" s="182"/>
      <c r="DZ493" s="98"/>
      <c r="EA493" s="182"/>
      <c r="EB493" s="98"/>
      <c r="EC493" s="182"/>
      <c r="ED493" s="98"/>
      <c r="EE493" s="182"/>
      <c r="EF493" s="860"/>
      <c r="EG493" s="182"/>
      <c r="EH493" s="860"/>
      <c r="EI493" s="182"/>
      <c r="EJ493" s="860"/>
      <c r="EK493" s="182"/>
      <c r="EL493" s="860"/>
      <c r="EM493" s="182"/>
      <c r="EN493" s="860"/>
      <c r="EO493" s="182"/>
      <c r="EP493" s="98"/>
      <c r="EQ493" s="1021"/>
      <c r="ER493" s="98"/>
      <c r="ES493" s="1021"/>
      <c r="ET493" s="98"/>
      <c r="EU493" s="1021"/>
      <c r="EV493" s="98"/>
      <c r="EW493" s="1021"/>
      <c r="EX493" s="98"/>
      <c r="EY493" s="182"/>
      <c r="EZ493" s="594"/>
      <c r="FA493" s="405"/>
      <c r="FB493" s="182"/>
      <c r="FC493" s="182"/>
      <c r="FD493" s="182"/>
      <c r="FE493" s="98"/>
      <c r="FF493" s="182"/>
      <c r="FG493" s="98"/>
      <c r="FH493" s="182"/>
      <c r="FI493" s="98"/>
      <c r="FJ493" s="182"/>
      <c r="FK493" s="98"/>
      <c r="FL493" s="182"/>
      <c r="FM493" s="98"/>
      <c r="FN493" s="182"/>
      <c r="FO493" s="98"/>
      <c r="FP493" s="182"/>
      <c r="FQ493" s="98"/>
      <c r="FR493" s="197"/>
      <c r="FS493" s="120"/>
      <c r="FT493" s="197"/>
      <c r="FU493" s="120"/>
      <c r="FV493" s="197"/>
      <c r="FW493" s="98"/>
      <c r="FX493" s="502"/>
      <c r="FY493" s="98"/>
      <c r="FZ493" s="197"/>
      <c r="GA493" s="98"/>
      <c r="GB493" s="502"/>
      <c r="GC493" s="98"/>
      <c r="GD493" s="197"/>
      <c r="GE493" s="98"/>
      <c r="GF493" s="197"/>
      <c r="GG493" s="98"/>
      <c r="GH493" s="197"/>
      <c r="GI493" s="98"/>
      <c r="GJ493" s="197"/>
      <c r="GK493" s="98"/>
      <c r="GL493" s="197"/>
      <c r="GM493" s="98"/>
      <c r="GN493" s="197"/>
      <c r="GO493" s="98"/>
      <c r="GP493" s="197"/>
      <c r="GQ493" s="98"/>
      <c r="GR493" s="182"/>
      <c r="GS493" s="98"/>
      <c r="GT493" s="182"/>
      <c r="GU493" s="98"/>
      <c r="GV493" s="182"/>
      <c r="GW493" s="98"/>
      <c r="GX493" s="182"/>
      <c r="GY493" s="98"/>
      <c r="GZ493" s="98"/>
      <c r="HA493" s="98"/>
      <c r="HB493" s="10"/>
      <c r="HC493"/>
      <c r="HD493"/>
      <c r="HE493"/>
      <c r="HF493"/>
      <c r="HG493"/>
      <c r="HH493"/>
      <c r="HI493" s="10"/>
    </row>
    <row r="494" spans="1:217" s="2" customFormat="1" ht="12.75" customHeight="1" x14ac:dyDescent="0.2">
      <c r="B494" s="91" t="s">
        <v>510</v>
      </c>
      <c r="C494" s="137">
        <f>+C487/C476*100</f>
        <v>14.114114114114114</v>
      </c>
      <c r="D494" s="98"/>
      <c r="E494" s="137">
        <f>+E487/E476*100</f>
        <v>13.392857142857142</v>
      </c>
      <c r="F494" s="137"/>
      <c r="G494" s="137">
        <f>+G487/G476*100</f>
        <v>15.542521994134898</v>
      </c>
      <c r="H494" s="98"/>
      <c r="I494" s="137">
        <f>+I487/I476*100</f>
        <v>14.245014245014245</v>
      </c>
      <c r="J494" s="98"/>
      <c r="K494" s="137">
        <f>+K487/K476*100</f>
        <v>13.60759493670886</v>
      </c>
      <c r="L494" s="98">
        <f>IF(ISERROR((K494/C494-1)*100),"NA",IF(((K494/C494-1)*100)&gt;100,"NM",IF(((K494/C494-1)*100)&lt;-50,"NM",(K494/C494-1)*100)))</f>
        <v>-3.5887422569350957</v>
      </c>
      <c r="M494" s="137">
        <f>+M487/M476*100</f>
        <v>13.003095975232199</v>
      </c>
      <c r="N494" s="98">
        <f>IF(ISERROR((M494/E494-1)*100),"NA",IF(((M494/E494-1)*100)&gt;100,"NM",IF(((M494/E494-1)*100)&lt;-50,"NM",(M494/E494-1)*100)))</f>
        <v>-2.9102167182662453</v>
      </c>
      <c r="O494" s="137">
        <f>+O487/O476*100</f>
        <v>14.814814814814813</v>
      </c>
      <c r="P494" s="98">
        <f>IF(ISERROR((O494/G494-1)*100),"NA",IF(((O494/G494-1)*100)&gt;100,"NM",IF(((O494/G494-1)*100)&lt;-50,"NM",(O494/G494-1)*100)))</f>
        <v>-4.6820405310971536</v>
      </c>
      <c r="Q494" s="137">
        <f>+Q487/Q476*100</f>
        <v>15.654952076677317</v>
      </c>
      <c r="R494" s="98">
        <f>IF(ISERROR((Q494/I494-1)*100),"NA",IF(((Q494/I494-1)*100)&gt;100,"NM",IF(((Q494/I494-1)*100)&lt;-50,"NM",(Q494/I494-1)*100)))</f>
        <v>9.8977635782747662</v>
      </c>
      <c r="S494" s="137">
        <f>+S487/S476*100</f>
        <v>17.910447761194028</v>
      </c>
      <c r="T494" s="98">
        <f>IF(ISERROR((S494/K494-1)*100),"NA",IF(((S494/K494-1)*100)&gt;100,"NM",IF(((S494/K494-1)*100)&lt;-50,"NM",(S494/K494-1)*100)))</f>
        <v>31.620964942728214</v>
      </c>
      <c r="U494" s="137">
        <f>+U487/U476*100</f>
        <v>21.352313167259787</v>
      </c>
      <c r="V494" s="98">
        <f>IF(ISERROR((U494/M494-1)*100),"NA",IF(((U494/M494-1)*100)&gt;100,"NM",IF(((U494/M494-1)*100)&lt;-50,"NM",(U494/M494-1)*100)))</f>
        <v>64.209456024402641</v>
      </c>
      <c r="W494" s="137">
        <f>+W487/W476*100</f>
        <v>23.24159021406728</v>
      </c>
      <c r="X494" s="98">
        <f>IF(ISERROR((W494/O494-1)*100),"NA",IF(((W494/O494-1)*100)&gt;100,"NM",IF(((W494/O494-1)*100)&lt;-50,"NM",(W494/O494-1)*100)))</f>
        <v>56.880733944954166</v>
      </c>
      <c r="Y494" s="137">
        <f>+Y487/Y476*100</f>
        <v>31.804281345565748</v>
      </c>
      <c r="Z494" s="98" t="str">
        <f>IF(ISERROR((Y494/Q494-1)*100),"NA",IF(((Y494/Q494-1)*100)&gt;100,"NM",IF(((Y494/Q494-1)*100)&lt;-50,"NM",(Y494/Q494-1)*100)))</f>
        <v>NM</v>
      </c>
      <c r="AA494" s="137">
        <f>+AA487/AA476*100</f>
        <v>21.476510067114095</v>
      </c>
      <c r="AB494" s="98">
        <f>IF(ISERROR((AA494/S494-1)*100),"NA",IF(((AA494/S494-1)*100)&gt;100,"NM",IF(((AA494/S494-1)*100)&lt;-50,"NM",(AA494/S494-1)*100)))</f>
        <v>19.910514541387037</v>
      </c>
      <c r="AC494" s="137">
        <f>+AC487/AC476*100</f>
        <v>15.488215488215488</v>
      </c>
      <c r="AD494" s="98">
        <f>IF(ISERROR((AC494/U494-1)*100),"NA",IF(((AC494/U494-1)*100)&gt;100,"NM",IF(((AC494/U494-1)*100)&lt;-50,"NM",(AC494/U494-1)*100)))</f>
        <v>-27.463524130190798</v>
      </c>
      <c r="AE494" s="137">
        <f>+AE487/AE476*100</f>
        <v>17.515923566878978</v>
      </c>
      <c r="AF494" s="98">
        <f>IF(ISERROR((AE494/W494-1)*100),"NA",IF(((AE494/W494-1)*100)&gt;100,"NM",IF(((AE494/W494-1)*100)&lt;-50,"NM",(AE494/W494-1)*100)))</f>
        <v>-24.635434126718081</v>
      </c>
      <c r="AG494" s="137">
        <f>+AG487/AG476*100</f>
        <v>14.402173913043478</v>
      </c>
      <c r="AH494" s="98" t="str">
        <f>IF(ISERROR((AG494/Y494-1)*100),"NA",IF(((AG494/Y494-1)*100)&gt;100,"NM",IF(((AG494/Y494-1)*100)&lt;-50,"NM",(AG494/Y494-1)*100)))</f>
        <v>NM</v>
      </c>
      <c r="AI494" s="137">
        <f>+AI487/AI476*100</f>
        <v>18.328840970350406</v>
      </c>
      <c r="AJ494" s="98">
        <f>IF(ISERROR((AI494/AA494-1)*100),"NA",IF(((AI494/AA494-1)*100)&gt;100,"NM",IF(((AI494/AA494-1)*100)&lt;-50,"NM",(AI494/AA494-1)*100)))</f>
        <v>-14.656334231805923</v>
      </c>
      <c r="AK494" s="137">
        <f>+AK487/AK476*100</f>
        <v>14.320987654320987</v>
      </c>
      <c r="AL494" s="98">
        <f>IF(ISERROR((AK494/AC494-1)*100),"NA",IF(((AK494/AC494-1)*100)&gt;100,"NM",IF(((AK494/AC494-1)*100)&lt;-50,"NM",(AK494/AC494-1)*100)))</f>
        <v>-7.5362318840579761</v>
      </c>
      <c r="AM494" s="137">
        <f>+AM487/AM476*100</f>
        <v>18.30985915492958</v>
      </c>
      <c r="AN494" s="98">
        <f>IF(ISERROR((AM494/AE494-1)*100),"NA",IF(((AM494/AE494-1)*100)&gt;100,"NM",IF(((AM494/AE494-1)*100)&lt;-50,"NM",(AM494/AE494-1)*100)))</f>
        <v>4.5326504481434382</v>
      </c>
      <c r="AO494" s="137">
        <f>+AO487/AO476*100</f>
        <v>23.029045643153527</v>
      </c>
      <c r="AP494" s="98">
        <f>IF(ISERROR((AO494/AG494-1)*100),"NA",IF(((AO494/AG494-1)*100)&gt;100,"NM",IF(((AO494/AG494-1)*100)&lt;-50,"NM",(AO494/AG494-1)*100)))</f>
        <v>59.899788616613158</v>
      </c>
      <c r="AQ494" s="137">
        <f>+AQ487/AQ476*100</f>
        <v>18.860510805500983</v>
      </c>
      <c r="AR494" s="98">
        <f>IF(ISERROR((AQ494/AI494-1)*100),"NA",IF(((AQ494/AI494-1)*100)&gt;100,"NM",IF(((AQ494/AI494-1)*100)&lt;-50,"NM",(AQ494/AI494-1)*100)))</f>
        <v>2.9007280711891736</v>
      </c>
      <c r="AS494" s="137">
        <f>+AS487/AS476*100</f>
        <v>19.652173913043477</v>
      </c>
      <c r="AT494" s="98">
        <f>IF(ISERROR((AS494/AK494-1)*100),"NA",IF(((AS494/AK494-1)*100)&gt;100,"NM",IF(((AS494/AK494-1)*100)&lt;-50,"NM",(AS494/AK494-1)*100)))</f>
        <v>37.226386806596693</v>
      </c>
      <c r="AU494" s="137">
        <f>+AU487/AU476*100</f>
        <v>22.111801242236027</v>
      </c>
      <c r="AV494" s="98">
        <f>IF(ISERROR((AU494/AM494-1)*100),"NA",IF(((AU494/AM494-1)*100)&gt;100,"NM",IF(((AU494/AM494-1)*100)&lt;-50,"NM",(AU494/AM494-1)*100)))</f>
        <v>20.764452938365974</v>
      </c>
      <c r="AW494" s="137">
        <f>+AW487/AW476*100</f>
        <v>18.835192069392811</v>
      </c>
      <c r="AX494" s="98">
        <f>IF(ISERROR((AW494/AO494-1)*100),"NA",IF(((AW494/AO494-1)*100)&gt;100,"NM",IF(((AW494/AO494-1)*100)&lt;-50,"NM",(AW494/AO494-1)*100)))</f>
        <v>-18.211147950924911</v>
      </c>
      <c r="AY494" s="137">
        <f>+AY487/AY476*100</f>
        <v>20.449172576832151</v>
      </c>
      <c r="AZ494" s="98">
        <f>IF(ISERROR((AY494/AQ494-1)*100),"NA",IF(((AY494/AQ494-1)*100)&gt;100,"NM",IF(((AY494/AQ494-1)*100)&lt;-50,"NM",(AY494/AQ494-1)*100)))</f>
        <v>8.423217100078805</v>
      </c>
      <c r="BA494" s="137">
        <f>+BA487/BA476*100</f>
        <v>15.547263681592039</v>
      </c>
      <c r="BB494" s="98">
        <f>IF(ISERROR((BA494/AS494-1)*100),"NA",IF(((BA494/AS494-1)*100)&gt;100,"NM",IF(((BA494/AS494-1)*100)&lt;-50,"NM",(BA494/AS494-1)*100)))</f>
        <v>-20.88781754942104</v>
      </c>
      <c r="BC494" s="137">
        <f>+BC487/BC476*100</f>
        <v>17.692307692307693</v>
      </c>
      <c r="BD494" s="98">
        <f>IF(ISERROR((BC494/AU494-1)*100),"NA",IF(((BC494/AU494-1)*100)&gt;100,"NM",IF(((BC494/AU494-1)*100)&lt;-50,"NM",(BC494/AU494-1)*100)))</f>
        <v>-19.987035436473644</v>
      </c>
      <c r="BE494" s="137">
        <f>+BE487/BE476*100</f>
        <v>18.764044943820224</v>
      </c>
      <c r="BF494" s="98">
        <f>IF(ISERROR((BE494/AW494-1)*100),"NA",IF(((BE494/AW494-1)*100)&gt;100,"NM",IF(((BE494/AW494-1)*100)&lt;-50,"NM",(BE494/AW494-1)*100)))</f>
        <v>-0.37773506800709011</v>
      </c>
      <c r="BG494" s="137">
        <f>+BG487/BG476*100</f>
        <v>18.06818181818182</v>
      </c>
      <c r="BH494" s="98">
        <f>IF(ISERROR((BG494/AY494-1)*100),"NA",IF(((BG494/AY494-1)*100)&gt;100,"NM",IF(((BG494/AY494-1)*100)&lt;-50,"NM",(BG494/AY494-1)*100)))</f>
        <v>-11.643457698370984</v>
      </c>
      <c r="BI494" s="137">
        <f>+BI487/BI476*100</f>
        <v>15.696465696465697</v>
      </c>
      <c r="BJ494" s="98">
        <f>IF(ISERROR((BI494/BA494-1)*100),"NA",IF(((BI494/BA494-1)*100)&gt;100,"NM",IF(((BI494/BA494-1)*100)&lt;-50,"NM",(BI494/BA494-1)*100)))</f>
        <v>0.95966735966737104</v>
      </c>
      <c r="BK494" s="137">
        <f>+BK487/BK476*100</f>
        <v>15.565509518477045</v>
      </c>
      <c r="BL494" s="98">
        <f>IF(ISERROR((BK494/BC494-1)*100),"NA",IF(((BK494/BC494-1)*100)&gt;100,"NM",IF(((BK494/BC494-1)*100)&lt;-50,"NM",(BK494/BC494-1)*100)))</f>
        <v>-12.021033156434102</v>
      </c>
      <c r="BM494" s="137">
        <f>+BM487/BM476*100</f>
        <v>16.457023060796647</v>
      </c>
      <c r="BN494" s="98">
        <f>IF(ISERROR((BM494/BE494-1)*100),"NA",IF(((BM494/BE494-1)*100)&gt;100,"NM",IF(((BM494/BE494-1)*100)&lt;-50,"NM",(BM494/BE494-1)*100)))</f>
        <v>-12.29490704126337</v>
      </c>
      <c r="BO494" s="137">
        <f>+BO487/BO476*100</f>
        <v>14.539007092198581</v>
      </c>
      <c r="BP494" s="98">
        <f>IF(ISERROR((BO494/BG494-1)*100),"NA",IF(((BO494/BG494-1)*100)&gt;100,"NM",IF(((BO494/BG494-1)*100)&lt;-50,"NM",(BO494/BG494-1)*100)))</f>
        <v>-19.53253936393239</v>
      </c>
      <c r="BQ494" s="137">
        <f>+BQ487/BQ476*100</f>
        <v>19.882352941176471</v>
      </c>
      <c r="BR494" s="98">
        <f>IF(ISERROR((BQ494/BI494-1)*100),"NA",IF(((BQ494/BI494-1)*100)&gt;100,"NM",IF(((BQ494/BI494-1)*100)&lt;-50,"NM",(BQ494/BI494-1)*100)))</f>
        <v>26.667705492793136</v>
      </c>
      <c r="BS494" s="137">
        <f>+BS487/BS476*100</f>
        <v>16.25</v>
      </c>
      <c r="BT494" s="98">
        <f>IF(ISERROR((BS494/BK494-1)*100),"NA",IF(((BS494/BK494-1)*100)&gt;100,"NM",IF(((BS494/BK494-1)*100)&lt;-50,"NM",(BS494/BK494-1)*100)))</f>
        <v>4.3974820143884763</v>
      </c>
      <c r="BU494" s="137">
        <f>+BU487/BU476*100</f>
        <v>36.375838926174495</v>
      </c>
      <c r="BV494" s="98" t="str">
        <f>IF(ISERROR((BU494/BM494-1)*100),"NA",IF(((BU494/BM494-1)*100)&gt;100,"NM",IF(((BU494/BM494-1)*100)&lt;-50,"NM",(BU494/BM494-1)*100)))</f>
        <v>NM</v>
      </c>
      <c r="BW494" s="137">
        <f>+BW487/BW476*100</f>
        <v>42.819499341238469</v>
      </c>
      <c r="BX494" s="98" t="str">
        <f>IF(ISERROR((BW494/BO494-1)*100),"NA",IF(((BW494/BO494-1)*100)&gt;100,"NM",IF(((BW494/BO494-1)*100)&lt;-50,"NM",(BW494/BO494-1)*100)))</f>
        <v>NM</v>
      </c>
      <c r="BY494" s="137">
        <f>+BY487/BY476*100</f>
        <v>40.762124711316403</v>
      </c>
      <c r="BZ494" s="98" t="str">
        <f>IF(ISERROR((BY494/BQ494-1)*100),"NA",IF(((BY494/BQ494-1)*100)&gt;100,"NM",IF(((BY494/BQ494-1)*100)&lt;-50,"NM",(BY494/BQ494-1)*100)))</f>
        <v>NM</v>
      </c>
      <c r="CA494" s="137">
        <f>+CA487/CA476*100</f>
        <v>43.045685279187815</v>
      </c>
      <c r="CB494" s="98" t="str">
        <f>IF(ISERROR((CA494/BS494-1)*100),"NA",IF(((CA494/BS494-1)*100)&gt;100,"NM",IF(((CA494/BS494-1)*100)&lt;-50,"NM",(CA494/BS494-1)*100)))</f>
        <v>NM</v>
      </c>
      <c r="CC494" s="137">
        <f>+CC487/CC476*100</f>
        <v>35.859820700896492</v>
      </c>
      <c r="CD494" s="98">
        <f>IF(ISERROR((CC494/BU494-1)*100),"NA",IF(((CC494/BU494-1)*100)&gt;100,"NM",IF(((CC494/BU494-1)*100)&lt;-50,"NM",(CC494/BU494-1)*100)))</f>
        <v>-1.4185740879413711</v>
      </c>
      <c r="CE494" s="137">
        <f>+CE487/CE476*100</f>
        <v>33.553173948887057</v>
      </c>
      <c r="CF494" s="98">
        <f>IF(ISERROR((CE494/BW494-1)*100),"NA",IF(((CE494/BW494-1)*100)&gt;100,"NM",IF(((CE494/BW494-1)*100)&lt;-50,"NM",(CE494/BW494-1)*100)))</f>
        <v>-21.640433762445298</v>
      </c>
      <c r="CG494" s="137">
        <f>+CG487/CG476*100</f>
        <v>33.76</v>
      </c>
      <c r="CH494" s="98">
        <f>IF(ISERROR((CG494/BY494-1)*100),"NA",IF(((CG494/BY494-1)*100)&gt;100,"NM",IF(((CG494/BY494-1)*100)&lt;-50,"NM",(CG494/BY494-1)*100)))</f>
        <v>-17.178016997167155</v>
      </c>
      <c r="CI494" s="137">
        <f>+CI487/CI476*100</f>
        <v>30.361445783132528</v>
      </c>
      <c r="CJ494" s="98">
        <f>IF(ISERROR((CI494/CA494-1)*100),"NA",IF(((CI494/CA494-1)*100)&gt;100,"NM",IF(((CI494/CA494-1)*100)&lt;-50,"NM",(CI494/CA494-1)*100)))</f>
        <v>-29.466924300977492</v>
      </c>
      <c r="CK494" s="137">
        <f>+CK487/CK476*100</f>
        <v>23.450586264656618</v>
      </c>
      <c r="CL494" s="98">
        <f>IF(ISERROR((CK494/CC494-1)*100),"NA",IF(((CK494/CC494-1)*100)&gt;100,"NM",IF(((CK494/CC494-1)*100)&lt;-50,"NM",(CK494/CC494-1)*100)))</f>
        <v>-34.604842393787102</v>
      </c>
      <c r="CM494" s="137">
        <f>+CM487/CM476*100</f>
        <v>16.714150047483383</v>
      </c>
      <c r="CN494" s="98" t="str">
        <f>IF(ISERROR((CM494/CE494-1)*100),"NA",IF(((CM494/CE494-1)*100)&gt;100,"NM",IF(((CM494/CE494-1)*100)&lt;-50,"NM",(CM494/CE494-1)*100)))</f>
        <v>NM</v>
      </c>
      <c r="CO494" s="137">
        <f>+CO487/CO476*100</f>
        <v>21.397756686798964</v>
      </c>
      <c r="CP494" s="98">
        <f>IF(ISERROR((CO494/CG494-1)*100),"NA",IF(((CO494/CG494-1)*100)&gt;100,"NM",IF(((CO494/CG494-1)*100)&lt;-50,"NM",(CO494/CG494-1)*100)))</f>
        <v>-36.618019292657088</v>
      </c>
      <c r="CQ494" s="494">
        <f>+CQ487/CQ476*100</f>
        <v>32.140077821011673</v>
      </c>
      <c r="CR494" s="98">
        <f>IF(ISERROR((CQ494/CI494-1)*100),"NA",IF(((CQ494/CI494-1)*100)&gt;100,"NM",IF(((CQ494/CI494-1)*100)&lt;-50,"NM",(CQ494/CI494-1)*100)))</f>
        <v>5.8581928231733693</v>
      </c>
      <c r="CS494" s="137">
        <f>+CS487/CS476*100</f>
        <v>25.079365079365079</v>
      </c>
      <c r="CT494" s="98">
        <f>IF(ISERROR((CS494/CK494-1)*100),"NA",IF(((CS494/CK494-1)*100)&gt;100,"NM",IF(((CS494/CK494-1)*100)&lt;-50,"NM",(CS494/CK494-1)*100)))</f>
        <v>6.9455782312925152</v>
      </c>
      <c r="CU494" s="137">
        <f>+CU487/CU476*100</f>
        <v>21.444527177959792</v>
      </c>
      <c r="CV494" s="98">
        <f>IF(ISERROR((CU494/CM494-1)*100),"NA",IF(((CU494/CM494-1)*100)&gt;100,"NM",IF(((CU494/CM494-1)*100)&lt;-50,"NM",(CU494/CM494-1)*100)))</f>
        <v>28.301631354498056</v>
      </c>
      <c r="CW494" s="137">
        <f>+CW487/CW476*100</f>
        <v>18.26771653543307</v>
      </c>
      <c r="CX494" s="98">
        <f>IF(ISERROR((CW494/CO494-1)*100),"NA",IF(((CW494/CO494-1)*100)&gt;100,"NM",IF(((CW494/CO494-1)*100)&lt;-50,"NM",(CW494/CO494-1)*100)))</f>
        <v>-14.627889255778515</v>
      </c>
      <c r="CY494" s="137">
        <f>+CY487/CY476*100</f>
        <v>19.183359013867488</v>
      </c>
      <c r="CZ494" s="465">
        <f>IF(ISERROR((CY494/CQ494-1)*100),"NA",IF(((CY494/CQ494-1)*100)&gt;100,"NM",IF(((CY494/CQ494-1)*100)&lt;-50,"NM",(CY494/CQ494-1)*100)))</f>
        <v>-40.313277644504311</v>
      </c>
      <c r="DA494" s="137">
        <f>+DA487/DA476*100</f>
        <v>13.795674869500374</v>
      </c>
      <c r="DB494" s="98">
        <f>IF(ISERROR((DA494/CS494-1)*100),"NA",IF(((DA494/CS494-1)*100)&gt;100,"NM",IF(((DA494/CS494-1)*100)&lt;-50,"NM",(DA494/CS494-1)*100)))</f>
        <v>-44.991929317814957</v>
      </c>
      <c r="DC494" s="137">
        <f>+DC487/DC476*100</f>
        <v>16.666666666666664</v>
      </c>
      <c r="DD494" s="98">
        <f>IF(ISERROR((DC494/CU494-1)*100),"NA",IF(((DC494/CU494-1)*100)&gt;100,"NM",IF(((DC494/CU494-1)*100)&lt;-50,"NM",(DC494/CU494-1)*100)))</f>
        <v>-22.280092592592602</v>
      </c>
      <c r="DE494" s="137">
        <f>+DE487/DE476*100</f>
        <v>15.336134453781513</v>
      </c>
      <c r="DF494" s="98">
        <f>IF(ISERROR((DE494/CW494-1)*100),"NA",IF(((DE494/CW494-1)*100)&gt;100,"NM",IF(((DE494/CW494-1)*100)&lt;-50,"NM",(DE494/CW494-1)*100)))</f>
        <v>-16.047884671109813</v>
      </c>
      <c r="DG494" s="137">
        <f>+DG487/DG476*100</f>
        <v>18.175535590877679</v>
      </c>
      <c r="DH494" s="98">
        <f>IF(ISERROR((DG494/CY494-1)*100),"NA",IF(((DG494/CY494-1)*100)&gt;100,"NM",IF(((DG494/CY494-1)*100)&lt;-50,"NM",(DG494/CY494-1)*100)))</f>
        <v>-5.2536337471516976</v>
      </c>
      <c r="DI494" s="137">
        <f>+DI487/DI476*100</f>
        <v>20.889748549323016</v>
      </c>
      <c r="DJ494" s="465">
        <f>IF(ISERROR((DI494/DA494-1)*100),"NA",IF(((DI494/DA494-1)*100)&gt;100,"NM",IF(((DI494/DA494-1)*100)&lt;-50,"NM",(DI494/DA494-1)*100)))</f>
        <v>51.422447592660347</v>
      </c>
      <c r="DK494" s="137">
        <f>+DK487/DK476*100</f>
        <v>23.40823970037453</v>
      </c>
      <c r="DL494" s="465">
        <f>IF(ISERROR((DK494/DC494-1)*100),"NA",IF(((DK494/DC494-1)*100)&gt;100,"NM",IF(((DK494/DC494-1)*100)&lt;-50,"NM",(DK494/DC494-1)*100)))</f>
        <v>40.449438202247201</v>
      </c>
      <c r="DM494" s="137">
        <f>+DM487/DM476*100</f>
        <v>26.814637072585484</v>
      </c>
      <c r="DN494" s="465">
        <f>IF(ISERROR((DM494/DE494-1)*100),"NA",IF(((DM494/DE494-1)*100)&gt;100,"NM",IF(((DM494/DE494-1)*100)&lt;-50,"NM",(DM494/DE494-1)*100)))</f>
        <v>74.846126665077946</v>
      </c>
      <c r="DO494" s="137">
        <f>+DO487/DO476*100</f>
        <v>33.857808857808855</v>
      </c>
      <c r="DP494" s="465">
        <f>IF(ISERROR((DO494/DG494-1)*100),"NA",IF(((DO494/DG494-1)*100)&gt;100,"NM",IF(((DO494/DG494-1)*100)&lt;-50,"NM",(DO494/DG494-1)*100)))</f>
        <v>86.282317175853265</v>
      </c>
      <c r="DQ494" s="137">
        <f>+DQ487/DQ476*100</f>
        <v>24.765478424015008</v>
      </c>
      <c r="DR494" s="465">
        <f>IF(ISERROR((DQ494/DI494-1)*100),"NA",IF(((DQ494/DI494-1)*100)&gt;100,"NM",IF(((DQ494/DI494-1)*100)&lt;-50,"NM",(DQ494/DI494-1)*100)))</f>
        <v>18.553262455701478</v>
      </c>
      <c r="DS494" s="137">
        <f>+DS487/DS476*100</f>
        <v>60.158572844400396</v>
      </c>
      <c r="DT494" s="465" t="str">
        <f>IF(ISERROR((DS494/DK494-1)*100),"NA",IF(((DS494/DK494-1)*100)&gt;100,"NM",IF(((DS494/DK494-1)*100)&lt;-50,"NM",(DS494/DK494-1)*100)))</f>
        <v>NM</v>
      </c>
      <c r="DU494" s="137">
        <f>+DU487/DU476*100</f>
        <v>57.564935064935064</v>
      </c>
      <c r="DV494" s="465" t="str">
        <f>IF(ISERROR((DU494/DM494-1)*100),"NA",IF(((DU494/DM494-1)*100)&gt;100,"NM",IF(((DU494/DM494-1)*100)&lt;-50,"NM",(DU494/DM494-1)*100)))</f>
        <v>NM</v>
      </c>
      <c r="DW494" s="137">
        <f>+DW487/DW476*100</f>
        <v>63.617954775565309</v>
      </c>
      <c r="DX494" s="465">
        <f>IF(ISERROR((DW494/DO494-1)*100),"NA",IF(((DW494/DO494-1)*100)&gt;100,"NM",IF(((DW494/DO494-1)*100)&lt;-50,"NM",(DW494/DO494-1)*100)))</f>
        <v>87.897436135748848</v>
      </c>
      <c r="DY494" s="137">
        <f>+DY487/DY476*100</f>
        <v>62.062128222075351</v>
      </c>
      <c r="DZ494" s="465" t="str">
        <f>IF(ISERROR((DY494/DQ494-1)*100),"NA",IF(((DY494/DQ494-1)*100)&gt;100,"NM",IF(((DY494/DQ494-1)*100)&lt;-50,"NM",(DY494/DQ494-1)*100)))</f>
        <v>NM</v>
      </c>
      <c r="EA494" s="137">
        <f>+EA487/EA476*100</f>
        <v>63.452836756004174</v>
      </c>
      <c r="EB494" s="465">
        <f>IF(ISERROR((EA494/DS494-1)*100),"NA",IF(((EA494/DS494-1)*100)&gt;100,"NM",IF(((EA494/DS494-1)*100)&lt;-50,"NM",(EA494/DS494-1)*100)))</f>
        <v>5.4759675235720229</v>
      </c>
      <c r="EC494" s="137">
        <f>+EC487/EC476*100</f>
        <v>66.402481047553408</v>
      </c>
      <c r="ED494" s="465">
        <f>IF(ISERROR((EC494/DU494-1)*100),"NA",IF(((EC494/DU494-1)*100)&gt;100,"NM",IF(((EC494/DU494-1)*100)&lt;-50,"NM",(EC494/DU494-1)*100)))</f>
        <v>15.352307741942761</v>
      </c>
      <c r="EE494" s="137">
        <f>+EE487/EE476*100</f>
        <v>65.453903214411866</v>
      </c>
      <c r="EF494" s="860">
        <f>IF(ISERROR((EE494/DW494-1)*100),"NA",IF(((EE494/DW494-1)*100)&gt;100,"NM",IF(((EE494/DW494-1)*100)&lt;-50,"NM",(EE494/DW494-1)*100)))</f>
        <v>2.8858966707174361</v>
      </c>
      <c r="EG494" s="137">
        <f>+EG487/EG476*100</f>
        <v>68.39304717985101</v>
      </c>
      <c r="EH494" s="860">
        <f>IF(ISERROR((EG494/DY494-1)*100),"NA",IF(((EG494/DY494-1)*100)&gt;100,"NM",IF(((EG494/DY494-1)*100)&lt;-50,"NM",(EG494/DY494-1)*100)))</f>
        <v>10.200937575201884</v>
      </c>
      <c r="EI494" s="137">
        <f>+EI487/EI476*100</f>
        <v>64.161421695668281</v>
      </c>
      <c r="EJ494" s="860">
        <f t="shared" ref="EJ494" si="3006">IF(ISERROR((EI494/EA494-1)*100),"NA",IF(((EI494/EA494-1)*100)&gt;100,"NM",IF(((EI494/EA494-1)*100)&lt;-50,"NM",(EI494/EA494-1)*100)))</f>
        <v>1.1167112077097974</v>
      </c>
      <c r="EK494" s="137">
        <f>+EK487/EK476*100</f>
        <v>67.333333333333329</v>
      </c>
      <c r="EL494" s="860">
        <f t="shared" ref="EL494" si="3007">IF(ISERROR((EK494/EC494-1)*100),"NA",IF(((EK494/EC494-1)*100)&gt;100,"NM",IF(((EK494/EC494-1)*100)&lt;-50,"NM",(EK494/EC494-1)*100)))</f>
        <v>1.4018335928040138</v>
      </c>
      <c r="EM494" s="137">
        <f>+EM487/EM476*100</f>
        <v>69.003984063745023</v>
      </c>
      <c r="EN494" s="860">
        <f t="shared" ref="EN494" si="3008">IF(ISERROR((EM494/EE494-1)*100),"NA",IF(((EM494/EE494-1)*100)&gt;100,"NM",IF(((EM494/EE494-1)*100)&lt;-50,"NM",(EM494/EE494-1)*100)))</f>
        <v>5.4237878491431024</v>
      </c>
      <c r="EO494" s="137">
        <f>+EO487/EO476*100</f>
        <v>70.547147846332948</v>
      </c>
      <c r="EP494" s="465">
        <f t="shared" ref="EP494" si="3009">IF(ISERROR((EO494/EG494-1)*100),"NA",IF(((EO494/EG494-1)*100)&gt;100,"NM",IF(((EO494/EG494-1)*100)&lt;-50,"NM",(EO494/EG494-1)*100)))</f>
        <v>3.1495901342388999</v>
      </c>
      <c r="EQ494" s="1035">
        <v>68</v>
      </c>
      <c r="ER494" s="465">
        <f t="shared" ref="ER494" si="3010">IF(ISERROR((EQ494/EI494-1)*100),"NA",IF(((EQ494/EI494-1)*100)&gt;100,"NM",IF(((EQ494/EI494-1)*100)&lt;-50,"NM",(EQ494/EI494-1)*100)))</f>
        <v>5.9826889786497306</v>
      </c>
      <c r="ES494" s="1035">
        <f t="shared" ref="ES494" si="3011">EQ494</f>
        <v>68</v>
      </c>
      <c r="ET494" s="465">
        <f t="shared" ref="ET494" si="3012">IF(ISERROR((ES494/EK494-1)*100),"NA",IF(((ES494/EK494-1)*100)&gt;100,"NM",IF(((ES494/EK494-1)*100)&lt;-50,"NM",(ES494/EK494-1)*100)))</f>
        <v>0.99009900990099098</v>
      </c>
      <c r="EU494" s="1035">
        <f t="shared" ref="EU494" si="3013">ES494</f>
        <v>68</v>
      </c>
      <c r="EV494" s="465">
        <f t="shared" ref="EV494" si="3014">IF(ISERROR((EU494/EM494-1)*100),"NA",IF(((EU494/EM494-1)*100)&gt;100,"NM",IF(((EU494/EM494-1)*100)&lt;-50,"NM",(EU494/EM494-1)*100)))</f>
        <v>-1.4549653579676747</v>
      </c>
      <c r="EW494" s="1035">
        <f t="shared" ref="EW494" si="3015">EU494</f>
        <v>68</v>
      </c>
      <c r="EX494" s="465">
        <f t="shared" ref="EX494" si="3016">IF(ISERROR((EW494/EO494-1)*100),"NA",IF(((EW494/EO494-1)*100)&gt;100,"NM",IF(((EW494/EO494-1)*100)&lt;-50,"NM",(EW494/EO494-1)*100)))</f>
        <v>-3.6105610561056101</v>
      </c>
      <c r="EY494" s="110"/>
      <c r="EZ494" s="594"/>
      <c r="FA494" s="405"/>
      <c r="FB494" s="125">
        <f>+FB487/FB476*100</f>
        <v>24.820512820512821</v>
      </c>
      <c r="FC494" s="125"/>
      <c r="FD494" s="125">
        <f>+FD487/FD476*100</f>
        <v>17.15399610136452</v>
      </c>
      <c r="FE494" s="98">
        <f>IF(ISERROR((FD494/FB494-1)*100),"NA",IF(((FD494/FB494-1)*100)&gt;100,"NM",IF(((FD494/FB494-1)*100)&lt;-50,"NM",(FD494/FB494-1)*100)))</f>
        <v>-30.887825624667741</v>
      </c>
      <c r="FF494" s="125">
        <f>+FF487/FF476*100</f>
        <v>14.327700220426157</v>
      </c>
      <c r="FG494" s="98">
        <f>IF(ISERROR((FF494/FD494-1)*100),"NA",IF(((FF494/FD494-1)*100)&gt;100,"NM",IF(((FF494/FD494-1)*100)&lt;-50,"NM",(FF494/FD494-1)*100)))</f>
        <v>-16.476020305924777</v>
      </c>
      <c r="FH494" s="125">
        <f>+FH487/FH476*100</f>
        <v>14.263322884012538</v>
      </c>
      <c r="FI494" s="98">
        <f>IF(ISERROR((FH494/FF494-1)*100),"NA",IF(((FH494/FF494-1)*100)&gt;100,"NM",IF(((FH494/FF494-1)*100)&lt;-50,"NM",(FH494/FF494-1)*100)))</f>
        <v>-0.44932079414838899</v>
      </c>
      <c r="FJ494" s="125">
        <f>+FJ487/FJ476*100</f>
        <v>23.940149625935163</v>
      </c>
      <c r="FK494" s="98">
        <f>IF(ISERROR((FJ494/FH494-1)*100),"NA",IF(((FJ494/FH494-1)*100)&gt;100,"NM",IF(((FJ494/FH494-1)*100)&lt;-50,"NM",(FJ494/FH494-1)*100)))</f>
        <v>67.844125948864132</v>
      </c>
      <c r="FL494" s="125">
        <f>+FL487/FL476*100</f>
        <v>17.071260767423649</v>
      </c>
      <c r="FM494" s="98">
        <f>IF(ISERROR((FL494/FJ494-1)*100),"NA",IF(((FL494/FJ494-1)*100)&gt;100,"NM",IF(((FL494/FJ494-1)*100)&lt;-50,"NM",(FL494/FJ494-1)*100)))</f>
        <v>-28.691921169407475</v>
      </c>
      <c r="FN494" s="125">
        <f>+FN487/FN476*100</f>
        <v>18.705463182897862</v>
      </c>
      <c r="FO494" s="98">
        <f>IF(ISERROR((FN494/FL494-1)*100),"NA",IF(((FN494/FL494-1)*100)&gt;100,"NM",IF(((FN494/FL494-1)*100)&lt;-50,"NM",(FN494/FL494-1)*100)))</f>
        <v>9.5728279108282965</v>
      </c>
      <c r="FP494" s="125">
        <f>+FP487/FP476*100</f>
        <v>19.992581602373889</v>
      </c>
      <c r="FQ494" s="98">
        <f>IF(ISERROR((FP494/FN494-1)*100),"NA",IF(((FP494/FN494-1)*100)&gt;100,"NM",IF(((FP494/FN494-1)*100)&lt;-50,"NM",(FP494/FN494-1)*100)))</f>
        <v>6.8809759314210517</v>
      </c>
      <c r="FR494" s="106">
        <f>+FR487/FR476*100</f>
        <v>18.162650602409638</v>
      </c>
      <c r="FS494" s="120">
        <f>IF(ISERROR((FR494/FP494-1)*100),"NA",IF(((FR494/FP494-1)*100)&gt;100,"NM",IF(((FR494/FP494-1)*100)&lt;-50,"NM",(FR494/FP494-1)*100)))</f>
        <v>-9.1530500480586632</v>
      </c>
      <c r="FT494" s="106">
        <f>+FT487/FT476*100</f>
        <v>16.427216047709408</v>
      </c>
      <c r="FU494" s="120">
        <f>IF(ISERROR((FT494/FR494-1)*100),"NA",IF(((FT494/FR494-1)*100)&gt;100,"NM",IF(((FT494/FR494-1)*100)&lt;-50,"NM",(FT494/FR494-1)*100)))</f>
        <v>-9.5549630540709192</v>
      </c>
      <c r="FV494" s="106">
        <f>+FV487/FV476*100</f>
        <v>20.192588269623577</v>
      </c>
      <c r="FW494" s="98">
        <f>IF(ISERROR((FV494/FT494-1)*100),"NA",IF(((FV494/FT494-1)*100)&gt;100,"NM",IF(((FV494/FT494-1)*100)&lt;-50,"NM",(FV494/FT494-1)*100)))</f>
        <v>22.921548063764629</v>
      </c>
      <c r="FX494" s="483">
        <f>+FX487/FX476*100</f>
        <v>40.187646598905395</v>
      </c>
      <c r="FY494" s="98">
        <f>IF(ISERROR((FX494/FV494-1)*100),"NA",IF(((FX494/FV494-1)*100)&gt;100,"NM",IF(((FX494/FV494-1)*100)&lt;-50,"NM",(FX494/FV494-1)*100)))</f>
        <v>99.021770078683218</v>
      </c>
      <c r="FZ494" s="106">
        <f>+FZ487/FZ476*100</f>
        <v>30.334557323541411</v>
      </c>
      <c r="GA494" s="98">
        <f>IF(ISERROR((FZ494/FX494-1)*100),"NA",IF(((FZ494/FX494-1)*100)&gt;100,"NM",IF(((FZ494/FX494-1)*100)&lt;-50,"NM",(FZ494/FX494-1)*100)))</f>
        <v>-24.517706582082756</v>
      </c>
      <c r="GB494" s="483">
        <f>+GB487/GB476*100</f>
        <v>24.237965104057182</v>
      </c>
      <c r="GC494" s="98">
        <f>IF(ISERROR((GB494/FZ494-1)*100),"NA",IF(((GB494/FZ494-1)*100)&gt;100,"NM",IF(((GB494/FZ494-1)*100)&lt;-50,"NM",(GB494/FZ494-1)*100)))</f>
        <v>-20.097844693955413</v>
      </c>
      <c r="GD494" s="106">
        <f>+GD487/GD476*100</f>
        <v>18.164508758568164</v>
      </c>
      <c r="GE494" s="98">
        <f>IF(ISERROR((GD494/GB494-1)*100),"NA",IF(((GD494/GB494-1)*100)&gt;100,"NM",IF(((GD494/GB494-1)*100)&lt;-50,"NM",(GD494/GB494-1)*100)))</f>
        <v>-25.057616509532743</v>
      </c>
      <c r="GF494" s="106">
        <f>+GF487/GF476*100</f>
        <v>17.847270214236353</v>
      </c>
      <c r="GG494" s="98">
        <f>IF(ISERROR((GF494/GD494-1)*100),"NA",IF(((GF494/GD494-1)*100)&gt;100,"NM",IF(((GF494/GD494-1)*100)&lt;-50,"NM",(GF494/GD494-1)*100)))</f>
        <v>-1.746474669633824</v>
      </c>
      <c r="GH494" s="106">
        <f>+GH487/GH476*100</f>
        <v>27.323815309842043</v>
      </c>
      <c r="GI494" s="98">
        <f>IF(ISERROR((GH494/GF494-1)*100),"NA",IF(((GH494/GF494-1)*100)&gt;100,"NM",IF(((GH494/GF494-1)*100)&lt;-50,"NM",(GH494/GF494-1)*100)))</f>
        <v>53.098008725426652</v>
      </c>
      <c r="GJ494" s="106">
        <f>+GJ487/GJ476*100</f>
        <v>60.821759259259252</v>
      </c>
      <c r="GK494" s="98" t="str">
        <f>IF(ISERROR((GJ494/GH494-1)*100),"NA",IF(((GJ494/GH494-1)*100)&gt;100,"NM",IF(((GJ494/GH494-1)*100)&lt;-50,"NM",(GJ494/GH494-1)*100)))</f>
        <v>NM</v>
      </c>
      <c r="GL494" s="106">
        <f>+GL487/GL476*100</f>
        <v>65.916849015317297</v>
      </c>
      <c r="GM494" s="98">
        <f>IF(ISERROR((GL494/GJ494-1)*100),"NA",IF(((GL494/GJ494-1)*100)&gt;100,"NM",IF(((GL494/GJ494-1)*100)&lt;-50,"NM",(GL494/GJ494-1)*100)))</f>
        <v>8.3770838234712652</v>
      </c>
      <c r="GN494" s="106">
        <f>+GN487/GN476*100</f>
        <v>67.71135616173342</v>
      </c>
      <c r="GO494" s="98">
        <f>IF(ISERROR((GN494/GL494-1)*100),"NA",IF(((GN494/GL494-1)*100)&gt;100,"NM",IF(((GN494/GL494-1)*100)&lt;-50,"NM",(GN494/GL494-1)*100)))</f>
        <v>2.7223800488386907</v>
      </c>
      <c r="GP494" s="106">
        <f>+GP487/GP476*100</f>
        <v>68</v>
      </c>
      <c r="GQ494" s="98">
        <f>IF(ISERROR((GP494/GN494-1)*100),"NA",IF(((GP494/GN494-1)*100)&gt;100,"NM",IF(((GP494/GN494-1)*100)&lt;-50,"NM",(GP494/GN494-1)*100)))</f>
        <v>0.42628571428569018</v>
      </c>
      <c r="GR494" s="110">
        <f>GP494</f>
        <v>68</v>
      </c>
      <c r="GS494" s="98">
        <f>IF(ISERROR((GR494/GP494-1)*100),"NA",IF(((GR494/GP494-1)*100)&gt;100,"NM",IF(((GR494/GP494-1)*100)&lt;-50,"NM",(GR494/GP494-1)*100)))</f>
        <v>0</v>
      </c>
      <c r="GT494" s="110">
        <f>GR494+0.2</f>
        <v>68.2</v>
      </c>
      <c r="GU494" s="98">
        <f>IF(ISERROR((GT494/GR494-1)*100),"NA",IF(((GT494/GR494-1)*100)&gt;100,"NM",IF(((GT494/GR494-1)*100)&lt;-50,"NM",(GT494/GR494-1)*100)))</f>
        <v>0.29411764705882248</v>
      </c>
      <c r="GV494" s="110">
        <f>GT494+0</f>
        <v>68.2</v>
      </c>
      <c r="GW494" s="98">
        <f>IF(ISERROR((GV494/GT494-1)*100),"NA",IF(((GV494/GT494-1)*100)&gt;100,"NM",IF(((GV494/GT494-1)*100)&lt;-50,"NM",(GV494/GT494-1)*100)))</f>
        <v>0</v>
      </c>
      <c r="GX494" s="110">
        <f>GV494+0</f>
        <v>68.2</v>
      </c>
      <c r="GY494" s="98">
        <f>IF(ISERROR((GX494/GV494-1)*100),"NA",IF(((GX494/GV494-1)*100)&gt;100,"NM",IF(((GX494/GV494-1)*100)&lt;-50,"NM",(GX494/GV494-1)*100)))</f>
        <v>0</v>
      </c>
      <c r="GZ494" s="98">
        <f>IF(ISERROR(((GX494/GN494)^0.2-1)*100),"NA",IF((((GX494/GN494)^0.2-1)*100)&gt;100,"NM",IF((((GX494/GN494)^0.2-1)*100)&lt;-50,"NM",((GX494/GN494)^0.2-1)*100)))</f>
        <v>0.14391659227201981</v>
      </c>
      <c r="HA494" s="98"/>
      <c r="HB494" s="10"/>
      <c r="HC494"/>
      <c r="HD494"/>
      <c r="HE494"/>
      <c r="HF494"/>
      <c r="HG494"/>
      <c r="HH494"/>
      <c r="HI494" s="10"/>
    </row>
    <row r="495" spans="1:217" s="143" customFormat="1" ht="12.75" hidden="1" customHeight="1" outlineLevel="1" x14ac:dyDescent="0.2">
      <c r="B495" s="140" t="s">
        <v>168</v>
      </c>
      <c r="C495" s="105"/>
      <c r="D495" s="104"/>
      <c r="E495" s="105"/>
      <c r="F495" s="105"/>
      <c r="G495" s="105"/>
      <c r="H495" s="104"/>
      <c r="I495" s="105"/>
      <c r="J495" s="104"/>
      <c r="K495" s="105"/>
      <c r="L495" s="104"/>
      <c r="M495" s="105"/>
      <c r="N495" s="104"/>
      <c r="O495" s="105"/>
      <c r="P495" s="104"/>
      <c r="Q495" s="105"/>
      <c r="R495" s="104"/>
      <c r="S495" s="105"/>
      <c r="T495" s="104"/>
      <c r="U495" s="105"/>
      <c r="V495" s="104"/>
      <c r="W495" s="105"/>
      <c r="X495" s="104"/>
      <c r="Y495" s="105"/>
      <c r="Z495" s="104"/>
      <c r="AA495" s="105"/>
      <c r="AB495" s="104"/>
      <c r="AC495" s="105"/>
      <c r="AD495" s="104"/>
      <c r="AE495" s="105"/>
      <c r="AF495" s="104"/>
      <c r="AG495" s="105"/>
      <c r="AH495" s="104"/>
      <c r="AI495" s="105"/>
      <c r="AJ495" s="104"/>
      <c r="AK495" s="105"/>
      <c r="AL495" s="104"/>
      <c r="AM495" s="105"/>
      <c r="AN495" s="104"/>
      <c r="AO495" s="105"/>
      <c r="AP495" s="104"/>
      <c r="AQ495" s="105"/>
      <c r="AR495" s="104"/>
      <c r="AS495" s="105"/>
      <c r="AT495" s="104"/>
      <c r="AU495" s="105"/>
      <c r="AV495" s="104"/>
      <c r="AW495" s="105"/>
      <c r="AX495" s="104"/>
      <c r="AY495" s="105"/>
      <c r="AZ495" s="104"/>
      <c r="BA495" s="105"/>
      <c r="BB495" s="104"/>
      <c r="BC495" s="105"/>
      <c r="BD495" s="104"/>
      <c r="BE495" s="105"/>
      <c r="BF495" s="104"/>
      <c r="BG495" s="105"/>
      <c r="BH495" s="104"/>
      <c r="BI495" s="105"/>
      <c r="BJ495" s="104"/>
      <c r="BK495" s="105"/>
      <c r="BL495" s="104"/>
      <c r="BM495" s="105"/>
      <c r="BN495" s="104"/>
      <c r="BO495" s="105"/>
      <c r="BP495" s="104"/>
      <c r="BQ495" s="105"/>
      <c r="BR495" s="104"/>
      <c r="BS495" s="105"/>
      <c r="BT495" s="104"/>
      <c r="BU495" s="105"/>
      <c r="BV495" s="104"/>
      <c r="BW495" s="105"/>
      <c r="BX495" s="104"/>
      <c r="BY495" s="105"/>
      <c r="BZ495" s="104"/>
      <c r="CA495" s="105"/>
      <c r="CB495" s="104"/>
      <c r="CC495" s="105"/>
      <c r="CD495" s="104"/>
      <c r="CE495" s="105"/>
      <c r="CF495" s="104"/>
      <c r="CG495" s="105"/>
      <c r="CH495" s="104"/>
      <c r="CI495" s="105"/>
      <c r="CJ495" s="104"/>
      <c r="CK495" s="105"/>
      <c r="CL495" s="104"/>
      <c r="CM495" s="105"/>
      <c r="CN495" s="104"/>
      <c r="CO495" s="105"/>
      <c r="CP495" s="104"/>
      <c r="CQ495" s="522"/>
      <c r="CR495" s="104"/>
      <c r="CS495" s="105"/>
      <c r="CT495" s="104"/>
      <c r="CU495" s="105"/>
      <c r="CV495" s="104"/>
      <c r="CW495" s="105"/>
      <c r="CX495" s="104"/>
      <c r="CY495" s="105"/>
      <c r="CZ495" s="104"/>
      <c r="DA495" s="105"/>
      <c r="DB495" s="104"/>
      <c r="DC495" s="105"/>
      <c r="DD495" s="104"/>
      <c r="DE495" s="105"/>
      <c r="DF495" s="104"/>
      <c r="DG495" s="105"/>
      <c r="DH495" s="104"/>
      <c r="DI495" s="105"/>
      <c r="DJ495" s="633"/>
      <c r="DK495" s="105"/>
      <c r="DL495" s="633"/>
      <c r="DM495" s="105"/>
      <c r="DN495" s="104"/>
      <c r="DO495" s="105"/>
      <c r="DP495" s="104"/>
      <c r="DQ495" s="105"/>
      <c r="DR495" s="104"/>
      <c r="DS495" s="105"/>
      <c r="DT495" s="104"/>
      <c r="DU495" s="105"/>
      <c r="DV495" s="104"/>
      <c r="DW495" s="105"/>
      <c r="DX495" s="104"/>
      <c r="DY495" s="105"/>
      <c r="DZ495" s="104"/>
      <c r="EA495" s="105"/>
      <c r="EB495" s="104"/>
      <c r="EC495" s="105"/>
      <c r="ED495" s="104"/>
      <c r="EE495" s="105"/>
      <c r="EF495" s="1019"/>
      <c r="EG495" s="105"/>
      <c r="EH495" s="1019"/>
      <c r="EI495" s="105"/>
      <c r="EJ495" s="1019"/>
      <c r="EK495" s="105"/>
      <c r="EL495" s="1019"/>
      <c r="EM495" s="105"/>
      <c r="EN495" s="1019"/>
      <c r="EO495" s="105"/>
      <c r="EP495" s="104"/>
      <c r="EQ495" s="1018">
        <f>IF($B$6=1,EQ494,IF($B$6=2,EQ494+EQ710,IF($B$6=3,EQ494+EQ711)))</f>
        <v>68</v>
      </c>
      <c r="ER495" s="104"/>
      <c r="ES495" s="1018">
        <f>IF($B$6=1,ES494,IF($B$6=2,ES494+ES710,IF($B$6=3,ES494+ES711)))</f>
        <v>68</v>
      </c>
      <c r="ET495" s="104"/>
      <c r="EU495" s="1018">
        <f>IF($B$6=1,EU494,IF($B$6=2,EU494+EU710,IF($B$6=3,EU494+EU711)))</f>
        <v>68</v>
      </c>
      <c r="EV495" s="104"/>
      <c r="EW495" s="1018">
        <f>IF($B$6=1,EW494,IF($B$6=2,EW494+EW710,IF($B$6=3,EW494+EW711)))</f>
        <v>68</v>
      </c>
      <c r="EX495" s="104"/>
      <c r="EY495" s="141"/>
      <c r="EZ495" s="595"/>
      <c r="FA495" s="406"/>
      <c r="FB495" s="142"/>
      <c r="FC495" s="142"/>
      <c r="FD495" s="142"/>
      <c r="FE495" s="104"/>
      <c r="FF495" s="142"/>
      <c r="FG495" s="104"/>
      <c r="FH495" s="142"/>
      <c r="FI495" s="104"/>
      <c r="FJ495" s="142"/>
      <c r="FK495" s="104"/>
      <c r="FL495" s="142"/>
      <c r="FM495" s="104"/>
      <c r="FN495" s="142"/>
      <c r="FO495" s="104"/>
      <c r="FP495" s="142"/>
      <c r="FQ495" s="104"/>
      <c r="FR495" s="141"/>
      <c r="FS495" s="109"/>
      <c r="FT495" s="141"/>
      <c r="FU495" s="109"/>
      <c r="FV495" s="141"/>
      <c r="FW495" s="104"/>
      <c r="FX495" s="491"/>
      <c r="FY495" s="104"/>
      <c r="FZ495" s="141"/>
      <c r="GA495" s="104"/>
      <c r="GB495" s="491"/>
      <c r="GC495" s="104"/>
      <c r="GD495" s="141"/>
      <c r="GE495" s="104"/>
      <c r="GF495" s="141"/>
      <c r="GG495" s="104"/>
      <c r="GH495" s="141"/>
      <c r="GI495" s="104"/>
      <c r="GJ495" s="141"/>
      <c r="GK495" s="104"/>
      <c r="GL495" s="141"/>
      <c r="GM495" s="104"/>
      <c r="GN495" s="141"/>
      <c r="GO495" s="104"/>
      <c r="GP495" s="141"/>
      <c r="GQ495" s="104"/>
      <c r="GR495" s="141">
        <f>IF($B$6=1,GR494,IF($B$6=2,GR494+GR710,IF($B$6=3,GR494+GR711)))</f>
        <v>68</v>
      </c>
      <c r="GS495" s="104"/>
      <c r="GT495" s="141">
        <f>IF($B$6=1,GT494,IF($B$6=2,GT494+GT710,IF($B$6=3,GT494+GT711)))</f>
        <v>68.2</v>
      </c>
      <c r="GU495" s="104"/>
      <c r="GV495" s="141">
        <f>IF($B$6=1,GV494,IF($B$6=2,GV494+GV710,IF($B$6=3,GV494+GV711)))</f>
        <v>68.2</v>
      </c>
      <c r="GW495" s="104"/>
      <c r="GX495" s="141">
        <f>IF($B$6=1,GX494,IF($B$6=2,GX494+GX710,IF($B$6=3,GX494+GX711)))</f>
        <v>68.2</v>
      </c>
      <c r="GY495" s="104"/>
      <c r="GZ495" s="104"/>
      <c r="HA495" s="104"/>
      <c r="HB495" s="111"/>
      <c r="HC495"/>
      <c r="HD495"/>
      <c r="HE495"/>
      <c r="HF495"/>
      <c r="HG495"/>
      <c r="HH495"/>
      <c r="HI495" s="111"/>
    </row>
    <row r="496" spans="1:217" s="2" customFormat="1" ht="12.75" customHeight="1" collapsed="1" x14ac:dyDescent="0.2">
      <c r="B496" s="179" t="s">
        <v>55</v>
      </c>
      <c r="C496" s="137">
        <f>(C487+C472)/C475*100</f>
        <v>53.267973856209153</v>
      </c>
      <c r="D496" s="98"/>
      <c r="E496" s="137">
        <f>(E487+E472)/E475*100</f>
        <v>52.605863192182412</v>
      </c>
      <c r="F496" s="98"/>
      <c r="G496" s="137">
        <f>(G487+G472)/G475*100</f>
        <v>53.846153846153847</v>
      </c>
      <c r="H496" s="98"/>
      <c r="I496" s="137">
        <f>(I487+I472)/I475*100</f>
        <v>52.598425196850393</v>
      </c>
      <c r="J496" s="98"/>
      <c r="K496" s="137">
        <f>(K487+K472)/K475*100</f>
        <v>54.876033057851238</v>
      </c>
      <c r="L496" s="98">
        <f>IF(ISERROR((K496/C496-1)*100),"NA",IF(((K496/C496-1)*100)&gt;100,"NM",IF(((K496/C496-1)*100)&lt;-50,"NM",(K496/C496-1)*100)))</f>
        <v>3.0188105257820785</v>
      </c>
      <c r="M496" s="137">
        <f>(M487+M472)/M475*100</f>
        <v>54.234527687296421</v>
      </c>
      <c r="N496" s="98">
        <f>IF(ISERROR((M496/E496-1)*100),"NA",IF(((M496/E496-1)*100)&gt;100,"NM",IF(((M496/E496-1)*100)&lt;-50,"NM",(M496/E496-1)*100)))</f>
        <v>3.095975232198156</v>
      </c>
      <c r="O496" s="137">
        <f>(O487+O472)/O475*100</f>
        <v>55.048859934853425</v>
      </c>
      <c r="P496" s="98">
        <f>IF(ISERROR((O496/G496-1)*100),"NA",IF(((O496/G496-1)*100)&gt;100,"NM",IF(((O496/G496-1)*100)&lt;-50,"NM",(O496/G496-1)*100)))</f>
        <v>2.233597021870648</v>
      </c>
      <c r="Q496" s="137">
        <f>(Q487+Q472)/Q475*100</f>
        <v>57.487922705314013</v>
      </c>
      <c r="R496" s="98">
        <f>IF(ISERROR((Q496/I496-1)*100),"NA",IF(((Q496/I496-1)*100)&gt;100,"NM",IF(((Q496/I496-1)*100)&lt;-50,"NM",(Q496/I496-1)*100)))</f>
        <v>9.295900951719748</v>
      </c>
      <c r="S496" s="137">
        <f>(S487+S472)/S475*100</f>
        <v>61.06194690265486</v>
      </c>
      <c r="T496" s="98">
        <f>IF(ISERROR((S496/K496-1)*100),"NA",IF(((S496/K496-1)*100)&gt;100,"NM",IF(((S496/K496-1)*100)&lt;-50,"NM",(S496/K496-1)*100)))</f>
        <v>11.272523723211414</v>
      </c>
      <c r="U496" s="137">
        <f>(U487+U472)/U475*100</f>
        <v>62.542372881355931</v>
      </c>
      <c r="V496" s="98">
        <f>IF(ISERROR((U496/M496-1)*100),"NA",IF(((U496/M496-1)*100)&gt;100,"NM",IF(((U496/M496-1)*100)&lt;-50,"NM",(U496/M496-1)*100)))</f>
        <v>15.318369216674288</v>
      </c>
      <c r="W496" s="137">
        <f>(W487+W472)/W475*100</f>
        <v>59.319286871961097</v>
      </c>
      <c r="X496" s="98">
        <f>IF(ISERROR((W496/O496-1)*100),"NA",IF(((W496/O496-1)*100)&gt;100,"NM",IF(((W496/O496-1)*100)&lt;-50,"NM",(W496/O496-1)*100)))</f>
        <v>7.7575211224381935</v>
      </c>
      <c r="Y496" s="137">
        <f>(Y487+Y472)/Y475*100</f>
        <v>65.10172143974961</v>
      </c>
      <c r="Z496" s="98">
        <f>IF(ISERROR((Y496/Q496-1)*100),"NA",IF(((Y496/Q496-1)*100)&gt;100,"NM",IF(((Y496/Q496-1)*100)&lt;-50,"NM",(Y496/Q496-1)*100)))</f>
        <v>13.244170907799745</v>
      </c>
      <c r="AA496" s="137">
        <f>(AA487+AA472)/AA475*100</f>
        <v>60.606060606060609</v>
      </c>
      <c r="AB496" s="98">
        <f>IF(ISERROR((AA496/S496-1)*100),"NA",IF(((AA496/S496-1)*100)&gt;100,"NM",IF(((AA496/S496-1)*100)&lt;-50,"NM",(AA496/S496-1)*100)))</f>
        <v>-0.74659639877029393</v>
      </c>
      <c r="AC496" s="137">
        <f>(AC487+AC472)/AC475*100</f>
        <v>58.443708609271525</v>
      </c>
      <c r="AD496" s="98">
        <f>IF(ISERROR((AC496/U496-1)*100),"NA",IF(((AC496/U496-1)*100)&gt;100,"NM",IF(((AC496/U496-1)*100)&lt;-50,"NM",(AC496/U496-1)*100)))</f>
        <v>-6.5534198388341398</v>
      </c>
      <c r="AE496" s="137">
        <f>(AE487+AE472)/AE475*100</f>
        <v>58.022690437601298</v>
      </c>
      <c r="AF496" s="98">
        <f>IF(ISERROR((AE496/W496-1)*100),"NA",IF(((AE496/W496-1)*100)&gt;100,"NM",IF(((AE496/W496-1)*100)&lt;-50,"NM",(AE496/W496-1)*100)))</f>
        <v>-2.1857923497267673</v>
      </c>
      <c r="AG496" s="137">
        <f>(AG487+AG472)/AG475*100</f>
        <v>52.7736131934033</v>
      </c>
      <c r="AH496" s="98">
        <f>IF(ISERROR((AG496/Y496-1)*100),"NA",IF(((AG496/Y496-1)*100)&gt;100,"NM",IF(((AG496/Y496-1)*100)&lt;-50,"NM",(AG496/Y496-1)*100)))</f>
        <v>-18.936685503402138</v>
      </c>
      <c r="AI496" s="137">
        <f>(AI487+AI472)/AI475*100</f>
        <v>53.456221198156683</v>
      </c>
      <c r="AJ496" s="98">
        <f>IF(ISERROR((AI496/AA496-1)*100),"NA",IF(((AI496/AA496-1)*100)&gt;100,"NM",IF(((AI496/AA496-1)*100)&lt;-50,"NM",(AI496/AA496-1)*100)))</f>
        <v>-11.797235023041475</v>
      </c>
      <c r="AK496" s="137">
        <f>(AK487+AK472)/AK475*100</f>
        <v>49.416909620991255</v>
      </c>
      <c r="AL496" s="98">
        <f>IF(ISERROR((AK496/AC496-1)*100),"NA",IF(((AK496/AC496-1)*100)&gt;100,"NM",IF(((AK496/AC496-1)*100)&lt;-50,"NM",(AK496/AC496-1)*100)))</f>
        <v>-15.445287787312411</v>
      </c>
      <c r="AM496" s="137">
        <f>(AM487+AM472)/AM475*100</f>
        <v>49.710982658959537</v>
      </c>
      <c r="AN496" s="98">
        <f>IF(ISERROR((AM496/AE496-1)*100),"NA",IF(((AM496/AE496-1)*100)&gt;100,"NM",IF(((AM496/AE496-1)*100)&lt;-50,"NM",(AM496/AE496-1)*100)))</f>
        <v>-14.324926534698236</v>
      </c>
      <c r="AO496" s="137">
        <f>(AO487+AO472)/AO475*100</f>
        <v>50.467289719626166</v>
      </c>
      <c r="AP496" s="98">
        <f>IF(ISERROR((AO496/AG496-1)*100),"NA",IF(((AO496/AG496-1)*100)&gt;100,"NM",IF(((AO496/AG496-1)*100)&lt;-50,"NM",(AO496/AG496-1)*100)))</f>
        <v>-4.3702209005947346</v>
      </c>
      <c r="AQ496" s="137">
        <f>(AQ487+AQ472)/AQ475*100</f>
        <v>46.36363636363636</v>
      </c>
      <c r="AR496" s="98">
        <f>IF(ISERROR((AQ496/AI496-1)*100),"NA",IF(((AQ496/AI496-1)*100)&gt;100,"NM",IF(((AQ496/AI496-1)*100)&lt;-50,"NM",(AQ496/AI496-1)*100)))</f>
        <v>-13.268025078369917</v>
      </c>
      <c r="AS496" s="137">
        <f>(AS487+AS472)/AS475*100</f>
        <v>44.67065868263473</v>
      </c>
      <c r="AT496" s="98">
        <f>IF(ISERROR((AS496/AK496-1)*100),"NA",IF(((AS496/AK496-1)*100)&gt;100,"NM",IF(((AS496/AK496-1)*100)&lt;-50,"NM",(AS496/AK496-1)*100)))</f>
        <v>-9.6045077985621674</v>
      </c>
      <c r="AU496" s="137">
        <f>(AU487+AU472)/AU475*100</f>
        <v>45.14435695538058</v>
      </c>
      <c r="AV496" s="98">
        <f>IF(ISERROR((AU496/AM496-1)*100),"NA",IF(((AU496/AM496-1)*100)&gt;100,"NM",IF(((AU496/AM496-1)*100)&lt;-50,"NM",(AU496/AM496-1)*100)))</f>
        <v>-9.1863517060367439</v>
      </c>
      <c r="AW496" s="137">
        <f>(AW487+AW472)/AW475*100</f>
        <v>41.984056687333926</v>
      </c>
      <c r="AX496" s="98">
        <f>IF(ISERROR((AW496/AO496-1)*100),"NA",IF(((AW496/AO496-1)*100)&gt;100,"NM",IF(((AW496/AO496-1)*100)&lt;-50,"NM",(AW496/AO496-1)*100)))</f>
        <v>-16.809369156579066</v>
      </c>
      <c r="AY496" s="137">
        <f>(AY487+AY472)/AY475*100</f>
        <v>41.982758620689651</v>
      </c>
      <c r="AZ496" s="98">
        <f>IF(ISERROR((AY496/AQ496-1)*100),"NA",IF(((AY496/AQ496-1)*100)&gt;100,"NM",IF(((AY496/AQ496-1)*100)&lt;-50,"NM",(AY496/AQ496-1)*100)))</f>
        <v>-9.4489519945909368</v>
      </c>
      <c r="BA496" s="137">
        <f>(BA487+BA472)/BA475*100</f>
        <v>41.212121212121211</v>
      </c>
      <c r="BB496" s="98">
        <f>IF(ISERROR((BA496/AS496-1)*100),"NA",IF(((BA496/AS496-1)*100)&gt;100,"NM",IF(((BA496/AS496-1)*100)&lt;-50,"NM",(BA496/AS496-1)*100)))</f>
        <v>-7.7423023803720898</v>
      </c>
      <c r="BC496" s="137">
        <f>(BC487+BC472)/BC475*100</f>
        <v>43.286219081272087</v>
      </c>
      <c r="BD496" s="98">
        <f>IF(ISERROR((BC496/AU496-1)*100),"NA",IF(((BC496/AU496-1)*100)&gt;100,"NM",IF(((BC496/AU496-1)*100)&lt;-50,"NM",(BC496/AU496-1)*100)))</f>
        <v>-4.1159914536938125</v>
      </c>
      <c r="BE496" s="137">
        <f>(BE487+BE472)/BE475*100</f>
        <v>41.171684296175755</v>
      </c>
      <c r="BF496" s="98">
        <f>IF(ISERROR((BE496/AW496-1)*100),"NA",IF(((BE496/AW496-1)*100)&gt;100,"NM",IF(((BE496/AW496-1)*100)&lt;-50,"NM",(BE496/AW496-1)*100)))</f>
        <v>-1.9349544928640827</v>
      </c>
      <c r="BG496" s="137">
        <f>(BG487+BG472)/BG475*100</f>
        <v>40.560593569661997</v>
      </c>
      <c r="BH496" s="98">
        <f>IF(ISERROR((BG496/AY496-1)*100),"NA",IF(((BG496/AY496-1)*100)&gt;100,"NM",IF(((BG496/AY496-1)*100)&lt;-50,"NM",(BG496/AY496-1)*100)))</f>
        <v>-3.3874978628174124</v>
      </c>
      <c r="BI496" s="137">
        <f>(BI487+BI472)/BI475*100</f>
        <v>36.640625</v>
      </c>
      <c r="BJ496" s="98">
        <f>IF(ISERROR((BI496/BA496-1)*100),"NA",IF(((BI496/BA496-1)*100)&gt;100,"NM",IF(((BI496/BA496-1)*100)&lt;-50,"NM",(BI496/BA496-1)*100)))</f>
        <v>-11.092601102941169</v>
      </c>
      <c r="BK496" s="137">
        <f>(BK487+BK472)/BK475*100</f>
        <v>38.196721311475414</v>
      </c>
      <c r="BL496" s="98">
        <f>IF(ISERROR((BK496/BC496-1)*100),"NA",IF(((BK496/BC496-1)*100)&gt;100,"NM",IF(((BK496/BC496-1)*100)&lt;-50,"NM",(BK496/BC496-1)*100)))</f>
        <v>-11.757778521244555</v>
      </c>
      <c r="BM496" s="137">
        <f>(BM487+BM472)/BM475*100</f>
        <v>38.597842835130969</v>
      </c>
      <c r="BN496" s="98">
        <f>IF(ISERROR((BM496/BE496-1)*100),"NA",IF(((BM496/BE496-1)*100)&gt;100,"NM",IF(((BM496/BE496-1)*100)&lt;-50,"NM",(BM496/BE496-1)*100)))</f>
        <v>-6.2514844972807122</v>
      </c>
      <c r="BO496" s="137">
        <f>(BO487+BO472)/BO475*100</f>
        <v>38.728813559322035</v>
      </c>
      <c r="BP496" s="98">
        <f>IF(ISERROR((BO496/BG496-1)*100),"NA",IF(((BO496/BG496-1)*100)&gt;100,"NM",IF(((BO496/BG496-1)*100)&lt;-50,"NM",(BO496/BG496-1)*100)))</f>
        <v>-4.5161568141105164</v>
      </c>
      <c r="BQ496" s="137">
        <f>(BQ487+BQ472)/BQ475*100</f>
        <v>41.894197952218434</v>
      </c>
      <c r="BR496" s="98">
        <f>IF(ISERROR((BQ496/BI496-1)*100),"NA",IF(((BQ496/BI496-1)*100)&gt;100,"NM",IF(((BQ496/BI496-1)*100)&lt;-50,"NM",(BQ496/BI496-1)*100)))</f>
        <v>14.338109549764599</v>
      </c>
      <c r="BS496" s="137">
        <f>(BS487+BS472)/BS475*100</f>
        <v>39.964157706093189</v>
      </c>
      <c r="BT496" s="98">
        <f>IF(ISERROR((BS496/BK496-1)*100),"NA",IF(((BS496/BK496-1)*100)&gt;100,"NM",IF(((BS496/BK496-1)*100)&lt;-50,"NM",(BS496/BK496-1)*100)))</f>
        <v>4.6271939944928953</v>
      </c>
      <c r="BU496" s="137">
        <f>(BU487+BU472)/BU475*100</f>
        <v>57.335733573357338</v>
      </c>
      <c r="BV496" s="98">
        <f>IF(ISERROR((BU496/BM496-1)*100),"NA",IF(((BU496/BM496-1)*100)&gt;100,"NM",IF(((BU496/BM496-1)*100)&lt;-50,"NM",(BU496/BM496-1)*100)))</f>
        <v>48.546471413608437</v>
      </c>
      <c r="BW496" s="137">
        <f>(BW487+BW472)/BW475*100</f>
        <v>62.618432385874243</v>
      </c>
      <c r="BX496" s="98">
        <f>IF(ISERROR((BW496/BO496-1)*100),"NA",IF(((BW496/BO496-1)*100)&gt;100,"NM",IF(((BW496/BO496-1)*100)&lt;-50,"NM",(BW496/BO496-1)*100)))</f>
        <v>61.68435495696194</v>
      </c>
      <c r="BY496" s="137">
        <f>(BY487+BY472)/BY475*100</f>
        <v>60.355486862442042</v>
      </c>
      <c r="BZ496" s="98">
        <f>IF(ISERROR((BY496/BQ496-1)*100),"NA",IF(((BY496/BQ496-1)*100)&gt;100,"NM",IF(((BY496/BQ496-1)*100)&lt;-50,"NM",(BY496/BQ496-1)*100)))</f>
        <v>44.066457439474682</v>
      </c>
      <c r="CA496" s="137">
        <f>(CA487+CA472)/CA475*100</f>
        <v>60.381355932203384</v>
      </c>
      <c r="CB496" s="98">
        <f>IF(ISERROR((CA496/BS496-1)*100),"NA",IF(((CA496/BS496-1)*100)&gt;100,"NM",IF(((CA496/BS496-1)*100)&lt;-50,"NM",(CA496/BS496-1)*100)))</f>
        <v>51.088774036634476</v>
      </c>
      <c r="CC496" s="137">
        <f>(CC487+CC472)/CC475*100</f>
        <v>52.389594676346043</v>
      </c>
      <c r="CD496" s="98">
        <f>IF(ISERROR((CC496/BU496-1)*100),"NA",IF(((CC496/BU496-1)*100)&gt;100,"NM",IF(((CC496/BU496-1)*100)&lt;-50,"NM",(CC496/BU496-1)*100)))</f>
        <v>-8.6266252976131099</v>
      </c>
      <c r="CE496" s="137">
        <f>(CE487+CE472)/CE475*100</f>
        <v>50.216182828906732</v>
      </c>
      <c r="CF496" s="98">
        <f>IF(ISERROR((CE496/BW496-1)*100),"NA",IF(((CE496/BW496-1)*100)&gt;100,"NM",IF(((CE496/BW496-1)*100)&lt;-50,"NM",(CE496/BW496-1)*100)))</f>
        <v>-19.806068412158574</v>
      </c>
      <c r="CG496" s="137">
        <f>(CG487+CG472)/CG475*100</f>
        <v>49.969788519637461</v>
      </c>
      <c r="CH496" s="98">
        <f>IF(ISERROR((CG496/BY496-1)*100),"NA",IF(((CG496/BY496-1)*100)&gt;100,"NM",IF(((CG496/BY496-1)*100)&lt;-50,"NM",(CG496/BY496-1)*100)))</f>
        <v>-17.207546293968157</v>
      </c>
      <c r="CI496" s="137">
        <f>(CI487+CI472)/CI475*100</f>
        <v>47.101891397193413</v>
      </c>
      <c r="CJ496" s="98">
        <f>IF(ISERROR((CI496/CA496-1)*100),"NA",IF(((CI496/CA496-1)*100)&gt;100,"NM",IF(((CI496/CA496-1)*100)&lt;-50,"NM",(CI496/CA496-1)*100)))</f>
        <v>-21.992657054472652</v>
      </c>
      <c r="CK496" s="137">
        <f>(CK487+CK472)/CK475*100</f>
        <v>42.9106808244847</v>
      </c>
      <c r="CL496" s="98">
        <f>IF(ISERROR((CK496/CC496-1)*100),"NA",IF(((CK496/CC496-1)*100)&gt;100,"NM",IF(((CK496/CC496-1)*100)&lt;-50,"NM",(CK496/CC496-1)*100)))</f>
        <v>-18.093123091370433</v>
      </c>
      <c r="CM496" s="137">
        <f>(CM487+CM472)/CM475*100</f>
        <v>39.34993084370678</v>
      </c>
      <c r="CN496" s="98">
        <f>IF(ISERROR((CM496/CE496-1)*100),"NA",IF(((CM496/CE496-1)*100)&gt;100,"NM",IF(((CM496/CE496-1)*100)&lt;-50,"NM",(CM496/CE496-1)*100)))</f>
        <v>-21.638944605213684</v>
      </c>
      <c r="CO496" s="137">
        <f>(CO487+CO472)/CO475*100</f>
        <v>41.339343206696718</v>
      </c>
      <c r="CP496" s="98">
        <f>IF(ISERROR((CO496/CG496-1)*100),"NA",IF(((CO496/CG496-1)*100)&gt;100,"NM",IF(((CO496/CG496-1)*100)&lt;-50,"NM",(CO496/CG496-1)*100)))</f>
        <v>-17.271326472692785</v>
      </c>
      <c r="CQ496" s="494">
        <f>(CQ487+CQ472)/CQ475*100</f>
        <v>48.493797991730659</v>
      </c>
      <c r="CR496" s="98">
        <f>IF(ISERROR((CQ496/CI496-1)*100),"NA",IF(((CQ496/CI496-1)*100)&gt;100,"NM",IF(((CQ496/CI496-1)*100)&lt;-50,"NM",(CQ496/CI496-1)*100)))</f>
        <v>2.9550970316665204</v>
      </c>
      <c r="CS496" s="137">
        <f>(CS487+CS472)/CS475*100</f>
        <v>43.063932448733418</v>
      </c>
      <c r="CT496" s="98">
        <f>IF(ISERROR((CS496/CK496-1)*100),"NA",IF(((CS496/CK496-1)*100)&gt;100,"NM",IF(((CS496/CK496-1)*100)&lt;-50,"NM",(CS496/CK496-1)*100)))</f>
        <v>0.35714097586927451</v>
      </c>
      <c r="CU496" s="137">
        <f>(CU487+CU472)/CU475*100</f>
        <v>38.7695879280325</v>
      </c>
      <c r="CV496" s="98">
        <f>IF(ISERROR((CU496/CM496-1)*100),"NA",IF(((CU496/CM496-1)*100)&gt;100,"NM",IF(((CU496/CM496-1)*100)&lt;-50,"NM",(CU496/CM496-1)*100)))</f>
        <v>-1.4748257575834978</v>
      </c>
      <c r="CW496" s="137">
        <f>(CW487+CW472)/CW475*100</f>
        <v>36.97632058287796</v>
      </c>
      <c r="CX496" s="98">
        <f>IF(ISERROR((CW496/CO496-1)*100),"NA",IF(((CW496/CO496-1)*100)&gt;100,"NM",IF(((CW496/CO496-1)*100)&lt;-50,"NM",(CW496/CO496-1)*100)))</f>
        <v>-10.554165318988362</v>
      </c>
      <c r="CY496" s="137">
        <f>(CY487+CY472)/CY475*100</f>
        <v>37.522334723049433</v>
      </c>
      <c r="CZ496" s="98">
        <f>IF(ISERROR((CY496/CQ496-1)*100),"NA",IF(((CY496/CQ496-1)*100)&gt;100,"NM",IF(((CY496/CQ496-1)*100)&lt;-50,"NM",(CY496/CQ496-1)*100)))</f>
        <v>-22.62446688657408</v>
      </c>
      <c r="DA496" s="137">
        <f>(DA487+DA472)/DA475*100</f>
        <v>32.397660818713454</v>
      </c>
      <c r="DB496" s="98">
        <f>IF(ISERROR((DA496/CS496-1)*100),"NA",IF(((DA496/CS496-1)*100)&gt;100,"NM",IF(((DA496/CS496-1)*100)&lt;-50,"NM",(DA496/CS496-1)*100)))</f>
        <v>-24.76845709043851</v>
      </c>
      <c r="DC496" s="137">
        <f>(DC487+DC472)/DC475*100</f>
        <v>34.241019698725381</v>
      </c>
      <c r="DD496" s="98">
        <f>IF(ISERROR((DC496/CU496-1)*100),"NA",IF(((DC496/CU496-1)*100)&gt;100,"NM",IF(((DC496/CU496-1)*100)&lt;-50,"NM",(DC496/CU496-1)*100)))</f>
        <v>-11.680723142359529</v>
      </c>
      <c r="DE496" s="137">
        <f>(DE487+DE472)/DE475*100</f>
        <v>32.646239554317546</v>
      </c>
      <c r="DF496" s="98">
        <f>IF(ISERROR((DE496/CW496-1)*100),"NA",IF(((DE496/CW496-1)*100)&gt;100,"NM",IF(((DE496/CW496-1)*100)&lt;-50,"NM",(DE496/CW496-1)*100)))</f>
        <v>-11.710416180688021</v>
      </c>
      <c r="DG496" s="137">
        <f>(DG487+DG472)/DG475*100</f>
        <v>34.331669439822512</v>
      </c>
      <c r="DH496" s="98">
        <f>IF(ISERROR((DG496/CY496-1)*100),"NA",IF(((DG496/CY496-1)*100)&gt;100,"NM",IF(((DG496/CY496-1)*100)&lt;-50,"NM",(DG496/CY496-1)*100)))</f>
        <v>-8.5033762072031731</v>
      </c>
      <c r="DI496" s="137">
        <f>(DI487+DI472)/DI475*100</f>
        <v>35.624344176285419</v>
      </c>
      <c r="DJ496" s="465">
        <f>IF(ISERROR((DI496/DA496-1)*100),"NA",IF(((DI496/DA496-1)*100)&gt;100,"NM",IF(((DI496/DA496-1)*100)&lt;-50,"NM",(DI496/DA496-1)*100)))</f>
        <v>9.9596183058629162</v>
      </c>
      <c r="DK496" s="137">
        <f>(DK487+DK472)/DK475*100</f>
        <v>36.687306501547987</v>
      </c>
      <c r="DL496" s="465">
        <f>IF(ISERROR((DK496/DC496-1)*100),"NA",IF(((DK496/DC496-1)*100)&gt;100,"NM",IF(((DK496/DC496-1)*100)&lt;-50,"NM",(DK496/DC496-1)*100)))</f>
        <v>7.1443164495293088</v>
      </c>
      <c r="DM496" s="137">
        <f>(DM487+DM472)/DM475*100</f>
        <v>39.060939060939063</v>
      </c>
      <c r="DN496" s="98">
        <f>IF(ISERROR((DM496/DE496-1)*100),"NA",IF(((DM496/DE496-1)*100)&gt;100,"NM",IF(((DM496/DE496-1)*100)&lt;-50,"NM",(DM496/DE496-1)*100)))</f>
        <v>19.649122208849178</v>
      </c>
      <c r="DO496" s="137">
        <f>(DO487+DO472)/DO475*100</f>
        <v>44.71505114466634</v>
      </c>
      <c r="DP496" s="98">
        <f>IF(ISERROR((DO496/DG496-1)*100),"NA",IF(((DO496/DG496-1)*100)&gt;100,"NM",IF(((DO496/DG496-1)*100)&lt;-50,"NM",(DO496/DG496-1)*100)))</f>
        <v>30.244325062735733</v>
      </c>
      <c r="DQ496" s="137">
        <f>(DQ487+DQ472)/DQ475*100</f>
        <v>37.732919254658384</v>
      </c>
      <c r="DR496" s="98">
        <f>IF(ISERROR((DQ496/DI496-1)*100),"NA",IF(((DQ496/DI496-1)*100)&gt;100,"NM",IF(((DQ496/DI496-1)*100)&lt;-50,"NM",(DQ496/DI496-1)*100)))</f>
        <v>5.9189161993797867</v>
      </c>
      <c r="DS496" s="137">
        <f>(DS487+DS472)/DS475*100</f>
        <v>63.33231985405898</v>
      </c>
      <c r="DT496" s="98">
        <f>IF(ISERROR((DS496/DK496-1)*100),"NA",IF(((DS496/DK496-1)*100)&gt;100,"NM",IF(((DS496/DK496-1)*100)&lt;-50,"NM",(DS496/DK496-1)*100)))</f>
        <v>72.627335973510981</v>
      </c>
      <c r="DU496" s="137">
        <f>(DU487+DU472)/DU475*100</f>
        <v>60.926756352765324</v>
      </c>
      <c r="DV496" s="98">
        <f>IF(ISERROR((DU496/DM496-1)*100),"NA",IF(((DU496/DM496-1)*100)&gt;100,"NM",IF(((DU496/DM496-1)*100)&lt;-50,"NM",(DU496/DM496-1)*100)))</f>
        <v>55.978729179330131</v>
      </c>
      <c r="DW496" s="137">
        <f>(DW487+DW472)/DW475*100</f>
        <v>66.615051099411588</v>
      </c>
      <c r="DX496" s="98">
        <f>IF(ISERROR((DW496/DO496-1)*100),"NA",IF(((DW496/DO496-1)*100)&gt;100,"NM",IF(((DW496/DO496-1)*100)&lt;-50,"NM",(DW496/DO496-1)*100)))</f>
        <v>48.976797284413934</v>
      </c>
      <c r="DY496" s="137">
        <f>(DY487+DY472)/DY475*100</f>
        <v>65.159332321699551</v>
      </c>
      <c r="DZ496" s="98">
        <f>IF(ISERROR((DY496/DQ496-1)*100),"NA",IF(((DY496/DQ496-1)*100)&gt;100,"NM",IF(((DY496/DQ496-1)*100)&lt;-50,"NM",(DY496/DQ496-1)*100)))</f>
        <v>72.685637922528869</v>
      </c>
      <c r="EA496" s="137">
        <f>(EA487+EA472)/EA475*100</f>
        <v>66.464388374321302</v>
      </c>
      <c r="EB496" s="98">
        <f>IF(ISERROR((EA496/DS496-1)*100),"NA",IF(((EA496/DS496-1)*100)&gt;100,"NM",IF(((EA496/DS496-1)*100)&lt;-50,"NM",(EA496/DS496-1)*100)))</f>
        <v>4.9454504863863491</v>
      </c>
      <c r="EC496" s="137">
        <f>(EC487+EC472)/EC475*100</f>
        <v>69.174834018337023</v>
      </c>
      <c r="ED496" s="98">
        <f>IF(ISERROR((EC496/DU496-1)*100),"NA",IF(((EC496/DU496-1)*100)&gt;100,"NM",IF(((EC496/DU496-1)*100)&lt;-50,"NM",(EC496/DU496-1)*100)))</f>
        <v>13.53769371508211</v>
      </c>
      <c r="EE496" s="137">
        <f>(EE487+EE472)/EE475*100</f>
        <v>68.369987063389388</v>
      </c>
      <c r="EF496" s="860">
        <f>IF(ISERROR((EE496/DW496-1)*100),"NA",IF(((EE496/DW496-1)*100)&gt;100,"NM",IF(((EE496/DW496-1)*100)&lt;-50,"NM",(EE496/DW496-1)*100)))</f>
        <v>2.6344436204948085</v>
      </c>
      <c r="EG496" s="137">
        <f>(EG487+EG472)/EG475*100</f>
        <v>71.080817916260955</v>
      </c>
      <c r="EH496" s="860">
        <f>IF(ISERROR((EG496/DY496-1)*100),"NA",IF(((EG496/DY496-1)*100)&gt;100,"NM",IF(((EG496/DY496-1)*100)&lt;-50,"NM",(EG496/DY496-1)*100)))</f>
        <v>9.0877014597483985</v>
      </c>
      <c r="EI496" s="137">
        <f>(EI487+EI472)/EI475*100</f>
        <v>67.275185936443535</v>
      </c>
      <c r="EJ496" s="860">
        <f t="shared" ref="EJ496:EJ497" si="3017">IF(ISERROR((EI496/EA496-1)*100),"NA",IF(((EI496/EA496-1)*100)&gt;100,"NM",IF(((EI496/EA496-1)*100)&lt;-50,"NM",(EI496/EA496-1)*100)))</f>
        <v>1.219897725614949</v>
      </c>
      <c r="EK496" s="137">
        <f>(EK487+EK472)/EK475*100</f>
        <v>70.303030303030297</v>
      </c>
      <c r="EL496" s="860">
        <f t="shared" ref="EL496:EL497" si="3018">IF(ISERROR((EK496/EC496-1)*100),"NA",IF(((EK496/EC496-1)*100)&gt;100,"NM",IF(((EK496/EC496-1)*100)&lt;-50,"NM",(EK496/EC496-1)*100)))</f>
        <v>1.6309345742617998</v>
      </c>
      <c r="EM496" s="137">
        <f>(EM487+EM472)/EM475*100</f>
        <v>71.862567811934895</v>
      </c>
      <c r="EN496" s="860">
        <f t="shared" ref="EN496:EN497" si="3019">IF(ISERROR((EM496/EE496-1)*100),"NA",IF(((EM496/EE496-1)*100)&gt;100,"NM",IF(((EM496/EE496-1)*100)&lt;-50,"NM",(EM496/EE496-1)*100)))</f>
        <v>5.1083536776266314</v>
      </c>
      <c r="EO496" s="137">
        <f>(EO487+EO472)/EO475*100</f>
        <v>73.161244695898162</v>
      </c>
      <c r="EP496" s="98">
        <f t="shared" ref="EP496:EP497" si="3020">IF(ISERROR((EO496/EG496-1)*100),"NA",IF(((EO496/EG496-1)*100)&gt;100,"NM",IF(((EO496/EG496-1)*100)&lt;-50,"NM",(EO496/EG496-1)*100)))</f>
        <v>2.9268469899827565</v>
      </c>
      <c r="EQ496" s="1033">
        <f>(EQ487+EQ472)/EQ475*100</f>
        <v>70.833287782730423</v>
      </c>
      <c r="ER496" s="98">
        <f t="shared" ref="ER496:ER497" si="3021">IF(ISERROR((EQ496/EI496-1)*100),"NA",IF(((EQ496/EI496-1)*100)&gt;100,"NM",IF(((EQ496/EI496-1)*100)&lt;-50,"NM",(EQ496/EI496-1)*100)))</f>
        <v>5.2888770157369924</v>
      </c>
      <c r="ES496" s="1033">
        <f t="shared" ref="ES496" si="3022">(ES487+ES472)/ES475*100</f>
        <v>70.860249473148684</v>
      </c>
      <c r="ET496" s="98">
        <f t="shared" ref="ET496:ET497" si="3023">IF(ISERROR((ES496/EK496-1)*100),"NA",IF(((ES496/EK496-1)*100)&gt;100,"NM",IF(((ES496/EK496-1)*100)&lt;-50,"NM",(ES496/EK496-1)*100)))</f>
        <v>0.79259623335805607</v>
      </c>
      <c r="EU496" s="1033">
        <f t="shared" ref="EU496" si="3024">(EU487+EU472)/EU475*100</f>
        <v>70.873557444907306</v>
      </c>
      <c r="EV496" s="98">
        <f t="shared" ref="EV496:EV497" si="3025">IF(ISERROR((EU496/EM496-1)*100),"NA",IF(((EU496/EM496-1)*100)&gt;100,"NM",IF(((EU496/EM496-1)*100)&lt;-50,"NM",(EU496/EM496-1)*100)))</f>
        <v>-1.3762524734933446</v>
      </c>
      <c r="EW496" s="1033">
        <f t="shared" ref="EW496" si="3026">(EW487+EW472)/EW475*100</f>
        <v>70.889240151275274</v>
      </c>
      <c r="EX496" s="98">
        <f t="shared" ref="EX496:EX497" si="3027">IF(ISERROR((EW496/EO496-1)*100),"NA",IF(((EW496/EO496-1)*100)&gt;100,"NM",IF(((EW496/EO496-1)*100)&lt;-50,"NM",(EW496/EO496-1)*100)))</f>
        <v>-3.1054755206348594</v>
      </c>
      <c r="EY496" s="137"/>
      <c r="EZ496" s="594"/>
      <c r="FA496" s="405"/>
      <c r="FB496" s="137">
        <f>(FB487+FB472)/FB475*100</f>
        <v>62.621111677715447</v>
      </c>
      <c r="FC496" s="137"/>
      <c r="FD496" s="137">
        <f>(FD487+FD472)/FD475*100</f>
        <v>56.765005086469991</v>
      </c>
      <c r="FE496" s="98">
        <f>IF(ISERROR((FD496/FB496-1)*100),"NA",IF(((FD496/FB496-1)*100)&gt;100,"NM",IF(((FD496/FB496-1)*100)&lt;-50,"NM",(FD496/FB496-1)*100)))</f>
        <v>-9.3516490435116779</v>
      </c>
      <c r="FF496" s="137">
        <f>(FF487+FF472)/FF475*100</f>
        <v>53.078470824949697</v>
      </c>
      <c r="FG496" s="98">
        <f>IF(ISERROR((FF496/FD496-1)*100),"NA",IF(((FF496/FD496-1)*100)&gt;100,"NM",IF(((FF496/FD496-1)*100)&lt;-50,"NM",(FF496/FD496-1)*100)))</f>
        <v>-6.4943784571226626</v>
      </c>
      <c r="FH496" s="137">
        <f>(FH487+FH472)/FH475*100</f>
        <v>55.419722901385491</v>
      </c>
      <c r="FI496" s="98">
        <f>IF(ISERROR((FH496/FF496-1)*100),"NA",IF(((FH496/FF496-1)*100)&gt;100,"NM",IF(((FH496/FF496-1)*100)&lt;-50,"NM",(FH496/FF496-1)*100)))</f>
        <v>4.4109260120871463</v>
      </c>
      <c r="FJ496" s="137">
        <f>(FJ487+FJ472)/FJ475*100</f>
        <v>62.048942347573622</v>
      </c>
      <c r="FK496" s="98">
        <f>IF(ISERROR((FJ496/FH496-1)*100),"NA",IF(((FJ496/FH496-1)*100)&gt;100,"NM",IF(((FJ496/FH496-1)*100)&lt;-50,"NM",(FJ496/FH496-1)*100)))</f>
        <v>11.96184155951887</v>
      </c>
      <c r="FL496" s="137">
        <f>(FL487+FL472)/FL475*100</f>
        <v>57.332796132151486</v>
      </c>
      <c r="FM496" s="98">
        <f>IF(ISERROR((FL496/FJ496-1)*100),"NA",IF(((FL496/FJ496-1)*100)&gt;100,"NM",IF(((FL496/FJ496-1)*100)&lt;-50,"NM",(FL496/FJ496-1)*100)))</f>
        <v>-7.6006875169670867</v>
      </c>
      <c r="FN496" s="137">
        <f>(FN487+FN472)/FN475*100</f>
        <v>50.719942404607629</v>
      </c>
      <c r="FO496" s="98">
        <f>IF(ISERROR((FN496/FL496-1)*100),"NA",IF(((FN496/FL496-1)*100)&gt;100,"NM",IF(((FN496/FL496-1)*100)&lt;-50,"NM",(FN496/FL496-1)*100)))</f>
        <v>-11.534155271794699</v>
      </c>
      <c r="FP496" s="137">
        <f>(FP487+FP472)/FP475*100</f>
        <v>44.364199123033274</v>
      </c>
      <c r="FQ496" s="98">
        <f>IF(ISERROR((FP496/FN496-1)*100),"NA",IF(((FP496/FN496-1)*100)&gt;100,"NM",IF(((FP496/FN496-1)*100)&lt;-50,"NM",(FP496/FN496-1)*100)))</f>
        <v>-12.531053822720761</v>
      </c>
      <c r="FR496" s="106">
        <f>(FR487+FR472)/FR475*100</f>
        <v>41.894781864841747</v>
      </c>
      <c r="FS496" s="120">
        <f>IF(ISERROR((FR496/FP496-1)*100),"NA",IF(((FR496/FP496-1)*100)&gt;100,"NM",IF(((FR496/FP496-1)*100)&lt;-50,"NM",(FR496/FP496-1)*100)))</f>
        <v>-5.5662387848886885</v>
      </c>
      <c r="FT496" s="106">
        <f>(FT487+FT472)/FT475*100</f>
        <v>38.475354220714429</v>
      </c>
      <c r="FU496" s="120">
        <f>IF(ISERROR((FT496/FR496-1)*100),"NA",IF(((FT496/FR496-1)*100)&gt;100,"NM",IF(((FT496/FR496-1)*100)&lt;-50,"NM",(FT496/FR496-1)*100)))</f>
        <v>-8.1619416354973602</v>
      </c>
      <c r="FV496" s="106">
        <f>(FV487+FV472)/FV475*100</f>
        <v>42.590260285474393</v>
      </c>
      <c r="FW496" s="98">
        <f>IF(ISERROR((FV496/FT496-1)*100),"NA",IF(((FV496/FT496-1)*100)&gt;100,"NM",IF(((FV496/FT496-1)*100)&lt;-50,"NM",(FV496/FT496-1)*100)))</f>
        <v>10.694914051095527</v>
      </c>
      <c r="FX496" s="483">
        <f>(FX487+FX472)/FX475*100</f>
        <v>58.454018826937002</v>
      </c>
      <c r="FY496" s="98">
        <f>IF(ISERROR((FX496/FV496-1)*100),"NA",IF(((FX496/FV496-1)*100)&gt;100,"NM",IF(((FX496/FV496-1)*100)&lt;-50,"NM",(FX496/FV496-1)*100)))</f>
        <v>37.247385752354781</v>
      </c>
      <c r="FZ496" s="106">
        <f>(FZ487+FZ472)/FZ475*100</f>
        <v>47.574455019957021</v>
      </c>
      <c r="GA496" s="98">
        <f>IF(ISERROR((FZ496/FX496-1)*100),"NA",IF(((FZ496/FX496-1)*100)&gt;100,"NM",IF(((FZ496/FX496-1)*100)&lt;-50,"NM",(FZ496/FX496-1)*100)))</f>
        <v>-18.612174193173558</v>
      </c>
      <c r="GB496" s="483">
        <f>(GB487+GB472)/GB475*100</f>
        <v>43.244094488188978</v>
      </c>
      <c r="GC496" s="98">
        <f>IF(ISERROR((GB496/FZ496-1)*100),"NA",IF(((GB496/FZ496-1)*100)&gt;100,"NM",IF(((GB496/FZ496-1)*100)&lt;-50,"NM",(GB496/FZ496-1)*100)))</f>
        <v>-9.1022808983339925</v>
      </c>
      <c r="GD496" s="106">
        <f>(GD487+GD472)/GD475*100</f>
        <v>36.410711643734281</v>
      </c>
      <c r="GE496" s="98">
        <f>IF(ISERROR((GD496/GB496-1)*100),"NA",IF(((GD496/GB496-1)*100)&gt;100,"NM",IF(((GD496/GB496-1)*100)&lt;-50,"NM",(GD496/GB496-1)*100)))</f>
        <v>-15.801886767038354</v>
      </c>
      <c r="GF496" s="106">
        <f>(GF487+GF472)/GF475*100</f>
        <v>34.232365145228215</v>
      </c>
      <c r="GG496" s="98">
        <f>IF(ISERROR((GF496/GD496-1)*100),"NA",IF(((GF496/GD496-1)*100)&gt;100,"NM",IF(((GF496/GD496-1)*100)&lt;-50,"NM",(GF496/GD496-1)*100)))</f>
        <v>-5.982707835596301</v>
      </c>
      <c r="GH496" s="106">
        <f>(GH487+GH472)/GH475*100</f>
        <v>39.621451104100949</v>
      </c>
      <c r="GI496" s="98">
        <f>IF(ISERROR((GH496/GF496-1)*100),"NA",IF(((GH496/GF496-1)*100)&gt;100,"NM",IF(((GH496/GF496-1)*100)&lt;-50,"NM",(GH496/GF496-1)*100)))</f>
        <v>15.74266322531308</v>
      </c>
      <c r="GJ496" s="106">
        <f>(GJ487+GJ472)/GJ475*100</f>
        <v>63.983888128894975</v>
      </c>
      <c r="GK496" s="98">
        <f>IF(ISERROR((GJ496/GH496-1)*100),"NA",IF(((GJ496/GH496-1)*100)&gt;100,"NM",IF(((GJ496/GH496-1)*100)&lt;-50,"NM",(GJ496/GH496-1)*100)))</f>
        <v>61.487997904933955</v>
      </c>
      <c r="GL496" s="106">
        <f>(GL487+GL472)/GL475*100</f>
        <v>68.765541028314743</v>
      </c>
      <c r="GM496" s="98">
        <f>IF(ISERROR((GL496/GJ496-1)*100),"NA",IF(((GL496/GJ496-1)*100)&gt;100,"NM",IF(((GL496/GJ496-1)*100)&lt;-50,"NM",(GL496/GJ496-1)*100)))</f>
        <v>7.4732140219224696</v>
      </c>
      <c r="GN496" s="106">
        <f>(GN487+GN472)/GN475*100</f>
        <v>70.60584712927087</v>
      </c>
      <c r="GO496" s="98">
        <f>IF(ISERROR((GN496/GL496-1)*100),"NA",IF(((GN496/GL496-1)*100)&gt;100,"NM",IF(((GN496/GL496-1)*100)&lt;-50,"NM",(GN496/GL496-1)*100)))</f>
        <v>2.676203914687969</v>
      </c>
      <c r="GP496" s="106">
        <f>(GP487+GP472)/GP475*100</f>
        <v>70.863899747447022</v>
      </c>
      <c r="GQ496" s="98">
        <f>IF(ISERROR((GP496/GN496-1)*100),"NA",IF(((GP496/GN496-1)*100)&gt;100,"NM",IF(((GP496/GN496-1)*100)&lt;-50,"NM",(GP496/GN496-1)*100)))</f>
        <v>0.36548335395465426</v>
      </c>
      <c r="GR496" s="137">
        <f>(GR487+GR472)/GR475*100</f>
        <v>70.929701918011716</v>
      </c>
      <c r="GS496" s="98">
        <f>IF(ISERROR((GR496/GP496-1)*100),"NA",IF(((GR496/GP496-1)*100)&gt;100,"NM",IF(((GR496/GP496-1)*100)&lt;-50,"NM",(GR496/GP496-1)*100)))</f>
        <v>9.2857111729971464E-2</v>
      </c>
      <c r="GT496" s="137">
        <f>(GT487+GT472)/GT475*100</f>
        <v>71.193897746226014</v>
      </c>
      <c r="GU496" s="98">
        <f>IF(ISERROR((GT496/GR496-1)*100),"NA",IF(((GT496/GR496-1)*100)&gt;100,"NM",IF(((GT496/GR496-1)*100)&lt;-50,"NM",(GT496/GR496-1)*100)))</f>
        <v>0.3724755935386348</v>
      </c>
      <c r="GV496" s="137">
        <f>(GV487+GV472)/GV475*100</f>
        <v>71.273061874146364</v>
      </c>
      <c r="GW496" s="98">
        <f>IF(ISERROR((GV496/GT496-1)*100),"NA",IF(((GV496/GT496-1)*100)&gt;100,"NM",IF(((GV496/GT496-1)*100)&lt;-50,"NM",(GV496/GT496-1)*100)))</f>
        <v>0.11119510298835955</v>
      </c>
      <c r="GX496" s="137">
        <f>(GX487+GX472)/GX475*100</f>
        <v>71.35035609347581</v>
      </c>
      <c r="GY496" s="98">
        <f>IF(ISERROR((GX496/GV496-1)*100),"NA",IF(((GX496/GV496-1)*100)&gt;100,"NM",IF(((GX496/GV496-1)*100)&lt;-50,"NM",(GX496/GV496-1)*100)))</f>
        <v>0.10844801289151551</v>
      </c>
      <c r="GZ496" s="98">
        <f>IF(ISERROR(((GX496/GN496)^0.2-1)*100),"NA",IF((((GX496/GN496)^0.2-1)*100)&gt;100,"NM",IF((((GX496/GN496)^0.2-1)*100)&lt;-50,"NM",((GX496/GN496)^0.2-1)*100)))</f>
        <v>0.21000767008407806</v>
      </c>
      <c r="HA496" s="98"/>
      <c r="HB496" s="10"/>
      <c r="HC496"/>
      <c r="HD496"/>
      <c r="HE496"/>
      <c r="HF496"/>
      <c r="HG496"/>
      <c r="HH496"/>
      <c r="HI496" s="10"/>
    </row>
    <row r="497" spans="1:217" s="2" customFormat="1" ht="12.75" customHeight="1" x14ac:dyDescent="0.2">
      <c r="B497" s="91" t="s">
        <v>150</v>
      </c>
      <c r="C497" s="137">
        <f>+C488/C476*100</f>
        <v>61.861861861861868</v>
      </c>
      <c r="D497" s="98"/>
      <c r="E497" s="137">
        <f>+E488/E476*100</f>
        <v>56.547619047619044</v>
      </c>
      <c r="F497" s="98"/>
      <c r="G497" s="137">
        <f>+G488/G476*100</f>
        <v>62.463343108504397</v>
      </c>
      <c r="H497" s="98"/>
      <c r="I497" s="137">
        <f>+I488/I476*100</f>
        <v>75.78347578347578</v>
      </c>
      <c r="J497" s="98"/>
      <c r="K497" s="137">
        <f>+K488/K476*100</f>
        <v>62.974683544303801</v>
      </c>
      <c r="L497" s="98">
        <f>IF(ISERROR((K497/C497-1)*100),"NA",IF(((K497/C497-1)*100)&gt;100,"NM",IF(((K497/C497-1)*100)&lt;-50,"NM",(K497/C497-1)*100)))</f>
        <v>1.7988816517143791</v>
      </c>
      <c r="M497" s="137">
        <f>+M488/M476*100</f>
        <v>67.182662538699688</v>
      </c>
      <c r="N497" s="98">
        <f>IF(ISERROR((M497/E497-1)*100),"NA",IF(((M497/E497-1)*100)&gt;100,"NM",IF(((M497/E497-1)*100)&lt;-50,"NM",(M497/E497-1)*100)))</f>
        <v>18.80723480527946</v>
      </c>
      <c r="O497" s="137">
        <f>+O488/O476*100</f>
        <v>68.518518518518519</v>
      </c>
      <c r="P497" s="98">
        <f>IF(ISERROR((O497/G497-1)*100),"NA",IF(((O497/G497-1)*100)&gt;100,"NM",IF(((O497/G497-1)*100)&lt;-50,"NM",(O497/G497-1)*100)))</f>
        <v>9.6939662667362203</v>
      </c>
      <c r="Q497" s="137">
        <f>+Q488/Q476*100</f>
        <v>76.006389776357835</v>
      </c>
      <c r="R497" s="98">
        <f>IF(ISERROR((Q497/I497-1)*100),"NA",IF(((Q497/I497-1)*100)&gt;100,"NM",IF(((Q497/I497-1)*100)&lt;-50,"NM",(Q497/I497-1)*100)))</f>
        <v>0.29414590790075579</v>
      </c>
      <c r="S497" s="137">
        <f>+S488/S476*100</f>
        <v>76.119402985074629</v>
      </c>
      <c r="T497" s="98">
        <f>IF(ISERROR((S497/K497-1)*100),"NA",IF(((S497/K497-1)*100)&gt;100,"NM",IF(((S497/K497-1)*100)&lt;-50,"NM",(S497/K497-1)*100)))</f>
        <v>20.873021825545646</v>
      </c>
      <c r="U497" s="137">
        <f>+U488/U476*100</f>
        <v>66.90391459074732</v>
      </c>
      <c r="V497" s="98">
        <f>IF(ISERROR((U497/M497-1)*100),"NA",IF(((U497/M497-1)*100)&gt;100,"NM",IF(((U497/M497-1)*100)&lt;-50,"NM",(U497/M497-1)*100)))</f>
        <v>-0.41491054003970351</v>
      </c>
      <c r="W497" s="137">
        <f>+W488/W476*100</f>
        <v>66.055045871559642</v>
      </c>
      <c r="X497" s="98">
        <f>IF(ISERROR((W497/O497-1)*100),"NA",IF(((W497/O497-1)*100)&gt;100,"NM",IF(((W497/O497-1)*100)&lt;-50,"NM",(W497/O497-1)*100)))</f>
        <v>-3.5953384577237624</v>
      </c>
      <c r="Y497" s="137">
        <f>+Y488/Y476*100</f>
        <v>69.724770642201833</v>
      </c>
      <c r="Z497" s="98">
        <f>IF(ISERROR((Y497/Q497-1)*100),"NA",IF(((Y497/Q497-1)*100)&gt;100,"NM",IF(((Y497/Q497-1)*100)&lt;-50,"NM",(Y497/Q497-1)*100)))</f>
        <v>-8.2645934804154173</v>
      </c>
      <c r="AA497" s="137">
        <f>+AA488/AA476*100</f>
        <v>78.523489932885909</v>
      </c>
      <c r="AB497" s="98">
        <f>IF(ISERROR((AA497/S497-1)*100),"NA",IF(((AA497/S497-1)*100)&gt;100,"NM",IF(((AA497/S497-1)*100)&lt;-50,"NM",(AA497/S497-1)*100)))</f>
        <v>3.1583103039873661</v>
      </c>
      <c r="AC497" s="137">
        <f>+AC488/AC476*100</f>
        <v>92.255892255892263</v>
      </c>
      <c r="AD497" s="98">
        <f>IF(ISERROR((AC497/U497-1)*100),"NA",IF(((AC497/U497-1)*100)&gt;100,"NM",IF(((AC497/U497-1)*100)&lt;-50,"NM",(AC497/U497-1)*100)))</f>
        <v>37.893115552690062</v>
      </c>
      <c r="AE497" s="137">
        <f>+AE488/AE476*100</f>
        <v>83.121019108280265</v>
      </c>
      <c r="AF497" s="98">
        <f>IF(ISERROR((AE497/W497-1)*100),"NA",IF(((AE497/W497-1)*100)&gt;100,"NM",IF(((AE497/W497-1)*100)&lt;-50,"NM",(AE497/W497-1)*100)))</f>
        <v>25.835987261146485</v>
      </c>
      <c r="AG497" s="137">
        <f>+AG488/AG476*100</f>
        <v>76.358695652173907</v>
      </c>
      <c r="AH497" s="98">
        <f>IF(ISERROR((AG497/Y497-1)*100),"NA",IF(((AG497/Y497-1)*100)&gt;100,"NM",IF(((AG497/Y497-1)*100)&lt;-50,"NM",(AG497/Y497-1)*100)))</f>
        <v>9.5144450800915372</v>
      </c>
      <c r="AI497" s="137">
        <f>+AI488/AI476*100</f>
        <v>80.59299191374663</v>
      </c>
      <c r="AJ497" s="98">
        <f>IF(ISERROR((AI497/AA497-1)*100),"NA",IF(((AI497/AA497-1)*100)&gt;100,"NM",IF(((AI497/AA497-1)*100)&lt;-50,"NM",(AI497/AA497-1)*100)))</f>
        <v>2.6355196166516937</v>
      </c>
      <c r="AK497" s="137">
        <f>+AK488/AK476*100</f>
        <v>74.567901234567898</v>
      </c>
      <c r="AL497" s="98">
        <f>IF(ISERROR((AK497/AC497-1)*100),"NA",IF(((AK497/AC497-1)*100)&gt;100,"NM",IF(((AK497/AC497-1)*100)&lt;-50,"NM",(AK497/AC497-1)*100)))</f>
        <v>-19.172749391727507</v>
      </c>
      <c r="AM497" s="137">
        <f>+AM488/AM476*100</f>
        <v>62.910798122065728</v>
      </c>
      <c r="AN497" s="98">
        <f>IF(ISERROR((AM497/AE497-1)*100),"NA",IF(((AM497/AE497-1)*100)&gt;100,"NM",IF(((AM497/AE497-1)*100)&lt;-50,"NM",(AM497/AE497-1)*100)))</f>
        <v>-24.314212220963082</v>
      </c>
      <c r="AO497" s="137">
        <f>+AO488/AO476*100</f>
        <v>58.298755186721998</v>
      </c>
      <c r="AP497" s="98">
        <f>IF(ISERROR((AO497/AG497-1)*100),"NA",IF(((AO497/AG497-1)*100)&gt;100,"NM",IF(((AO497/AG497-1)*100)&lt;-50,"NM",(AO497/AG497-1)*100)))</f>
        <v>-23.65145228215766</v>
      </c>
      <c r="AQ497" s="137">
        <f>+AQ488/AQ476*100</f>
        <v>50.884086444007856</v>
      </c>
      <c r="AR497" s="98">
        <f>IF(ISERROR((AQ497/AI497-1)*100),"NA",IF(((AQ497/AI497-1)*100)&gt;100,"NM",IF(((AQ497/AI497-1)*100)&lt;-50,"NM",(AQ497/AI497-1)*100)))</f>
        <v>-36.862889395562156</v>
      </c>
      <c r="AS497" s="137">
        <f>+AS488/AS476*100</f>
        <v>50.782608695652179</v>
      </c>
      <c r="AT497" s="98">
        <f>IF(ISERROR((AS497/AK497-1)*100),"NA",IF(((AS497/AK497-1)*100)&gt;100,"NM",IF(((AS497/AK497-1)*100)&lt;-50,"NM",(AS497/AK497-1)*100)))</f>
        <v>-31.897494961128704</v>
      </c>
      <c r="AU497" s="137">
        <f>+AU488/AU476*100</f>
        <v>53.04347826086957</v>
      </c>
      <c r="AV497" s="98">
        <f>IF(ISERROR((AU497/AM497-1)*100),"NA",IF(((AU497/AM497-1)*100)&gt;100,"NM",IF(((AU497/AM497-1)*100)&lt;-50,"NM",(AU497/AM497-1)*100)))</f>
        <v>-15.684620376378966</v>
      </c>
      <c r="AW497" s="137">
        <f>+AW488/AW476*100</f>
        <v>52.292441140024778</v>
      </c>
      <c r="AX497" s="98">
        <f>IF(ISERROR((AW497/AO497-1)*100),"NA",IF(((AW497/AO497-1)*100)&gt;100,"NM",IF(((AW497/AO497-1)*100)&lt;-50,"NM",(AW497/AO497-1)*100)))</f>
        <v>-10.302645446647896</v>
      </c>
      <c r="AY497" s="137">
        <f>+AY488/AY476*100</f>
        <v>47.281323877068559</v>
      </c>
      <c r="AZ497" s="98">
        <f>IF(ISERROR((AY497/AQ497-1)*100),"NA",IF(((AY497/AQ497-1)*100)&gt;100,"NM",IF(((AY497/AQ497-1)*100)&lt;-50,"NM",(AY497/AQ497-1)*100)))</f>
        <v>-7.0803326122474974</v>
      </c>
      <c r="BA497" s="137">
        <f>+BA488/BA476*100</f>
        <v>59.328358208955223</v>
      </c>
      <c r="BB497" s="98">
        <f>IF(ISERROR((BA497/AS497-1)*100),"NA",IF(((BA497/AS497-1)*100)&gt;100,"NM",IF(((BA497/AS497-1)*100)&lt;-50,"NM",(BA497/AS497-1)*100)))</f>
        <v>16.828102637497434</v>
      </c>
      <c r="BC497" s="137">
        <f>+BC488/BC476*100</f>
        <v>49.615384615384613</v>
      </c>
      <c r="BD497" s="98">
        <f>IF(ISERROR((BC497/AU497-1)*100),"NA",IF(((BC497/AU497-1)*100)&gt;100,"NM",IF(((BC497/AU497-1)*100)&lt;-50,"NM",(BC497/AU497-1)*100)))</f>
        <v>-6.462799495586391</v>
      </c>
      <c r="BE497" s="137">
        <f>+BE488/BE476*100</f>
        <v>50.561797752808992</v>
      </c>
      <c r="BF497" s="98">
        <f>IF(ISERROR((BE497/AW497-1)*100),"NA",IF(((BE497/AW497-1)*100)&gt;100,"NM",IF(((BE497/AW497-1)*100)&lt;-50,"NM",(BE497/AW497-1)*100)))</f>
        <v>-3.3095478992491434</v>
      </c>
      <c r="BG497" s="137">
        <f>+BG488/BG476*100</f>
        <v>47.727272727272727</v>
      </c>
      <c r="BH497" s="98">
        <f>IF(ISERROR((BG497/AY497-1)*100),"NA",IF(((BG497/AY497-1)*100)&gt;100,"NM",IF(((BG497/AY497-1)*100)&lt;-50,"NM",(BG497/AY497-1)*100)))</f>
        <v>0.94318181818180413</v>
      </c>
      <c r="BI497" s="137">
        <f>+BI488/BI476*100</f>
        <v>48.232848232848234</v>
      </c>
      <c r="BJ497" s="98">
        <f>IF(ISERROR((BI497/BA497-1)*100),"NA",IF(((BI497/BA497-1)*100)&gt;100,"NM",IF(((BI497/BA497-1)*100)&lt;-50,"NM",(BI497/BA497-1)*100)))</f>
        <v>-18.701865871677192</v>
      </c>
      <c r="BK497" s="137">
        <f>+BK488/BK476*100</f>
        <v>51.847704367301226</v>
      </c>
      <c r="BL497" s="98">
        <f>IF(ISERROR((BK497/BC497-1)*100),"NA",IF(((BK497/BC497-1)*100)&gt;100,"NM",IF(((BK497/BC497-1)*100)&lt;-50,"NM",(BK497/BC497-1)*100)))</f>
        <v>4.4992491123900802</v>
      </c>
      <c r="BM497" s="137">
        <f>+BM488/BM476*100</f>
        <v>49.161425576519918</v>
      </c>
      <c r="BN497" s="98">
        <f>IF(ISERROR((BM497/BE497-1)*100),"NA",IF(((BM497/BE497-1)*100)&gt;100,"NM",IF(((BM497/BE497-1)*100)&lt;-50,"NM",(BM497/BE497-1)*100)))</f>
        <v>-2.7696249708828335</v>
      </c>
      <c r="BO497" s="137">
        <f>+BO488/BO476*100</f>
        <v>50</v>
      </c>
      <c r="BP497" s="98">
        <f>IF(ISERROR((BO497/BG497-1)*100),"NA",IF(((BO497/BG497-1)*100)&gt;100,"NM",IF(((BO497/BG497-1)*100)&lt;-50,"NM",(BO497/BG497-1)*100)))</f>
        <v>4.7619047619047672</v>
      </c>
      <c r="BQ497" s="137">
        <f>+BQ488/BQ476*100</f>
        <v>53.647058823529413</v>
      </c>
      <c r="BR497" s="98">
        <f>IF(ISERROR((BQ497/BI497-1)*100),"NA",IF(((BQ497/BI497-1)*100)&gt;100,"NM",IF(((BQ497/BI497-1)*100)&lt;-50,"NM",(BQ497/BI497-1)*100)))</f>
        <v>11.225152129817451</v>
      </c>
      <c r="BS497" s="137">
        <f>+BS488/BS476*100</f>
        <v>57.999999999999993</v>
      </c>
      <c r="BT497" s="98">
        <f>IF(ISERROR((BS497/BK497-1)*100),"NA",IF(((BS497/BK497-1)*100)&gt;100,"NM",IF(((BS497/BK497-1)*100)&lt;-50,"NM",(BS497/BK497-1)*100)))</f>
        <v>11.866090712742983</v>
      </c>
      <c r="BU497" s="137">
        <f>+BU488/BU476*100</f>
        <v>72.348993288590606</v>
      </c>
      <c r="BV497" s="98">
        <f>IF(ISERROR((BU497/BM497-1)*100),"NA",IF(((BU497/BM497-1)*100)&gt;100,"NM",IF(((BU497/BM497-1)*100)&lt;-50,"NM",(BU497/BM497-1)*100)))</f>
        <v>47.166182510267454</v>
      </c>
      <c r="BW497" s="137">
        <f>+BW488/BW476*100</f>
        <v>81.554677206851125</v>
      </c>
      <c r="BX497" s="98">
        <f>IF(ISERROR((BW497/BO497-1)*100),"NA",IF(((BW497/BO497-1)*100)&gt;100,"NM",IF(((BW497/BO497-1)*100)&lt;-50,"NM",(BW497/BO497-1)*100)))</f>
        <v>63.109354413702249</v>
      </c>
      <c r="BY497" s="137">
        <f>+BY488/BY476*100</f>
        <v>71.824480369515015</v>
      </c>
      <c r="BZ497" s="98">
        <f>IF(ISERROR((BY497/BQ497-1)*100),"NA",IF(((BY497/BQ497-1)*100)&gt;100,"NM",IF(((BY497/BQ497-1)*100)&lt;-50,"NM",(BY497/BQ497-1)*100)))</f>
        <v>33.883351565981926</v>
      </c>
      <c r="CA497" s="137">
        <f>+CA488/CA476*100</f>
        <v>58.883248730964468</v>
      </c>
      <c r="CB497" s="98">
        <f>IF(ISERROR((CA497/BS497-1)*100),"NA",IF(((CA497/BS497-1)*100)&gt;100,"NM",IF(((CA497/BS497-1)*100)&lt;-50,"NM",(CA497/BS497-1)*100)))</f>
        <v>1.5228426395939243</v>
      </c>
      <c r="CC497" s="137">
        <f>+CC488/CC476*100</f>
        <v>48.329258353708234</v>
      </c>
      <c r="CD497" s="98">
        <f>IF(ISERROR((CC497/BU497-1)*100),"NA",IF(((CC497/BU497-1)*100)&gt;100,"NM",IF(((CC497/BU497-1)*100)&lt;-50,"NM",(CC497/BU497-1)*100)))</f>
        <v>-33.199819158603653</v>
      </c>
      <c r="CE497" s="137">
        <f>+CE488/CE476*100</f>
        <v>46.413849958779885</v>
      </c>
      <c r="CF497" s="98">
        <f>IF(ISERROR((CE497/BW497-1)*100),"NA",IF(((CE497/BW497-1)*100)&gt;100,"NM",IF(((CE497/BW497-1)*100)&lt;-50,"NM",(CE497/BW497-1)*100)))</f>
        <v>-43.088671859912878</v>
      </c>
      <c r="CG497" s="137">
        <f>+CG488/CG476*100</f>
        <v>48.64</v>
      </c>
      <c r="CH497" s="98">
        <f>IF(ISERROR((CG497/BY497-1)*100),"NA",IF(((CG497/BY497-1)*100)&gt;100,"NM",IF(((CG497/BY497-1)*100)&lt;-50,"NM",(CG497/BY497-1)*100)))</f>
        <v>-32.279356913183285</v>
      </c>
      <c r="CI497" s="137">
        <f>+CI488/CI476*100</f>
        <v>49.558232931726906</v>
      </c>
      <c r="CJ497" s="98">
        <f>IF(ISERROR((CI497/CA497-1)*100),"NA",IF(((CI497/CA497-1)*100)&gt;100,"NM",IF(((CI497/CA497-1)*100)&lt;-50,"NM",(CI497/CA497-1)*100)))</f>
        <v>-15.83644924525689</v>
      </c>
      <c r="CK497" s="137">
        <f>+CK488/CK476*100</f>
        <v>54.606365159128977</v>
      </c>
      <c r="CL497" s="98">
        <f>IF(ISERROR((CK497/CC497-1)*100),"NA",IF(((CK497/CC497-1)*100)&gt;100,"NM",IF(((CK497/CC497-1)*100)&lt;-50,"NM",(CK497/CC497-1)*100)))</f>
        <v>12.988212563661472</v>
      </c>
      <c r="CM497" s="137">
        <f>+CM488/CM476*100</f>
        <v>63.817663817663814</v>
      </c>
      <c r="CN497" s="98">
        <f>IF(ISERROR((CM497/CE497-1)*100),"NA",IF(((CM497/CE497-1)*100)&gt;100,"NM",IF(((CM497/CE497-1)*100)&lt;-50,"NM",(CM497/CE497-1)*100)))</f>
        <v>37.497027017453298</v>
      </c>
      <c r="CO497" s="137">
        <f>+CO488/CO476*100</f>
        <v>67.213114754098356</v>
      </c>
      <c r="CP497" s="98">
        <f>IF(ISERROR((CO497/CG497-1)*100),"NA",IF(((CO497/CG497-1)*100)&gt;100,"NM",IF(((CO497/CG497-1)*100)&lt;-50,"NM",(CO497/CG497-1)*100)))</f>
        <v>38.18485763589301</v>
      </c>
      <c r="CQ497" s="494">
        <f>+CQ488/CQ476*100</f>
        <v>66.770428015564192</v>
      </c>
      <c r="CR497" s="98">
        <f>IF(ISERROR((CQ497/CI497-1)*100),"NA",IF(((CQ497/CI497-1)*100)&gt;100,"NM",IF(((CQ497/CI497-1)*100)&lt;-50,"NM",(CQ497/CI497-1)*100)))</f>
        <v>34.73125264080619</v>
      </c>
      <c r="CS497" s="137">
        <f>+CS488/CS476*100</f>
        <v>64.206349206349216</v>
      </c>
      <c r="CT497" s="98">
        <f>IF(ISERROR((CS497/CK497-1)*100),"NA",IF(((CS497/CK497-1)*100)&gt;100,"NM",IF(((CS497/CK497-1)*100)&lt;-50,"NM",(CS497/CK497-1)*100)))</f>
        <v>17.580338884019888</v>
      </c>
      <c r="CU497" s="137">
        <f>+CU488/CU476*100</f>
        <v>53.46239761727476</v>
      </c>
      <c r="CV497" s="98">
        <f>IF(ISERROR((CU497/CM497-1)*100),"NA",IF(((CU497/CM497-1)*100)&gt;100,"NM",IF(((CU497/CM497-1)*100)&lt;-50,"NM",(CU497/CM497-1)*100)))</f>
        <v>-16.226332305073921</v>
      </c>
      <c r="CW497" s="137">
        <f>+CW488/CW476*100</f>
        <v>53.622047244094482</v>
      </c>
      <c r="CX497" s="98">
        <f>IF(ISERROR((CW497/CO497-1)*100),"NA",IF(((CW497/CO497-1)*100)&gt;100,"NM",IF(((CW497/CO497-1)*100)&lt;-50,"NM",(CW497/CO497-1)*100)))</f>
        <v>-20.220856539274056</v>
      </c>
      <c r="CY497" s="137">
        <f>+CY488/CY476*100</f>
        <v>51.155624036979972</v>
      </c>
      <c r="CZ497" s="98">
        <f>IF(ISERROR((CY497/CQ497-1)*100),"NA",IF(((CY497/CQ497-1)*100)&gt;100,"NM",IF(((CY497/CQ497-1)*100)&lt;-50,"NM",(CY497/CQ497-1)*100)))</f>
        <v>-23.385807823404114</v>
      </c>
      <c r="DA497" s="137">
        <f>+DA488/DA476*100</f>
        <v>47.352721849366148</v>
      </c>
      <c r="DB497" s="98">
        <f>IF(ISERROR((DA497/CS497-1)*100),"NA",IF(((DA497/CS497-1)*100)&gt;100,"NM",IF(((DA497/CS497-1)*100)&lt;-50,"NM",(DA497/CS497-1)*100)))</f>
        <v>-26.249160036833953</v>
      </c>
      <c r="DC497" s="137">
        <f>+DC488/DC476*100</f>
        <v>45.961820851688692</v>
      </c>
      <c r="DD497" s="98">
        <f>IF(ISERROR((DC497/CU497-1)*100),"NA",IF(((DC497/CU497-1)*100)&gt;100,"NM",IF(((DC497/CU497-1)*100)&lt;-50,"NM",(DC497/CU497-1)*100)))</f>
        <v>-14.029630356799572</v>
      </c>
      <c r="DE497" s="137">
        <f>+DE488/DE476*100</f>
        <v>41.316526610644253</v>
      </c>
      <c r="DF497" s="98">
        <f>IF(ISERROR((DE497/CW497-1)*100),"NA",IF(((DE497/CW497-1)*100)&gt;100,"NM",IF(((DE497/CW497-1)*100)&lt;-50,"NM",(DE497/CW497-1)*100)))</f>
        <v>-22.948621445641404</v>
      </c>
      <c r="DG497" s="137">
        <f>+DG488/DG476*100</f>
        <v>40.981340704906707</v>
      </c>
      <c r="DH497" s="98">
        <f>IF(ISERROR((DG497/CY497-1)*100),"NA",IF(((DG497/CY497-1)*100)&gt;100,"NM",IF(((DG497/CY497-1)*100)&lt;-50,"NM",(DG497/CY497-1)*100)))</f>
        <v>-19.888885188299842</v>
      </c>
      <c r="DI497" s="137">
        <f>+DI488/DI476*100</f>
        <v>37.588652482269502</v>
      </c>
      <c r="DJ497" s="465">
        <f>IF(ISERROR((DI497/DA497-1)*100),"NA",IF(((DI497/DA497-1)*100)&gt;100,"NM",IF(((DI497/DA497-1)*100)&lt;-50,"NM",(DI497/DA497-1)*100)))</f>
        <v>-20.619869324845041</v>
      </c>
      <c r="DK497" s="137">
        <f>+DK488/DK476*100</f>
        <v>34.644194756554306</v>
      </c>
      <c r="DL497" s="465">
        <f>IF(ISERROR((DK497/DC497-1)*100),"NA",IF(((DK497/DC497-1)*100)&gt;100,"NM",IF(((DK497/DC497-1)*100)&lt;-50,"NM",(DK497/DC497-1)*100)))</f>
        <v>-24.623972430627848</v>
      </c>
      <c r="DM497" s="137">
        <f>+DM488/DM476*100</f>
        <v>32.153569286142769</v>
      </c>
      <c r="DN497" s="98">
        <f>IF(ISERROR((DM497/DE497-1)*100),"NA",IF(((DM497/DE497-1)*100)&gt;100,"NM",IF(((DM497/DE497-1)*100)&lt;-50,"NM",(DM497/DE497-1)*100)))</f>
        <v>-22.177462812522243</v>
      </c>
      <c r="DO497" s="137">
        <f>+DO488/DO476*100</f>
        <v>31.585081585081586</v>
      </c>
      <c r="DP497" s="98">
        <f>IF(ISERROR((DO497/DG497-1)*100),"NA",IF(((DO497/DG497-1)*100)&gt;100,"NM",IF(((DO497/DG497-1)*100)&lt;-50,"NM",(DO497/DG497-1)*100)))</f>
        <v>-22.928139875863319</v>
      </c>
      <c r="DQ497" s="137">
        <f>+DQ488/DQ476*100</f>
        <v>36.14759224515322</v>
      </c>
      <c r="DR497" s="98">
        <f>IF(ISERROR((DQ497/DI497-1)*100),"NA",IF(((DQ497/DI497-1)*100)&gt;100,"NM",IF(((DQ497/DI497-1)*100)&lt;-50,"NM",(DQ497/DI497-1)*100)))</f>
        <v>-3.8337640270452056</v>
      </c>
      <c r="DS497" s="137">
        <f>+DS488/DS476*100</f>
        <v>21.076973901552691</v>
      </c>
      <c r="DT497" s="98">
        <f>IF(ISERROR((DS497/DK497-1)*100),"NA",IF(((DS497/DK497-1)*100)&gt;100,"NM",IF(((DS497/DK497-1)*100)&lt;-50,"NM",(DS497/DK497-1)*100)))</f>
        <v>-39.161599657139803</v>
      </c>
      <c r="DU497" s="137">
        <f>+DU488/DU476*100</f>
        <v>22.824675324675326</v>
      </c>
      <c r="DV497" s="98">
        <f>IF(ISERROR((DU497/DM497-1)*100),"NA",IF(((DU497/DM497-1)*100)&gt;100,"NM",IF(((DU497/DM497-1)*100)&lt;-50,"NM",(DU497/DM497-1)*100)))</f>
        <v>-29.013556406280284</v>
      </c>
      <c r="DW497" s="137">
        <f>+DW488/DW476*100</f>
        <v>21.835977050286871</v>
      </c>
      <c r="DX497" s="98">
        <f>IF(ISERROR((DW497/DO497-1)*100),"NA",IF(((DW497/DO497-1)*100)&gt;100,"NM",IF(((DW497/DO497-1)*100)&lt;-50,"NM",(DW497/DO497-1)*100)))</f>
        <v>-30.866168600936771</v>
      </c>
      <c r="DY497" s="137">
        <f>+DY488/DY476*100</f>
        <v>23.331130204890947</v>
      </c>
      <c r="DZ497" s="98">
        <f>IF(ISERROR((DY497/DQ497-1)*100),"NA",IF(((DY497/DQ497-1)*100)&gt;100,"NM",IF(((DY497/DQ497-1)*100)&lt;-50,"NM",(DY497/DQ497-1)*100)))</f>
        <v>-35.45592180342453</v>
      </c>
      <c r="EA497" s="137">
        <f>+EA488/EA476*100</f>
        <v>20.74486599373477</v>
      </c>
      <c r="EB497" s="98">
        <f>IF(ISERROR((EA497/DS497-1)*100),"NA",IF(((EA497/DS497-1)*100)&gt;100,"NM",IF(((EA497/DS497-1)*100)&lt;-50,"NM",(EA497/DS497-1)*100)))</f>
        <v>-1.5756906535499215</v>
      </c>
      <c r="EC497" s="137">
        <f>+EC488/EC476*100</f>
        <v>29.772570640937285</v>
      </c>
      <c r="ED497" s="98">
        <f>IF(ISERROR((EC497/DU497-1)*100),"NA",IF(((EC497/DU497-1)*100)&gt;100,"NM",IF(((EC497/DU497-1)*100)&lt;-50,"NM",(EC497/DU497-1)*100)))</f>
        <v>30.440281044220253</v>
      </c>
      <c r="EE497" s="137">
        <f>+EE488/EE476*100</f>
        <v>14.164606146238079</v>
      </c>
      <c r="EF497" s="860">
        <f>IF(ISERROR((EE497/DW497-1)*100),"NA",IF(((EE497/DW497-1)*100)&gt;100,"NM",IF(((EE497/DW497-1)*100)&lt;-50,"NM",(EE497/DW497-1)*100)))</f>
        <v>-35.131795963982334</v>
      </c>
      <c r="EG497" s="137">
        <f>+EG488/EG476*100</f>
        <v>18.836466832210004</v>
      </c>
      <c r="EH497" s="860">
        <f>IF(ISERROR((EG497/DY497-1)*100),"NA",IF(((EG497/DY497-1)*100)&gt;100,"NM",IF(((EG497/DY497-1)*100)&lt;-50,"NM",(EG497/DY497-1)*100)))</f>
        <v>-19.264661991122566</v>
      </c>
      <c r="EI497" s="137">
        <f>+EI488/EI476*100</f>
        <v>12.587930396149574</v>
      </c>
      <c r="EJ497" s="860">
        <f t="shared" si="3017"/>
        <v>-39.320261697755484</v>
      </c>
      <c r="EK497" s="137">
        <f>+EK488/EK476*100</f>
        <v>14.509803921568629</v>
      </c>
      <c r="EL497" s="860" t="str">
        <f t="shared" si="3018"/>
        <v>NM</v>
      </c>
      <c r="EM497" s="137">
        <f>+EM488/EM476*100</f>
        <v>12.828685258964143</v>
      </c>
      <c r="EN497" s="860">
        <f t="shared" si="3019"/>
        <v>-9.4314015757419263</v>
      </c>
      <c r="EO497" s="137">
        <f>+EO488/EO476*100</f>
        <v>12.922002328288706</v>
      </c>
      <c r="EP497" s="98">
        <f t="shared" si="3020"/>
        <v>-31.39901212157088</v>
      </c>
      <c r="EQ497" s="1035">
        <f>EO497</f>
        <v>12.922002328288706</v>
      </c>
      <c r="ER497" s="98">
        <f t="shared" si="3021"/>
        <v>2.653906731493505</v>
      </c>
      <c r="ES497" s="1035">
        <f t="shared" ref="ES497" si="3028">EQ497</f>
        <v>12.922002328288706</v>
      </c>
      <c r="ET497" s="98">
        <f t="shared" si="3023"/>
        <v>-10.942956926658931</v>
      </c>
      <c r="EU497" s="1035">
        <f t="shared" ref="EU497" si="3029">ES497</f>
        <v>12.922002328288706</v>
      </c>
      <c r="EV497" s="98">
        <f t="shared" si="3025"/>
        <v>0.72740945343059416</v>
      </c>
      <c r="EW497" s="1035">
        <f t="shared" ref="EW497" si="3030">EU497</f>
        <v>12.922002328288706</v>
      </c>
      <c r="EX497" s="98">
        <f t="shared" si="3027"/>
        <v>0</v>
      </c>
      <c r="EY497" s="110"/>
      <c r="EZ497" s="594"/>
      <c r="FA497" s="405"/>
      <c r="FB497" s="125">
        <f>+FB488/FB476*100</f>
        <v>58.461538461538467</v>
      </c>
      <c r="FC497" s="98"/>
      <c r="FD497" s="137">
        <f>+FD488/FD476*100</f>
        <v>63.35282651072125</v>
      </c>
      <c r="FE497" s="98">
        <f>IF(ISERROR((FD497/FB497-1)*100),"NA",IF(((FD497/FB497-1)*100)&gt;100,"NM",IF(((FD497/FB497-1)*100)&lt;-50,"NM",(FD497/FB497-1)*100)))</f>
        <v>8.3666769262337191</v>
      </c>
      <c r="FF497" s="125">
        <f>+FF488/FF476*100</f>
        <v>64.290962527553276</v>
      </c>
      <c r="FG497" s="98">
        <f>IF(ISERROR((FF497/FD497-1)*100),"NA",IF(((FF497/FD497-1)*100)&gt;100,"NM",IF(((FF497/FD497-1)*100)&lt;-50,"NM",(FF497/FD497-1)*100)))</f>
        <v>1.480811620414868</v>
      </c>
      <c r="FH497" s="125">
        <f>+FH488/FH476*100</f>
        <v>68.644200626959247</v>
      </c>
      <c r="FI497" s="98">
        <f>IF(ISERROR((FH497/FF497-1)*100),"NA",IF(((FH497/FF497-1)*100)&gt;100,"NM",IF(((FH497/FF497-1)*100)&lt;-50,"NM",(FH497/FF497-1)*100)))</f>
        <v>6.7711509180474527</v>
      </c>
      <c r="FJ497" s="125">
        <f>+FJ488/FJ476*100</f>
        <v>69.492934330839574</v>
      </c>
      <c r="FK497" s="98">
        <f>IF(ISERROR((FJ497/FH497-1)*100),"NA",IF(((FJ497/FH497-1)*100)&gt;100,"NM",IF(((FJ497/FH497-1)*100)&lt;-50,"NM",(FJ497/FH497-1)*100)))</f>
        <v>1.236424484702936</v>
      </c>
      <c r="FL497" s="125">
        <f>+FL488/FL476*100</f>
        <v>82.223962411902889</v>
      </c>
      <c r="FM497" s="98">
        <f>IF(ISERROR((FL497/FJ497-1)*100),"NA",IF(((FL497/FJ497-1)*100)&gt;100,"NM",IF(((FL497/FJ497-1)*100)&lt;-50,"NM",(FL497/FJ497-1)*100)))</f>
        <v>18.319888494640146</v>
      </c>
      <c r="FN497" s="125">
        <f>+FN488/FN476*100</f>
        <v>68.289786223277915</v>
      </c>
      <c r="FO497" s="98">
        <f>IF(ISERROR((FN497/FL497-1)*100),"NA",IF(((FN497/FL497-1)*100)&gt;100,"NM",IF(((FN497/FL497-1)*100)&lt;-50,"NM",(FN497/FL497-1)*100)))</f>
        <v>-16.946612374165802</v>
      </c>
      <c r="FP497" s="125">
        <f>+FP488/FP476*100</f>
        <v>51.928783382789319</v>
      </c>
      <c r="FQ497" s="98">
        <f>IF(ISERROR((FP497/FN497-1)*100),"NA",IF(((FP497/FN497-1)*100)&gt;100,"NM",IF(((FP497/FN497-1)*100)&lt;-50,"NM",(FP497/FN497-1)*100)))</f>
        <v>-23.958198942071995</v>
      </c>
      <c r="FR497" s="106">
        <f>+FR488/FR476*100</f>
        <v>51.626506024096386</v>
      </c>
      <c r="FS497" s="120">
        <f>IF(ISERROR((FR497/FP497-1)*100),"NA",IF(((FR497/FP497-1)*100)&gt;100,"NM",IF(((FR497/FP497-1)*100)&lt;-50,"NM",(FR497/FP497-1)*100)))</f>
        <v>-0.58209982788296477</v>
      </c>
      <c r="FT497" s="106">
        <f>+FT488/FT476*100</f>
        <v>49.22743290864733</v>
      </c>
      <c r="FU497" s="120">
        <f>IF(ISERROR((FT497/FR497-1)*100),"NA",IF(((FT497/FR497-1)*100)&gt;100,"NM",IF(((FT497/FR497-1)*100)&lt;-50,"NM",(FT497/FR497-1)*100)))</f>
        <v>-4.6469794301580265</v>
      </c>
      <c r="FV497" s="106">
        <f>+FV488/FV476*100</f>
        <v>60.315144441202214</v>
      </c>
      <c r="FW497" s="98">
        <f>IF(ISERROR((FV497/FT497-1)*100),"NA",IF(((FV497/FT497-1)*100)&gt;100,"NM",IF(((FV497/FT497-1)*100)&lt;-50,"NM",(FV497/FT497-1)*100)))</f>
        <v>22.523440442508246</v>
      </c>
      <c r="FX497" s="483">
        <f>+FX488/FX476*100</f>
        <v>62.913734688558762</v>
      </c>
      <c r="FY497" s="98">
        <f>IF(ISERROR((FX497/FV497-1)*100),"NA",IF(((FX497/FV497-1)*100)&gt;100,"NM",IF(((FX497/FV497-1)*100)&lt;-50,"NM",(FX497/FV497-1)*100)))</f>
        <v>4.3083545126709755</v>
      </c>
      <c r="FZ497" s="106">
        <f>+FZ488/FZ476*100</f>
        <v>49.775601795185636</v>
      </c>
      <c r="GA497" s="98">
        <f>IF(ISERROR((FZ497/FX497-1)*100),"NA",IF(((FZ497/FX497-1)*100)&gt;100,"NM",IF(((FZ497/FX497-1)*100)&lt;-50,"NM",(FZ497/FX497-1)*100)))</f>
        <v>-20.88277378288015</v>
      </c>
      <c r="GB497" s="483">
        <f>+GB488/GB476*100</f>
        <v>65.545511877233551</v>
      </c>
      <c r="GC497" s="98">
        <f>IF(ISERROR((GB497/FZ497-1)*100),"NA",IF(((GB497/FZ497-1)*100)&gt;100,"NM",IF(((GB497/FZ497-1)*100)&lt;-50,"NM",(GB497/FZ497-1)*100)))</f>
        <v>31.682007877950369</v>
      </c>
      <c r="GD497" s="106">
        <f>+GD488/GD476*100</f>
        <v>51.370906321401364</v>
      </c>
      <c r="GE497" s="98">
        <f>IF(ISERROR((GD497/GB497-1)*100),"NA",IF(((GD497/GB497-1)*100)&gt;100,"NM",IF(((GD497/GB497-1)*100)&lt;-50,"NM",(GD497/GB497-1)*100)))</f>
        <v>-21.625592889382204</v>
      </c>
      <c r="GF497" s="106">
        <f>+GF488/GF476*100</f>
        <v>41.32688320663442</v>
      </c>
      <c r="GG497" s="98">
        <f>IF(ISERROR((GF497/GD497-1)*100),"NA",IF(((GF497/GD497-1)*100)&gt;100,"NM",IF(((GF497/GD497-1)*100)&lt;-50,"NM",(GF497/GD497-1)*100)))</f>
        <v>-19.551967901688659</v>
      </c>
      <c r="GH497" s="106">
        <f>+GH488/GH476*100</f>
        <v>33.581409477521262</v>
      </c>
      <c r="GI497" s="98">
        <f>IF(ISERROR((GH497/GF497-1)*100),"NA",IF(((GH497/GF497-1)*100)&gt;100,"NM",IF(((GH497/GF497-1)*100)&lt;-50,"NM",(GH497/GF497-1)*100)))</f>
        <v>-18.741974056900901</v>
      </c>
      <c r="GJ497" s="106">
        <f>+GJ488/GJ476*100</f>
        <v>22.271825396825399</v>
      </c>
      <c r="GK497" s="98">
        <f>IF(ISERROR((GJ497/GH497-1)*100),"NA",IF(((GJ497/GH497-1)*100)&gt;100,"NM",IF(((GJ497/GH497-1)*100)&lt;-50,"NM",(GJ497/GH497-1)*100)))</f>
        <v>-33.678110170647479</v>
      </c>
      <c r="GL497" s="106">
        <f>+GL488/GL476*100</f>
        <v>20.936542669584245</v>
      </c>
      <c r="GM497" s="98">
        <f>IF(ISERROR((GL497/GJ497-1)*100),"NA",IF(((GL497/GJ497-1)*100)&gt;100,"NM",IF(((GL497/GJ497-1)*100)&lt;-50,"NM",(GL497/GJ497-1)*100)))</f>
        <v>-5.9953897062765442</v>
      </c>
      <c r="GN497" s="106">
        <f>+GN488/GN476*100</f>
        <v>13.203714451538016</v>
      </c>
      <c r="GO497" s="98">
        <f>IF(ISERROR((GN497/GL497-1)*100),"NA",IF(((GN497/GL497-1)*100)&gt;100,"NM",IF(((GN497/GL497-1)*100)&lt;-50,"NM",(GN497/GL497-1)*100)))</f>
        <v>-36.934599661863786</v>
      </c>
      <c r="GP497" s="106">
        <f>+GP488/GP476*100</f>
        <v>12.922002328288704</v>
      </c>
      <c r="GQ497" s="98">
        <f>IF(ISERROR((GP497/GN497-1)*100),"NA",IF(((GP497/GN497-1)*100)&gt;100,"NM",IF(((GP497/GN497-1)*100)&lt;-50,"NM",(GP497/GN497-1)*100)))</f>
        <v>-2.1335823664112685</v>
      </c>
      <c r="GR497" s="110">
        <f>GP497</f>
        <v>12.922002328288704</v>
      </c>
      <c r="GS497" s="98">
        <f>IF(ISERROR((GR497/GP497-1)*100),"NA",IF(((GR497/GP497-1)*100)&gt;100,"NM",IF(((GR497/GP497-1)*100)&lt;-50,"NM",(GR497/GP497-1)*100)))</f>
        <v>0</v>
      </c>
      <c r="GT497" s="110">
        <f>GR497</f>
        <v>12.922002328288704</v>
      </c>
      <c r="GU497" s="98">
        <f>IF(ISERROR((GT497/GR497-1)*100),"NA",IF(((GT497/GR497-1)*100)&gt;100,"NM",IF(((GT497/GR497-1)*100)&lt;-50,"NM",(GT497/GR497-1)*100)))</f>
        <v>0</v>
      </c>
      <c r="GV497" s="110">
        <f>GT497</f>
        <v>12.922002328288704</v>
      </c>
      <c r="GW497" s="98">
        <f>IF(ISERROR((GV497/GT497-1)*100),"NA",IF(((GV497/GT497-1)*100)&gt;100,"NM",IF(((GV497/GT497-1)*100)&lt;-50,"NM",(GV497/GT497-1)*100)))</f>
        <v>0</v>
      </c>
      <c r="GX497" s="110">
        <f>GV497</f>
        <v>12.922002328288704</v>
      </c>
      <c r="GY497" s="98">
        <f>IF(ISERROR((GX497/GV497-1)*100),"NA",IF(((GX497/GV497-1)*100)&gt;100,"NM",IF(((GX497/GV497-1)*100)&lt;-50,"NM",(GX497/GV497-1)*100)))</f>
        <v>0</v>
      </c>
      <c r="GZ497" s="98">
        <f>IF(ISERROR(((GX497/GN497)^0.2-1)*100),"NA",IF((((GX497/GN497)^0.2-1)*100)&gt;100,"NM",IF((((GX497/GN497)^0.2-1)*100)&lt;-50,"NM",((GX497/GN497)^0.2-1)*100)))</f>
        <v>-0.4304055397091</v>
      </c>
      <c r="HA497" s="98"/>
      <c r="HB497" s="10"/>
      <c r="HC497"/>
      <c r="HD497"/>
      <c r="HE497"/>
      <c r="HF497"/>
      <c r="HG497"/>
      <c r="HH497"/>
      <c r="HI497" s="10"/>
    </row>
    <row r="498" spans="1:217" s="143" customFormat="1" ht="12.75" hidden="1" customHeight="1" outlineLevel="1" x14ac:dyDescent="0.2">
      <c r="B498" s="140" t="s">
        <v>61</v>
      </c>
      <c r="C498" s="105"/>
      <c r="D498" s="104"/>
      <c r="E498" s="105"/>
      <c r="F498" s="104"/>
      <c r="G498" s="105"/>
      <c r="H498" s="104"/>
      <c r="I498" s="105"/>
      <c r="J498" s="104"/>
      <c r="K498" s="105"/>
      <c r="L498" s="104"/>
      <c r="M498" s="105"/>
      <c r="N498" s="104"/>
      <c r="O498" s="105"/>
      <c r="P498" s="104"/>
      <c r="Q498" s="105"/>
      <c r="R498" s="104"/>
      <c r="S498" s="105"/>
      <c r="T498" s="104"/>
      <c r="U498" s="105"/>
      <c r="V498" s="104"/>
      <c r="W498" s="105"/>
      <c r="X498" s="104"/>
      <c r="Y498" s="105"/>
      <c r="Z498" s="104"/>
      <c r="AA498" s="105"/>
      <c r="AB498" s="104"/>
      <c r="AC498" s="105"/>
      <c r="AD498" s="104"/>
      <c r="AE498" s="105"/>
      <c r="AF498" s="104"/>
      <c r="AG498" s="105"/>
      <c r="AH498" s="104"/>
      <c r="AI498" s="105"/>
      <c r="AJ498" s="104"/>
      <c r="AK498" s="105"/>
      <c r="AL498" s="104"/>
      <c r="AM498" s="105"/>
      <c r="AN498" s="104"/>
      <c r="AO498" s="105"/>
      <c r="AP498" s="104"/>
      <c r="AQ498" s="105"/>
      <c r="AR498" s="104"/>
      <c r="AS498" s="105"/>
      <c r="AT498" s="104"/>
      <c r="AU498" s="105"/>
      <c r="AV498" s="104"/>
      <c r="AW498" s="105"/>
      <c r="AX498" s="104"/>
      <c r="AY498" s="105"/>
      <c r="AZ498" s="104"/>
      <c r="BA498" s="105"/>
      <c r="BB498" s="104"/>
      <c r="BC498" s="105"/>
      <c r="BD498" s="104"/>
      <c r="BE498" s="105"/>
      <c r="BF498" s="104"/>
      <c r="BG498" s="105"/>
      <c r="BH498" s="104"/>
      <c r="BI498" s="105"/>
      <c r="BJ498" s="104"/>
      <c r="BK498" s="105"/>
      <c r="BL498" s="104"/>
      <c r="BM498" s="105"/>
      <c r="BN498" s="104"/>
      <c r="BO498" s="105"/>
      <c r="BP498" s="104"/>
      <c r="BQ498" s="105"/>
      <c r="BR498" s="104"/>
      <c r="BS498" s="105"/>
      <c r="BT498" s="104"/>
      <c r="BU498" s="105"/>
      <c r="BV498" s="104"/>
      <c r="BW498" s="105"/>
      <c r="BX498" s="104"/>
      <c r="BY498" s="105"/>
      <c r="BZ498" s="104"/>
      <c r="CA498" s="105"/>
      <c r="CB498" s="104"/>
      <c r="CC498" s="105"/>
      <c r="CD498" s="104"/>
      <c r="CE498" s="105"/>
      <c r="CF498" s="104"/>
      <c r="CG498" s="105"/>
      <c r="CH498" s="104"/>
      <c r="CI498" s="105"/>
      <c r="CJ498" s="104"/>
      <c r="CK498" s="105"/>
      <c r="CL498" s="104"/>
      <c r="CM498" s="105"/>
      <c r="CN498" s="104"/>
      <c r="CO498" s="105"/>
      <c r="CP498" s="104"/>
      <c r="CQ498" s="522"/>
      <c r="CR498" s="104"/>
      <c r="CS498" s="105"/>
      <c r="CT498" s="104"/>
      <c r="CU498" s="105"/>
      <c r="CV498" s="104"/>
      <c r="CW498" s="105"/>
      <c r="CX498" s="104"/>
      <c r="CY498" s="105"/>
      <c r="CZ498" s="104"/>
      <c r="DA498" s="105"/>
      <c r="DB498" s="104"/>
      <c r="DC498" s="105"/>
      <c r="DD498" s="104"/>
      <c r="DE498" s="105"/>
      <c r="DF498" s="104"/>
      <c r="DG498" s="105"/>
      <c r="DH498" s="104"/>
      <c r="DI498" s="105"/>
      <c r="DJ498" s="633"/>
      <c r="DK498" s="105"/>
      <c r="DL498" s="633"/>
      <c r="DM498" s="105"/>
      <c r="DN498" s="104"/>
      <c r="DO498" s="105"/>
      <c r="DP498" s="104"/>
      <c r="DQ498" s="105"/>
      <c r="DR498" s="104"/>
      <c r="DS498" s="105"/>
      <c r="DT498" s="104"/>
      <c r="DU498" s="105"/>
      <c r="DV498" s="104"/>
      <c r="DW498" s="105"/>
      <c r="DX498" s="104"/>
      <c r="DY498" s="105"/>
      <c r="DZ498" s="104"/>
      <c r="EA498" s="105"/>
      <c r="EB498" s="104"/>
      <c r="EC498" s="105"/>
      <c r="ED498" s="104"/>
      <c r="EE498" s="105"/>
      <c r="EF498" s="1019"/>
      <c r="EG498" s="105"/>
      <c r="EH498" s="1019"/>
      <c r="EI498" s="105"/>
      <c r="EJ498" s="1019"/>
      <c r="EK498" s="105"/>
      <c r="EL498" s="1019"/>
      <c r="EM498" s="105"/>
      <c r="EN498" s="1019"/>
      <c r="EO498" s="105"/>
      <c r="EP498" s="104"/>
      <c r="EQ498" s="1018">
        <f>IF($B$6=1,EQ497,IF($B$6=2,EQ497+EQ715,IF($B$6=3,EQ497+EQ716)))</f>
        <v>12.922002328288706</v>
      </c>
      <c r="ER498" s="104"/>
      <c r="ES498" s="1018">
        <f>IF($B$6=1,ES497,IF($B$6=2,ES497+ES715,IF($B$6=3,ES497+ES716)))</f>
        <v>12.922002328288706</v>
      </c>
      <c r="ET498" s="104"/>
      <c r="EU498" s="1018">
        <f>IF($B$6=1,EU497,IF($B$6=2,EU497+EU715,IF($B$6=3,EU497+EU716)))</f>
        <v>12.922002328288706</v>
      </c>
      <c r="EV498" s="104"/>
      <c r="EW498" s="1018">
        <f>IF($B$6=1,EW497,IF($B$6=2,EW497+EW715,IF($B$6=3,EW497+EW716)))</f>
        <v>12.922002328288706</v>
      </c>
      <c r="EX498" s="104"/>
      <c r="EY498" s="141"/>
      <c r="EZ498" s="595"/>
      <c r="FA498" s="406"/>
      <c r="FB498" s="142"/>
      <c r="FC498" s="104"/>
      <c r="FD498" s="142"/>
      <c r="FE498" s="104"/>
      <c r="FF498" s="142"/>
      <c r="FG498" s="104"/>
      <c r="FH498" s="142"/>
      <c r="FI498" s="104"/>
      <c r="FJ498" s="142"/>
      <c r="FK498" s="104"/>
      <c r="FL498" s="142"/>
      <c r="FM498" s="104"/>
      <c r="FN498" s="142"/>
      <c r="FO498" s="104"/>
      <c r="FP498" s="142"/>
      <c r="FQ498" s="104"/>
      <c r="FR498" s="141"/>
      <c r="FS498" s="109"/>
      <c r="FT498" s="141"/>
      <c r="FU498" s="109"/>
      <c r="FV498" s="141"/>
      <c r="FW498" s="104"/>
      <c r="FX498" s="491"/>
      <c r="FY498" s="104"/>
      <c r="FZ498" s="141"/>
      <c r="GA498" s="104"/>
      <c r="GB498" s="491"/>
      <c r="GC498" s="104"/>
      <c r="GD498" s="141"/>
      <c r="GE498" s="104"/>
      <c r="GF498" s="141"/>
      <c r="GG498" s="104"/>
      <c r="GH498" s="141"/>
      <c r="GI498" s="104"/>
      <c r="GJ498" s="141"/>
      <c r="GK498" s="104"/>
      <c r="GL498" s="141"/>
      <c r="GM498" s="104"/>
      <c r="GN498" s="141"/>
      <c r="GO498" s="104"/>
      <c r="GP498" s="141"/>
      <c r="GQ498" s="104"/>
      <c r="GR498" s="141">
        <f>IF($B$6=1,GR497,IF($B$6=2,GR497+GR715,IF($B$6=3,GR497+GR716)))</f>
        <v>12.922002328288704</v>
      </c>
      <c r="GS498" s="104"/>
      <c r="GT498" s="141">
        <f>IF($B$6=1,GT497,IF($B$6=2,GT497+GT715,IF($B$6=3,GT497+GT716)))</f>
        <v>12.922002328288704</v>
      </c>
      <c r="GU498" s="104"/>
      <c r="GV498" s="141">
        <f>IF($B$6=1,GV497,IF($B$6=2,GV497+GV715,IF($B$6=3,GV497+GV716)))</f>
        <v>12.922002328288704</v>
      </c>
      <c r="GW498" s="104"/>
      <c r="GX498" s="141">
        <f>IF($B$6=1,GX497,IF($B$6=2,GX497+GX715,IF($B$6=3,GX497+GX716)))</f>
        <v>12.922002328288704</v>
      </c>
      <c r="GY498" s="104"/>
      <c r="GZ498" s="104"/>
      <c r="HA498" s="104"/>
      <c r="HB498" s="111"/>
      <c r="HC498"/>
      <c r="HD498"/>
      <c r="HE498"/>
      <c r="HF498"/>
      <c r="HG498"/>
      <c r="HH498"/>
      <c r="HI498" s="111"/>
    </row>
    <row r="499" spans="1:217" s="2" customFormat="1" ht="12.75" customHeight="1" collapsed="1" x14ac:dyDescent="0.2">
      <c r="B499" s="91"/>
      <c r="C499" s="137"/>
      <c r="D499" s="98"/>
      <c r="E499" s="137"/>
      <c r="F499" s="98"/>
      <c r="G499" s="137"/>
      <c r="H499" s="98"/>
      <c r="I499" s="137"/>
      <c r="J499" s="98"/>
      <c r="K499" s="137"/>
      <c r="L499" s="98"/>
      <c r="M499" s="137"/>
      <c r="N499" s="98"/>
      <c r="O499" s="137"/>
      <c r="P499" s="98"/>
      <c r="Q499" s="137"/>
      <c r="R499" s="98"/>
      <c r="S499" s="137"/>
      <c r="T499" s="98"/>
      <c r="U499" s="137"/>
      <c r="V499" s="98"/>
      <c r="W499" s="137"/>
      <c r="X499" s="98"/>
      <c r="Y499" s="137"/>
      <c r="Z499" s="98"/>
      <c r="AA499" s="137"/>
      <c r="AB499" s="98"/>
      <c r="AC499" s="137"/>
      <c r="AD499" s="98"/>
      <c r="AE499" s="137"/>
      <c r="AF499" s="98"/>
      <c r="AG499" s="137"/>
      <c r="AH499" s="98"/>
      <c r="AI499" s="137"/>
      <c r="AJ499" s="98"/>
      <c r="AK499" s="137"/>
      <c r="AL499" s="98"/>
      <c r="AM499" s="137"/>
      <c r="AN499" s="98"/>
      <c r="AO499" s="137"/>
      <c r="AP499" s="98"/>
      <c r="AQ499" s="137"/>
      <c r="AR499" s="98"/>
      <c r="AS499" s="137"/>
      <c r="AT499" s="98"/>
      <c r="AU499" s="137"/>
      <c r="AV499" s="98"/>
      <c r="AW499" s="137"/>
      <c r="AX499" s="98"/>
      <c r="AY499" s="137"/>
      <c r="AZ499" s="98"/>
      <c r="BA499" s="137"/>
      <c r="BB499" s="98"/>
      <c r="BC499" s="137"/>
      <c r="BD499" s="98"/>
      <c r="BE499" s="137"/>
      <c r="BF499" s="98"/>
      <c r="BG499" s="137"/>
      <c r="BH499" s="98"/>
      <c r="BI499" s="137"/>
      <c r="BJ499" s="98"/>
      <c r="BK499" s="137"/>
      <c r="BL499" s="98"/>
      <c r="BM499" s="137"/>
      <c r="BN499" s="98"/>
      <c r="BO499" s="137"/>
      <c r="BP499" s="98"/>
      <c r="BQ499" s="137"/>
      <c r="BR499" s="98"/>
      <c r="BS499" s="137"/>
      <c r="BT499" s="98"/>
      <c r="BU499" s="137"/>
      <c r="BV499" s="98"/>
      <c r="BW499" s="137"/>
      <c r="BX499" s="98"/>
      <c r="BY499" s="137"/>
      <c r="BZ499" s="98"/>
      <c r="CA499" s="137"/>
      <c r="CB499" s="98"/>
      <c r="CC499" s="137"/>
      <c r="CD499" s="98"/>
      <c r="CE499" s="137"/>
      <c r="CF499" s="98"/>
      <c r="CG499" s="137"/>
      <c r="CH499" s="98"/>
      <c r="CI499" s="137"/>
      <c r="CJ499" s="98"/>
      <c r="CK499" s="137"/>
      <c r="CL499" s="98"/>
      <c r="CM499" s="137"/>
      <c r="CN499" s="98"/>
      <c r="CO499" s="137"/>
      <c r="CP499" s="98"/>
      <c r="CQ499" s="494"/>
      <c r="CR499" s="98"/>
      <c r="CS499" s="137"/>
      <c r="CT499" s="98"/>
      <c r="CU499" s="137"/>
      <c r="CV499" s="98"/>
      <c r="CW499" s="137"/>
      <c r="CX499" s="98"/>
      <c r="CY499" s="137"/>
      <c r="CZ499" s="98"/>
      <c r="DA499" s="137"/>
      <c r="DB499" s="98"/>
      <c r="DC499" s="137"/>
      <c r="DD499" s="98"/>
      <c r="DE499" s="137"/>
      <c r="DF499" s="98"/>
      <c r="DG499" s="137"/>
      <c r="DH499" s="98"/>
      <c r="DI499" s="137"/>
      <c r="DJ499" s="465"/>
      <c r="DK499" s="137"/>
      <c r="DL499" s="465"/>
      <c r="DM499" s="137"/>
      <c r="DN499" s="98"/>
      <c r="DO499" s="137"/>
      <c r="DP499" s="98"/>
      <c r="DQ499" s="137"/>
      <c r="DR499" s="98"/>
      <c r="DS499" s="137"/>
      <c r="DT499" s="98"/>
      <c r="DU499" s="137"/>
      <c r="DV499" s="98"/>
      <c r="DW499" s="137"/>
      <c r="DX499" s="98"/>
      <c r="DY499" s="137"/>
      <c r="DZ499" s="98"/>
      <c r="EA499" s="137"/>
      <c r="EB499" s="98"/>
      <c r="EC499" s="137"/>
      <c r="ED499" s="98"/>
      <c r="EE499" s="137"/>
      <c r="EF499" s="860"/>
      <c r="EG499" s="137"/>
      <c r="EH499" s="860"/>
      <c r="EI499" s="137"/>
      <c r="EJ499" s="860"/>
      <c r="EK499" s="137"/>
      <c r="EL499" s="860"/>
      <c r="EM499" s="137"/>
      <c r="EN499" s="860"/>
      <c r="EO499" s="137"/>
      <c r="EP499" s="98"/>
      <c r="EQ499" s="1026"/>
      <c r="ER499" s="98"/>
      <c r="ES499" s="1026"/>
      <c r="ET499" s="98"/>
      <c r="EU499" s="1026"/>
      <c r="EV499" s="98"/>
      <c r="EW499" s="1026"/>
      <c r="EX499" s="98"/>
      <c r="EY499" s="80"/>
      <c r="EZ499" s="594"/>
      <c r="FA499" s="405"/>
      <c r="FB499" s="125"/>
      <c r="FC499" s="98"/>
      <c r="FD499" s="137"/>
      <c r="FE499" s="98"/>
      <c r="FF499" s="125"/>
      <c r="FG499" s="98"/>
      <c r="FH499" s="125"/>
      <c r="FI499" s="98"/>
      <c r="FJ499" s="125"/>
      <c r="FK499" s="98"/>
      <c r="FL499" s="125"/>
      <c r="FM499" s="98"/>
      <c r="FN499" s="125"/>
      <c r="FO499" s="98"/>
      <c r="FP499" s="125"/>
      <c r="FQ499" s="98"/>
      <c r="FR499" s="130"/>
      <c r="FS499" s="120"/>
      <c r="FT499" s="130"/>
      <c r="FU499" s="120"/>
      <c r="FV499" s="130"/>
      <c r="FW499" s="98"/>
      <c r="FX499" s="487"/>
      <c r="FY499" s="98"/>
      <c r="FZ499" s="130"/>
      <c r="GA499" s="98"/>
      <c r="GB499" s="487"/>
      <c r="GC499" s="98"/>
      <c r="GD499" s="130"/>
      <c r="GE499" s="98"/>
      <c r="GF499" s="130"/>
      <c r="GG499" s="98"/>
      <c r="GH499" s="130"/>
      <c r="GI499" s="98"/>
      <c r="GJ499" s="130"/>
      <c r="GK499" s="98"/>
      <c r="GL499" s="130"/>
      <c r="GM499" s="98"/>
      <c r="GN499" s="130"/>
      <c r="GO499" s="98"/>
      <c r="GP499" s="130"/>
      <c r="GQ499" s="98"/>
      <c r="GR499" s="80"/>
      <c r="GS499" s="98"/>
      <c r="GT499" s="80"/>
      <c r="GU499" s="98"/>
      <c r="GV499" s="80"/>
      <c r="GW499" s="98"/>
      <c r="GX499" s="80"/>
      <c r="GY499" s="98"/>
      <c r="GZ499" s="98"/>
      <c r="HA499" s="98"/>
      <c r="HB499" s="10"/>
      <c r="HC499"/>
      <c r="HD499"/>
      <c r="HE499"/>
      <c r="HF499"/>
      <c r="HG499"/>
      <c r="HH499"/>
      <c r="HI499" s="10"/>
    </row>
    <row r="500" spans="1:217" s="2" customFormat="1" ht="12.75" customHeight="1" x14ac:dyDescent="0.2">
      <c r="A500" s="2" t="s">
        <v>205</v>
      </c>
      <c r="B500" s="19" t="s">
        <v>477</v>
      </c>
      <c r="C500" s="182">
        <f>+C475-C492</f>
        <v>95</v>
      </c>
      <c r="D500" s="98"/>
      <c r="E500" s="182">
        <f>+E475-E492</f>
        <v>102</v>
      </c>
      <c r="F500" s="98"/>
      <c r="G500" s="182">
        <f>+G475-G492</f>
        <v>80</v>
      </c>
      <c r="H500" s="98"/>
      <c r="I500" s="182">
        <f>+I475-I492</f>
        <v>41</v>
      </c>
      <c r="J500" s="98"/>
      <c r="K500" s="182">
        <f>+K475-K492</f>
        <v>58</v>
      </c>
      <c r="L500" s="98">
        <f t="shared" ref="L500:L503" si="3031">IF(ISERROR((K500/C500-1)*100),"NA",IF(((K500/C500-1)*100)&gt;100,"NM",IF(((K500/C500-1)*100)&lt;-50,"NM",(K500/C500-1)*100)))</f>
        <v>-38.94736842105263</v>
      </c>
      <c r="M500" s="182">
        <f>+M475-M492</f>
        <v>73</v>
      </c>
      <c r="N500" s="98">
        <f t="shared" ref="N500:N503" si="3032">IF(ISERROR((M500/E500-1)*100),"NA",IF(((M500/E500-1)*100)&gt;100,"NM",IF(((M500/E500-1)*100)&lt;-50,"NM",(M500/E500-1)*100)))</f>
        <v>-28.431372549019606</v>
      </c>
      <c r="O500" s="182">
        <f>+O475-O492</f>
        <v>89</v>
      </c>
      <c r="P500" s="98">
        <f t="shared" ref="P500:P503" si="3033">IF(ISERROR((O500/G500-1)*100),"NA",IF(((O500/G500-1)*100)&gt;100,"NM",IF(((O500/G500-1)*100)&lt;-50,"NM",(O500/G500-1)*100)))</f>
        <v>11.250000000000004</v>
      </c>
      <c r="Q500" s="182">
        <f>+Q475-Q492</f>
        <v>96.100000000000023</v>
      </c>
      <c r="R500" s="98" t="str">
        <f t="shared" ref="R500:R503" si="3034">IF(ISERROR((Q500/I500-1)*100),"NA",IF(((Q500/I500-1)*100)&gt;100,"NM",IF(((Q500/I500-1)*100)&lt;-50,"NM",(Q500/I500-1)*100)))</f>
        <v>NM</v>
      </c>
      <c r="S500" s="182">
        <f>+S475-S492</f>
        <v>62</v>
      </c>
      <c r="T500" s="98">
        <f t="shared" ref="T500:T503" si="3035">IF(ISERROR((S500/K500-1)*100),"NA",IF(((S500/K500-1)*100)&gt;100,"NM",IF(((S500/K500-1)*100)&lt;-50,"NM",(S500/K500-1)*100)))</f>
        <v>6.8965517241379226</v>
      </c>
      <c r="U500" s="182">
        <f>+U475-U492</f>
        <v>78</v>
      </c>
      <c r="V500" s="98">
        <f t="shared" ref="V500:V503" si="3036">IF(ISERROR((U500/M500-1)*100),"NA",IF(((U500/M500-1)*100)&gt;100,"NM",IF(((U500/M500-1)*100)&lt;-50,"NM",(U500/M500-1)*100)))</f>
        <v>6.8493150684931559</v>
      </c>
      <c r="W500" s="182">
        <f>+W475-W492</f>
        <v>68</v>
      </c>
      <c r="X500" s="98">
        <f t="shared" ref="X500:X503" si="3037">IF(ISERROR((W500/O500-1)*100),"NA",IF(((W500/O500-1)*100)&gt;100,"NM",IF(((W500/O500-1)*100)&lt;-50,"NM",(W500/O500-1)*100)))</f>
        <v>-23.59550561797753</v>
      </c>
      <c r="Y500" s="182">
        <f>+Y475-Y492</f>
        <v>73</v>
      </c>
      <c r="Z500" s="98">
        <f t="shared" ref="Z500:Z503" si="3038">IF(ISERROR((Y500/Q500-1)*100),"NA",IF(((Y500/Q500-1)*100)&gt;100,"NM",IF(((Y500/Q500-1)*100)&lt;-50,"NM",(Y500/Q500-1)*100)))</f>
        <v>-24.037460978147784</v>
      </c>
      <c r="AA500" s="182">
        <f>+AA475-AA492</f>
        <v>76</v>
      </c>
      <c r="AB500" s="98">
        <f t="shared" ref="AB500:AB503" si="3039">IF(ISERROR((AA500/S500-1)*100),"NA",IF(((AA500/S500-1)*100)&gt;100,"NM",IF(((AA500/S500-1)*100)&lt;-50,"NM",(AA500/S500-1)*100)))</f>
        <v>22.580645161290324</v>
      </c>
      <c r="AC500" s="182">
        <f>+AC475-AC492</f>
        <v>85</v>
      </c>
      <c r="AD500" s="98">
        <f t="shared" ref="AD500:AD503" si="3040">IF(ISERROR((AC500/U500-1)*100),"NA",IF(((AC500/U500-1)*100)&gt;100,"NM",IF(((AC500/U500-1)*100)&lt;-50,"NM",(AC500/U500-1)*100)))</f>
        <v>8.9743589743589638</v>
      </c>
      <c r="AE500" s="182">
        <f>+AE475-AE492</f>
        <v>101</v>
      </c>
      <c r="AF500" s="98">
        <f t="shared" ref="AF500:AF503" si="3041">IF(ISERROR((AE500/W500-1)*100),"NA",IF(((AE500/W500-1)*100)&gt;100,"NM",IF(((AE500/W500-1)*100)&lt;-50,"NM",(AE500/W500-1)*100)))</f>
        <v>48.529411764705884</v>
      </c>
      <c r="AG500" s="182">
        <f>+AG475-AG492</f>
        <v>129</v>
      </c>
      <c r="AH500" s="98">
        <f t="shared" ref="AH500:AH503" si="3042">IF(ISERROR((AG500/Y500-1)*100),"NA",IF(((AG500/Y500-1)*100)&gt;100,"NM",IF(((AG500/Y500-1)*100)&lt;-50,"NM",(AG500/Y500-1)*100)))</f>
        <v>76.712328767123282</v>
      </c>
      <c r="AI500" s="182">
        <f>+AI475-AI492</f>
        <v>126</v>
      </c>
      <c r="AJ500" s="98">
        <f t="shared" ref="AJ500:AJ503" si="3043">IF(ISERROR((AI500/AA500-1)*100),"NA",IF(((AI500/AA500-1)*100)&gt;100,"NM",IF(((AI500/AA500-1)*100)&lt;-50,"NM",(AI500/AA500-1)*100)))</f>
        <v>65.789473684210535</v>
      </c>
      <c r="AK500" s="182">
        <f>+AK475-AK492</f>
        <v>150</v>
      </c>
      <c r="AL500" s="98">
        <f t="shared" ref="AL500:AL503" si="3044">IF(ISERROR((AK500/AC500-1)*100),"NA",IF(((AK500/AC500-1)*100)&gt;100,"NM",IF(((AK500/AC500-1)*100)&lt;-50,"NM",(AK500/AC500-1)*100)))</f>
        <v>76.470588235294116</v>
      </c>
      <c r="AM500" s="182">
        <f>+AM475-AM492</f>
        <v>145</v>
      </c>
      <c r="AN500" s="98">
        <f t="shared" ref="AN500:AN503" si="3045">IF(ISERROR((AM500/AE500-1)*100),"NA",IF(((AM500/AE500-1)*100)&gt;100,"NM",IF(((AM500/AE500-1)*100)&lt;-50,"NM",(AM500/AE500-1)*100)))</f>
        <v>43.56435643564356</v>
      </c>
      <c r="AO500" s="182">
        <f>+AO475-AO492</f>
        <v>182</v>
      </c>
      <c r="AP500" s="98">
        <f t="shared" ref="AP500:AP503" si="3046">IF(ISERROR((AO500/AG500-1)*100),"NA",IF(((AO500/AG500-1)*100)&gt;100,"NM",IF(((AO500/AG500-1)*100)&lt;-50,"NM",(AO500/AG500-1)*100)))</f>
        <v>41.085271317829466</v>
      </c>
      <c r="AQ500" s="182">
        <f>+AQ475-AQ492</f>
        <v>218</v>
      </c>
      <c r="AR500" s="98">
        <f t="shared" ref="AR500:AR503" si="3047">IF(ISERROR((AQ500/AI500-1)*100),"NA",IF(((AQ500/AI500-1)*100)&gt;100,"NM",IF(((AQ500/AI500-1)*100)&lt;-50,"NM",(AQ500/AI500-1)*100)))</f>
        <v>73.015873015873026</v>
      </c>
      <c r="AS500" s="182">
        <f>+AS475-AS492</f>
        <v>260</v>
      </c>
      <c r="AT500" s="98">
        <f t="shared" ref="AT500:AT503" si="3048">IF(ISERROR((AS500/AK500-1)*100),"NA",IF(((AS500/AK500-1)*100)&gt;100,"NM",IF(((AS500/AK500-1)*100)&lt;-50,"NM",(AS500/AK500-1)*100)))</f>
        <v>73.333333333333343</v>
      </c>
      <c r="AU500" s="182">
        <f>+AU475-AU492</f>
        <v>257</v>
      </c>
      <c r="AV500" s="98">
        <f t="shared" ref="AV500:AV503" si="3049">IF(ISERROR((AU500/AM500-1)*100),"NA",IF(((AU500/AM500-1)*100)&gt;100,"NM",IF(((AU500/AM500-1)*100)&lt;-50,"NM",(AU500/AM500-1)*100)))</f>
        <v>77.241379310344826</v>
      </c>
      <c r="AW500" s="182">
        <f>+AW475-AW492</f>
        <v>309</v>
      </c>
      <c r="AX500" s="98">
        <f t="shared" ref="AX500:AX503" si="3050">IF(ISERROR((AW500/AO500-1)*100),"NA",IF(((AW500/AO500-1)*100)&gt;100,"NM",IF(((AW500/AO500-1)*100)&lt;-50,"NM",(AW500/AO500-1)*100)))</f>
        <v>69.780219780219781</v>
      </c>
      <c r="AY500" s="182">
        <f>+AY475-AY492</f>
        <v>346</v>
      </c>
      <c r="AZ500" s="98">
        <f t="shared" ref="AZ500:AZ503" si="3051">IF(ISERROR((AY500/AQ500-1)*100),"NA",IF(((AY500/AQ500-1)*100)&gt;100,"NM",IF(((AY500/AQ500-1)*100)&lt;-50,"NM",(AY500/AQ500-1)*100)))</f>
        <v>58.715596330275233</v>
      </c>
      <c r="BA500" s="182">
        <f>+BA475-BA492</f>
        <v>315</v>
      </c>
      <c r="BB500" s="98">
        <f t="shared" ref="BB500:BB503" si="3052">IF(ISERROR((BA500/AS500-1)*100),"NA",IF(((BA500/AS500-1)*100)&gt;100,"NM",IF(((BA500/AS500-1)*100)&lt;-50,"NM",(BA500/AS500-1)*100)))</f>
        <v>21.153846153846146</v>
      </c>
      <c r="BC500" s="182">
        <f>+BC475-BC492</f>
        <v>295</v>
      </c>
      <c r="BD500" s="98">
        <f t="shared" ref="BD500:BD503" si="3053">IF(ISERROR((BC500/AU500-1)*100),"NA",IF(((BC500/AU500-1)*100)&gt;100,"NM",IF(((BC500/AU500-1)*100)&lt;-50,"NM",(BC500/AU500-1)*100)))</f>
        <v>14.785992217898825</v>
      </c>
      <c r="BE500" s="182">
        <f>+BE475-BE492</f>
        <v>351</v>
      </c>
      <c r="BF500" s="98">
        <f t="shared" ref="BF500:BF503" si="3054">IF(ISERROR((BE500/AW500-1)*100),"NA",IF(((BE500/AW500-1)*100)&gt;100,"NM",IF(((BE500/AW500-1)*100)&lt;-50,"NM",(BE500/AW500-1)*100)))</f>
        <v>13.592233009708732</v>
      </c>
      <c r="BG500" s="182">
        <f>+BG475-BG492</f>
        <v>320</v>
      </c>
      <c r="BH500" s="98">
        <f t="shared" ref="BH500:BH503" si="3055">IF(ISERROR((BG500/AY500-1)*100),"NA",IF(((BG500/AY500-1)*100)&gt;100,"NM",IF(((BG500/AY500-1)*100)&lt;-50,"NM",(BG500/AY500-1)*100)))</f>
        <v>-7.5144508670520249</v>
      </c>
      <c r="BI500" s="182">
        <f>+BI475-BI492</f>
        <v>414</v>
      </c>
      <c r="BJ500" s="98">
        <f t="shared" ref="BJ500:BJ503" si="3056">IF(ISERROR((BI500/BA500-1)*100),"NA",IF(((BI500/BA500-1)*100)&gt;100,"NM",IF(((BI500/BA500-1)*100)&lt;-50,"NM",(BI500/BA500-1)*100)))</f>
        <v>31.428571428571427</v>
      </c>
      <c r="BK500" s="182">
        <f>+BK475-BK492</f>
        <v>359</v>
      </c>
      <c r="BL500" s="98">
        <f t="shared" ref="BL500:BL503" si="3057">IF(ISERROR((BK500/BC500-1)*100),"NA",IF(((BK500/BC500-1)*100)&gt;100,"NM",IF(((BK500/BC500-1)*100)&lt;-50,"NM",(BK500/BC500-1)*100)))</f>
        <v>21.69491525423728</v>
      </c>
      <c r="BM500" s="182">
        <f>+BM475-BM492</f>
        <v>284</v>
      </c>
      <c r="BN500" s="98">
        <f t="shared" ref="BN500:BN503" si="3058">IF(ISERROR((BM500/BE500-1)*100),"NA",IF(((BM500/BE500-1)*100)&gt;100,"NM",IF(((BM500/BE500-1)*100)&lt;-50,"NM",(BM500/BE500-1)*100)))</f>
        <v>-19.088319088319082</v>
      </c>
      <c r="BO500" s="182">
        <f>+BO475-BO492</f>
        <v>252</v>
      </c>
      <c r="BP500" s="98">
        <f t="shared" ref="BP500:BP503" si="3059">IF(ISERROR((BO500/BG500-1)*100),"NA",IF(((BO500/BG500-1)*100)&gt;100,"NM",IF(((BO500/BG500-1)*100)&lt;-50,"NM",(BO500/BG500-1)*100)))</f>
        <v>-21.250000000000004</v>
      </c>
      <c r="BQ500" s="182">
        <f>+BQ475-BQ492</f>
        <v>221</v>
      </c>
      <c r="BR500" s="98">
        <f t="shared" ref="BR500:BR503" si="3060">IF(ISERROR((BQ500/BI500-1)*100),"NA",IF(((BQ500/BI500-1)*100)&gt;100,"NM",IF(((BQ500/BI500-1)*100)&lt;-50,"NM",(BQ500/BI500-1)*100)))</f>
        <v>-46.618357487922701</v>
      </c>
      <c r="BS500" s="182">
        <f>+BS475-BS492</f>
        <v>125</v>
      </c>
      <c r="BT500" s="98" t="str">
        <f t="shared" ref="BT500:BT503" si="3061">IF(ISERROR((BS500/BK500-1)*100),"NA",IF(((BS500/BK500-1)*100)&gt;100,"NM",IF(((BS500/BK500-1)*100)&lt;-50,"NM",(BS500/BK500-1)*100)))</f>
        <v>NM</v>
      </c>
      <c r="BU500" s="182">
        <f>+BU475-BU492</f>
        <v>-308</v>
      </c>
      <c r="BV500" s="98" t="str">
        <f t="shared" ref="BV500:BV503" si="3062">IF(ISERROR((BU500/BM500-1)*100),"NA",IF(((BU500/BM500-1)*100)&gt;100,"NM",IF(((BU500/BM500-1)*100)&lt;-50,"NM",(BU500/BM500-1)*100)))</f>
        <v>NM</v>
      </c>
      <c r="BW500" s="182">
        <f>+BW475-BW492</f>
        <v>-182</v>
      </c>
      <c r="BX500" s="98" t="str">
        <f t="shared" ref="BX500:BX503" si="3063">IF(ISERROR((BW500/BO500-1)*100),"NA",IF(((BW500/BO500-1)*100)&gt;100,"NM",IF(((BW500/BO500-1)*100)&lt;-50,"NM",(BW500/BO500-1)*100)))</f>
        <v>NM</v>
      </c>
      <c r="BY500" s="182">
        <f>+BY475-BY492</f>
        <v>220</v>
      </c>
      <c r="BZ500" s="98">
        <f t="shared" ref="BZ500:BZ503" si="3064">IF(ISERROR((BY500/BQ500-1)*100),"NA",IF(((BY500/BQ500-1)*100)&gt;100,"NM",IF(((BY500/BQ500-1)*100)&lt;-50,"NM",(BY500/BQ500-1)*100)))</f>
        <v>-0.45248868778280382</v>
      </c>
      <c r="CA500" s="182">
        <f>+CA475-CA492</f>
        <v>162</v>
      </c>
      <c r="CB500" s="98">
        <f t="shared" ref="CB500:CB503" si="3065">IF(ISERROR((CA500/BS500-1)*100),"NA",IF(((CA500/BS500-1)*100)&gt;100,"NM",IF(((CA500/BS500-1)*100)&lt;-50,"NM",(CA500/BS500-1)*100)))</f>
        <v>29.600000000000005</v>
      </c>
      <c r="CC500" s="182">
        <f>+CC475-CC492</f>
        <v>324</v>
      </c>
      <c r="CD500" s="98" t="str">
        <f t="shared" ref="CD500:CD503" si="3066">IF(ISERROR((CC500/BU500-1)*100),"NA",IF(((CC500/BU500-1)*100)&gt;100,"NM",IF(((CC500/BU500-1)*100)&lt;-50,"NM",(CC500/BU500-1)*100)))</f>
        <v>NM</v>
      </c>
      <c r="CE500" s="182">
        <f>+CE475-CE492</f>
        <v>308</v>
      </c>
      <c r="CF500" s="98" t="str">
        <f t="shared" ref="CF500:CF503" si="3067">IF(ISERROR((CE500/BW500-1)*100),"NA",IF(((CE500/BW500-1)*100)&gt;100,"NM",IF(((CE500/BW500-1)*100)&lt;-50,"NM",(CE500/BW500-1)*100)))</f>
        <v>NM</v>
      </c>
      <c r="CG500" s="182">
        <f>+CG475-CG492</f>
        <v>210</v>
      </c>
      <c r="CH500" s="98">
        <f t="shared" ref="CH500:CH503" si="3068">IF(ISERROR((CG500/BY500-1)*100),"NA",IF(((CG500/BY500-1)*100)&gt;100,"NM",IF(((CG500/BY500-1)*100)&lt;-50,"NM",(CG500/BY500-1)*100)))</f>
        <v>-4.5454545454545414</v>
      </c>
      <c r="CI500" s="182">
        <f>+CI475-CI492</f>
        <v>367</v>
      </c>
      <c r="CJ500" s="98" t="str">
        <f t="shared" ref="CJ500:CJ503" si="3069">IF(ISERROR((CI500/CA500-1)*100),"NA",IF(((CI500/CA500-1)*100)&gt;100,"NM",IF(((CI500/CA500-1)*100)&lt;-50,"NM",(CI500/CA500-1)*100)))</f>
        <v>NM</v>
      </c>
      <c r="CK500" s="182">
        <f>+CK475-CK492</f>
        <v>349</v>
      </c>
      <c r="CL500" s="98">
        <f t="shared" ref="CL500:CL503" si="3070">IF(ISERROR((CK500/CC500-1)*100),"NA",IF(((CK500/CC500-1)*100)&gt;100,"NM",IF(((CK500/CC500-1)*100)&lt;-50,"NM",(CK500/CC500-1)*100)))</f>
        <v>7.7160493827160392</v>
      </c>
      <c r="CM500" s="704">
        <f>+CM475-CM492</f>
        <v>316</v>
      </c>
      <c r="CN500" s="98">
        <f t="shared" ref="CN500:CN503" si="3071">IF(ISERROR((CM500/CE500-1)*100),"NA",IF(((CM500/CE500-1)*100)&gt;100,"NM",IF(((CM500/CE500-1)*100)&lt;-50,"NM",(CM500/CE500-1)*100)))</f>
        <v>2.5974025974025983</v>
      </c>
      <c r="CO500" s="182">
        <f>+CO475-CO492</f>
        <v>280</v>
      </c>
      <c r="CP500" s="98">
        <f t="shared" ref="CP500:CP503" si="3072">IF(ISERROR((CO500/CG500-1)*100),"NA",IF(((CO500/CG500-1)*100)&gt;100,"NM",IF(((CO500/CG500-1)*100)&lt;-50,"NM",(CO500/CG500-1)*100)))</f>
        <v>33.333333333333329</v>
      </c>
      <c r="CQ500" s="512">
        <f>+CQ475-CQ492</f>
        <v>145</v>
      </c>
      <c r="CR500" s="98" t="str">
        <f t="shared" ref="CR500:CR503" si="3073">IF(ISERROR((CQ500/CI500-1)*100),"NA",IF(((CQ500/CI500-1)*100)&gt;100,"NM",IF(((CQ500/CI500-1)*100)&lt;-50,"NM",(CQ500/CI500-1)*100)))</f>
        <v>NM</v>
      </c>
      <c r="CS500" s="182">
        <f>+CS475-CS492</f>
        <v>321</v>
      </c>
      <c r="CT500" s="98">
        <f t="shared" ref="CT500:CT503" si="3074">IF(ISERROR((CS500/CK500-1)*100),"NA",IF(((CS500/CK500-1)*100)&gt;100,"NM",IF(((CS500/CK500-1)*100)&lt;-50,"NM",(CS500/CK500-1)*100)))</f>
        <v>-8.0229226361031465</v>
      </c>
      <c r="CU500" s="182">
        <f>+CU475-CU492</f>
        <v>434</v>
      </c>
      <c r="CV500" s="98">
        <f t="shared" ref="CV500:CV503" si="3075">IF(ISERROR((CU500/CM500-1)*100),"NA",IF(((CU500/CM500-1)*100)&gt;100,"NM",IF(((CU500/CM500-1)*100)&lt;-50,"NM",(CU500/CM500-1)*100)))</f>
        <v>37.341772151898731</v>
      </c>
      <c r="CW500" s="182">
        <f>+CW475-CW492</f>
        <v>347</v>
      </c>
      <c r="CX500" s="98">
        <f t="shared" ref="CX500:CX503" si="3076">IF(ISERROR((CW500/CO500-1)*100),"NA",IF(((CW500/CO500-1)*100)&gt;100,"NM",IF(((CW500/CO500-1)*100)&lt;-50,"NM",(CW500/CO500-1)*100)))</f>
        <v>23.928571428571431</v>
      </c>
      <c r="CY500" s="182">
        <f>+CY475-CY492</f>
        <v>443</v>
      </c>
      <c r="CZ500" s="98" t="str">
        <f t="shared" ref="CZ500:CZ503" si="3077">IF(ISERROR((CY500/CQ500-1)*100),"NA",IF(((CY500/CQ500-1)*100)&gt;100,"NM",IF(((CY500/CQ500-1)*100)&lt;-50,"NM",(CY500/CQ500-1)*100)))</f>
        <v>NM</v>
      </c>
      <c r="DA500" s="182">
        <f>+DA475-DA492</f>
        <v>711</v>
      </c>
      <c r="DB500" s="98" t="str">
        <f t="shared" ref="DB500:DB503" si="3078">IF(ISERROR((DA500/CS500-1)*100),"NA",IF(((DA500/CS500-1)*100)&gt;100,"NM",IF(((DA500/CS500-1)*100)&lt;-50,"NM",(DA500/CS500-1)*100)))</f>
        <v>NM</v>
      </c>
      <c r="DC500" s="182">
        <f>+DC475-DC492</f>
        <v>572</v>
      </c>
      <c r="DD500" s="98">
        <f t="shared" ref="DD500:DD503" si="3079">IF(ISERROR((DC500/CU500-1)*100),"NA",IF(((DC500/CU500-1)*100)&gt;100,"NM",IF(((DC500/CU500-1)*100)&lt;-50,"NM",(DC500/CU500-1)*100)))</f>
        <v>31.79723502304148</v>
      </c>
      <c r="DE500" s="182">
        <f>+DE475-DE492</f>
        <v>566</v>
      </c>
      <c r="DF500" s="98">
        <f t="shared" ref="DF500:DF503" si="3080">IF(ISERROR((DE500/CW500-1)*100),"NA",IF(((DE500/CW500-1)*100)&gt;100,"NM",IF(((DE500/CW500-1)*100)&lt;-50,"NM",(DE500/CW500-1)*100)))</f>
        <v>63.112391930835734</v>
      </c>
      <c r="DG500" s="182">
        <f>+DG475-DG492</f>
        <v>650</v>
      </c>
      <c r="DH500" s="98">
        <f t="shared" ref="DH500:DH503" si="3081">IF(ISERROR((DG500/CY500-1)*100),"NA",IF(((DG500/CY500-1)*100)&gt;100,"NM",IF(((DG500/CY500-1)*100)&lt;-50,"NM",(DG500/CY500-1)*100)))</f>
        <v>46.726862302483063</v>
      </c>
      <c r="DI500" s="182">
        <f>+DI475-DI492</f>
        <v>574</v>
      </c>
      <c r="DJ500" s="98">
        <f t="shared" ref="DJ500:DJ503" si="3082">IF(ISERROR((DI500/DA500-1)*100),"NA",IF(((DI500/DA500-1)*100)&gt;100,"NM",IF(((DI500/DA500-1)*100)&lt;-50,"NM",(DI500/DA500-1)*100)))</f>
        <v>-19.268635724331929</v>
      </c>
      <c r="DK500" s="182">
        <f>+DK475-DK492</f>
        <v>533</v>
      </c>
      <c r="DL500" s="98">
        <f t="shared" ref="DL500:DL503" si="3083">IF(ISERROR((DK500/DC500-1)*100),"NA",IF(((DK500/DC500-1)*100)&gt;100,"NM",IF(((DK500/DC500-1)*100)&lt;-50,"NM",(DK500/DC500-1)*100)))</f>
        <v>-6.8181818181818237</v>
      </c>
      <c r="DM500" s="182">
        <f>+DM475-DM492</f>
        <v>583</v>
      </c>
      <c r="DN500" s="98">
        <f t="shared" ref="DN500:DN503" si="3084">IF(ISERROR((DM500/DE500-1)*100),"NA",IF(((DM500/DE500-1)*100)&gt;100,"NM",IF(((DM500/DE500-1)*100)&lt;-50,"NM",(DM500/DE500-1)*100)))</f>
        <v>3.0035335689045928</v>
      </c>
      <c r="DO500" s="182">
        <f>+DO475-DO492</f>
        <v>503</v>
      </c>
      <c r="DP500" s="98">
        <f t="shared" ref="DP500:DP503" si="3085">IF(ISERROR((DO500/DG500-1)*100),"NA",IF(((DO500/DG500-1)*100)&gt;100,"NM",IF(((DO500/DG500-1)*100)&lt;-50,"NM",(DO500/DG500-1)*100)))</f>
        <v>-22.615384615384613</v>
      </c>
      <c r="DQ500" s="182">
        <f>+DQ475-DQ492</f>
        <v>529</v>
      </c>
      <c r="DR500" s="98">
        <f t="shared" ref="DR500:DR503" si="3086">IF(ISERROR((DQ500/DI500-1)*100),"NA",IF(((DQ500/DI500-1)*100)&gt;100,"NM",IF(((DQ500/DI500-1)*100)&lt;-50,"NM",(DQ500/DI500-1)*100)))</f>
        <v>-7.8397212543554033</v>
      </c>
      <c r="DS500" s="182">
        <f>+DS475-DS492</f>
        <v>535</v>
      </c>
      <c r="DT500" s="98">
        <f t="shared" ref="DT500:DT503" si="3087">IF(ISERROR((DS500/DK500-1)*100),"NA",IF(((DS500/DK500-1)*100)&gt;100,"NM",IF(((DS500/DK500-1)*100)&lt;-50,"NM",(DS500/DK500-1)*100)))</f>
        <v>0.37523452157599557</v>
      </c>
      <c r="DU500" s="182">
        <f>+DU475-DU492</f>
        <v>550</v>
      </c>
      <c r="DV500" s="98">
        <f t="shared" ref="DV500:DV503" si="3088">IF(ISERROR((DU500/DM500-1)*100),"NA",IF(((DU500/DM500-1)*100)&gt;100,"NM",IF(((DU500/DM500-1)*100)&lt;-50,"NM",(DU500/DM500-1)*100)))</f>
        <v>-5.6603773584905648</v>
      </c>
      <c r="DW500" s="182">
        <f>+DW475-DW492</f>
        <v>346</v>
      </c>
      <c r="DX500" s="98">
        <f t="shared" ref="DX500:DX503" si="3089">IF(ISERROR((DW500/DO500-1)*100),"NA",IF(((DW500/DO500-1)*100)&gt;100,"NM",IF(((DW500/DO500-1)*100)&lt;-50,"NM",(DW500/DO500-1)*100)))</f>
        <v>-31.21272365805169</v>
      </c>
      <c r="DY500" s="182">
        <f>+DY475-DY492</f>
        <v>392</v>
      </c>
      <c r="DZ500" s="98">
        <f t="shared" ref="DZ500:DZ503" si="3090">IF(ISERROR((DY500/DQ500-1)*100),"NA",IF(((DY500/DQ500-1)*100)&gt;100,"NM",IF(((DY500/DQ500-1)*100)&lt;-50,"NM",(DY500/DQ500-1)*100)))</f>
        <v>-25.897920604914937</v>
      </c>
      <c r="EA500" s="182">
        <f>+EA475-EA492</f>
        <v>392</v>
      </c>
      <c r="EB500" s="98">
        <f t="shared" ref="EB500:EB503" si="3091">IF(ISERROR((EA500/DS500-1)*100),"NA",IF(((EA500/DS500-1)*100)&gt;100,"NM",IF(((EA500/DS500-1)*100)&lt;-50,"NM",(EA500/DS500-1)*100)))</f>
        <v>-26.728971962616821</v>
      </c>
      <c r="EC500" s="182">
        <f>+EC475-EC492</f>
        <v>-76</v>
      </c>
      <c r="ED500" s="98" t="str">
        <f t="shared" ref="ED500:ED503" si="3092">IF(ISERROR((EC500/DU500-1)*100),"NA",IF(((EC500/DU500-1)*100)&gt;100,"NM",IF(((EC500/DU500-1)*100)&lt;-50,"NM",(EC500/DU500-1)*100)))</f>
        <v>NM</v>
      </c>
      <c r="EE500" s="182">
        <f>+EE475-EE492</f>
        <v>387</v>
      </c>
      <c r="EF500" s="860">
        <f t="shared" ref="EF500:EF503" si="3093">IF(ISERROR((EE500/DW500-1)*100),"NA",IF(((EE500/DW500-1)*100)&gt;100,"NM",IF(((EE500/DW500-1)*100)&lt;-50,"NM",(EE500/DW500-1)*100)))</f>
        <v>11.849710982658967</v>
      </c>
      <c r="EG500" s="182">
        <f>+EG475-EG492</f>
        <v>287</v>
      </c>
      <c r="EH500" s="860">
        <f t="shared" ref="EH500:EH503" si="3094">IF(ISERROR((EG500/DY500-1)*100),"NA",IF(((EG500/DY500-1)*100)&gt;100,"NM",IF(((EG500/DY500-1)*100)&lt;-50,"NM",(EG500/DY500-1)*100)))</f>
        <v>-26.785714285714292</v>
      </c>
      <c r="EI500" s="182">
        <f>+EI475-EI492</f>
        <v>573</v>
      </c>
      <c r="EJ500" s="860">
        <f t="shared" ref="EJ500:EJ503" si="3095">IF(ISERROR((EI500/EA500-1)*100),"NA",IF(((EI500/EA500-1)*100)&gt;100,"NM",IF(((EI500/EA500-1)*100)&lt;-50,"NM",(EI500/EA500-1)*100)))</f>
        <v>46.173469387755105</v>
      </c>
      <c r="EK500" s="182">
        <f>+EK475-EK492</f>
        <v>342</v>
      </c>
      <c r="EL500" s="860" t="str">
        <f t="shared" ref="EL500:EL503" si="3096">IF(ISERROR((EK500/EC500-1)*100),"NA",IF(((EK500/EC500-1)*100)&gt;100,"NM",IF(((EK500/EC500-1)*100)&lt;-50,"NM",(EK500/EC500-1)*100)))</f>
        <v>NM</v>
      </c>
      <c r="EM500" s="182">
        <f>+EM475-EM492</f>
        <v>538</v>
      </c>
      <c r="EN500" s="860">
        <f t="shared" ref="EN500:EN503" si="3097">IF(ISERROR((EM500/EE500-1)*100),"NA",IF(((EM500/EE500-1)*100)&gt;100,"NM",IF(((EM500/EE500-1)*100)&lt;-50,"NM",(EM500/EE500-1)*100)))</f>
        <v>39.018087855297168</v>
      </c>
      <c r="EO500" s="182">
        <f>+EO475-EO492</f>
        <v>276</v>
      </c>
      <c r="EP500" s="98">
        <f t="shared" ref="EP500:EP503" si="3098">IF(ISERROR((EO500/EG500-1)*100),"NA",IF(((EO500/EG500-1)*100)&gt;100,"NM",IF(((EO500/EG500-1)*100)&lt;-50,"NM",(EO500/EG500-1)*100)))</f>
        <v>-3.8327526132404199</v>
      </c>
      <c r="EQ500" s="795">
        <f>+EQ475-EQ492</f>
        <v>321.63079130757978</v>
      </c>
      <c r="ER500" s="98">
        <f t="shared" ref="ER500:ER506" si="3099">IF(ISERROR((EQ500/EI500-1)*100),"NA",IF(((EQ500/EI500-1)*100)&gt;100,"NM",IF(((EQ500/EI500-1)*100)&lt;-50,"NM",(EQ500/EI500-1)*100)))</f>
        <v>-43.868971848589908</v>
      </c>
      <c r="ES500" s="795">
        <f t="shared" ref="ES500" si="3100">+ES475-ES492</f>
        <v>316.0994281272192</v>
      </c>
      <c r="ET500" s="98">
        <f t="shared" ref="ET500:ET506" si="3101">IF(ISERROR((ES500/EK500-1)*100),"NA",IF(((ES500/EK500-1)*100)&gt;100,"NM",IF(((ES500/EK500-1)*100)&lt;-50,"NM",(ES500/EK500-1)*100)))</f>
        <v>-7.5732666294680673</v>
      </c>
      <c r="EU500" s="795">
        <f t="shared" ref="EU500" si="3102">+EU475-EU492</f>
        <v>312.81518306141379</v>
      </c>
      <c r="EV500" s="98">
        <f t="shared" ref="EV500:EV506" si="3103">IF(ISERROR((EU500/EM500-1)*100),"NA",IF(((EU500/EM500-1)*100)&gt;100,"NM",IF(((EU500/EM500-1)*100)&lt;-50,"NM",(EU500/EM500-1)*100)))</f>
        <v>-41.855913929105249</v>
      </c>
      <c r="EW500" s="795">
        <f t="shared" ref="EW500" si="3104">+EW475-EW492</f>
        <v>308.79485158161788</v>
      </c>
      <c r="EX500" s="98">
        <f t="shared" ref="EX500:EX506" si="3105">IF(ISERROR((EW500/EO500-1)*100),"NA",IF(((EW500/EO500-1)*100)&gt;100,"NM",IF(((EW500/EO500-1)*100)&lt;-50,"NM",(EW500/EO500-1)*100)))</f>
        <v>11.882192602035468</v>
      </c>
      <c r="EY500" s="183"/>
      <c r="EZ500" s="594"/>
      <c r="FA500" s="405"/>
      <c r="FB500" s="183">
        <f>+FB475-FB492</f>
        <v>260</v>
      </c>
      <c r="FC500" s="98"/>
      <c r="FD500" s="182">
        <f>+FD475-FD492</f>
        <v>312</v>
      </c>
      <c r="FE500" s="98">
        <f>IF(ISERROR((FD500/FB500-1)*100),"NA",IF(((FD500/FB500-1)*100)&gt;100,"NM",IF(((FD500/FB500-1)*100)&lt;-50,"NM",(FD500/FB500-1)*100)))</f>
        <v>19.999999999999996</v>
      </c>
      <c r="FF500" s="183">
        <f>+FF475-FF492</f>
        <v>318</v>
      </c>
      <c r="FG500" s="98">
        <f>IF(ISERROR((FF500/FD500-1)*100),"NA",IF(((FF500/FD500-1)*100)&gt;100,"NM",IF(((FF500/FD500-1)*100)&lt;-50,"NM",(FF500/FD500-1)*100)))</f>
        <v>1.9230769230769162</v>
      </c>
      <c r="FH500" s="183">
        <f>+FH475-FH492</f>
        <v>316.09999999999991</v>
      </c>
      <c r="FI500" s="98">
        <f>IF(ISERROR((FH500/FF500-1)*100),"NA",IF(((FH500/FF500-1)*100)&gt;100,"NM",IF(((FH500/FF500-1)*100)&lt;-50,"NM",(FH500/FF500-1)*100)))</f>
        <v>-0.59748427672958737</v>
      </c>
      <c r="FJ500" s="183">
        <f>+FJ475-FJ492</f>
        <v>281</v>
      </c>
      <c r="FK500" s="98">
        <f>IF(ISERROR((FJ500/FH500-1)*100),"NA",IF(((FJ500/FH500-1)*100)&gt;100,"NM",IF(((FJ500/FH500-1)*100)&lt;-50,"NM",(FJ500/FH500-1)*100)))</f>
        <v>-11.104080987029397</v>
      </c>
      <c r="FL500" s="183">
        <f>+FL475-FL492</f>
        <v>391</v>
      </c>
      <c r="FM500" s="98">
        <f>IF(ISERROR((FL500/FJ500-1)*100),"NA",IF(((FL500/FJ500-1)*100)&gt;100,"NM",IF(((FL500/FJ500-1)*100)&lt;-50,"NM",(FL500/FJ500-1)*100)))</f>
        <v>39.145907473309613</v>
      </c>
      <c r="FN500" s="183">
        <f>+FN475-FN492</f>
        <v>603</v>
      </c>
      <c r="FO500" s="98">
        <f>IF(ISERROR((FN500/FL500-1)*100),"NA",IF(((FN500/FL500-1)*100)&gt;100,"NM",IF(((FN500/FL500-1)*100)&lt;-50,"NM",(FN500/FL500-1)*100)))</f>
        <v>54.21994884910486</v>
      </c>
      <c r="FP500" s="183">
        <f>+FP475-FP492</f>
        <v>1044</v>
      </c>
      <c r="FQ500" s="98">
        <f t="shared" ref="FQ500:FQ503" si="3106">IF(ISERROR((FP500/FN500-1)*100),"NA",IF(((FP500/FN500-1)*100)&gt;100,"NM",IF(((FP500/FN500-1)*100)&lt;-50,"NM",(FP500/FN500-1)*100)))</f>
        <v>73.134328358208947</v>
      </c>
      <c r="FR500" s="184">
        <f>+FR475-FR492</f>
        <v>1307</v>
      </c>
      <c r="FS500" s="120">
        <f t="shared" ref="FS500:FS503" si="3107">IF(ISERROR((FR500/FP500-1)*100),"NA",IF(((FR500/FP500-1)*100)&gt;100,"NM",IF(((FR500/FP500-1)*100)&lt;-50,"NM",(FR500/FP500-1)*100)))</f>
        <v>25.191570881226056</v>
      </c>
      <c r="FT500" s="184">
        <f>+FT475-FT492</f>
        <v>1377</v>
      </c>
      <c r="FU500" s="120">
        <f>IF(ISERROR((FT500/FR500-1)*100),"NA",IF(((FT500/FR500-1)*100)&gt;100,"NM",IF(((FT500/FR500-1)*100)&lt;-50,"NM",(FT500/FR500-1)*100)))</f>
        <v>5.3557765876051988</v>
      </c>
      <c r="FV500" s="184">
        <f>+FV475-FV492</f>
        <v>292</v>
      </c>
      <c r="FW500" s="98" t="str">
        <f t="shared" ref="FW500:FW503" si="3108">IF(ISERROR((FV500/FT500-1)*100),"NA",IF(((FV500/FT500-1)*100)&gt;100,"NM",IF(((FV500/FT500-1)*100)&lt;-50,"NM",(FV500/FT500-1)*100)))</f>
        <v>NM</v>
      </c>
      <c r="FX500" s="498">
        <f>+FX475-FX492</f>
        <v>524</v>
      </c>
      <c r="FY500" s="98">
        <f t="shared" ref="FY500:FY503" si="3109">IF(ISERROR((FX500/FV500-1)*100),"NA",IF(((FX500/FV500-1)*100)&gt;100,"NM",IF(((FX500/FV500-1)*100)&lt;-50,"NM",(FX500/FV500-1)*100)))</f>
        <v>79.452054794520549</v>
      </c>
      <c r="FZ500" s="184">
        <f>+FZ475-FZ492</f>
        <v>1234</v>
      </c>
      <c r="GA500" s="98" t="str">
        <f t="shared" ref="GA500:GA503" si="3110">IF(ISERROR((FZ500/FX500-1)*100),"NA",IF(((FZ500/FX500-1)*100)&gt;100,"NM",IF(((FZ500/FX500-1)*100)&lt;-50,"NM",(FZ500/FX500-1)*100)))</f>
        <v>NM</v>
      </c>
      <c r="GB500" s="498">
        <f>+GB475-GB492</f>
        <v>1062</v>
      </c>
      <c r="GC500" s="98">
        <f t="shared" ref="GC500:GC503" si="3111">IF(ISERROR((GB500/FZ500-1)*100),"NA",IF(((GB500/FZ500-1)*100)&gt;100,"NM",IF(((GB500/FZ500-1)*100)&lt;-50,"NM",(GB500/FZ500-1)*100)))</f>
        <v>-13.938411669367913</v>
      </c>
      <c r="GD500" s="184">
        <f>+GD475-GD492</f>
        <v>1935</v>
      </c>
      <c r="GE500" s="98">
        <f t="shared" ref="GE500:GE503" si="3112">IF(ISERROR((GD500/GB500-1)*100),"NA",IF(((GD500/GB500-1)*100)&gt;100,"NM",IF(((GD500/GB500-1)*100)&lt;-50,"NM",(GD500/GB500-1)*100)))</f>
        <v>82.203389830508485</v>
      </c>
      <c r="GF500" s="184">
        <f>+GF475-GF492</f>
        <v>2362</v>
      </c>
      <c r="GG500" s="98">
        <f t="shared" ref="GG500:GG503" si="3113">IF(ISERROR((GF500/GD500-1)*100),"NA",IF(((GF500/GD500-1)*100)&gt;100,"NM",IF(((GF500/GD500-1)*100)&lt;-50,"NM",(GF500/GD500-1)*100)))</f>
        <v>22.067183462532292</v>
      </c>
      <c r="GH500" s="184">
        <f>+GH475-GH492</f>
        <v>2148</v>
      </c>
      <c r="GI500" s="98">
        <f t="shared" ref="GI500:GI503" si="3114">IF(ISERROR((GH500/GF500-1)*100),"NA",IF(((GH500/GF500-1)*100)&gt;100,"NM",IF(((GH500/GF500-1)*100)&lt;-50,"NM",(GH500/GF500-1)*100)))</f>
        <v>-9.0601185436071106</v>
      </c>
      <c r="GJ500" s="184">
        <f>+GJ475-GJ492</f>
        <v>1823</v>
      </c>
      <c r="GK500" s="98">
        <f t="shared" ref="GK500:GK503" si="3115">IF(ISERROR((GJ500/GH500-1)*100),"NA",IF(((GJ500/GH500-1)*100)&gt;100,"NM",IF(((GJ500/GH500-1)*100)&lt;-50,"NM",(GJ500/GH500-1)*100)))</f>
        <v>-15.130353817504661</v>
      </c>
      <c r="GL500" s="184">
        <f>+GL475-GL492</f>
        <v>990</v>
      </c>
      <c r="GM500" s="98">
        <f t="shared" ref="GM500:GW503" si="3116">IF(ISERROR((GL500/GJ500-1)*100),"NA",IF(((GL500/GJ500-1)*100)&gt;100,"NM",IF(((GL500/GJ500-1)*100)&lt;-50,"NM",(GL500/GJ500-1)*100)))</f>
        <v>-45.69391113549095</v>
      </c>
      <c r="GN500" s="184">
        <f>+GN475-GN492</f>
        <v>1729</v>
      </c>
      <c r="GO500" s="98">
        <f t="shared" si="3116"/>
        <v>74.646464646464651</v>
      </c>
      <c r="GP500" s="184">
        <f>+GP475-GP492</f>
        <v>1259.3402540778316</v>
      </c>
      <c r="GQ500" s="98">
        <f t="shared" si="3116"/>
        <v>-27.163663731762199</v>
      </c>
      <c r="GR500" s="183">
        <f>+GR475-GR492</f>
        <v>1143.5681791996212</v>
      </c>
      <c r="GS500" s="98">
        <f t="shared" si="3116"/>
        <v>-9.1930734766344724</v>
      </c>
      <c r="GT500" s="183">
        <f>+GT475-GT492</f>
        <v>1030.4648263495747</v>
      </c>
      <c r="GU500" s="98">
        <f t="shared" si="3116"/>
        <v>-9.8903900009885923</v>
      </c>
      <c r="GV500" s="183">
        <f>+GV475-GV492</f>
        <v>926.60260630850098</v>
      </c>
      <c r="GW500" s="98">
        <f t="shared" si="3116"/>
        <v>-10.079162081543913</v>
      </c>
      <c r="GX500" s="183">
        <f>+GX475-GX492</f>
        <v>816.74387323970041</v>
      </c>
      <c r="GY500" s="98">
        <f t="shared" ref="GY500:GY505" si="3117">IF(ISERROR((GX500/GV500-1)*100),"NA",IF(((GX500/GV500-1)*100)&gt;100,"NM",IF(((GX500/GV500-1)*100)&lt;-50,"NM",(GX500/GV500-1)*100)))</f>
        <v>-11.856078573582652</v>
      </c>
      <c r="GZ500" s="98">
        <f t="shared" ref="GZ500:GZ506" si="3118">IF(ISERROR(((GX500/GN500)^0.2-1)*100),"NA",IF((((GX500/GN500)^0.2-1)*100)&gt;100,"NM",IF((((GX500/GN500)^0.2-1)*100)&lt;-50,"NM",((GX500/GN500)^0.2-1)*100)))</f>
        <v>-13.928736482897309</v>
      </c>
      <c r="HA500" s="98"/>
      <c r="HB500" s="10"/>
      <c r="HC500"/>
      <c r="HD500"/>
      <c r="HE500"/>
      <c r="HF500"/>
      <c r="HG500"/>
      <c r="HH500"/>
      <c r="HI500" s="10"/>
    </row>
    <row r="501" spans="1:217" s="2" customFormat="1" ht="12.75" customHeight="1" x14ac:dyDescent="0.2">
      <c r="B501" s="2" t="s">
        <v>478</v>
      </c>
      <c r="C501" s="112">
        <v>35</v>
      </c>
      <c r="D501" s="98"/>
      <c r="E501" s="112">
        <v>33</v>
      </c>
      <c r="F501" s="98"/>
      <c r="G501" s="112">
        <v>32</v>
      </c>
      <c r="H501" s="98"/>
      <c r="I501" s="112">
        <v>16</v>
      </c>
      <c r="J501" s="98"/>
      <c r="K501" s="112">
        <v>22</v>
      </c>
      <c r="L501" s="98">
        <f t="shared" si="3031"/>
        <v>-37.142857142857146</v>
      </c>
      <c r="M501" s="112">
        <v>26</v>
      </c>
      <c r="N501" s="98">
        <f t="shared" si="3032"/>
        <v>-21.212121212121215</v>
      </c>
      <c r="O501" s="112">
        <v>32</v>
      </c>
      <c r="P501" s="98">
        <f t="shared" si="3033"/>
        <v>0</v>
      </c>
      <c r="Q501" s="438">
        <f>22+(22/(1-(22/62))*(22/62))</f>
        <v>34.1</v>
      </c>
      <c r="R501" s="98" t="str">
        <f t="shared" si="3034"/>
        <v>NM</v>
      </c>
      <c r="S501" s="112">
        <v>22</v>
      </c>
      <c r="T501" s="98">
        <f t="shared" si="3035"/>
        <v>0</v>
      </c>
      <c r="U501" s="112">
        <v>28</v>
      </c>
      <c r="V501" s="98">
        <f t="shared" si="3036"/>
        <v>7.6923076923076872</v>
      </c>
      <c r="W501" s="112">
        <v>24</v>
      </c>
      <c r="X501" s="98">
        <f t="shared" si="3037"/>
        <v>-25</v>
      </c>
      <c r="Y501" s="438">
        <v>26</v>
      </c>
      <c r="Z501" s="98">
        <f t="shared" si="3038"/>
        <v>-23.75366568914956</v>
      </c>
      <c r="AA501" s="112">
        <v>26</v>
      </c>
      <c r="AB501" s="98">
        <f t="shared" si="3039"/>
        <v>18.181818181818187</v>
      </c>
      <c r="AC501" s="112">
        <v>29</v>
      </c>
      <c r="AD501" s="98">
        <f t="shared" si="3040"/>
        <v>3.5714285714285809</v>
      </c>
      <c r="AE501" s="112">
        <v>34</v>
      </c>
      <c r="AF501" s="98">
        <f t="shared" si="3041"/>
        <v>41.666666666666671</v>
      </c>
      <c r="AG501" s="112">
        <v>44</v>
      </c>
      <c r="AH501" s="98">
        <f t="shared" si="3042"/>
        <v>69.230769230769226</v>
      </c>
      <c r="AI501" s="112">
        <v>41</v>
      </c>
      <c r="AJ501" s="98">
        <f t="shared" si="3043"/>
        <v>57.692307692307686</v>
      </c>
      <c r="AK501" s="112">
        <v>49</v>
      </c>
      <c r="AL501" s="98">
        <f t="shared" si="3044"/>
        <v>68.965517241379317</v>
      </c>
      <c r="AM501" s="112">
        <v>47</v>
      </c>
      <c r="AN501" s="98">
        <f t="shared" si="3045"/>
        <v>38.235294117647058</v>
      </c>
      <c r="AO501" s="112">
        <v>59</v>
      </c>
      <c r="AP501" s="98">
        <f t="shared" si="3046"/>
        <v>34.090909090909079</v>
      </c>
      <c r="AQ501" s="112">
        <v>71</v>
      </c>
      <c r="AR501" s="98">
        <f t="shared" si="3047"/>
        <v>73.170731707317074</v>
      </c>
      <c r="AS501" s="112">
        <v>85</v>
      </c>
      <c r="AT501" s="98">
        <f t="shared" si="3048"/>
        <v>73.469387755102034</v>
      </c>
      <c r="AU501" s="112">
        <v>84</v>
      </c>
      <c r="AV501" s="98">
        <f t="shared" si="3049"/>
        <v>78.723404255319139</v>
      </c>
      <c r="AW501" s="112">
        <v>100</v>
      </c>
      <c r="AX501" s="98">
        <f t="shared" si="3050"/>
        <v>69.491525423728802</v>
      </c>
      <c r="AY501" s="112">
        <v>120</v>
      </c>
      <c r="AZ501" s="98">
        <f t="shared" si="3051"/>
        <v>69.014084507042256</v>
      </c>
      <c r="BA501" s="112">
        <v>109</v>
      </c>
      <c r="BB501" s="98">
        <f t="shared" si="3052"/>
        <v>28.235294117647069</v>
      </c>
      <c r="BC501" s="112">
        <v>103</v>
      </c>
      <c r="BD501" s="98">
        <f t="shared" si="3053"/>
        <v>22.619047619047628</v>
      </c>
      <c r="BE501" s="112">
        <v>121</v>
      </c>
      <c r="BF501" s="98">
        <f t="shared" si="3054"/>
        <v>20.999999999999996</v>
      </c>
      <c r="BG501" s="112">
        <v>110</v>
      </c>
      <c r="BH501" s="98">
        <f t="shared" si="3055"/>
        <v>-8.3333333333333375</v>
      </c>
      <c r="BI501" s="112">
        <v>144</v>
      </c>
      <c r="BJ501" s="98">
        <f t="shared" si="3056"/>
        <v>32.11009174311927</v>
      </c>
      <c r="BK501" s="112">
        <v>124</v>
      </c>
      <c r="BL501" s="98">
        <f t="shared" si="3057"/>
        <v>20.388349514563096</v>
      </c>
      <c r="BM501" s="112">
        <v>98</v>
      </c>
      <c r="BN501" s="98">
        <f t="shared" si="3058"/>
        <v>-19.008264462809919</v>
      </c>
      <c r="BO501" s="112">
        <v>85</v>
      </c>
      <c r="BP501" s="98">
        <f t="shared" si="3059"/>
        <v>-22.72727272727273</v>
      </c>
      <c r="BQ501" s="112">
        <v>75</v>
      </c>
      <c r="BR501" s="98">
        <f t="shared" si="3060"/>
        <v>-47.916666666666664</v>
      </c>
      <c r="BS501" s="112">
        <v>42</v>
      </c>
      <c r="BT501" s="98" t="str">
        <f t="shared" si="3061"/>
        <v>NM</v>
      </c>
      <c r="BU501" s="122">
        <v>-104</v>
      </c>
      <c r="BV501" s="98" t="str">
        <f t="shared" si="3062"/>
        <v>NM</v>
      </c>
      <c r="BW501" s="122">
        <v>-64</v>
      </c>
      <c r="BX501" s="98" t="str">
        <f t="shared" si="3063"/>
        <v>NM</v>
      </c>
      <c r="BY501" s="122">
        <v>77</v>
      </c>
      <c r="BZ501" s="98">
        <f t="shared" si="3064"/>
        <v>2.6666666666666616</v>
      </c>
      <c r="CA501" s="122">
        <v>57</v>
      </c>
      <c r="CB501" s="98">
        <f t="shared" si="3065"/>
        <v>35.714285714285722</v>
      </c>
      <c r="CC501" s="122">
        <v>113</v>
      </c>
      <c r="CD501" s="98" t="str">
        <f t="shared" si="3066"/>
        <v>NM</v>
      </c>
      <c r="CE501" s="122">
        <v>107</v>
      </c>
      <c r="CF501" s="98" t="str">
        <f t="shared" si="3067"/>
        <v>NM</v>
      </c>
      <c r="CG501" s="122">
        <v>74</v>
      </c>
      <c r="CH501" s="98">
        <f t="shared" si="3068"/>
        <v>-3.8961038961038974</v>
      </c>
      <c r="CI501" s="122">
        <v>129</v>
      </c>
      <c r="CJ501" s="98" t="str">
        <f t="shared" si="3069"/>
        <v>NM</v>
      </c>
      <c r="CK501" s="122">
        <v>121</v>
      </c>
      <c r="CL501" s="98">
        <f t="shared" si="3070"/>
        <v>7.079646017699126</v>
      </c>
      <c r="CM501" s="122">
        <v>110</v>
      </c>
      <c r="CN501" s="98">
        <f t="shared" si="3071"/>
        <v>2.8037383177569986</v>
      </c>
      <c r="CO501" s="122">
        <v>99</v>
      </c>
      <c r="CP501" s="98">
        <f t="shared" si="3072"/>
        <v>33.783783783783797</v>
      </c>
      <c r="CQ501" s="547">
        <v>52</v>
      </c>
      <c r="CR501" s="98" t="str">
        <f t="shared" si="3073"/>
        <v>NM</v>
      </c>
      <c r="CS501" s="122">
        <v>112</v>
      </c>
      <c r="CT501" s="98">
        <f t="shared" si="3074"/>
        <v>-7.4380165289256173</v>
      </c>
      <c r="CU501" s="122">
        <v>152</v>
      </c>
      <c r="CV501" s="98">
        <f t="shared" si="3075"/>
        <v>38.181818181818187</v>
      </c>
      <c r="CW501" s="122">
        <v>121</v>
      </c>
      <c r="CX501" s="98">
        <f t="shared" si="3076"/>
        <v>22.222222222222232</v>
      </c>
      <c r="CY501" s="122">
        <v>155</v>
      </c>
      <c r="CZ501" s="98" t="str">
        <f t="shared" si="3077"/>
        <v>NM</v>
      </c>
      <c r="DA501" s="122">
        <v>249</v>
      </c>
      <c r="DB501" s="98" t="str">
        <f t="shared" si="3078"/>
        <v>NM</v>
      </c>
      <c r="DC501" s="122">
        <v>200</v>
      </c>
      <c r="DD501" s="98">
        <f t="shared" si="3079"/>
        <v>31.578947368421062</v>
      </c>
      <c r="DE501" s="122">
        <v>198</v>
      </c>
      <c r="DF501" s="98">
        <f t="shared" si="3080"/>
        <v>63.636363636363647</v>
      </c>
      <c r="DG501" s="122">
        <v>228</v>
      </c>
      <c r="DH501" s="98">
        <f t="shared" si="3081"/>
        <v>47.096774193548384</v>
      </c>
      <c r="DI501" s="122">
        <v>201</v>
      </c>
      <c r="DJ501" s="98">
        <f t="shared" si="3082"/>
        <v>-19.277108433734934</v>
      </c>
      <c r="DK501" s="122">
        <v>152</v>
      </c>
      <c r="DL501" s="98">
        <f t="shared" si="3083"/>
        <v>-24</v>
      </c>
      <c r="DM501" s="122">
        <v>172</v>
      </c>
      <c r="DN501" s="98">
        <f t="shared" si="3084"/>
        <v>-13.131313131313128</v>
      </c>
      <c r="DO501" s="122">
        <v>83</v>
      </c>
      <c r="DP501" s="98" t="str">
        <f t="shared" si="3085"/>
        <v>NM</v>
      </c>
      <c r="DQ501" s="122">
        <v>144</v>
      </c>
      <c r="DR501" s="98">
        <f t="shared" si="3086"/>
        <v>-28.358208955223883</v>
      </c>
      <c r="DS501" s="122">
        <v>174</v>
      </c>
      <c r="DT501" s="98">
        <f t="shared" si="3087"/>
        <v>14.473684210526304</v>
      </c>
      <c r="DU501" s="122">
        <v>177</v>
      </c>
      <c r="DV501" s="98">
        <f t="shared" si="3088"/>
        <v>2.9069767441860517</v>
      </c>
      <c r="DW501" s="122">
        <v>103</v>
      </c>
      <c r="DX501" s="98">
        <f t="shared" si="3089"/>
        <v>24.096385542168687</v>
      </c>
      <c r="DY501" s="122">
        <v>127</v>
      </c>
      <c r="DZ501" s="98">
        <f t="shared" si="3090"/>
        <v>-11.805555555555557</v>
      </c>
      <c r="EA501" s="122">
        <v>125</v>
      </c>
      <c r="EB501" s="98">
        <f t="shared" si="3091"/>
        <v>-28.160919540229891</v>
      </c>
      <c r="EC501" s="122">
        <v>-43</v>
      </c>
      <c r="ED501" s="98" t="str">
        <f t="shared" si="3092"/>
        <v>NM</v>
      </c>
      <c r="EE501" s="122">
        <v>121</v>
      </c>
      <c r="EF501" s="860">
        <f t="shared" si="3093"/>
        <v>17.475728155339798</v>
      </c>
      <c r="EG501" s="122">
        <v>86</v>
      </c>
      <c r="EH501" s="860">
        <f t="shared" si="3094"/>
        <v>-32.283464566929133</v>
      </c>
      <c r="EI501" s="122">
        <v>186</v>
      </c>
      <c r="EJ501" s="860">
        <f t="shared" si="3095"/>
        <v>48.8</v>
      </c>
      <c r="EK501" s="122">
        <v>105</v>
      </c>
      <c r="EL501" s="860" t="str">
        <f t="shared" si="3096"/>
        <v>NM</v>
      </c>
      <c r="EM501" s="122">
        <v>174</v>
      </c>
      <c r="EN501" s="860">
        <f t="shared" si="3097"/>
        <v>43.801652892561989</v>
      </c>
      <c r="EO501" s="122">
        <v>82</v>
      </c>
      <c r="EP501" s="98">
        <f t="shared" si="3098"/>
        <v>-4.651162790697672</v>
      </c>
      <c r="EQ501" s="878">
        <f t="shared" ref="EQ501" si="3119">+EQ500*EQ502/100</f>
        <v>70.758774087667547</v>
      </c>
      <c r="ER501" s="98" t="str">
        <f t="shared" si="3099"/>
        <v>NM</v>
      </c>
      <c r="ES501" s="878">
        <f t="shared" ref="ES501" si="3120">+ES500*ES502/100</f>
        <v>69.541874187988228</v>
      </c>
      <c r="ET501" s="98">
        <f t="shared" si="3101"/>
        <v>-33.769643630487401</v>
      </c>
      <c r="EU501" s="878">
        <f t="shared" ref="EU501" si="3121">+EU500*EU502/100</f>
        <v>68.819340273511031</v>
      </c>
      <c r="EV501" s="98" t="str">
        <f t="shared" si="3103"/>
        <v>NM</v>
      </c>
      <c r="EW501" s="878">
        <f t="shared" ref="EW501" si="3122">+EW500*EW502/100</f>
        <v>67.93486734795593</v>
      </c>
      <c r="EX501" s="98">
        <f t="shared" si="3105"/>
        <v>-17.152600795175697</v>
      </c>
      <c r="EY501" s="160"/>
      <c r="EZ501" s="594"/>
      <c r="FA501" s="405"/>
      <c r="FB501" s="200" t="s">
        <v>494</v>
      </c>
      <c r="FC501" s="98"/>
      <c r="FD501" s="121">
        <f>30+9+30+41</f>
        <v>110</v>
      </c>
      <c r="FE501" s="98" t="str">
        <f>IF(ISERROR((FD501/FB501-1)*100),"NA",IF(((FD501/FB501-1)*100)&gt;100,"NM",IF(((FD501/FB501-1)*100)&lt;-50,"NM",(FD501/FB501-1)*100)))</f>
        <v>NA</v>
      </c>
      <c r="FF501" s="118">
        <f>C501+E501+G501+I501</f>
        <v>116</v>
      </c>
      <c r="FG501" s="98">
        <f>IF(ISERROR((FF501/FD501-1)*100),"NA",IF(((FF501/FD501-1)*100)&gt;100,"NM",IF(((FF501/FD501-1)*100)&lt;-50,"NM",(FF501/FD501-1)*100)))</f>
        <v>5.4545454545454453</v>
      </c>
      <c r="FH501" s="118">
        <f>K501+M501+O501+Q501</f>
        <v>114.1</v>
      </c>
      <c r="FI501" s="98">
        <f>IF(ISERROR((FH501/FF501-1)*100),"NA",IF(((FH501/FF501-1)*100)&gt;100,"NM",IF(((FH501/FF501-1)*100)&lt;-50,"NM",(FH501/FF501-1)*100)))</f>
        <v>-1.6379310344827647</v>
      </c>
      <c r="FJ501" s="118">
        <f>S501+U501+W501+Y501</f>
        <v>100</v>
      </c>
      <c r="FK501" s="98">
        <f>IF(ISERROR((FJ501/FH501-1)*100),"NA",IF(((FJ501/FH501-1)*100)&gt;100,"NM",IF(((FJ501/FH501-1)*100)&lt;-50,"NM",(FJ501/FH501-1)*100)))</f>
        <v>-12.357581069237511</v>
      </c>
      <c r="FL501" s="118">
        <f>AA501+AC501+AE501+AG501</f>
        <v>133</v>
      </c>
      <c r="FM501" s="98">
        <f>IF(ISERROR((FL501/FJ501-1)*100),"NA",IF(((FL501/FJ501-1)*100)&gt;100,"NM",IF(((FL501/FJ501-1)*100)&lt;-50,"NM",(FL501/FJ501-1)*100)))</f>
        <v>33.000000000000007</v>
      </c>
      <c r="FN501" s="118">
        <f>AI501+AK501+AM501+AO501</f>
        <v>196</v>
      </c>
      <c r="FO501" s="98">
        <f>IF(ISERROR((FN501/FL501-1)*100),"NA",IF(((FN501/FL501-1)*100)&gt;100,"NM",IF(((FN501/FL501-1)*100)&lt;-50,"NM",(FN501/FL501-1)*100)))</f>
        <v>47.368421052631568</v>
      </c>
      <c r="FP501" s="118">
        <f>AQ501+AS501+AU501+AW501</f>
        <v>340</v>
      </c>
      <c r="FQ501" s="98">
        <f t="shared" si="3106"/>
        <v>73.469387755102034</v>
      </c>
      <c r="FR501" s="160">
        <f>AY501+BA501+BC501+BE501</f>
        <v>453</v>
      </c>
      <c r="FS501" s="120">
        <f t="shared" si="3107"/>
        <v>33.235294117647051</v>
      </c>
      <c r="FT501" s="160">
        <f>BG501+BI501+BK501+BM501</f>
        <v>476</v>
      </c>
      <c r="FU501" s="120">
        <f>IF(ISERROR((FT501/FR501-1)*100),"NA",IF(((FT501/FR501-1)*100)&gt;100,"NM",IF(((FT501/FR501-1)*100)&lt;-50,"NM",(FT501/FR501-1)*100)))</f>
        <v>5.0772626931567366</v>
      </c>
      <c r="FV501" s="112">
        <v>99</v>
      </c>
      <c r="FW501" s="98" t="str">
        <f t="shared" si="3108"/>
        <v>NM</v>
      </c>
      <c r="FX501" s="495">
        <f>BW501+BY501+CA501+CC501</f>
        <v>183</v>
      </c>
      <c r="FY501" s="98">
        <f t="shared" si="3109"/>
        <v>84.848484848484844</v>
      </c>
      <c r="FZ501" s="160">
        <f>CE501+CG501+CI501+CK501</f>
        <v>431</v>
      </c>
      <c r="GA501" s="98" t="str">
        <f t="shared" si="3110"/>
        <v>NM</v>
      </c>
      <c r="GB501" s="495">
        <f>CM501+CO501+CQ501+CS501</f>
        <v>373</v>
      </c>
      <c r="GC501" s="98">
        <f t="shared" si="3111"/>
        <v>-13.457076566125291</v>
      </c>
      <c r="GD501" s="160">
        <f>CU501+CW501+CY501+DA501</f>
        <v>677</v>
      </c>
      <c r="GE501" s="98">
        <f t="shared" si="3112"/>
        <v>81.501340482573738</v>
      </c>
      <c r="GF501" s="160">
        <f>DC501+DE501+DG501+DI501</f>
        <v>827</v>
      </c>
      <c r="GG501" s="98">
        <f t="shared" si="3113"/>
        <v>22.15657311669128</v>
      </c>
      <c r="GH501" s="160">
        <f>DK501+DM501+DO501+DQ501</f>
        <v>551</v>
      </c>
      <c r="GI501" s="98">
        <f t="shared" si="3114"/>
        <v>-33.373639661426843</v>
      </c>
      <c r="GJ501" s="160">
        <f>DS501+DU501+DW501+DY501</f>
        <v>581</v>
      </c>
      <c r="GK501" s="98">
        <f t="shared" si="3115"/>
        <v>5.444646098003636</v>
      </c>
      <c r="GL501" s="160">
        <f>EA501+EC501+EE501+EG501</f>
        <v>289</v>
      </c>
      <c r="GM501" s="98" t="str">
        <f t="shared" si="3116"/>
        <v>NM</v>
      </c>
      <c r="GN501" s="160">
        <f>EI501+EK501+EM501+EO501</f>
        <v>547</v>
      </c>
      <c r="GO501" s="98">
        <f t="shared" si="3116"/>
        <v>89.273356401384078</v>
      </c>
      <c r="GP501" s="160">
        <f>EQ501+ES501+EU501+EW501</f>
        <v>277.05485589712271</v>
      </c>
      <c r="GQ501" s="98">
        <f t="shared" si="3116"/>
        <v>-49.35011775189713</v>
      </c>
      <c r="GR501" s="160">
        <f>+GR500*GR502/100</f>
        <v>251.58499942391646</v>
      </c>
      <c r="GS501" s="98">
        <f t="shared" si="3116"/>
        <v>-9.1930734766344724</v>
      </c>
      <c r="GT501" s="160">
        <f>+GT500*GT502/100</f>
        <v>226.70226179690624</v>
      </c>
      <c r="GU501" s="98">
        <f t="shared" si="3116"/>
        <v>-9.8903900009885799</v>
      </c>
      <c r="GV501" s="160">
        <f>+GV500*GV502/100</f>
        <v>203.85257338787002</v>
      </c>
      <c r="GW501" s="98">
        <f t="shared" si="3116"/>
        <v>-10.079162081543924</v>
      </c>
      <c r="GX501" s="160">
        <f>+GX500*GX502/100</f>
        <v>179.68365211273394</v>
      </c>
      <c r="GY501" s="98">
        <f t="shared" si="3117"/>
        <v>-11.856078573582639</v>
      </c>
      <c r="GZ501" s="98">
        <f t="shared" si="3118"/>
        <v>-19.960521933150321</v>
      </c>
      <c r="HA501" s="98"/>
      <c r="HB501" s="10"/>
      <c r="HC501"/>
      <c r="HD501"/>
      <c r="HE501"/>
      <c r="HF501"/>
      <c r="HG501"/>
      <c r="HH501"/>
      <c r="HI501" s="10"/>
    </row>
    <row r="502" spans="1:217" s="2" customFormat="1" ht="12.75" customHeight="1" x14ac:dyDescent="0.2">
      <c r="B502" s="2" t="s">
        <v>170</v>
      </c>
      <c r="C502" s="202">
        <f>+C501/C500*100</f>
        <v>36.84210526315789</v>
      </c>
      <c r="D502" s="98"/>
      <c r="E502" s="202">
        <f>+E501/E500*100</f>
        <v>32.352941176470587</v>
      </c>
      <c r="F502" s="98"/>
      <c r="G502" s="202">
        <f>+G501/G500*100</f>
        <v>40</v>
      </c>
      <c r="H502" s="98"/>
      <c r="I502" s="202">
        <f>+I501/I500*100</f>
        <v>39.024390243902438</v>
      </c>
      <c r="J502" s="98"/>
      <c r="K502" s="202">
        <f>+K501/K500*100</f>
        <v>37.931034482758619</v>
      </c>
      <c r="L502" s="98">
        <f t="shared" si="3031"/>
        <v>2.9556650246305605</v>
      </c>
      <c r="M502" s="202">
        <f>+M501/M500*100</f>
        <v>35.61643835616438</v>
      </c>
      <c r="N502" s="98">
        <f t="shared" si="3032"/>
        <v>10.087173100871727</v>
      </c>
      <c r="O502" s="202">
        <f>+O501/O500*100</f>
        <v>35.955056179775283</v>
      </c>
      <c r="P502" s="98">
        <f t="shared" si="3033"/>
        <v>-10.11235955056179</v>
      </c>
      <c r="Q502" s="202">
        <f>+Q501/Q500*100</f>
        <v>35.483870967741929</v>
      </c>
      <c r="R502" s="98">
        <f t="shared" si="3034"/>
        <v>-9.0725806451613096</v>
      </c>
      <c r="S502" s="202">
        <f>+S501/S500*100</f>
        <v>35.483870967741936</v>
      </c>
      <c r="T502" s="98">
        <f t="shared" si="3035"/>
        <v>-6.4516129032258007</v>
      </c>
      <c r="U502" s="202">
        <f>+U501/U500*100</f>
        <v>35.897435897435898</v>
      </c>
      <c r="V502" s="98">
        <f t="shared" si="3036"/>
        <v>0.78895463510848529</v>
      </c>
      <c r="W502" s="202">
        <f>+W501/W500*100</f>
        <v>35.294117647058826</v>
      </c>
      <c r="X502" s="98">
        <f t="shared" si="3037"/>
        <v>-1.8382352941176516</v>
      </c>
      <c r="Y502" s="202">
        <f>+Y501/Y500*100</f>
        <v>35.61643835616438</v>
      </c>
      <c r="Z502" s="98">
        <f t="shared" si="3038"/>
        <v>0.37359900373599153</v>
      </c>
      <c r="AA502" s="202">
        <f>+AA501/AA500*100</f>
        <v>34.210526315789473</v>
      </c>
      <c r="AB502" s="98">
        <f t="shared" si="3039"/>
        <v>-3.5885167464114853</v>
      </c>
      <c r="AC502" s="202">
        <f>+AC501/AC500*100</f>
        <v>34.117647058823529</v>
      </c>
      <c r="AD502" s="98">
        <f t="shared" si="3040"/>
        <v>-4.9579831932773155</v>
      </c>
      <c r="AE502" s="202">
        <f>+AE501/AE500*100</f>
        <v>33.663366336633665</v>
      </c>
      <c r="AF502" s="98">
        <f t="shared" si="3041"/>
        <v>-4.6204620462046204</v>
      </c>
      <c r="AG502" s="202">
        <f>+AG501/AG500*100</f>
        <v>34.108527131782942</v>
      </c>
      <c r="AH502" s="98">
        <f t="shared" si="3042"/>
        <v>-4.23375074537865</v>
      </c>
      <c r="AI502" s="202">
        <f>+AI501/AI500*100</f>
        <v>32.539682539682538</v>
      </c>
      <c r="AJ502" s="98">
        <f t="shared" si="3043"/>
        <v>-4.8840048840048889</v>
      </c>
      <c r="AK502" s="202">
        <f>+AK501/AK500*100</f>
        <v>32.666666666666664</v>
      </c>
      <c r="AL502" s="98">
        <f t="shared" si="3044"/>
        <v>-4.2528735632183956</v>
      </c>
      <c r="AM502" s="202">
        <f>+AM501/AM500*100</f>
        <v>32.41379310344827</v>
      </c>
      <c r="AN502" s="98">
        <f t="shared" si="3045"/>
        <v>-3.7119675456389611</v>
      </c>
      <c r="AO502" s="202">
        <f>+AO501/AO500*100</f>
        <v>32.417582417582416</v>
      </c>
      <c r="AP502" s="98">
        <f t="shared" si="3046"/>
        <v>-4.957542457542452</v>
      </c>
      <c r="AQ502" s="202">
        <f>+AQ501/AQ500*100</f>
        <v>32.568807339449542</v>
      </c>
      <c r="AR502" s="98">
        <f t="shared" si="3047"/>
        <v>8.9505482210783249E-2</v>
      </c>
      <c r="AS502" s="202">
        <f>+AS501/AS500*100</f>
        <v>32.692307692307693</v>
      </c>
      <c r="AT502" s="98">
        <f t="shared" si="3048"/>
        <v>7.8492935635798844E-2</v>
      </c>
      <c r="AU502" s="202">
        <f>+AU501/AU500*100</f>
        <v>32.684824902723733</v>
      </c>
      <c r="AV502" s="98">
        <f t="shared" si="3049"/>
        <v>0.83616193393494243</v>
      </c>
      <c r="AW502" s="202">
        <f>+AW501/AW500*100</f>
        <v>32.362459546925564</v>
      </c>
      <c r="AX502" s="98">
        <f t="shared" si="3050"/>
        <v>-0.17004004168723608</v>
      </c>
      <c r="AY502" s="202">
        <f>+AY501/AY500*100</f>
        <v>34.682080924855491</v>
      </c>
      <c r="AZ502" s="98">
        <f t="shared" si="3051"/>
        <v>6.4886428396971452</v>
      </c>
      <c r="BA502" s="202">
        <f>+BA501/BA500*100</f>
        <v>34.603174603174601</v>
      </c>
      <c r="BB502" s="98">
        <f t="shared" si="3052"/>
        <v>5.8450046685340595</v>
      </c>
      <c r="BC502" s="202">
        <f>+BC501/BC500*100</f>
        <v>34.915254237288131</v>
      </c>
      <c r="BD502" s="98">
        <f t="shared" si="3053"/>
        <v>6.824051654560126</v>
      </c>
      <c r="BE502" s="202">
        <f>+BE501/BE500*100</f>
        <v>34.472934472934476</v>
      </c>
      <c r="BF502" s="98">
        <f t="shared" si="3054"/>
        <v>6.5213675213675382</v>
      </c>
      <c r="BG502" s="202">
        <f>+BG501/BG500*100</f>
        <v>34.375</v>
      </c>
      <c r="BH502" s="98">
        <f t="shared" si="3055"/>
        <v>-0.88541666666666075</v>
      </c>
      <c r="BI502" s="202">
        <f>+BI501/BI500*100</f>
        <v>34.782608695652172</v>
      </c>
      <c r="BJ502" s="98">
        <f t="shared" si="3056"/>
        <v>0.51854806541682397</v>
      </c>
      <c r="BK502" s="202">
        <f>+BK501/BK500*100</f>
        <v>34.540389972144844</v>
      </c>
      <c r="BL502" s="98">
        <f t="shared" si="3057"/>
        <v>-1.073640371041451</v>
      </c>
      <c r="BM502" s="202">
        <f>+BM501/BM500*100</f>
        <v>34.507042253521128</v>
      </c>
      <c r="BN502" s="98">
        <f t="shared" si="3058"/>
        <v>9.8940751949716521E-2</v>
      </c>
      <c r="BO502" s="202">
        <f>+BO501/BO500*100</f>
        <v>33.730158730158735</v>
      </c>
      <c r="BP502" s="98">
        <f t="shared" si="3059"/>
        <v>-1.8759018759018642</v>
      </c>
      <c r="BQ502" s="202">
        <f>+BQ501/BQ500*100</f>
        <v>33.936651583710407</v>
      </c>
      <c r="BR502" s="98">
        <f t="shared" si="3060"/>
        <v>-2.4321266968325705</v>
      </c>
      <c r="BS502" s="202">
        <f>+BS501/BS500*100</f>
        <v>33.6</v>
      </c>
      <c r="BT502" s="98">
        <f t="shared" si="3061"/>
        <v>-2.7225806451612766</v>
      </c>
      <c r="BU502" s="202">
        <f>+BU501/BU500*100</f>
        <v>33.766233766233768</v>
      </c>
      <c r="BV502" s="98">
        <f t="shared" si="3062"/>
        <v>-2.1468327590776548</v>
      </c>
      <c r="BW502" s="202">
        <f>+BW501/BW500*100</f>
        <v>35.164835164835168</v>
      </c>
      <c r="BX502" s="98">
        <f t="shared" si="3063"/>
        <v>4.2533936651583559</v>
      </c>
      <c r="BY502" s="202">
        <f>+BY501/BY500*100</f>
        <v>35</v>
      </c>
      <c r="BZ502" s="98">
        <f t="shared" si="3064"/>
        <v>3.1333333333333435</v>
      </c>
      <c r="CA502" s="202">
        <f>+CA501/CA500*100</f>
        <v>35.185185185185183</v>
      </c>
      <c r="CB502" s="98">
        <f t="shared" si="3065"/>
        <v>4.7178130511463801</v>
      </c>
      <c r="CC502" s="202">
        <f>+CC501/CC500*100</f>
        <v>34.876543209876544</v>
      </c>
      <c r="CD502" s="98">
        <f t="shared" si="3066"/>
        <v>3.2882241215574481</v>
      </c>
      <c r="CE502" s="202">
        <f>+CE501/CE500*100</f>
        <v>34.740259740259738</v>
      </c>
      <c r="CF502" s="98">
        <f t="shared" si="3067"/>
        <v>-1.2073863636363757</v>
      </c>
      <c r="CG502" s="202">
        <f>+CG501/CG500*100</f>
        <v>35.238095238095241</v>
      </c>
      <c r="CH502" s="98">
        <f t="shared" si="3068"/>
        <v>0.68027210884353817</v>
      </c>
      <c r="CI502" s="202">
        <f>+CI501/CI500*100</f>
        <v>35.14986376021799</v>
      </c>
      <c r="CJ502" s="98">
        <f t="shared" si="3069"/>
        <v>-0.10038720780150001</v>
      </c>
      <c r="CK502" s="202">
        <f>+CK501/CK500*100</f>
        <v>34.670487106017191</v>
      </c>
      <c r="CL502" s="98">
        <f t="shared" si="3070"/>
        <v>-0.59081573141973598</v>
      </c>
      <c r="CM502" s="202">
        <f>+CM501/CM500*100</f>
        <v>34.810126582278485</v>
      </c>
      <c r="CN502" s="98">
        <f t="shared" si="3071"/>
        <v>0.20111203123154286</v>
      </c>
      <c r="CO502" s="202">
        <f>+CO501/CO500*100</f>
        <v>35.357142857142861</v>
      </c>
      <c r="CP502" s="98">
        <f t="shared" si="3072"/>
        <v>0.33783783783785104</v>
      </c>
      <c r="CQ502" s="551">
        <f>+CQ501/CQ500*100</f>
        <v>35.862068965517238</v>
      </c>
      <c r="CR502" s="98">
        <f t="shared" si="3073"/>
        <v>2.0261962042234405</v>
      </c>
      <c r="CS502" s="202">
        <f>+CS501/CS500*100</f>
        <v>34.890965732087224</v>
      </c>
      <c r="CT502" s="98">
        <f t="shared" si="3074"/>
        <v>0.63592595453256795</v>
      </c>
      <c r="CU502" s="202">
        <f>+CU501/CU500*100</f>
        <v>35.023041474654377</v>
      </c>
      <c r="CV502" s="98">
        <f t="shared" si="3075"/>
        <v>0.61164641809801079</v>
      </c>
      <c r="CW502" s="202">
        <f>+CW501/CW500*100</f>
        <v>34.870317002881848</v>
      </c>
      <c r="CX502" s="98">
        <f t="shared" si="3076"/>
        <v>-1.376881203970548</v>
      </c>
      <c r="CY502" s="202">
        <f>+CY501/CY500*100</f>
        <v>34.988713318284425</v>
      </c>
      <c r="CZ502" s="98">
        <f t="shared" si="3077"/>
        <v>-2.4353186317068842</v>
      </c>
      <c r="DA502" s="202">
        <f>+DA501/DA500*100</f>
        <v>35.021097046413502</v>
      </c>
      <c r="DB502" s="98">
        <f t="shared" si="3078"/>
        <v>0.37296564195299364</v>
      </c>
      <c r="DC502" s="202">
        <f>+DC501/DC500*100</f>
        <v>34.965034965034967</v>
      </c>
      <c r="DD502" s="98">
        <f t="shared" si="3079"/>
        <v>-0.16562384983437317</v>
      </c>
      <c r="DE502" s="202">
        <f>+DE501/DE500*100</f>
        <v>34.982332155477032</v>
      </c>
      <c r="DF502" s="98">
        <f t="shared" si="3080"/>
        <v>0.32123353678124023</v>
      </c>
      <c r="DG502" s="202">
        <f>+DG501/DG500*100</f>
        <v>35.07692307692308</v>
      </c>
      <c r="DH502" s="98">
        <f t="shared" si="3081"/>
        <v>0.25210918114144665</v>
      </c>
      <c r="DI502" s="202">
        <f>+DI501/DI500*100</f>
        <v>35.017421602787458</v>
      </c>
      <c r="DJ502" s="98">
        <f t="shared" si="3082"/>
        <v>-1.0494941438221606E-2</v>
      </c>
      <c r="DK502" s="202">
        <f>+DK501/DK500*100</f>
        <v>28.517823639774857</v>
      </c>
      <c r="DL502" s="98">
        <f t="shared" si="3083"/>
        <v>-18.439024390243908</v>
      </c>
      <c r="DM502" s="202">
        <f>+DM501/DM500*100</f>
        <v>29.502572898799311</v>
      </c>
      <c r="DN502" s="98">
        <f t="shared" si="3084"/>
        <v>-15.664362319593883</v>
      </c>
      <c r="DO502" s="202">
        <f>+DO501/DO500*100</f>
        <v>16.50099403578529</v>
      </c>
      <c r="DP502" s="98" t="str">
        <f t="shared" si="3085"/>
        <v>NM</v>
      </c>
      <c r="DQ502" s="202">
        <f>+DQ501/DQ500*100</f>
        <v>27.221172022684311</v>
      </c>
      <c r="DR502" s="98">
        <f t="shared" si="3086"/>
        <v>-22.263916711339338</v>
      </c>
      <c r="DS502" s="202">
        <f>+DS501/DS500*100</f>
        <v>32.523364485981311</v>
      </c>
      <c r="DT502" s="98">
        <f t="shared" si="3087"/>
        <v>14.045745204131844</v>
      </c>
      <c r="DU502" s="202">
        <f>+DU501/DU500*100</f>
        <v>32.181818181818187</v>
      </c>
      <c r="DV502" s="98">
        <f t="shared" si="3088"/>
        <v>9.0813953488372299</v>
      </c>
      <c r="DW502" s="202">
        <f>+DW501/DW500*100</f>
        <v>29.76878612716763</v>
      </c>
      <c r="DX502" s="98">
        <f t="shared" si="3089"/>
        <v>80.40601713211224</v>
      </c>
      <c r="DY502" s="202">
        <f>+DY501/DY500*100</f>
        <v>32.397959183673471</v>
      </c>
      <c r="DZ502" s="98">
        <f t="shared" si="3090"/>
        <v>19.017502834467127</v>
      </c>
      <c r="EA502" s="202">
        <f>+EA501/EA500*100</f>
        <v>31.887755102040817</v>
      </c>
      <c r="EB502" s="98">
        <f t="shared" si="3091"/>
        <v>-1.9543162092423239</v>
      </c>
      <c r="EC502" s="202">
        <f>+EC501/EC500*100</f>
        <v>56.578947368421048</v>
      </c>
      <c r="ED502" s="98">
        <f t="shared" si="3092"/>
        <v>75.81028843294672</v>
      </c>
      <c r="EE502" s="202">
        <f>+EE501/EE500*100</f>
        <v>31.266149870801037</v>
      </c>
      <c r="EF502" s="860">
        <f t="shared" si="3093"/>
        <v>5.0299791776423186</v>
      </c>
      <c r="EG502" s="202">
        <f>+EG501/EG500*100</f>
        <v>29.965156794425084</v>
      </c>
      <c r="EH502" s="860">
        <f t="shared" si="3094"/>
        <v>-7.5091223353178531</v>
      </c>
      <c r="EI502" s="202">
        <f>+EI501/EI500*100</f>
        <v>32.460732984293195</v>
      </c>
      <c r="EJ502" s="860">
        <f t="shared" si="3095"/>
        <v>1.7968586387434593</v>
      </c>
      <c r="EK502" s="202">
        <f>+EK501/EK500*100</f>
        <v>30.701754385964914</v>
      </c>
      <c r="EL502" s="860">
        <f t="shared" si="3096"/>
        <v>-45.736434108527121</v>
      </c>
      <c r="EM502" s="202">
        <f>+EM501/EM500*100</f>
        <v>32.342007434944236</v>
      </c>
      <c r="EN502" s="860">
        <f t="shared" si="3097"/>
        <v>3.4409659282927052</v>
      </c>
      <c r="EO502" s="202">
        <f>+EO501/EO500*100</f>
        <v>29.710144927536231</v>
      </c>
      <c r="EP502" s="98">
        <f t="shared" si="3098"/>
        <v>-0.85102797438489919</v>
      </c>
      <c r="EQ502" s="1035">
        <v>22</v>
      </c>
      <c r="ER502" s="98">
        <f t="shared" si="3099"/>
        <v>-32.225806451612904</v>
      </c>
      <c r="ES502" s="1035">
        <f t="shared" ref="ES502" si="3123">EQ502</f>
        <v>22</v>
      </c>
      <c r="ET502" s="98">
        <f t="shared" si="3101"/>
        <v>-28.342857142857149</v>
      </c>
      <c r="EU502" s="1035">
        <f t="shared" ref="EU502" si="3124">ES502</f>
        <v>22</v>
      </c>
      <c r="EV502" s="98">
        <f t="shared" si="3103"/>
        <v>-31.977011494252871</v>
      </c>
      <c r="EW502" s="1035">
        <f t="shared" ref="EW502" si="3125">EU502</f>
        <v>22</v>
      </c>
      <c r="EX502" s="98">
        <f t="shared" si="3105"/>
        <v>-25.951219512195124</v>
      </c>
      <c r="EY502" s="110"/>
      <c r="EZ502" s="594"/>
      <c r="FA502" s="405"/>
      <c r="FB502" s="200" t="s">
        <v>494</v>
      </c>
      <c r="FC502" s="98"/>
      <c r="FD502" s="125">
        <f>+FD501/FD500*100</f>
        <v>35.256410256410255</v>
      </c>
      <c r="FE502" s="98" t="str">
        <f>IF(ISERROR((FD502/FB502-1)*100),"NA",IF(((FD502/FB502-1)*100)&gt;100,"NM",IF(((FD502/FB502-1)*100)&lt;-50,"NM",(FD502/FB502-1)*100)))</f>
        <v>NA</v>
      </c>
      <c r="FF502" s="125">
        <f>+FF501/FF500*100</f>
        <v>36.477987421383645</v>
      </c>
      <c r="FG502" s="98">
        <f>IF(ISERROR((FF502/FD502-1)*100),"NA",IF(((FF502/FD502-1)*100)&gt;100,"NM",IF(((FF502/FD502-1)*100)&lt;-50,"NM",(FF502/FD502-1)*100)))</f>
        <v>3.4648370497426972</v>
      </c>
      <c r="FH502" s="125">
        <f>+FH501/FH500*100</f>
        <v>36.096172097437531</v>
      </c>
      <c r="FI502" s="98">
        <f>IF(ISERROR((FH502/FF502-1)*100),"NA",IF(((FH502/FF502-1)*100)&gt;100,"NM",IF(((FH502/FF502-1)*100)&lt;-50,"NM",(FH502/FF502-1)*100)))</f>
        <v>-1.0467006294384795</v>
      </c>
      <c r="FJ502" s="125">
        <f>+FJ501/FJ500*100</f>
        <v>35.587188612099645</v>
      </c>
      <c r="FK502" s="98">
        <f>IF(ISERROR((FJ502/FH502-1)*100),"NA",IF(((FJ502/FH502-1)*100)&gt;100,"NM",IF(((FJ502/FH502-1)*100)&lt;-50,"NM",(FJ502/FH502-1)*100)))</f>
        <v>-1.4100760711244997</v>
      </c>
      <c r="FL502" s="125">
        <f>+FL501/FL500*100</f>
        <v>34.015345268542205</v>
      </c>
      <c r="FM502" s="98">
        <f>IF(ISERROR((FL502/FJ502-1)*100),"NA",IF(((FL502/FJ502-1)*100)&gt;100,"NM",IF(((FL502/FJ502-1)*100)&lt;-50,"NM",(FL502/FJ502-1)*100)))</f>
        <v>-4.4168797953964001</v>
      </c>
      <c r="FN502" s="125">
        <f>+FN501/FN500*100</f>
        <v>32.504145936981757</v>
      </c>
      <c r="FO502" s="98">
        <f>IF(ISERROR((FN502/FL502-1)*100),"NA",IF(((FN502/FL502-1)*100)&gt;100,"NM",IF(((FN502/FL502-1)*100)&lt;-50,"NM",(FN502/FL502-1)*100)))</f>
        <v>-4.4426987867679291</v>
      </c>
      <c r="FP502" s="125">
        <f>+FP501/FP500*100</f>
        <v>32.567049808429118</v>
      </c>
      <c r="FQ502" s="98">
        <f t="shared" si="3106"/>
        <v>0.19352568613653087</v>
      </c>
      <c r="FR502" s="106">
        <f>+FR501/FR500*100</f>
        <v>34.659525631216525</v>
      </c>
      <c r="FS502" s="120">
        <f t="shared" si="3107"/>
        <v>6.4251316440883999</v>
      </c>
      <c r="FT502" s="106">
        <f>+FT501/FT500*100</f>
        <v>34.567901234567898</v>
      </c>
      <c r="FU502" s="120">
        <f>IF(ISERROR((FT502/FR502-1)*100),"NA",IF(((FT502/FR502-1)*100)&gt;100,"NM",IF(((FT502/FR502-1)*100)&lt;-50,"NM",(FT502/FR502-1)*100)))</f>
        <v>-0.26435559916060392</v>
      </c>
      <c r="FV502" s="106">
        <f>+FV501/FV500*100</f>
        <v>33.904109589041099</v>
      </c>
      <c r="FW502" s="98">
        <f t="shared" si="3108"/>
        <v>-1.9202544031310942</v>
      </c>
      <c r="FX502" s="483">
        <f>+FX501/FX500*100</f>
        <v>34.923664122137403</v>
      </c>
      <c r="FY502" s="98">
        <f t="shared" si="3109"/>
        <v>3.0071709461022333</v>
      </c>
      <c r="FZ502" s="106">
        <f>+FZ501/FZ500*100</f>
        <v>34.92706645056726</v>
      </c>
      <c r="GA502" s="98">
        <f t="shared" si="3110"/>
        <v>9.7421863237467932E-3</v>
      </c>
      <c r="GB502" s="483">
        <f>+GB501/GB500*100</f>
        <v>35.122410546139363</v>
      </c>
      <c r="GC502" s="98">
        <f t="shared" si="3111"/>
        <v>0.559291447647281</v>
      </c>
      <c r="GD502" s="106">
        <f>+GD501/GD500*100</f>
        <v>34.987080103359176</v>
      </c>
      <c r="GE502" s="98">
        <f t="shared" si="3112"/>
        <v>-0.38531080491303049</v>
      </c>
      <c r="GF502" s="106">
        <f>+GF501/GF500*100</f>
        <v>35.012701100762065</v>
      </c>
      <c r="GG502" s="98">
        <f t="shared" si="3113"/>
        <v>7.3229881794079077E-2</v>
      </c>
      <c r="GH502" s="106">
        <f>+GH501/GH500*100</f>
        <v>25.651769087523281</v>
      </c>
      <c r="GI502" s="98">
        <f t="shared" si="3114"/>
        <v>-26.735817914474012</v>
      </c>
      <c r="GJ502" s="106">
        <f>+GJ501/GJ500*100</f>
        <v>31.870543060888647</v>
      </c>
      <c r="GK502" s="98">
        <f t="shared" si="3115"/>
        <v>24.2430607890904</v>
      </c>
      <c r="GL502" s="106">
        <f>+GL501/GL500*100</f>
        <v>29.19191919191919</v>
      </c>
      <c r="GM502" s="98">
        <f t="shared" si="3116"/>
        <v>-8.4047010553034767</v>
      </c>
      <c r="GN502" s="106">
        <f>+GN501/GN500*100</f>
        <v>31.636784268363215</v>
      </c>
      <c r="GO502" s="98">
        <f t="shared" si="3116"/>
        <v>8.3751433414518406</v>
      </c>
      <c r="GP502" s="106">
        <f>+GP501/GP500*100</f>
        <v>21.999999999999982</v>
      </c>
      <c r="GQ502" s="98">
        <f t="shared" si="3116"/>
        <v>-30.460694698354718</v>
      </c>
      <c r="GR502" s="110">
        <f>GP502</f>
        <v>21.999999999999982</v>
      </c>
      <c r="GS502" s="98">
        <f t="shared" si="3116"/>
        <v>0</v>
      </c>
      <c r="GT502" s="110">
        <f>GR502</f>
        <v>21.999999999999982</v>
      </c>
      <c r="GU502" s="98">
        <f t="shared" si="3116"/>
        <v>0</v>
      </c>
      <c r="GV502" s="110">
        <f>GT502</f>
        <v>21.999999999999982</v>
      </c>
      <c r="GW502" s="98">
        <f t="shared" si="3116"/>
        <v>0</v>
      </c>
      <c r="GX502" s="110">
        <f>GV502</f>
        <v>21.999999999999982</v>
      </c>
      <c r="GY502" s="98">
        <f t="shared" si="3117"/>
        <v>0</v>
      </c>
      <c r="GZ502" s="98">
        <f t="shared" si="3118"/>
        <v>-7.0078969493162724</v>
      </c>
      <c r="HA502" s="98"/>
      <c r="HB502" s="10"/>
      <c r="HC502"/>
      <c r="HD502"/>
      <c r="HE502"/>
      <c r="HF502"/>
      <c r="HG502"/>
      <c r="HH502"/>
      <c r="HI502" s="10"/>
    </row>
    <row r="503" spans="1:217" s="2" customFormat="1" ht="12.75" customHeight="1" x14ac:dyDescent="0.2">
      <c r="A503" s="2" t="s">
        <v>518</v>
      </c>
      <c r="B503" s="93" t="s">
        <v>28</v>
      </c>
      <c r="C503" s="204">
        <f>+C500-C501</f>
        <v>60</v>
      </c>
      <c r="D503" s="98"/>
      <c r="E503" s="204">
        <f>+E500-E501</f>
        <v>69</v>
      </c>
      <c r="F503" s="98"/>
      <c r="G503" s="204">
        <f>+G500-G501</f>
        <v>48</v>
      </c>
      <c r="H503" s="98"/>
      <c r="I503" s="204">
        <f>+I500-I501</f>
        <v>25</v>
      </c>
      <c r="J503" s="98"/>
      <c r="K503" s="204">
        <f>+K500-K501</f>
        <v>36</v>
      </c>
      <c r="L503" s="98">
        <f t="shared" si="3031"/>
        <v>-40</v>
      </c>
      <c r="M503" s="204">
        <f>+M500-M501</f>
        <v>47</v>
      </c>
      <c r="N503" s="98">
        <f t="shared" si="3032"/>
        <v>-31.884057971014489</v>
      </c>
      <c r="O503" s="204">
        <f>+O500-O501</f>
        <v>57</v>
      </c>
      <c r="P503" s="98">
        <f t="shared" si="3033"/>
        <v>18.75</v>
      </c>
      <c r="Q503" s="204">
        <f>+Q500-Q501</f>
        <v>62.000000000000021</v>
      </c>
      <c r="R503" s="98" t="str">
        <f t="shared" si="3034"/>
        <v>NM</v>
      </c>
      <c r="S503" s="204">
        <f>+S500-S501</f>
        <v>40</v>
      </c>
      <c r="T503" s="98">
        <f t="shared" si="3035"/>
        <v>11.111111111111116</v>
      </c>
      <c r="U503" s="204">
        <f>+U500-U501</f>
        <v>50</v>
      </c>
      <c r="V503" s="98">
        <f t="shared" si="3036"/>
        <v>6.3829787234042534</v>
      </c>
      <c r="W503" s="204">
        <f>+W500-W501</f>
        <v>44</v>
      </c>
      <c r="X503" s="98">
        <f t="shared" si="3037"/>
        <v>-22.807017543859654</v>
      </c>
      <c r="Y503" s="204">
        <f>+Y500-Y501</f>
        <v>47</v>
      </c>
      <c r="Z503" s="98">
        <f t="shared" si="3038"/>
        <v>-24.193548387096797</v>
      </c>
      <c r="AA503" s="204">
        <f>+AA500-AA501</f>
        <v>50</v>
      </c>
      <c r="AB503" s="98">
        <f t="shared" si="3039"/>
        <v>25</v>
      </c>
      <c r="AC503" s="204">
        <f>+AC500-AC501</f>
        <v>56</v>
      </c>
      <c r="AD503" s="98">
        <f t="shared" si="3040"/>
        <v>12.000000000000011</v>
      </c>
      <c r="AE503" s="204">
        <f>+AE500-AE501</f>
        <v>67</v>
      </c>
      <c r="AF503" s="98">
        <f t="shared" si="3041"/>
        <v>52.272727272727273</v>
      </c>
      <c r="AG503" s="204">
        <f>+AG500-AG501</f>
        <v>85</v>
      </c>
      <c r="AH503" s="98">
        <f t="shared" si="3042"/>
        <v>80.851063829787236</v>
      </c>
      <c r="AI503" s="204">
        <f>+AI500-AI501</f>
        <v>85</v>
      </c>
      <c r="AJ503" s="98">
        <f t="shared" si="3043"/>
        <v>70</v>
      </c>
      <c r="AK503" s="204">
        <f>+AK500-AK501</f>
        <v>101</v>
      </c>
      <c r="AL503" s="98">
        <f t="shared" si="3044"/>
        <v>80.357142857142861</v>
      </c>
      <c r="AM503" s="204">
        <f>+AM500-AM501</f>
        <v>98</v>
      </c>
      <c r="AN503" s="98">
        <f t="shared" si="3045"/>
        <v>46.268656716417908</v>
      </c>
      <c r="AO503" s="204">
        <f>+AO500-AO501</f>
        <v>123</v>
      </c>
      <c r="AP503" s="98">
        <f t="shared" si="3046"/>
        <v>44.705882352941174</v>
      </c>
      <c r="AQ503" s="204">
        <f>+AQ500-AQ501</f>
        <v>147</v>
      </c>
      <c r="AR503" s="98">
        <f t="shared" si="3047"/>
        <v>72.941176470588246</v>
      </c>
      <c r="AS503" s="204">
        <f>+AS500-AS501</f>
        <v>175</v>
      </c>
      <c r="AT503" s="98">
        <f t="shared" si="3048"/>
        <v>73.267326732673268</v>
      </c>
      <c r="AU503" s="204">
        <f>+AU500-AU501</f>
        <v>173</v>
      </c>
      <c r="AV503" s="98">
        <f t="shared" si="3049"/>
        <v>76.530612244897966</v>
      </c>
      <c r="AW503" s="204">
        <f>+AW500-AW501</f>
        <v>209</v>
      </c>
      <c r="AX503" s="98">
        <f t="shared" si="3050"/>
        <v>69.918699186991873</v>
      </c>
      <c r="AY503" s="204">
        <f>+AY500-AY501</f>
        <v>226</v>
      </c>
      <c r="AZ503" s="98">
        <f t="shared" si="3051"/>
        <v>53.741496598639451</v>
      </c>
      <c r="BA503" s="204">
        <f>+BA500-BA501</f>
        <v>206</v>
      </c>
      <c r="BB503" s="98">
        <f t="shared" si="3052"/>
        <v>17.714285714285705</v>
      </c>
      <c r="BC503" s="204">
        <f>+BC500-BC501</f>
        <v>192</v>
      </c>
      <c r="BD503" s="98">
        <f t="shared" si="3053"/>
        <v>10.982658959537561</v>
      </c>
      <c r="BE503" s="204">
        <f>+BE500-BE501</f>
        <v>230</v>
      </c>
      <c r="BF503" s="98">
        <f t="shared" si="3054"/>
        <v>10.047846889952151</v>
      </c>
      <c r="BG503" s="204">
        <f>+BG500-BG501</f>
        <v>210</v>
      </c>
      <c r="BH503" s="98">
        <f t="shared" si="3055"/>
        <v>-7.0796460176991154</v>
      </c>
      <c r="BI503" s="204">
        <f>+BI500-BI501</f>
        <v>270</v>
      </c>
      <c r="BJ503" s="98">
        <f t="shared" si="3056"/>
        <v>31.067961165048551</v>
      </c>
      <c r="BK503" s="204">
        <f>+BK500-BK501</f>
        <v>235</v>
      </c>
      <c r="BL503" s="98">
        <f t="shared" si="3057"/>
        <v>22.395833333333325</v>
      </c>
      <c r="BM503" s="204">
        <f>+BM500-BM501</f>
        <v>186</v>
      </c>
      <c r="BN503" s="98">
        <f t="shared" si="3058"/>
        <v>-19.130434782608695</v>
      </c>
      <c r="BO503" s="204">
        <f>+BO500-BO501</f>
        <v>167</v>
      </c>
      <c r="BP503" s="98">
        <f t="shared" si="3059"/>
        <v>-20.476190476190482</v>
      </c>
      <c r="BQ503" s="204">
        <f>+BQ500-BQ501</f>
        <v>146</v>
      </c>
      <c r="BR503" s="98">
        <f t="shared" si="3060"/>
        <v>-45.925925925925924</v>
      </c>
      <c r="BS503" s="204">
        <f>+BS500-BS501</f>
        <v>83</v>
      </c>
      <c r="BT503" s="98" t="str">
        <f t="shared" si="3061"/>
        <v>NM</v>
      </c>
      <c r="BU503" s="182">
        <f>+BU500-BU501</f>
        <v>-204</v>
      </c>
      <c r="BV503" s="98" t="str">
        <f t="shared" si="3062"/>
        <v>NM</v>
      </c>
      <c r="BW503" s="182">
        <f>+BW500-BW501</f>
        <v>-118</v>
      </c>
      <c r="BX503" s="98" t="str">
        <f t="shared" si="3063"/>
        <v>NM</v>
      </c>
      <c r="BY503" s="182">
        <f>+BY500-BY501</f>
        <v>143</v>
      </c>
      <c r="BZ503" s="98">
        <f t="shared" si="3064"/>
        <v>-2.0547945205479423</v>
      </c>
      <c r="CA503" s="182">
        <f>+CA500-CA501</f>
        <v>105</v>
      </c>
      <c r="CB503" s="98">
        <f t="shared" si="3065"/>
        <v>26.506024096385538</v>
      </c>
      <c r="CC503" s="182">
        <f>+CC500-CC501</f>
        <v>211</v>
      </c>
      <c r="CD503" s="98" t="str">
        <f t="shared" si="3066"/>
        <v>NM</v>
      </c>
      <c r="CE503" s="182">
        <f>+CE500-CE501</f>
        <v>201</v>
      </c>
      <c r="CF503" s="98" t="str">
        <f t="shared" si="3067"/>
        <v>NM</v>
      </c>
      <c r="CG503" s="182">
        <f>+CG500-CG501</f>
        <v>136</v>
      </c>
      <c r="CH503" s="98">
        <f t="shared" si="3068"/>
        <v>-4.8951048951048959</v>
      </c>
      <c r="CI503" s="182">
        <f>+CI500-CI501</f>
        <v>238</v>
      </c>
      <c r="CJ503" s="98" t="str">
        <f t="shared" si="3069"/>
        <v>NM</v>
      </c>
      <c r="CK503" s="182">
        <f>+CK500-CK501</f>
        <v>228</v>
      </c>
      <c r="CL503" s="98">
        <f t="shared" si="3070"/>
        <v>8.0568720379146974</v>
      </c>
      <c r="CM503" s="182">
        <f>+CM500-CM501</f>
        <v>206</v>
      </c>
      <c r="CN503" s="98">
        <f t="shared" si="3071"/>
        <v>2.4875621890547261</v>
      </c>
      <c r="CO503" s="182">
        <f>+CO500-CO501</f>
        <v>181</v>
      </c>
      <c r="CP503" s="98">
        <f t="shared" si="3072"/>
        <v>33.088235294117638</v>
      </c>
      <c r="CQ503" s="512">
        <f>+CQ500-CQ501</f>
        <v>93</v>
      </c>
      <c r="CR503" s="98" t="str">
        <f t="shared" si="3073"/>
        <v>NM</v>
      </c>
      <c r="CS503" s="182">
        <f>+CS500-CS501</f>
        <v>209</v>
      </c>
      <c r="CT503" s="98">
        <f t="shared" si="3074"/>
        <v>-8.3333333333333375</v>
      </c>
      <c r="CU503" s="182">
        <f>+CU500-CU501</f>
        <v>282</v>
      </c>
      <c r="CV503" s="98">
        <f t="shared" si="3075"/>
        <v>36.893203883495154</v>
      </c>
      <c r="CW503" s="182">
        <f>+CW500-CW501</f>
        <v>226</v>
      </c>
      <c r="CX503" s="98">
        <f t="shared" si="3076"/>
        <v>24.861878453038667</v>
      </c>
      <c r="CY503" s="182">
        <f>+CY500-CY501</f>
        <v>288</v>
      </c>
      <c r="CZ503" s="98" t="str">
        <f t="shared" si="3077"/>
        <v>NM</v>
      </c>
      <c r="DA503" s="182">
        <f>+DA500-DA501</f>
        <v>462</v>
      </c>
      <c r="DB503" s="98" t="str">
        <f t="shared" si="3078"/>
        <v>NM</v>
      </c>
      <c r="DC503" s="182">
        <f>+DC500-DC501</f>
        <v>372</v>
      </c>
      <c r="DD503" s="98">
        <f t="shared" si="3079"/>
        <v>31.914893617021267</v>
      </c>
      <c r="DE503" s="182">
        <f>+DE500-DE501</f>
        <v>368</v>
      </c>
      <c r="DF503" s="98">
        <f t="shared" si="3080"/>
        <v>62.831858407079658</v>
      </c>
      <c r="DG503" s="182">
        <f>+DG500-DG501</f>
        <v>422</v>
      </c>
      <c r="DH503" s="98">
        <f t="shared" si="3081"/>
        <v>46.527777777777771</v>
      </c>
      <c r="DI503" s="182">
        <f>+DI500-DI501</f>
        <v>373</v>
      </c>
      <c r="DJ503" s="98">
        <f t="shared" si="3082"/>
        <v>-19.26406926406926</v>
      </c>
      <c r="DK503" s="182">
        <f>+DK500-DK501</f>
        <v>381</v>
      </c>
      <c r="DL503" s="98">
        <f t="shared" si="3083"/>
        <v>2.4193548387096753</v>
      </c>
      <c r="DM503" s="182">
        <f>+DM500-DM501</f>
        <v>411</v>
      </c>
      <c r="DN503" s="98">
        <f t="shared" si="3084"/>
        <v>11.684782608695654</v>
      </c>
      <c r="DO503" s="182">
        <f>+DO500-DO501</f>
        <v>420</v>
      </c>
      <c r="DP503" s="98">
        <f t="shared" si="3085"/>
        <v>-0.47393364928910442</v>
      </c>
      <c r="DQ503" s="182">
        <f>+DQ500-DQ501</f>
        <v>385</v>
      </c>
      <c r="DR503" s="98">
        <f t="shared" si="3086"/>
        <v>3.2171581769437019</v>
      </c>
      <c r="DS503" s="182">
        <f>+DS500-DS501</f>
        <v>361</v>
      </c>
      <c r="DT503" s="98">
        <f t="shared" si="3087"/>
        <v>-5.2493438320210029</v>
      </c>
      <c r="DU503" s="182">
        <f>+DU500-DU501</f>
        <v>373</v>
      </c>
      <c r="DV503" s="98">
        <f t="shared" si="3088"/>
        <v>-9.2457420924574212</v>
      </c>
      <c r="DW503" s="182">
        <f>+DW500-DW501</f>
        <v>243</v>
      </c>
      <c r="DX503" s="98">
        <f t="shared" si="3089"/>
        <v>-42.142857142857139</v>
      </c>
      <c r="DY503" s="182">
        <f>+DY500-DY501</f>
        <v>265</v>
      </c>
      <c r="DZ503" s="98">
        <f t="shared" si="3090"/>
        <v>-31.168831168831169</v>
      </c>
      <c r="EA503" s="182">
        <f>+EA500-EA501</f>
        <v>267</v>
      </c>
      <c r="EB503" s="98">
        <f t="shared" si="3091"/>
        <v>-26.038781163434898</v>
      </c>
      <c r="EC503" s="182">
        <f>+EC500-EC501</f>
        <v>-33</v>
      </c>
      <c r="ED503" s="98" t="str">
        <f t="shared" si="3092"/>
        <v>NM</v>
      </c>
      <c r="EE503" s="182">
        <f>+EE500-EE501</f>
        <v>266</v>
      </c>
      <c r="EF503" s="860">
        <f t="shared" si="3093"/>
        <v>9.4650205761316784</v>
      </c>
      <c r="EG503" s="182">
        <f>+EG500-EG501</f>
        <v>201</v>
      </c>
      <c r="EH503" s="860">
        <f t="shared" si="3094"/>
        <v>-24.15094339622641</v>
      </c>
      <c r="EI503" s="182">
        <f>+EI500-EI501</f>
        <v>387</v>
      </c>
      <c r="EJ503" s="860">
        <f t="shared" si="3095"/>
        <v>44.943820224719097</v>
      </c>
      <c r="EK503" s="182">
        <f>+EK500-EK501</f>
        <v>237</v>
      </c>
      <c r="EL503" s="860" t="str">
        <f t="shared" si="3096"/>
        <v>NM</v>
      </c>
      <c r="EM503" s="182">
        <f>+EM500-EM501</f>
        <v>364</v>
      </c>
      <c r="EN503" s="860">
        <f t="shared" si="3097"/>
        <v>36.842105263157897</v>
      </c>
      <c r="EO503" s="182">
        <f>+EO500-EO501</f>
        <v>194</v>
      </c>
      <c r="EP503" s="98">
        <f t="shared" si="3098"/>
        <v>-3.4825870646766122</v>
      </c>
      <c r="EQ503" s="1028">
        <f t="shared" ref="EQ503" si="3126">+EQ500-EQ501</f>
        <v>250.87201721991224</v>
      </c>
      <c r="ER503" s="98">
        <f t="shared" si="3099"/>
        <v>-35.175189348859895</v>
      </c>
      <c r="ES503" s="1028">
        <f t="shared" ref="ES503" si="3127">+ES500-ES501</f>
        <v>246.55755393923096</v>
      </c>
      <c r="ET503" s="98">
        <f t="shared" si="3101"/>
        <v>4.0327231811100983</v>
      </c>
      <c r="EU503" s="1028">
        <f t="shared" ref="EU503" si="3128">+EU500-EU501</f>
        <v>243.99584278790275</v>
      </c>
      <c r="EV503" s="98">
        <f t="shared" si="3103"/>
        <v>-32.968175058268478</v>
      </c>
      <c r="EW503" s="1028">
        <f t="shared" ref="EW503" si="3129">+EW500-EW501</f>
        <v>240.85998423366195</v>
      </c>
      <c r="EX503" s="98">
        <f t="shared" si="3105"/>
        <v>24.154631048279352</v>
      </c>
      <c r="EY503" s="204"/>
      <c r="EZ503" s="594"/>
      <c r="FA503" s="405"/>
      <c r="FB503" s="200" t="s">
        <v>494</v>
      </c>
      <c r="FC503" s="98"/>
      <c r="FD503" s="183">
        <f>+FD500-FD501</f>
        <v>202</v>
      </c>
      <c r="FE503" s="98" t="str">
        <f>IF(ISERROR((FD503/FB503-1)*100),"NA",IF(((FD503/FB503-1)*100)&gt;100,"NM",IF(((FD503/FB503-1)*100)&lt;-50,"NM",(FD503/FB503-1)*100)))</f>
        <v>NA</v>
      </c>
      <c r="FF503" s="183">
        <f>+FF500-FF501</f>
        <v>202</v>
      </c>
      <c r="FG503" s="98">
        <f>IF(ISERROR((FF503/FD503-1)*100),"NA",IF(((FF503/FD503-1)*100)&gt;100,"NM",IF(((FF503/FD503-1)*100)&lt;-50,"NM",(FF503/FD503-1)*100)))</f>
        <v>0</v>
      </c>
      <c r="FH503" s="183">
        <f>+FH500-FH501</f>
        <v>201.99999999999991</v>
      </c>
      <c r="FI503" s="98">
        <f>IF(ISERROR((FH503/FF503-1)*100),"NA",IF(((FH503/FF503-1)*100)&gt;100,"NM",IF(((FH503/FF503-1)*100)&lt;-50,"NM",(FH503/FF503-1)*100)))</f>
        <v>-4.4408920985006262E-14</v>
      </c>
      <c r="FJ503" s="183">
        <f>+FJ500-FJ501</f>
        <v>181</v>
      </c>
      <c r="FK503" s="98">
        <f>IF(ISERROR((FJ503/FH503-1)*100),"NA",IF(((FJ503/FH503-1)*100)&gt;100,"NM",IF(((FJ503/FH503-1)*100)&lt;-50,"NM",(FJ503/FH503-1)*100)))</f>
        <v>-10.396039603960361</v>
      </c>
      <c r="FL503" s="183">
        <f>+FL500-FL501</f>
        <v>258</v>
      </c>
      <c r="FM503" s="98">
        <f>IF(ISERROR((FL503/FJ503-1)*100),"NA",IF(((FL503/FJ503-1)*100)&gt;100,"NM",IF(((FL503/FJ503-1)*100)&lt;-50,"NM",(FL503/FJ503-1)*100)))</f>
        <v>42.541436464088392</v>
      </c>
      <c r="FN503" s="183">
        <f>+FN500-FN501</f>
        <v>407</v>
      </c>
      <c r="FO503" s="98">
        <f>IF(ISERROR((FN503/FL503-1)*100),"NA",IF(((FN503/FL503-1)*100)&gt;100,"NM",IF(((FN503/FL503-1)*100)&lt;-50,"NM",(FN503/FL503-1)*100)))</f>
        <v>57.751937984496116</v>
      </c>
      <c r="FP503" s="183">
        <f>+FP500-FP501</f>
        <v>704</v>
      </c>
      <c r="FQ503" s="98">
        <f t="shared" si="3106"/>
        <v>72.972972972972983</v>
      </c>
      <c r="FR503" s="205">
        <f>+FR500-FR501</f>
        <v>854</v>
      </c>
      <c r="FS503" s="120">
        <f t="shared" si="3107"/>
        <v>21.306818181818187</v>
      </c>
      <c r="FT503" s="205">
        <f>+FT500-FT501</f>
        <v>901</v>
      </c>
      <c r="FU503" s="120">
        <f>IF(ISERROR((FT503/FR503-1)*100),"NA",IF(((FT503/FR503-1)*100)&gt;100,"NM",IF(((FT503/FR503-1)*100)&lt;-50,"NM",(FT503/FR503-1)*100)))</f>
        <v>5.5035128805620559</v>
      </c>
      <c r="FV503" s="205">
        <f>+FV500-FV501</f>
        <v>193</v>
      </c>
      <c r="FW503" s="98" t="str">
        <f t="shared" si="3108"/>
        <v>NM</v>
      </c>
      <c r="FX503" s="503">
        <f>+FX500-FX501</f>
        <v>341</v>
      </c>
      <c r="FY503" s="98">
        <f t="shared" si="3109"/>
        <v>76.683937823834199</v>
      </c>
      <c r="FZ503" s="205">
        <f>+FZ500-FZ501</f>
        <v>803</v>
      </c>
      <c r="GA503" s="98" t="str">
        <f t="shared" si="3110"/>
        <v>NM</v>
      </c>
      <c r="GB503" s="503">
        <f>+GB500-GB501</f>
        <v>689</v>
      </c>
      <c r="GC503" s="98">
        <f t="shared" si="3111"/>
        <v>-14.196762141967623</v>
      </c>
      <c r="GD503" s="205">
        <f>+GD500-GD501</f>
        <v>1258</v>
      </c>
      <c r="GE503" s="98">
        <f t="shared" si="3112"/>
        <v>82.583454281567484</v>
      </c>
      <c r="GF503" s="205">
        <f>+GF500-GF501</f>
        <v>1535</v>
      </c>
      <c r="GG503" s="98">
        <f t="shared" si="3113"/>
        <v>22.019077901430851</v>
      </c>
      <c r="GH503" s="205">
        <f>+GH500-GH501</f>
        <v>1597</v>
      </c>
      <c r="GI503" s="98">
        <f t="shared" si="3114"/>
        <v>4.0390879478827468</v>
      </c>
      <c r="GJ503" s="205">
        <f>+GJ500-GJ501</f>
        <v>1242</v>
      </c>
      <c r="GK503" s="98">
        <f t="shared" si="3115"/>
        <v>-22.229179711959922</v>
      </c>
      <c r="GL503" s="205">
        <f>+GL500-GL501</f>
        <v>701</v>
      </c>
      <c r="GM503" s="98">
        <f t="shared" si="3116"/>
        <v>-43.558776167471827</v>
      </c>
      <c r="GN503" s="205">
        <f>+GN500-GN501</f>
        <v>1182</v>
      </c>
      <c r="GO503" s="98">
        <f t="shared" si="3116"/>
        <v>68.616262482168324</v>
      </c>
      <c r="GP503" s="205">
        <f>+GP500-GP501</f>
        <v>982.28539818070885</v>
      </c>
      <c r="GQ503" s="98">
        <f t="shared" si="3116"/>
        <v>-16.896328411107543</v>
      </c>
      <c r="GR503" s="204">
        <f>+GR500-GR501</f>
        <v>891.9831797757048</v>
      </c>
      <c r="GS503" s="98">
        <f t="shared" si="3116"/>
        <v>-9.1930734766344724</v>
      </c>
      <c r="GT503" s="204">
        <f>+GT500-GT501</f>
        <v>803.76256455266844</v>
      </c>
      <c r="GU503" s="98">
        <f t="shared" si="3116"/>
        <v>-9.8903900009885923</v>
      </c>
      <c r="GV503" s="204">
        <f>+GV500-GV501</f>
        <v>722.75003292063093</v>
      </c>
      <c r="GW503" s="98">
        <f t="shared" si="3116"/>
        <v>-10.079162081543913</v>
      </c>
      <c r="GX503" s="204">
        <f>+GX500-GX501</f>
        <v>637.06022112696644</v>
      </c>
      <c r="GY503" s="98">
        <f t="shared" si="3117"/>
        <v>-11.856078573582652</v>
      </c>
      <c r="GZ503" s="98">
        <f t="shared" si="3118"/>
        <v>-11.628423569603664</v>
      </c>
      <c r="HA503" s="98"/>
      <c r="HB503" s="10"/>
      <c r="HC503"/>
      <c r="HD503"/>
      <c r="HE503"/>
      <c r="HF503"/>
      <c r="HG503"/>
      <c r="HH503"/>
      <c r="HI503" s="10"/>
    </row>
    <row r="504" spans="1:217" s="10" customFormat="1" ht="12.75" customHeight="1" x14ac:dyDescent="0.2">
      <c r="B504" s="102" t="s">
        <v>514</v>
      </c>
      <c r="C504" s="231"/>
      <c r="D504" s="98"/>
      <c r="E504" s="231"/>
      <c r="F504" s="98"/>
      <c r="G504" s="231"/>
      <c r="H504" s="98"/>
      <c r="I504" s="231"/>
      <c r="J504" s="98"/>
      <c r="K504" s="231"/>
      <c r="L504" s="98"/>
      <c r="M504" s="231"/>
      <c r="N504" s="98"/>
      <c r="O504" s="231"/>
      <c r="P504" s="98"/>
      <c r="Q504" s="231"/>
      <c r="R504" s="98"/>
      <c r="S504" s="231"/>
      <c r="T504" s="98"/>
      <c r="U504" s="231"/>
      <c r="V504" s="98"/>
      <c r="W504" s="231"/>
      <c r="X504" s="98"/>
      <c r="Y504" s="231"/>
      <c r="Z504" s="98"/>
      <c r="AA504" s="231"/>
      <c r="AB504" s="98"/>
      <c r="AC504" s="231"/>
      <c r="AD504" s="98"/>
      <c r="AE504" s="231"/>
      <c r="AF504" s="98"/>
      <c r="AG504" s="231"/>
      <c r="AH504" s="98"/>
      <c r="AI504" s="231"/>
      <c r="AJ504" s="98"/>
      <c r="AK504" s="231"/>
      <c r="AL504" s="98"/>
      <c r="AM504" s="112">
        <v>8</v>
      </c>
      <c r="AN504" s="98" t="str">
        <f t="shared" ref="AN504:AN506" si="3130">IF(ISERROR((AM504/AE504-1)*100),"NA",IF(((AM504/AE504-1)*100)&gt;100,"NM",IF(((AM504/AE504-1)*100)&lt;-50,"NM",(AM504/AE504-1)*100)))</f>
        <v>NA</v>
      </c>
      <c r="AO504" s="112">
        <v>0</v>
      </c>
      <c r="AP504" s="98" t="str">
        <f t="shared" ref="AP504:AP506" si="3131">IF(ISERROR((AO504/AG504-1)*100),"NA",IF(((AO504/AG504-1)*100)&gt;100,"NM",IF(((AO504/AG504-1)*100)&lt;-50,"NM",(AO504/AG504-1)*100)))</f>
        <v>NA</v>
      </c>
      <c r="AQ504" s="112">
        <v>32</v>
      </c>
      <c r="AR504" s="98" t="str">
        <f t="shared" ref="AR504:AR506" si="3132">IF(ISERROR((AQ504/AI504-1)*100),"NA",IF(((AQ504/AI504-1)*100)&gt;100,"NM",IF(((AQ504/AI504-1)*100)&lt;-50,"NM",(AQ504/AI504-1)*100)))</f>
        <v>NA</v>
      </c>
      <c r="AS504" s="112">
        <v>62</v>
      </c>
      <c r="AT504" s="98" t="str">
        <f t="shared" ref="AT504:AT506" si="3133">IF(ISERROR((AS504/AK504-1)*100),"NA",IF(((AS504/AK504-1)*100)&gt;100,"NM",IF(((AS504/AK504-1)*100)&lt;-50,"NM",(AS504/AK504-1)*100)))</f>
        <v>NA</v>
      </c>
      <c r="AU504" s="221">
        <v>-2</v>
      </c>
      <c r="AV504" s="98" t="str">
        <f t="shared" ref="AV504:AV506" si="3134">IF(ISERROR((AU504/AM504-1)*100),"NA",IF(((AU504/AM504-1)*100)&gt;100,"NM",IF(((AU504/AM504-1)*100)&lt;-50,"NM",(AU504/AM504-1)*100)))</f>
        <v>NM</v>
      </c>
      <c r="AW504" s="221">
        <v>18.5</v>
      </c>
      <c r="AX504" s="98" t="str">
        <f t="shared" ref="AX504:AX506" si="3135">IF(ISERROR((AW504/AO504-1)*100),"NA",IF(((AW504/AO504-1)*100)&gt;100,"NM",IF(((AW504/AO504-1)*100)&lt;-50,"NM",(AW504/AO504-1)*100)))</f>
        <v>NA</v>
      </c>
      <c r="AY504" s="122">
        <f>10-3</f>
        <v>7</v>
      </c>
      <c r="AZ504" s="98" t="str">
        <f t="shared" ref="AZ504:AZ506" si="3136">IF(ISERROR((AY504/AQ504-1)*100),"NA",IF(((AY504/AQ504-1)*100)&gt;100,"NM",IF(((AY504/AQ504-1)*100)&lt;-50,"NM",(AY504/AQ504-1)*100)))</f>
        <v>NM</v>
      </c>
      <c r="BA504" s="122">
        <v>8</v>
      </c>
      <c r="BB504" s="98" t="str">
        <f t="shared" ref="BB504:BB506" si="3137">IF(ISERROR((BA504/AS504-1)*100),"NA",IF(((BA504/AS504-1)*100)&gt;100,"NM",IF(((BA504/AS504-1)*100)&lt;-50,"NM",(BA504/AS504-1)*100)))</f>
        <v>NM</v>
      </c>
      <c r="BC504" s="122">
        <f>-2-2</f>
        <v>-4</v>
      </c>
      <c r="BD504" s="98">
        <f t="shared" ref="BD504:BD506" si="3138">IF(ISERROR((BC504/AU504-1)*100),"NA",IF(((BC504/AU504-1)*100)&gt;100,"NM",IF(((BC504/AU504-1)*100)&lt;-50,"NM",(BC504/AU504-1)*100)))</f>
        <v>100</v>
      </c>
      <c r="BE504" s="122">
        <f>22+13</f>
        <v>35</v>
      </c>
      <c r="BF504" s="98">
        <f t="shared" ref="BF504:BF506" si="3139">IF(ISERROR((BE504/AW504-1)*100),"NA",IF(((BE504/AW504-1)*100)&gt;100,"NM",IF(((BE504/AW504-1)*100)&lt;-50,"NM",(BE504/AW504-1)*100)))</f>
        <v>89.189189189189193</v>
      </c>
      <c r="BG504" s="122">
        <f>11-11-2</f>
        <v>-2</v>
      </c>
      <c r="BH504" s="98" t="str">
        <f t="shared" ref="BH504:BH506" si="3140">IF(ISERROR((BG504/AY504-1)*100),"NA",IF(((BG504/AY504-1)*100)&gt;100,"NM",IF(((BG504/AY504-1)*100)&lt;-50,"NM",(BG504/AY504-1)*100)))</f>
        <v>NM</v>
      </c>
      <c r="BI504" s="122">
        <v>31</v>
      </c>
      <c r="BJ504" s="98" t="str">
        <f t="shared" ref="BJ504:BJ506" si="3141">IF(ISERROR((BI504/BA504-1)*100),"NA",IF(((BI504/BA504-1)*100)&gt;100,"NM",IF(((BI504/BA504-1)*100)&lt;-50,"NM",(BI504/BA504-1)*100)))</f>
        <v>NM</v>
      </c>
      <c r="BK504" s="122">
        <f>7.4-3+11</f>
        <v>15.4</v>
      </c>
      <c r="BL504" s="98" t="str">
        <f t="shared" ref="BL504:BL506" si="3142">IF(ISERROR((BK504/BC504-1)*100),"NA",IF(((BK504/BC504-1)*100)&gt;100,"NM",IF(((BK504/BC504-1)*100)&lt;-50,"NM",(BK504/BC504-1)*100)))</f>
        <v>NM</v>
      </c>
      <c r="BM504" s="122">
        <f>29-41-6</f>
        <v>-18</v>
      </c>
      <c r="BN504" s="98" t="str">
        <f t="shared" ref="BN504:BN506" si="3143">IF(ISERROR((BM504/BE504-1)*100),"NA",IF(((BM504/BE504-1)*100)&gt;100,"NM",IF(((BM504/BE504-1)*100)&lt;-50,"NM",(BM504/BE504-1)*100)))</f>
        <v>NM</v>
      </c>
      <c r="BO504" s="122">
        <v>7</v>
      </c>
      <c r="BP504" s="98" t="str">
        <f t="shared" ref="BP504:BP506" si="3144">IF(ISERROR((BO504/BG504-1)*100),"NA",IF(((BO504/BG504-1)*100)&gt;100,"NM",IF(((BO504/BG504-1)*100)&lt;-50,"NM",(BO504/BG504-1)*100)))</f>
        <v>NM</v>
      </c>
      <c r="BQ504" s="122">
        <v>-25</v>
      </c>
      <c r="BR504" s="98" t="str">
        <f t="shared" ref="BR504:BR506" si="3145">IF(ISERROR((BQ504/BI504-1)*100),"NA",IF(((BQ504/BI504-1)*100)&gt;100,"NM",IF(((BQ504/BI504-1)*100)&lt;-50,"NM",(BQ504/BI504-1)*100)))</f>
        <v>NM</v>
      </c>
      <c r="BS504" s="122">
        <v>-19</v>
      </c>
      <c r="BT504" s="98" t="str">
        <f t="shared" ref="BT504:BT506" si="3146">IF(ISERROR((BS504/BK504-1)*100),"NA",IF(((BS504/BK504-1)*100)&gt;100,"NM",IF(((BS504/BK504-1)*100)&lt;-50,"NM",(BS504/BK504-1)*100)))</f>
        <v>NM</v>
      </c>
      <c r="BU504" s="122">
        <v>-320</v>
      </c>
      <c r="BV504" s="98" t="str">
        <f t="shared" ref="BV504:BV506" si="3147">IF(ISERROR((BU504/BM504-1)*100),"NA",IF(((BU504/BM504-1)*100)&gt;100,"NM",IF(((BU504/BM504-1)*100)&lt;-50,"NM",(BU504/BM504-1)*100)))</f>
        <v>NM</v>
      </c>
      <c r="BW504" s="122">
        <v>-204</v>
      </c>
      <c r="BX504" s="98" t="str">
        <f t="shared" ref="BX504:BX506" si="3148">IF(ISERROR((BW504/BO504-1)*100),"NA",IF(((BW504/BO504-1)*100)&gt;100,"NM",IF(((BW504/BO504-1)*100)&lt;-50,"NM",(BW504/BO504-1)*100)))</f>
        <v>NM</v>
      </c>
      <c r="BY504" s="122">
        <v>65</v>
      </c>
      <c r="BZ504" s="98" t="str">
        <f t="shared" ref="BZ504:BZ506" si="3149">IF(ISERROR((BY504/BQ504-1)*100),"NA",IF(((BY504/BQ504-1)*100)&gt;100,"NM",IF(((BY504/BQ504-1)*100)&lt;-50,"NM",(BY504/BQ504-1)*100)))</f>
        <v>NM</v>
      </c>
      <c r="CA504" s="122">
        <f>7+13+22-68</f>
        <v>-26</v>
      </c>
      <c r="CB504" s="98">
        <f t="shared" ref="CB504:CB506" si="3150">IF(ISERROR((CA504/BS504-1)*100),"NA",IF(((CA504/BS504-1)*100)&gt;100,"NM",IF(((CA504/BS504-1)*100)&lt;-50,"NM",(CA504/BS504-1)*100)))</f>
        <v>36.842105263157897</v>
      </c>
      <c r="CC504" s="122">
        <f>6+67</f>
        <v>73</v>
      </c>
      <c r="CD504" s="98" t="str">
        <f t="shared" ref="CD504:CD506" si="3151">IF(ISERROR((CC504/BU504-1)*100),"NA",IF(((CC504/BU504-1)*100)&gt;100,"NM",IF(((CC504/BU504-1)*100)&lt;-50,"NM",(CC504/BU504-1)*100)))</f>
        <v>NM</v>
      </c>
      <c r="CE504" s="122">
        <v>8</v>
      </c>
      <c r="CF504" s="98" t="str">
        <f t="shared" ref="CF504:CF506" si="3152">IF(ISERROR((CE504/BW504-1)*100),"NA",IF(((CE504/BW504-1)*100)&gt;100,"NM",IF(((CE504/BW504-1)*100)&lt;-50,"NM",(CE504/BW504-1)*100)))</f>
        <v>NM</v>
      </c>
      <c r="CG504" s="122">
        <v>2</v>
      </c>
      <c r="CH504" s="98" t="str">
        <f t="shared" ref="CH504:CH506" si="3153">IF(ISERROR((CG504/BY504-1)*100),"NA",IF(((CG504/BY504-1)*100)&gt;100,"NM",IF(((CG504/BY504-1)*100)&lt;-50,"NM",(CG504/BY504-1)*100)))</f>
        <v>NM</v>
      </c>
      <c r="CI504" s="122">
        <v>5</v>
      </c>
      <c r="CJ504" s="98" t="str">
        <f t="shared" ref="CJ504:CJ506" si="3154">IF(ISERROR((CI504/CA504-1)*100),"NA",IF(((CI504/CA504-1)*100)&gt;100,"NM",IF(((CI504/CA504-1)*100)&lt;-50,"NM",(CI504/CA504-1)*100)))</f>
        <v>NM</v>
      </c>
      <c r="CK504" s="122">
        <v>0</v>
      </c>
      <c r="CL504" s="98" t="str">
        <f t="shared" ref="CL504:CL506" si="3155">IF(ISERROR((CK504/CC504-1)*100),"NA",IF(((CK504/CC504-1)*100)&gt;100,"NM",IF(((CK504/CC504-1)*100)&lt;-50,"NM",(CK504/CC504-1)*100)))</f>
        <v>NM</v>
      </c>
      <c r="CM504" s="122">
        <v>1</v>
      </c>
      <c r="CN504" s="98" t="str">
        <f t="shared" ref="CN504:CN506" si="3156">IF(ISERROR((CM504/CE504-1)*100),"NA",IF(((CM504/CE504-1)*100)&gt;100,"NM",IF(((CM504/CE504-1)*100)&lt;-50,"NM",(CM504/CE504-1)*100)))</f>
        <v>NM</v>
      </c>
      <c r="CO504" s="122">
        <v>2</v>
      </c>
      <c r="CP504" s="98">
        <f t="shared" ref="CP504:CP506" si="3157">IF(ISERROR((CO504/CG504-1)*100),"NA",IF(((CO504/CG504-1)*100)&gt;100,"NM",IF(((CO504/CG504-1)*100)&lt;-50,"NM",(CO504/CG504-1)*100)))</f>
        <v>0</v>
      </c>
      <c r="CQ504" s="547">
        <f>2-90</f>
        <v>-88</v>
      </c>
      <c r="CR504" s="98" t="str">
        <f t="shared" ref="CR504:CR506" si="3158">IF(ISERROR((CQ504/CI504-1)*100),"NA",IF(((CQ504/CI504-1)*100)&gt;100,"NM",IF(((CQ504/CI504-1)*100)&lt;-50,"NM",(CQ504/CI504-1)*100)))</f>
        <v>NM</v>
      </c>
      <c r="CS504" s="122">
        <f>-38+25</f>
        <v>-13</v>
      </c>
      <c r="CT504" s="98" t="str">
        <f t="shared" ref="CT504:CT506" si="3159">IF(ISERROR((CS504/CK504-1)*100),"NA",IF(((CS504/CK504-1)*100)&gt;100,"NM",IF(((CS504/CK504-1)*100)&lt;-50,"NM",(CS504/CK504-1)*100)))</f>
        <v>NA</v>
      </c>
      <c r="CU504" s="122">
        <v>0</v>
      </c>
      <c r="CV504" s="98" t="str">
        <f t="shared" ref="CV504:CV506" si="3160">IF(ISERROR((CU504/CM504-1)*100),"NA",IF(((CU504/CM504-1)*100)&gt;100,"NM",IF(((CU504/CM504-1)*100)&lt;-50,"NM",(CU504/CM504-1)*100)))</f>
        <v>NM</v>
      </c>
      <c r="CW504" s="122">
        <v>0</v>
      </c>
      <c r="CX504" s="98" t="str">
        <f t="shared" ref="CX504:CX506" si="3161">IF(ISERROR((CW504/CO504-1)*100),"NA",IF(((CW504/CO504-1)*100)&gt;100,"NM",IF(((CW504/CO504-1)*100)&lt;-50,"NM",(CW504/CO504-1)*100)))</f>
        <v>NM</v>
      </c>
      <c r="CY504" s="122">
        <v>0</v>
      </c>
      <c r="CZ504" s="98" t="str">
        <f t="shared" ref="CZ504:CZ506" si="3162">IF(ISERROR((CY504/CQ504-1)*100),"NA",IF(((CY504/CQ504-1)*100)&gt;100,"NM",IF(((CY504/CQ504-1)*100)&lt;-50,"NM",(CY504/CQ504-1)*100)))</f>
        <v>NM</v>
      </c>
      <c r="DA504" s="122">
        <f>9+133</f>
        <v>142</v>
      </c>
      <c r="DB504" s="98" t="str">
        <f t="shared" ref="DB504:DB506" si="3163">IF(ISERROR((DA504/CS504-1)*100),"NA",IF(((DA504/CS504-1)*100)&gt;100,"NM",IF(((DA504/CS504-1)*100)&lt;-50,"NM",(DA504/CS504-1)*100)))</f>
        <v>NM</v>
      </c>
      <c r="DC504" s="122">
        <f>29+3</f>
        <v>32</v>
      </c>
      <c r="DD504" s="98" t="str">
        <f t="shared" ref="DD504:DD506" si="3164">IF(ISERROR((DC504/CU504-1)*100),"NA",IF(((DC504/CU504-1)*100)&gt;100,"NM",IF(((DC504/CU504-1)*100)&lt;-50,"NM",(DC504/CU504-1)*100)))</f>
        <v>NA</v>
      </c>
      <c r="DE504" s="122">
        <v>3</v>
      </c>
      <c r="DF504" s="98" t="str">
        <f t="shared" ref="DF504:DF506" si="3165">IF(ISERROR((DE504/CW504-1)*100),"NA",IF(((DE504/CW504-1)*100)&gt;100,"NM",IF(((DE504/CW504-1)*100)&lt;-50,"NM",(DE504/CW504-1)*100)))</f>
        <v>NA</v>
      </c>
      <c r="DG504" s="122">
        <v>41</v>
      </c>
      <c r="DH504" s="98" t="str">
        <f t="shared" ref="DH504:DH506" si="3166">IF(ISERROR((DG504/CY504-1)*100),"NA",IF(((DG504/CY504-1)*100)&gt;100,"NM",IF(((DG504/CY504-1)*100)&lt;-50,"NM",(DG504/CY504-1)*100)))</f>
        <v>NA</v>
      </c>
      <c r="DI504" s="122">
        <v>13</v>
      </c>
      <c r="DJ504" s="98" t="str">
        <f t="shared" ref="DJ504:DJ506" si="3167">IF(ISERROR((DI504/DA504-1)*100),"NA",IF(((DI504/DA504-1)*100)&gt;100,"NM",IF(((DI504/DA504-1)*100)&lt;-50,"NM",(DI504/DA504-1)*100)))</f>
        <v>NM</v>
      </c>
      <c r="DK504" s="122">
        <v>11</v>
      </c>
      <c r="DL504" s="98" t="str">
        <f t="shared" ref="DL504:DL506" si="3168">IF(ISERROR((DK504/DC504-1)*100),"NA",IF(((DK504/DC504-1)*100)&gt;100,"NM",IF(((DK504/DC504-1)*100)&lt;-50,"NM",(DK504/DC504-1)*100)))</f>
        <v>NM</v>
      </c>
      <c r="DM504" s="122">
        <v>3</v>
      </c>
      <c r="DN504" s="98">
        <f t="shared" ref="DN504:DN506" si="3169">IF(ISERROR((DM504/DE504-1)*100),"NA",IF(((DM504/DE504-1)*100)&gt;100,"NM",IF(((DM504/DE504-1)*100)&lt;-50,"NM",(DM504/DE504-1)*100)))</f>
        <v>0</v>
      </c>
      <c r="DO504" s="122">
        <f>-18+8+33</f>
        <v>23</v>
      </c>
      <c r="DP504" s="98">
        <f t="shared" ref="DP504:DP506" si="3170">IF(ISERROR((DO504/DG504-1)*100),"NA",IF(((DO504/DG504-1)*100)&gt;100,"NM",IF(((DO504/DG504-1)*100)&lt;-50,"NM",(DO504/DG504-1)*100)))</f>
        <v>-43.90243902439024</v>
      </c>
      <c r="DQ504" s="122">
        <v>0</v>
      </c>
      <c r="DR504" s="98" t="str">
        <f t="shared" ref="DR504:DR506" si="3171">IF(ISERROR((DQ504/DI504-1)*100),"NA",IF(((DQ504/DI504-1)*100)&gt;100,"NM",IF(((DQ504/DI504-1)*100)&lt;-50,"NM",(DQ504/DI504-1)*100)))</f>
        <v>NM</v>
      </c>
      <c r="DS504" s="1003">
        <v>0</v>
      </c>
      <c r="DT504" s="860" t="str">
        <f t="shared" ref="DT504:DT506" si="3172">IF(ISERROR((DS504/DK504-1)*100),"NA",IF(((DS504/DK504-1)*100)&gt;100,"NM",IF(((DS504/DK504-1)*100)&lt;-50,"NM",(DS504/DK504-1)*100)))</f>
        <v>NM</v>
      </c>
      <c r="DU504" s="1003">
        <v>0</v>
      </c>
      <c r="DV504" s="860" t="str">
        <f t="shared" ref="DV504:DV506" si="3173">IF(ISERROR((DU504/DM504-1)*100),"NA",IF(((DU504/DM504-1)*100)&gt;100,"NM",IF(((DU504/DM504-1)*100)&lt;-50,"NM",(DU504/DM504-1)*100)))</f>
        <v>NM</v>
      </c>
      <c r="DW504" s="1003">
        <f>-5-50+3</f>
        <v>-52</v>
      </c>
      <c r="DX504" s="860" t="str">
        <f t="shared" ref="DX504:DX506" si="3174">IF(ISERROR((DW504/DO504-1)*100),"NA",IF(((DW504/DO504-1)*100)&gt;100,"NM",IF(((DW504/DO504-1)*100)&lt;-50,"NM",(DW504/DO504-1)*100)))</f>
        <v>NM</v>
      </c>
      <c r="DY504" s="1003">
        <v>-33</v>
      </c>
      <c r="DZ504" s="860" t="str">
        <f t="shared" ref="DZ504:DZ506" si="3175">IF(ISERROR((DY504/DQ504-1)*100),"NA",IF(((DY504/DQ504-1)*100)&gt;100,"NM",IF(((DY504/DQ504-1)*100)&lt;-50,"NM",(DY504/DQ504-1)*100)))</f>
        <v>NA</v>
      </c>
      <c r="EA504" s="1003">
        <v>-8</v>
      </c>
      <c r="EB504" s="860" t="str">
        <f t="shared" ref="EB504:EB506" si="3176">IF(ISERROR((EA504/DS504-1)*100),"NA",IF(((EA504/DS504-1)*100)&gt;100,"NM",IF(((EA504/DS504-1)*100)&lt;-50,"NM",(EA504/DS504-1)*100)))</f>
        <v>NA</v>
      </c>
      <c r="EC504" s="1003">
        <f>11-315</f>
        <v>-304</v>
      </c>
      <c r="ED504" s="98" t="str">
        <f t="shared" ref="ED504:ED506" si="3177">IF(ISERROR((EC504/DU504-1)*100),"NA",IF(((EC504/DU504-1)*100)&gt;100,"NM",IF(((EC504/DU504-1)*100)&lt;-50,"NM",(EC504/DU504-1)*100)))</f>
        <v>NA</v>
      </c>
      <c r="EE504" s="1003">
        <f>22-51.5</f>
        <v>-29.5</v>
      </c>
      <c r="EF504" s="860">
        <f t="shared" ref="EF504:EF506" si="3178">IF(ISERROR((EE504/DW504-1)*100),"NA",IF(((EE504/DW504-1)*100)&gt;100,"NM",IF(((EE504/DW504-1)*100)&lt;-50,"NM",(EE504/DW504-1)*100)))</f>
        <v>-43.269230769230774</v>
      </c>
      <c r="EG504" s="1003">
        <v>-91</v>
      </c>
      <c r="EH504" s="860" t="str">
        <f t="shared" ref="EH504:EH506" si="3179">IF(ISERROR((EG504/DY504-1)*100),"NA",IF(((EG504/DY504-1)*100)&gt;100,"NM",IF(((EG504/DY504-1)*100)&lt;-50,"NM",(EG504/DY504-1)*100)))</f>
        <v>NM</v>
      </c>
      <c r="EI504" s="1003">
        <v>77</v>
      </c>
      <c r="EJ504" s="860" t="str">
        <f t="shared" ref="EJ504:EJ506" si="3180">IF(ISERROR((EI504/EA504-1)*100),"NA",IF(((EI504/EA504-1)*100)&gt;100,"NM",IF(((EI504/EA504-1)*100)&lt;-50,"NM",(EI504/EA504-1)*100)))</f>
        <v>NM</v>
      </c>
      <c r="EK504" s="1003">
        <v>-40</v>
      </c>
      <c r="EL504" s="860" t="str">
        <f t="shared" ref="EL504:EL506" si="3181">IF(ISERROR((EK504/EC504-1)*100),"NA",IF(((EK504/EC504-1)*100)&gt;100,"NM",IF(((EK504/EC504-1)*100)&lt;-50,"NM",(EK504/EC504-1)*100)))</f>
        <v>NM</v>
      </c>
      <c r="EM504" s="1003">
        <v>150</v>
      </c>
      <c r="EN504" s="860" t="str">
        <f t="shared" ref="EN504:EN506" si="3182">IF(ISERROR((EM504/EE504-1)*100),"NA",IF(((EM504/EE504-1)*100)&gt;100,"NM",IF(((EM504/EE504-1)*100)&lt;-50,"NM",(EM504/EE504-1)*100)))</f>
        <v>NM</v>
      </c>
      <c r="EO504" s="1003">
        <v>-48</v>
      </c>
      <c r="EP504" s="98">
        <f t="shared" ref="EP504:EP506" si="3183">IF(ISERROR((EO504/EG504-1)*100),"NA",IF(((EO504/EG504-1)*100)&gt;100,"NM",IF(((EO504/EG504-1)*100)&lt;-50,"NM",(EO504/EG504-1)*100)))</f>
        <v>-47.252747252747248</v>
      </c>
      <c r="EQ504" s="1030">
        <v>0</v>
      </c>
      <c r="ER504" s="98" t="str">
        <f t="shared" si="3099"/>
        <v>NM</v>
      </c>
      <c r="ES504" s="1030">
        <v>0</v>
      </c>
      <c r="ET504" s="98" t="str">
        <f t="shared" si="3101"/>
        <v>NM</v>
      </c>
      <c r="EU504" s="1030">
        <v>0</v>
      </c>
      <c r="EV504" s="98" t="str">
        <f t="shared" si="3103"/>
        <v>NM</v>
      </c>
      <c r="EW504" s="1030">
        <v>0</v>
      </c>
      <c r="EX504" s="98" t="str">
        <f t="shared" si="3105"/>
        <v>NM</v>
      </c>
      <c r="EY504" s="112"/>
      <c r="EZ504" s="594"/>
      <c r="FA504" s="405"/>
      <c r="FB504" s="150"/>
      <c r="FC504" s="98"/>
      <c r="FD504" s="118"/>
      <c r="FE504" s="98"/>
      <c r="FF504" s="118"/>
      <c r="FG504" s="98"/>
      <c r="FH504" s="118"/>
      <c r="FI504" s="98"/>
      <c r="FJ504" s="118"/>
      <c r="FK504" s="98"/>
      <c r="FL504" s="118"/>
      <c r="FM504" s="98"/>
      <c r="FN504" s="118"/>
      <c r="FO504" s="98"/>
      <c r="FP504" s="118">
        <f>AQ504+AS504+AU504+AW504</f>
        <v>110.5</v>
      </c>
      <c r="FQ504" s="98" t="str">
        <f t="shared" ref="FQ504:FQ505" si="3184">IF(ISERROR((FP504/FN504-1)*100),"NA",IF(((FP504/FN504-1)*100)&gt;100,"NM",IF(((FP504/FN504-1)*100)&lt;-50,"NM",(FP504/FN504-1)*100)))</f>
        <v>NA</v>
      </c>
      <c r="FR504" s="160">
        <f>AY504+BA504+BC504+BE504</f>
        <v>46</v>
      </c>
      <c r="FS504" s="120" t="str">
        <f t="shared" ref="FS504:FS505" si="3185">IF(ISERROR((FR504/FP504-1)*100),"NA",IF(((FR504/FP504-1)*100)&gt;100,"NM",IF(((FR504/FP504-1)*100)&lt;-50,"NM",(FR504/FP504-1)*100)))</f>
        <v>NM</v>
      </c>
      <c r="FT504" s="160">
        <f>BG504+BI504+BK504+BM504</f>
        <v>26.4</v>
      </c>
      <c r="FU504" s="120"/>
      <c r="FV504" s="123">
        <f>BO504+BQ504+BS504+BU504</f>
        <v>-357</v>
      </c>
      <c r="FW504" s="98" t="str">
        <f t="shared" ref="FW504:FW505" si="3186">IF(ISERROR((FV504/FT504-1)*100),"NA",IF(((FV504/FT504-1)*100)&gt;100,"NM",IF(((FV504/FT504-1)*100)&lt;-50,"NM",(FV504/FT504-1)*100)))</f>
        <v>NM</v>
      </c>
      <c r="FX504" s="504">
        <f>+BW504+BY504+CA504+CC504</f>
        <v>-92</v>
      </c>
      <c r="FY504" s="98" t="str">
        <f t="shared" ref="FY504:FY505" si="3187">IF(ISERROR((FX504/FV504-1)*100),"NA",IF(((FX504/FV504-1)*100)&gt;100,"NM",IF(((FX504/FV504-1)*100)&lt;-50,"NM",(FX504/FV504-1)*100)))</f>
        <v>NM</v>
      </c>
      <c r="FZ504" s="123">
        <f>+CE504+CG504++CI504+CK504</f>
        <v>15</v>
      </c>
      <c r="GA504" s="98" t="str">
        <f t="shared" ref="GA504:GA505" si="3188">IF(ISERROR((FZ504/FX504-1)*100),"NA",IF(((FZ504/FX504-1)*100)&gt;100,"NM",IF(((FZ504/FX504-1)*100)&lt;-50,"NM",(FZ504/FX504-1)*100)))</f>
        <v>NM</v>
      </c>
      <c r="GB504" s="504">
        <f>+CM504+CO504+CQ504+CS504</f>
        <v>-98</v>
      </c>
      <c r="GC504" s="98" t="str">
        <f t="shared" ref="GC504:GC505" si="3189">IF(ISERROR((GB504/FZ504-1)*100),"NA",IF(((GB504/FZ504-1)*100)&gt;100,"NM",IF(((GB504/FZ504-1)*100)&lt;-50,"NM",(GB504/FZ504-1)*100)))</f>
        <v>NM</v>
      </c>
      <c r="GD504" s="160">
        <f>CU504+CW504+CY504+DA504</f>
        <v>142</v>
      </c>
      <c r="GE504" s="98" t="str">
        <f t="shared" ref="GE504:GE505" si="3190">IF(ISERROR((GD504/GB504-1)*100),"NA",IF(((GD504/GB504-1)*100)&gt;100,"NM",IF(((GD504/GB504-1)*100)&lt;-50,"NM",(GD504/GB504-1)*100)))</f>
        <v>NM</v>
      </c>
      <c r="GF504" s="160">
        <f>DC504+DE504+DG504+DI504</f>
        <v>89</v>
      </c>
      <c r="GG504" s="98">
        <f t="shared" ref="GG504:GG505" si="3191">IF(ISERROR((GF504/GD504-1)*100),"NA",IF(((GF504/GD504-1)*100)&gt;100,"NM",IF(((GF504/GD504-1)*100)&lt;-50,"NM",(GF504/GD504-1)*100)))</f>
        <v>-37.323943661971825</v>
      </c>
      <c r="GH504" s="160">
        <f>DK504+DM504+DO504+DQ504</f>
        <v>37</v>
      </c>
      <c r="GI504" s="98" t="str">
        <f t="shared" ref="GI504:GI505" si="3192">IF(ISERROR((GH504/GF504-1)*100),"NA",IF(((GH504/GF504-1)*100)&gt;100,"NM",IF(((GH504/GF504-1)*100)&lt;-50,"NM",(GH504/GF504-1)*100)))</f>
        <v>NM</v>
      </c>
      <c r="GJ504" s="160">
        <f>DS504+DU504+DW504+DY504</f>
        <v>-85</v>
      </c>
      <c r="GK504" s="98" t="str">
        <f t="shared" ref="GK504:GK505" si="3193">IF(ISERROR((GJ504/GH504-1)*100),"NA",IF(((GJ504/GH504-1)*100)&gt;100,"NM",IF(((GJ504/GH504-1)*100)&lt;-50,"NM",(GJ504/GH504-1)*100)))</f>
        <v>NM</v>
      </c>
      <c r="GL504" s="160">
        <f>EA504+EC504+EE504+EG504</f>
        <v>-432.5</v>
      </c>
      <c r="GM504" s="98" t="str">
        <f t="shared" ref="GM504:GW505" si="3194">IF(ISERROR((GL504/GJ504-1)*100),"NA",IF(((GL504/GJ504-1)*100)&gt;100,"NM",IF(((GL504/GJ504-1)*100)&lt;-50,"NM",(GL504/GJ504-1)*100)))</f>
        <v>NM</v>
      </c>
      <c r="GN504" s="160">
        <f>EI504+EK504+EM504+EO504</f>
        <v>139</v>
      </c>
      <c r="GO504" s="98" t="str">
        <f t="shared" si="3194"/>
        <v>NM</v>
      </c>
      <c r="GP504" s="160">
        <f>EQ504+ES504+EU504+EW504</f>
        <v>0</v>
      </c>
      <c r="GQ504" s="98" t="str">
        <f t="shared" si="3194"/>
        <v>NM</v>
      </c>
      <c r="GR504" s="112">
        <v>0</v>
      </c>
      <c r="GS504" s="98" t="str">
        <f t="shared" si="3194"/>
        <v>NA</v>
      </c>
      <c r="GT504" s="112">
        <v>0</v>
      </c>
      <c r="GU504" s="98" t="str">
        <f t="shared" si="3194"/>
        <v>NA</v>
      </c>
      <c r="GV504" s="112">
        <v>0</v>
      </c>
      <c r="GW504" s="98" t="str">
        <f t="shared" si="3194"/>
        <v>NA</v>
      </c>
      <c r="GX504" s="112">
        <v>0</v>
      </c>
      <c r="GY504" s="98" t="str">
        <f t="shared" si="3117"/>
        <v>NA</v>
      </c>
      <c r="GZ504" s="98" t="str">
        <f t="shared" si="3118"/>
        <v>NM</v>
      </c>
      <c r="HA504" s="98"/>
      <c r="HC504"/>
      <c r="HD504"/>
      <c r="HE504"/>
      <c r="HF504"/>
      <c r="HG504"/>
      <c r="HH504"/>
    </row>
    <row r="505" spans="1:217" s="10" customFormat="1" ht="12.75" customHeight="1" x14ac:dyDescent="0.2">
      <c r="B505" s="208" t="s">
        <v>570</v>
      </c>
      <c r="C505" s="204">
        <f>C503-C504</f>
        <v>60</v>
      </c>
      <c r="D505" s="98"/>
      <c r="E505" s="204">
        <f>E503-E504</f>
        <v>69</v>
      </c>
      <c r="F505" s="98"/>
      <c r="G505" s="204">
        <f>G503-G504</f>
        <v>48</v>
      </c>
      <c r="H505" s="98"/>
      <c r="I505" s="204">
        <f>I503-I504</f>
        <v>25</v>
      </c>
      <c r="J505" s="98"/>
      <c r="K505" s="204">
        <f>K503-K504</f>
        <v>36</v>
      </c>
      <c r="L505" s="98">
        <f t="shared" ref="L505:L506" si="3195">IF(ISERROR((K505/C505-1)*100),"NA",IF(((K505/C505-1)*100)&gt;100,"NM",IF(((K505/C505-1)*100)&lt;-50,"NM",(K505/C505-1)*100)))</f>
        <v>-40</v>
      </c>
      <c r="M505" s="204">
        <f>M503-M504</f>
        <v>47</v>
      </c>
      <c r="N505" s="98">
        <f t="shared" ref="N505:N506" si="3196">IF(ISERROR((M505/E505-1)*100),"NA",IF(((M505/E505-1)*100)&gt;100,"NM",IF(((M505/E505-1)*100)&lt;-50,"NM",(M505/E505-1)*100)))</f>
        <v>-31.884057971014489</v>
      </c>
      <c r="O505" s="204">
        <f>O503-O504</f>
        <v>57</v>
      </c>
      <c r="P505" s="98">
        <f t="shared" ref="P505:P506" si="3197">IF(ISERROR((O505/G505-1)*100),"NA",IF(((O505/G505-1)*100)&gt;100,"NM",IF(((O505/G505-1)*100)&lt;-50,"NM",(O505/G505-1)*100)))</f>
        <v>18.75</v>
      </c>
      <c r="Q505" s="204">
        <f>Q503-Q504</f>
        <v>62.000000000000021</v>
      </c>
      <c r="R505" s="98" t="str">
        <f t="shared" ref="R505:R506" si="3198">IF(ISERROR((Q505/I505-1)*100),"NA",IF(((Q505/I505-1)*100)&gt;100,"NM",IF(((Q505/I505-1)*100)&lt;-50,"NM",(Q505/I505-1)*100)))</f>
        <v>NM</v>
      </c>
      <c r="S505" s="204">
        <f>S503-S504</f>
        <v>40</v>
      </c>
      <c r="T505" s="98">
        <f t="shared" ref="T505:T506" si="3199">IF(ISERROR((S505/K505-1)*100),"NA",IF(((S505/K505-1)*100)&gt;100,"NM",IF(((S505/K505-1)*100)&lt;-50,"NM",(S505/K505-1)*100)))</f>
        <v>11.111111111111116</v>
      </c>
      <c r="U505" s="204">
        <f>U503-U504</f>
        <v>50</v>
      </c>
      <c r="V505" s="98">
        <f t="shared" ref="V505:V506" si="3200">IF(ISERROR((U505/M505-1)*100),"NA",IF(((U505/M505-1)*100)&gt;100,"NM",IF(((U505/M505-1)*100)&lt;-50,"NM",(U505/M505-1)*100)))</f>
        <v>6.3829787234042534</v>
      </c>
      <c r="W505" s="204">
        <f>W503-W504</f>
        <v>44</v>
      </c>
      <c r="X505" s="98">
        <f t="shared" ref="X505:X506" si="3201">IF(ISERROR((W505/O505-1)*100),"NA",IF(((W505/O505-1)*100)&gt;100,"NM",IF(((W505/O505-1)*100)&lt;-50,"NM",(W505/O505-1)*100)))</f>
        <v>-22.807017543859654</v>
      </c>
      <c r="Y505" s="204">
        <f>Y503-Y504</f>
        <v>47</v>
      </c>
      <c r="Z505" s="98">
        <f t="shared" ref="Z505:Z506" si="3202">IF(ISERROR((Y505/Q505-1)*100),"NA",IF(((Y505/Q505-1)*100)&gt;100,"NM",IF(((Y505/Q505-1)*100)&lt;-50,"NM",(Y505/Q505-1)*100)))</f>
        <v>-24.193548387096797</v>
      </c>
      <c r="AA505" s="204">
        <f>AA503-AA504</f>
        <v>50</v>
      </c>
      <c r="AB505" s="98">
        <f t="shared" ref="AB505:AB506" si="3203">IF(ISERROR((AA505/S505-1)*100),"NA",IF(((AA505/S505-1)*100)&gt;100,"NM",IF(((AA505/S505-1)*100)&lt;-50,"NM",(AA505/S505-1)*100)))</f>
        <v>25</v>
      </c>
      <c r="AC505" s="204">
        <f>AC503-AC504</f>
        <v>56</v>
      </c>
      <c r="AD505" s="98">
        <f t="shared" ref="AD505:AD506" si="3204">IF(ISERROR((AC505/U505-1)*100),"NA",IF(((AC505/U505-1)*100)&gt;100,"NM",IF(((AC505/U505-1)*100)&lt;-50,"NM",(AC505/U505-1)*100)))</f>
        <v>12.000000000000011</v>
      </c>
      <c r="AE505" s="204">
        <f>AE503-AE504</f>
        <v>67</v>
      </c>
      <c r="AF505" s="98">
        <f t="shared" ref="AF505:AF506" si="3205">IF(ISERROR((AE505/W505-1)*100),"NA",IF(((AE505/W505-1)*100)&gt;100,"NM",IF(((AE505/W505-1)*100)&lt;-50,"NM",(AE505/W505-1)*100)))</f>
        <v>52.272727272727273</v>
      </c>
      <c r="AG505" s="204">
        <f>AG503-AG504</f>
        <v>85</v>
      </c>
      <c r="AH505" s="98">
        <f t="shared" ref="AH505:AH506" si="3206">IF(ISERROR((AG505/Y505-1)*100),"NA",IF(((AG505/Y505-1)*100)&gt;100,"NM",IF(((AG505/Y505-1)*100)&lt;-50,"NM",(AG505/Y505-1)*100)))</f>
        <v>80.851063829787236</v>
      </c>
      <c r="AI505" s="204">
        <f>AI503-AI504</f>
        <v>85</v>
      </c>
      <c r="AJ505" s="98">
        <f t="shared" ref="AJ505:AJ506" si="3207">IF(ISERROR((AI505/AA505-1)*100),"NA",IF(((AI505/AA505-1)*100)&gt;100,"NM",IF(((AI505/AA505-1)*100)&lt;-50,"NM",(AI505/AA505-1)*100)))</f>
        <v>70</v>
      </c>
      <c r="AK505" s="204">
        <f>AK503-AK504</f>
        <v>101</v>
      </c>
      <c r="AL505" s="98">
        <f t="shared" ref="AL505:AL506" si="3208">IF(ISERROR((AK505/AC505-1)*100),"NA",IF(((AK505/AC505-1)*100)&gt;100,"NM",IF(((AK505/AC505-1)*100)&lt;-50,"NM",(AK505/AC505-1)*100)))</f>
        <v>80.357142857142861</v>
      </c>
      <c r="AM505" s="204">
        <f>AM503-AM504</f>
        <v>90</v>
      </c>
      <c r="AN505" s="98">
        <f t="shared" si="3130"/>
        <v>34.328358208955237</v>
      </c>
      <c r="AO505" s="204">
        <f>AO503-AO504</f>
        <v>123</v>
      </c>
      <c r="AP505" s="98">
        <f t="shared" si="3131"/>
        <v>44.705882352941174</v>
      </c>
      <c r="AQ505" s="204">
        <f>AQ503-AQ504</f>
        <v>115</v>
      </c>
      <c r="AR505" s="98">
        <f t="shared" si="3132"/>
        <v>35.294117647058833</v>
      </c>
      <c r="AS505" s="204">
        <f>AS503-AS504</f>
        <v>113</v>
      </c>
      <c r="AT505" s="98">
        <f t="shared" si="3133"/>
        <v>11.881188118811892</v>
      </c>
      <c r="AU505" s="204">
        <f>AU503-AU504</f>
        <v>175</v>
      </c>
      <c r="AV505" s="98">
        <f t="shared" si="3134"/>
        <v>94.444444444444443</v>
      </c>
      <c r="AW505" s="204">
        <f>AW503-AW504</f>
        <v>190.5</v>
      </c>
      <c r="AX505" s="98">
        <f t="shared" si="3135"/>
        <v>54.878048780487809</v>
      </c>
      <c r="AY505" s="204">
        <f>AY503-AY504</f>
        <v>219</v>
      </c>
      <c r="AZ505" s="98">
        <f t="shared" si="3136"/>
        <v>90.434782608695656</v>
      </c>
      <c r="BA505" s="204">
        <f>BA503-BA504</f>
        <v>198</v>
      </c>
      <c r="BB505" s="98">
        <f t="shared" si="3137"/>
        <v>75.221238938053105</v>
      </c>
      <c r="BC505" s="204">
        <f>BC503-BC504</f>
        <v>196</v>
      </c>
      <c r="BD505" s="98">
        <f t="shared" si="3138"/>
        <v>12.000000000000011</v>
      </c>
      <c r="BE505" s="204">
        <f>BE503-BE504</f>
        <v>195</v>
      </c>
      <c r="BF505" s="98">
        <f t="shared" si="3139"/>
        <v>2.3622047244094446</v>
      </c>
      <c r="BG505" s="204">
        <f>BG503-BG504</f>
        <v>212</v>
      </c>
      <c r="BH505" s="98">
        <f t="shared" si="3140"/>
        <v>-3.1963470319634757</v>
      </c>
      <c r="BI505" s="204">
        <f>BI503-BI504</f>
        <v>239</v>
      </c>
      <c r="BJ505" s="98">
        <f t="shared" si="3141"/>
        <v>20.707070707070695</v>
      </c>
      <c r="BK505" s="204">
        <f>BK503-BK504</f>
        <v>219.6</v>
      </c>
      <c r="BL505" s="98">
        <f t="shared" si="3142"/>
        <v>12.040816326530601</v>
      </c>
      <c r="BM505" s="204">
        <f>BM503-BM504</f>
        <v>204</v>
      </c>
      <c r="BN505" s="98">
        <f t="shared" si="3143"/>
        <v>4.6153846153846212</v>
      </c>
      <c r="BO505" s="204">
        <f>BO503-BO504</f>
        <v>160</v>
      </c>
      <c r="BP505" s="98">
        <f t="shared" si="3144"/>
        <v>-24.528301886792448</v>
      </c>
      <c r="BQ505" s="204">
        <f>BQ503-BQ504</f>
        <v>171</v>
      </c>
      <c r="BR505" s="98">
        <f t="shared" si="3145"/>
        <v>-28.45188284518828</v>
      </c>
      <c r="BS505" s="204">
        <f>BS503-BS504</f>
        <v>102</v>
      </c>
      <c r="BT505" s="98" t="str">
        <f t="shared" si="3146"/>
        <v>NM</v>
      </c>
      <c r="BU505" s="204">
        <f>BU503-BU504</f>
        <v>116</v>
      </c>
      <c r="BV505" s="98">
        <f t="shared" si="3147"/>
        <v>-43.137254901960787</v>
      </c>
      <c r="BW505" s="204">
        <f>BW503-BW504</f>
        <v>86</v>
      </c>
      <c r="BX505" s="98">
        <f t="shared" si="3148"/>
        <v>-46.25</v>
      </c>
      <c r="BY505" s="204">
        <f>BY503-BY504</f>
        <v>78</v>
      </c>
      <c r="BZ505" s="98" t="str">
        <f t="shared" si="3149"/>
        <v>NM</v>
      </c>
      <c r="CA505" s="204">
        <f>CA503-CA504</f>
        <v>131</v>
      </c>
      <c r="CB505" s="98">
        <f t="shared" si="3150"/>
        <v>28.431372549019617</v>
      </c>
      <c r="CC505" s="204">
        <f>CC503-CC504</f>
        <v>138</v>
      </c>
      <c r="CD505" s="98">
        <f t="shared" si="3151"/>
        <v>18.965517241379317</v>
      </c>
      <c r="CE505" s="204">
        <f>CE503-CE504</f>
        <v>193</v>
      </c>
      <c r="CF505" s="98" t="str">
        <f t="shared" si="3152"/>
        <v>NM</v>
      </c>
      <c r="CG505" s="204">
        <f>CG503-CG504</f>
        <v>134</v>
      </c>
      <c r="CH505" s="98">
        <f t="shared" si="3153"/>
        <v>71.794871794871781</v>
      </c>
      <c r="CI505" s="204">
        <f>CI503-CI504</f>
        <v>233</v>
      </c>
      <c r="CJ505" s="98">
        <f t="shared" si="3154"/>
        <v>77.862595419847324</v>
      </c>
      <c r="CK505" s="204">
        <f>CK503-CK504</f>
        <v>228</v>
      </c>
      <c r="CL505" s="98">
        <f t="shared" si="3155"/>
        <v>65.217391304347828</v>
      </c>
      <c r="CM505" s="204">
        <f>CM503-CM504</f>
        <v>205</v>
      </c>
      <c r="CN505" s="98">
        <f t="shared" si="3156"/>
        <v>6.2176165803108807</v>
      </c>
      <c r="CO505" s="204">
        <f>CO503-CO504</f>
        <v>179</v>
      </c>
      <c r="CP505" s="98">
        <f t="shared" si="3157"/>
        <v>33.582089552238806</v>
      </c>
      <c r="CQ505" s="204">
        <f>CQ503-CQ504</f>
        <v>181</v>
      </c>
      <c r="CR505" s="98">
        <f t="shared" si="3158"/>
        <v>-22.317596566523601</v>
      </c>
      <c r="CS505" s="204">
        <f>CS503-CS504</f>
        <v>222</v>
      </c>
      <c r="CT505" s="98">
        <f t="shared" si="3159"/>
        <v>-2.6315789473684181</v>
      </c>
      <c r="CU505" s="204">
        <f>CU503-CU504</f>
        <v>282</v>
      </c>
      <c r="CV505" s="98">
        <f t="shared" si="3160"/>
        <v>37.560975609756085</v>
      </c>
      <c r="CW505" s="204">
        <f>CW503-CW504</f>
        <v>226</v>
      </c>
      <c r="CX505" s="98">
        <f t="shared" si="3161"/>
        <v>26.256983240223452</v>
      </c>
      <c r="CY505" s="204">
        <f>CY503-CY504</f>
        <v>288</v>
      </c>
      <c r="CZ505" s="98">
        <f t="shared" si="3162"/>
        <v>59.116022099447505</v>
      </c>
      <c r="DA505" s="204">
        <f>DA503-DA504</f>
        <v>320</v>
      </c>
      <c r="DB505" s="98">
        <f t="shared" si="3163"/>
        <v>44.144144144144136</v>
      </c>
      <c r="DC505" s="204">
        <f>DC503-DC504</f>
        <v>340</v>
      </c>
      <c r="DD505" s="98">
        <f t="shared" si="3164"/>
        <v>20.567375886524818</v>
      </c>
      <c r="DE505" s="204">
        <f>DE503-DE504</f>
        <v>365</v>
      </c>
      <c r="DF505" s="98">
        <f t="shared" si="3165"/>
        <v>61.504424778761056</v>
      </c>
      <c r="DG505" s="204">
        <f>DG503-DG504</f>
        <v>381</v>
      </c>
      <c r="DH505" s="98">
        <f t="shared" si="3166"/>
        <v>32.291666666666671</v>
      </c>
      <c r="DI505" s="204">
        <f>DI503-DI504</f>
        <v>360</v>
      </c>
      <c r="DJ505" s="98">
        <f t="shared" si="3167"/>
        <v>12.5</v>
      </c>
      <c r="DK505" s="204">
        <f>DK503-DK504</f>
        <v>370</v>
      </c>
      <c r="DL505" s="98">
        <f t="shared" si="3168"/>
        <v>8.8235294117646959</v>
      </c>
      <c r="DM505" s="204">
        <f>DM503-DM504</f>
        <v>408</v>
      </c>
      <c r="DN505" s="98">
        <f t="shared" si="3169"/>
        <v>11.780821917808225</v>
      </c>
      <c r="DO505" s="204">
        <f>DO503-DO504</f>
        <v>397</v>
      </c>
      <c r="DP505" s="98">
        <f t="shared" si="3170"/>
        <v>4.1994750656167978</v>
      </c>
      <c r="DQ505" s="204">
        <f>DQ503-DQ504</f>
        <v>385</v>
      </c>
      <c r="DR505" s="98">
        <f t="shared" si="3171"/>
        <v>6.944444444444442</v>
      </c>
      <c r="DS505" s="204">
        <f>DS503-DS504</f>
        <v>361</v>
      </c>
      <c r="DT505" s="98">
        <f t="shared" si="3172"/>
        <v>-2.4324324324324298</v>
      </c>
      <c r="DU505" s="204">
        <f>DU503-DU504</f>
        <v>373</v>
      </c>
      <c r="DV505" s="98">
        <f t="shared" si="3173"/>
        <v>-8.5784313725490229</v>
      </c>
      <c r="DW505" s="204">
        <f>DW503-DW504</f>
        <v>295</v>
      </c>
      <c r="DX505" s="98">
        <f t="shared" si="3174"/>
        <v>-25.692695214105797</v>
      </c>
      <c r="DY505" s="204">
        <f>DY503-DY504</f>
        <v>298</v>
      </c>
      <c r="DZ505" s="98">
        <f t="shared" si="3175"/>
        <v>-22.597402597402592</v>
      </c>
      <c r="EA505" s="204">
        <f>EA503-EA504</f>
        <v>275</v>
      </c>
      <c r="EB505" s="98">
        <f t="shared" si="3176"/>
        <v>-23.822714681440438</v>
      </c>
      <c r="EC505" s="204">
        <f>EC503-EC504</f>
        <v>271</v>
      </c>
      <c r="ED505" s="98">
        <f t="shared" si="3177"/>
        <v>-27.345844504021443</v>
      </c>
      <c r="EE505" s="204">
        <f>EE503-EE504</f>
        <v>295.5</v>
      </c>
      <c r="EF505" s="860">
        <f t="shared" si="3178"/>
        <v>0.16949152542373724</v>
      </c>
      <c r="EG505" s="204">
        <f>EG503-EG504</f>
        <v>292</v>
      </c>
      <c r="EH505" s="860">
        <f t="shared" si="3179"/>
        <v>-2.0134228187919434</v>
      </c>
      <c r="EI505" s="204">
        <f>EI503-EI504</f>
        <v>310</v>
      </c>
      <c r="EJ505" s="860">
        <f t="shared" si="3180"/>
        <v>12.72727272727272</v>
      </c>
      <c r="EK505" s="204">
        <f>EK503-EK504</f>
        <v>277</v>
      </c>
      <c r="EL505" s="860">
        <f t="shared" si="3181"/>
        <v>2.2140221402213944</v>
      </c>
      <c r="EM505" s="204">
        <f>EM503-EM504</f>
        <v>214</v>
      </c>
      <c r="EN505" s="860">
        <f t="shared" si="3182"/>
        <v>-27.580372250423014</v>
      </c>
      <c r="EO505" s="204">
        <f>EO503-EO504</f>
        <v>242</v>
      </c>
      <c r="EP505" s="98">
        <f t="shared" si="3183"/>
        <v>-17.12328767123288</v>
      </c>
      <c r="EQ505" s="1028">
        <f>EQ503-EQ504</f>
        <v>250.87201721991224</v>
      </c>
      <c r="ER505" s="98">
        <f t="shared" si="3099"/>
        <v>-19.073542832286371</v>
      </c>
      <c r="ES505" s="1028">
        <f t="shared" ref="ES505" si="3209">ES503-ES504</f>
        <v>246.55755393923096</v>
      </c>
      <c r="ET505" s="98">
        <f t="shared" si="3101"/>
        <v>-10.990052729519507</v>
      </c>
      <c r="EU505" s="1028">
        <f t="shared" ref="EU505" si="3210">EU503-EU504</f>
        <v>243.99584278790275</v>
      </c>
      <c r="EV505" s="98">
        <f t="shared" si="3103"/>
        <v>14.016748966309688</v>
      </c>
      <c r="EW505" s="1028">
        <f t="shared" ref="EW505" si="3211">EW503-EW504</f>
        <v>240.85998423366195</v>
      </c>
      <c r="EX505" s="98">
        <f t="shared" si="3105"/>
        <v>-0.4710808951810086</v>
      </c>
      <c r="EY505" s="204"/>
      <c r="EZ505" s="594"/>
      <c r="FA505" s="405"/>
      <c r="FB505" s="150"/>
      <c r="FC505" s="98"/>
      <c r="FD505" s="204">
        <f>FD503-FD504</f>
        <v>202</v>
      </c>
      <c r="FE505" s="98" t="str">
        <f>IF(ISERROR((FD505/FB505-1)*100),"NA",IF(((FD505/FB505-1)*100)&gt;100,"NM",IF(((FD505/FB505-1)*100)&lt;-50,"NM",(FD505/FB505-1)*100)))</f>
        <v>NA</v>
      </c>
      <c r="FF505" s="204">
        <f>FF503-FF504</f>
        <v>202</v>
      </c>
      <c r="FG505" s="98">
        <f>IF(ISERROR((FF505/FD505-1)*100),"NA",IF(((FF505/FD505-1)*100)&gt;100,"NM",IF(((FF505/FD505-1)*100)&lt;-50,"NM",(FF505/FD505-1)*100)))</f>
        <v>0</v>
      </c>
      <c r="FH505" s="204">
        <f>FH503-FH504</f>
        <v>201.99999999999991</v>
      </c>
      <c r="FI505" s="98">
        <f>IF(ISERROR((FH505/FF505-1)*100),"NA",IF(((FH505/FF505-1)*100)&gt;100,"NM",IF(((FH505/FF505-1)*100)&lt;-50,"NM",(FH505/FF505-1)*100)))</f>
        <v>-4.4408920985006262E-14</v>
      </c>
      <c r="FJ505" s="204">
        <f>FJ503-FJ504</f>
        <v>181</v>
      </c>
      <c r="FK505" s="98">
        <f>IF(ISERROR((FJ505/FH505-1)*100),"NA",IF(((FJ505/FH505-1)*100)&gt;100,"NM",IF(((FJ505/FH505-1)*100)&lt;-50,"NM",(FJ505/FH505-1)*100)))</f>
        <v>-10.396039603960361</v>
      </c>
      <c r="FL505" s="204">
        <f>FL503-FL504</f>
        <v>258</v>
      </c>
      <c r="FM505" s="98">
        <f>IF(ISERROR((FL505/FJ505-1)*100),"NA",IF(((FL505/FJ505-1)*100)&gt;100,"NM",IF(((FL505/FJ505-1)*100)&lt;-50,"NM",(FL505/FJ505-1)*100)))</f>
        <v>42.541436464088392</v>
      </c>
      <c r="FN505" s="204">
        <f>FN503-FN504</f>
        <v>407</v>
      </c>
      <c r="FO505" s="98">
        <f>IF(ISERROR((FN505/FL505-1)*100),"NA",IF(((FN505/FL505-1)*100)&gt;100,"NM",IF(((FN505/FL505-1)*100)&lt;-50,"NM",(FN505/FL505-1)*100)))</f>
        <v>57.751937984496116</v>
      </c>
      <c r="FP505" s="204">
        <f>FP503-FP504</f>
        <v>593.5</v>
      </c>
      <c r="FQ505" s="98">
        <f t="shared" si="3184"/>
        <v>45.823095823095827</v>
      </c>
      <c r="FR505" s="204">
        <f>FR503-FR504</f>
        <v>808</v>
      </c>
      <c r="FS505" s="120">
        <f t="shared" si="3185"/>
        <v>36.141533277169337</v>
      </c>
      <c r="FT505" s="204">
        <f>FT503-FT504</f>
        <v>874.6</v>
      </c>
      <c r="FU505" s="120">
        <f>IF(ISERROR((FT505/FR505-1)*100),"NA",IF(((FT505/FR505-1)*100)&gt;100,"NM",IF(((FT505/FR505-1)*100)&lt;-50,"NM",(FT505/FR505-1)*100)))</f>
        <v>8.2425742574257388</v>
      </c>
      <c r="FV505" s="204">
        <f>FV503-FV504</f>
        <v>550</v>
      </c>
      <c r="FW505" s="98">
        <f t="shared" si="3186"/>
        <v>-37.114109307111818</v>
      </c>
      <c r="FX505" s="505">
        <f>FX503-FX504</f>
        <v>433</v>
      </c>
      <c r="FY505" s="98">
        <f t="shared" si="3187"/>
        <v>-21.272727272727277</v>
      </c>
      <c r="FZ505" s="204">
        <f>FZ503-FZ504</f>
        <v>788</v>
      </c>
      <c r="GA505" s="98">
        <f t="shared" si="3188"/>
        <v>81.986143187066986</v>
      </c>
      <c r="GB505" s="505">
        <f>GB503-GB504</f>
        <v>787</v>
      </c>
      <c r="GC505" s="98">
        <f t="shared" si="3189"/>
        <v>-0.12690355329949554</v>
      </c>
      <c r="GD505" s="204">
        <f>GD503-GD504</f>
        <v>1116</v>
      </c>
      <c r="GE505" s="98">
        <f t="shared" si="3190"/>
        <v>41.804320203303689</v>
      </c>
      <c r="GF505" s="204">
        <f>GF503-GF504</f>
        <v>1446</v>
      </c>
      <c r="GG505" s="98">
        <f t="shared" si="3191"/>
        <v>29.569892473118276</v>
      </c>
      <c r="GH505" s="204">
        <f>GH503-GH504</f>
        <v>1560</v>
      </c>
      <c r="GI505" s="98">
        <f t="shared" si="3192"/>
        <v>7.8838174273858863</v>
      </c>
      <c r="GJ505" s="204">
        <f>GJ503-GJ504</f>
        <v>1327</v>
      </c>
      <c r="GK505" s="98">
        <f t="shared" si="3193"/>
        <v>-14.935897435897438</v>
      </c>
      <c r="GL505" s="204">
        <f>GL503-GL504</f>
        <v>1133.5</v>
      </c>
      <c r="GM505" s="98">
        <f t="shared" si="3194"/>
        <v>-14.581763376036172</v>
      </c>
      <c r="GN505" s="204">
        <f>GN503-GN504</f>
        <v>1043</v>
      </c>
      <c r="GO505" s="98">
        <f t="shared" si="3194"/>
        <v>-7.9841199823555309</v>
      </c>
      <c r="GP505" s="204">
        <f>GP503-GP504</f>
        <v>982.28539818070885</v>
      </c>
      <c r="GQ505" s="98">
        <f t="shared" si="3194"/>
        <v>-5.8211507017537079</v>
      </c>
      <c r="GR505" s="204">
        <f>GR503-GR504</f>
        <v>891.9831797757048</v>
      </c>
      <c r="GS505" s="98">
        <f t="shared" si="3194"/>
        <v>-9.1930734766344724</v>
      </c>
      <c r="GT505" s="204">
        <f>GT503-GT504</f>
        <v>803.76256455266844</v>
      </c>
      <c r="GU505" s="98">
        <f t="shared" si="3194"/>
        <v>-9.8903900009885923</v>
      </c>
      <c r="GV505" s="204">
        <f>GV503-GV504</f>
        <v>722.75003292063093</v>
      </c>
      <c r="GW505" s="98">
        <f t="shared" si="3194"/>
        <v>-10.079162081543913</v>
      </c>
      <c r="GX505" s="204">
        <f>GX503-GX504</f>
        <v>637.06022112696644</v>
      </c>
      <c r="GY505" s="98">
        <f t="shared" si="3117"/>
        <v>-11.856078573582652</v>
      </c>
      <c r="GZ505" s="98">
        <f t="shared" si="3118"/>
        <v>-9.3893520721337271</v>
      </c>
      <c r="HA505" s="98"/>
      <c r="HC505"/>
      <c r="HD505"/>
      <c r="HE505"/>
      <c r="HF505"/>
      <c r="HG505"/>
      <c r="HH505"/>
    </row>
    <row r="506" spans="1:217" s="210" customFormat="1" ht="12.75" customHeight="1" x14ac:dyDescent="0.2">
      <c r="B506" s="209" t="s">
        <v>138</v>
      </c>
      <c r="C506" s="117">
        <f>C500-(+C504)/0.65</f>
        <v>95</v>
      </c>
      <c r="D506" s="98"/>
      <c r="E506" s="117">
        <f>E500-(+E504)/0.65</f>
        <v>102</v>
      </c>
      <c r="F506" s="98"/>
      <c r="G506" s="117">
        <f>G500-(+G504)/0.65</f>
        <v>80</v>
      </c>
      <c r="H506" s="98"/>
      <c r="I506" s="117">
        <f>I500-(+I504)/0.65</f>
        <v>41</v>
      </c>
      <c r="J506" s="98"/>
      <c r="K506" s="117">
        <f>K500-(+K504)/0.65</f>
        <v>58</v>
      </c>
      <c r="L506" s="98">
        <f t="shared" si="3195"/>
        <v>-38.94736842105263</v>
      </c>
      <c r="M506" s="117">
        <f>M500-(+M504)/0.65</f>
        <v>73</v>
      </c>
      <c r="N506" s="98">
        <f t="shared" si="3196"/>
        <v>-28.431372549019606</v>
      </c>
      <c r="O506" s="117">
        <f>O500-(+O504)/0.65</f>
        <v>89</v>
      </c>
      <c r="P506" s="98">
        <f t="shared" si="3197"/>
        <v>11.250000000000004</v>
      </c>
      <c r="Q506" s="117">
        <f>Q500-(+Q504)/0.65</f>
        <v>96.100000000000023</v>
      </c>
      <c r="R506" s="98" t="str">
        <f t="shared" si="3198"/>
        <v>NM</v>
      </c>
      <c r="S506" s="117">
        <f>S500-(+S504)/0.65</f>
        <v>62</v>
      </c>
      <c r="T506" s="98">
        <f t="shared" si="3199"/>
        <v>6.8965517241379226</v>
      </c>
      <c r="U506" s="117">
        <f>U500-(+U504)/0.65</f>
        <v>78</v>
      </c>
      <c r="V506" s="98">
        <f t="shared" si="3200"/>
        <v>6.8493150684931559</v>
      </c>
      <c r="W506" s="117">
        <f>W500-(+W504)/0.65</f>
        <v>68</v>
      </c>
      <c r="X506" s="98">
        <f t="shared" si="3201"/>
        <v>-23.59550561797753</v>
      </c>
      <c r="Y506" s="117">
        <f>Y500-(+Y504)/0.65</f>
        <v>73</v>
      </c>
      <c r="Z506" s="98">
        <f t="shared" si="3202"/>
        <v>-24.037460978147784</v>
      </c>
      <c r="AA506" s="117">
        <f>AA500-(+AA504)/0.65</f>
        <v>76</v>
      </c>
      <c r="AB506" s="98">
        <f t="shared" si="3203"/>
        <v>22.580645161290324</v>
      </c>
      <c r="AC506" s="117">
        <f>AC500-(+AC504)/0.65</f>
        <v>85</v>
      </c>
      <c r="AD506" s="98">
        <f t="shared" si="3204"/>
        <v>8.9743589743589638</v>
      </c>
      <c r="AE506" s="117">
        <f>AE500-(+AE504)/0.65</f>
        <v>101</v>
      </c>
      <c r="AF506" s="98">
        <f t="shared" si="3205"/>
        <v>48.529411764705884</v>
      </c>
      <c r="AG506" s="117">
        <f>AG500-(+AG504)/0.65</f>
        <v>129</v>
      </c>
      <c r="AH506" s="98">
        <f t="shared" si="3206"/>
        <v>76.712328767123282</v>
      </c>
      <c r="AI506" s="117">
        <f>AI500-(+AI504)/0.65</f>
        <v>126</v>
      </c>
      <c r="AJ506" s="98">
        <f t="shared" si="3207"/>
        <v>65.789473684210535</v>
      </c>
      <c r="AK506" s="117">
        <f>AK500-(+AK504)/0.65</f>
        <v>150</v>
      </c>
      <c r="AL506" s="98">
        <f t="shared" si="3208"/>
        <v>76.470588235294116</v>
      </c>
      <c r="AM506" s="117">
        <f>AM500-(+AM504)/0.65</f>
        <v>132.69230769230768</v>
      </c>
      <c r="AN506" s="98">
        <f t="shared" si="3130"/>
        <v>31.378522467631377</v>
      </c>
      <c r="AO506" s="117">
        <f>AO500-(+AO504)/0.65</f>
        <v>182</v>
      </c>
      <c r="AP506" s="98">
        <f t="shared" si="3131"/>
        <v>41.085271317829466</v>
      </c>
      <c r="AQ506" s="117">
        <f>AQ500-(+AQ504)/0.65</f>
        <v>168.76923076923077</v>
      </c>
      <c r="AR506" s="98">
        <f t="shared" si="3132"/>
        <v>33.943833943833958</v>
      </c>
      <c r="AS506" s="117">
        <f>AS500-(+AS504)/0.65</f>
        <v>164.61538461538461</v>
      </c>
      <c r="AT506" s="98">
        <f t="shared" si="3133"/>
        <v>9.7435897435897303</v>
      </c>
      <c r="AU506" s="117">
        <f>AU500-(+AU504)/0.65</f>
        <v>260.07692307692309</v>
      </c>
      <c r="AV506" s="98">
        <f t="shared" si="3134"/>
        <v>96.000000000000043</v>
      </c>
      <c r="AW506" s="117">
        <f>AW500-(+AW504)/0.65</f>
        <v>280.53846153846155</v>
      </c>
      <c r="AX506" s="98">
        <f t="shared" si="3135"/>
        <v>54.142011834319526</v>
      </c>
      <c r="AY506" s="117">
        <f>AY500-(+AY504)/0.65</f>
        <v>335.23076923076923</v>
      </c>
      <c r="AZ506" s="98">
        <f t="shared" si="3136"/>
        <v>98.632634457611658</v>
      </c>
      <c r="BA506" s="117">
        <f>BA500-(+BA504)/0.65</f>
        <v>302.69230769230768</v>
      </c>
      <c r="BB506" s="98">
        <f t="shared" si="3137"/>
        <v>83.878504672897193</v>
      </c>
      <c r="BC506" s="117">
        <f>BC500-(+BC504)/0.65</f>
        <v>301.15384615384613</v>
      </c>
      <c r="BD506" s="98">
        <f t="shared" si="3138"/>
        <v>15.794143744454292</v>
      </c>
      <c r="BE506" s="117">
        <f>BE500-(+BE504)/0.65</f>
        <v>297.15384615384613</v>
      </c>
      <c r="BF506" s="98">
        <f t="shared" si="3139"/>
        <v>5.9226761721963062</v>
      </c>
      <c r="BG506" s="117">
        <f>BG500-(+BG504)/0.65</f>
        <v>323.07692307692309</v>
      </c>
      <c r="BH506" s="98">
        <f t="shared" si="3140"/>
        <v>-3.6255162918770067</v>
      </c>
      <c r="BI506" s="117">
        <f>BI500-(+BI504)/0.65</f>
        <v>366.30769230769232</v>
      </c>
      <c r="BJ506" s="98">
        <f t="shared" si="3141"/>
        <v>21.016518424396445</v>
      </c>
      <c r="BK506" s="117">
        <f>BK500-(+BK504)/0.65</f>
        <v>335.30769230769232</v>
      </c>
      <c r="BL506" s="98">
        <f t="shared" si="3142"/>
        <v>11.340996168582397</v>
      </c>
      <c r="BM506" s="117">
        <f>BM500-(+BM504)/0.65</f>
        <v>311.69230769230768</v>
      </c>
      <c r="BN506" s="98">
        <f t="shared" si="3143"/>
        <v>4.8925705410302944</v>
      </c>
      <c r="BO506" s="117">
        <f>BO500-(+BO504)/0.65</f>
        <v>241.23076923076923</v>
      </c>
      <c r="BP506" s="98">
        <f t="shared" si="3144"/>
        <v>-25.333333333333343</v>
      </c>
      <c r="BQ506" s="117">
        <f>BQ500-(+BQ504)/0.65</f>
        <v>259.46153846153845</v>
      </c>
      <c r="BR506" s="98">
        <f t="shared" si="3145"/>
        <v>-29.16841663166737</v>
      </c>
      <c r="BS506" s="117">
        <f>BS500-(+BS504)/0.65</f>
        <v>154.23076923076923</v>
      </c>
      <c r="BT506" s="98" t="str">
        <f t="shared" si="3146"/>
        <v>NM</v>
      </c>
      <c r="BU506" s="117">
        <f>BU500-(+BU504)/0.65</f>
        <v>184.30769230769226</v>
      </c>
      <c r="BV506" s="98">
        <f t="shared" si="3147"/>
        <v>-40.868706811451148</v>
      </c>
      <c r="BW506" s="117">
        <f>BW500-(+BW504)/0.65</f>
        <v>131.84615384615381</v>
      </c>
      <c r="BX506" s="98">
        <f t="shared" si="3148"/>
        <v>-45.344387755102055</v>
      </c>
      <c r="BY506" s="117">
        <f>BY500-(+BY504)/0.65</f>
        <v>120</v>
      </c>
      <c r="BZ506" s="98" t="str">
        <f t="shared" si="3149"/>
        <v>NM</v>
      </c>
      <c r="CA506" s="117">
        <f>CA500-(+CA504)/0.65</f>
        <v>202</v>
      </c>
      <c r="CB506" s="98">
        <f t="shared" si="3150"/>
        <v>30.972568578553616</v>
      </c>
      <c r="CC506" s="117">
        <f>CC500-(+CC504)/0.65</f>
        <v>211.69230769230768</v>
      </c>
      <c r="CD506" s="98">
        <f t="shared" si="3151"/>
        <v>14.858096828046774</v>
      </c>
      <c r="CE506" s="117">
        <f>CE500-(+CE504)/0.65</f>
        <v>295.69230769230768</v>
      </c>
      <c r="CF506" s="98" t="str">
        <f t="shared" si="3152"/>
        <v>NM</v>
      </c>
      <c r="CG506" s="117">
        <f>CG500-(+CG504)/0.65</f>
        <v>206.92307692307693</v>
      </c>
      <c r="CH506" s="98">
        <f t="shared" si="3153"/>
        <v>72.435897435897445</v>
      </c>
      <c r="CI506" s="117">
        <f>CI500-(+CI504)/0.65</f>
        <v>359.30769230769232</v>
      </c>
      <c r="CJ506" s="98">
        <f t="shared" si="3154"/>
        <v>77.875095201827875</v>
      </c>
      <c r="CK506" s="117">
        <f>CK500-(+CK504)/0.65</f>
        <v>349</v>
      </c>
      <c r="CL506" s="98">
        <f t="shared" si="3155"/>
        <v>64.86191860465118</v>
      </c>
      <c r="CM506" s="117">
        <f>CM500-(+CM504)/0.65</f>
        <v>314.46153846153845</v>
      </c>
      <c r="CN506" s="98">
        <f t="shared" si="3156"/>
        <v>6.347554630593133</v>
      </c>
      <c r="CO506" s="117">
        <f>CO500-(+CO504)/0.65</f>
        <v>276.92307692307691</v>
      </c>
      <c r="CP506" s="98">
        <f t="shared" si="3157"/>
        <v>33.828996282527868</v>
      </c>
      <c r="CQ506" s="117">
        <f>CQ500-(+CQ504)/0.65</f>
        <v>280.38461538461536</v>
      </c>
      <c r="CR506" s="98">
        <f t="shared" si="3158"/>
        <v>-21.965317919075154</v>
      </c>
      <c r="CS506" s="117">
        <f>CS500-(+CS504)/0.65</f>
        <v>341</v>
      </c>
      <c r="CT506" s="98">
        <f t="shared" si="3159"/>
        <v>-2.2922636103151817</v>
      </c>
      <c r="CU506" s="117">
        <f>CU500-(+CU504)/0.65</f>
        <v>434</v>
      </c>
      <c r="CV506" s="98">
        <f t="shared" si="3160"/>
        <v>38.013698630136993</v>
      </c>
      <c r="CW506" s="117">
        <f>CW500-(+CW504)/0.65</f>
        <v>347</v>
      </c>
      <c r="CX506" s="98">
        <f t="shared" si="3161"/>
        <v>25.305555555555557</v>
      </c>
      <c r="CY506" s="117">
        <f>CY500-(+CY504)/0.65</f>
        <v>443</v>
      </c>
      <c r="CZ506" s="98">
        <f t="shared" si="3162"/>
        <v>57.997256515775049</v>
      </c>
      <c r="DA506" s="117">
        <f>DA500-(+DA504)/0.65</f>
        <v>492.53846153846155</v>
      </c>
      <c r="DB506" s="98">
        <f t="shared" si="3163"/>
        <v>44.439431536205731</v>
      </c>
      <c r="DC506" s="117">
        <f>DC500-(+DC504)/0.65</f>
        <v>522.76923076923072</v>
      </c>
      <c r="DD506" s="98">
        <f t="shared" si="3164"/>
        <v>20.453739808578497</v>
      </c>
      <c r="DE506" s="117">
        <f>DE500-(+DE504)/0.65</f>
        <v>561.38461538461536</v>
      </c>
      <c r="DF506" s="98">
        <f t="shared" si="3165"/>
        <v>61.782309909111042</v>
      </c>
      <c r="DG506" s="117">
        <f>DG500-(+DG504)/0.65</f>
        <v>586.92307692307691</v>
      </c>
      <c r="DH506" s="98">
        <f t="shared" si="3166"/>
        <v>32.488279215141525</v>
      </c>
      <c r="DI506" s="117">
        <f>DI500-(+DI504)/0.65</f>
        <v>554</v>
      </c>
      <c r="DJ506" s="98">
        <f t="shared" si="3167"/>
        <v>12.478525691082298</v>
      </c>
      <c r="DK506" s="117">
        <f>DK500-(+DK504)/0.65</f>
        <v>516.07692307692309</v>
      </c>
      <c r="DL506" s="98">
        <f t="shared" si="3168"/>
        <v>-1.2801648028251789</v>
      </c>
      <c r="DM506" s="117">
        <f>DM500-(+DM504)/0.65</f>
        <v>578.38461538461536</v>
      </c>
      <c r="DN506" s="98">
        <f t="shared" si="3169"/>
        <v>3.0282269114825899</v>
      </c>
      <c r="DO506" s="117">
        <f>DO500-(+DO504)/0.65</f>
        <v>467.61538461538464</v>
      </c>
      <c r="DP506" s="98">
        <f t="shared" si="3170"/>
        <v>-20.327653997378757</v>
      </c>
      <c r="DQ506" s="117">
        <f>DQ500-(+DQ504)/0.65</f>
        <v>529</v>
      </c>
      <c r="DR506" s="98">
        <f t="shared" si="3171"/>
        <v>-4.5126353790613694</v>
      </c>
      <c r="DS506" s="117">
        <f>DS500-(+DS504)/0.65</f>
        <v>535</v>
      </c>
      <c r="DT506" s="98">
        <f t="shared" si="3172"/>
        <v>3.6667163511700629</v>
      </c>
      <c r="DU506" s="117">
        <f>DU500-(+DU504)/0.65</f>
        <v>550</v>
      </c>
      <c r="DV506" s="98">
        <f t="shared" si="3173"/>
        <v>-4.9075674956776112</v>
      </c>
      <c r="DW506" s="117">
        <f>DW500-(+DW504)/0.65</f>
        <v>426</v>
      </c>
      <c r="DX506" s="98">
        <f t="shared" si="3174"/>
        <v>-8.8994900477052159</v>
      </c>
      <c r="DY506" s="117">
        <f>DY500-(+DY504)/0.65</f>
        <v>442.76923076923077</v>
      </c>
      <c r="DZ506" s="98">
        <f t="shared" si="3175"/>
        <v>-16.300712519994185</v>
      </c>
      <c r="EA506" s="117">
        <f>EA500-(+EA504)/0.65</f>
        <v>404.30769230769232</v>
      </c>
      <c r="EB506" s="98">
        <f t="shared" si="3176"/>
        <v>-24.428468727534145</v>
      </c>
      <c r="EC506" s="117">
        <f>EC500-(+EC504)/0.65</f>
        <v>391.69230769230768</v>
      </c>
      <c r="ED506" s="98">
        <f t="shared" si="3177"/>
        <v>-28.78321678321678</v>
      </c>
      <c r="EE506" s="117">
        <f>EE500-(+EE504)/0.65</f>
        <v>432.38461538461536</v>
      </c>
      <c r="EF506" s="860">
        <f t="shared" si="3178"/>
        <v>1.4987360057782562</v>
      </c>
      <c r="EG506" s="117">
        <f>EG500-(+EG504)/0.65</f>
        <v>427</v>
      </c>
      <c r="EH506" s="860">
        <f t="shared" si="3179"/>
        <v>-3.5615010423905469</v>
      </c>
      <c r="EI506" s="117">
        <f>EI500-(+EI504)/0.65</f>
        <v>454.53846153846155</v>
      </c>
      <c r="EJ506" s="860">
        <f t="shared" si="3180"/>
        <v>12.423896499238962</v>
      </c>
      <c r="EK506" s="117">
        <f>EK500-(+EK504)/0.65</f>
        <v>403.53846153846155</v>
      </c>
      <c r="EL506" s="860">
        <f t="shared" si="3181"/>
        <v>3.0243519245875872</v>
      </c>
      <c r="EM506" s="117">
        <f>EM500-(+EM504)/0.65</f>
        <v>307.23076923076923</v>
      </c>
      <c r="EN506" s="860">
        <f t="shared" si="3182"/>
        <v>-28.945027575164563</v>
      </c>
      <c r="EO506" s="117">
        <f>EO500-(+EO504)/0.65</f>
        <v>349.84615384615381</v>
      </c>
      <c r="EP506" s="98">
        <f t="shared" si="3183"/>
        <v>-18.068816429472179</v>
      </c>
      <c r="EQ506" s="1031">
        <f>EQ500-(+EQ504)/0.65</f>
        <v>321.63079130757978</v>
      </c>
      <c r="ER506" s="98">
        <f t="shared" si="3099"/>
        <v>-29.24013729906013</v>
      </c>
      <c r="ES506" s="1031">
        <f t="shared" ref="ES506" si="3212">ES500-(+ES504)/0.65</f>
        <v>316.0994281272192</v>
      </c>
      <c r="ET506" s="98">
        <f t="shared" si="3101"/>
        <v>-21.668079190738666</v>
      </c>
      <c r="EU506" s="1031">
        <f t="shared" ref="EU506" si="3213">EU500-(+EU504)/0.65</f>
        <v>312.81518306141379</v>
      </c>
      <c r="EV506" s="98">
        <f t="shared" si="3103"/>
        <v>1.8176609864391402</v>
      </c>
      <c r="EW506" s="1031">
        <f t="shared" ref="EW506" si="3214">EW500-(+EW504)/0.65</f>
        <v>308.79485158161788</v>
      </c>
      <c r="EX506" s="98">
        <f t="shared" si="3105"/>
        <v>-11.734101350900772</v>
      </c>
      <c r="EY506" s="118"/>
      <c r="EZ506" s="598"/>
      <c r="FA506" s="409"/>
      <c r="FB506" s="118">
        <f>FB500-(+FB504)/0.65</f>
        <v>260</v>
      </c>
      <c r="FC506" s="98"/>
      <c r="FD506" s="118">
        <f>FD500-(+FD504)/0.65</f>
        <v>312</v>
      </c>
      <c r="FE506" s="98">
        <f>IF(ISERROR((FD506/FB506-1)*100),"NA",IF(((FD506/FB506-1)*100)&gt;100,"NM",IF(((FD506/FB506-1)*100)&lt;-50,"NM",(FD506/FB506-1)*100)))</f>
        <v>19.999999999999996</v>
      </c>
      <c r="FF506" s="118">
        <f>FF500-(+FF504)/0.65</f>
        <v>318</v>
      </c>
      <c r="FG506" s="98">
        <f>IF(ISERROR((FF506/FD506-1)*100),"NA",IF(((FF506/FD506-1)*100)&gt;100,"NM",IF(((FF506/FD506-1)*100)&lt;-50,"NM",(FF506/FD506-1)*100)))</f>
        <v>1.9230769230769162</v>
      </c>
      <c r="FH506" s="118">
        <f>FH500-(+FH504)/0.65</f>
        <v>316.09999999999991</v>
      </c>
      <c r="FI506" s="98">
        <f>IF(ISERROR((FH506/FF506-1)*100),"NA",IF(((FH506/FF506-1)*100)&gt;100,"NM",IF(((FH506/FF506-1)*100)&lt;-50,"NM",(FH506/FF506-1)*100)))</f>
        <v>-0.59748427672958737</v>
      </c>
      <c r="FJ506" s="118">
        <f>FJ500-(+FJ504)/0.65</f>
        <v>281</v>
      </c>
      <c r="FK506" s="98">
        <f>IF(ISERROR((FJ506/FH506-1)*100),"NA",IF(((FJ506/FH506-1)*100)&gt;100,"NM",IF(((FJ506/FH506-1)*100)&lt;-50,"NM",(FJ506/FH506-1)*100)))</f>
        <v>-11.104080987029397</v>
      </c>
      <c r="FL506" s="118">
        <f>FL500-(+FL504)/0.65</f>
        <v>391</v>
      </c>
      <c r="FM506" s="98">
        <f>IF(ISERROR((FL506/FJ506-1)*100),"NA",IF(((FL506/FJ506-1)*100)&gt;100,"NM",IF(((FL506/FJ506-1)*100)&lt;-50,"NM",(FL506/FJ506-1)*100)))</f>
        <v>39.145907473309613</v>
      </c>
      <c r="FN506" s="118">
        <f>FN500-(+FN504)/0.65</f>
        <v>603</v>
      </c>
      <c r="FO506" s="98">
        <f>IF(ISERROR((FN506/FL506-1)*100),"NA",IF(((FN506/FL506-1)*100)&gt;100,"NM",IF(((FN506/FL506-1)*100)&lt;-50,"NM",(FN506/FL506-1)*100)))</f>
        <v>54.21994884910486</v>
      </c>
      <c r="FP506" s="118">
        <f>FP500-(+FP504)/0.65</f>
        <v>874</v>
      </c>
      <c r="FQ506" s="98">
        <f>IF(ISERROR((FP506/FN506-1)*100),"NA",IF(((FP506/FN506-1)*100)&gt;100,"NM",IF(((FP506/FN506-1)*100)&lt;-50,"NM",(FP506/FN506-1)*100)))</f>
        <v>44.941956882255397</v>
      </c>
      <c r="FR506" s="118">
        <f>FR500-(+FR504)/0.65</f>
        <v>1236.2307692307693</v>
      </c>
      <c r="FS506" s="98">
        <f>IF(ISERROR((FR506/FP506-1)*100),"NA",IF(((FR506/FP506-1)*100)&gt;100,"NM",IF(((FR506/FP506-1)*100)&lt;-50,"NM",(FR506/FP506-1)*100)))</f>
        <v>41.445168104207021</v>
      </c>
      <c r="FT506" s="118">
        <f>FT500-(+FT504)/0.65</f>
        <v>1336.3846153846155</v>
      </c>
      <c r="FU506" s="98">
        <f>IF(ISERROR((FT506/FR506-1)*100),"NA",IF(((FT506/FR506-1)*100)&gt;100,"NM",IF(((FT506/FR506-1)*100)&lt;-50,"NM",(FT506/FR506-1)*100)))</f>
        <v>8.1015493746499967</v>
      </c>
      <c r="FV506" s="119">
        <f>FV500-(+FV504)/0.65</f>
        <v>841.23076923076917</v>
      </c>
      <c r="FW506" s="98">
        <f>IF(ISERROR((FV506/FT506-1)*100),"NA",IF(((FV506/FT506-1)*100)&gt;100,"NM",IF(((FV506/FT506-1)*100)&lt;-50,"NM",(FV506/FT506-1)*100)))</f>
        <v>-37.051746963679278</v>
      </c>
      <c r="FX506" s="485">
        <f>FX500-(+FX504)/0.65</f>
        <v>665.53846153846155</v>
      </c>
      <c r="FY506" s="98">
        <f>IF(ISERROR((FX506/FV506-1)*100),"NA",IF(((FX506/FV506-1)*100)&gt;100,"NM",IF(((FX506/FV506-1)*100)&lt;-50,"NM",(FX506/FV506-1)*100)))</f>
        <v>-20.885149963423544</v>
      </c>
      <c r="FZ506" s="119">
        <f>FZ500-(+FZ504)/0.65</f>
        <v>1210.9230769230769</v>
      </c>
      <c r="GA506" s="98">
        <f>IF(ISERROR((FZ506/FX506-1)*100),"NA",IF(((FZ506/FX506-1)*100)&gt;100,"NM",IF(((FZ506/FX506-1)*100)&lt;-50,"NM",(FZ506/FX506-1)*100)))</f>
        <v>81.94637078132223</v>
      </c>
      <c r="GB506" s="485">
        <f>GB500-(+GB504)/0.65</f>
        <v>1212.7692307692307</v>
      </c>
      <c r="GC506" s="98">
        <f>IF(ISERROR((GB506/FZ506-1)*100),"NA",IF(((GB506/FZ506-1)*100)&gt;100,"NM",IF(((GB506/FZ506-1)*100)&lt;-50,"NM",(GB506/FZ506-1)*100)))</f>
        <v>0.1524583915639699</v>
      </c>
      <c r="GD506" s="119">
        <f>GD500-(+GD504)/0.65</f>
        <v>1716.5384615384614</v>
      </c>
      <c r="GE506" s="98">
        <f>IF(ISERROR((GD506/GB506-1)*100),"NA",IF(((GD506/GB506-1)*100)&gt;100,"NM",IF(((GD506/GB506-1)*100)&lt;-50,"NM",(GD506/GB506-1)*100)))</f>
        <v>41.538754281364952</v>
      </c>
      <c r="GF506" s="119">
        <f>GF500-(+GF504)/0.65</f>
        <v>2225.0769230769229</v>
      </c>
      <c r="GG506" s="98">
        <f>IF(ISERROR((GF506/GD506-1)*100),"NA",IF(((GF506/GD506-1)*100)&gt;100,"NM",IF(((GF506/GD506-1)*100)&lt;-50,"NM",(GF506/GD506-1)*100)))</f>
        <v>29.625812233923376</v>
      </c>
      <c r="GH506" s="119">
        <f>GH500-(+GH504)/0.65</f>
        <v>2091.0769230769229</v>
      </c>
      <c r="GI506" s="98">
        <f>IF(ISERROR((GH506/GF506-1)*100),"NA",IF(((GH506/GF506-1)*100)&gt;100,"NM",IF(((GH506/GF506-1)*100)&lt;-50,"NM",(GH506/GF506-1)*100)))</f>
        <v>-6.0222637073912733</v>
      </c>
      <c r="GJ506" s="117">
        <f>GJ500-(+GJ504)/0.65</f>
        <v>1953.7692307692307</v>
      </c>
      <c r="GK506" s="98">
        <f>IF(ISERROR((GJ506/GH506-1)*100),"NA",IF(((GJ506/GH506-1)*100)&gt;100,"NM",IF(((GJ506/GH506-1)*100)&lt;-50,"NM",(GJ506/GH506-1)*100)))</f>
        <v>-6.5663625662154113</v>
      </c>
      <c r="GL506" s="117">
        <f>GL500-(+GL504)/0.65</f>
        <v>1655.3846153846152</v>
      </c>
      <c r="GM506" s="98">
        <f>IF(ISERROR((GL506/GJ506-1)*100),"NA",IF(((GL506/GJ506-1)*100)&gt;100,"NM",IF(((GL506/GJ506-1)*100)&lt;-50,"NM",(GL506/GJ506-1)*100)))</f>
        <v>-15.272254813181629</v>
      </c>
      <c r="GN506" s="117">
        <f>GN500-(+GN504)/0.65</f>
        <v>1515.1538461538462</v>
      </c>
      <c r="GO506" s="98">
        <f>IF(ISERROR((GN506/GL506-1)*100),"NA",IF(((GN506/GL506-1)*100)&gt;100,"NM",IF(((GN506/GL506-1)*100)&lt;-50,"NM",(GN506/GL506-1)*100)))</f>
        <v>-8.4711895910780548</v>
      </c>
      <c r="GP506" s="117">
        <f>GP500-(+GP504)/0.65</f>
        <v>1259.3402540778316</v>
      </c>
      <c r="GQ506" s="98">
        <f>IF(ISERROR((GP506/GN506-1)*100),"NA",IF(((GP506/GN506-1)*100)&gt;100,"NM",IF(((GP506/GN506-1)*100)&lt;-50,"NM",(GP506/GN506-1)*100)))</f>
        <v>-16.883671102138344</v>
      </c>
      <c r="GR506" s="117">
        <f>GR500-(+GR504)/0.65</f>
        <v>1143.5681791996212</v>
      </c>
      <c r="GS506" s="98">
        <f>IF(ISERROR((GR506/GP506-1)*100),"NA",IF(((GR506/GP506-1)*100)&gt;100,"NM",IF(((GR506/GP506-1)*100)&lt;-50,"NM",(GR506/GP506-1)*100)))</f>
        <v>-9.1930734766344724</v>
      </c>
      <c r="GT506" s="117">
        <f>GT500-(+GT504)/0.65</f>
        <v>1030.4648263495747</v>
      </c>
      <c r="GU506" s="98">
        <f>IF(ISERROR((GT506/GR506-1)*100),"NA",IF(((GT506/GR506-1)*100)&gt;100,"NM",IF(((GT506/GR506-1)*100)&lt;-50,"NM",(GT506/GR506-1)*100)))</f>
        <v>-9.8903900009885923</v>
      </c>
      <c r="GV506" s="117">
        <f>GV500-(+GV504)/0.65</f>
        <v>926.60260630850098</v>
      </c>
      <c r="GW506" s="98">
        <f>IF(ISERROR((GV506/GT506-1)*100),"NA",IF(((GV506/GT506-1)*100)&gt;100,"NM",IF(((GV506/GT506-1)*100)&lt;-50,"NM",(GV506/GT506-1)*100)))</f>
        <v>-10.079162081543913</v>
      </c>
      <c r="GX506" s="117">
        <f>GX500-(+GX504)/0.65</f>
        <v>816.74387323970041</v>
      </c>
      <c r="GY506" s="98">
        <f>IF(ISERROR((GX506/GV506-1)*100),"NA",IF(((GX506/GV506-1)*100)&gt;100,"NM",IF(((GX506/GV506-1)*100)&lt;-50,"NM",(GX506/GV506-1)*100)))</f>
        <v>-11.856078573582652</v>
      </c>
      <c r="GZ506" s="98">
        <f t="shared" si="3118"/>
        <v>-11.625731803556171</v>
      </c>
      <c r="HA506" s="98"/>
      <c r="HB506" s="240"/>
      <c r="HC506"/>
      <c r="HD506"/>
      <c r="HE506"/>
      <c r="HF506"/>
      <c r="HG506"/>
      <c r="HH506"/>
      <c r="HI506" s="10"/>
    </row>
    <row r="507" spans="1:217" s="2" customFormat="1" ht="12.75" customHeight="1" x14ac:dyDescent="0.2">
      <c r="B507" s="19"/>
      <c r="C507" s="182"/>
      <c r="D507" s="98"/>
      <c r="E507" s="182"/>
      <c r="F507" s="98"/>
      <c r="G507" s="182"/>
      <c r="H507" s="98"/>
      <c r="I507" s="182"/>
      <c r="J507" s="98"/>
      <c r="K507" s="182"/>
      <c r="L507" s="98"/>
      <c r="M507" s="182"/>
      <c r="N507" s="98"/>
      <c r="O507" s="182"/>
      <c r="P507" s="98"/>
      <c r="Q507" s="182"/>
      <c r="R507" s="98"/>
      <c r="S507" s="182"/>
      <c r="T507" s="98"/>
      <c r="U507" s="182"/>
      <c r="V507" s="98"/>
      <c r="W507" s="182"/>
      <c r="X507" s="98"/>
      <c r="Y507" s="182"/>
      <c r="Z507" s="98"/>
      <c r="AA507" s="182"/>
      <c r="AB507" s="98"/>
      <c r="AC507" s="182"/>
      <c r="AD507" s="98"/>
      <c r="AE507" s="182"/>
      <c r="AF507" s="98"/>
      <c r="AG507" s="182"/>
      <c r="AH507" s="98"/>
      <c r="AI507" s="211"/>
      <c r="AJ507" s="98"/>
      <c r="AK507" s="211"/>
      <c r="AL507" s="98"/>
      <c r="AM507" s="211"/>
      <c r="AN507" s="98"/>
      <c r="AO507" s="211"/>
      <c r="AP507" s="98"/>
      <c r="AQ507" s="211"/>
      <c r="AR507" s="98"/>
      <c r="AS507" s="211"/>
      <c r="AT507" s="98"/>
      <c r="AU507" s="211"/>
      <c r="AV507" s="98"/>
      <c r="AW507" s="211"/>
      <c r="AX507" s="98"/>
      <c r="AY507" s="211"/>
      <c r="AZ507" s="98"/>
      <c r="BA507" s="211"/>
      <c r="BB507" s="98"/>
      <c r="BC507" s="211"/>
      <c r="BD507" s="98"/>
      <c r="BE507" s="211"/>
      <c r="BF507" s="98"/>
      <c r="BG507" s="211"/>
      <c r="BH507" s="98"/>
      <c r="BI507" s="211"/>
      <c r="BJ507" s="98"/>
      <c r="BK507" s="211"/>
      <c r="BL507" s="98"/>
      <c r="BM507" s="211"/>
      <c r="BN507" s="98"/>
      <c r="BO507" s="211"/>
      <c r="BP507" s="98"/>
      <c r="BQ507" s="211"/>
      <c r="BR507" s="98"/>
      <c r="BS507" s="211"/>
      <c r="BT507" s="98"/>
      <c r="BU507" s="211"/>
      <c r="BV507" s="98"/>
      <c r="BW507" s="211"/>
      <c r="BX507" s="98"/>
      <c r="BY507" s="211"/>
      <c r="BZ507" s="98"/>
      <c r="CA507" s="211"/>
      <c r="CB507" s="98"/>
      <c r="CC507" s="211"/>
      <c r="CD507" s="98"/>
      <c r="CE507" s="211"/>
      <c r="CF507" s="98"/>
      <c r="CG507" s="211"/>
      <c r="CH507" s="98"/>
      <c r="CI507" s="211"/>
      <c r="CJ507" s="98"/>
      <c r="CK507" s="211"/>
      <c r="CL507" s="98"/>
      <c r="CM507" s="211"/>
      <c r="CN507" s="98"/>
      <c r="CO507" s="211"/>
      <c r="CP507" s="98"/>
      <c r="CQ507" s="552"/>
      <c r="CR507" s="98"/>
      <c r="CS507" s="211"/>
      <c r="CT507" s="98"/>
      <c r="CU507" s="212"/>
      <c r="CV507" s="98"/>
      <c r="CW507" s="212"/>
      <c r="CX507" s="98"/>
      <c r="CY507" s="212"/>
      <c r="CZ507" s="98"/>
      <c r="DA507" s="212"/>
      <c r="DB507" s="98"/>
      <c r="DC507" s="212"/>
      <c r="DD507" s="98"/>
      <c r="DE507" s="212"/>
      <c r="DF507" s="98"/>
      <c r="DG507" s="212"/>
      <c r="DH507" s="98"/>
      <c r="DI507" s="212"/>
      <c r="DJ507" s="98"/>
      <c r="DK507" s="212"/>
      <c r="DL507" s="98"/>
      <c r="DM507" s="212"/>
      <c r="DN507" s="98"/>
      <c r="DO507" s="212"/>
      <c r="DP507" s="98"/>
      <c r="DQ507" s="212"/>
      <c r="DR507" s="98"/>
      <c r="DS507" s="212"/>
      <c r="DT507" s="98"/>
      <c r="DU507" s="212"/>
      <c r="DV507" s="98"/>
      <c r="DW507" s="212"/>
      <c r="DX507" s="98"/>
      <c r="DY507" s="212"/>
      <c r="DZ507" s="98"/>
      <c r="EA507" s="212"/>
      <c r="EB507" s="98"/>
      <c r="EC507" s="212"/>
      <c r="ED507" s="98"/>
      <c r="EE507" s="212"/>
      <c r="EF507" s="860"/>
      <c r="EG507" s="212"/>
      <c r="EH507" s="860"/>
      <c r="EI507" s="212"/>
      <c r="EJ507" s="860"/>
      <c r="EK507" s="212"/>
      <c r="EL507" s="860"/>
      <c r="EM507" s="212"/>
      <c r="EN507" s="860"/>
      <c r="EO507" s="212"/>
      <c r="EP507" s="98"/>
      <c r="EQ507" s="1053"/>
      <c r="ER507" s="98"/>
      <c r="ES507" s="1053"/>
      <c r="ET507" s="98"/>
      <c r="EU507" s="1053"/>
      <c r="EV507" s="98"/>
      <c r="EW507" s="1053"/>
      <c r="EX507" s="98"/>
      <c r="EY507" s="212"/>
      <c r="EZ507" s="594"/>
      <c r="FA507" s="405"/>
      <c r="FB507" s="183"/>
      <c r="FC507" s="98"/>
      <c r="FD507" s="182"/>
      <c r="FE507" s="98"/>
      <c r="FF507" s="183"/>
      <c r="FG507" s="98"/>
      <c r="FH507" s="183"/>
      <c r="FI507" s="98"/>
      <c r="FJ507" s="183"/>
      <c r="FK507" s="98"/>
      <c r="FL507" s="183"/>
      <c r="FM507" s="98"/>
      <c r="FN507" s="212"/>
      <c r="FO507" s="213"/>
      <c r="FP507" s="212"/>
      <c r="FQ507" s="213"/>
      <c r="FR507" s="184"/>
      <c r="FS507" s="214"/>
      <c r="FT507" s="184"/>
      <c r="FU507" s="214"/>
      <c r="FV507" s="184"/>
      <c r="FW507" s="98"/>
      <c r="FX507" s="498"/>
      <c r="FY507" s="98"/>
      <c r="FZ507" s="184"/>
      <c r="GA507" s="98"/>
      <c r="GB507" s="498"/>
      <c r="GC507" s="98"/>
      <c r="GD507" s="212"/>
      <c r="GE507" s="98"/>
      <c r="GF507" s="184"/>
      <c r="GG507" s="98"/>
      <c r="GH507" s="184"/>
      <c r="GI507" s="98"/>
      <c r="GJ507" s="184"/>
      <c r="GK507" s="98"/>
      <c r="GL507" s="184"/>
      <c r="GM507" s="98"/>
      <c r="GN507" s="184"/>
      <c r="GO507" s="98"/>
      <c r="GP507" s="184"/>
      <c r="GQ507" s="98"/>
      <c r="GR507" s="212"/>
      <c r="GS507" s="98"/>
      <c r="GT507" s="212"/>
      <c r="GU507" s="98"/>
      <c r="GV507" s="212"/>
      <c r="GW507" s="98"/>
      <c r="GX507" s="212"/>
      <c r="GY507" s="98"/>
      <c r="GZ507" s="98"/>
      <c r="HA507" s="98"/>
      <c r="HB507" s="10"/>
      <c r="HC507"/>
      <c r="HD507"/>
      <c r="HE507"/>
      <c r="HF507"/>
      <c r="HG507"/>
      <c r="HH507"/>
      <c r="HI507" s="10"/>
    </row>
    <row r="508" spans="1:217" s="2" customFormat="1" ht="12.75" customHeight="1" x14ac:dyDescent="0.2">
      <c r="B508" s="91" t="s">
        <v>480</v>
      </c>
      <c r="C508" s="137">
        <f>+C500/C475*100</f>
        <v>15.522875816993464</v>
      </c>
      <c r="D508" s="98"/>
      <c r="E508" s="137">
        <f>+E500/E475*100</f>
        <v>16.612377850162865</v>
      </c>
      <c r="F508" s="98"/>
      <c r="G508" s="137">
        <f>+G500/G475*100</f>
        <v>12.820512820512819</v>
      </c>
      <c r="H508" s="98"/>
      <c r="I508" s="137">
        <f>+I500/I475*100</f>
        <v>6.4566929133858268</v>
      </c>
      <c r="J508" s="98"/>
      <c r="K508" s="137">
        <f>+K500/K475*100</f>
        <v>9.5867768595041323</v>
      </c>
      <c r="L508" s="98">
        <f>IF(ISERROR((K508/C508-1)*100),"NA",IF(((K508/C508-1)*100)&gt;100,"NM",IF(((K508/C508-1)*100)&lt;-50,"NM",(K508/C508-1)*100)))</f>
        <v>-38.240974336668124</v>
      </c>
      <c r="M508" s="137">
        <f>+M500/M475*100</f>
        <v>11.889250814332247</v>
      </c>
      <c r="N508" s="98">
        <f>IF(ISERROR((M508/E508-1)*100),"NA",IF(((M508/E508-1)*100)&gt;100,"NM",IF(((M508/E508-1)*100)&lt;-50,"NM",(M508/E508-1)*100)))</f>
        <v>-28.431372549019606</v>
      </c>
      <c r="O508" s="137">
        <f>+O500/O475*100</f>
        <v>14.495114006514658</v>
      </c>
      <c r="P508" s="98">
        <f>IF(ISERROR((O508/G508-1)*100),"NA",IF(((O508/G508-1)*100)&gt;100,"NM",IF(((O508/G508-1)*100)&lt;-50,"NM",(O508/G508-1)*100)))</f>
        <v>13.061889250814351</v>
      </c>
      <c r="Q508" s="137">
        <f>+Q500/Q475*100</f>
        <v>15.475040257648956</v>
      </c>
      <c r="R508" s="98" t="str">
        <f>IF(ISERROR((Q508/I508-1)*100),"NA",IF(((Q508/I508-1)*100)&gt;100,"NM",IF(((Q508/I508-1)*100)&lt;-50,"NM",(Q508/I508-1)*100)))</f>
        <v>NM</v>
      </c>
      <c r="S508" s="137">
        <f>+S500/S475*100</f>
        <v>10.973451327433628</v>
      </c>
      <c r="T508" s="98">
        <f>IF(ISERROR((S508/K508-1)*100),"NA",IF(((S508/K508-1)*100)&gt;100,"NM",IF(((S508/K508-1)*100)&lt;-50,"NM",(S508/K508-1)*100)))</f>
        <v>14.464449191333539</v>
      </c>
      <c r="U508" s="137">
        <f>+U500/U475*100</f>
        <v>13.220338983050848</v>
      </c>
      <c r="V508" s="98">
        <f>IF(ISERROR((U508/M508-1)*100),"NA",IF(((U508/M508-1)*100)&gt;100,"NM",IF(((U508/M508-1)*100)&lt;-50,"NM",(U508/M508-1)*100)))</f>
        <v>11.195727884838647</v>
      </c>
      <c r="W508" s="137">
        <f>+W500/W475*100</f>
        <v>11.021069692058347</v>
      </c>
      <c r="X508" s="98">
        <f>IF(ISERROR((W508/O508-1)*100),"NA",IF(((W508/O508-1)*100)&gt;100,"NM",IF(((W508/O508-1)*100)&lt;-50,"NM",(W508/O508-1)*100)))</f>
        <v>-23.967002349170507</v>
      </c>
      <c r="Y508" s="137">
        <f>+Y500/Y475*100</f>
        <v>11.424100156494523</v>
      </c>
      <c r="Z508" s="98">
        <f>IF(ISERROR((Y508/Q508-1)*100),"NA",IF(((Y508/Q508-1)*100)&gt;100,"NM",IF(((Y508/Q508-1)*100)&lt;-50,"NM",(Y508/Q508-1)*100)))</f>
        <v>-26.177250809749243</v>
      </c>
      <c r="AA508" s="137">
        <f>+AA500/AA475*100</f>
        <v>12.794612794612794</v>
      </c>
      <c r="AB508" s="98">
        <f>IF(ISERROR((AA508/S508-1)*100),"NA",IF(((AA508/S508-1)*100)&gt;100,"NM",IF(((AA508/S508-1)*100)&lt;-50,"NM",(AA508/S508-1)*100)))</f>
        <v>16.596068208971438</v>
      </c>
      <c r="AC508" s="137">
        <f>+AC500/AC475*100</f>
        <v>14.072847682119205</v>
      </c>
      <c r="AD508" s="98">
        <f>IF(ISERROR((AC508/U508-1)*100),"NA",IF(((AC508/U508-1)*100)&gt;100,"NM",IF(((AC508/U508-1)*100)&lt;-50,"NM",(AC508/U508-1)*100)))</f>
        <v>6.4484632365427119</v>
      </c>
      <c r="AE508" s="137">
        <f>+AE500/AE475*100</f>
        <v>16.369529983792543</v>
      </c>
      <c r="AF508" s="98">
        <f>IF(ISERROR((AE508/W508-1)*100),"NA",IF(((AE508/W508-1)*100)&gt;100,"NM",IF(((AE508/W508-1)*100)&lt;-50,"NM",(AE508/W508-1)*100)))</f>
        <v>48.529411764705863</v>
      </c>
      <c r="AG508" s="137">
        <f>+AG500/AG475*100</f>
        <v>19.340329835082461</v>
      </c>
      <c r="AH508" s="98">
        <f>IF(ISERROR((AG508/Y508-1)*100),"NA",IF(((AG508/Y508-1)*100)&gt;100,"NM",IF(((AG508/Y508-1)*100)&lt;-50,"NM",(AG508/Y508-1)*100)))</f>
        <v>69.294120063256059</v>
      </c>
      <c r="AI508" s="137">
        <f>+AI500/AI475*100</f>
        <v>19.35483870967742</v>
      </c>
      <c r="AJ508" s="98">
        <f>IF(ISERROR((AI508/AA508-1)*100),"NA",IF(((AI508/AA508-1)*100)&gt;100,"NM",IF(((AI508/AA508-1)*100)&lt;-50,"NM",(AI508/AA508-1)*100)))</f>
        <v>51.273344651952478</v>
      </c>
      <c r="AK508" s="137">
        <f>+AK500/AK475*100</f>
        <v>21.865889212827987</v>
      </c>
      <c r="AL508" s="98">
        <f>IF(ISERROR((AK508/AC508-1)*100),"NA",IF(((AK508/AC508-1)*100)&gt;100,"NM",IF(((AK508/AC508-1)*100)&lt;-50,"NM",(AK508/AC508-1)*100)))</f>
        <v>55.376436288801223</v>
      </c>
      <c r="AM508" s="137">
        <f>+AM500/AM475*100</f>
        <v>20.953757225433524</v>
      </c>
      <c r="AN508" s="98">
        <f>IF(ISERROR((AM508/AE508-1)*100),"NA",IF(((AM508/AE508-1)*100)&gt;100,"NM",IF(((AM508/AE508-1)*100)&lt;-50,"NM",(AM508/AE508-1)*100)))</f>
        <v>28.004635723687986</v>
      </c>
      <c r="AO508" s="137">
        <f>+AO500/AO475*100</f>
        <v>24.299065420560748</v>
      </c>
      <c r="AP508" s="98">
        <f>IF(ISERROR((AO508/AG508-1)*100),"NA",IF(((AO508/AG508-1)*100)&gt;100,"NM",IF(((AO508/AG508-1)*100)&lt;-50,"NM",(AO508/AG508-1)*100)))</f>
        <v>25.639353763674542</v>
      </c>
      <c r="AQ508" s="137">
        <f>+AQ500/AQ475*100</f>
        <v>28.311688311688311</v>
      </c>
      <c r="AR508" s="98">
        <f>IF(ISERROR((AQ508/AI508-1)*100),"NA",IF(((AQ508/AI508-1)*100)&gt;100,"NM",IF(((AQ508/AI508-1)*100)&lt;-50,"NM",(AQ508/AI508-1)*100)))</f>
        <v>46.277056277056275</v>
      </c>
      <c r="AS508" s="137">
        <f>+AS500/AS475*100</f>
        <v>31.137724550898206</v>
      </c>
      <c r="AT508" s="98">
        <f>IF(ISERROR((AS508/AK508-1)*100),"NA",IF(((AS508/AK508-1)*100)&gt;100,"NM",IF(((AS508/AK508-1)*100)&lt;-50,"NM",(AS508/AK508-1)*100)))</f>
        <v>42.403193612774473</v>
      </c>
      <c r="AU508" s="137">
        <f>+AU500/AU475*100</f>
        <v>22.484689413823272</v>
      </c>
      <c r="AV508" s="98">
        <f>IF(ISERROR((AU508/AM508-1)*100),"NA",IF(((AU508/AM508-1)*100)&gt;100,"NM",IF(((AU508/AM508-1)*100)&lt;-50,"NM",(AU508/AM508-1)*100)))</f>
        <v>7.3062418921772787</v>
      </c>
      <c r="AW508" s="137">
        <f>+AW500/AW475*100</f>
        <v>27.369353410097432</v>
      </c>
      <c r="AX508" s="98">
        <f>IF(ISERROR((AW508/AO508-1)*100),"NA",IF(((AW508/AO508-1)*100)&gt;100,"NM",IF(((AW508/AO508-1)*100)&lt;-50,"NM",(AW508/AO508-1)*100)))</f>
        <v>12.635415956939422</v>
      </c>
      <c r="AY508" s="137">
        <f>+AY500/AY475*100</f>
        <v>29.827586206896552</v>
      </c>
      <c r="AZ508" s="98">
        <f>IF(ISERROR((AY508/AQ508-1)*100),"NA",IF(((AY508/AQ508-1)*100)&gt;100,"NM",IF(((AY508/AQ508-1)*100)&lt;-50,"NM",(AY508/AQ508-1)*100)))</f>
        <v>5.3543182537171718</v>
      </c>
      <c r="BA508" s="137">
        <f>+BA500/BA475*100</f>
        <v>27.27272727272727</v>
      </c>
      <c r="BB508" s="98">
        <f>IF(ISERROR((BA508/AS508-1)*100),"NA",IF(((BA508/AS508-1)*100)&gt;100,"NM",IF(((BA508/AS508-1)*100)&lt;-50,"NM",(BA508/AS508-1)*100)))</f>
        <v>-12.412587412587428</v>
      </c>
      <c r="BC508" s="137">
        <f>+BC500/BC475*100</f>
        <v>26.060070671378092</v>
      </c>
      <c r="BD508" s="98">
        <f>IF(ISERROR((BC508/AU508-1)*100),"NA",IF(((BC508/AU508-1)*100)&gt;100,"NM",IF(((BC508/AU508-1)*100)&lt;-50,"NM",(BC508/AU508-1)*100)))</f>
        <v>15.901403803055093</v>
      </c>
      <c r="BE508" s="137">
        <f>+BE500/BE475*100</f>
        <v>28.559804719283971</v>
      </c>
      <c r="BF508" s="98">
        <f>IF(ISERROR((BE508/AW508-1)*100),"NA",IF(((BE508/AW508-1)*100)&gt;100,"NM",IF(((BE508/AW508-1)*100)&lt;-50,"NM",(BE508/AW508-1)*100)))</f>
        <v>4.3495777607495123</v>
      </c>
      <c r="BG508" s="137">
        <f>+BG500/BG475*100</f>
        <v>26.380873866446823</v>
      </c>
      <c r="BH508" s="98">
        <f>IF(ISERROR((BG508/AY508-1)*100),"NA",IF(((BG508/AY508-1)*100)&gt;100,"NM",IF(((BG508/AY508-1)*100)&lt;-50,"NM",(BG508/AY508-1)*100)))</f>
        <v>-11.555451777230308</v>
      </c>
      <c r="BI508" s="137">
        <f>+BI500/BI475*100</f>
        <v>32.34375</v>
      </c>
      <c r="BJ508" s="98">
        <f>IF(ISERROR((BI508/BA508-1)*100),"NA",IF(((BI508/BA508-1)*100)&gt;100,"NM",IF(((BI508/BA508-1)*100)&lt;-50,"NM",(BI508/BA508-1)*100)))</f>
        <v>18.593750000000007</v>
      </c>
      <c r="BK508" s="137">
        <f>+BK500/BK475*100</f>
        <v>29.426229508196723</v>
      </c>
      <c r="BL508" s="98">
        <f>IF(ISERROR((BK508/BC508-1)*100),"NA",IF(((BK508/BC508-1)*100)&gt;100,"NM",IF(((BK508/BC508-1)*100)&lt;-50,"NM",(BK508/BC508-1)*100)))</f>
        <v>12.916921367046408</v>
      </c>
      <c r="BM508" s="137">
        <f>+BM500/BM475*100</f>
        <v>21.879815100154083</v>
      </c>
      <c r="BN508" s="98">
        <f>IF(ISERROR((BM508/BE508-1)*100),"NA",IF(((BM508/BE508-1)*100)&gt;100,"NM",IF(((BM508/BE508-1)*100)&lt;-50,"NM",(BM508/BE508-1)*100)))</f>
        <v>-23.389479321682714</v>
      </c>
      <c r="BO508" s="137">
        <f>+BO500/BO475*100</f>
        <v>21.35593220338983</v>
      </c>
      <c r="BP508" s="98">
        <f>IF(ISERROR((BO508/BG508-1)*100),"NA",IF(((BO508/BG508-1)*100)&gt;100,"NM",IF(((BO508/BG508-1)*100)&lt;-50,"NM",(BO508/BG508-1)*100)))</f>
        <v>-19.047669491525411</v>
      </c>
      <c r="BQ508" s="137">
        <f>+BQ500/BQ475*100</f>
        <v>18.856655290102388</v>
      </c>
      <c r="BR508" s="98">
        <f>IF(ISERROR((BQ508/BI508-1)*100),"NA",IF(((BQ508/BI508-1)*100)&gt;100,"NM",IF(((BQ508/BI508-1)*100)&lt;-50,"NM",(BQ508/BI508-1)*100)))</f>
        <v>-41.699230020939467</v>
      </c>
      <c r="BS508" s="137">
        <f>+BS500/BS475*100</f>
        <v>11.200716845878137</v>
      </c>
      <c r="BT508" s="98" t="str">
        <f>IF(ISERROR((BS508/BK508-1)*100),"NA",IF(((BS508/BK508-1)*100)&gt;100,"NM",IF(((BS508/BK508-1)*100)&lt;-50,"NM",(BS508/BK508-1)*100)))</f>
        <v>NM</v>
      </c>
      <c r="BU508" s="137">
        <f>+BU500/BU475*100</f>
        <v>-27.722772277227726</v>
      </c>
      <c r="BV508" s="98" t="str">
        <f>IF(ISERROR((BU508/BM508-1)*100),"NA",IF(((BU508/BM508-1)*100)&gt;100,"NM",IF(((BU508/BM508-1)*100)&lt;-50,"NM",(BU508/BM508-1)*100)))</f>
        <v>NM</v>
      </c>
      <c r="BW508" s="137">
        <f>+BW500/BW475*100</f>
        <v>-15.676141257536608</v>
      </c>
      <c r="BX508" s="98" t="str">
        <f>IF(ISERROR((BW508/BO508-1)*100),"NA",IF(((BW508/BO508-1)*100)&gt;100,"NM",IF(((BW508/BO508-1)*100)&lt;-50,"NM",(BW508/BO508-1)*100)))</f>
        <v>NM</v>
      </c>
      <c r="BY508" s="137">
        <f>+BY500/BY475*100</f>
        <v>17.001545595054097</v>
      </c>
      <c r="BZ508" s="98">
        <f>IF(ISERROR((BY508/BQ508-1)*100),"NA",IF(((BY508/BQ508-1)*100)&gt;100,"NM",IF(((BY508/BQ508-1)*100)&lt;-50,"NM",(BY508/BQ508-1)*100)))</f>
        <v>-9.83795729681718</v>
      </c>
      <c r="CA508" s="137">
        <f>+CA500/CA475*100</f>
        <v>11.440677966101696</v>
      </c>
      <c r="CB508" s="98">
        <f>IF(ISERROR((CA508/BS508-1)*100),"NA",IF(((CA508/BS508-1)*100)&gt;100,"NM",IF(((CA508/BS508-1)*100)&lt;-50,"NM",(CA508/BS508-1)*100)))</f>
        <v>2.1423728813559251</v>
      </c>
      <c r="CC508" s="137">
        <f>+CC500/CC475*100</f>
        <v>19.600725952813068</v>
      </c>
      <c r="CD508" s="98" t="str">
        <f>IF(ISERROR((CC508/BU508-1)*100),"NA",IF(((CC508/BU508-1)*100)&gt;100,"NM",IF(((CC508/BU508-1)*100)&lt;-50,"NM",(CC508/BU508-1)*100)))</f>
        <v>NM</v>
      </c>
      <c r="CE508" s="137">
        <f>+CE500/CE475*100</f>
        <v>19.024088943792464</v>
      </c>
      <c r="CF508" s="98" t="str">
        <f>IF(ISERROR((CE508/BW508-1)*100),"NA",IF(((CE508/BW508-1)*100)&gt;100,"NM",IF(((CE508/BW508-1)*100)&lt;-50,"NM",(CE508/BW508-1)*100)))</f>
        <v>NM</v>
      </c>
      <c r="CG508" s="137">
        <f>+CG500/CG475*100</f>
        <v>12.688821752265861</v>
      </c>
      <c r="CH508" s="98">
        <f>IF(ISERROR((CG508/BY508-1)*100),"NA",IF(((CG508/BY508-1)*100)&gt;100,"NM",IF(((CG508/BY508-1)*100)&lt;-50,"NM",(CG508/BY508-1)*100)))</f>
        <v>-25.366657511672621</v>
      </c>
      <c r="CI508" s="137">
        <f>+CI500/CI475*100</f>
        <v>22.391702257474069</v>
      </c>
      <c r="CJ508" s="98">
        <f>IF(ISERROR((CI508/CA508-1)*100),"NA",IF(((CI508/CA508-1)*100)&gt;100,"NM",IF(((CI508/CA508-1)*100)&lt;-50,"NM",(CI508/CA508-1)*100)))</f>
        <v>95.720064176440019</v>
      </c>
      <c r="CK508" s="137">
        <f>+CK500/CK475*100</f>
        <v>21.798875702685823</v>
      </c>
      <c r="CL508" s="98">
        <f>IF(ISERROR((CK508/CC508-1)*100),"NA",IF(((CK508/CC508-1)*100)&gt;100,"NM",IF(((CK508/CC508-1)*100)&lt;-50,"NM",(CK508/CC508-1)*100)))</f>
        <v>11.214634372036002</v>
      </c>
      <c r="CM508" s="137">
        <f>+CM500/CM475*100</f>
        <v>21.853388658367912</v>
      </c>
      <c r="CN508" s="98">
        <f>IF(ISERROR((CM508/CE508-1)*100),"NA",IF(((CM508/CE508-1)*100)&gt;100,"NM",IF(((CM508/CE508-1)*100)&lt;-50,"NM",(CM508/CE508-1)*100)))</f>
        <v>14.872195577589785</v>
      </c>
      <c r="CO508" s="137">
        <f>+CO500/CO475*100</f>
        <v>18.0296200901481</v>
      </c>
      <c r="CP508" s="98">
        <f>IF(ISERROR((CO508/CG508-1)*100),"NA",IF(((CO508/CG508-1)*100)&gt;100,"NM",IF(((CO508/CG508-1)*100)&lt;-50,"NM",(CO508/CG508-1)*100)))</f>
        <v>42.090577377119544</v>
      </c>
      <c r="CQ508" s="494">
        <f>+CQ500/CQ475*100</f>
        <v>8.5646780862374481</v>
      </c>
      <c r="CR508" s="98" t="str">
        <f>IF(ISERROR((CQ508/CI508-1)*100),"NA",IF(((CQ508/CI508-1)*100)&gt;100,"NM",IF(((CQ508/CI508-1)*100)&lt;-50,"NM",(CQ508/CI508-1)*100)))</f>
        <v>NM</v>
      </c>
      <c r="CS508" s="137">
        <f>+CS500/CS475*100</f>
        <v>19.360675512665861</v>
      </c>
      <c r="CT508" s="98">
        <f>IF(ISERROR((CS508/CK508-1)*100),"NA",IF(((CS508/CK508-1)*100)&gt;100,"NM",IF(((CS508/CK508-1)*100)&lt;-50,"NM",(CS508/CK508-1)*100)))</f>
        <v>-11.184981387455473</v>
      </c>
      <c r="CU508" s="137">
        <f>+CU500/CU475*100</f>
        <v>25.188624492164831</v>
      </c>
      <c r="CV508" s="98">
        <f>IF(ISERROR((CU508/CM508-1)*100),"NA",IF(((CU508/CM508-1)*100)&gt;100,"NM",IF(((CU508/CM508-1)*100)&lt;-50,"NM",(CU508/CM508-1)*100)))</f>
        <v>15.261870302754254</v>
      </c>
      <c r="CW508" s="137">
        <f>+CW500/CW475*100</f>
        <v>21.068609593199756</v>
      </c>
      <c r="CX508" s="98">
        <f>IF(ISERROR((CW508/CO508-1)*100),"NA",IF(((CW508/CO508-1)*100)&gt;100,"NM",IF(((CW508/CO508-1)*100)&lt;-50,"NM",(CW508/CO508-1)*100)))</f>
        <v>16.855538207997213</v>
      </c>
      <c r="CY508" s="137">
        <f>+CY500/CY475*100</f>
        <v>26.384752829064915</v>
      </c>
      <c r="CZ508" s="98" t="str">
        <f>IF(ISERROR((CY508/CQ508-1)*100),"NA",IF(((CY508/CQ508-1)*100)&gt;100,"NM",IF(((CY508/CQ508-1)*100)&lt;-50,"NM",(CY508/CQ508-1)*100)))</f>
        <v>NM</v>
      </c>
      <c r="DA508" s="137">
        <f>+DA500/DA475*100</f>
        <v>41.578947368421055</v>
      </c>
      <c r="DB508" s="98" t="str">
        <f>IF(ISERROR((DA508/CS508-1)*100),"NA",IF(((DA508/CS508-1)*100)&gt;100,"NM",IF(((DA508/CS508-1)*100)&lt;-50,"NM",(DA508/CS508-1)*100)))</f>
        <v>NM</v>
      </c>
      <c r="DC508" s="137">
        <f>+DC500/DC475*100</f>
        <v>33.140208574739283</v>
      </c>
      <c r="DD508" s="98">
        <f>IF(ISERROR((DC508/CU508-1)*100),"NA",IF(((DC508/CU508-1)*100)&gt;100,"NM",IF(((DC508/CU508-1)*100)&lt;-50,"NM",(DC508/CU508-1)*100)))</f>
        <v>31.568155240266769</v>
      </c>
      <c r="DE508" s="137">
        <f>+DE500/DE475*100</f>
        <v>31.53203342618384</v>
      </c>
      <c r="DF508" s="98">
        <f>IF(ISERROR((DE508/CW508-1)*100),"NA",IF(((DE508/CW508-1)*100)&gt;100,"NM",IF(((DE508/CW508-1)*100)&lt;-50,"NM",(DE508/CW508-1)*100)))</f>
        <v>49.663570757708328</v>
      </c>
      <c r="DG508" s="137">
        <f>+DG500/DG475*100</f>
        <v>36.051026067665006</v>
      </c>
      <c r="DH508" s="98">
        <f>IF(ISERROR((DG508/CY508-1)*100),"NA",IF(((DG508/CY508-1)*100)&gt;100,"NM",IF(((DG508/CY508-1)*100)&lt;-50,"NM",(DG508/CY508-1)*100)))</f>
        <v>36.635830175190875</v>
      </c>
      <c r="DI508" s="137">
        <f>+DI500/DI475*100</f>
        <v>30.115424973767052</v>
      </c>
      <c r="DJ508" s="98">
        <f>IF(ISERROR((DI508/DA508-1)*100),"NA",IF(((DI508/DA508-1)*100)&gt;100,"NM",IF(((DI508/DA508-1)*100)&lt;-50,"NM",(DI508/DA508-1)*100)))</f>
        <v>-27.570496898534948</v>
      </c>
      <c r="DK508" s="137">
        <f>+DK500/DK475*100</f>
        <v>27.502579979360164</v>
      </c>
      <c r="DL508" s="98">
        <f>IF(ISERROR((DK508/DC508-1)*100),"NA",IF(((DK508/DC508-1)*100)&gt;100,"NM",IF(((DK508/DC508-1)*100)&lt;-50,"NM",(DK508/DC508-1)*100)))</f>
        <v>-17.011445726616014</v>
      </c>
      <c r="DM508" s="137">
        <f>+DM500/DM475*100</f>
        <v>29.120879120879124</v>
      </c>
      <c r="DN508" s="98">
        <f>IF(ISERROR((DM508/DE508-1)*100),"NA",IF(((DM508/DE508-1)*100)&gt;100,"NM",IF(((DM508/DE508-1)*100)&lt;-50,"NM",(DM508/DE508-1)*100)))</f>
        <v>-7.6466819399681363</v>
      </c>
      <c r="DO508" s="137">
        <f>+DO500/DO475*100</f>
        <v>24.500730638090598</v>
      </c>
      <c r="DP508" s="98">
        <f>IF(ISERROR((DO508/DG508-1)*100),"NA",IF(((DO508/DG508-1)*100)&gt;100,"NM",IF(((DO508/DG508-1)*100)&lt;-50,"NM",(DO508/DG508-1)*100)))</f>
        <v>-32.038742553111774</v>
      </c>
      <c r="DQ508" s="137">
        <f>+DQ500/DQ475*100</f>
        <v>27.380952380952383</v>
      </c>
      <c r="DR508" s="98">
        <f>IF(ISERROR((DQ508/DI508-1)*100),"NA",IF(((DQ508/DI508-1)*100)&gt;100,"NM",IF(((DQ508/DI508-1)*100)&lt;-50,"NM",(DQ508/DI508-1)*100)))</f>
        <v>-9.0799734527957412</v>
      </c>
      <c r="DS508" s="137">
        <f>+DS500/DS475*100</f>
        <v>16.266342353298874</v>
      </c>
      <c r="DT508" s="98">
        <f>IF(ISERROR((DS508/DK508-1)*100),"NA",IF(((DS508/DK508-1)*100)&gt;100,"NM",IF(((DS508/DK508-1)*100)&lt;-50,"NM",(DS508/DK508-1)*100)))</f>
        <v>-40.85521298181385</v>
      </c>
      <c r="DU508" s="137">
        <f>+DU500/DU475*100</f>
        <v>16.442451420029897</v>
      </c>
      <c r="DV508" s="98">
        <f>IF(ISERROR((DU508/DM508-1)*100),"NA",IF(((DU508/DM508-1)*100)&gt;100,"NM",IF(((DU508/DM508-1)*100)&lt;-50,"NM",(DU508/DM508-1)*100)))</f>
        <v>-43.537242293482251</v>
      </c>
      <c r="DW508" s="137">
        <f>+DW500/DW475*100</f>
        <v>10.715391762155466</v>
      </c>
      <c r="DX508" s="98" t="str">
        <f>IF(ISERROR((DW508/DO508-1)*100),"NA",IF(((DW508/DO508-1)*100)&gt;100,"NM",IF(((DW508/DO508-1)*100)&lt;-50,"NM",(DW508/DO508-1)*100)))</f>
        <v>NM</v>
      </c>
      <c r="DY508" s="137">
        <f>+DY500/DY475*100</f>
        <v>11.896813353566008</v>
      </c>
      <c r="DZ508" s="98" t="str">
        <f>IF(ISERROR((DY508/DQ508-1)*100),"NA",IF(((DY508/DQ508-1)*100)&gt;100,"NM",IF(((DY508/DQ508-1)*100)&lt;-50,"NM",(DY508/DQ508-1)*100)))</f>
        <v>NM</v>
      </c>
      <c r="EA508" s="137">
        <f>+EA500/EA475*100</f>
        <v>12.519961673586714</v>
      </c>
      <c r="EB508" s="98">
        <f>IF(ISERROR((EA508/DS508-1)*100),"NA",IF(((EA508/DS508-1)*100)&gt;100,"NM",IF(((EA508/DS508-1)*100)&lt;-50,"NM",(EA508/DS508-1)*100)))</f>
        <v>-23.031487954342612</v>
      </c>
      <c r="EC508" s="137">
        <f>+EC500/EC475*100</f>
        <v>-2.4027821688270627</v>
      </c>
      <c r="ED508" s="98" t="str">
        <f>IF(ISERROR((EC508/DU508-1)*100),"NA",IF(((EC508/DU508-1)*100)&gt;100,"NM",IF(((EC508/DU508-1)*100)&lt;-50,"NM",(EC508/DU508-1)*100)))</f>
        <v>NM</v>
      </c>
      <c r="EE508" s="137">
        <f>+EE500/EE475*100</f>
        <v>12.516170763260027</v>
      </c>
      <c r="EF508" s="860">
        <f>IF(ISERROR((EE508/DW508-1)*100),"NA",IF(((EE508/DW508-1)*100)&gt;100,"NM",IF(((EE508/DW508-1)*100)&lt;-50,"NM",(EE508/DW508-1)*100)))</f>
        <v>16.805535822446906</v>
      </c>
      <c r="EG508" s="137">
        <f>+EG500/EG475*100</f>
        <v>9.31515741642324</v>
      </c>
      <c r="EH508" s="860">
        <f>IF(ISERROR((EG508/DY508-1)*100),"NA",IF(((EG508/DY508-1)*100)&gt;100,"NM",IF(((EG508/DY508-1)*100)&lt;-50,"NM",(EG508/DY508-1)*100)))</f>
        <v>-21.700398757360773</v>
      </c>
      <c r="EI508" s="137">
        <f>+EI500/EI475*100</f>
        <v>19.371196754563893</v>
      </c>
      <c r="EJ508" s="860">
        <f t="shared" ref="EJ508:EJ509" si="3215">IF(ISERROR((EI508/EA508-1)*100),"NA",IF(((EI508/EA508-1)*100)&gt;100,"NM",IF(((EI508/EA508-1)*100)&lt;-50,"NM",(EI508/EA508-1)*100)))</f>
        <v>54.722492445253955</v>
      </c>
      <c r="EK508" s="137">
        <f>+EK500/EK475*100</f>
        <v>12.192513368983956</v>
      </c>
      <c r="EL508" s="860" t="str">
        <f t="shared" ref="EL508:EL509" si="3216">IF(ISERROR((EK508/EC508-1)*100),"NA",IF(((EK508/EC508-1)*100)&gt;100,"NM",IF(((EK508/EC508-1)*100)&lt;-50,"NM",(EK508/EC508-1)*100)))</f>
        <v>NM</v>
      </c>
      <c r="EM508" s="137">
        <f>+EM500/EM475*100</f>
        <v>19.457504520795659</v>
      </c>
      <c r="EN508" s="860">
        <f t="shared" ref="EN508:EN509" si="3217">IF(ISERROR((EM508/EE508-1)*100),"NA",IF(((EM508/EE508-1)*100)&gt;100,"NM",IF(((EM508/EE508-1)*100)&lt;-50,"NM",(EM508/EE508-1)*100)))</f>
        <v>55.458925008527579</v>
      </c>
      <c r="EO508" s="137">
        <f>+EO500/EO475*100</f>
        <v>9.7595473833097586</v>
      </c>
      <c r="EP508" s="98">
        <f t="shared" ref="EP508:EP509" si="3218">IF(ISERROR((EO508/EG508-1)*100),"NA",IF(((EO508/EG508-1)*100)&gt;100,"NM",IF(((EO508/EG508-1)*100)&lt;-50,"NM",(EO508/EG508-1)*100)))</f>
        <v>4.7706114563671242</v>
      </c>
      <c r="EQ508" s="818">
        <f>+EQ500/EQ475*100</f>
        <v>11.366732173357239</v>
      </c>
      <c r="ER508" s="98">
        <f t="shared" ref="ER508:ER509" si="3219">IF(ISERROR((EQ508/EI508-1)*100),"NA",IF(((EQ508/EI508-1)*100)&gt;100,"NM",IF(((EQ508/EI508-1)*100)&lt;-50,"NM",(EQ508/EI508-1)*100)))</f>
        <v>-41.321476843297191</v>
      </c>
      <c r="ES508" s="818">
        <f t="shared" ref="ES508" si="3220">+ES500/ES475*100</f>
        <v>11.287818521990433</v>
      </c>
      <c r="ET508" s="98">
        <f t="shared" ref="ET508:ET509" si="3221">IF(ISERROR((ES508/EK508-1)*100),"NA",IF(((ES508/EK508-1)*100)&gt;100,"NM",IF(((ES508/EK508-1)*100)&lt;-50,"NM",(ES508/EK508-1)*100)))</f>
        <v>-7.4200849292889837</v>
      </c>
      <c r="EU508" s="818">
        <f t="shared" ref="EU508" si="3222">+EU500/EU475*100</f>
        <v>11.241325145203598</v>
      </c>
      <c r="EV508" s="98">
        <f t="shared" ref="EV508:EV509" si="3223">IF(ISERROR((EU508/EM508-1)*100),"NA",IF(((EU508/EM508-1)*100)&gt;100,"NM",IF(((EU508/EM508-1)*100)&lt;-50,"NM",(EU508/EM508-1)*100)))</f>
        <v>-42.226275043702699</v>
      </c>
      <c r="EW508" s="818">
        <f t="shared" ref="EW508" si="3224">+EW500/EW475*100</f>
        <v>11.183925416221072</v>
      </c>
      <c r="EX508" s="98">
        <f t="shared" ref="EX508:EX509" si="3225">IF(ISERROR((EW508/EO508-1)*100),"NA",IF(((EW508/EO508-1)*100)&gt;100,"NM",IF(((EW508/EO508-1)*100)&lt;-50,"NM",(EW508/EO508-1)*100)))</f>
        <v>14.594714047366653</v>
      </c>
      <c r="EY508" s="125"/>
      <c r="EZ508" s="594"/>
      <c r="FA508" s="405"/>
      <c r="FB508" s="125">
        <f>+FB500/FB475*100</f>
        <v>13.258541560428352</v>
      </c>
      <c r="FC508" s="98"/>
      <c r="FD508" s="137">
        <f>+FD500/FD475*100</f>
        <v>15.869786368260428</v>
      </c>
      <c r="FE508" s="98">
        <f>IF(ISERROR((FD508/FB508-1)*100),"NA",IF(((FD508/FB508-1)*100)&gt;100,"NM",IF(((FD508/FB508-1)*100)&lt;-50,"NM",(FD508/FB508-1)*100)))</f>
        <v>19.694811800610388</v>
      </c>
      <c r="FF508" s="125">
        <f>+FF500/FF475*100</f>
        <v>12.796780684104627</v>
      </c>
      <c r="FG508" s="98">
        <f>IF(ISERROR((FF508/FD508-1)*100),"NA",IF(((FF508/FD508-1)*100)&gt;100,"NM",IF(((FF508/FD508-1)*100)&lt;-50,"NM",(FF508/FD508-1)*100)))</f>
        <v>-19.363875561058663</v>
      </c>
      <c r="FH508" s="125">
        <f>+FH500/FH475*100</f>
        <v>12.881010594947021</v>
      </c>
      <c r="FI508" s="98">
        <f>IF(ISERROR((FH508/FF508-1)*100),"NA",IF(((FH508/FF508-1)*100)&gt;100,"NM",IF(((FH508/FF508-1)*100)&lt;-50,"NM",(FH508/FF508-1)*100)))</f>
        <v>0.65821172466462574</v>
      </c>
      <c r="FJ508" s="125">
        <f>+FJ500/FJ475*100</f>
        <v>11.654914973040233</v>
      </c>
      <c r="FK508" s="98">
        <f>IF(ISERROR((FJ508/FH508-1)*100),"NA",IF(((FJ508/FH508-1)*100)&gt;100,"NM",IF(((FJ508/FH508-1)*100)&lt;-50,"NM",(FJ508/FH508-1)*100)))</f>
        <v>-9.5186290925633017</v>
      </c>
      <c r="FL508" s="125">
        <f>+FL500/FL475*100</f>
        <v>15.753424657534246</v>
      </c>
      <c r="FM508" s="98">
        <f>IF(ISERROR((FL508/FJ508-1)*100),"NA",IF(((FL508/FJ508-1)*100)&gt;100,"NM",IF(((FL508/FJ508-1)*100)&lt;-50,"NM",(FL508/FJ508-1)*100)))</f>
        <v>35.165504801832981</v>
      </c>
      <c r="FN508" s="125">
        <f>+FN500/FN475*100</f>
        <v>21.706263498920087</v>
      </c>
      <c r="FO508" s="98">
        <f>IF(ISERROR((FN508/FL508-1)*100),"NA",IF(((FN508/FL508-1)*100)&gt;100,"NM",IF(((FN508/FL508-1)*100)&lt;-50,"NM",(FN508/FL508-1)*100)))</f>
        <v>37.78758568879708</v>
      </c>
      <c r="FP508" s="125">
        <f>+FP500/FP475*100</f>
        <v>26.928037142120196</v>
      </c>
      <c r="FQ508" s="98">
        <f>IF(ISERROR((FP508/FN508-1)*100),"NA",IF(((FP508/FN508-1)*100)&gt;100,"NM",IF(((FP508/FN508-1)*100)&lt;-50,"NM",(FP508/FN508-1)*100)))</f>
        <v>24.05652932140945</v>
      </c>
      <c r="FR508" s="130">
        <f>+FR500/FR475*100</f>
        <v>27.951240376390079</v>
      </c>
      <c r="FS508" s="120">
        <f>IF(ISERROR((FR508/FP508-1)*100),"NA",IF(((FR508/FP508-1)*100)&gt;100,"NM",IF(((FR508/FP508-1)*100)&lt;-50,"NM",(FR508/FP508-1)*100)))</f>
        <v>3.7997690989121979</v>
      </c>
      <c r="FT508" s="130">
        <f>+FT500/FT475*100</f>
        <v>27.479545000997806</v>
      </c>
      <c r="FU508" s="120">
        <f>IF(ISERROR((FT508/FR508-1)*100),"NA",IF(((FT508/FR508-1)*100)&gt;100,"NM",IF(((FT508/FR508-1)*100)&lt;-50,"NM",(FT508/FR508-1)*100)))</f>
        <v>-1.6875650920690655</v>
      </c>
      <c r="FV508" s="130">
        <f>+FV500/FV475*100</f>
        <v>6.1293031066330812</v>
      </c>
      <c r="FW508" s="98" t="str">
        <f>IF(ISERROR((FV508/FT508-1)*100),"NA",IF(((FV508/FT508-1)*100)&gt;100,"NM",IF(((FV508/FT508-1)*100)&lt;-50,"NM",(FV508/FT508-1)*100)))</f>
        <v>NM</v>
      </c>
      <c r="FX508" s="487">
        <f>+FX500/FX475*100</f>
        <v>9.485879797248371</v>
      </c>
      <c r="FY508" s="98">
        <f>IF(ISERROR((FX508/FV508-1)*100),"NA",IF(((FX508/FV508-1)*100)&gt;100,"NM",IF(((FX508/FV508-1)*100)&lt;-50,"NM",(FX508/FV508-1)*100)))</f>
        <v>54.76277860990151</v>
      </c>
      <c r="FZ508" s="130">
        <f>+FZ500/FZ475*100</f>
        <v>18.94381332514584</v>
      </c>
      <c r="GA508" s="98">
        <f>IF(ISERROR((FZ508/FX508-1)*100),"NA",IF(((FZ508/FX508-1)*100)&gt;100,"NM",IF(((FZ508/FX508-1)*100)&lt;-50,"NM",(FZ508/FX508-1)*100)))</f>
        <v>99.705390855163387</v>
      </c>
      <c r="GB508" s="487">
        <f>+GB500/GB475*100</f>
        <v>16.724409448818896</v>
      </c>
      <c r="GC508" s="98">
        <f>IF(ISERROR((GB508/FZ508-1)*100),"NA",IF(((GB508/FZ508-1)*100)&gt;100,"NM",IF(((GB508/FZ508-1)*100)&lt;-50,"NM",(GB508/FZ508-1)*100)))</f>
        <v>-11.715718679411435</v>
      </c>
      <c r="GD508" s="130">
        <f>+GD500/GD475*100</f>
        <v>28.628495339547271</v>
      </c>
      <c r="GE508" s="98">
        <f>IF(ISERROR((GD508/GB508-1)*100),"NA",IF(((GD508/GB508-1)*100)&gt;100,"NM",IF(((GD508/GB508-1)*100)&lt;-50,"NM",(GD508/GB508-1)*100)))</f>
        <v>71.177914695033138</v>
      </c>
      <c r="GF508" s="130">
        <f>+GF500/GF475*100</f>
        <v>32.669432918395572</v>
      </c>
      <c r="GG508" s="98">
        <f>IF(ISERROR((GF508/GD508-1)*100),"NA",IF(((GF508/GD508-1)*100)&gt;100,"NM",IF(((GF508/GD508-1)*100)&lt;-50,"NM",(GF508/GD508-1)*100)))</f>
        <v>14.115088938209652</v>
      </c>
      <c r="GH508" s="130">
        <f>+GH500/GH475*100</f>
        <v>27.104100946372238</v>
      </c>
      <c r="GI508" s="98">
        <f>IF(ISERROR((GH508/GF508-1)*100),"NA",IF(((GH508/GF508-1)*100)&gt;100,"NM",IF(((GH508/GF508-1)*100)&lt;-50,"NM",(GH508/GF508-1)*100)))</f>
        <v>-17.035287958394875</v>
      </c>
      <c r="GJ508" s="130">
        <f>+GJ500/GJ475*100</f>
        <v>13.8546891624867</v>
      </c>
      <c r="GK508" s="98">
        <f>IF(ISERROR((GJ508/GH508-1)*100),"NA",IF(((GJ508/GH508-1)*100)&gt;100,"NM",IF(((GJ508/GH508-1)*100)&lt;-50,"NM",(GJ508/GH508-1)*100)))</f>
        <v>-48.883421036914754</v>
      </c>
      <c r="GL508" s="130">
        <f>+GL500/GL475*100</f>
        <v>7.940964145343707</v>
      </c>
      <c r="GM508" s="98">
        <f>IF(ISERROR((GL508/GJ508-1)*100),"NA",IF(((GL508/GJ508-1)*100)&gt;100,"NM",IF(((GL508/GJ508-1)*100)&lt;-50,"NM",(GL508/GJ508-1)*100)))</f>
        <v>-42.683924177491775</v>
      </c>
      <c r="GN508" s="130">
        <f>+GN500/GN475*100</f>
        <v>15.225431489961256</v>
      </c>
      <c r="GO508" s="98">
        <f>IF(ISERROR((GN508/GL508-1)*100),"NA",IF(((GN508/GL508-1)*100)&gt;100,"NM",IF(((GN508/GL508-1)*100)&lt;-50,"NM",(GN508/GL508-1)*100)))</f>
        <v>91.732782207421209</v>
      </c>
      <c r="GP508" s="130">
        <f>+GP500/GP475*100</f>
        <v>11.270551149207419</v>
      </c>
      <c r="GQ508" s="98">
        <f>IF(ISERROR((GP508/GN508-1)*100),"NA",IF(((GP508/GN508-1)*100)&gt;100,"NM",IF(((GP508/GN508-1)*100)&lt;-50,"NM",(GP508/GN508-1)*100)))</f>
        <v>-25.975489386697838</v>
      </c>
      <c r="GR508" s="125">
        <f>+GR500/GR475*100</f>
        <v>10.59625484596347</v>
      </c>
      <c r="GS508" s="98">
        <f>IF(ISERROR((GR508/GP508-1)*100),"NA",IF(((GR508/GP508-1)*100)&gt;100,"NM",IF(((GR508/GP508-1)*100)&lt;-50,"NM",(GR508/GP508-1)*100)))</f>
        <v>-5.9828156965630486</v>
      </c>
      <c r="GT508" s="125">
        <f>+GT500/GT475*100</f>
        <v>10.05434337252157</v>
      </c>
      <c r="GU508" s="98">
        <f>IF(ISERROR((GT508/GR508-1)*100),"NA",IF(((GT508/GR508-1)*100)&gt;100,"NM",IF(((GT508/GR508-1)*100)&lt;-50,"NM",(GT508/GR508-1)*100)))</f>
        <v>-5.1141793144804826</v>
      </c>
      <c r="GV508" s="125">
        <f>+GV500/GV475*100</f>
        <v>9.6111171228548038</v>
      </c>
      <c r="GW508" s="98">
        <f>IF(ISERROR((GV508/GT508-1)*100),"NA",IF(((GV508/GT508-1)*100)&gt;100,"NM",IF(((GV508/GT508-1)*100)&lt;-50,"NM",(GV508/GT508-1)*100)))</f>
        <v>-4.4083062736657634</v>
      </c>
      <c r="GX508" s="125">
        <f>+GX500/GX475*100</f>
        <v>9.0809801182954182</v>
      </c>
      <c r="GY508" s="98">
        <f>IF(ISERROR((GX508/GV508-1)*100),"NA",IF(((GX508/GV508-1)*100)&gt;100,"NM",IF(((GX508/GV508-1)*100)&lt;-50,"NM",(GX508/GV508-1)*100)))</f>
        <v>-5.5158728978418559</v>
      </c>
      <c r="GZ508" s="98">
        <f>IF(ISERROR(((GX508/GN508)^0.2-1)*100),"NA",IF((((GX508/GN508)^0.2-1)*100)&gt;100,"NM",IF((((GX508/GN508)^0.2-1)*100)&lt;-50,"NM",((GX508/GN508)^0.2-1)*100)))</f>
        <v>-9.8195032830686539</v>
      </c>
      <c r="HA508" s="98"/>
      <c r="HB508" s="10"/>
      <c r="HC508"/>
      <c r="HD508"/>
      <c r="HE508"/>
      <c r="HF508"/>
      <c r="HG508"/>
      <c r="HH508"/>
      <c r="HI508" s="10"/>
    </row>
    <row r="509" spans="1:217" s="2" customFormat="1" ht="12.75" customHeight="1" x14ac:dyDescent="0.2">
      <c r="B509" s="91" t="s">
        <v>105</v>
      </c>
      <c r="C509" s="137">
        <f>+C503/C475*100</f>
        <v>9.8039215686274517</v>
      </c>
      <c r="D509" s="98"/>
      <c r="E509" s="137">
        <f>+E503/E475*100</f>
        <v>11.237785016286644</v>
      </c>
      <c r="F509" s="98"/>
      <c r="G509" s="137">
        <f>+G503/G475*100</f>
        <v>7.6923076923076925</v>
      </c>
      <c r="H509" s="98"/>
      <c r="I509" s="137">
        <f>+I503/I475*100</f>
        <v>3.9370078740157481</v>
      </c>
      <c r="J509" s="98"/>
      <c r="K509" s="137">
        <f>+K503/K475*100</f>
        <v>5.9504132231404956</v>
      </c>
      <c r="L509" s="98">
        <f>IF(ISERROR((K509/C509-1)*100),"NA",IF(((K509/C509-1)*100)&gt;100,"NM",IF(((K509/C509-1)*100)&lt;-50,"NM",(K509/C509-1)*100)))</f>
        <v>-39.305785123966949</v>
      </c>
      <c r="M509" s="137">
        <f>+M503/M475*100</f>
        <v>7.6547231270358314</v>
      </c>
      <c r="N509" s="98">
        <f>IF(ISERROR((M509/E509-1)*100),"NA",IF(((M509/E509-1)*100)&gt;100,"NM",IF(((M509/E509-1)*100)&lt;-50,"NM",(M509/E509-1)*100)))</f>
        <v>-31.884057971014478</v>
      </c>
      <c r="O509" s="137">
        <f>+O503/O475*100</f>
        <v>9.2833876221498368</v>
      </c>
      <c r="P509" s="98">
        <f>IF(ISERROR((O509/G509-1)*100),"NA",IF(((O509/G509-1)*100)&gt;100,"NM",IF(((O509/G509-1)*100)&lt;-50,"NM",(O509/G509-1)*100)))</f>
        <v>20.68403908794787</v>
      </c>
      <c r="Q509" s="137">
        <f>+Q503/Q475*100</f>
        <v>9.983896940418683</v>
      </c>
      <c r="R509" s="98" t="str">
        <f>IF(ISERROR((Q509/I509-1)*100),"NA",IF(((Q509/I509-1)*100)&gt;100,"NM",IF(((Q509/I509-1)*100)&lt;-50,"NM",(Q509/I509-1)*100)))</f>
        <v>NM</v>
      </c>
      <c r="S509" s="137">
        <f>+S503/S475*100</f>
        <v>7.0796460176991154</v>
      </c>
      <c r="T509" s="98">
        <f>IF(ISERROR((S509/K509-1)*100),"NA",IF(((S509/K509-1)*100)&gt;100,"NM",IF(((S509/K509-1)*100)&lt;-50,"NM",(S509/K509-1)*100)))</f>
        <v>18.977384464110148</v>
      </c>
      <c r="U509" s="137">
        <f>+U503/U475*100</f>
        <v>8.4745762711864394</v>
      </c>
      <c r="V509" s="98">
        <f>IF(ISERROR((U509/M509-1)*100),"NA",IF(((U509/M509-1)*100)&gt;100,"NM",IF(((U509/M509-1)*100)&lt;-50,"NM",(U509/M509-1)*100)))</f>
        <v>10.710421925712188</v>
      </c>
      <c r="W509" s="137">
        <f>+W503/W475*100</f>
        <v>7.1312803889789302</v>
      </c>
      <c r="X509" s="98">
        <f>IF(ISERROR((W509/O509-1)*100),"NA",IF(((W509/O509-1)*100)&gt;100,"NM",IF(((W509/O509-1)*100)&lt;-50,"NM",(W509/O509-1)*100)))</f>
        <v>-23.182348090648009</v>
      </c>
      <c r="Y509" s="137">
        <f>+Y503/Y475*100</f>
        <v>7.3552425665101726</v>
      </c>
      <c r="Z509" s="98">
        <f>IF(ISERROR((Y509/Q509-1)*100),"NA",IF(((Y509/Q509-1)*100)&gt;100,"NM",IF(((Y509/Q509-1)*100)&lt;-50,"NM",(Y509/Q509-1)*100)))</f>
        <v>-26.328941390277173</v>
      </c>
      <c r="AA509" s="137">
        <f>+AA503/AA475*100</f>
        <v>8.4175084175084187</v>
      </c>
      <c r="AB509" s="98">
        <f>IF(ISERROR((AA509/S509-1)*100),"NA",IF(((AA509/S509-1)*100)&gt;100,"NM",IF(((AA509/S509-1)*100)&lt;-50,"NM",(AA509/S509-1)*100)))</f>
        <v>18.897306397306401</v>
      </c>
      <c r="AC509" s="137">
        <f>+AC503/AC475*100</f>
        <v>9.2715231788079464</v>
      </c>
      <c r="AD509" s="98">
        <f>IF(ISERROR((AC509/U509-1)*100),"NA",IF(((AC509/U509-1)*100)&gt;100,"NM",IF(((AC509/U509-1)*100)&lt;-50,"NM",(AC509/U509-1)*100)))</f>
        <v>9.4039735099337829</v>
      </c>
      <c r="AE509" s="137">
        <f>+AE503/AE475*100</f>
        <v>10.858995137763371</v>
      </c>
      <c r="AF509" s="98">
        <f>IF(ISERROR((AE509/W509-1)*100),"NA",IF(((AE509/W509-1)*100)&gt;100,"NM",IF(((AE509/W509-1)*100)&lt;-50,"NM",(AE509/W509-1)*100)))</f>
        <v>52.272727272727273</v>
      </c>
      <c r="AG509" s="137">
        <f>+AG503/AG475*100</f>
        <v>12.743628185907047</v>
      </c>
      <c r="AH509" s="98">
        <f>IF(ISERROR((AG509/Y509-1)*100),"NA",IF(((AG509/Y509-1)*100)&gt;100,"NM",IF(((AG509/Y509-1)*100)&lt;-50,"NM",(AG509/Y509-1)*100)))</f>
        <v>73.259115123289419</v>
      </c>
      <c r="AI509" s="137">
        <f>+AI503/AI475*100</f>
        <v>13.056835637480798</v>
      </c>
      <c r="AJ509" s="98">
        <f>IF(ISERROR((AI509/AA509-1)*100),"NA",IF(((AI509/AA509-1)*100)&gt;100,"NM",IF(((AI509/AA509-1)*100)&lt;-50,"NM",(AI509/AA509-1)*100)))</f>
        <v>55.115207373271872</v>
      </c>
      <c r="AK509" s="137">
        <f>+AK503/AK475*100</f>
        <v>14.723032069970845</v>
      </c>
      <c r="AL509" s="98">
        <f>IF(ISERROR((AK509/AC509-1)*100),"NA",IF(((AK509/AC509-1)*100)&gt;100,"NM",IF(((AK509/AC509-1)*100)&lt;-50,"NM",(AK509/AC509-1)*100)))</f>
        <v>58.798417326114127</v>
      </c>
      <c r="AM509" s="137">
        <f>+AM503/AM475*100</f>
        <v>14.16184971098266</v>
      </c>
      <c r="AN509" s="98">
        <f>IF(ISERROR((AM509/AE509-1)*100),"NA",IF(((AM509/AE509-1)*100)&gt;100,"NM",IF(((AM509/AE509-1)*100)&lt;-50,"NM",(AM509/AE509-1)*100)))</f>
        <v>30.415839875765684</v>
      </c>
      <c r="AO509" s="137">
        <f>+AO503/AO475*100</f>
        <v>16.421895861148197</v>
      </c>
      <c r="AP509" s="98">
        <f>IF(ISERROR((AO509/AG509-1)*100),"NA",IF(((AO509/AG509-1)*100)&gt;100,"NM",IF(((AO509/AG509-1)*100)&lt;-50,"NM",(AO509/AG509-1)*100)))</f>
        <v>28.863582816304078</v>
      </c>
      <c r="AQ509" s="137">
        <f>+AQ503/AQ475*100</f>
        <v>19.090909090909093</v>
      </c>
      <c r="AR509" s="98">
        <f>IF(ISERROR((AQ509/AI509-1)*100),"NA",IF(((AQ509/AI509-1)*100)&gt;100,"NM",IF(((AQ509/AI509-1)*100)&lt;-50,"NM",(AQ509/AI509-1)*100)))</f>
        <v>46.213903743315534</v>
      </c>
      <c r="AS509" s="137">
        <f>+AS503/AS475*100</f>
        <v>20.958083832335326</v>
      </c>
      <c r="AT509" s="98">
        <f>IF(ISERROR((AS509/AK509-1)*100),"NA",IF(((AS509/AK509-1)*100)&gt;100,"NM",IF(((AS509/AK509-1)*100)&lt;-50,"NM",(AS509/AK509-1)*100)))</f>
        <v>42.348965435465693</v>
      </c>
      <c r="AU509" s="137">
        <f>+AU503/AU475*100</f>
        <v>15.135608048993877</v>
      </c>
      <c r="AV509" s="98">
        <f>IF(ISERROR((AU509/AM509-1)*100),"NA",IF(((AU509/AM509-1)*100)&gt;100,"NM",IF(((AU509/AM509-1)*100)&lt;-50,"NM",(AU509/AM509-1)*100)))</f>
        <v>6.8759262235077889</v>
      </c>
      <c r="AW509" s="137">
        <f>+AW503/AW475*100</f>
        <v>18.511957484499558</v>
      </c>
      <c r="AX509" s="98">
        <f>IF(ISERROR((AW509/AO509-1)*100),"NA",IF(((AW509/AO509-1)*100)&gt;100,"NM",IF(((AW509/AO509-1)*100)&lt;-50,"NM",(AW509/AO509-1)*100)))</f>
        <v>12.727285820245271</v>
      </c>
      <c r="AY509" s="137">
        <f>+AY503/AY475*100</f>
        <v>19.482758620689655</v>
      </c>
      <c r="AZ509" s="98">
        <f>IF(ISERROR((AY509/AQ509-1)*100),"NA",IF(((AY509/AQ509-1)*100)&gt;100,"NM",IF(((AY509/AQ509-1)*100)&lt;-50,"NM",(AY509/AQ509-1)*100)))</f>
        <v>2.0525451559934238</v>
      </c>
      <c r="BA509" s="137">
        <f>+BA503/BA475*100</f>
        <v>17.835497835497836</v>
      </c>
      <c r="BB509" s="98">
        <f>IF(ISERROR((BA509/AS509-1)*100),"NA",IF(((BA509/AS509-1)*100)&gt;100,"NM",IF(((BA509/AS509-1)*100)&lt;-50,"NM",(BA509/AS509-1)*100)))</f>
        <v>-14.899196042053164</v>
      </c>
      <c r="BC509" s="137">
        <f>+BC503/BC475*100</f>
        <v>16.96113074204947</v>
      </c>
      <c r="BD509" s="98">
        <f>IF(ISERROR((BC509/AU509-1)*100),"NA",IF(((BC509/AU509-1)*100)&gt;100,"NM",IF(((BC509/AU509-1)*100)&lt;-50,"NM",(BC509/AU509-1)*100)))</f>
        <v>12.061112359321058</v>
      </c>
      <c r="BE509" s="137">
        <f>+BE503/BE475*100</f>
        <v>18.714401952807162</v>
      </c>
      <c r="BF509" s="98">
        <f>IF(ISERROR((BE509/AW509-1)*100),"NA",IF(((BE509/AW509-1)*100)&gt;100,"NM",IF(((BE509/AW509-1)*100)&lt;-50,"NM",(BE509/AW509-1)*100)))</f>
        <v>1.0935875823889329</v>
      </c>
      <c r="BG509" s="137">
        <f>+BG503/BG475*100</f>
        <v>17.312448474855728</v>
      </c>
      <c r="BH509" s="98">
        <f>IF(ISERROR((BG509/AY509-1)*100),"NA",IF(((BG509/AY509-1)*100)&gt;100,"NM",IF(((BG509/AY509-1)*100)&lt;-50,"NM",(BG509/AY509-1)*100)))</f>
        <v>-11.139644996315734</v>
      </c>
      <c r="BI509" s="137">
        <f>+BI503/BI475*100</f>
        <v>21.09375</v>
      </c>
      <c r="BJ509" s="98">
        <f>IF(ISERROR((BI509/BA509-1)*100),"NA",IF(((BI509/BA509-1)*100)&gt;100,"NM",IF(((BI509/BA509-1)*100)&lt;-50,"NM",(BI509/BA509-1)*100)))</f>
        <v>18.268355582524265</v>
      </c>
      <c r="BK509" s="137">
        <f>+BK503/BK475*100</f>
        <v>19.262295081967213</v>
      </c>
      <c r="BL509" s="98">
        <f>IF(ISERROR((BK509/BC509-1)*100),"NA",IF(((BK509/BC509-1)*100)&gt;100,"NM",IF(((BK509/BC509-1)*100)&lt;-50,"NM",(BK509/BC509-1)*100)))</f>
        <v>13.567281420765021</v>
      </c>
      <c r="BM509" s="137">
        <f>+BM503/BM475*100</f>
        <v>14.329738058551616</v>
      </c>
      <c r="BN509" s="98">
        <f>IF(ISERROR((BM509/BE509-1)*100),"NA",IF(((BM509/BE509-1)*100)&gt;100,"NM",IF(((BM509/BE509-1)*100)&lt;-50,"NM",(BM509/BE509-1)*100)))</f>
        <v>-23.429356200174201</v>
      </c>
      <c r="BO509" s="137">
        <f>+BO503/BO475*100</f>
        <v>14.152542372881355</v>
      </c>
      <c r="BP509" s="98">
        <f>IF(ISERROR((BO509/BG509-1)*100),"NA",IF(((BO509/BG509-1)*100)&gt;100,"NM",IF(((BO509/BG509-1)*100)&lt;-50,"NM",(BO509/BG509-1)*100)))</f>
        <v>-18.252219531880552</v>
      </c>
      <c r="BQ509" s="137">
        <f>+BQ503/BQ475*100</f>
        <v>12.457337883959044</v>
      </c>
      <c r="BR509" s="98">
        <f>IF(ISERROR((BQ509/BI509-1)*100),"NA",IF(((BQ509/BI509-1)*100)&gt;100,"NM",IF(((BQ509/BI509-1)*100)&lt;-50,"NM",(BQ509/BI509-1)*100)))</f>
        <v>-40.942990772342313</v>
      </c>
      <c r="BS509" s="137">
        <f>+BS503/BS475*100</f>
        <v>7.4372759856630815</v>
      </c>
      <c r="BT509" s="98" t="str">
        <f>IF(ISERROR((BS509/BK509-1)*100),"NA",IF(((BS509/BK509-1)*100)&gt;100,"NM",IF(((BS509/BK509-1)*100)&lt;-50,"NM",(BS509/BK509-1)*100)))</f>
        <v>NM</v>
      </c>
      <c r="BU509" s="137">
        <f>+BU503/BU475*100</f>
        <v>-18.361836183618362</v>
      </c>
      <c r="BV509" s="98" t="str">
        <f>IF(ISERROR((BU509/BM509-1)*100),"NA",IF(((BU509/BM509-1)*100)&gt;100,"NM",IF(((BU509/BM509-1)*100)&lt;-50,"NM",(BU509/BM509-1)*100)))</f>
        <v>NM</v>
      </c>
      <c r="BW509" s="137">
        <f>+BW503/BW475*100</f>
        <v>-10.163652024117141</v>
      </c>
      <c r="BX509" s="98" t="str">
        <f>IF(ISERROR((BW509/BO509-1)*100),"NA",IF(((BW509/BO509-1)*100)&gt;100,"NM",IF(((BW509/BO509-1)*100)&lt;-50,"NM",(BW509/BO509-1)*100)))</f>
        <v>NM</v>
      </c>
      <c r="BY509" s="137">
        <f>+BY503/BY475*100</f>
        <v>11.051004636785162</v>
      </c>
      <c r="BZ509" s="98">
        <f>IF(ISERROR((BY509/BQ509-1)*100),"NA",IF(((BY509/BQ509-1)*100)&gt;100,"NM",IF(((BY509/BQ509-1)*100)&lt;-50,"NM",(BY509/BQ509-1)*100)))</f>
        <v>-11.289195655395812</v>
      </c>
      <c r="CA509" s="137">
        <f>+CA503/CA475*100</f>
        <v>7.4152542372881349</v>
      </c>
      <c r="CB509" s="98">
        <f>IF(ISERROR((CA509/BS509-1)*100),"NA",IF(((CA509/BS509-1)*100)&gt;100,"NM",IF(((CA509/BS509-1)*100)&lt;-50,"NM",(CA509/BS509-1)*100)))</f>
        <v>-0.29609965284868034</v>
      </c>
      <c r="CC509" s="137">
        <f>+CC503/CC475*100</f>
        <v>12.764670296430733</v>
      </c>
      <c r="CD509" s="98" t="str">
        <f>IF(ISERROR((CC509/BU509-1)*100),"NA",IF(((CC509/BU509-1)*100)&gt;100,"NM",IF(((CC509/BU509-1)*100)&lt;-50,"NM",(CC509/BU509-1)*100)))</f>
        <v>NM</v>
      </c>
      <c r="CE509" s="137">
        <f>+CE503/CE475*100</f>
        <v>12.415071031500927</v>
      </c>
      <c r="CF509" s="98" t="str">
        <f>IF(ISERROR((CE509/BW509-1)*100),"NA",IF(((CE509/BW509-1)*100)&gt;100,"NM",IF(((CE509/BW509-1)*100)&lt;-50,"NM",(CE509/BW509-1)*100)))</f>
        <v>NM</v>
      </c>
      <c r="CG509" s="137">
        <f>+CG503/CG475*100</f>
        <v>8.2175226586102728</v>
      </c>
      <c r="CH509" s="98">
        <f>IF(ISERROR((CG509/BY509-1)*100),"NA",IF(((CG509/BY509-1)*100)&gt;100,"NM",IF(((CG509/BY509-1)*100)&lt;-50,"NM",(CG509/BY509-1)*100)))</f>
        <v>-25.640039718589559</v>
      </c>
      <c r="CI509" s="137">
        <f>+CI503/CI475*100</f>
        <v>14.521049420378279</v>
      </c>
      <c r="CJ509" s="98">
        <f>IF(ISERROR((CI509/CA509-1)*100),"NA",IF(((CI509/CA509-1)*100)&gt;100,"NM",IF(((CI509/CA509-1)*100)&lt;-50,"NM",(CI509/CA509-1)*100)))</f>
        <v>95.826723611958514</v>
      </c>
      <c r="CK509" s="137">
        <f>+CK503/CK475*100</f>
        <v>14.241099312929419</v>
      </c>
      <c r="CL509" s="98">
        <f>IF(ISERROR((CK509/CC509-1)*100),"NA",IF(((CK509/CC509-1)*100)&gt;100,"NM",IF(((CK509/CC509-1)*100)&lt;-50,"NM",(CK509/CC509-1)*100)))</f>
        <v>11.566526844892543</v>
      </c>
      <c r="CM509" s="137">
        <f>+CM503/CM475*100</f>
        <v>14.246196403872752</v>
      </c>
      <c r="CN509" s="98">
        <f>IF(ISERROR((CM509/CE509-1)*100),"NA",IF(((CM509/CE509-1)*100)&gt;100,"NM",IF(((CM509/CE509-1)*100)&lt;-50,"NM",(CM509/CE509-1)*100)))</f>
        <v>14.749213820248674</v>
      </c>
      <c r="CO509" s="137">
        <f>+CO503/CO475*100</f>
        <v>11.654861558274309</v>
      </c>
      <c r="CP509" s="98">
        <f>IF(ISERROR((CO509/CG509-1)*100),"NA",IF(((CO509/CG509-1)*100)&gt;100,"NM",IF(((CO509/CG509-1)*100)&lt;-50,"NM",(CO509/CG509-1)*100)))</f>
        <v>41.829381462823378</v>
      </c>
      <c r="CQ509" s="494">
        <f>+CQ503/CQ475*100</f>
        <v>5.4932073242764323</v>
      </c>
      <c r="CR509" s="98" t="str">
        <f>IF(ISERROR((CQ509/CI509-1)*100),"NA",IF(((CQ509/CI509-1)*100)&gt;100,"NM",IF(((CQ509/CI509-1)*100)&lt;-50,"NM",(CQ509/CI509-1)*100)))</f>
        <v>NM</v>
      </c>
      <c r="CS509" s="137">
        <f>+CS503/CS475*100</f>
        <v>12.605548854041013</v>
      </c>
      <c r="CT509" s="98">
        <f>IF(ISERROR((CS509/CK509-1)*100),"NA",IF(((CS509/CK509-1)*100)&gt;100,"NM",IF(((CS509/CK509-1)*100)&lt;-50,"NM",(CS509/CK509-1)*100)))</f>
        <v>-11.484720546843597</v>
      </c>
      <c r="CU509" s="137">
        <f>+CU503/CU475*100</f>
        <v>16.366802089378989</v>
      </c>
      <c r="CV509" s="98">
        <f>IF(ISERROR((CU509/CM509-1)*100),"NA",IF(((CU509/CM509-1)*100)&gt;100,"NM",IF(((CU509/CM509-1)*100)&lt;-50,"NM",(CU509/CM509-1)*100)))</f>
        <v>14.885416607970981</v>
      </c>
      <c r="CW509" s="137">
        <f>+CW503/CW475*100</f>
        <v>13.721918639951427</v>
      </c>
      <c r="CX509" s="98">
        <f>IF(ISERROR((CW509/CO509-1)*100),"NA",IF(((CW509/CO509-1)*100)&gt;100,"NM",IF(((CW509/CO509-1)*100)&lt;-50,"NM",(CW509/CO509-1)*100)))</f>
        <v>17.735578164887087</v>
      </c>
      <c r="CY509" s="137">
        <f>+CY503/CY475*100</f>
        <v>17.153067301965454</v>
      </c>
      <c r="CZ509" s="98" t="str">
        <f>IF(ISERROR((CY509/CQ509-1)*100),"NA",IF(((CY509/CQ509-1)*100)&gt;100,"NM",IF(((CY509/CQ509-1)*100)&lt;-50,"NM",(CY509/CQ509-1)*100)))</f>
        <v>NM</v>
      </c>
      <c r="DA509" s="137">
        <f>+DA503/DA475*100</f>
        <v>27.017543859649123</v>
      </c>
      <c r="DB509" s="98" t="str">
        <f>IF(ISERROR((DA509/CS509-1)*100),"NA",IF(((DA509/CS509-1)*100)&gt;100,"NM",IF(((DA509/CS509-1)*100)&lt;-50,"NM",(DA509/CS509-1)*100)))</f>
        <v>NM</v>
      </c>
      <c r="DC509" s="137">
        <f>+DC503/DC475*100</f>
        <v>21.552723059096177</v>
      </c>
      <c r="DD509" s="98">
        <f>IF(ISERROR((DC509/CU509-1)*100),"NA",IF(((DC509/CU509-1)*100)&gt;100,"NM",IF(((DC509/CU509-1)*100)&lt;-50,"NM",(DC509/CU509-1)*100)))</f>
        <v>31.685609329158559</v>
      </c>
      <c r="DE509" s="137">
        <f>+DE503/DE475*100</f>
        <v>20.501392757660167</v>
      </c>
      <c r="DF509" s="98">
        <f>IF(ISERROR((DE509/CW509-1)*100),"NA",IF(((DE509/CW509-1)*100)&gt;100,"NM",IF(((DE509/CW509-1)*100)&lt;-50,"NM",(DE509/CW509-1)*100)))</f>
        <v>49.406167574629613</v>
      </c>
      <c r="DG509" s="137">
        <f>+DG503/DG475*100</f>
        <v>23.40543538546866</v>
      </c>
      <c r="DH509" s="98">
        <f>IF(ISERROR((DG509/CY509-1)*100),"NA",IF(((DG509/CY509-1)*100)&gt;100,"NM",IF(((DG509/CY509-1)*100)&lt;-50,"NM",(DG509/CY509-1)*100)))</f>
        <v>36.450437542367652</v>
      </c>
      <c r="DI509" s="137">
        <f>+DI503/DI475*100</f>
        <v>19.5697796432319</v>
      </c>
      <c r="DJ509" s="98">
        <f>IF(ISERROR((DI509/DA509-1)*100),"NA",IF(((DI509/DA509-1)*100)&gt;100,"NM",IF(((DI509/DA509-1)*100)&lt;-50,"NM",(DI509/DA509-1)*100)))</f>
        <v>-27.566400021804004</v>
      </c>
      <c r="DK509" s="137">
        <f>+DK503/DK475*100</f>
        <v>19.659442724458202</v>
      </c>
      <c r="DL509" s="98">
        <f>IF(ISERROR((DK509/DC509-1)*100),"NA",IF(((DK509/DC509-1)*100)&gt;100,"NM",IF(((DK509/DC509-1)*100)&lt;-50,"NM",(DK509/DC509-1)*100)))</f>
        <v>-8.7844135956589913</v>
      </c>
      <c r="DM509" s="137">
        <f>+DM503/DM475*100</f>
        <v>20.52947052947053</v>
      </c>
      <c r="DN509" s="98">
        <f>IF(ISERROR((DM509/DE509-1)*100),"NA",IF(((DM509/DE509-1)*100)&gt;100,"NM",IF(((DM509/DE509-1)*100)&lt;-50,"NM",(DM509/DE509-1)*100)))</f>
        <v>0.13695543586849102</v>
      </c>
      <c r="DO509" s="137">
        <f>+DO503/DO475*100</f>
        <v>20.457866536775452</v>
      </c>
      <c r="DP509" s="98">
        <f>IF(ISERROR((DO509/DG509-1)*100),"NA",IF(((DO509/DG509-1)*100)&gt;100,"NM",IF(((DO509/DG509-1)*100)&lt;-50,"NM",(DO509/DG509-1)*100)))</f>
        <v>-12.593522829843263</v>
      </c>
      <c r="DQ509" s="137">
        <f>+DQ503/DQ475*100</f>
        <v>19.927536231884059</v>
      </c>
      <c r="DR509" s="98">
        <f>IF(ISERROR((DQ509/DI509-1)*100),"NA",IF(((DQ509/DI509-1)*100)&gt;100,"NM",IF(((DQ509/DI509-1)*100)&lt;-50,"NM",(DQ509/DI509-1)*100)))</f>
        <v>1.8281073940241699</v>
      </c>
      <c r="DS509" s="137">
        <f>+DS503/DS475*100</f>
        <v>10.975980541197933</v>
      </c>
      <c r="DT509" s="98">
        <f>IF(ISERROR((DS509/DK509-1)*100),"NA",IF(((DS509/DK509-1)*100)&gt;100,"NM",IF(((DS509/DK509-1)*100)&lt;-50,"NM",(DS509/DK509-1)*100)))</f>
        <v>-44.169421814064059</v>
      </c>
      <c r="DU509" s="137">
        <f>+DU503/DU475*100</f>
        <v>11.150971599402093</v>
      </c>
      <c r="DV509" s="98">
        <f>IF(ISERROR((DU509/DM509-1)*100),"NA",IF(((DU509/DM509-1)*100)&gt;100,"NM",IF(((DU509/DM509-1)*100)&lt;-50,"NM",(DU509/DM509-1)*100)))</f>
        <v>-45.683101844274965</v>
      </c>
      <c r="DW509" s="137">
        <f>+DW503/DW475*100</f>
        <v>7.5255497057912661</v>
      </c>
      <c r="DX509" s="98" t="str">
        <f>IF(ISERROR((DW509/DO509-1)*100),"NA",IF(((DW509/DO509-1)*100)&gt;100,"NM",IF(((DW509/DO509-1)*100)&lt;-50,"NM",(DW509/DO509-1)*100)))</f>
        <v>NM</v>
      </c>
      <c r="DY509" s="137">
        <f>+DY503/DY475*100</f>
        <v>8.0424886191198777</v>
      </c>
      <c r="DZ509" s="98" t="str">
        <f>IF(ISERROR((DY509/DQ509-1)*100),"NA",IF(((DY509/DQ509-1)*100)&gt;100,"NM",IF(((DY509/DQ509-1)*100)&lt;-50,"NM",(DY509/DQ509-1)*100)))</f>
        <v>NM</v>
      </c>
      <c r="EA509" s="137">
        <f>+EA503/EA475*100</f>
        <v>8.5276269562440117</v>
      </c>
      <c r="EB509" s="98">
        <f>IF(ISERROR((EA509/DS509-1)*100),"NA",IF(((EA509/DS509-1)*100)&gt;100,"NM",IF(((EA509/DS509-1)*100)&lt;-50,"NM",(EA509/DS509-1)*100)))</f>
        <v>-22.306467980369661</v>
      </c>
      <c r="EC509" s="137">
        <f>+EC503/EC475*100</f>
        <v>-1.0433133101485932</v>
      </c>
      <c r="ED509" s="98" t="str">
        <f>IF(ISERROR((EC509/DU509-1)*100),"NA",IF(((EC509/DU509-1)*100)&gt;100,"NM",IF(((EC509/DU509-1)*100)&lt;-50,"NM",(EC509/DU509-1)*100)))</f>
        <v>NM</v>
      </c>
      <c r="EE509" s="137">
        <f>+EE503/EE475*100</f>
        <v>8.6028460543337637</v>
      </c>
      <c r="EF509" s="860">
        <f>IF(ISERROR((EE509/DW509-1)*100),"NA",IF(((EE509/DW509-1)*100)&gt;100,"NM",IF(((EE509/DW509-1)*100)&lt;-50,"NM",(EE509/DW509-1)*100)))</f>
        <v>14.315184812525628</v>
      </c>
      <c r="EG509" s="137">
        <f>+EG503/EG475*100</f>
        <v>6.5238558909444979</v>
      </c>
      <c r="EH509" s="860">
        <f>IF(ISERROR((EG509/DY509-1)*100),"NA",IF(((EG509/DY509-1)*100)&gt;100,"NM",IF(((EG509/DY509-1)*100)&lt;-50,"NM",(EG509/DY509-1)*100)))</f>
        <v>-18.882622035237272</v>
      </c>
      <c r="EI509" s="137">
        <f>+EI503/EI475*100</f>
        <v>13.08316430020284</v>
      </c>
      <c r="EJ509" s="860">
        <f t="shared" si="3215"/>
        <v>53.420926681404836</v>
      </c>
      <c r="EK509" s="137">
        <f>+EK503/EK475*100</f>
        <v>8.4491978609625669</v>
      </c>
      <c r="EL509" s="860" t="str">
        <f t="shared" si="3216"/>
        <v>NM</v>
      </c>
      <c r="EM509" s="137">
        <f>+EM503/EM475*100</f>
        <v>13.164556962025317</v>
      </c>
      <c r="EN509" s="860">
        <f t="shared" si="3217"/>
        <v>53.02560197963264</v>
      </c>
      <c r="EO509" s="137">
        <f>+EO503/EO475*100</f>
        <v>6.8599717114568595</v>
      </c>
      <c r="EP509" s="98">
        <f t="shared" si="3218"/>
        <v>5.1521036965103795</v>
      </c>
      <c r="EQ509" s="1033">
        <f>+EQ503/EQ475*100</f>
        <v>8.866051095218646</v>
      </c>
      <c r="ER509" s="98">
        <f t="shared" si="3219"/>
        <v>-32.233128838096249</v>
      </c>
      <c r="ES509" s="1033">
        <f t="shared" ref="ES509" si="3226">+ES503/ES475*100</f>
        <v>8.804498447152536</v>
      </c>
      <c r="ET509" s="98">
        <f t="shared" si="3221"/>
        <v>4.2051398492104042</v>
      </c>
      <c r="EU509" s="1033">
        <f t="shared" ref="EU509" si="3227">+EU503/EU475*100</f>
        <v>8.7682336132588059</v>
      </c>
      <c r="EV509" s="98">
        <f t="shared" si="3223"/>
        <v>-33.395148514668691</v>
      </c>
      <c r="EW509" s="1033">
        <f t="shared" ref="EW509" si="3228">+EW503/EW475*100</f>
        <v>8.7234618246524374</v>
      </c>
      <c r="EX509" s="98">
        <f t="shared" si="3225"/>
        <v>27.164690928438628</v>
      </c>
      <c r="EY509" s="137"/>
      <c r="EZ509" s="594"/>
      <c r="FA509" s="405"/>
      <c r="FB509" s="200" t="s">
        <v>494</v>
      </c>
      <c r="FC509" s="98"/>
      <c r="FD509" s="137">
        <f>+FD503/FD475*100</f>
        <v>10.274669379450661</v>
      </c>
      <c r="FE509" s="98" t="str">
        <f>IF(ISERROR((FD509/FB509-1)*100),"NA",IF(((FD509/FB509-1)*100)&gt;100,"NM",IF(((FD509/FB509-1)*100)&lt;-50,"NM",(FD509/FB509-1)*100)))</f>
        <v>NA</v>
      </c>
      <c r="FF509" s="137">
        <f>+FF503/FF475*100</f>
        <v>8.1287726358148884</v>
      </c>
      <c r="FG509" s="98">
        <f>IF(ISERROR((FF509/FD509-1)*100),"NA",IF(((FF509/FD509-1)*100)&gt;100,"NM",IF(((FF509/FD509-1)*100)&lt;-50,"NM",(FF509/FD509-1)*100)))</f>
        <v>-20.885311871227362</v>
      </c>
      <c r="FH509" s="137">
        <f>+FH503/FH475*100</f>
        <v>8.2314588427057824</v>
      </c>
      <c r="FI509" s="98">
        <f>IF(ISERROR((FH509/FF509-1)*100),"NA",IF(((FH509/FF509-1)*100)&gt;100,"NM",IF(((FH509/FF509-1)*100)&lt;-50,"NM",(FH509/FF509-1)*100)))</f>
        <v>1.2632436837815453</v>
      </c>
      <c r="FJ509" s="137">
        <f>+FJ503/FJ475*100</f>
        <v>7.5072583990045629</v>
      </c>
      <c r="FK509" s="98">
        <f>IF(ISERROR((FJ509/FH509-1)*100),"NA",IF(((FJ509/FH509-1)*100)&gt;100,"NM",IF(((FJ509/FH509-1)*100)&lt;-50,"NM",(FJ509/FH509-1)*100)))</f>
        <v>-8.7979598457564094</v>
      </c>
      <c r="FL509" s="137">
        <f>+FL503/FL475*100</f>
        <v>10.394842868654312</v>
      </c>
      <c r="FM509" s="98">
        <f>IF(ISERROR((FL509/FJ509-1)*100),"NA",IF(((FL509/FJ509-1)*100)&gt;100,"NM",IF(((FL509/FJ509-1)*100)&lt;-50,"NM",(FL509/FJ509-1)*100)))</f>
        <v>38.463901416163225</v>
      </c>
      <c r="FN509" s="137">
        <f>+FN503/FN475*100</f>
        <v>14.650827933765298</v>
      </c>
      <c r="FO509" s="98">
        <f>IF(ISERROR((FN509/FL509-1)*100),"NA",IF(((FN509/FL509-1)*100)&gt;100,"NM",IF(((FN509/FL509-1)*100)&lt;-50,"NM",(FN509/FL509-1)*100)))</f>
        <v>40.943236169013431</v>
      </c>
      <c r="FP509" s="137">
        <f>+FP503/FP475*100</f>
        <v>18.158369873613619</v>
      </c>
      <c r="FQ509" s="98">
        <f>IF(ISERROR((FP509/FN509-1)*100),"NA",IF(((FP509/FN509-1)*100)&gt;100,"NM",IF(((FP509/FN509-1)*100)&lt;-50,"NM",(FP509/FN509-1)*100)))</f>
        <v>23.940912798276749</v>
      </c>
      <c r="FR509" s="106">
        <f>+FR503/FR475*100</f>
        <v>18.263473053892216</v>
      </c>
      <c r="FS509" s="120">
        <f>IF(ISERROR((FR509/FP509-1)*100),"NA",IF(((FR509/FP509-1)*100)&gt;100,"NM",IF(((FR509/FP509-1)*100)&lt;-50,"NM",(FR509/FP509-1)*100)))</f>
        <v>0.57881396298311572</v>
      </c>
      <c r="FT509" s="106">
        <f>+FT503/FT475*100</f>
        <v>17.980443025344243</v>
      </c>
      <c r="FU509" s="120">
        <f>IF(ISERROR((FT509/FR509-1)*100),"NA",IF(((FT509/FR509-1)*100)&gt;100,"NM",IF(((FT509/FR509-1)*100)&lt;-50,"NM",(FT509/FR509-1)*100)))</f>
        <v>-1.549705402213486</v>
      </c>
      <c r="FV509" s="106">
        <f>+FV503/FV475*100</f>
        <v>4.0512174643157008</v>
      </c>
      <c r="FW509" s="98" t="str">
        <f>IF(ISERROR((FV509/FT509-1)*100),"NA",IF(((FV509/FT509-1)*100)&gt;100,"NM",IF(((FV509/FT509-1)*100)&lt;-50,"NM",(FV509/FT509-1)*100)))</f>
        <v>NM</v>
      </c>
      <c r="FX509" s="483">
        <f>+FX503/FX475*100</f>
        <v>6.1730629978276603</v>
      </c>
      <c r="FY509" s="98">
        <f>IF(ISERROR((FX509/FV509-1)*100),"NA",IF(((FX509/FV509-1)*100)&gt;100,"NM",IF(((FX509/FV509-1)*100)&lt;-50,"NM",(FX509/FV509-1)*100)))</f>
        <v>52.375503220989515</v>
      </c>
      <c r="FZ509" s="106">
        <f>+FZ503/FZ475*100</f>
        <v>12.327295056800738</v>
      </c>
      <c r="GA509" s="98">
        <f>IF(ISERROR((FZ509/FX509-1)*100),"NA",IF(((FZ509/FX509-1)*100)&gt;100,"NM",IF(((FZ509/FX509-1)*100)&lt;-50,"NM",(FZ509/FX509-1)*100)))</f>
        <v>99.694949835094675</v>
      </c>
      <c r="GB509" s="483">
        <f>+GB503/GB475*100</f>
        <v>10.850393700787402</v>
      </c>
      <c r="GC509" s="98">
        <f>IF(ISERROR((GB509/FZ509-1)*100),"NA",IF(((GB509/FZ509-1)*100)&gt;100,"NM",IF(((GB509/FZ509-1)*100)&lt;-50,"NM",(GB509/FZ509-1)*100)))</f>
        <v>-11.980741510673564</v>
      </c>
      <c r="GD509" s="106">
        <f>+GD503/GD475*100</f>
        <v>18.612220742713419</v>
      </c>
      <c r="GE509" s="98">
        <f>IF(ISERROR((GD509/GB509-1)*100),"NA",IF(((GD509/GB509-1)*100)&gt;100,"NM",IF(((GD509/GB509-1)*100)&lt;-50,"NM",(GD509/GB509-1)*100)))</f>
        <v>71.534980720218002</v>
      </c>
      <c r="GF509" s="106">
        <f>+GF503/GF475*100</f>
        <v>21.230982019363761</v>
      </c>
      <c r="GG509" s="98">
        <f>IF(ISERROR((GF509/GD509-1)*100),"NA",IF(((GF509/GD509-1)*100)&gt;100,"NM",IF(((GF509/GD509-1)*100)&lt;-50,"NM",(GF509/GD509-1)*100)))</f>
        <v>14.070117224864598</v>
      </c>
      <c r="GH509" s="106">
        <f>+GH503/GH475*100</f>
        <v>20.151419558359621</v>
      </c>
      <c r="GI509" s="98">
        <f>IF(ISERROR((GH509/GF509-1)*100),"NA",IF(((GH509/GF509-1)*100)&gt;100,"NM",IF(((GH509/GF509-1)*100)&lt;-50,"NM",(GH509/GF509-1)*100)))</f>
        <v>-5.0848446860325307</v>
      </c>
      <c r="GJ509" s="106">
        <f>+GJ503/GJ475*100</f>
        <v>9.4391244870041042</v>
      </c>
      <c r="GK509" s="98" t="str">
        <f>IF(ISERROR((GJ509/GH509-1)*100),"NA",IF(((GJ509/GH509-1)*100)&gt;100,"NM",IF(((GJ509/GH509-1)*100)&lt;-50,"NM",(GJ509/GH509-1)*100)))</f>
        <v>NM</v>
      </c>
      <c r="GL509" s="106">
        <f>+GL503/GL475*100</f>
        <v>5.6228443089756963</v>
      </c>
      <c r="GM509" s="98">
        <f>IF(ISERROR((GL509/GJ509-1)*100),"NA",IF(((GL509/GJ509-1)*100)&gt;100,"NM",IF(((GL509/GJ509-1)*100)&lt;-50,"NM",(GL509/GJ509-1)*100)))</f>
        <v>-40.430446523750227</v>
      </c>
      <c r="GN509" s="106">
        <f>+GN503/GN475*100</f>
        <v>10.408594575554773</v>
      </c>
      <c r="GO509" s="98">
        <f>IF(ISERROR((GN509/GL509-1)*100),"NA",IF(((GN509/GL509-1)*100)&gt;100,"NM",IF(((GN509/GL509-1)*100)&lt;-50,"NM",(GN509/GL509-1)*100)))</f>
        <v>85.112622786649553</v>
      </c>
      <c r="GP509" s="106">
        <f>+GP503/GP475*100</f>
        <v>8.7910298963817901</v>
      </c>
      <c r="GQ509" s="98">
        <f>IF(ISERROR((GP509/GN509-1)*100),"NA",IF(((GP509/GN509-1)*100)&gt;100,"NM",IF(((GP509/GN509-1)*100)&lt;-50,"NM",(GP509/GN509-1)*100)))</f>
        <v>-15.540663702782053</v>
      </c>
      <c r="GR509" s="137">
        <f>+GR503/GR475*100</f>
        <v>8.2650787798515069</v>
      </c>
      <c r="GS509" s="98">
        <f>IF(ISERROR((GR509/GP509-1)*100),"NA",IF(((GR509/GP509-1)*100)&gt;100,"NM",IF(((GR509/GP509-1)*100)&lt;-50,"NM",(GR509/GP509-1)*100)))</f>
        <v>-5.9828156965630814</v>
      </c>
      <c r="GT509" s="137">
        <f>+GT503/GT475*100</f>
        <v>7.8423878305668273</v>
      </c>
      <c r="GU509" s="98">
        <f>IF(ISERROR((GT509/GR509-1)*100),"NA",IF(((GT509/GR509-1)*100)&gt;100,"NM",IF(((GT509/GR509-1)*100)&lt;-50,"NM",(GT509/GR509-1)*100)))</f>
        <v>-5.1141793144804604</v>
      </c>
      <c r="GV509" s="137">
        <f>+GV503/GV475*100</f>
        <v>7.4966713558267477</v>
      </c>
      <c r="GW509" s="98">
        <f>IF(ISERROR((GV509/GT509-1)*100),"NA",IF(((GV509/GT509-1)*100)&gt;100,"NM",IF(((GV509/GT509-1)*100)&lt;-50,"NM",(GV509/GT509-1)*100)))</f>
        <v>-4.4083062736657848</v>
      </c>
      <c r="GX509" s="137">
        <f>+GX503/GX475*100</f>
        <v>7.0831644922704271</v>
      </c>
      <c r="GY509" s="98">
        <f>IF(ISERROR((GX509/GV509-1)*100),"NA",IF(((GX509/GV509-1)*100)&gt;100,"NM",IF(((GX509/GV509-1)*100)&lt;-50,"NM",(GX509/GV509-1)*100)))</f>
        <v>-5.5158728978418452</v>
      </c>
      <c r="GZ509" s="98">
        <f>IF(ISERROR(((GX509/GN509)^0.2-1)*100),"NA",IF((((GX509/GN509)^0.2-1)*100)&gt;100,"NM",IF((((GX509/GN509)^0.2-1)*100)&lt;-50,"NM",((GX509/GN509)^0.2-1)*100)))</f>
        <v>-7.4093683245644915</v>
      </c>
      <c r="HA509" s="98"/>
      <c r="HB509" s="10"/>
      <c r="HC509"/>
      <c r="HD509"/>
      <c r="HE509"/>
      <c r="HF509"/>
      <c r="HG509"/>
      <c r="HH509"/>
      <c r="HI509" s="10"/>
    </row>
    <row r="510" spans="1:217" s="2" customFormat="1" ht="12.75" customHeight="1" x14ac:dyDescent="0.2">
      <c r="B510" s="91"/>
      <c r="C510" s="137"/>
      <c r="D510" s="98"/>
      <c r="E510" s="137"/>
      <c r="F510" s="98"/>
      <c r="G510" s="137"/>
      <c r="H510" s="98"/>
      <c r="I510" s="137"/>
      <c r="J510" s="98"/>
      <c r="K510" s="137"/>
      <c r="L510" s="98"/>
      <c r="M510" s="137"/>
      <c r="N510" s="98"/>
      <c r="O510" s="137"/>
      <c r="P510" s="98"/>
      <c r="Q510" s="137"/>
      <c r="R510" s="98"/>
      <c r="S510" s="137"/>
      <c r="T510" s="98"/>
      <c r="U510" s="137"/>
      <c r="V510" s="98"/>
      <c r="W510" s="137"/>
      <c r="X510" s="98"/>
      <c r="Y510" s="137"/>
      <c r="Z510" s="98"/>
      <c r="AA510" s="137"/>
      <c r="AB510" s="98"/>
      <c r="AC510" s="137"/>
      <c r="AD510" s="98"/>
      <c r="AE510" s="137"/>
      <c r="AF510" s="98"/>
      <c r="AG510" s="137"/>
      <c r="AH510" s="98"/>
      <c r="AI510" s="137"/>
      <c r="AJ510" s="98"/>
      <c r="AK510" s="137"/>
      <c r="AL510" s="98"/>
      <c r="AM510" s="137"/>
      <c r="AN510" s="98"/>
      <c r="AO510" s="137"/>
      <c r="AP510" s="98"/>
      <c r="AQ510" s="137"/>
      <c r="AR510" s="98"/>
      <c r="AS510" s="137"/>
      <c r="AT510" s="98"/>
      <c r="AU510" s="137"/>
      <c r="AV510" s="98"/>
      <c r="AW510" s="137"/>
      <c r="AX510" s="98"/>
      <c r="AY510" s="137"/>
      <c r="AZ510" s="98"/>
      <c r="BA510" s="137"/>
      <c r="BB510" s="98"/>
      <c r="BC510" s="137"/>
      <c r="BD510" s="98"/>
      <c r="BE510" s="137"/>
      <c r="BF510" s="98"/>
      <c r="BG510" s="137"/>
      <c r="BH510" s="98"/>
      <c r="BI510" s="137"/>
      <c r="BJ510" s="98"/>
      <c r="BK510" s="137"/>
      <c r="BL510" s="98"/>
      <c r="BM510" s="137"/>
      <c r="BN510" s="98"/>
      <c r="BO510" s="137"/>
      <c r="BP510" s="98"/>
      <c r="BQ510" s="137"/>
      <c r="BR510" s="98"/>
      <c r="BS510" s="137"/>
      <c r="BT510" s="98"/>
      <c r="BU510" s="137"/>
      <c r="BV510" s="98"/>
      <c r="BW510" s="137"/>
      <c r="BX510" s="98"/>
      <c r="BY510" s="137"/>
      <c r="BZ510" s="98"/>
      <c r="CA510" s="137"/>
      <c r="CB510" s="98"/>
      <c r="CC510" s="137"/>
      <c r="CD510" s="98"/>
      <c r="CE510" s="137"/>
      <c r="CF510" s="98"/>
      <c r="CG510" s="137"/>
      <c r="CH510" s="98"/>
      <c r="CI510" s="137"/>
      <c r="CJ510" s="98"/>
      <c r="CK510" s="137"/>
      <c r="CL510" s="98"/>
      <c r="CM510" s="137"/>
      <c r="CN510" s="98"/>
      <c r="CO510" s="137"/>
      <c r="CP510" s="98"/>
      <c r="CQ510" s="494"/>
      <c r="CR510" s="98"/>
      <c r="CS510" s="137"/>
      <c r="CT510" s="98"/>
      <c r="CU510" s="137"/>
      <c r="CV510" s="98"/>
      <c r="CW510" s="137"/>
      <c r="CX510" s="98"/>
      <c r="CY510" s="137"/>
      <c r="CZ510" s="98"/>
      <c r="DA510" s="137"/>
      <c r="DB510" s="98"/>
      <c r="DC510" s="137"/>
      <c r="DD510" s="98"/>
      <c r="DE510" s="137"/>
      <c r="DF510" s="98"/>
      <c r="DG510" s="137"/>
      <c r="DH510" s="98"/>
      <c r="DI510" s="137"/>
      <c r="DJ510" s="98"/>
      <c r="DK510" s="137"/>
      <c r="DL510" s="98"/>
      <c r="DM510" s="137"/>
      <c r="DN510" s="98"/>
      <c r="DO510" s="137"/>
      <c r="DP510" s="98"/>
      <c r="DQ510" s="137"/>
      <c r="DR510" s="98"/>
      <c r="DS510" s="137"/>
      <c r="DT510" s="98"/>
      <c r="DU510" s="137"/>
      <c r="DV510" s="98"/>
      <c r="DW510" s="137"/>
      <c r="DX510" s="98"/>
      <c r="DY510" s="137"/>
      <c r="DZ510" s="98"/>
      <c r="EA510" s="137"/>
      <c r="EB510" s="98"/>
      <c r="EC510" s="137"/>
      <c r="ED510" s="98"/>
      <c r="EE510" s="137"/>
      <c r="EF510" s="860"/>
      <c r="EG510" s="137"/>
      <c r="EH510" s="860"/>
      <c r="EI510" s="137"/>
      <c r="EJ510" s="860"/>
      <c r="EK510" s="137"/>
      <c r="EL510" s="860"/>
      <c r="EM510" s="137"/>
      <c r="EN510" s="860"/>
      <c r="EO510" s="137"/>
      <c r="EP510" s="98"/>
      <c r="EQ510" s="1033"/>
      <c r="ER510" s="98"/>
      <c r="ES510" s="1033"/>
      <c r="ET510" s="98"/>
      <c r="EU510" s="1033"/>
      <c r="EV510" s="98"/>
      <c r="EW510" s="1033"/>
      <c r="EX510" s="98"/>
      <c r="EY510" s="137"/>
      <c r="EZ510" s="594"/>
      <c r="FA510" s="405"/>
      <c r="FB510" s="200"/>
      <c r="FC510" s="98"/>
      <c r="FD510" s="137"/>
      <c r="FE510" s="98"/>
      <c r="FF510" s="137"/>
      <c r="FG510" s="98"/>
      <c r="FH510" s="137"/>
      <c r="FI510" s="98"/>
      <c r="FJ510" s="137"/>
      <c r="FK510" s="98"/>
      <c r="FL510" s="137"/>
      <c r="FM510" s="98"/>
      <c r="FN510" s="137"/>
      <c r="FO510" s="98"/>
      <c r="FP510" s="137"/>
      <c r="FQ510" s="98"/>
      <c r="FR510" s="106"/>
      <c r="FS510" s="120"/>
      <c r="FT510" s="106"/>
      <c r="FU510" s="120"/>
      <c r="FV510" s="106"/>
      <c r="FW510" s="98"/>
      <c r="FX510" s="483"/>
      <c r="FY510" s="98"/>
      <c r="FZ510" s="106"/>
      <c r="GA510" s="98"/>
      <c r="GB510" s="483"/>
      <c r="GC510" s="98"/>
      <c r="GD510" s="106"/>
      <c r="GE510" s="98"/>
      <c r="GF510" s="106"/>
      <c r="GG510" s="98"/>
      <c r="GH510" s="106"/>
      <c r="GI510" s="98"/>
      <c r="GJ510" s="106"/>
      <c r="GK510" s="98"/>
      <c r="GL510" s="106"/>
      <c r="GM510" s="98"/>
      <c r="GN510" s="106"/>
      <c r="GO510" s="98"/>
      <c r="GP510" s="106"/>
      <c r="GQ510" s="98"/>
      <c r="GR510" s="137"/>
      <c r="GS510" s="98"/>
      <c r="GT510" s="137"/>
      <c r="GU510" s="98"/>
      <c r="GV510" s="137"/>
      <c r="GW510" s="98"/>
      <c r="GX510" s="137"/>
      <c r="GY510" s="98"/>
      <c r="GZ510" s="98"/>
      <c r="HA510" s="98"/>
      <c r="HB510" s="10"/>
      <c r="HC510"/>
      <c r="HD510"/>
      <c r="HE510"/>
      <c r="HF510"/>
      <c r="HG510"/>
      <c r="HH510"/>
      <c r="HI510" s="10"/>
    </row>
    <row r="511" spans="1:217" s="2" customFormat="1" ht="12.75" customHeight="1" x14ac:dyDescent="0.2">
      <c r="B511" s="91" t="s">
        <v>745</v>
      </c>
      <c r="C511" s="94"/>
      <c r="D511" s="113"/>
      <c r="E511" s="94"/>
      <c r="F511" s="113"/>
      <c r="G511" s="94"/>
      <c r="H511" s="113"/>
      <c r="I511" s="94"/>
      <c r="J511" s="95"/>
      <c r="K511" s="94"/>
      <c r="L511" s="439"/>
      <c r="M511" s="94"/>
      <c r="N511" s="439"/>
      <c r="O511" s="94"/>
      <c r="P511" s="439"/>
      <c r="Q511" s="94"/>
      <c r="R511" s="439"/>
      <c r="S511" s="94"/>
      <c r="T511" s="439"/>
      <c r="U511" s="94"/>
      <c r="V511" s="439"/>
      <c r="W511" s="94"/>
      <c r="X511" s="439"/>
      <c r="Y511" s="94"/>
      <c r="Z511" s="439"/>
      <c r="AA511" s="94"/>
      <c r="AB511" s="439"/>
      <c r="AC511" s="94"/>
      <c r="AD511" s="439"/>
      <c r="AE511" s="94"/>
      <c r="AF511" s="439"/>
      <c r="AG511" s="94"/>
      <c r="AH511" s="439"/>
      <c r="AI511" s="94"/>
      <c r="AJ511" s="439"/>
      <c r="AK511" s="94"/>
      <c r="AL511" s="439"/>
      <c r="AM511" s="94"/>
      <c r="AN511" s="439"/>
      <c r="AO511" s="94"/>
      <c r="AP511" s="439"/>
      <c r="AQ511" s="94"/>
      <c r="AR511" s="439"/>
      <c r="AS511" s="94"/>
      <c r="AT511" s="439"/>
      <c r="AU511" s="94"/>
      <c r="AV511" s="439"/>
      <c r="AW511" s="94"/>
      <c r="AX511" s="439"/>
      <c r="AY511" s="94"/>
      <c r="AZ511" s="439"/>
      <c r="BA511" s="94"/>
      <c r="BB511" s="439"/>
      <c r="BC511" s="94"/>
      <c r="BD511" s="439"/>
      <c r="BE511" s="94"/>
      <c r="BF511" s="439"/>
      <c r="BG511" s="94"/>
      <c r="BH511" s="439"/>
      <c r="BI511" s="94"/>
      <c r="BJ511" s="439"/>
      <c r="BK511" s="94"/>
      <c r="BL511" s="439"/>
      <c r="BM511" s="94"/>
      <c r="BN511" s="439"/>
      <c r="BO511" s="94"/>
      <c r="BP511" s="439"/>
      <c r="BQ511" s="94"/>
      <c r="BR511" s="439"/>
      <c r="BS511" s="94"/>
      <c r="BT511" s="439"/>
      <c r="BU511" s="94"/>
      <c r="BV511" s="439"/>
      <c r="BW511" s="94"/>
      <c r="BX511" s="439"/>
      <c r="BY511" s="94"/>
      <c r="BZ511" s="439"/>
      <c r="CA511" s="94"/>
      <c r="CB511" s="439"/>
      <c r="CC511" s="94"/>
      <c r="CD511" s="439"/>
      <c r="CE511" s="94"/>
      <c r="CF511" s="439"/>
      <c r="CG511" s="94"/>
      <c r="CH511" s="439"/>
      <c r="CI511" s="94"/>
      <c r="CJ511" s="439"/>
      <c r="CK511" s="94"/>
      <c r="CL511" s="439"/>
      <c r="CM511" s="94"/>
      <c r="CN511" s="439"/>
      <c r="CO511" s="94"/>
      <c r="CP511" s="439"/>
      <c r="CQ511" s="533"/>
      <c r="CR511" s="439"/>
      <c r="CS511" s="94"/>
      <c r="CT511" s="439"/>
      <c r="CU511" s="94"/>
      <c r="CV511" s="439"/>
      <c r="CW511" s="94"/>
      <c r="CX511" s="439"/>
      <c r="CY511" s="94"/>
      <c r="CZ511" s="439"/>
      <c r="DA511" s="94"/>
      <c r="DB511" s="439"/>
      <c r="DC511" s="94"/>
      <c r="DD511" s="439"/>
      <c r="DE511" s="94"/>
      <c r="DF511" s="439"/>
      <c r="DG511" s="94"/>
      <c r="DH511" s="439"/>
      <c r="DI511" s="94"/>
      <c r="DJ511" s="439"/>
      <c r="DK511" s="94"/>
      <c r="DL511" s="439"/>
      <c r="DM511" s="94"/>
      <c r="DN511" s="439"/>
      <c r="DO511" s="94"/>
      <c r="DP511" s="439"/>
      <c r="DQ511" s="94"/>
      <c r="DR511" s="439"/>
      <c r="DS511" s="94"/>
      <c r="DT511" s="439"/>
      <c r="DU511" s="94"/>
      <c r="DV511" s="439"/>
      <c r="DW511" s="94"/>
      <c r="DX511" s="439"/>
      <c r="DY511" s="94"/>
      <c r="DZ511" s="439"/>
      <c r="EA511" s="94"/>
      <c r="EB511" s="439"/>
      <c r="EC511" s="94"/>
      <c r="ED511" s="439"/>
      <c r="EE511" s="94"/>
      <c r="EF511" s="791"/>
      <c r="EG511" s="94"/>
      <c r="EH511" s="791"/>
      <c r="EI511" s="94"/>
      <c r="EJ511" s="791"/>
      <c r="EK511" s="94"/>
      <c r="EL511" s="791"/>
      <c r="EM511" s="94"/>
      <c r="EN511" s="791"/>
      <c r="EO511" s="94"/>
      <c r="EP511" s="439"/>
      <c r="EQ511" s="789"/>
      <c r="ER511" s="439"/>
      <c r="ES511" s="789"/>
      <c r="ET511" s="439"/>
      <c r="EU511" s="789"/>
      <c r="EV511" s="439"/>
      <c r="EW511" s="789"/>
      <c r="EX511" s="439"/>
      <c r="EY511" s="95"/>
      <c r="EZ511" s="594"/>
      <c r="FA511" s="405"/>
      <c r="FB511" s="95"/>
      <c r="FC511" s="113"/>
      <c r="FD511" s="94"/>
      <c r="FE511" s="113"/>
      <c r="FF511" s="95"/>
      <c r="FG511" s="113"/>
      <c r="FH511" s="95"/>
      <c r="FI511" s="113"/>
      <c r="FJ511" s="95"/>
      <c r="FK511" s="113"/>
      <c r="FL511" s="95"/>
      <c r="FM511" s="113"/>
      <c r="FN511" s="95"/>
      <c r="FO511" s="113"/>
      <c r="FP511" s="95"/>
      <c r="FQ511" s="113"/>
      <c r="FR511" s="96"/>
      <c r="FS511" s="116"/>
      <c r="FT511" s="96"/>
      <c r="FU511" s="116"/>
      <c r="FV511" s="96"/>
      <c r="FW511" s="439"/>
      <c r="FX511" s="480"/>
      <c r="FY511" s="439"/>
      <c r="FZ511" s="96"/>
      <c r="GA511" s="439"/>
      <c r="GB511" s="480"/>
      <c r="GC511" s="439"/>
      <c r="GD511" s="96"/>
      <c r="GE511" s="439"/>
      <c r="GF511" s="96"/>
      <c r="GG511" s="439"/>
      <c r="GH511" s="96"/>
      <c r="GI511" s="439"/>
      <c r="GJ511" s="96"/>
      <c r="GK511" s="439"/>
      <c r="GL511" s="96"/>
      <c r="GM511" s="439"/>
      <c r="GN511" s="96"/>
      <c r="GO511" s="439"/>
      <c r="GP511" s="96"/>
      <c r="GQ511" s="439"/>
      <c r="GR511" s="95"/>
      <c r="GS511" s="439"/>
      <c r="GT511" s="95"/>
      <c r="GU511" s="439"/>
      <c r="GV511" s="95"/>
      <c r="GW511" s="439"/>
      <c r="GX511" s="95"/>
      <c r="GY511" s="439"/>
      <c r="GZ511" s="439"/>
      <c r="HA511" s="439"/>
      <c r="HB511" s="10"/>
      <c r="HC511"/>
      <c r="HD511"/>
      <c r="HE511"/>
      <c r="HF511"/>
      <c r="HG511"/>
      <c r="HH511"/>
      <c r="HI511" s="10"/>
    </row>
    <row r="512" spans="1:217" s="2" customFormat="1" ht="12.75" hidden="1" customHeight="1" x14ac:dyDescent="0.2">
      <c r="B512" s="93" t="s">
        <v>7</v>
      </c>
      <c r="C512" s="94"/>
      <c r="D512" s="113"/>
      <c r="E512" s="94"/>
      <c r="F512" s="113"/>
      <c r="G512" s="94"/>
      <c r="H512" s="113"/>
      <c r="I512" s="94"/>
      <c r="J512" s="113"/>
      <c r="K512" s="94"/>
      <c r="L512" s="113"/>
      <c r="M512" s="94"/>
      <c r="N512" s="113"/>
      <c r="O512" s="94"/>
      <c r="P512" s="113"/>
      <c r="Q512" s="94"/>
      <c r="R512" s="113"/>
      <c r="S512" s="94"/>
      <c r="T512" s="113"/>
      <c r="U512" s="94"/>
      <c r="V512" s="113"/>
      <c r="W512" s="94"/>
      <c r="X512" s="113"/>
      <c r="Y512" s="94"/>
      <c r="Z512" s="113"/>
      <c r="AA512" s="94"/>
      <c r="AB512" s="113"/>
      <c r="AC512" s="94"/>
      <c r="AD512" s="113"/>
      <c r="AE512" s="94"/>
      <c r="AF512" s="113"/>
      <c r="AG512" s="94"/>
      <c r="AH512" s="113"/>
      <c r="AI512" s="94"/>
      <c r="AJ512" s="113"/>
      <c r="AK512" s="94"/>
      <c r="AL512" s="113"/>
      <c r="AM512" s="94"/>
      <c r="AN512" s="113"/>
      <c r="AO512" s="94"/>
      <c r="AP512" s="113"/>
      <c r="AQ512" s="94"/>
      <c r="AR512" s="113"/>
      <c r="AS512" s="94"/>
      <c r="AT512" s="113"/>
      <c r="AU512" s="94"/>
      <c r="AV512" s="113"/>
      <c r="AW512" s="94"/>
      <c r="AX512" s="113"/>
      <c r="AY512" s="94"/>
      <c r="AZ512" s="113"/>
      <c r="BA512" s="94"/>
      <c r="BB512" s="113"/>
      <c r="BC512" s="94"/>
      <c r="BD512" s="113"/>
      <c r="BE512" s="94"/>
      <c r="BF512" s="113"/>
      <c r="BG512" s="94"/>
      <c r="BH512" s="113"/>
      <c r="BI512" s="94"/>
      <c r="BJ512" s="113"/>
      <c r="BK512" s="94"/>
      <c r="BL512" s="113"/>
      <c r="BM512" s="94"/>
      <c r="BN512" s="113"/>
      <c r="BO512" s="94"/>
      <c r="BP512" s="113"/>
      <c r="BQ512" s="94"/>
      <c r="BR512" s="113"/>
      <c r="BS512" s="94"/>
      <c r="BT512" s="113"/>
      <c r="BU512" s="94"/>
      <c r="BV512" s="113"/>
      <c r="BW512" s="94"/>
      <c r="BX512" s="113"/>
      <c r="BY512" s="94"/>
      <c r="BZ512" s="113"/>
      <c r="CA512" s="94"/>
      <c r="CB512" s="113"/>
      <c r="CC512" s="94"/>
      <c r="CD512" s="113"/>
      <c r="CE512" s="94"/>
      <c r="CF512" s="113"/>
      <c r="CG512" s="94"/>
      <c r="CH512" s="113"/>
      <c r="CI512" s="94"/>
      <c r="CJ512" s="113"/>
      <c r="CK512" s="94"/>
      <c r="CL512" s="113"/>
      <c r="CM512" s="94"/>
      <c r="CN512" s="113"/>
      <c r="CO512" s="94"/>
      <c r="CP512" s="113"/>
      <c r="CQ512" s="533"/>
      <c r="CR512" s="113"/>
      <c r="CS512" s="94"/>
      <c r="CT512" s="113"/>
      <c r="CU512" s="94"/>
      <c r="CV512" s="113"/>
      <c r="CW512" s="94"/>
      <c r="CX512" s="113"/>
      <c r="CY512" s="94"/>
      <c r="CZ512" s="113"/>
      <c r="DA512" s="94"/>
      <c r="DB512" s="113"/>
      <c r="DC512" s="94"/>
      <c r="DD512" s="113"/>
      <c r="DE512" s="94"/>
      <c r="DF512" s="113"/>
      <c r="DG512" s="94"/>
      <c r="DH512" s="113"/>
      <c r="DI512" s="94"/>
      <c r="DJ512" s="113"/>
      <c r="DK512" s="94"/>
      <c r="DL512" s="113"/>
      <c r="DM512" s="94"/>
      <c r="DN512" s="113"/>
      <c r="DO512" s="94"/>
      <c r="DP512" s="113"/>
      <c r="DQ512" s="94"/>
      <c r="DR512" s="113"/>
      <c r="DS512" s="94"/>
      <c r="DT512" s="113"/>
      <c r="DU512" s="94"/>
      <c r="DV512" s="113"/>
      <c r="DW512" s="94"/>
      <c r="DX512" s="113"/>
      <c r="DY512" s="94"/>
      <c r="DZ512" s="113"/>
      <c r="EA512" s="94"/>
      <c r="EB512" s="113"/>
      <c r="EC512" s="94"/>
      <c r="ED512" s="113"/>
      <c r="EE512" s="94"/>
      <c r="EF512" s="859"/>
      <c r="EG512" s="94"/>
      <c r="EH512" s="859"/>
      <c r="EI512" s="94"/>
      <c r="EJ512" s="859"/>
      <c r="EK512" s="94"/>
      <c r="EL512" s="859"/>
      <c r="EM512" s="94"/>
      <c r="EN512" s="859"/>
      <c r="EO512" s="94"/>
      <c r="EP512" s="113"/>
      <c r="EQ512" s="789"/>
      <c r="ER512" s="113"/>
      <c r="ES512" s="789"/>
      <c r="ET512" s="113"/>
      <c r="EU512" s="789"/>
      <c r="EV512" s="113"/>
      <c r="EW512" s="789"/>
      <c r="EX512" s="113"/>
      <c r="EY512" s="95"/>
      <c r="EZ512" s="594"/>
      <c r="FA512" s="405"/>
      <c r="FB512" s="95"/>
      <c r="FC512" s="113"/>
      <c r="FD512" s="94"/>
      <c r="FE512" s="113"/>
      <c r="FF512" s="95"/>
      <c r="FG512" s="113"/>
      <c r="FH512" s="95"/>
      <c r="FI512" s="113"/>
      <c r="FJ512" s="95"/>
      <c r="FK512" s="113"/>
      <c r="FL512" s="95"/>
      <c r="FM512" s="113"/>
      <c r="FN512" s="95"/>
      <c r="FO512" s="113"/>
      <c r="FP512" s="95"/>
      <c r="FQ512" s="113"/>
      <c r="FR512" s="96"/>
      <c r="FS512" s="116"/>
      <c r="FT512" s="96"/>
      <c r="FU512" s="116"/>
      <c r="FV512" s="96"/>
      <c r="FW512" s="113"/>
      <c r="FX512" s="480"/>
      <c r="FY512" s="113"/>
      <c r="FZ512" s="96"/>
      <c r="GA512" s="113"/>
      <c r="GB512" s="480"/>
      <c r="GC512" s="113"/>
      <c r="GD512" s="96"/>
      <c r="GE512" s="113"/>
      <c r="GF512" s="96"/>
      <c r="GG512" s="113"/>
      <c r="GH512" s="96"/>
      <c r="GI512" s="113"/>
      <c r="GJ512" s="96"/>
      <c r="GK512" s="113"/>
      <c r="GL512" s="96"/>
      <c r="GM512" s="113"/>
      <c r="GN512" s="96"/>
      <c r="GO512" s="113"/>
      <c r="GP512" s="96"/>
      <c r="GQ512" s="113"/>
      <c r="GR512" s="95"/>
      <c r="GS512" s="113"/>
      <c r="GT512" s="95"/>
      <c r="GU512" s="113"/>
      <c r="GV512" s="95"/>
      <c r="GW512" s="113"/>
      <c r="GX512" s="95"/>
      <c r="GY512" s="113"/>
      <c r="GZ512" s="113"/>
      <c r="HA512" s="113"/>
      <c r="HB512" s="10"/>
      <c r="HC512"/>
      <c r="HD512"/>
      <c r="HE512"/>
      <c r="HF512"/>
      <c r="HG512"/>
      <c r="HH512"/>
      <c r="HI512" s="10"/>
    </row>
    <row r="513" spans="2:217" s="2" customFormat="1" ht="12.75" customHeight="1" x14ac:dyDescent="0.2">
      <c r="B513" s="179" t="s">
        <v>134</v>
      </c>
      <c r="C513" s="80">
        <v>15.2</v>
      </c>
      <c r="D513" s="98"/>
      <c r="E513" s="80">
        <v>16.5</v>
      </c>
      <c r="F513" s="98"/>
      <c r="G513" s="80">
        <v>17.5</v>
      </c>
      <c r="H513" s="98"/>
      <c r="I513" s="80">
        <v>15.3</v>
      </c>
      <c r="J513" s="98"/>
      <c r="K513" s="80">
        <v>13.5</v>
      </c>
      <c r="L513" s="98">
        <f>IF(ISERROR((K513/C513-1)*100),"NA",IF(((K513/C513-1)*100)&gt;100,"NM",IF(((K513/C513-1)*100)&lt;-50,"NM",(K513/C513-1)*100)))</f>
        <v>-11.184210526315786</v>
      </c>
      <c r="M513" s="80">
        <v>16.5</v>
      </c>
      <c r="N513" s="98">
        <f>IF(ISERROR((M513/E513-1)*100),"NA",IF(((M513/E513-1)*100)&gt;100,"NM",IF(((M513/E513-1)*100)&lt;-50,"NM",(M513/E513-1)*100)))</f>
        <v>0</v>
      </c>
      <c r="O513" s="80">
        <v>9.8000000000000007</v>
      </c>
      <c r="P513" s="98">
        <f>IF(ISERROR((O513/G513-1)*100),"NA",IF(((O513/G513-1)*100)&gt;100,"NM",IF(((O513/G513-1)*100)&lt;-50,"NM",(O513/G513-1)*100)))</f>
        <v>-43.999999999999993</v>
      </c>
      <c r="Q513" s="80">
        <v>8.8000000000000007</v>
      </c>
      <c r="R513" s="98">
        <f>IF(ISERROR((Q513/I513-1)*100),"NA",IF(((Q513/I513-1)*100)&gt;100,"NM",IF(((Q513/I513-1)*100)&lt;-50,"NM",(Q513/I513-1)*100)))</f>
        <v>-42.483660130718945</v>
      </c>
      <c r="S513" s="80">
        <v>9.4</v>
      </c>
      <c r="T513" s="98">
        <f>IF(ISERROR((S513/K513-1)*100),"NA",IF(((S513/K513-1)*100)&gt;100,"NM",IF(((S513/K513-1)*100)&lt;-50,"NM",(S513/K513-1)*100)))</f>
        <v>-30.37037037037037</v>
      </c>
      <c r="U513" s="80">
        <v>9.3000000000000007</v>
      </c>
      <c r="V513" s="98">
        <f>IF(ISERROR((U513/M513-1)*100),"NA",IF(((U513/M513-1)*100)&gt;100,"NM",IF(((U513/M513-1)*100)&lt;-50,"NM",(U513/M513-1)*100)))</f>
        <v>-43.636363636363626</v>
      </c>
      <c r="W513" s="80">
        <v>9.3000000000000007</v>
      </c>
      <c r="X513" s="98">
        <f>IF(ISERROR((W513/O513-1)*100),"NA",IF(((W513/O513-1)*100)&gt;100,"NM",IF(((W513/O513-1)*100)&lt;-50,"NM",(W513/O513-1)*100)))</f>
        <v>-5.1020408163265252</v>
      </c>
      <c r="Y513" s="80">
        <v>8.8000000000000007</v>
      </c>
      <c r="Z513" s="98">
        <f>IF(ISERROR((Y513/Q513-1)*100),"NA",IF(((Y513/Q513-1)*100)&gt;100,"NM",IF(((Y513/Q513-1)*100)&lt;-50,"NM",(Y513/Q513-1)*100)))</f>
        <v>0</v>
      </c>
      <c r="AA513" s="80">
        <v>6.7</v>
      </c>
      <c r="AB513" s="98">
        <f>IF(ISERROR((AA513/S513-1)*100),"NA",IF(((AA513/S513-1)*100)&gt;100,"NM",IF(((AA513/S513-1)*100)&lt;-50,"NM",(AA513/S513-1)*100)))</f>
        <v>-28.723404255319153</v>
      </c>
      <c r="AC513" s="80">
        <v>6.4</v>
      </c>
      <c r="AD513" s="98">
        <f>IF(ISERROR((AC513/U513-1)*100),"NA",IF(((AC513/U513-1)*100)&gt;100,"NM",IF(((AC513/U513-1)*100)&lt;-50,"NM",(AC513/U513-1)*100)))</f>
        <v>-31.182795698924735</v>
      </c>
      <c r="AE513" s="80">
        <v>6.7</v>
      </c>
      <c r="AF513" s="98">
        <f>IF(ISERROR((AE513/W513-1)*100),"NA",IF(((AE513/W513-1)*100)&gt;100,"NM",IF(((AE513/W513-1)*100)&lt;-50,"NM",(AE513/W513-1)*100)))</f>
        <v>-27.956989247311835</v>
      </c>
      <c r="AG513" s="80">
        <v>6.6</v>
      </c>
      <c r="AH513" s="98">
        <f>IF(ISERROR((AG513/Y513-1)*100),"NA",IF(((AG513/Y513-1)*100)&gt;100,"NM",IF(((AG513/Y513-1)*100)&lt;-50,"NM",(AG513/Y513-1)*100)))</f>
        <v>-25.000000000000011</v>
      </c>
      <c r="AI513" s="80">
        <v>7.4</v>
      </c>
      <c r="AJ513" s="98">
        <f>IF(ISERROR((AI513/AA513-1)*100),"NA",IF(((AI513/AA513-1)*100)&gt;100,"NM",IF(((AI513/AA513-1)*100)&lt;-50,"NM",(AI513/AA513-1)*100)))</f>
        <v>10.447761194029859</v>
      </c>
      <c r="AK513" s="80">
        <v>8</v>
      </c>
      <c r="AL513" s="98">
        <f>IF(ISERROR((AK513/AC513-1)*100),"NA",IF(((AK513/AC513-1)*100)&gt;100,"NM",IF(((AK513/AC513-1)*100)&lt;-50,"NM",(AK513/AC513-1)*100)))</f>
        <v>25</v>
      </c>
      <c r="AM513" s="80">
        <v>7.6</v>
      </c>
      <c r="AN513" s="98">
        <f>IF(ISERROR((AM513/AE513-1)*100),"NA",IF(((AM513/AE513-1)*100)&gt;100,"NM",IF(((AM513/AE513-1)*100)&lt;-50,"NM",(AM513/AE513-1)*100)))</f>
        <v>13.432835820895516</v>
      </c>
      <c r="AO513" s="80">
        <v>6.7</v>
      </c>
      <c r="AP513" s="98">
        <f>IF(ISERROR((AO513/AG513-1)*100),"NA",IF(((AO513/AG513-1)*100)&gt;100,"NM",IF(((AO513/AG513-1)*100)&lt;-50,"NM",(AO513/AG513-1)*100)))</f>
        <v>1.5151515151515138</v>
      </c>
      <c r="AQ513" s="80">
        <v>6.3</v>
      </c>
      <c r="AR513" s="98">
        <f>IF(ISERROR((AQ513/AI513-1)*100),"NA",IF(((AQ513/AI513-1)*100)&gt;100,"NM",IF(((AQ513/AI513-1)*100)&lt;-50,"NM",(AQ513/AI513-1)*100)))</f>
        <v>-14.864864864864868</v>
      </c>
      <c r="AS513" s="80">
        <v>5.8</v>
      </c>
      <c r="AT513" s="98">
        <f>IF(ISERROR((AS513/AK513-1)*100),"NA",IF(((AS513/AK513-1)*100)&gt;100,"NM",IF(((AS513/AK513-1)*100)&lt;-50,"NM",(AS513/AK513-1)*100)))</f>
        <v>-27.500000000000004</v>
      </c>
      <c r="AU513" s="80">
        <v>6.4</v>
      </c>
      <c r="AV513" s="98">
        <f>IF(ISERROR((AU513/AM513-1)*100),"NA",IF(((AU513/AM513-1)*100)&gt;100,"NM",IF(((AU513/AM513-1)*100)&lt;-50,"NM",(AU513/AM513-1)*100)))</f>
        <v>-15.78947368421052</v>
      </c>
      <c r="AW513" s="80">
        <v>8</v>
      </c>
      <c r="AX513" s="98">
        <f>IF(ISERROR((AW513/AO513-1)*100),"NA",IF(((AW513/AO513-1)*100)&gt;100,"NM",IF(((AW513/AO513-1)*100)&lt;-50,"NM",(AW513/AO513-1)*100)))</f>
        <v>19.402985074626855</v>
      </c>
      <c r="AY513" s="80">
        <v>8.8000000000000007</v>
      </c>
      <c r="AZ513" s="98">
        <f>IF(ISERROR((AY513/AQ513-1)*100),"NA",IF(((AY513/AQ513-1)*100)&gt;100,"NM",IF(((AY513/AQ513-1)*100)&lt;-50,"NM",(AY513/AQ513-1)*100)))</f>
        <v>39.682539682539698</v>
      </c>
      <c r="BA513" s="80">
        <v>9.6999999999999993</v>
      </c>
      <c r="BB513" s="98">
        <f>IF(ISERROR((BA513/AS513-1)*100),"NA",IF(((BA513/AS513-1)*100)&gt;100,"NM",IF(((BA513/AS513-1)*100)&lt;-50,"NM",(BA513/AS513-1)*100)))</f>
        <v>67.241379310344811</v>
      </c>
      <c r="BC513" s="80">
        <v>10.4</v>
      </c>
      <c r="BD513" s="98">
        <f>IF(ISERROR((BC513/AU513-1)*100),"NA",IF(((BC513/AU513-1)*100)&gt;100,"NM",IF(((BC513/AU513-1)*100)&lt;-50,"NM",(BC513/AU513-1)*100)))</f>
        <v>62.5</v>
      </c>
      <c r="BE513" s="80">
        <v>11.5</v>
      </c>
      <c r="BF513" s="98">
        <f>IF(ISERROR((BE513/AW513-1)*100),"NA",IF(((BE513/AW513-1)*100)&gt;100,"NM",IF(((BE513/AW513-1)*100)&lt;-50,"NM",(BE513/AW513-1)*100)))</f>
        <v>43.75</v>
      </c>
      <c r="BG513" s="80">
        <v>12.7</v>
      </c>
      <c r="BH513" s="98">
        <f>IF(ISERROR((BG513/AY513-1)*100),"NA",IF(((BG513/AY513-1)*100)&gt;100,"NM",IF(((BG513/AY513-1)*100)&lt;-50,"NM",(BG513/AY513-1)*100)))</f>
        <v>44.318181818181792</v>
      </c>
      <c r="BI513" s="80">
        <v>13.5</v>
      </c>
      <c r="BJ513" s="98">
        <f>IF(ISERROR((BI513/BA513-1)*100),"NA",IF(((BI513/BA513-1)*100)&gt;100,"NM",IF(((BI513/BA513-1)*100)&lt;-50,"NM",(BI513/BA513-1)*100)))</f>
        <v>39.17525773195878</v>
      </c>
      <c r="BK513" s="80">
        <v>14.6</v>
      </c>
      <c r="BL513" s="98">
        <f>IF(ISERROR((BK513/BC513-1)*100),"NA",IF(((BK513/BC513-1)*100)&gt;100,"NM",IF(((BK513/BC513-1)*100)&lt;-50,"NM",(BK513/BC513-1)*100)))</f>
        <v>40.384615384615373</v>
      </c>
      <c r="BM513" s="80">
        <v>14.4</v>
      </c>
      <c r="BN513" s="98">
        <f>IF(ISERROR((BM513/BE513-1)*100),"NA",IF(((BM513/BE513-1)*100)&gt;100,"NM",IF(((BM513/BE513-1)*100)&lt;-50,"NM",(BM513/BE513-1)*100)))</f>
        <v>25.217391304347835</v>
      </c>
      <c r="BO513" s="80">
        <v>13.9</v>
      </c>
      <c r="BP513" s="98">
        <f>IF(ISERROR((BO513/BG513-1)*100),"NA",IF(((BO513/BG513-1)*100)&gt;100,"NM",IF(((BO513/BG513-1)*100)&lt;-50,"NM",(BO513/BG513-1)*100)))</f>
        <v>9.4488188976377998</v>
      </c>
      <c r="BQ513" s="80">
        <v>12.5</v>
      </c>
      <c r="BR513" s="98">
        <f>IF(ISERROR((BQ513/BI513-1)*100),"NA",IF(((BQ513/BI513-1)*100)&gt;100,"NM",IF(((BQ513/BI513-1)*100)&lt;-50,"NM",(BQ513/BI513-1)*100)))</f>
        <v>-7.4074074074074066</v>
      </c>
      <c r="BS513" s="80">
        <v>11.2</v>
      </c>
      <c r="BT513" s="98">
        <f>IF(ISERROR((BS513/BK513-1)*100),"NA",IF(((BS513/BK513-1)*100)&gt;100,"NM",IF(((BS513/BK513-1)*100)&lt;-50,"NM",(BS513/BK513-1)*100)))</f>
        <v>-23.287671232876718</v>
      </c>
      <c r="BU513" s="80">
        <v>11.3</v>
      </c>
      <c r="BV513" s="98">
        <f>IF(ISERROR((BU513/BM513-1)*100),"NA",IF(((BU513/BM513-1)*100)&gt;100,"NM",IF(((BU513/BM513-1)*100)&lt;-50,"NM",(BU513/BM513-1)*100)))</f>
        <v>-21.527777777777779</v>
      </c>
      <c r="BW513" s="80">
        <v>10.4</v>
      </c>
      <c r="BX513" s="98">
        <f>IF(ISERROR((BW513/BO513-1)*100),"NA",IF(((BW513/BO513-1)*100)&gt;100,"NM",IF(((BW513/BO513-1)*100)&lt;-50,"NM",(BW513/BO513-1)*100)))</f>
        <v>-25.179856115107913</v>
      </c>
      <c r="BY513" s="80">
        <v>9.4</v>
      </c>
      <c r="BZ513" s="98">
        <f>IF(ISERROR((BY513/BQ513-1)*100),"NA",IF(((BY513/BQ513-1)*100)&gt;100,"NM",IF(((BY513/BQ513-1)*100)&lt;-50,"NM",(BY513/BQ513-1)*100)))</f>
        <v>-24.8</v>
      </c>
      <c r="CA513" s="80">
        <v>8.6</v>
      </c>
      <c r="CB513" s="98">
        <f>IF(ISERROR((CA513/BS513-1)*100),"NA",IF(((CA513/BS513-1)*100)&gt;100,"NM",IF(((CA513/BS513-1)*100)&lt;-50,"NM",(CA513/BS513-1)*100)))</f>
        <v>-23.214285714285708</v>
      </c>
      <c r="CC513" s="80">
        <v>7.5</v>
      </c>
      <c r="CD513" s="98">
        <f>IF(ISERROR((CC513/BU513-1)*100),"NA",IF(((CC513/BU513-1)*100)&gt;100,"NM",IF(((CC513/BU513-1)*100)&lt;-50,"NM",(CC513/BU513-1)*100)))</f>
        <v>-33.628318584070804</v>
      </c>
      <c r="CE513" s="80">
        <v>6.8</v>
      </c>
      <c r="CF513" s="98">
        <f>IF(ISERROR((CE513/BW513-1)*100),"NA",IF(((CE513/BW513-1)*100)&gt;100,"NM",IF(((CE513/BW513-1)*100)&lt;-50,"NM",(CE513/BW513-1)*100)))</f>
        <v>-34.615384615384613</v>
      </c>
      <c r="CG513" s="80">
        <v>6.7</v>
      </c>
      <c r="CH513" s="98">
        <f>IF(ISERROR((CG513/BY513-1)*100),"NA",IF(((CG513/BY513-1)*100)&gt;100,"NM",IF(((CG513/BY513-1)*100)&lt;-50,"NM",(CG513/BY513-1)*100)))</f>
        <v>-28.723404255319153</v>
      </c>
      <c r="CI513" s="80">
        <v>6.3</v>
      </c>
      <c r="CJ513" s="98">
        <f>IF(ISERROR((CI513/CA513-1)*100),"NA",IF(((CI513/CA513-1)*100)&gt;100,"NM",IF(((CI513/CA513-1)*100)&lt;-50,"NM",(CI513/CA513-1)*100)))</f>
        <v>-26.744186046511629</v>
      </c>
      <c r="CK513" s="80">
        <v>6</v>
      </c>
      <c r="CL513" s="98">
        <f>IF(ISERROR((CK513/CC513-1)*100),"NA",IF(((CK513/CC513-1)*100)&gt;100,"NM",IF(((CK513/CC513-1)*100)&lt;-50,"NM",(CK513/CC513-1)*100)))</f>
        <v>-19.999999999999996</v>
      </c>
      <c r="CM513" s="80">
        <v>6.2</v>
      </c>
      <c r="CN513" s="98">
        <f>IF(ISERROR((CM513/CE513-1)*100),"NA",IF(((CM513/CE513-1)*100)&gt;100,"NM",IF(((CM513/CE513-1)*100)&lt;-50,"NM",(CM513/CE513-1)*100)))</f>
        <v>-8.8235294117646959</v>
      </c>
      <c r="CO513" s="80">
        <v>6.4</v>
      </c>
      <c r="CP513" s="98">
        <f>IF(ISERROR((CO513/CG513-1)*100),"NA",IF(((CO513/CG513-1)*100)&gt;100,"NM",IF(((CO513/CG513-1)*100)&lt;-50,"NM",(CO513/CG513-1)*100)))</f>
        <v>-4.4776119402985088</v>
      </c>
      <c r="CQ513" s="553">
        <v>6.6</v>
      </c>
      <c r="CR513" s="98">
        <f>IF(ISERROR((CQ513/CI513-1)*100),"NA",IF(((CQ513/CI513-1)*100)&gt;100,"NM",IF(((CQ513/CI513-1)*100)&lt;-50,"NM",(CQ513/CI513-1)*100)))</f>
        <v>4.7619047619047672</v>
      </c>
      <c r="CS513" s="80">
        <v>7.8</v>
      </c>
      <c r="CT513" s="98">
        <f>IF(ISERROR((CS513/CK513-1)*100),"NA",IF(((CS513/CK513-1)*100)&gt;100,"NM",IF(((CS513/CK513-1)*100)&lt;-50,"NM",(CS513/CK513-1)*100)))</f>
        <v>30.000000000000004</v>
      </c>
      <c r="CU513" s="80">
        <v>9.5</v>
      </c>
      <c r="CV513" s="98">
        <f>IF(ISERROR((CU513/CM513-1)*100),"NA",IF(((CU513/CM513-1)*100)&gt;100,"NM",IF(((CU513/CM513-1)*100)&lt;-50,"NM",(CU513/CM513-1)*100)))</f>
        <v>53.225806451612897</v>
      </c>
      <c r="CW513" s="80">
        <v>9.8000000000000007</v>
      </c>
      <c r="CX513" s="98">
        <f>IF(ISERROR((CW513/CO513-1)*100),"NA",IF(((CW513/CO513-1)*100)&gt;100,"NM",IF(((CW513/CO513-1)*100)&lt;-50,"NM",(CW513/CO513-1)*100)))</f>
        <v>53.125</v>
      </c>
      <c r="CY513" s="80">
        <v>9.9</v>
      </c>
      <c r="CZ513" s="98">
        <f>IF(ISERROR((CY513/CQ513-1)*100),"NA",IF(((CY513/CQ513-1)*100)&gt;100,"NM",IF(((CY513/CQ513-1)*100)&lt;-50,"NM",(CY513/CQ513-1)*100)))</f>
        <v>50.000000000000021</v>
      </c>
      <c r="DA513" s="80">
        <v>9.4</v>
      </c>
      <c r="DB513" s="98">
        <f>IF(ISERROR((DA513/CS513-1)*100),"NA",IF(((DA513/CS513-1)*100)&gt;100,"NM",IF(((DA513/CS513-1)*100)&lt;-50,"NM",(DA513/CS513-1)*100)))</f>
        <v>20.512820512820529</v>
      </c>
      <c r="DC513" s="80">
        <v>8.4</v>
      </c>
      <c r="DD513" s="98">
        <f>IF(ISERROR((DC513/CU513-1)*100),"NA",IF(((DC513/CU513-1)*100)&gt;100,"NM",IF(((DC513/CU513-1)*100)&lt;-50,"NM",(DC513/CU513-1)*100)))</f>
        <v>-11.578947368421044</v>
      </c>
      <c r="DE513" s="80">
        <v>8.6</v>
      </c>
      <c r="DF513" s="98">
        <f>IF(ISERROR((DE513/CW513-1)*100),"NA",IF(((DE513/CW513-1)*100)&gt;100,"NM",IF(((DE513/CW513-1)*100)&lt;-50,"NM",(DE513/CW513-1)*100)))</f>
        <v>-12.244897959183687</v>
      </c>
      <c r="DG513" s="80">
        <v>8.8000000000000007</v>
      </c>
      <c r="DH513" s="98">
        <f>IF(ISERROR((DG513/CY513-1)*100),"NA",IF(((DG513/CY513-1)*100)&gt;100,"NM",IF(((DG513/CY513-1)*100)&lt;-50,"NM",(DG513/CY513-1)*100)))</f>
        <v>-11.111111111111105</v>
      </c>
      <c r="DI513" s="80">
        <v>9.9</v>
      </c>
      <c r="DJ513" s="98">
        <f>IF(ISERROR((DI513/DA513-1)*100),"NA",IF(((DI513/DA513-1)*100)&gt;100,"NM",IF(((DI513/DA513-1)*100)&lt;-50,"NM",(DI513/DA513-1)*100)))</f>
        <v>5.3191489361702038</v>
      </c>
      <c r="DK513" s="80">
        <v>10.5</v>
      </c>
      <c r="DL513" s="98">
        <f>IF(ISERROR((DK513/DC513-1)*100),"NA",IF(((DK513/DC513-1)*100)&gt;100,"NM",IF(((DK513/DC513-1)*100)&lt;-50,"NM",(DK513/DC513-1)*100)))</f>
        <v>25</v>
      </c>
      <c r="DM513" s="80">
        <v>10.3</v>
      </c>
      <c r="DN513" s="98">
        <f>IF(ISERROR((DM513/DE513-1)*100),"NA",IF(((DM513/DE513-1)*100)&gt;100,"NM",IF(((DM513/DE513-1)*100)&lt;-50,"NM",(DM513/DE513-1)*100)))</f>
        <v>19.76744186046513</v>
      </c>
      <c r="DO513" s="80">
        <v>10.1</v>
      </c>
      <c r="DP513" s="98">
        <f>IF(ISERROR((DO513/DG513-1)*100),"NA",IF(((DO513/DG513-1)*100)&gt;100,"NM",IF(((DO513/DG513-1)*100)&lt;-50,"NM",(DO513/DG513-1)*100)))</f>
        <v>14.772727272727249</v>
      </c>
      <c r="DQ513" s="80">
        <v>10.6</v>
      </c>
      <c r="DR513" s="98">
        <f>IF(ISERROR((DQ513/DI513-1)*100),"NA",IF(((DQ513/DI513-1)*100)&gt;100,"NM",IF(((DQ513/DI513-1)*100)&lt;-50,"NM",(DQ513/DI513-1)*100)))</f>
        <v>7.0707070707070718</v>
      </c>
      <c r="DS513" s="80">
        <v>11.8</v>
      </c>
      <c r="DT513" s="98">
        <f>IF(ISERROR((DS513/DK513-1)*100),"NA",IF(((DS513/DK513-1)*100)&gt;100,"NM",IF(((DS513/DK513-1)*100)&lt;-50,"NM",(DS513/DK513-1)*100)))</f>
        <v>12.380952380952381</v>
      </c>
      <c r="DU513" s="80">
        <v>12.7</v>
      </c>
      <c r="DV513" s="98">
        <f>IF(ISERROR((DU513/DM513-1)*100),"NA",IF(((DU513/DM513-1)*100)&gt;100,"NM",IF(((DU513/DM513-1)*100)&lt;-50,"NM",(DU513/DM513-1)*100)))</f>
        <v>23.300970873786397</v>
      </c>
      <c r="DW513" s="80">
        <v>12.6</v>
      </c>
      <c r="DX513" s="98">
        <f>IF(ISERROR((DW513/DO513-1)*100),"NA",IF(((DW513/DO513-1)*100)&gt;100,"NM",IF(((DW513/DO513-1)*100)&lt;-50,"NM",(DW513/DO513-1)*100)))</f>
        <v>24.752475247524753</v>
      </c>
      <c r="DY513" s="80">
        <v>8.1</v>
      </c>
      <c r="DZ513" s="98">
        <f>IF(ISERROR((DY513/DQ513-1)*100),"NA",IF(((DY513/DQ513-1)*100)&gt;100,"NM",IF(((DY513/DQ513-1)*100)&lt;-50,"NM",(DY513/DQ513-1)*100)))</f>
        <v>-23.584905660377366</v>
      </c>
      <c r="EA513" s="80">
        <v>9</v>
      </c>
      <c r="EB513" s="98">
        <f>IF(ISERROR((EA513/DS513-1)*100),"NA",IF(((EA513/DS513-1)*100)&gt;100,"NM",IF(((EA513/DS513-1)*100)&lt;-50,"NM",(EA513/DS513-1)*100)))</f>
        <v>-23.728813559322038</v>
      </c>
      <c r="EC513" s="80">
        <v>7.6</v>
      </c>
      <c r="ED513" s="98">
        <f>IF(ISERROR((EC513/DU513-1)*100),"NA",IF(((EC513/DU513-1)*100)&gt;100,"NM",IF(((EC513/DU513-1)*100)&lt;-50,"NM",(EC513/DU513-1)*100)))</f>
        <v>-40.157480314960623</v>
      </c>
      <c r="EE513" s="80">
        <v>8</v>
      </c>
      <c r="EF513" s="860">
        <f>IF(ISERROR((EE513/DW513-1)*100),"NA",IF(((EE513/DW513-1)*100)&gt;100,"NM",IF(((EE513/DW513-1)*100)&lt;-50,"NM",(EE513/DW513-1)*100)))</f>
        <v>-36.507936507936513</v>
      </c>
      <c r="EG513" s="80">
        <v>8</v>
      </c>
      <c r="EH513" s="860">
        <f>IF(ISERROR((EG513/DY513-1)*100),"NA",IF(((EG513/DY513-1)*100)&gt;100,"NM",IF(((EG513/DY513-1)*100)&lt;-50,"NM",(EG513/DY513-1)*100)))</f>
        <v>-1.2345679012345623</v>
      </c>
      <c r="EI513" s="80">
        <v>7.2</v>
      </c>
      <c r="EJ513" s="860">
        <f t="shared" ref="EJ513:EJ514" si="3229">IF(ISERROR((EI513/EA513-1)*100),"NA",IF(((EI513/EA513-1)*100)&gt;100,"NM",IF(((EI513/EA513-1)*100)&lt;-50,"NM",(EI513/EA513-1)*100)))</f>
        <v>-19.999999999999996</v>
      </c>
      <c r="EK513" s="80">
        <v>7.3</v>
      </c>
      <c r="EL513" s="860">
        <f t="shared" ref="EL513:EL514" si="3230">IF(ISERROR((EK513/EC513-1)*100),"NA",IF(((EK513/EC513-1)*100)&gt;100,"NM",IF(((EK513/EC513-1)*100)&lt;-50,"NM",(EK513/EC513-1)*100)))</f>
        <v>-3.9473684210526327</v>
      </c>
      <c r="EM513" s="80">
        <v>6.8</v>
      </c>
      <c r="EN513" s="860">
        <f t="shared" ref="EN513:EN514" si="3231">IF(ISERROR((EM513/EE513-1)*100),"NA",IF(((EM513/EE513-1)*100)&gt;100,"NM",IF(((EM513/EE513-1)*100)&lt;-50,"NM",(EM513/EE513-1)*100)))</f>
        <v>-15.000000000000002</v>
      </c>
      <c r="EO513" s="80">
        <v>6.9</v>
      </c>
      <c r="EP513" s="98">
        <f t="shared" ref="EP513:EP514" si="3232">IF(ISERROR((EO513/EG513-1)*100),"NA",IF(((EO513/EG513-1)*100)&gt;100,"NM",IF(((EO513/EG513-1)*100)&lt;-50,"NM",(EO513/EG513-1)*100)))</f>
        <v>-13.749999999999996</v>
      </c>
      <c r="EQ513" s="789" t="s">
        <v>494</v>
      </c>
      <c r="ER513" s="98" t="str">
        <f t="shared" ref="ER513:ER514" si="3233">IF(ISERROR((EQ513/EI513-1)*100),"NA",IF(((EQ513/EI513-1)*100)&gt;100,"NM",IF(((EQ513/EI513-1)*100)&lt;-50,"NM",(EQ513/EI513-1)*100)))</f>
        <v>NA</v>
      </c>
      <c r="ES513" s="789" t="s">
        <v>494</v>
      </c>
      <c r="ET513" s="98" t="str">
        <f t="shared" ref="ET513:ET514" si="3234">IF(ISERROR((ES513/EK513-1)*100),"NA",IF(((ES513/EK513-1)*100)&gt;100,"NM",IF(((ES513/EK513-1)*100)&lt;-50,"NM",(ES513/EK513-1)*100)))</f>
        <v>NA</v>
      </c>
      <c r="EU513" s="789" t="s">
        <v>494</v>
      </c>
      <c r="EV513" s="98" t="str">
        <f t="shared" ref="EV513:EV514" si="3235">IF(ISERROR((EU513/EM513-1)*100),"NA",IF(((EU513/EM513-1)*100)&gt;100,"NM",IF(((EU513/EM513-1)*100)&lt;-50,"NM",(EU513/EM513-1)*100)))</f>
        <v>NA</v>
      </c>
      <c r="EW513" s="789" t="s">
        <v>494</v>
      </c>
      <c r="EX513" s="98" t="str">
        <f t="shared" ref="EX513:EX514" si="3236">IF(ISERROR((EW513/EO513-1)*100),"NA",IF(((EW513/EO513-1)*100)&gt;100,"NM",IF(((EW513/EO513-1)*100)&lt;-50,"NM",(EW513/EO513-1)*100)))</f>
        <v>NA</v>
      </c>
      <c r="EY513" s="95"/>
      <c r="EZ513" s="594"/>
      <c r="FA513" s="405"/>
      <c r="FB513" s="80">
        <f>0.154*100</f>
        <v>15.4</v>
      </c>
      <c r="FC513" s="98"/>
      <c r="FD513" s="80">
        <f>0.154*100</f>
        <v>15.4</v>
      </c>
      <c r="FE513" s="98">
        <f>IF(ISERROR((FD513/FB513-1)*100),"NA",IF(((FD513/FB513-1)*100)&gt;100,"NM",IF(((FD513/FB513-1)*100)&lt;-50,"NM",(FD513/FB513-1)*100)))</f>
        <v>0</v>
      </c>
      <c r="FF513" s="95" t="s">
        <v>494</v>
      </c>
      <c r="FG513" s="98" t="str">
        <f>IF(ISERROR((FF513/FD513-1)*100),"NA",IF(((FF513/FD513-1)*100)&gt;100,"NM",IF(((FF513/FD513-1)*100)&lt;-50,"NM",(FF513/FD513-1)*100)))</f>
        <v>NA</v>
      </c>
      <c r="FH513" s="95" t="s">
        <v>494</v>
      </c>
      <c r="FI513" s="98" t="str">
        <f>IF(ISERROR((FH513/FF513-1)*100),"NA",IF(((FH513/FF513-1)*100)&gt;100,"NM",IF(((FH513/FF513-1)*100)&lt;-50,"NM",(FH513/FF513-1)*100)))</f>
        <v>NA</v>
      </c>
      <c r="FJ513" s="95" t="s">
        <v>494</v>
      </c>
      <c r="FK513" s="98" t="str">
        <f>IF(ISERROR((FJ513/FH513-1)*100),"NA",IF(((FJ513/FH513-1)*100)&gt;100,"NM",IF(((FJ513/FH513-1)*100)&lt;-50,"NM",(FJ513/FH513-1)*100)))</f>
        <v>NA</v>
      </c>
      <c r="FL513" s="95" t="s">
        <v>494</v>
      </c>
      <c r="FM513" s="98" t="str">
        <f>IF(ISERROR((FL513/FJ513-1)*100),"NA",IF(((FL513/FJ513-1)*100)&gt;100,"NM",IF(((FL513/FJ513-1)*100)&lt;-50,"NM",(FL513/FJ513-1)*100)))</f>
        <v>NA</v>
      </c>
      <c r="FN513" s="95" t="s">
        <v>494</v>
      </c>
      <c r="FO513" s="98" t="str">
        <f>IF(ISERROR((FN513/FL513-1)*100),"NA",IF(((FN513/FL513-1)*100)&gt;100,"NM",IF(((FN513/FL513-1)*100)&lt;-50,"NM",(FN513/FL513-1)*100)))</f>
        <v>NA</v>
      </c>
      <c r="FP513" s="95" t="s">
        <v>494</v>
      </c>
      <c r="FQ513" s="98" t="str">
        <f>IF(ISERROR((FP513/FN513-1)*100),"NA",IF(((FP513/FN513-1)*100)&gt;100,"NM",IF(((FP513/FN513-1)*100)&lt;-50,"NM",(FP513/FN513-1)*100)))</f>
        <v>NA</v>
      </c>
      <c r="FR513" s="95" t="s">
        <v>494</v>
      </c>
      <c r="FS513" s="120" t="str">
        <f>IF(ISERROR((FR513/FP513-1)*100),"NA",IF(((FR513/FP513-1)*100)&gt;100,"NM",IF(((FR513/FP513-1)*100)&lt;-50,"NM",(FR513/FP513-1)*100)))</f>
        <v>NA</v>
      </c>
      <c r="FT513" s="95" t="s">
        <v>494</v>
      </c>
      <c r="FU513" s="120" t="str">
        <f>IF(ISERROR((FT513/FR513-1)*100),"NA",IF(((FT513/FR513-1)*100)&gt;100,"NM",IF(((FT513/FR513-1)*100)&lt;-50,"NM",(FT513/FR513-1)*100)))</f>
        <v>NA</v>
      </c>
      <c r="FV513" s="95" t="s">
        <v>494</v>
      </c>
      <c r="FW513" s="98" t="str">
        <f>IF(ISERROR((FV513/FT513-1)*100),"NA",IF(((FV513/FT513-1)*100)&gt;100,"NM",IF(((FV513/FT513-1)*100)&lt;-50,"NM",(FV513/FT513-1)*100)))</f>
        <v>NA</v>
      </c>
      <c r="FX513" s="506" t="s">
        <v>494</v>
      </c>
      <c r="FY513" s="98" t="str">
        <f>IF(ISERROR((FX513/FV513-1)*100),"NA",IF(((FX513/FV513-1)*100)&gt;100,"NM",IF(((FX513/FV513-1)*100)&lt;-50,"NM",(FX513/FV513-1)*100)))</f>
        <v>NA</v>
      </c>
      <c r="FZ513" s="95" t="s">
        <v>494</v>
      </c>
      <c r="GA513" s="98" t="str">
        <f>IF(ISERROR((FZ513/FX513-1)*100),"NA",IF(((FZ513/FX513-1)*100)&gt;100,"NM",IF(((FZ513/FX513-1)*100)&lt;-50,"NM",(FZ513/FX513-1)*100)))</f>
        <v>NA</v>
      </c>
      <c r="GB513" s="506" t="s">
        <v>494</v>
      </c>
      <c r="GC513" s="98" t="str">
        <f>IF(ISERROR((GB513/FZ513-1)*100),"NA",IF(((GB513/FZ513-1)*100)&gt;100,"NM",IF(((GB513/FZ513-1)*100)&lt;-50,"NM",(GB513/FZ513-1)*100)))</f>
        <v>NA</v>
      </c>
      <c r="GD513" s="95" t="s">
        <v>494</v>
      </c>
      <c r="GE513" s="98" t="str">
        <f>IF(ISERROR((GD513/GB513-1)*100),"NA",IF(((GD513/GB513-1)*100)&gt;100,"NM",IF(((GD513/GB513-1)*100)&lt;-50,"NM",(GD513/GB513-1)*100)))</f>
        <v>NA</v>
      </c>
      <c r="GF513" s="95" t="s">
        <v>494</v>
      </c>
      <c r="GG513" s="98" t="str">
        <f>IF(ISERROR((GF513/GD513-1)*100),"NA",IF(((GF513/GD513-1)*100)&gt;100,"NM",IF(((GF513/GD513-1)*100)&lt;-50,"NM",(GF513/GD513-1)*100)))</f>
        <v>NA</v>
      </c>
      <c r="GH513" s="95" t="s">
        <v>494</v>
      </c>
      <c r="GI513" s="98" t="str">
        <f>IF(ISERROR((GH513/GF513-1)*100),"NA",IF(((GH513/GF513-1)*100)&gt;100,"NM",IF(((GH513/GF513-1)*100)&lt;-50,"NM",(GH513/GF513-1)*100)))</f>
        <v>NA</v>
      </c>
      <c r="GJ513" s="95" t="s">
        <v>494</v>
      </c>
      <c r="GK513" s="98" t="str">
        <f>IF(ISERROR((GJ513/GH513-1)*100),"NA",IF(((GJ513/GH513-1)*100)&gt;100,"NM",IF(((GJ513/GH513-1)*100)&lt;-50,"NM",(GJ513/GH513-1)*100)))</f>
        <v>NA</v>
      </c>
      <c r="GL513" s="95" t="s">
        <v>494</v>
      </c>
      <c r="GM513" s="98" t="str">
        <f>IF(ISERROR((GL513/GJ513-1)*100),"NA",IF(((GL513/GJ513-1)*100)&gt;100,"NM",IF(((GL513/GJ513-1)*100)&lt;-50,"NM",(GL513/GJ513-1)*100)))</f>
        <v>NA</v>
      </c>
      <c r="GN513" s="95" t="s">
        <v>494</v>
      </c>
      <c r="GO513" s="98" t="str">
        <f>IF(ISERROR((GN513/GL513-1)*100),"NA",IF(((GN513/GL513-1)*100)&gt;100,"NM",IF(((GN513/GL513-1)*100)&lt;-50,"NM",(GN513/GL513-1)*100)))</f>
        <v>NA</v>
      </c>
      <c r="GP513" s="95" t="s">
        <v>494</v>
      </c>
      <c r="GQ513" s="98" t="str">
        <f>IF(ISERROR((GP513/GN513-1)*100),"NA",IF(((GP513/GN513-1)*100)&gt;100,"NM",IF(((GP513/GN513-1)*100)&lt;-50,"NM",(GP513/GN513-1)*100)))</f>
        <v>NA</v>
      </c>
      <c r="GR513" s="95" t="s">
        <v>494</v>
      </c>
      <c r="GS513" s="98" t="str">
        <f>IF(ISERROR((GR513/GP513-1)*100),"NA",IF(((GR513/GP513-1)*100)&gt;100,"NM",IF(((GR513/GP513-1)*100)&lt;-50,"NM",(GR513/GP513-1)*100)))</f>
        <v>NA</v>
      </c>
      <c r="GT513" s="95" t="s">
        <v>494</v>
      </c>
      <c r="GU513" s="98" t="str">
        <f>IF(ISERROR((GT513/GR513-1)*100),"NA",IF(((GT513/GR513-1)*100)&gt;100,"NM",IF(((GT513/GR513-1)*100)&lt;-50,"NM",(GT513/GR513-1)*100)))</f>
        <v>NA</v>
      </c>
      <c r="GV513" s="95" t="s">
        <v>494</v>
      </c>
      <c r="GW513" s="98" t="str">
        <f>IF(ISERROR((GV513/GT513-1)*100),"NA",IF(((GV513/GT513-1)*100)&gt;100,"NM",IF(((GV513/GT513-1)*100)&lt;-50,"NM",(GV513/GT513-1)*100)))</f>
        <v>NA</v>
      </c>
      <c r="GX513" s="95" t="s">
        <v>494</v>
      </c>
      <c r="GY513" s="98" t="str">
        <f>IF(ISERROR((GX513/GV513-1)*100),"NA",IF(((GX513/GV513-1)*100)&gt;100,"NM",IF(((GX513/GV513-1)*100)&lt;-50,"NM",(GX513/GV513-1)*100)))</f>
        <v>NA</v>
      </c>
      <c r="GZ513" s="98" t="str">
        <f>IF(ISERROR(((GX513/GN513)^0.2-1)*100),"NA",IF((((GX513/GN513)^0.2-1)*100)&gt;100,"NM",IF((((GX513/GN513)^0.2-1)*100)&lt;-50,"NM",((GX513/GN513)^0.2-1)*100)))</f>
        <v>NA</v>
      </c>
      <c r="HA513" s="98"/>
      <c r="HB513" s="10"/>
      <c r="HC513"/>
      <c r="HD513"/>
      <c r="HE513"/>
      <c r="HF513"/>
      <c r="HG513"/>
      <c r="HH513"/>
      <c r="HI513" s="10"/>
    </row>
    <row r="514" spans="2:217" s="2" customFormat="1" ht="12.75" customHeight="1" x14ac:dyDescent="0.2">
      <c r="B514" s="179" t="s">
        <v>282</v>
      </c>
      <c r="C514" s="135">
        <v>8.5</v>
      </c>
      <c r="D514" s="98"/>
      <c r="E514" s="135">
        <v>8.8000000000000007</v>
      </c>
      <c r="F514" s="98"/>
      <c r="G514" s="135">
        <v>9.1</v>
      </c>
      <c r="H514" s="98"/>
      <c r="I514" s="135">
        <v>9</v>
      </c>
      <c r="J514" s="98"/>
      <c r="K514" s="135">
        <v>8.1</v>
      </c>
      <c r="L514" s="98">
        <f>IF(ISERROR((K514/C514-1)*100),"NA",IF(((K514/C514-1)*100)&gt;100,"NM",IF(((K514/C514-1)*100)&lt;-50,"NM",(K514/C514-1)*100)))</f>
        <v>-4.705882352941182</v>
      </c>
      <c r="M514" s="135">
        <v>8.8000000000000007</v>
      </c>
      <c r="N514" s="98">
        <f>IF(ISERROR((M514/E514-1)*100),"NA",IF(((M514/E514-1)*100)&gt;100,"NM",IF(((M514/E514-1)*100)&lt;-50,"NM",(M514/E514-1)*100)))</f>
        <v>0</v>
      </c>
      <c r="O514" s="135">
        <v>8.1</v>
      </c>
      <c r="P514" s="98">
        <f>IF(ISERROR((O514/G514-1)*100),"NA",IF(((O514/G514-1)*100)&gt;100,"NM",IF(((O514/G514-1)*100)&lt;-50,"NM",(O514/G514-1)*100)))</f>
        <v>-10.989010989010994</v>
      </c>
      <c r="Q514" s="135">
        <v>7.3</v>
      </c>
      <c r="R514" s="98">
        <f>IF(ISERROR((Q514/I514-1)*100),"NA",IF(((Q514/I514-1)*100)&gt;100,"NM",IF(((Q514/I514-1)*100)&lt;-50,"NM",(Q514/I514-1)*100)))</f>
        <v>-18.888888888888889</v>
      </c>
      <c r="S514" s="135">
        <v>7.8</v>
      </c>
      <c r="T514" s="98">
        <f>IF(ISERROR((S514/K514-1)*100),"NA",IF(((S514/K514-1)*100)&gt;100,"NM",IF(((S514/K514-1)*100)&lt;-50,"NM",(S514/K514-1)*100)))</f>
        <v>-3.7037037037036979</v>
      </c>
      <c r="U514" s="135">
        <v>7.9</v>
      </c>
      <c r="V514" s="98">
        <f>IF(ISERROR((U514/M514-1)*100),"NA",IF(((U514/M514-1)*100)&gt;100,"NM",IF(((U514/M514-1)*100)&lt;-50,"NM",(U514/M514-1)*100)))</f>
        <v>-10.22727272727273</v>
      </c>
      <c r="W514" s="135">
        <v>7.9</v>
      </c>
      <c r="X514" s="98">
        <f>IF(ISERROR((W514/O514-1)*100),"NA",IF(((W514/O514-1)*100)&gt;100,"NM",IF(((W514/O514-1)*100)&lt;-50,"NM",(W514/O514-1)*100)))</f>
        <v>-2.4691358024691246</v>
      </c>
      <c r="Y514" s="135">
        <v>8</v>
      </c>
      <c r="Z514" s="98">
        <f>IF(ISERROR((Y514/Q514-1)*100),"NA",IF(((Y514/Q514-1)*100)&gt;100,"NM",IF(((Y514/Q514-1)*100)&lt;-50,"NM",(Y514/Q514-1)*100)))</f>
        <v>9.5890410958904049</v>
      </c>
      <c r="AA514" s="135">
        <v>9.1999999999999993</v>
      </c>
      <c r="AB514" s="98">
        <f>IF(ISERROR((AA514/S514-1)*100),"NA",IF(((AA514/S514-1)*100)&gt;100,"NM",IF(((AA514/S514-1)*100)&lt;-50,"NM",(AA514/S514-1)*100)))</f>
        <v>17.948717948717952</v>
      </c>
      <c r="AC514" s="135">
        <v>9</v>
      </c>
      <c r="AD514" s="98">
        <f>IF(ISERROR((AC514/U514-1)*100),"NA",IF(((AC514/U514-1)*100)&gt;100,"NM",IF(((AC514/U514-1)*100)&lt;-50,"NM",(AC514/U514-1)*100)))</f>
        <v>13.924050632911378</v>
      </c>
      <c r="AE514" s="135">
        <v>8.6999999999999993</v>
      </c>
      <c r="AF514" s="98">
        <f>IF(ISERROR((AE514/W514-1)*100),"NA",IF(((AE514/W514-1)*100)&gt;100,"NM",IF(((AE514/W514-1)*100)&lt;-50,"NM",(AE514/W514-1)*100)))</f>
        <v>10.126582278480999</v>
      </c>
      <c r="AG514" s="135">
        <v>8.1999999999999993</v>
      </c>
      <c r="AH514" s="98">
        <f>IF(ISERROR((AG514/Y514-1)*100),"NA",IF(((AG514/Y514-1)*100)&gt;100,"NM",IF(((AG514/Y514-1)*100)&lt;-50,"NM",(AG514/Y514-1)*100)))</f>
        <v>2.4999999999999911</v>
      </c>
      <c r="AI514" s="135">
        <v>7.8</v>
      </c>
      <c r="AJ514" s="98">
        <f>IF(ISERROR((AI514/AA514-1)*100),"NA",IF(((AI514/AA514-1)*100)&gt;100,"NM",IF(((AI514/AA514-1)*100)&lt;-50,"NM",(AI514/AA514-1)*100)))</f>
        <v>-15.217391304347816</v>
      </c>
      <c r="AK514" s="135">
        <v>7.7</v>
      </c>
      <c r="AL514" s="98">
        <f>IF(ISERROR((AK514/AC514-1)*100),"NA",IF(((AK514/AC514-1)*100)&gt;100,"NM",IF(((AK514/AC514-1)*100)&lt;-50,"NM",(AK514/AC514-1)*100)))</f>
        <v>-14.444444444444438</v>
      </c>
      <c r="AM514" s="135">
        <v>7.5</v>
      </c>
      <c r="AN514" s="98">
        <f>IF(ISERROR((AM514/AE514-1)*100),"NA",IF(((AM514/AE514-1)*100)&gt;100,"NM",IF(((AM514/AE514-1)*100)&lt;-50,"NM",(AM514/AE514-1)*100)))</f>
        <v>-13.793103448275856</v>
      </c>
      <c r="AO514" s="135">
        <v>7.6</v>
      </c>
      <c r="AP514" s="98">
        <f>IF(ISERROR((AO514/AG514-1)*100),"NA",IF(((AO514/AG514-1)*100)&gt;100,"NM",IF(((AO514/AG514-1)*100)&lt;-50,"NM",(AO514/AG514-1)*100)))</f>
        <v>-7.3170731707317032</v>
      </c>
      <c r="AQ514" s="135">
        <v>7.6</v>
      </c>
      <c r="AR514" s="98">
        <f>IF(ISERROR((AQ514/AI514-1)*100),"NA",IF(((AQ514/AI514-1)*100)&gt;100,"NM",IF(((AQ514/AI514-1)*100)&lt;-50,"NM",(AQ514/AI514-1)*100)))</f>
        <v>-2.5641025641025661</v>
      </c>
      <c r="AS514" s="135">
        <v>7.7</v>
      </c>
      <c r="AT514" s="98">
        <f>IF(ISERROR((AS514/AK514-1)*100),"NA",IF(((AS514/AK514-1)*100)&gt;100,"NM",IF(((AS514/AK514-1)*100)&lt;-50,"NM",(AS514/AK514-1)*100)))</f>
        <v>0</v>
      </c>
      <c r="AU514" s="135">
        <v>8.4</v>
      </c>
      <c r="AV514" s="98">
        <f>IF(ISERROR((AU514/AM514-1)*100),"NA",IF(((AU514/AM514-1)*100)&gt;100,"NM",IF(((AU514/AM514-1)*100)&lt;-50,"NM",(AU514/AM514-1)*100)))</f>
        <v>12.000000000000011</v>
      </c>
      <c r="AW514" s="135">
        <v>8.9</v>
      </c>
      <c r="AX514" s="98">
        <f>IF(ISERROR((AW514/AO514-1)*100),"NA",IF(((AW514/AO514-1)*100)&gt;100,"NM",IF(((AW514/AO514-1)*100)&lt;-50,"NM",(AW514/AO514-1)*100)))</f>
        <v>17.105263157894758</v>
      </c>
      <c r="AY514" s="135">
        <v>9.5</v>
      </c>
      <c r="AZ514" s="98">
        <f>IF(ISERROR((AY514/AQ514-1)*100),"NA",IF(((AY514/AQ514-1)*100)&gt;100,"NM",IF(((AY514/AQ514-1)*100)&lt;-50,"NM",(AY514/AQ514-1)*100)))</f>
        <v>25</v>
      </c>
      <c r="BA514" s="135">
        <v>10</v>
      </c>
      <c r="BB514" s="98">
        <f>IF(ISERROR((BA514/AS514-1)*100),"NA",IF(((BA514/AS514-1)*100)&gt;100,"NM",IF(((BA514/AS514-1)*100)&lt;-50,"NM",(BA514/AS514-1)*100)))</f>
        <v>29.870129870129869</v>
      </c>
      <c r="BC514" s="135">
        <v>10.3</v>
      </c>
      <c r="BD514" s="98">
        <f>IF(ISERROR((BC514/AU514-1)*100),"NA",IF(((BC514/AU514-1)*100)&gt;100,"NM",IF(((BC514/AU514-1)*100)&lt;-50,"NM",(BC514/AU514-1)*100)))</f>
        <v>22.619047619047628</v>
      </c>
      <c r="BE514" s="135">
        <v>10.6</v>
      </c>
      <c r="BF514" s="98">
        <f>IF(ISERROR((BE514/AW514-1)*100),"NA",IF(((BE514/AW514-1)*100)&gt;100,"NM",IF(((BE514/AW514-1)*100)&lt;-50,"NM",(BE514/AW514-1)*100)))</f>
        <v>19.101123595505619</v>
      </c>
      <c r="BG514" s="135">
        <v>10.5</v>
      </c>
      <c r="BH514" s="98">
        <f>IF(ISERROR((BG514/AY514-1)*100),"NA",IF(((BG514/AY514-1)*100)&gt;100,"NM",IF(((BG514/AY514-1)*100)&lt;-50,"NM",(BG514/AY514-1)*100)))</f>
        <v>10.526315789473696</v>
      </c>
      <c r="BI514" s="135">
        <v>10.5</v>
      </c>
      <c r="BJ514" s="98">
        <f>IF(ISERROR((BI514/BA514-1)*100),"NA",IF(((BI514/BA514-1)*100)&gt;100,"NM",IF(((BI514/BA514-1)*100)&lt;-50,"NM",(BI514/BA514-1)*100)))</f>
        <v>5.0000000000000044</v>
      </c>
      <c r="BK514" s="135">
        <v>10.4</v>
      </c>
      <c r="BL514" s="98">
        <f>IF(ISERROR((BK514/BC514-1)*100),"NA",IF(((BK514/BC514-1)*100)&gt;100,"NM",IF(((BK514/BC514-1)*100)&lt;-50,"NM",(BK514/BC514-1)*100)))</f>
        <v>0.97087378640776656</v>
      </c>
      <c r="BM514" s="135">
        <v>10.199999999999999</v>
      </c>
      <c r="BN514" s="98">
        <f>IF(ISERROR((BM514/BE514-1)*100),"NA",IF(((BM514/BE514-1)*100)&gt;100,"NM",IF(((BM514/BE514-1)*100)&lt;-50,"NM",(BM514/BE514-1)*100)))</f>
        <v>-3.7735849056603765</v>
      </c>
      <c r="BO514" s="135">
        <v>10</v>
      </c>
      <c r="BP514" s="98">
        <f>IF(ISERROR((BO514/BG514-1)*100),"NA",IF(((BO514/BG514-1)*100)&gt;100,"NM",IF(((BO514/BG514-1)*100)&lt;-50,"NM",(BO514/BG514-1)*100)))</f>
        <v>-4.7619047619047672</v>
      </c>
      <c r="BQ514" s="135">
        <v>9.6999999999999993</v>
      </c>
      <c r="BR514" s="98">
        <f>IF(ISERROR((BQ514/BI514-1)*100),"NA",IF(((BQ514/BI514-1)*100)&gt;100,"NM",IF(((BQ514/BI514-1)*100)&lt;-50,"NM",(BQ514/BI514-1)*100)))</f>
        <v>-7.6190476190476257</v>
      </c>
      <c r="BS514" s="135">
        <v>9.5</v>
      </c>
      <c r="BT514" s="98">
        <f>IF(ISERROR((BS514/BK514-1)*100),"NA",IF(((BS514/BK514-1)*100)&gt;100,"NM",IF(((BS514/BK514-1)*100)&lt;-50,"NM",(BS514/BK514-1)*100)))</f>
        <v>-8.6538461538461569</v>
      </c>
      <c r="BU514" s="135">
        <v>9.5</v>
      </c>
      <c r="BV514" s="98">
        <f>IF(ISERROR((BU514/BM514-1)*100),"NA",IF(((BU514/BM514-1)*100)&gt;100,"NM",IF(((BU514/BM514-1)*100)&lt;-50,"NM",(BU514/BM514-1)*100)))</f>
        <v>-6.8627450980392135</v>
      </c>
      <c r="BW514" s="135">
        <v>9.3000000000000007</v>
      </c>
      <c r="BX514" s="98">
        <f>IF(ISERROR((BW514/BO514-1)*100),"NA",IF(((BW514/BO514-1)*100)&gt;100,"NM",IF(((BW514/BO514-1)*100)&lt;-50,"NM",(BW514/BO514-1)*100)))</f>
        <v>-6.9999999999999947</v>
      </c>
      <c r="BY514" s="135">
        <v>8.6</v>
      </c>
      <c r="BZ514" s="98">
        <f>IF(ISERROR((BY514/BQ514-1)*100),"NA",IF(((BY514/BQ514-1)*100)&gt;100,"NM",IF(((BY514/BQ514-1)*100)&lt;-50,"NM",(BY514/BQ514-1)*100)))</f>
        <v>-11.340206185567004</v>
      </c>
      <c r="CA514" s="135">
        <v>7.9</v>
      </c>
      <c r="CB514" s="98">
        <f>IF(ISERROR((CA514/BS514-1)*100),"NA",IF(((CA514/BS514-1)*100)&gt;100,"NM",IF(((CA514/BS514-1)*100)&lt;-50,"NM",(CA514/BS514-1)*100)))</f>
        <v>-16.84210526315789</v>
      </c>
      <c r="CC514" s="135">
        <v>7.1</v>
      </c>
      <c r="CD514" s="98">
        <f>IF(ISERROR((CC514/BU514-1)*100),"NA",IF(((CC514/BU514-1)*100)&gt;100,"NM",IF(((CC514/BU514-1)*100)&lt;-50,"NM",(CC514/BU514-1)*100)))</f>
        <v>-25.263157894736842</v>
      </c>
      <c r="CE514" s="135">
        <v>6.8</v>
      </c>
      <c r="CF514" s="98">
        <f>IF(ISERROR((CE514/BW514-1)*100),"NA",IF(((CE514/BW514-1)*100)&gt;100,"NM",IF(((CE514/BW514-1)*100)&lt;-50,"NM",(CE514/BW514-1)*100)))</f>
        <v>-26.881720430107535</v>
      </c>
      <c r="CG514" s="135">
        <v>6.8</v>
      </c>
      <c r="CH514" s="98">
        <f>IF(ISERROR((CG514/BY514-1)*100),"NA",IF(((CG514/BY514-1)*100)&gt;100,"NM",IF(((CG514/BY514-1)*100)&lt;-50,"NM",(CG514/BY514-1)*100)))</f>
        <v>-20.93023255813954</v>
      </c>
      <c r="CI514" s="135">
        <v>7.3</v>
      </c>
      <c r="CJ514" s="98">
        <f>IF(ISERROR((CI514/CA514-1)*100),"NA",IF(((CI514/CA514-1)*100)&gt;100,"NM",IF(((CI514/CA514-1)*100)&lt;-50,"NM",(CI514/CA514-1)*100)))</f>
        <v>-7.5949367088607662</v>
      </c>
      <c r="CK514" s="135">
        <v>7.3</v>
      </c>
      <c r="CL514" s="98">
        <f>IF(ISERROR((CK514/CC514-1)*100),"NA",IF(((CK514/CC514-1)*100)&gt;100,"NM",IF(((CK514/CC514-1)*100)&lt;-50,"NM",(CK514/CC514-1)*100)))</f>
        <v>2.8169014084507005</v>
      </c>
      <c r="CM514" s="135">
        <v>7.3</v>
      </c>
      <c r="CN514" s="98">
        <f>IF(ISERROR((CM514/CE514-1)*100),"NA",IF(((CM514/CE514-1)*100)&gt;100,"NM",IF(((CM514/CE514-1)*100)&lt;-50,"NM",(CM514/CE514-1)*100)))</f>
        <v>7.3529411764705843</v>
      </c>
      <c r="CO514" s="135">
        <v>7.4</v>
      </c>
      <c r="CP514" s="98">
        <f>IF(ISERROR((CO514/CG514-1)*100),"NA",IF(((CO514/CG514-1)*100)&gt;100,"NM",IF(((CO514/CG514-1)*100)&lt;-50,"NM",(CO514/CG514-1)*100)))</f>
        <v>8.8235294117647189</v>
      </c>
      <c r="CQ514" s="554">
        <v>6.9</v>
      </c>
      <c r="CR514" s="98">
        <f>IF(ISERROR((CQ514/CI514-1)*100),"NA",IF(((CQ514/CI514-1)*100)&gt;100,"NM",IF(((CQ514/CI514-1)*100)&lt;-50,"NM",(CQ514/CI514-1)*100)))</f>
        <v>-5.4794520547945087</v>
      </c>
      <c r="CS514" s="135">
        <v>6.8</v>
      </c>
      <c r="CT514" s="98">
        <f>IF(ISERROR((CS514/CK514-1)*100),"NA",IF(((CS514/CK514-1)*100)&gt;100,"NM",IF(((CS514/CK514-1)*100)&lt;-50,"NM",(CS514/CK514-1)*100)))</f>
        <v>-6.8493150684931559</v>
      </c>
      <c r="CU514" s="135">
        <v>6.5</v>
      </c>
      <c r="CV514" s="98">
        <f>IF(ISERROR((CU514/CM514-1)*100),"NA",IF(((CU514/CM514-1)*100)&gt;100,"NM",IF(((CU514/CM514-1)*100)&lt;-50,"NM",(CU514/CM514-1)*100)))</f>
        <v>-10.95890410958904</v>
      </c>
      <c r="CW514" s="135">
        <v>6.2</v>
      </c>
      <c r="CX514" s="98">
        <f>IF(ISERROR((CW514/CO514-1)*100),"NA",IF(((CW514/CO514-1)*100)&gt;100,"NM",IF(((CW514/CO514-1)*100)&lt;-50,"NM",(CW514/CO514-1)*100)))</f>
        <v>-16.216216216216218</v>
      </c>
      <c r="CY514" s="135">
        <v>6</v>
      </c>
      <c r="CZ514" s="98">
        <f>IF(ISERROR((CY514/CQ514-1)*100),"NA",IF(((CY514/CQ514-1)*100)&gt;100,"NM",IF(((CY514/CQ514-1)*100)&lt;-50,"NM",(CY514/CQ514-1)*100)))</f>
        <v>-13.043478260869568</v>
      </c>
      <c r="DA514" s="135">
        <v>6</v>
      </c>
      <c r="DB514" s="98">
        <f>IF(ISERROR((DA514/CS514-1)*100),"NA",IF(((DA514/CS514-1)*100)&gt;100,"NM",IF(((DA514/CS514-1)*100)&lt;-50,"NM",(DA514/CS514-1)*100)))</f>
        <v>-11.764705882352944</v>
      </c>
      <c r="DC514" s="135">
        <v>5.9</v>
      </c>
      <c r="DD514" s="98">
        <f>IF(ISERROR((DC514/CU514-1)*100),"NA",IF(((DC514/CU514-1)*100)&gt;100,"NM",IF(((DC514/CU514-1)*100)&lt;-50,"NM",(DC514/CU514-1)*100)))</f>
        <v>-9.2307692307692193</v>
      </c>
      <c r="DE514" s="135">
        <v>6</v>
      </c>
      <c r="DF514" s="98">
        <f>IF(ISERROR((DE514/CW514-1)*100),"NA",IF(((DE514/CW514-1)*100)&gt;100,"NM",IF(((DE514/CW514-1)*100)&lt;-50,"NM",(DE514/CW514-1)*100)))</f>
        <v>-3.2258064516129115</v>
      </c>
      <c r="DG514" s="135">
        <v>6.1</v>
      </c>
      <c r="DH514" s="98">
        <f>IF(ISERROR((DG514/CY514-1)*100),"NA",IF(((DG514/CY514-1)*100)&gt;100,"NM",IF(((DG514/CY514-1)*100)&lt;-50,"NM",(DG514/CY514-1)*100)))</f>
        <v>1.6666666666666607</v>
      </c>
      <c r="DI514" s="135">
        <v>6.2</v>
      </c>
      <c r="DJ514" s="98">
        <f>IF(ISERROR((DI514/DA514-1)*100),"NA",IF(((DI514/DA514-1)*100)&gt;100,"NM",IF(((DI514/DA514-1)*100)&lt;-50,"NM",(DI514/DA514-1)*100)))</f>
        <v>3.3333333333333437</v>
      </c>
      <c r="DK514" s="135">
        <v>6.3</v>
      </c>
      <c r="DL514" s="98">
        <f>IF(ISERROR((DK514/DC514-1)*100),"NA",IF(((DK514/DC514-1)*100)&gt;100,"NM",IF(((DK514/DC514-1)*100)&lt;-50,"NM",(DK514/DC514-1)*100)))</f>
        <v>6.7796610169491345</v>
      </c>
      <c r="DM514" s="135">
        <v>6.5</v>
      </c>
      <c r="DN514" s="98">
        <f>IF(ISERROR((DM514/DE514-1)*100),"NA",IF(((DM514/DE514-1)*100)&gt;100,"NM",IF(((DM514/DE514-1)*100)&lt;-50,"NM",(DM514/DE514-1)*100)))</f>
        <v>8.333333333333325</v>
      </c>
      <c r="DO514" s="135">
        <v>6.7</v>
      </c>
      <c r="DP514" s="98">
        <f>IF(ISERROR((DO514/DG514-1)*100),"NA",IF(((DO514/DG514-1)*100)&gt;100,"NM",IF(((DO514/DG514-1)*100)&lt;-50,"NM",(DO514/DG514-1)*100)))</f>
        <v>9.8360655737705027</v>
      </c>
      <c r="DQ514" s="135">
        <v>6.9</v>
      </c>
      <c r="DR514" s="98">
        <f>IF(ISERROR((DQ514/DI514-1)*100),"NA",IF(((DQ514/DI514-1)*100)&gt;100,"NM",IF(((DQ514/DI514-1)*100)&lt;-50,"NM",(DQ514/DI514-1)*100)))</f>
        <v>11.290322580645174</v>
      </c>
      <c r="DS514" s="135">
        <v>7.1</v>
      </c>
      <c r="DT514" s="98">
        <f>IF(ISERROR((DS514/DK514-1)*100),"NA",IF(((DS514/DK514-1)*100)&gt;100,"NM",IF(((DS514/DK514-1)*100)&lt;-50,"NM",(DS514/DK514-1)*100)))</f>
        <v>12.698412698412698</v>
      </c>
      <c r="DU514" s="135">
        <v>7.2</v>
      </c>
      <c r="DV514" s="98">
        <f>IF(ISERROR((DU514/DM514-1)*100),"NA",IF(((DU514/DM514-1)*100)&gt;100,"NM",IF(((DU514/DM514-1)*100)&lt;-50,"NM",(DU514/DM514-1)*100)))</f>
        <v>10.769230769230775</v>
      </c>
      <c r="DW514" s="135">
        <v>7</v>
      </c>
      <c r="DX514" s="98">
        <f>IF(ISERROR((DW514/DO514-1)*100),"NA",IF(((DW514/DO514-1)*100)&gt;100,"NM",IF(((DW514/DO514-1)*100)&lt;-50,"NM",(DW514/DO514-1)*100)))</f>
        <v>4.4776119402984982</v>
      </c>
      <c r="DY514" s="135">
        <v>6.7</v>
      </c>
      <c r="DZ514" s="98">
        <f>IF(ISERROR((DY514/DQ514-1)*100),"NA",IF(((DY514/DQ514-1)*100)&gt;100,"NM",IF(((DY514/DQ514-1)*100)&lt;-50,"NM",(DY514/DQ514-1)*100)))</f>
        <v>-2.8985507246376829</v>
      </c>
      <c r="EA514" s="135">
        <v>6.4</v>
      </c>
      <c r="EB514" s="98">
        <f>IF(ISERROR((EA514/DS514-1)*100),"NA",IF(((EA514/DS514-1)*100)&gt;100,"NM",IF(((EA514/DS514-1)*100)&lt;-50,"NM",(EA514/DS514-1)*100)))</f>
        <v>-9.8591549295774517</v>
      </c>
      <c r="EC514" s="135">
        <v>6.2</v>
      </c>
      <c r="ED514" s="98">
        <f>IF(ISERROR((EC514/DU514-1)*100),"NA",IF(((EC514/DU514-1)*100)&gt;100,"NM",IF(((EC514/DU514-1)*100)&lt;-50,"NM",(EC514/DU514-1)*100)))</f>
        <v>-13.888888888888884</v>
      </c>
      <c r="EE514" s="135">
        <v>6.3</v>
      </c>
      <c r="EF514" s="860">
        <f>IF(ISERROR((EE514/DW514-1)*100),"NA",IF(((EE514/DW514-1)*100)&gt;100,"NM",IF(((EE514/DW514-1)*100)&lt;-50,"NM",(EE514/DW514-1)*100)))</f>
        <v>-9.9999999999999982</v>
      </c>
      <c r="EG514" s="135">
        <v>6.6</v>
      </c>
      <c r="EH514" s="860">
        <f>IF(ISERROR((EG514/DY514-1)*100),"NA",IF(((EG514/DY514-1)*100)&gt;100,"NM",IF(((EG514/DY514-1)*100)&lt;-50,"NM",(EG514/DY514-1)*100)))</f>
        <v>-1.4925373134328401</v>
      </c>
      <c r="EI514" s="135">
        <v>7.1</v>
      </c>
      <c r="EJ514" s="860">
        <f t="shared" si="3229"/>
        <v>10.937499999999979</v>
      </c>
      <c r="EK514" s="135">
        <v>7.6</v>
      </c>
      <c r="EL514" s="860">
        <f t="shared" si="3230"/>
        <v>22.580645161290303</v>
      </c>
      <c r="EM514" s="135">
        <v>8</v>
      </c>
      <c r="EN514" s="860">
        <f t="shared" si="3231"/>
        <v>26.984126984126977</v>
      </c>
      <c r="EO514" s="135">
        <v>8.5</v>
      </c>
      <c r="EP514" s="98">
        <f t="shared" si="3232"/>
        <v>28.787878787878785</v>
      </c>
      <c r="EQ514" s="804" t="s">
        <v>494</v>
      </c>
      <c r="ER514" s="98" t="str">
        <f t="shared" si="3233"/>
        <v>NA</v>
      </c>
      <c r="ES514" s="804" t="s">
        <v>494</v>
      </c>
      <c r="ET514" s="98" t="str">
        <f t="shared" si="3234"/>
        <v>NA</v>
      </c>
      <c r="EU514" s="804" t="s">
        <v>494</v>
      </c>
      <c r="EV514" s="98" t="str">
        <f t="shared" si="3235"/>
        <v>NA</v>
      </c>
      <c r="EW514" s="804" t="s">
        <v>494</v>
      </c>
      <c r="EX514" s="98" t="str">
        <f t="shared" si="3236"/>
        <v>NA</v>
      </c>
      <c r="EY514" s="215"/>
      <c r="EZ514" s="594"/>
      <c r="FA514" s="405"/>
      <c r="FB514" s="215">
        <f>0.065*100</f>
        <v>6.5</v>
      </c>
      <c r="FC514" s="98"/>
      <c r="FD514" s="215">
        <f>0.065*100</f>
        <v>6.5</v>
      </c>
      <c r="FE514" s="98">
        <f>IF(ISERROR((FD514/FB514-1)*100),"NA",IF(((FD514/FB514-1)*100)&gt;100,"NM",IF(((FD514/FB514-1)*100)&lt;-50,"NM",(FD514/FB514-1)*100)))</f>
        <v>0</v>
      </c>
      <c r="FF514" s="215" t="s">
        <v>494</v>
      </c>
      <c r="FG514" s="98" t="str">
        <f>IF(ISERROR((FF514/FD514-1)*100),"NA",IF(((FF514/FD514-1)*100)&gt;100,"NM",IF(((FF514/FD514-1)*100)&lt;-50,"NM",(FF514/FD514-1)*100)))</f>
        <v>NA</v>
      </c>
      <c r="FH514" s="215" t="s">
        <v>494</v>
      </c>
      <c r="FI514" s="98" t="str">
        <f>IF(ISERROR((FH514/FF514-1)*100),"NA",IF(((FH514/FF514-1)*100)&gt;100,"NM",IF(((FH514/FF514-1)*100)&lt;-50,"NM",(FH514/FF514-1)*100)))</f>
        <v>NA</v>
      </c>
      <c r="FJ514" s="215" t="s">
        <v>494</v>
      </c>
      <c r="FK514" s="98" t="str">
        <f>IF(ISERROR((FJ514/FH514-1)*100),"NA",IF(((FJ514/FH514-1)*100)&gt;100,"NM",IF(((FJ514/FH514-1)*100)&lt;-50,"NM",(FJ514/FH514-1)*100)))</f>
        <v>NA</v>
      </c>
      <c r="FL514" s="215" t="s">
        <v>494</v>
      </c>
      <c r="FM514" s="98" t="str">
        <f>IF(ISERROR((FL514/FJ514-1)*100),"NA",IF(((FL514/FJ514-1)*100)&gt;100,"NM",IF(((FL514/FJ514-1)*100)&lt;-50,"NM",(FL514/FJ514-1)*100)))</f>
        <v>NA</v>
      </c>
      <c r="FN514" s="215" t="s">
        <v>494</v>
      </c>
      <c r="FO514" s="98" t="str">
        <f>IF(ISERROR((FN514/FL514-1)*100),"NA",IF(((FN514/FL514-1)*100)&gt;100,"NM",IF(((FN514/FL514-1)*100)&lt;-50,"NM",(FN514/FL514-1)*100)))</f>
        <v>NA</v>
      </c>
      <c r="FP514" s="215" t="s">
        <v>494</v>
      </c>
      <c r="FQ514" s="98" t="str">
        <f>IF(ISERROR((FP514/FN514-1)*100),"NA",IF(((FP514/FN514-1)*100)&gt;100,"NM",IF(((FP514/FN514-1)*100)&lt;-50,"NM",(FP514/FN514-1)*100)))</f>
        <v>NA</v>
      </c>
      <c r="FR514" s="215" t="s">
        <v>494</v>
      </c>
      <c r="FS514" s="120" t="str">
        <f>IF(ISERROR((FR514/FP514-1)*100),"NA",IF(((FR514/FP514-1)*100)&gt;100,"NM",IF(((FR514/FP514-1)*100)&lt;-50,"NM",(FR514/FP514-1)*100)))</f>
        <v>NA</v>
      </c>
      <c r="FT514" s="215" t="s">
        <v>494</v>
      </c>
      <c r="FU514" s="120" t="str">
        <f>IF(ISERROR((FT514/FR514-1)*100),"NA",IF(((FT514/FR514-1)*100)&gt;100,"NM",IF(((FT514/FR514-1)*100)&lt;-50,"NM",(FT514/FR514-1)*100)))</f>
        <v>NA</v>
      </c>
      <c r="FV514" s="215" t="s">
        <v>494</v>
      </c>
      <c r="FW514" s="98" t="str">
        <f>IF(ISERROR((FV514/FT514-1)*100),"NA",IF(((FV514/FT514-1)*100)&gt;100,"NM",IF(((FV514/FT514-1)*100)&lt;-50,"NM",(FV514/FT514-1)*100)))</f>
        <v>NA</v>
      </c>
      <c r="FX514" s="507" t="s">
        <v>494</v>
      </c>
      <c r="FY514" s="98" t="str">
        <f>IF(ISERROR((FX514/FV514-1)*100),"NA",IF(((FX514/FV514-1)*100)&gt;100,"NM",IF(((FX514/FV514-1)*100)&lt;-50,"NM",(FX514/FV514-1)*100)))</f>
        <v>NA</v>
      </c>
      <c r="FZ514" s="215" t="s">
        <v>494</v>
      </c>
      <c r="GA514" s="98" t="str">
        <f>IF(ISERROR((FZ514/FX514-1)*100),"NA",IF(((FZ514/FX514-1)*100)&gt;100,"NM",IF(((FZ514/FX514-1)*100)&lt;-50,"NM",(FZ514/FX514-1)*100)))</f>
        <v>NA</v>
      </c>
      <c r="GB514" s="507" t="s">
        <v>494</v>
      </c>
      <c r="GC514" s="98" t="str">
        <f>IF(ISERROR((GB514/FZ514-1)*100),"NA",IF(((GB514/FZ514-1)*100)&gt;100,"NM",IF(((GB514/FZ514-1)*100)&lt;-50,"NM",(GB514/FZ514-1)*100)))</f>
        <v>NA</v>
      </c>
      <c r="GD514" s="215" t="s">
        <v>494</v>
      </c>
      <c r="GE514" s="98" t="str">
        <f>IF(ISERROR((GD514/GB514-1)*100),"NA",IF(((GD514/GB514-1)*100)&gt;100,"NM",IF(((GD514/GB514-1)*100)&lt;-50,"NM",(GD514/GB514-1)*100)))</f>
        <v>NA</v>
      </c>
      <c r="GF514" s="215" t="s">
        <v>494</v>
      </c>
      <c r="GG514" s="98" t="str">
        <f>IF(ISERROR((GF514/GD514-1)*100),"NA",IF(((GF514/GD514-1)*100)&gt;100,"NM",IF(((GF514/GD514-1)*100)&lt;-50,"NM",(GF514/GD514-1)*100)))</f>
        <v>NA</v>
      </c>
      <c r="GH514" s="215" t="s">
        <v>494</v>
      </c>
      <c r="GI514" s="98" t="str">
        <f>IF(ISERROR((GH514/GF514-1)*100),"NA",IF(((GH514/GF514-1)*100)&gt;100,"NM",IF(((GH514/GF514-1)*100)&lt;-50,"NM",(GH514/GF514-1)*100)))</f>
        <v>NA</v>
      </c>
      <c r="GJ514" s="215" t="s">
        <v>494</v>
      </c>
      <c r="GK514" s="98" t="str">
        <f>IF(ISERROR((GJ514/GH514-1)*100),"NA",IF(((GJ514/GH514-1)*100)&gt;100,"NM",IF(((GJ514/GH514-1)*100)&lt;-50,"NM",(GJ514/GH514-1)*100)))</f>
        <v>NA</v>
      </c>
      <c r="GL514" s="215" t="s">
        <v>494</v>
      </c>
      <c r="GM514" s="98" t="str">
        <f>IF(ISERROR((GL514/GJ514-1)*100),"NA",IF(((GL514/GJ514-1)*100)&gt;100,"NM",IF(((GL514/GJ514-1)*100)&lt;-50,"NM",(GL514/GJ514-1)*100)))</f>
        <v>NA</v>
      </c>
      <c r="GN514" s="215" t="s">
        <v>494</v>
      </c>
      <c r="GO514" s="98" t="str">
        <f>IF(ISERROR((GN514/GL514-1)*100),"NA",IF(((GN514/GL514-1)*100)&gt;100,"NM",IF(((GN514/GL514-1)*100)&lt;-50,"NM",(GN514/GL514-1)*100)))</f>
        <v>NA</v>
      </c>
      <c r="GP514" s="215" t="s">
        <v>494</v>
      </c>
      <c r="GQ514" s="98" t="str">
        <f>IF(ISERROR((GP514/GN514-1)*100),"NA",IF(((GP514/GN514-1)*100)&gt;100,"NM",IF(((GP514/GN514-1)*100)&lt;-50,"NM",(GP514/GN514-1)*100)))</f>
        <v>NA</v>
      </c>
      <c r="GR514" s="215" t="s">
        <v>494</v>
      </c>
      <c r="GS514" s="98" t="str">
        <f>IF(ISERROR((GR514/GP514-1)*100),"NA",IF(((GR514/GP514-1)*100)&gt;100,"NM",IF(((GR514/GP514-1)*100)&lt;-50,"NM",(GR514/GP514-1)*100)))</f>
        <v>NA</v>
      </c>
      <c r="GT514" s="215" t="s">
        <v>494</v>
      </c>
      <c r="GU514" s="98" t="str">
        <f>IF(ISERROR((GT514/GR514-1)*100),"NA",IF(((GT514/GR514-1)*100)&gt;100,"NM",IF(((GT514/GR514-1)*100)&lt;-50,"NM",(GT514/GR514-1)*100)))</f>
        <v>NA</v>
      </c>
      <c r="GV514" s="215" t="s">
        <v>494</v>
      </c>
      <c r="GW514" s="98" t="str">
        <f>IF(ISERROR((GV514/GT514-1)*100),"NA",IF(((GV514/GT514-1)*100)&gt;100,"NM",IF(((GV514/GT514-1)*100)&lt;-50,"NM",(GV514/GT514-1)*100)))</f>
        <v>NA</v>
      </c>
      <c r="GX514" s="215" t="s">
        <v>494</v>
      </c>
      <c r="GY514" s="98" t="str">
        <f>IF(ISERROR((GX514/GV514-1)*100),"NA",IF(((GX514/GV514-1)*100)&gt;100,"NM",IF(((GX514/GV514-1)*100)&lt;-50,"NM",(GX514/GV514-1)*100)))</f>
        <v>NA</v>
      </c>
      <c r="GZ514" s="98" t="s">
        <v>494</v>
      </c>
      <c r="HA514" s="98"/>
      <c r="HB514" s="10"/>
      <c r="HC514"/>
      <c r="HD514"/>
      <c r="HE514"/>
      <c r="HF514"/>
      <c r="HG514"/>
      <c r="HH514"/>
      <c r="HI514" s="10"/>
    </row>
    <row r="515" spans="2:217" s="2" customFormat="1" ht="12.75" customHeight="1" x14ac:dyDescent="0.2">
      <c r="B515" s="91"/>
      <c r="C515" s="137"/>
      <c r="D515" s="13"/>
      <c r="E515" s="137"/>
      <c r="F515" s="13"/>
      <c r="G515" s="137"/>
      <c r="H515" s="13"/>
      <c r="I515" s="137"/>
      <c r="J515" s="98"/>
      <c r="K515" s="137"/>
      <c r="L515" s="98"/>
      <c r="M515" s="137"/>
      <c r="N515" s="98"/>
      <c r="O515" s="137"/>
      <c r="P515" s="98"/>
      <c r="Q515" s="137"/>
      <c r="R515" s="98"/>
      <c r="S515" s="137"/>
      <c r="T515" s="98"/>
      <c r="U515" s="137"/>
      <c r="V515" s="98"/>
      <c r="W515" s="137"/>
      <c r="X515" s="98"/>
      <c r="Y515" s="137"/>
      <c r="Z515" s="98"/>
      <c r="AA515" s="137"/>
      <c r="AB515" s="98"/>
      <c r="AC515" s="137"/>
      <c r="AD515" s="98"/>
      <c r="AE515" s="137"/>
      <c r="AF515" s="98"/>
      <c r="AG515" s="137"/>
      <c r="AH515" s="98"/>
      <c r="AI515" s="137"/>
      <c r="AJ515" s="98"/>
      <c r="AK515" s="137"/>
      <c r="AL515" s="98"/>
      <c r="AM515" s="137"/>
      <c r="AN515" s="98"/>
      <c r="AO515" s="137"/>
      <c r="AP515" s="98"/>
      <c r="AQ515" s="137"/>
      <c r="AR515" s="98"/>
      <c r="AS515" s="137"/>
      <c r="AT515" s="98"/>
      <c r="AU515" s="137"/>
      <c r="AV515" s="98"/>
      <c r="AW515" s="137"/>
      <c r="AX515" s="98"/>
      <c r="AY515" s="137"/>
      <c r="AZ515" s="98"/>
      <c r="BA515" s="137"/>
      <c r="BB515" s="98"/>
      <c r="BC515" s="137"/>
      <c r="BD515" s="98"/>
      <c r="BE515" s="137"/>
      <c r="BF515" s="98"/>
      <c r="BG515" s="137"/>
      <c r="BH515" s="98"/>
      <c r="BI515" s="137"/>
      <c r="BJ515" s="98"/>
      <c r="BK515" s="137"/>
      <c r="BL515" s="98"/>
      <c r="BM515" s="137"/>
      <c r="BN515" s="98"/>
      <c r="BO515" s="137"/>
      <c r="BP515" s="98"/>
      <c r="BQ515" s="137"/>
      <c r="BR515" s="98"/>
      <c r="BS515" s="137"/>
      <c r="BT515" s="98"/>
      <c r="BU515" s="137"/>
      <c r="BV515" s="98"/>
      <c r="BW515" s="137"/>
      <c r="BX515" s="98"/>
      <c r="BY515" s="137"/>
      <c r="BZ515" s="98"/>
      <c r="CA515" s="137"/>
      <c r="CB515" s="98"/>
      <c r="CC515" s="137"/>
      <c r="CD515" s="98"/>
      <c r="CE515" s="137"/>
      <c r="CF515" s="98"/>
      <c r="CG515" s="137"/>
      <c r="CH515" s="98"/>
      <c r="CI515" s="137"/>
      <c r="CJ515" s="98"/>
      <c r="CK515" s="137"/>
      <c r="CL515" s="98"/>
      <c r="CM515" s="137"/>
      <c r="CN515" s="98"/>
      <c r="CO515" s="137"/>
      <c r="CP515" s="98"/>
      <c r="CQ515" s="137"/>
      <c r="CR515" s="98"/>
      <c r="CS515" s="137"/>
      <c r="CT515" s="98"/>
      <c r="CU515" s="137"/>
      <c r="CV515" s="98"/>
      <c r="CW515" s="137"/>
      <c r="CX515" s="98"/>
      <c r="CY515" s="137"/>
      <c r="CZ515" s="98"/>
      <c r="DA515" s="137"/>
      <c r="DB515" s="98"/>
      <c r="DC515" s="137"/>
      <c r="DD515" s="98"/>
      <c r="DE515" s="137"/>
      <c r="DF515" s="98"/>
      <c r="DG515" s="137"/>
      <c r="DH515" s="98"/>
      <c r="DI515" s="137"/>
      <c r="DJ515" s="98"/>
      <c r="DK515" s="137"/>
      <c r="DL515" s="98"/>
      <c r="DM515" s="137"/>
      <c r="DN515" s="98"/>
      <c r="DO515" s="137"/>
      <c r="DP515" s="98"/>
      <c r="DQ515" s="137"/>
      <c r="DR515" s="98"/>
      <c r="DS515" s="137"/>
      <c r="DT515" s="98"/>
      <c r="DU515" s="137"/>
      <c r="DV515" s="98"/>
      <c r="DW515" s="137"/>
      <c r="DX515" s="98"/>
      <c r="DY515" s="137"/>
      <c r="DZ515" s="98"/>
      <c r="EA515" s="137"/>
      <c r="EB515" s="98"/>
      <c r="EC515" s="137"/>
      <c r="ED515" s="98"/>
      <c r="EE515" s="137"/>
      <c r="EF515" s="860"/>
      <c r="EG515" s="137"/>
      <c r="EH515" s="860"/>
      <c r="EI515" s="137"/>
      <c r="EJ515" s="860"/>
      <c r="EK515" s="137"/>
      <c r="EL515" s="860"/>
      <c r="EM515" s="137"/>
      <c r="EN515" s="860"/>
      <c r="EO515" s="137"/>
      <c r="EP515" s="98"/>
      <c r="EQ515" s="1033"/>
      <c r="ER515" s="98"/>
      <c r="ES515" s="1033"/>
      <c r="ET515" s="98"/>
      <c r="EU515" s="1033"/>
      <c r="EV515" s="98"/>
      <c r="EW515" s="1033"/>
      <c r="EX515" s="98"/>
      <c r="EY515" s="137"/>
      <c r="EZ515" s="594"/>
      <c r="FA515" s="405"/>
      <c r="FB515" s="150"/>
      <c r="FC515" s="13"/>
      <c r="FD515" s="137"/>
      <c r="FE515" s="98"/>
      <c r="FF515" s="137"/>
      <c r="FG515" s="98"/>
      <c r="FH515" s="137"/>
      <c r="FI515" s="98"/>
      <c r="FJ515" s="137"/>
      <c r="FK515" s="98"/>
      <c r="FL515" s="137"/>
      <c r="FM515" s="98"/>
      <c r="FN515" s="137"/>
      <c r="FO515" s="98"/>
      <c r="FP515" s="137"/>
      <c r="FQ515" s="98"/>
      <c r="FR515" s="106"/>
      <c r="FS515" s="120"/>
      <c r="FT515" s="106"/>
      <c r="FU515" s="120"/>
      <c r="FV515" s="137"/>
      <c r="FW515" s="98"/>
      <c r="FX515" s="494"/>
      <c r="FY515" s="98"/>
      <c r="FZ515" s="137"/>
      <c r="GA515" s="98"/>
      <c r="GB515" s="494"/>
      <c r="GC515" s="98"/>
      <c r="GD515" s="137"/>
      <c r="GE515" s="98"/>
      <c r="GF515" s="137"/>
      <c r="GG515" s="98"/>
      <c r="GH515" s="137"/>
      <c r="GI515" s="98"/>
      <c r="GJ515" s="137"/>
      <c r="GK515" s="98"/>
      <c r="GL515" s="137"/>
      <c r="GM515" s="98"/>
      <c r="GN515" s="137"/>
      <c r="GO515" s="98"/>
      <c r="GP515" s="137"/>
      <c r="GQ515" s="98"/>
      <c r="GR515" s="137"/>
      <c r="GS515" s="98"/>
      <c r="GT515" s="137"/>
      <c r="GU515" s="98"/>
      <c r="GV515" s="137"/>
      <c r="GW515" s="98"/>
      <c r="GX515" s="137"/>
      <c r="GY515" s="98"/>
      <c r="GZ515" s="98"/>
      <c r="HA515" s="98"/>
      <c r="HB515" s="10"/>
      <c r="HC515"/>
      <c r="HD515"/>
      <c r="HE515"/>
      <c r="HF515"/>
      <c r="HG515"/>
      <c r="HH515"/>
      <c r="HI515" s="10"/>
    </row>
    <row r="516" spans="2:217" s="708" customFormat="1" ht="12.75" customHeight="1" x14ac:dyDescent="0.2">
      <c r="B516" s="709" t="s">
        <v>736</v>
      </c>
      <c r="C516" s="710"/>
      <c r="D516" s="710"/>
      <c r="E516" s="710"/>
      <c r="F516" s="710"/>
      <c r="G516" s="710"/>
      <c r="H516" s="710"/>
      <c r="I516" s="710"/>
      <c r="J516" s="710"/>
      <c r="K516" s="710"/>
      <c r="L516" s="710"/>
      <c r="M516" s="710"/>
      <c r="N516" s="710"/>
      <c r="O516" s="710"/>
      <c r="P516" s="710"/>
      <c r="Q516" s="710"/>
      <c r="R516" s="710"/>
      <c r="S516" s="710"/>
      <c r="T516" s="710"/>
      <c r="U516" s="710"/>
      <c r="V516" s="710"/>
      <c r="W516" s="710"/>
      <c r="X516" s="710"/>
      <c r="Y516" s="710"/>
      <c r="Z516" s="710"/>
      <c r="AA516" s="710"/>
      <c r="AB516" s="710"/>
      <c r="AC516" s="710"/>
      <c r="AD516" s="710"/>
      <c r="AE516" s="710"/>
      <c r="AF516" s="710"/>
      <c r="AG516" s="710"/>
      <c r="AH516" s="710"/>
      <c r="AI516" s="710"/>
      <c r="AJ516" s="710"/>
      <c r="AK516" s="710"/>
      <c r="AL516" s="710"/>
      <c r="AM516" s="710"/>
      <c r="AN516" s="710"/>
      <c r="AO516" s="710"/>
      <c r="AP516" s="710"/>
      <c r="AQ516" s="710"/>
      <c r="AR516" s="710"/>
      <c r="AS516" s="710"/>
      <c r="AT516" s="710"/>
      <c r="AU516" s="710"/>
      <c r="AV516" s="710"/>
      <c r="AW516" s="710"/>
      <c r="AX516" s="710"/>
      <c r="AY516" s="710"/>
      <c r="AZ516" s="710"/>
      <c r="BA516" s="710"/>
      <c r="BB516" s="710"/>
      <c r="BC516" s="710"/>
      <c r="BD516" s="710"/>
      <c r="BE516" s="710"/>
      <c r="BF516" s="710"/>
      <c r="BG516" s="710"/>
      <c r="BH516" s="710"/>
      <c r="BI516" s="710"/>
      <c r="BJ516" s="710"/>
      <c r="BK516" s="710"/>
      <c r="BL516" s="710"/>
      <c r="BM516" s="710"/>
      <c r="BN516" s="710"/>
      <c r="BO516" s="710"/>
      <c r="BP516" s="710"/>
      <c r="BQ516" s="710"/>
      <c r="BR516" s="710"/>
      <c r="BS516" s="711"/>
      <c r="BT516" s="710"/>
      <c r="BU516" s="711"/>
      <c r="BV516" s="710"/>
      <c r="BW516" s="711"/>
      <c r="BX516" s="710"/>
      <c r="BY516" s="711"/>
      <c r="BZ516" s="710"/>
      <c r="CA516" s="711"/>
      <c r="CB516" s="710"/>
      <c r="CC516" s="711"/>
      <c r="CD516" s="710"/>
      <c r="CE516" s="711"/>
      <c r="CF516" s="710"/>
      <c r="CG516" s="711"/>
      <c r="CH516" s="710"/>
      <c r="CI516" s="711"/>
      <c r="CJ516" s="710"/>
      <c r="CK516" s="711"/>
      <c r="CL516" s="710"/>
      <c r="CM516" s="711"/>
      <c r="CN516" s="710"/>
      <c r="CO516" s="711"/>
      <c r="CP516" s="710"/>
      <c r="CQ516" s="711"/>
      <c r="CR516" s="710"/>
      <c r="CS516" s="711"/>
      <c r="CT516" s="710"/>
      <c r="CU516" s="711"/>
      <c r="CV516" s="710"/>
      <c r="CW516" s="711"/>
      <c r="CX516" s="710"/>
      <c r="CY516" s="711"/>
      <c r="CZ516" s="710"/>
      <c r="DA516" s="711"/>
      <c r="DB516" s="710"/>
      <c r="DC516" s="711"/>
      <c r="DD516" s="710"/>
      <c r="DE516" s="711"/>
      <c r="DF516" s="710"/>
      <c r="DG516" s="711"/>
      <c r="DH516" s="710"/>
      <c r="DI516" s="711"/>
      <c r="DJ516" s="710"/>
      <c r="DK516" s="711"/>
      <c r="DL516" s="710"/>
      <c r="DM516" s="711"/>
      <c r="DN516" s="710"/>
      <c r="DO516" s="711"/>
      <c r="DP516" s="710"/>
      <c r="DQ516" s="711"/>
      <c r="DR516" s="710"/>
      <c r="DS516" s="711"/>
      <c r="DT516" s="710"/>
      <c r="DU516" s="711"/>
      <c r="DV516" s="710"/>
      <c r="DW516" s="711"/>
      <c r="DX516" s="710"/>
      <c r="DY516" s="711"/>
      <c r="DZ516" s="710"/>
      <c r="EA516" s="711"/>
      <c r="EB516" s="710"/>
      <c r="EC516" s="711"/>
      <c r="ED516" s="711"/>
      <c r="EE516" s="711"/>
      <c r="EF516" s="711"/>
      <c r="EG516" s="711"/>
      <c r="EH516" s="711"/>
      <c r="EI516" s="711"/>
      <c r="EJ516" s="711"/>
      <c r="EK516" s="711"/>
      <c r="EL516" s="711"/>
      <c r="EM516" s="711"/>
      <c r="EN516" s="711"/>
      <c r="EO516" s="711"/>
      <c r="EP516" s="710"/>
      <c r="EQ516" s="711"/>
      <c r="ER516" s="710"/>
      <c r="ES516" s="711"/>
      <c r="ET516" s="710"/>
      <c r="EU516" s="711"/>
      <c r="EV516" s="710"/>
      <c r="EW516" s="711"/>
      <c r="EX516" s="710"/>
      <c r="EY516" s="712"/>
      <c r="EZ516" s="713"/>
      <c r="FA516" s="714"/>
      <c r="FB516" s="711"/>
      <c r="FC516" s="710"/>
      <c r="FD516" s="711"/>
      <c r="FE516" s="710"/>
      <c r="FF516" s="712"/>
      <c r="FG516" s="710"/>
      <c r="FH516" s="712"/>
      <c r="FI516" s="710"/>
      <c r="FJ516" s="712"/>
      <c r="FK516" s="710"/>
      <c r="FL516" s="712"/>
      <c r="FM516" s="710"/>
      <c r="FN516" s="712"/>
      <c r="FO516" s="710"/>
      <c r="FP516" s="712"/>
      <c r="FQ516" s="710"/>
      <c r="FR516" s="712"/>
      <c r="FS516" s="715"/>
      <c r="FT516" s="712"/>
      <c r="FU516" s="715"/>
      <c r="FV516" s="712"/>
      <c r="FW516" s="710"/>
      <c r="FX516" s="716"/>
      <c r="FY516" s="710"/>
      <c r="FZ516" s="712"/>
      <c r="GA516" s="710"/>
      <c r="GB516" s="716"/>
      <c r="GC516" s="710"/>
      <c r="GD516" s="712"/>
      <c r="GE516" s="710"/>
      <c r="GF516" s="712"/>
      <c r="GG516" s="710"/>
      <c r="GH516" s="712"/>
      <c r="GI516" s="710"/>
      <c r="GJ516" s="712"/>
      <c r="GK516" s="710"/>
      <c r="GL516" s="712"/>
      <c r="GM516" s="710"/>
      <c r="GN516" s="712"/>
      <c r="GO516" s="710"/>
      <c r="GP516" s="712"/>
      <c r="GQ516" s="710"/>
      <c r="GR516" s="712"/>
      <c r="GS516" s="710"/>
      <c r="GT516" s="712"/>
      <c r="GU516" s="710"/>
      <c r="GV516" s="712"/>
      <c r="GW516" s="710"/>
      <c r="GX516" s="712"/>
      <c r="GY516" s="710"/>
      <c r="GZ516" s="710"/>
      <c r="HA516" s="710"/>
      <c r="HC516"/>
      <c r="HD516"/>
      <c r="HE516"/>
      <c r="HF516"/>
      <c r="HG516"/>
      <c r="HH516"/>
    </row>
    <row r="517" spans="2:217" s="10" customFormat="1" ht="12.75" customHeight="1" x14ac:dyDescent="0.2">
      <c r="B517" s="308"/>
      <c r="C517" s="243"/>
      <c r="D517" s="302"/>
      <c r="E517" s="243"/>
      <c r="F517" s="302"/>
      <c r="G517" s="243"/>
      <c r="H517" s="302"/>
      <c r="I517" s="243"/>
      <c r="J517" s="302"/>
      <c r="K517" s="243"/>
      <c r="L517" s="302"/>
      <c r="M517" s="243"/>
      <c r="N517" s="302"/>
      <c r="O517" s="243"/>
      <c r="P517" s="302"/>
      <c r="Q517" s="243"/>
      <c r="R517" s="302"/>
      <c r="S517" s="243"/>
      <c r="T517" s="302"/>
      <c r="U517" s="243"/>
      <c r="V517" s="302"/>
      <c r="W517" s="243"/>
      <c r="X517" s="302"/>
      <c r="Y517" s="243"/>
      <c r="Z517" s="302"/>
      <c r="AA517" s="243"/>
      <c r="AB517" s="302"/>
      <c r="AC517" s="243"/>
      <c r="AD517" s="302"/>
      <c r="AE517" s="243"/>
      <c r="AF517" s="302"/>
      <c r="AG517" s="94"/>
      <c r="AH517" s="302"/>
      <c r="AI517" s="94"/>
      <c r="AJ517" s="302"/>
      <c r="AK517" s="94"/>
      <c r="AL517" s="302"/>
      <c r="AM517" s="94"/>
      <c r="AN517" s="302"/>
      <c r="AO517" s="94"/>
      <c r="AP517" s="302"/>
      <c r="AQ517" s="94"/>
      <c r="AR517" s="302"/>
      <c r="AS517" s="94"/>
      <c r="AT517" s="302"/>
      <c r="AU517" s="94"/>
      <c r="AV517" s="302"/>
      <c r="AW517" s="94"/>
      <c r="AX517" s="302"/>
      <c r="AY517" s="94"/>
      <c r="AZ517" s="302"/>
      <c r="BA517" s="94"/>
      <c r="BB517" s="302"/>
      <c r="BC517" s="94"/>
      <c r="BD517" s="302"/>
      <c r="BE517" s="94"/>
      <c r="BF517" s="302"/>
      <c r="BG517" s="94"/>
      <c r="BH517" s="302"/>
      <c r="BI517" s="94"/>
      <c r="BJ517" s="302"/>
      <c r="BK517" s="94"/>
      <c r="BL517" s="302"/>
      <c r="BM517" s="94"/>
      <c r="BN517" s="302"/>
      <c r="BO517" s="94"/>
      <c r="BP517" s="302"/>
      <c r="BQ517" s="94"/>
      <c r="BR517" s="302"/>
      <c r="BS517" s="94"/>
      <c r="BT517" s="302"/>
      <c r="BU517" s="94"/>
      <c r="BV517" s="302"/>
      <c r="BW517" s="94"/>
      <c r="BX517" s="302"/>
      <c r="BY517" s="94"/>
      <c r="BZ517" s="302"/>
      <c r="CA517" s="94"/>
      <c r="CB517" s="302"/>
      <c r="CC517" s="94"/>
      <c r="CD517" s="302"/>
      <c r="CE517" s="94"/>
      <c r="CF517" s="302"/>
      <c r="CG517" s="94"/>
      <c r="CH517" s="302"/>
      <c r="CI517" s="94"/>
      <c r="CJ517" s="302"/>
      <c r="CK517" s="94"/>
      <c r="CL517" s="302"/>
      <c r="CM517" s="94"/>
      <c r="CN517" s="302"/>
      <c r="CO517" s="94"/>
      <c r="CP517" s="302"/>
      <c r="CQ517" s="533"/>
      <c r="CR517" s="302"/>
      <c r="CS517" s="94"/>
      <c r="CT517" s="302"/>
      <c r="CU517" s="94"/>
      <c r="CV517" s="302"/>
      <c r="CW517" s="94"/>
      <c r="CX517" s="302"/>
      <c r="CY517" s="94"/>
      <c r="CZ517" s="302"/>
      <c r="DA517" s="94"/>
      <c r="DB517" s="302"/>
      <c r="DC517" s="94"/>
      <c r="DD517" s="302"/>
      <c r="DE517" s="94"/>
      <c r="DF517" s="302"/>
      <c r="DG517" s="94"/>
      <c r="DH517" s="302"/>
      <c r="DI517" s="94"/>
      <c r="DJ517" s="302"/>
      <c r="DK517" s="94"/>
      <c r="DL517" s="302"/>
      <c r="DM517" s="94"/>
      <c r="DN517" s="302"/>
      <c r="DO517" s="94"/>
      <c r="DP517" s="302"/>
      <c r="DQ517" s="94"/>
      <c r="DR517" s="302"/>
      <c r="DS517" s="94"/>
      <c r="DT517" s="302"/>
      <c r="DU517" s="94"/>
      <c r="DV517" s="302"/>
      <c r="DW517" s="94"/>
      <c r="DX517" s="302"/>
      <c r="DY517" s="94"/>
      <c r="DZ517" s="302"/>
      <c r="EA517" s="94"/>
      <c r="EB517" s="302"/>
      <c r="EC517" s="94"/>
      <c r="ED517" s="94"/>
      <c r="EE517" s="94"/>
      <c r="EF517" s="94"/>
      <c r="EG517" s="94"/>
      <c r="EH517" s="94"/>
      <c r="EI517" s="94"/>
      <c r="EJ517" s="94"/>
      <c r="EK517" s="94"/>
      <c r="EL517" s="94"/>
      <c r="EM517" s="94"/>
      <c r="EN517" s="94"/>
      <c r="EO517" s="94"/>
      <c r="EP517" s="302"/>
      <c r="EQ517" s="94"/>
      <c r="ER517" s="302"/>
      <c r="ES517" s="94"/>
      <c r="ET517" s="302"/>
      <c r="EU517" s="94"/>
      <c r="EV517" s="302"/>
      <c r="EW517" s="94"/>
      <c r="EX517" s="302"/>
      <c r="EY517" s="244"/>
      <c r="EZ517" s="594"/>
      <c r="FA517" s="405"/>
      <c r="FB517" s="244"/>
      <c r="FC517" s="302"/>
      <c r="FD517" s="243"/>
      <c r="FE517" s="302"/>
      <c r="FF517" s="95"/>
      <c r="FG517" s="302"/>
      <c r="FH517" s="95"/>
      <c r="FI517" s="302"/>
      <c r="FJ517" s="95"/>
      <c r="FK517" s="302"/>
      <c r="FL517" s="95"/>
      <c r="FM517" s="302"/>
      <c r="FN517" s="95"/>
      <c r="FO517" s="302"/>
      <c r="FP517" s="95"/>
      <c r="FQ517" s="302"/>
      <c r="FR517" s="245"/>
      <c r="FS517" s="303"/>
      <c r="FT517" s="245"/>
      <c r="FU517" s="303"/>
      <c r="FV517" s="245"/>
      <c r="FW517" s="302"/>
      <c r="FX517" s="480"/>
      <c r="FY517" s="302"/>
      <c r="FZ517" s="245"/>
      <c r="GA517" s="302"/>
      <c r="GB517" s="480"/>
      <c r="GC517" s="302"/>
      <c r="GD517" s="245"/>
      <c r="GE517" s="302"/>
      <c r="GF517" s="245"/>
      <c r="GG517" s="302"/>
      <c r="GH517" s="245"/>
      <c r="GI517" s="302"/>
      <c r="GJ517" s="245"/>
      <c r="GK517" s="302"/>
      <c r="GL517" s="245"/>
      <c r="GM517" s="302"/>
      <c r="GN517" s="245"/>
      <c r="GO517" s="302"/>
      <c r="GP517" s="245"/>
      <c r="GQ517" s="302"/>
      <c r="GR517" s="244"/>
      <c r="GS517" s="302"/>
      <c r="GT517" s="985"/>
      <c r="GU517" s="302"/>
      <c r="GV517" s="244"/>
      <c r="GW517" s="302"/>
      <c r="GX517" s="244"/>
      <c r="GY517" s="302"/>
      <c r="GZ517" s="302"/>
      <c r="HA517" s="302"/>
      <c r="HC517"/>
      <c r="HD517"/>
      <c r="HE517"/>
      <c r="HF517"/>
      <c r="HG517"/>
      <c r="HH517"/>
    </row>
    <row r="518" spans="2:217" s="10" customFormat="1" ht="12.75" customHeight="1" x14ac:dyDescent="0.2">
      <c r="B518" s="311" t="s">
        <v>198</v>
      </c>
      <c r="C518" s="243"/>
      <c r="D518" s="302"/>
      <c r="E518" s="243"/>
      <c r="F518" s="302"/>
      <c r="G518" s="243"/>
      <c r="H518" s="302"/>
      <c r="I518" s="243"/>
      <c r="J518" s="302"/>
      <c r="K518" s="243"/>
      <c r="L518" s="302"/>
      <c r="M518" s="243"/>
      <c r="N518" s="302"/>
      <c r="O518" s="243"/>
      <c r="P518" s="302"/>
      <c r="Q518" s="243"/>
      <c r="R518" s="302"/>
      <c r="S518" s="243"/>
      <c r="T518" s="302"/>
      <c r="U518" s="243"/>
      <c r="V518" s="302"/>
      <c r="W518" s="243"/>
      <c r="X518" s="302"/>
      <c r="Y518" s="243"/>
      <c r="Z518" s="302"/>
      <c r="AA518" s="243"/>
      <c r="AB518" s="302"/>
      <c r="AC518" s="243"/>
      <c r="AD518" s="302"/>
      <c r="AE518" s="243"/>
      <c r="AF518" s="302"/>
      <c r="AG518" s="94"/>
      <c r="AH518" s="302"/>
      <c r="AI518" s="94"/>
      <c r="AJ518" s="302"/>
      <c r="AK518" s="94"/>
      <c r="AL518" s="302"/>
      <c r="AM518" s="94"/>
      <c r="AN518" s="302"/>
      <c r="AO518" s="94"/>
      <c r="AP518" s="302"/>
      <c r="AQ518" s="94"/>
      <c r="AR518" s="302"/>
      <c r="AS518" s="94"/>
      <c r="AT518" s="302"/>
      <c r="AU518" s="94"/>
      <c r="AV518" s="302"/>
      <c r="AW518" s="94"/>
      <c r="AX518" s="302"/>
      <c r="AY518" s="94"/>
      <c r="AZ518" s="302"/>
      <c r="BA518" s="94"/>
      <c r="BB518" s="302"/>
      <c r="BC518" s="94"/>
      <c r="BD518" s="302"/>
      <c r="BE518" s="94"/>
      <c r="BF518" s="302"/>
      <c r="BG518" s="94"/>
      <c r="BH518" s="302"/>
      <c r="BI518" s="94"/>
      <c r="BJ518" s="302"/>
      <c r="BK518" s="94"/>
      <c r="BL518" s="302"/>
      <c r="BM518" s="94"/>
      <c r="BN518" s="302"/>
      <c r="BO518" s="94"/>
      <c r="BP518" s="302"/>
      <c r="BQ518" s="94"/>
      <c r="BR518" s="302"/>
      <c r="BS518" s="94"/>
      <c r="BT518" s="302"/>
      <c r="BU518" s="94"/>
      <c r="BV518" s="302"/>
      <c r="BW518" s="94"/>
      <c r="BX518" s="302"/>
      <c r="BY518" s="94"/>
      <c r="BZ518" s="302"/>
      <c r="CA518" s="94"/>
      <c r="CB518" s="302"/>
      <c r="CC518" s="94"/>
      <c r="CD518" s="302"/>
      <c r="CE518" s="94"/>
      <c r="CF518" s="302"/>
      <c r="CG518" s="94"/>
      <c r="CH518" s="302"/>
      <c r="CI518" s="94"/>
      <c r="CJ518" s="302"/>
      <c r="CK518" s="94"/>
      <c r="CL518" s="302"/>
      <c r="CM518" s="94"/>
      <c r="CN518" s="302"/>
      <c r="CO518" s="94"/>
      <c r="CP518" s="302"/>
      <c r="CQ518" s="533"/>
      <c r="CR518" s="302"/>
      <c r="CS518" s="94"/>
      <c r="CT518" s="302"/>
      <c r="CU518" s="94"/>
      <c r="CV518" s="302"/>
      <c r="CW518" s="94"/>
      <c r="CX518" s="302"/>
      <c r="CY518" s="94"/>
      <c r="CZ518" s="302"/>
      <c r="DA518" s="94"/>
      <c r="DB518" s="302"/>
      <c r="DC518" s="94"/>
      <c r="DD518" s="302"/>
      <c r="DE518" s="94"/>
      <c r="DF518" s="302"/>
      <c r="DG518" s="94"/>
      <c r="DH518" s="302"/>
      <c r="DI518" s="94"/>
      <c r="DJ518" s="302"/>
      <c r="DK518" s="94"/>
      <c r="DL518" s="302"/>
      <c r="DM518" s="94"/>
      <c r="DN518" s="302"/>
      <c r="DO518" s="94"/>
      <c r="DP518" s="302"/>
      <c r="DQ518" s="94"/>
      <c r="DR518" s="302"/>
      <c r="DS518" s="94"/>
      <c r="DT518" s="302"/>
      <c r="DU518" s="94"/>
      <c r="DV518" s="302"/>
      <c r="DW518" s="94"/>
      <c r="DX518" s="302"/>
      <c r="DY518" s="94"/>
      <c r="DZ518" s="302"/>
      <c r="EA518" s="94"/>
      <c r="EB518" s="302"/>
      <c r="EC518" s="94"/>
      <c r="ED518" s="94"/>
      <c r="EE518" s="94"/>
      <c r="EF518" s="94"/>
      <c r="EG518" s="94"/>
      <c r="EH518" s="94"/>
      <c r="EI518" s="94"/>
      <c r="EJ518" s="94"/>
      <c r="EK518" s="94"/>
      <c r="EL518" s="94"/>
      <c r="EM518" s="94"/>
      <c r="EN518" s="94"/>
      <c r="EO518" s="94"/>
      <c r="EP518" s="302"/>
      <c r="EQ518" s="94"/>
      <c r="ER518" s="302"/>
      <c r="ES518" s="94"/>
      <c r="ET518" s="302"/>
      <c r="EU518" s="94"/>
      <c r="EV518" s="302"/>
      <c r="EW518" s="94"/>
      <c r="EX518" s="302"/>
      <c r="EY518" s="244"/>
      <c r="EZ518" s="594"/>
      <c r="FA518" s="405"/>
      <c r="FB518" s="244"/>
      <c r="FC518" s="302"/>
      <c r="FD518" s="243"/>
      <c r="FE518" s="302"/>
      <c r="FF518" s="95"/>
      <c r="FG518" s="302"/>
      <c r="FH518" s="95"/>
      <c r="FI518" s="302"/>
      <c r="FJ518" s="95"/>
      <c r="FK518" s="302"/>
      <c r="FL518" s="95"/>
      <c r="FM518" s="302"/>
      <c r="FN518" s="95"/>
      <c r="FO518" s="302"/>
      <c r="FP518" s="95"/>
      <c r="FQ518" s="302"/>
      <c r="FR518" s="245"/>
      <c r="FS518" s="303"/>
      <c r="FT518" s="245"/>
      <c r="FU518" s="303"/>
      <c r="FV518" s="245"/>
      <c r="FW518" s="302"/>
      <c r="FX518" s="480"/>
      <c r="FY518" s="302"/>
      <c r="FZ518" s="245"/>
      <c r="GA518" s="302"/>
      <c r="GB518" s="480"/>
      <c r="GC518" s="302"/>
      <c r="GD518" s="245"/>
      <c r="GE518" s="302"/>
      <c r="GF518" s="245"/>
      <c r="GG518" s="302"/>
      <c r="GH518" s="245"/>
      <c r="GI518" s="302"/>
      <c r="GJ518" s="245"/>
      <c r="GK518" s="302"/>
      <c r="GL518" s="245"/>
      <c r="GM518" s="302"/>
      <c r="GN518" s="245"/>
      <c r="GO518" s="302"/>
      <c r="GP518" s="245"/>
      <c r="GQ518" s="302"/>
      <c r="GR518" s="244"/>
      <c r="GS518" s="302"/>
      <c r="GT518" s="985"/>
      <c r="GU518" s="302"/>
      <c r="GV518" s="244"/>
      <c r="GW518" s="302"/>
      <c r="GX518" s="244"/>
      <c r="GY518" s="302"/>
      <c r="GZ518" s="302"/>
      <c r="HA518" s="302"/>
      <c r="HC518"/>
      <c r="HD518"/>
      <c r="HE518"/>
      <c r="HF518"/>
      <c r="HG518"/>
      <c r="HH518"/>
    </row>
    <row r="519" spans="2:217" s="10" customFormat="1" ht="12.75" customHeight="1" x14ac:dyDescent="0.2">
      <c r="B519" s="310" t="s">
        <v>171</v>
      </c>
      <c r="C519" s="243"/>
      <c r="D519" s="302"/>
      <c r="E519" s="243"/>
      <c r="F519" s="302"/>
      <c r="G519" s="243"/>
      <c r="H519" s="302"/>
      <c r="I519" s="243"/>
      <c r="J519" s="302"/>
      <c r="K519" s="243"/>
      <c r="L519" s="302"/>
      <c r="M519" s="243"/>
      <c r="N519" s="302"/>
      <c r="O519" s="243"/>
      <c r="P519" s="302"/>
      <c r="Q519" s="243"/>
      <c r="R519" s="302"/>
      <c r="S519" s="243"/>
      <c r="T519" s="302"/>
      <c r="U519" s="243"/>
      <c r="V519" s="302"/>
      <c r="W519" s="243"/>
      <c r="X519" s="302"/>
      <c r="Y519" s="243"/>
      <c r="Z519" s="302"/>
      <c r="AA519" s="243"/>
      <c r="AB519" s="302"/>
      <c r="AC519" s="243"/>
      <c r="AD519" s="302"/>
      <c r="AE519" s="243"/>
      <c r="AF519" s="302"/>
      <c r="AG519" s="94"/>
      <c r="AH519" s="302"/>
      <c r="AI519" s="94"/>
      <c r="AJ519" s="302"/>
      <c r="AK519" s="94"/>
      <c r="AL519" s="302"/>
      <c r="AM519" s="94"/>
      <c r="AN519" s="302"/>
      <c r="AO519" s="94"/>
      <c r="AP519" s="302"/>
      <c r="AQ519" s="94"/>
      <c r="AR519" s="302"/>
      <c r="AS519" s="94"/>
      <c r="AT519" s="302"/>
      <c r="AU519" s="94"/>
      <c r="AV519" s="302"/>
      <c r="AW519" s="94"/>
      <c r="AX519" s="302"/>
      <c r="AY519" s="94"/>
      <c r="AZ519" s="302"/>
      <c r="BA519" s="94"/>
      <c r="BB519" s="302"/>
      <c r="BC519" s="94"/>
      <c r="BD519" s="302"/>
      <c r="BE519" s="94"/>
      <c r="BF519" s="302"/>
      <c r="BG519" s="94"/>
      <c r="BH519" s="302"/>
      <c r="BI519" s="94"/>
      <c r="BJ519" s="302"/>
      <c r="BK519" s="94"/>
      <c r="BL519" s="302"/>
      <c r="BM519" s="94"/>
      <c r="BN519" s="302"/>
      <c r="BO519" s="94"/>
      <c r="BP519" s="302"/>
      <c r="BQ519" s="94"/>
      <c r="BR519" s="302"/>
      <c r="BS519" s="94"/>
      <c r="BT519" s="302"/>
      <c r="BU519" s="94"/>
      <c r="BV519" s="302"/>
      <c r="BW519" s="94"/>
      <c r="BX519" s="302"/>
      <c r="BY519" s="94"/>
      <c r="BZ519" s="302"/>
      <c r="CA519" s="94"/>
      <c r="CB519" s="302"/>
      <c r="CC519" s="94"/>
      <c r="CD519" s="302"/>
      <c r="CE519" s="94"/>
      <c r="CF519" s="302"/>
      <c r="CG519" s="94"/>
      <c r="CH519" s="302"/>
      <c r="CI519" s="94"/>
      <c r="CJ519" s="302"/>
      <c r="CK519" s="94"/>
      <c r="CL519" s="302"/>
      <c r="CM519" s="94"/>
      <c r="CN519" s="302"/>
      <c r="CO519" s="94"/>
      <c r="CP519" s="302"/>
      <c r="CQ519" s="533"/>
      <c r="CR519" s="302"/>
      <c r="CS519" s="94"/>
      <c r="CT519" s="302"/>
      <c r="CU519" s="94"/>
      <c r="CV519" s="302"/>
      <c r="CW519" s="94"/>
      <c r="CX519" s="302"/>
      <c r="CY519" s="94"/>
      <c r="CZ519" s="302"/>
      <c r="DA519" s="94"/>
      <c r="DB519" s="302"/>
      <c r="DC519" s="94"/>
      <c r="DD519" s="302"/>
      <c r="DE519" s="94"/>
      <c r="DF519" s="302"/>
      <c r="DG519" s="94"/>
      <c r="DH519" s="302"/>
      <c r="DI519" s="94"/>
      <c r="DJ519" s="302"/>
      <c r="DK519" s="94"/>
      <c r="DL519" s="302"/>
      <c r="DM519" s="94"/>
      <c r="DN519" s="302"/>
      <c r="DO519" s="94"/>
      <c r="DP519" s="302"/>
      <c r="DQ519" s="94"/>
      <c r="DR519" s="302"/>
      <c r="DS519" s="101">
        <v>4</v>
      </c>
      <c r="DT519" s="302"/>
      <c r="DU519" s="101">
        <v>19</v>
      </c>
      <c r="DV519" s="302"/>
      <c r="DW519" s="101">
        <v>-53</v>
      </c>
      <c r="DX519" s="302"/>
      <c r="DY519" s="101">
        <v>-57</v>
      </c>
      <c r="DZ519" s="302"/>
      <c r="EA519" s="101">
        <v>-3</v>
      </c>
      <c r="EB519" s="101"/>
      <c r="EC519" s="101">
        <v>12</v>
      </c>
      <c r="ED519" s="101"/>
      <c r="EE519" s="101">
        <v>41</v>
      </c>
      <c r="EF519" s="101"/>
      <c r="EG519" s="101">
        <v>-10</v>
      </c>
      <c r="EH519" s="101"/>
      <c r="EI519" s="101">
        <v>38</v>
      </c>
      <c r="EJ519" s="101"/>
      <c r="EK519" s="101">
        <v>8</v>
      </c>
      <c r="EL519" s="94"/>
      <c r="EM519" s="101">
        <v>13</v>
      </c>
      <c r="EN519" s="94"/>
      <c r="EO519" s="101">
        <v>-5</v>
      </c>
      <c r="EP519" s="302"/>
      <c r="EQ519" s="101">
        <f>EM519*1.01</f>
        <v>13.13</v>
      </c>
      <c r="ER519" s="302"/>
      <c r="ES519" s="101">
        <f t="shared" ref="ES519" si="3237">EQ519*1.01</f>
        <v>13.2613</v>
      </c>
      <c r="ET519" s="302"/>
      <c r="EU519" s="101">
        <f t="shared" ref="EU519" si="3238">ES519*1.01</f>
        <v>13.393913000000001</v>
      </c>
      <c r="EV519" s="302"/>
      <c r="EW519" s="101">
        <f t="shared" ref="EW519" si="3239">EU519*1.01</f>
        <v>13.527852130000001</v>
      </c>
      <c r="EX519" s="302"/>
      <c r="EY519" s="244"/>
      <c r="EZ519" s="594"/>
      <c r="FA519" s="405"/>
      <c r="FB519" s="244"/>
      <c r="FC519" s="302"/>
      <c r="FD519" s="243"/>
      <c r="FE519" s="302"/>
      <c r="FF519" s="95"/>
      <c r="FG519" s="302"/>
      <c r="FH519" s="95"/>
      <c r="FI519" s="302"/>
      <c r="FJ519" s="95"/>
      <c r="FK519" s="302"/>
      <c r="FL519" s="95"/>
      <c r="FM519" s="302"/>
      <c r="FN519" s="95"/>
      <c r="FO519" s="302"/>
      <c r="FP519" s="95"/>
      <c r="FQ519" s="302"/>
      <c r="FR519" s="245"/>
      <c r="FS519" s="303"/>
      <c r="FT519" s="245"/>
      <c r="FU519" s="303"/>
      <c r="FV519" s="245"/>
      <c r="FW519" s="302"/>
      <c r="FX519" s="480"/>
      <c r="FY519" s="302"/>
      <c r="FZ519" s="245"/>
      <c r="GA519" s="302"/>
      <c r="GB519" s="480"/>
      <c r="GC519" s="302"/>
      <c r="GD519" s="245"/>
      <c r="GE519" s="302"/>
      <c r="GF519" s="245"/>
      <c r="GG519" s="302"/>
      <c r="GH519" s="245"/>
      <c r="GI519" s="302"/>
      <c r="GJ519" s="100">
        <f>DS519+DU519+DW519+DY519</f>
        <v>-87</v>
      </c>
      <c r="GK519" s="302"/>
      <c r="GL519" s="100">
        <f>EA519+EC519+EE519+EG519</f>
        <v>40</v>
      </c>
      <c r="GM519" s="302"/>
      <c r="GN519" s="100">
        <f>EI519+EK519+EM519+EO519</f>
        <v>54</v>
      </c>
      <c r="GO519" s="302"/>
      <c r="GP519" s="100">
        <f>EQ519+ES519+EU519+EW519</f>
        <v>53.313065129999998</v>
      </c>
      <c r="GQ519" s="302"/>
      <c r="GR519" s="101">
        <f>GP519*1.01</f>
        <v>53.846195781299997</v>
      </c>
      <c r="GS519" s="302"/>
      <c r="GT519" s="101">
        <f>GR519*1.01</f>
        <v>54.384657739112996</v>
      </c>
      <c r="GU519" s="302"/>
      <c r="GV519" s="101">
        <f>GT519*1.01</f>
        <v>54.928504316504124</v>
      </c>
      <c r="GW519" s="302"/>
      <c r="GX519" s="101">
        <f>GV519*1.01</f>
        <v>55.477789359669167</v>
      </c>
      <c r="GY519" s="302"/>
      <c r="GZ519" s="98" t="s">
        <v>494</v>
      </c>
      <c r="HA519" s="302"/>
      <c r="HC519"/>
      <c r="HD519"/>
      <c r="HE519"/>
      <c r="HF519"/>
      <c r="HG519"/>
      <c r="HH519"/>
    </row>
    <row r="520" spans="2:217" s="10" customFormat="1" ht="12.75" customHeight="1" x14ac:dyDescent="0.2">
      <c r="B520" s="310" t="s">
        <v>172</v>
      </c>
      <c r="C520" s="243"/>
      <c r="D520" s="302"/>
      <c r="E520" s="243"/>
      <c r="F520" s="302"/>
      <c r="G520" s="243"/>
      <c r="H520" s="302"/>
      <c r="I520" s="243"/>
      <c r="J520" s="302"/>
      <c r="K520" s="243"/>
      <c r="L520" s="302"/>
      <c r="M520" s="243"/>
      <c r="N520" s="302"/>
      <c r="O520" s="243"/>
      <c r="P520" s="302"/>
      <c r="Q520" s="243"/>
      <c r="R520" s="302"/>
      <c r="S520" s="243"/>
      <c r="T520" s="302"/>
      <c r="U520" s="243"/>
      <c r="V520" s="302"/>
      <c r="W520" s="243"/>
      <c r="X520" s="302"/>
      <c r="Y520" s="243"/>
      <c r="Z520" s="302"/>
      <c r="AA520" s="243"/>
      <c r="AB520" s="302"/>
      <c r="AC520" s="243"/>
      <c r="AD520" s="302"/>
      <c r="AE520" s="243"/>
      <c r="AF520" s="302"/>
      <c r="AG520" s="94"/>
      <c r="AH520" s="302"/>
      <c r="AI520" s="94"/>
      <c r="AJ520" s="302"/>
      <c r="AK520" s="94"/>
      <c r="AL520" s="302"/>
      <c r="AM520" s="94"/>
      <c r="AN520" s="302"/>
      <c r="AO520" s="94"/>
      <c r="AP520" s="302"/>
      <c r="AQ520" s="94"/>
      <c r="AR520" s="302"/>
      <c r="AS520" s="94"/>
      <c r="AT520" s="302"/>
      <c r="AU520" s="94"/>
      <c r="AV520" s="302"/>
      <c r="AW520" s="94"/>
      <c r="AX520" s="302"/>
      <c r="AY520" s="94"/>
      <c r="AZ520" s="302"/>
      <c r="BA520" s="94"/>
      <c r="BB520" s="302"/>
      <c r="BC520" s="94"/>
      <c r="BD520" s="302"/>
      <c r="BE520" s="94"/>
      <c r="BF520" s="302"/>
      <c r="BG520" s="94"/>
      <c r="BH520" s="302"/>
      <c r="BI520" s="94"/>
      <c r="BJ520" s="302"/>
      <c r="BK520" s="94"/>
      <c r="BL520" s="302"/>
      <c r="BM520" s="94"/>
      <c r="BN520" s="302"/>
      <c r="BO520" s="94"/>
      <c r="BP520" s="302"/>
      <c r="BQ520" s="94"/>
      <c r="BR520" s="302"/>
      <c r="BS520" s="94"/>
      <c r="BT520" s="302"/>
      <c r="BU520" s="94"/>
      <c r="BV520" s="302"/>
      <c r="BW520" s="94"/>
      <c r="BX520" s="302"/>
      <c r="BY520" s="94"/>
      <c r="BZ520" s="302"/>
      <c r="CA520" s="94"/>
      <c r="CB520" s="302"/>
      <c r="CC520" s="94"/>
      <c r="CD520" s="302"/>
      <c r="CE520" s="94"/>
      <c r="CF520" s="302"/>
      <c r="CG520" s="94"/>
      <c r="CH520" s="302"/>
      <c r="CI520" s="94"/>
      <c r="CJ520" s="302"/>
      <c r="CK520" s="94"/>
      <c r="CL520" s="302"/>
      <c r="CM520" s="94"/>
      <c r="CN520" s="302"/>
      <c r="CO520" s="94"/>
      <c r="CP520" s="302"/>
      <c r="CQ520" s="533"/>
      <c r="CR520" s="302"/>
      <c r="CS520" s="94"/>
      <c r="CT520" s="302"/>
      <c r="CU520" s="94"/>
      <c r="CV520" s="302"/>
      <c r="CW520" s="94"/>
      <c r="CX520" s="302"/>
      <c r="CY520" s="94"/>
      <c r="CZ520" s="302"/>
      <c r="DA520" s="94"/>
      <c r="DB520" s="302"/>
      <c r="DC520" s="94"/>
      <c r="DD520" s="302"/>
      <c r="DE520" s="94"/>
      <c r="DF520" s="302"/>
      <c r="DG520" s="94"/>
      <c r="DH520" s="302"/>
      <c r="DI520" s="94"/>
      <c r="DJ520" s="302"/>
      <c r="DK520" s="94"/>
      <c r="DL520" s="302"/>
      <c r="DM520" s="94"/>
      <c r="DN520" s="302"/>
      <c r="DO520" s="94"/>
      <c r="DP520" s="302"/>
      <c r="DQ520" s="94"/>
      <c r="DR520" s="302"/>
      <c r="DS520" s="101">
        <v>-33</v>
      </c>
      <c r="DT520" s="302"/>
      <c r="DU520" s="101">
        <v>-28</v>
      </c>
      <c r="DV520" s="302"/>
      <c r="DW520" s="101">
        <v>-26</v>
      </c>
      <c r="DX520" s="302"/>
      <c r="DY520" s="101">
        <v>-26</v>
      </c>
      <c r="DZ520" s="302"/>
      <c r="EA520" s="101">
        <v>2</v>
      </c>
      <c r="EB520" s="101"/>
      <c r="EC520" s="101"/>
      <c r="ED520" s="101"/>
      <c r="EE520" s="101"/>
      <c r="EF520" s="101"/>
      <c r="EG520" s="101"/>
      <c r="EH520" s="101"/>
      <c r="EI520" s="101"/>
      <c r="EJ520" s="101"/>
      <c r="EK520" s="101"/>
      <c r="EL520" s="94"/>
      <c r="EM520" s="101">
        <v>0</v>
      </c>
      <c r="EN520" s="94"/>
      <c r="EO520" s="101">
        <v>1</v>
      </c>
      <c r="EP520" s="302"/>
      <c r="EQ520" s="101">
        <f>EO520</f>
        <v>1</v>
      </c>
      <c r="ER520" s="302"/>
      <c r="ES520" s="101">
        <f t="shared" ref="ES520:ES522" si="3240">EQ520</f>
        <v>1</v>
      </c>
      <c r="ET520" s="302"/>
      <c r="EU520" s="101">
        <f t="shared" ref="EU520:EU522" si="3241">ES520</f>
        <v>1</v>
      </c>
      <c r="EV520" s="302"/>
      <c r="EW520" s="101">
        <f t="shared" ref="EW520:EW522" si="3242">EU520</f>
        <v>1</v>
      </c>
      <c r="EX520" s="302"/>
      <c r="EY520" s="244"/>
      <c r="EZ520" s="594"/>
      <c r="FA520" s="405"/>
      <c r="FB520" s="244"/>
      <c r="FC520" s="302"/>
      <c r="FD520" s="243"/>
      <c r="FE520" s="302"/>
      <c r="FF520" s="95"/>
      <c r="FG520" s="302"/>
      <c r="FH520" s="95"/>
      <c r="FI520" s="302"/>
      <c r="FJ520" s="95"/>
      <c r="FK520" s="302"/>
      <c r="FL520" s="95"/>
      <c r="FM520" s="302"/>
      <c r="FN520" s="95"/>
      <c r="FO520" s="302"/>
      <c r="FP520" s="95"/>
      <c r="FQ520" s="302"/>
      <c r="FR520" s="245"/>
      <c r="FS520" s="303"/>
      <c r="FT520" s="245"/>
      <c r="FU520" s="303"/>
      <c r="FV520" s="245"/>
      <c r="FW520" s="302"/>
      <c r="FX520" s="480"/>
      <c r="FY520" s="302"/>
      <c r="FZ520" s="245"/>
      <c r="GA520" s="302"/>
      <c r="GB520" s="480"/>
      <c r="GC520" s="302"/>
      <c r="GD520" s="245"/>
      <c r="GE520" s="302"/>
      <c r="GF520" s="245"/>
      <c r="GG520" s="302"/>
      <c r="GH520" s="245"/>
      <c r="GI520" s="302"/>
      <c r="GJ520" s="100">
        <f t="shared" ref="GJ520:GJ522" si="3243">DS520+DU520+DW520+DY520</f>
        <v>-113</v>
      </c>
      <c r="GK520" s="302"/>
      <c r="GL520" s="100">
        <f t="shared" ref="GL520:GL522" si="3244">EA520+EC520+EE520+EG520</f>
        <v>2</v>
      </c>
      <c r="GM520" s="302"/>
      <c r="GN520" s="100">
        <f t="shared" ref="GN520:GN522" si="3245">EI520+EK520+EM520+EO520</f>
        <v>1</v>
      </c>
      <c r="GO520" s="302"/>
      <c r="GP520" s="100">
        <f>EQ520+ES520+EU520+EW520</f>
        <v>4</v>
      </c>
      <c r="GQ520" s="302"/>
      <c r="GR520" s="101">
        <f>GP520</f>
        <v>4</v>
      </c>
      <c r="GS520" s="302"/>
      <c r="GT520" s="101">
        <f>GR520</f>
        <v>4</v>
      </c>
      <c r="GU520" s="302"/>
      <c r="GV520" s="101">
        <f>GT520</f>
        <v>4</v>
      </c>
      <c r="GW520" s="302"/>
      <c r="GX520" s="101">
        <f>GV520</f>
        <v>4</v>
      </c>
      <c r="GY520" s="302"/>
      <c r="GZ520" s="98" t="s">
        <v>494</v>
      </c>
      <c r="HA520" s="302"/>
      <c r="HC520"/>
      <c r="HD520"/>
      <c r="HE520"/>
      <c r="HF520"/>
      <c r="HG520"/>
      <c r="HH520"/>
    </row>
    <row r="521" spans="2:217" s="10" customFormat="1" ht="12.75" customHeight="1" x14ac:dyDescent="0.2">
      <c r="B521" s="310" t="s">
        <v>173</v>
      </c>
      <c r="C521" s="243"/>
      <c r="D521" s="302"/>
      <c r="E521" s="243"/>
      <c r="F521" s="302"/>
      <c r="G521" s="243"/>
      <c r="H521" s="302"/>
      <c r="I521" s="243"/>
      <c r="J521" s="302"/>
      <c r="K521" s="243"/>
      <c r="L521" s="302"/>
      <c r="M521" s="243"/>
      <c r="N521" s="302"/>
      <c r="O521" s="243"/>
      <c r="P521" s="302"/>
      <c r="Q521" s="243"/>
      <c r="R521" s="302"/>
      <c r="S521" s="243"/>
      <c r="T521" s="302"/>
      <c r="U521" s="243"/>
      <c r="V521" s="302"/>
      <c r="W521" s="243"/>
      <c r="X521" s="302"/>
      <c r="Y521" s="243"/>
      <c r="Z521" s="302"/>
      <c r="AA521" s="243"/>
      <c r="AB521" s="302"/>
      <c r="AC521" s="243"/>
      <c r="AD521" s="302"/>
      <c r="AE521" s="243"/>
      <c r="AF521" s="302"/>
      <c r="AG521" s="94"/>
      <c r="AH521" s="302"/>
      <c r="AI521" s="94"/>
      <c r="AJ521" s="302"/>
      <c r="AK521" s="94"/>
      <c r="AL521" s="302"/>
      <c r="AM521" s="94"/>
      <c r="AN521" s="302"/>
      <c r="AO521" s="94"/>
      <c r="AP521" s="302"/>
      <c r="AQ521" s="94"/>
      <c r="AR521" s="302"/>
      <c r="AS521" s="94"/>
      <c r="AT521" s="302"/>
      <c r="AU521" s="94"/>
      <c r="AV521" s="302"/>
      <c r="AW521" s="94"/>
      <c r="AX521" s="302"/>
      <c r="AY521" s="94"/>
      <c r="AZ521" s="302"/>
      <c r="BA521" s="94"/>
      <c r="BB521" s="302"/>
      <c r="BC521" s="94"/>
      <c r="BD521" s="302"/>
      <c r="BE521" s="94"/>
      <c r="BF521" s="302"/>
      <c r="BG521" s="94"/>
      <c r="BH521" s="302"/>
      <c r="BI521" s="94"/>
      <c r="BJ521" s="302"/>
      <c r="BK521" s="94"/>
      <c r="BL521" s="302"/>
      <c r="BM521" s="94"/>
      <c r="BN521" s="302"/>
      <c r="BO521" s="94"/>
      <c r="BP521" s="302"/>
      <c r="BQ521" s="94"/>
      <c r="BR521" s="302"/>
      <c r="BS521" s="94"/>
      <c r="BT521" s="302"/>
      <c r="BU521" s="94"/>
      <c r="BV521" s="302"/>
      <c r="BW521" s="94"/>
      <c r="BX521" s="302"/>
      <c r="BY521" s="94"/>
      <c r="BZ521" s="302"/>
      <c r="CA521" s="94"/>
      <c r="CB521" s="302"/>
      <c r="CC521" s="94"/>
      <c r="CD521" s="302"/>
      <c r="CE521" s="94"/>
      <c r="CF521" s="302"/>
      <c r="CG521" s="94"/>
      <c r="CH521" s="302"/>
      <c r="CI521" s="94"/>
      <c r="CJ521" s="302"/>
      <c r="CK521" s="94"/>
      <c r="CL521" s="302"/>
      <c r="CM521" s="94"/>
      <c r="CN521" s="302"/>
      <c r="CO521" s="94"/>
      <c r="CP521" s="302"/>
      <c r="CQ521" s="533"/>
      <c r="CR521" s="302"/>
      <c r="CS521" s="94"/>
      <c r="CT521" s="302"/>
      <c r="CU521" s="94"/>
      <c r="CV521" s="302"/>
      <c r="CW521" s="94"/>
      <c r="CX521" s="302"/>
      <c r="CY521" s="94"/>
      <c r="CZ521" s="302"/>
      <c r="DA521" s="94"/>
      <c r="DB521" s="302"/>
      <c r="DC521" s="94"/>
      <c r="DD521" s="302"/>
      <c r="DE521" s="94"/>
      <c r="DF521" s="302"/>
      <c r="DG521" s="94"/>
      <c r="DH521" s="302"/>
      <c r="DI521" s="94"/>
      <c r="DJ521" s="302"/>
      <c r="DK521" s="94"/>
      <c r="DL521" s="302"/>
      <c r="DM521" s="94"/>
      <c r="DN521" s="302"/>
      <c r="DO521" s="94"/>
      <c r="DP521" s="302"/>
      <c r="DQ521" s="94"/>
      <c r="DR521" s="302"/>
      <c r="DS521" s="101">
        <v>65</v>
      </c>
      <c r="DT521" s="302"/>
      <c r="DU521" s="101">
        <v>31</v>
      </c>
      <c r="DV521" s="302"/>
      <c r="DW521" s="101">
        <v>-85</v>
      </c>
      <c r="DX521" s="302"/>
      <c r="DY521" s="101">
        <v>2</v>
      </c>
      <c r="DZ521" s="302"/>
      <c r="EA521" s="101">
        <v>60</v>
      </c>
      <c r="EB521" s="101"/>
      <c r="EC521" s="101">
        <v>28</v>
      </c>
      <c r="ED521" s="101"/>
      <c r="EE521" s="101">
        <v>53</v>
      </c>
      <c r="EF521" s="101"/>
      <c r="EG521" s="101">
        <v>37</v>
      </c>
      <c r="EH521" s="101"/>
      <c r="EI521" s="101">
        <v>40</v>
      </c>
      <c r="EJ521" s="101"/>
      <c r="EK521" s="101">
        <v>41</v>
      </c>
      <c r="EL521" s="94"/>
      <c r="EM521" s="101">
        <v>26</v>
      </c>
      <c r="EN521" s="94"/>
      <c r="EO521" s="101">
        <v>-79</v>
      </c>
      <c r="EP521" s="302"/>
      <c r="EQ521" s="101">
        <v>25</v>
      </c>
      <c r="ER521" s="302"/>
      <c r="ES521" s="101">
        <f t="shared" si="3240"/>
        <v>25</v>
      </c>
      <c r="ET521" s="302"/>
      <c r="EU521" s="101">
        <f t="shared" si="3241"/>
        <v>25</v>
      </c>
      <c r="EV521" s="302"/>
      <c r="EW521" s="101">
        <f t="shared" si="3242"/>
        <v>25</v>
      </c>
      <c r="EX521" s="302"/>
      <c r="EY521" s="244"/>
      <c r="EZ521" s="594"/>
      <c r="FA521" s="405"/>
      <c r="FB521" s="244"/>
      <c r="FC521" s="302"/>
      <c r="FD521" s="243"/>
      <c r="FE521" s="302"/>
      <c r="FF521" s="95"/>
      <c r="FG521" s="302"/>
      <c r="FH521" s="95"/>
      <c r="FI521" s="302"/>
      <c r="FJ521" s="95"/>
      <c r="FK521" s="302"/>
      <c r="FL521" s="95"/>
      <c r="FM521" s="302"/>
      <c r="FN521" s="95"/>
      <c r="FO521" s="302"/>
      <c r="FP521" s="95"/>
      <c r="FQ521" s="302"/>
      <c r="FR521" s="245"/>
      <c r="FS521" s="303"/>
      <c r="FT521" s="245"/>
      <c r="FU521" s="303"/>
      <c r="FV521" s="245"/>
      <c r="FW521" s="302"/>
      <c r="FX521" s="480"/>
      <c r="FY521" s="302"/>
      <c r="FZ521" s="245"/>
      <c r="GA521" s="302"/>
      <c r="GB521" s="480"/>
      <c r="GC521" s="302"/>
      <c r="GD521" s="245"/>
      <c r="GE521" s="302"/>
      <c r="GF521" s="245"/>
      <c r="GG521" s="302"/>
      <c r="GH521" s="245"/>
      <c r="GI521" s="302"/>
      <c r="GJ521" s="100">
        <f t="shared" si="3243"/>
        <v>13</v>
      </c>
      <c r="GK521" s="302"/>
      <c r="GL521" s="100">
        <f t="shared" si="3244"/>
        <v>178</v>
      </c>
      <c r="GM521" s="302"/>
      <c r="GN521" s="100">
        <f t="shared" si="3245"/>
        <v>28</v>
      </c>
      <c r="GO521" s="302"/>
      <c r="GP521" s="100">
        <f>EQ521+ES521+EU521+EW521</f>
        <v>100</v>
      </c>
      <c r="GQ521" s="302"/>
      <c r="GR521" s="101">
        <f>GP521*1.02</f>
        <v>102</v>
      </c>
      <c r="GS521" s="302"/>
      <c r="GT521" s="101">
        <f>GR521*1.02</f>
        <v>104.04</v>
      </c>
      <c r="GU521" s="302"/>
      <c r="GV521" s="101">
        <f>GT521*1.02</f>
        <v>106.1208</v>
      </c>
      <c r="GW521" s="302"/>
      <c r="GX521" s="101">
        <f>GV521*1.02</f>
        <v>108.243216</v>
      </c>
      <c r="GY521" s="302"/>
      <c r="GZ521" s="98" t="s">
        <v>494</v>
      </c>
      <c r="HA521" s="302"/>
      <c r="HC521"/>
      <c r="HD521"/>
      <c r="HE521"/>
      <c r="HF521"/>
      <c r="HG521"/>
      <c r="HH521"/>
    </row>
    <row r="522" spans="2:217" s="10" customFormat="1" ht="12.75" customHeight="1" x14ac:dyDescent="0.2">
      <c r="B522" s="310" t="s">
        <v>174</v>
      </c>
      <c r="C522" s="243"/>
      <c r="D522" s="302"/>
      <c r="E522" s="243"/>
      <c r="F522" s="302"/>
      <c r="G522" s="243"/>
      <c r="H522" s="302"/>
      <c r="I522" s="243"/>
      <c r="J522" s="302"/>
      <c r="K522" s="243"/>
      <c r="L522" s="302"/>
      <c r="M522" s="243"/>
      <c r="N522" s="302"/>
      <c r="O522" s="243"/>
      <c r="P522" s="302"/>
      <c r="Q522" s="243"/>
      <c r="R522" s="302"/>
      <c r="S522" s="243"/>
      <c r="T522" s="302"/>
      <c r="U522" s="243"/>
      <c r="V522" s="302"/>
      <c r="W522" s="243"/>
      <c r="X522" s="302"/>
      <c r="Y522" s="243"/>
      <c r="Z522" s="302"/>
      <c r="AA522" s="243"/>
      <c r="AB522" s="302"/>
      <c r="AC522" s="243"/>
      <c r="AD522" s="302"/>
      <c r="AE522" s="243"/>
      <c r="AF522" s="302"/>
      <c r="AG522" s="94"/>
      <c r="AH522" s="302"/>
      <c r="AI522" s="94"/>
      <c r="AJ522" s="302"/>
      <c r="AK522" s="94"/>
      <c r="AL522" s="302"/>
      <c r="AM522" s="94"/>
      <c r="AN522" s="302"/>
      <c r="AO522" s="94"/>
      <c r="AP522" s="302"/>
      <c r="AQ522" s="94"/>
      <c r="AR522" s="302"/>
      <c r="AS522" s="94"/>
      <c r="AT522" s="302"/>
      <c r="AU522" s="94"/>
      <c r="AV522" s="302"/>
      <c r="AW522" s="94"/>
      <c r="AX522" s="302"/>
      <c r="AY522" s="94"/>
      <c r="AZ522" s="302"/>
      <c r="BA522" s="94"/>
      <c r="BB522" s="302"/>
      <c r="BC522" s="94"/>
      <c r="BD522" s="302"/>
      <c r="BE522" s="94"/>
      <c r="BF522" s="302"/>
      <c r="BG522" s="94"/>
      <c r="BH522" s="302"/>
      <c r="BI522" s="94"/>
      <c r="BJ522" s="302"/>
      <c r="BK522" s="94"/>
      <c r="BL522" s="302"/>
      <c r="BM522" s="94"/>
      <c r="BN522" s="302"/>
      <c r="BO522" s="94"/>
      <c r="BP522" s="302"/>
      <c r="BQ522" s="94"/>
      <c r="BR522" s="302"/>
      <c r="BS522" s="94"/>
      <c r="BT522" s="302"/>
      <c r="BU522" s="94"/>
      <c r="BV522" s="302"/>
      <c r="BW522" s="94"/>
      <c r="BX522" s="302"/>
      <c r="BY522" s="94"/>
      <c r="BZ522" s="302"/>
      <c r="CA522" s="94"/>
      <c r="CB522" s="302"/>
      <c r="CC522" s="94"/>
      <c r="CD522" s="302"/>
      <c r="CE522" s="94"/>
      <c r="CF522" s="302"/>
      <c r="CG522" s="94"/>
      <c r="CH522" s="302"/>
      <c r="CI522" s="94"/>
      <c r="CJ522" s="302"/>
      <c r="CK522" s="94"/>
      <c r="CL522" s="302"/>
      <c r="CM522" s="94"/>
      <c r="CN522" s="302"/>
      <c r="CO522" s="94"/>
      <c r="CP522" s="302"/>
      <c r="CQ522" s="533"/>
      <c r="CR522" s="302"/>
      <c r="CS522" s="94"/>
      <c r="CT522" s="302"/>
      <c r="CU522" s="94"/>
      <c r="CV522" s="302"/>
      <c r="CW522" s="94"/>
      <c r="CX522" s="302"/>
      <c r="CY522" s="94"/>
      <c r="CZ522" s="302"/>
      <c r="DA522" s="94"/>
      <c r="DB522" s="302"/>
      <c r="DC522" s="94"/>
      <c r="DD522" s="302"/>
      <c r="DE522" s="94"/>
      <c r="DF522" s="302"/>
      <c r="DG522" s="94"/>
      <c r="DH522" s="302"/>
      <c r="DI522" s="94"/>
      <c r="DJ522" s="302"/>
      <c r="DK522" s="94"/>
      <c r="DL522" s="302"/>
      <c r="DM522" s="94"/>
      <c r="DN522" s="302"/>
      <c r="DO522" s="94"/>
      <c r="DP522" s="302"/>
      <c r="DQ522" s="94"/>
      <c r="DR522" s="302"/>
      <c r="DS522" s="101">
        <v>-94</v>
      </c>
      <c r="DT522" s="302"/>
      <c r="DU522" s="101">
        <v>-60</v>
      </c>
      <c r="DV522" s="302"/>
      <c r="DW522" s="101">
        <v>-58</v>
      </c>
      <c r="DX522" s="302"/>
      <c r="DY522" s="101">
        <v>-78</v>
      </c>
      <c r="DZ522" s="302"/>
      <c r="EA522" s="101">
        <v>26</v>
      </c>
      <c r="EB522" s="101"/>
      <c r="EC522" s="101">
        <v>22</v>
      </c>
      <c r="ED522" s="101"/>
      <c r="EE522" s="101">
        <v>22</v>
      </c>
      <c r="EF522" s="101"/>
      <c r="EG522" s="101">
        <v>40</v>
      </c>
      <c r="EH522" s="101"/>
      <c r="EI522" s="101">
        <v>59</v>
      </c>
      <c r="EJ522" s="101"/>
      <c r="EK522" s="101">
        <v>61</v>
      </c>
      <c r="EL522" s="94"/>
      <c r="EM522" s="101">
        <v>65</v>
      </c>
      <c r="EN522" s="94"/>
      <c r="EO522" s="101">
        <v>86</v>
      </c>
      <c r="EP522" s="302"/>
      <c r="EQ522" s="101">
        <f>EO522*0.9</f>
        <v>77.400000000000006</v>
      </c>
      <c r="ER522" s="302"/>
      <c r="ES522" s="101">
        <f t="shared" si="3240"/>
        <v>77.400000000000006</v>
      </c>
      <c r="ET522" s="302"/>
      <c r="EU522" s="101">
        <f t="shared" si="3241"/>
        <v>77.400000000000006</v>
      </c>
      <c r="EV522" s="302"/>
      <c r="EW522" s="101">
        <f t="shared" si="3242"/>
        <v>77.400000000000006</v>
      </c>
      <c r="EX522" s="302"/>
      <c r="EY522" s="244"/>
      <c r="EZ522" s="594"/>
      <c r="FA522" s="405"/>
      <c r="FB522" s="244"/>
      <c r="FC522" s="302"/>
      <c r="FD522" s="243"/>
      <c r="FE522" s="302"/>
      <c r="FF522" s="95"/>
      <c r="FG522" s="302"/>
      <c r="FH522" s="95"/>
      <c r="FI522" s="302"/>
      <c r="FJ522" s="95"/>
      <c r="FK522" s="302"/>
      <c r="FL522" s="95"/>
      <c r="FM522" s="302"/>
      <c r="FN522" s="95"/>
      <c r="FO522" s="302"/>
      <c r="FP522" s="95"/>
      <c r="FQ522" s="302"/>
      <c r="FR522" s="245"/>
      <c r="FS522" s="303"/>
      <c r="FT522" s="245"/>
      <c r="FU522" s="303"/>
      <c r="FV522" s="245"/>
      <c r="FW522" s="302"/>
      <c r="FX522" s="480"/>
      <c r="FY522" s="302"/>
      <c r="FZ522" s="245"/>
      <c r="GA522" s="302"/>
      <c r="GB522" s="480"/>
      <c r="GC522" s="302"/>
      <c r="GD522" s="245"/>
      <c r="GE522" s="302"/>
      <c r="GF522" s="245"/>
      <c r="GG522" s="302"/>
      <c r="GH522" s="245"/>
      <c r="GI522" s="302"/>
      <c r="GJ522" s="100">
        <f t="shared" si="3243"/>
        <v>-290</v>
      </c>
      <c r="GK522" s="302"/>
      <c r="GL522" s="100">
        <f t="shared" si="3244"/>
        <v>110</v>
      </c>
      <c r="GM522" s="302"/>
      <c r="GN522" s="100">
        <f t="shared" si="3245"/>
        <v>271</v>
      </c>
      <c r="GO522" s="302"/>
      <c r="GP522" s="100">
        <f>EQ522+ES522+EU522+EW522</f>
        <v>309.60000000000002</v>
      </c>
      <c r="GQ522" s="302"/>
      <c r="GR522" s="101">
        <f>GP522*1.02</f>
        <v>315.79200000000003</v>
      </c>
      <c r="GS522" s="302"/>
      <c r="GT522" s="101">
        <f>GR522*1.02</f>
        <v>322.10784000000001</v>
      </c>
      <c r="GU522" s="302"/>
      <c r="GV522" s="101">
        <f>GT522*1.02</f>
        <v>328.54999680000003</v>
      </c>
      <c r="GW522" s="302"/>
      <c r="GX522" s="101">
        <f>GV522*1.02</f>
        <v>335.12099673600005</v>
      </c>
      <c r="GY522" s="302"/>
      <c r="GZ522" s="98" t="s">
        <v>494</v>
      </c>
      <c r="HA522" s="302"/>
      <c r="HC522"/>
      <c r="HD522"/>
      <c r="HE522"/>
      <c r="HF522"/>
      <c r="HG522"/>
      <c r="HH522"/>
    </row>
    <row r="523" spans="2:217" s="10" customFormat="1" ht="12.75" customHeight="1" x14ac:dyDescent="0.2">
      <c r="B523" s="311" t="s">
        <v>538</v>
      </c>
      <c r="C523" s="243"/>
      <c r="D523" s="302"/>
      <c r="E523" s="243"/>
      <c r="F523" s="302"/>
      <c r="G523" s="243"/>
      <c r="H523" s="302"/>
      <c r="I523" s="243"/>
      <c r="J523" s="302"/>
      <c r="K523" s="243"/>
      <c r="L523" s="302"/>
      <c r="M523" s="243"/>
      <c r="N523" s="302"/>
      <c r="O523" s="243"/>
      <c r="P523" s="302"/>
      <c r="Q523" s="243"/>
      <c r="R523" s="302"/>
      <c r="S523" s="243"/>
      <c r="T523" s="302"/>
      <c r="U523" s="243"/>
      <c r="V523" s="302"/>
      <c r="W523" s="243"/>
      <c r="X523" s="302"/>
      <c r="Y523" s="243"/>
      <c r="Z523" s="302"/>
      <c r="AA523" s="243"/>
      <c r="AB523" s="302"/>
      <c r="AC523" s="243"/>
      <c r="AD523" s="302"/>
      <c r="AE523" s="243"/>
      <c r="AF523" s="302"/>
      <c r="AG523" s="94"/>
      <c r="AH523" s="302"/>
      <c r="AI523" s="94"/>
      <c r="AJ523" s="302"/>
      <c r="AK523" s="94"/>
      <c r="AL523" s="302"/>
      <c r="AM523" s="94"/>
      <c r="AN523" s="302"/>
      <c r="AO523" s="94"/>
      <c r="AP523" s="302"/>
      <c r="AQ523" s="94"/>
      <c r="AR523" s="302"/>
      <c r="AS523" s="94"/>
      <c r="AT523" s="302"/>
      <c r="AU523" s="94"/>
      <c r="AV523" s="302"/>
      <c r="AW523" s="94"/>
      <c r="AX523" s="302"/>
      <c r="AY523" s="94"/>
      <c r="AZ523" s="302"/>
      <c r="BA523" s="94"/>
      <c r="BB523" s="302"/>
      <c r="BC523" s="94"/>
      <c r="BD523" s="302"/>
      <c r="BE523" s="94"/>
      <c r="BF523" s="302"/>
      <c r="BG523" s="94"/>
      <c r="BH523" s="302"/>
      <c r="BI523" s="94"/>
      <c r="BJ523" s="302"/>
      <c r="BK523" s="94"/>
      <c r="BL523" s="302"/>
      <c r="BM523" s="94"/>
      <c r="BN523" s="302"/>
      <c r="BO523" s="94"/>
      <c r="BP523" s="302"/>
      <c r="BQ523" s="94"/>
      <c r="BR523" s="302"/>
      <c r="BS523" s="94"/>
      <c r="BT523" s="302"/>
      <c r="BU523" s="94"/>
      <c r="BV523" s="302"/>
      <c r="BW523" s="94"/>
      <c r="BX523" s="302"/>
      <c r="BY523" s="94"/>
      <c r="BZ523" s="302"/>
      <c r="CA523" s="94"/>
      <c r="CB523" s="302"/>
      <c r="CC523" s="94"/>
      <c r="CD523" s="302"/>
      <c r="CE523" s="94"/>
      <c r="CF523" s="302"/>
      <c r="CG523" s="94"/>
      <c r="CH523" s="302"/>
      <c r="CI523" s="94"/>
      <c r="CJ523" s="302"/>
      <c r="CK523" s="94"/>
      <c r="CL523" s="302"/>
      <c r="CM523" s="94"/>
      <c r="CN523" s="302"/>
      <c r="CO523" s="94"/>
      <c r="CP523" s="302"/>
      <c r="CQ523" s="533"/>
      <c r="CR523" s="302"/>
      <c r="CS523" s="94"/>
      <c r="CT523" s="302"/>
      <c r="CU523" s="94"/>
      <c r="CV523" s="302"/>
      <c r="CW523" s="94"/>
      <c r="CX523" s="302"/>
      <c r="CY523" s="94"/>
      <c r="CZ523" s="302"/>
      <c r="DA523" s="94"/>
      <c r="DB523" s="302"/>
      <c r="DC523" s="94"/>
      <c r="DD523" s="302"/>
      <c r="DE523" s="94"/>
      <c r="DF523" s="302"/>
      <c r="DG523" s="94"/>
      <c r="DH523" s="302"/>
      <c r="DI523" s="94"/>
      <c r="DJ523" s="302"/>
      <c r="DK523" s="94"/>
      <c r="DL523" s="302"/>
      <c r="DM523" s="94"/>
      <c r="DN523" s="302"/>
      <c r="DO523" s="94"/>
      <c r="DP523" s="302"/>
      <c r="DQ523" s="94"/>
      <c r="DR523" s="302"/>
      <c r="DS523" s="197">
        <f>SUM(DS519:DS522)</f>
        <v>-58</v>
      </c>
      <c r="DT523" s="302"/>
      <c r="DU523" s="197">
        <f>SUM(DU519:DU522)</f>
        <v>-38</v>
      </c>
      <c r="DV523" s="302"/>
      <c r="DW523" s="197">
        <f>SUM(DW519:DW522)</f>
        <v>-222</v>
      </c>
      <c r="DX523" s="302"/>
      <c r="DY523" s="197">
        <f>SUM(DY519:DY522)</f>
        <v>-159</v>
      </c>
      <c r="DZ523" s="302"/>
      <c r="EA523" s="197">
        <f>SUM(EA519:EA522)</f>
        <v>85</v>
      </c>
      <c r="EB523" s="197"/>
      <c r="EC523" s="197">
        <f>SUM(EC519:EC522)</f>
        <v>62</v>
      </c>
      <c r="ED523" s="197"/>
      <c r="EE523" s="197">
        <f>SUM(EE519:EE522)</f>
        <v>116</v>
      </c>
      <c r="EF523" s="197"/>
      <c r="EG523" s="197">
        <f>SUM(EG519:EG522)</f>
        <v>67</v>
      </c>
      <c r="EH523" s="197"/>
      <c r="EI523" s="197">
        <f>SUM(EI519:EI522)</f>
        <v>137</v>
      </c>
      <c r="EJ523" s="197"/>
      <c r="EK523" s="197">
        <f>SUM(EK519:EK522)</f>
        <v>110</v>
      </c>
      <c r="EL523" s="94"/>
      <c r="EM523" s="197">
        <f>SUM(EM519:EM522)</f>
        <v>104</v>
      </c>
      <c r="EN523" s="94"/>
      <c r="EO523" s="197">
        <f>SUM(EO519:EO522)</f>
        <v>3</v>
      </c>
      <c r="EP523" s="302"/>
      <c r="EQ523" s="197">
        <f>SUM(EQ519:EQ522)</f>
        <v>116.53</v>
      </c>
      <c r="ER523" s="302"/>
      <c r="ES523" s="197">
        <f t="shared" ref="ES523" si="3246">SUM(ES519:ES522)</f>
        <v>116.66130000000001</v>
      </c>
      <c r="ET523" s="302"/>
      <c r="EU523" s="197">
        <f t="shared" ref="EU523" si="3247">SUM(EU519:EU522)</f>
        <v>116.793913</v>
      </c>
      <c r="EV523" s="302"/>
      <c r="EW523" s="197">
        <f t="shared" ref="EW523" si="3248">SUM(EW519:EW522)</f>
        <v>116.92785213000001</v>
      </c>
      <c r="EX523" s="302"/>
      <c r="EY523" s="244"/>
      <c r="EZ523" s="594"/>
      <c r="FA523" s="405"/>
      <c r="FB523" s="244"/>
      <c r="FC523" s="302"/>
      <c r="FD523" s="243"/>
      <c r="FE523" s="302"/>
      <c r="FF523" s="95"/>
      <c r="FG523" s="302"/>
      <c r="FH523" s="95"/>
      <c r="FI523" s="302"/>
      <c r="FJ523" s="95"/>
      <c r="FK523" s="302"/>
      <c r="FL523" s="95"/>
      <c r="FM523" s="302"/>
      <c r="FN523" s="95"/>
      <c r="FO523" s="302"/>
      <c r="FP523" s="95"/>
      <c r="FQ523" s="302"/>
      <c r="FR523" s="245"/>
      <c r="FS523" s="303"/>
      <c r="FT523" s="245"/>
      <c r="FU523" s="303"/>
      <c r="FV523" s="245"/>
      <c r="FW523" s="302"/>
      <c r="FX523" s="480"/>
      <c r="FY523" s="302"/>
      <c r="FZ523" s="245"/>
      <c r="GA523" s="302"/>
      <c r="GB523" s="480"/>
      <c r="GC523" s="302"/>
      <c r="GD523" s="245"/>
      <c r="GE523" s="302"/>
      <c r="GF523" s="245"/>
      <c r="GG523" s="302"/>
      <c r="GH523" s="245"/>
      <c r="GI523" s="302"/>
      <c r="GJ523" s="197">
        <f>SUM(GJ519:GJ522)</f>
        <v>-477</v>
      </c>
      <c r="GK523" s="302"/>
      <c r="GL523" s="197">
        <f>SUM(GL519:GL522)</f>
        <v>330</v>
      </c>
      <c r="GM523" s="302"/>
      <c r="GN523" s="197">
        <f>SUM(GN519:GN522)</f>
        <v>354</v>
      </c>
      <c r="GO523" s="302"/>
      <c r="GP523" s="197">
        <f>SUM(GP519:GP522)</f>
        <v>466.91306513000001</v>
      </c>
      <c r="GQ523" s="302"/>
      <c r="GR523" s="197">
        <f>SUM(GR519:GR522)</f>
        <v>475.63819578130006</v>
      </c>
      <c r="GS523" s="302"/>
      <c r="GT523" s="197">
        <f>SUM(GT519:GT522)</f>
        <v>484.53249773911301</v>
      </c>
      <c r="GU523" s="302"/>
      <c r="GV523" s="197">
        <f>SUM(GV519:GV522)</f>
        <v>493.59930111650419</v>
      </c>
      <c r="GW523" s="302"/>
      <c r="GX523" s="197">
        <f>SUM(GX519:GX522)</f>
        <v>502.84200209566922</v>
      </c>
      <c r="GY523" s="302"/>
      <c r="GZ523" s="98" t="s">
        <v>494</v>
      </c>
      <c r="HA523" s="302"/>
      <c r="HC523"/>
      <c r="HD523"/>
      <c r="HE523"/>
      <c r="HF523"/>
      <c r="HG523"/>
      <c r="HH523"/>
    </row>
    <row r="524" spans="2:217" s="10" customFormat="1" ht="12.75" customHeight="1" x14ac:dyDescent="0.2">
      <c r="B524" s="311"/>
      <c r="C524" s="243"/>
      <c r="D524" s="302"/>
      <c r="E524" s="243"/>
      <c r="F524" s="302"/>
      <c r="G524" s="243"/>
      <c r="H524" s="302"/>
      <c r="I524" s="243"/>
      <c r="J524" s="302"/>
      <c r="K524" s="243"/>
      <c r="L524" s="302"/>
      <c r="M524" s="243"/>
      <c r="N524" s="302"/>
      <c r="O524" s="243"/>
      <c r="P524" s="302"/>
      <c r="Q524" s="243"/>
      <c r="R524" s="302"/>
      <c r="S524" s="243"/>
      <c r="T524" s="302"/>
      <c r="U524" s="243"/>
      <c r="V524" s="302"/>
      <c r="W524" s="243"/>
      <c r="X524" s="302"/>
      <c r="Y524" s="243"/>
      <c r="Z524" s="302"/>
      <c r="AA524" s="243"/>
      <c r="AB524" s="302"/>
      <c r="AC524" s="243"/>
      <c r="AD524" s="302"/>
      <c r="AE524" s="243"/>
      <c r="AF524" s="302"/>
      <c r="AG524" s="94"/>
      <c r="AH524" s="302"/>
      <c r="AI524" s="94"/>
      <c r="AJ524" s="302"/>
      <c r="AK524" s="94"/>
      <c r="AL524" s="302"/>
      <c r="AM524" s="94"/>
      <c r="AN524" s="302"/>
      <c r="AO524" s="94"/>
      <c r="AP524" s="302"/>
      <c r="AQ524" s="94"/>
      <c r="AR524" s="302"/>
      <c r="AS524" s="94"/>
      <c r="AT524" s="302"/>
      <c r="AU524" s="94"/>
      <c r="AV524" s="302"/>
      <c r="AW524" s="94"/>
      <c r="AX524" s="302"/>
      <c r="AY524" s="94"/>
      <c r="AZ524" s="302"/>
      <c r="BA524" s="94"/>
      <c r="BB524" s="302"/>
      <c r="BC524" s="94"/>
      <c r="BD524" s="302"/>
      <c r="BE524" s="94"/>
      <c r="BF524" s="302"/>
      <c r="BG524" s="94"/>
      <c r="BH524" s="302"/>
      <c r="BI524" s="94"/>
      <c r="BJ524" s="302"/>
      <c r="BK524" s="94"/>
      <c r="BL524" s="302"/>
      <c r="BM524" s="94"/>
      <c r="BN524" s="302"/>
      <c r="BO524" s="94"/>
      <c r="BP524" s="302"/>
      <c r="BQ524" s="94"/>
      <c r="BR524" s="302"/>
      <c r="BS524" s="94"/>
      <c r="BT524" s="302"/>
      <c r="BU524" s="94"/>
      <c r="BV524" s="302"/>
      <c r="BW524" s="94"/>
      <c r="BX524" s="302"/>
      <c r="BY524" s="94"/>
      <c r="BZ524" s="302"/>
      <c r="CA524" s="94"/>
      <c r="CB524" s="302"/>
      <c r="CC524" s="94"/>
      <c r="CD524" s="302"/>
      <c r="CE524" s="94"/>
      <c r="CF524" s="302"/>
      <c r="CG524" s="94"/>
      <c r="CH524" s="302"/>
      <c r="CI524" s="94"/>
      <c r="CJ524" s="302"/>
      <c r="CK524" s="94"/>
      <c r="CL524" s="302"/>
      <c r="CM524" s="94"/>
      <c r="CN524" s="302"/>
      <c r="CO524" s="94"/>
      <c r="CP524" s="302"/>
      <c r="CQ524" s="533"/>
      <c r="CR524" s="302"/>
      <c r="CS524" s="94"/>
      <c r="CT524" s="302"/>
      <c r="CU524" s="94"/>
      <c r="CV524" s="302"/>
      <c r="CW524" s="94"/>
      <c r="CX524" s="302"/>
      <c r="CY524" s="94"/>
      <c r="CZ524" s="302"/>
      <c r="DA524" s="94"/>
      <c r="DB524" s="302"/>
      <c r="DC524" s="94"/>
      <c r="DD524" s="302"/>
      <c r="DE524" s="94"/>
      <c r="DF524" s="302"/>
      <c r="DG524" s="94"/>
      <c r="DH524" s="302"/>
      <c r="DI524" s="94"/>
      <c r="DJ524" s="302"/>
      <c r="DK524" s="94"/>
      <c r="DL524" s="302"/>
      <c r="DM524" s="94"/>
      <c r="DN524" s="302"/>
      <c r="DO524" s="94"/>
      <c r="DP524" s="302"/>
      <c r="DQ524" s="94"/>
      <c r="DR524" s="302"/>
      <c r="DS524" s="101"/>
      <c r="DT524" s="302"/>
      <c r="DU524" s="101"/>
      <c r="DV524" s="302"/>
      <c r="DW524" s="101"/>
      <c r="DX524" s="302"/>
      <c r="DY524" s="101"/>
      <c r="DZ524" s="302"/>
      <c r="EA524" s="101"/>
      <c r="EB524" s="101"/>
      <c r="EC524" s="101"/>
      <c r="ED524" s="101"/>
      <c r="EE524" s="101"/>
      <c r="EF524" s="101"/>
      <c r="EG524" s="101"/>
      <c r="EH524" s="101"/>
      <c r="EI524" s="101"/>
      <c r="EJ524" s="101"/>
      <c r="EK524" s="101"/>
      <c r="EL524" s="94"/>
      <c r="EM524" s="101"/>
      <c r="EN524" s="94"/>
      <c r="EO524" s="101"/>
      <c r="EP524" s="302"/>
      <c r="EQ524" s="101"/>
      <c r="ER524" s="302"/>
      <c r="ES524" s="101"/>
      <c r="ET524" s="302"/>
      <c r="EU524" s="101"/>
      <c r="EV524" s="302"/>
      <c r="EW524" s="101"/>
      <c r="EX524" s="302"/>
      <c r="EY524" s="244"/>
      <c r="EZ524" s="594"/>
      <c r="FA524" s="405"/>
      <c r="FB524" s="244"/>
      <c r="FC524" s="302"/>
      <c r="FD524" s="243"/>
      <c r="FE524" s="302"/>
      <c r="FF524" s="95"/>
      <c r="FG524" s="302"/>
      <c r="FH524" s="95"/>
      <c r="FI524" s="302"/>
      <c r="FJ524" s="95"/>
      <c r="FK524" s="302"/>
      <c r="FL524" s="95"/>
      <c r="FM524" s="302"/>
      <c r="FN524" s="95"/>
      <c r="FO524" s="302"/>
      <c r="FP524" s="95"/>
      <c r="FQ524" s="302"/>
      <c r="FR524" s="245"/>
      <c r="FS524" s="303"/>
      <c r="FT524" s="245"/>
      <c r="FU524" s="303"/>
      <c r="FV524" s="245"/>
      <c r="FW524" s="302"/>
      <c r="FX524" s="480"/>
      <c r="FY524" s="302"/>
      <c r="FZ524" s="245"/>
      <c r="GA524" s="302"/>
      <c r="GB524" s="480"/>
      <c r="GC524" s="302"/>
      <c r="GD524" s="245"/>
      <c r="GE524" s="302"/>
      <c r="GF524" s="245"/>
      <c r="GG524" s="302"/>
      <c r="GH524" s="245"/>
      <c r="GI524" s="302"/>
      <c r="GJ524" s="245"/>
      <c r="GK524" s="302"/>
      <c r="GL524" s="245"/>
      <c r="GM524" s="302"/>
      <c r="GN524" s="245"/>
      <c r="GO524" s="302"/>
      <c r="GP524" s="245"/>
      <c r="GQ524" s="302"/>
      <c r="GR524" s="101"/>
      <c r="GS524" s="302"/>
      <c r="GT524" s="101"/>
      <c r="GU524" s="302"/>
      <c r="GV524" s="101"/>
      <c r="GW524" s="302"/>
      <c r="GX524" s="101"/>
      <c r="GY524" s="302"/>
      <c r="GZ524" s="302"/>
      <c r="HA524" s="302"/>
      <c r="HC524"/>
      <c r="HD524"/>
      <c r="HE524"/>
      <c r="HF524"/>
      <c r="HG524"/>
      <c r="HH524"/>
    </row>
    <row r="525" spans="2:217" s="10" customFormat="1" ht="12.75" customHeight="1" x14ac:dyDescent="0.2">
      <c r="B525" s="311" t="s">
        <v>58</v>
      </c>
      <c r="C525" s="243"/>
      <c r="D525" s="302"/>
      <c r="E525" s="243"/>
      <c r="F525" s="302"/>
      <c r="G525" s="243"/>
      <c r="H525" s="302"/>
      <c r="I525" s="243"/>
      <c r="J525" s="302"/>
      <c r="K525" s="243"/>
      <c r="L525" s="302"/>
      <c r="M525" s="243"/>
      <c r="N525" s="302"/>
      <c r="O525" s="243"/>
      <c r="P525" s="302"/>
      <c r="Q525" s="243"/>
      <c r="R525" s="302"/>
      <c r="S525" s="243"/>
      <c r="T525" s="302"/>
      <c r="U525" s="243"/>
      <c r="V525" s="302"/>
      <c r="W525" s="243"/>
      <c r="X525" s="302"/>
      <c r="Y525" s="243"/>
      <c r="Z525" s="302"/>
      <c r="AA525" s="243"/>
      <c r="AB525" s="302"/>
      <c r="AC525" s="243"/>
      <c r="AD525" s="302"/>
      <c r="AE525" s="243"/>
      <c r="AF525" s="302"/>
      <c r="AG525" s="94"/>
      <c r="AH525" s="302"/>
      <c r="AI525" s="94"/>
      <c r="AJ525" s="302"/>
      <c r="AK525" s="94"/>
      <c r="AL525" s="302"/>
      <c r="AM525" s="94"/>
      <c r="AN525" s="302"/>
      <c r="AO525" s="94"/>
      <c r="AP525" s="302"/>
      <c r="AQ525" s="94"/>
      <c r="AR525" s="302"/>
      <c r="AS525" s="94"/>
      <c r="AT525" s="302"/>
      <c r="AU525" s="94"/>
      <c r="AV525" s="302"/>
      <c r="AW525" s="94"/>
      <c r="AX525" s="302"/>
      <c r="AY525" s="94"/>
      <c r="AZ525" s="302"/>
      <c r="BA525" s="94"/>
      <c r="BB525" s="302"/>
      <c r="BC525" s="94"/>
      <c r="BD525" s="302"/>
      <c r="BE525" s="94"/>
      <c r="BF525" s="302"/>
      <c r="BG525" s="94"/>
      <c r="BH525" s="302"/>
      <c r="BI525" s="94"/>
      <c r="BJ525" s="302"/>
      <c r="BK525" s="94"/>
      <c r="BL525" s="302"/>
      <c r="BM525" s="94"/>
      <c r="BN525" s="302"/>
      <c r="BO525" s="94"/>
      <c r="BP525" s="302"/>
      <c r="BQ525" s="94"/>
      <c r="BR525" s="302"/>
      <c r="BS525" s="94"/>
      <c r="BT525" s="302"/>
      <c r="BU525" s="94"/>
      <c r="BV525" s="302"/>
      <c r="BW525" s="94"/>
      <c r="BX525" s="302"/>
      <c r="BY525" s="94"/>
      <c r="BZ525" s="302"/>
      <c r="CA525" s="94"/>
      <c r="CB525" s="302"/>
      <c r="CC525" s="94"/>
      <c r="CD525" s="302"/>
      <c r="CE525" s="94"/>
      <c r="CF525" s="302"/>
      <c r="CG525" s="94"/>
      <c r="CH525" s="302"/>
      <c r="CI525" s="94"/>
      <c r="CJ525" s="302"/>
      <c r="CK525" s="94"/>
      <c r="CL525" s="302"/>
      <c r="CM525" s="94"/>
      <c r="CN525" s="302"/>
      <c r="CO525" s="94"/>
      <c r="CP525" s="302"/>
      <c r="CQ525" s="533"/>
      <c r="CR525" s="302"/>
      <c r="CS525" s="94"/>
      <c r="CT525" s="302"/>
      <c r="CU525" s="94"/>
      <c r="CV525" s="302"/>
      <c r="CW525" s="94"/>
      <c r="CX525" s="302"/>
      <c r="CY525" s="94"/>
      <c r="CZ525" s="302"/>
      <c r="DA525" s="94"/>
      <c r="DB525" s="302"/>
      <c r="DC525" s="94"/>
      <c r="DD525" s="302"/>
      <c r="DE525" s="94"/>
      <c r="DF525" s="302"/>
      <c r="DG525" s="94"/>
      <c r="DH525" s="302"/>
      <c r="DI525" s="94"/>
      <c r="DJ525" s="302"/>
      <c r="DK525" s="94"/>
      <c r="DL525" s="302"/>
      <c r="DM525" s="94"/>
      <c r="DN525" s="302"/>
      <c r="DO525" s="94"/>
      <c r="DP525" s="302"/>
      <c r="DQ525" s="94"/>
      <c r="DR525" s="302"/>
      <c r="DS525" s="101"/>
      <c r="DT525" s="302"/>
      <c r="DU525" s="101"/>
      <c r="DV525" s="302"/>
      <c r="DW525" s="101"/>
      <c r="DX525" s="302"/>
      <c r="DY525" s="101"/>
      <c r="DZ525" s="302"/>
      <c r="EA525" s="101"/>
      <c r="EB525" s="101"/>
      <c r="EC525" s="101"/>
      <c r="ED525" s="101"/>
      <c r="EE525" s="101"/>
      <c r="EF525" s="101"/>
      <c r="EG525" s="101"/>
      <c r="EH525" s="101"/>
      <c r="EI525" s="101"/>
      <c r="EJ525" s="101"/>
      <c r="EK525" s="101"/>
      <c r="EL525" s="94"/>
      <c r="EM525" s="101"/>
      <c r="EN525" s="94"/>
      <c r="EO525" s="101"/>
      <c r="EP525" s="302"/>
      <c r="EQ525" s="101"/>
      <c r="ER525" s="302"/>
      <c r="ES525" s="101"/>
      <c r="ET525" s="302"/>
      <c r="EU525" s="101"/>
      <c r="EV525" s="302"/>
      <c r="EW525" s="101"/>
      <c r="EX525" s="302"/>
      <c r="EY525" s="244"/>
      <c r="EZ525" s="594"/>
      <c r="FA525" s="405"/>
      <c r="FB525" s="244"/>
      <c r="FC525" s="302"/>
      <c r="FD525" s="243"/>
      <c r="FE525" s="302"/>
      <c r="FF525" s="95"/>
      <c r="FG525" s="302"/>
      <c r="FH525" s="95"/>
      <c r="FI525" s="302"/>
      <c r="FJ525" s="95"/>
      <c r="FK525" s="302"/>
      <c r="FL525" s="95"/>
      <c r="FM525" s="302"/>
      <c r="FN525" s="95"/>
      <c r="FO525" s="302"/>
      <c r="FP525" s="95"/>
      <c r="FQ525" s="302"/>
      <c r="FR525" s="245"/>
      <c r="FS525" s="303"/>
      <c r="FT525" s="245"/>
      <c r="FU525" s="303"/>
      <c r="FV525" s="245"/>
      <c r="FW525" s="302"/>
      <c r="FX525" s="480"/>
      <c r="FY525" s="302"/>
      <c r="FZ525" s="245"/>
      <c r="GA525" s="302"/>
      <c r="GB525" s="480"/>
      <c r="GC525" s="302"/>
      <c r="GD525" s="245"/>
      <c r="GE525" s="302"/>
      <c r="GF525" s="245"/>
      <c r="GG525" s="302"/>
      <c r="GH525" s="245"/>
      <c r="GI525" s="302"/>
      <c r="GJ525" s="245"/>
      <c r="GK525" s="302"/>
      <c r="GL525" s="245"/>
      <c r="GM525" s="302"/>
      <c r="GN525" s="245"/>
      <c r="GO525" s="302"/>
      <c r="GP525" s="245"/>
      <c r="GQ525" s="302"/>
      <c r="GR525" s="101"/>
      <c r="GS525" s="302"/>
      <c r="GT525" s="101"/>
      <c r="GU525" s="302"/>
      <c r="GV525" s="101"/>
      <c r="GW525" s="302"/>
      <c r="GX525" s="101"/>
      <c r="GY525" s="302"/>
      <c r="GZ525" s="302"/>
      <c r="HA525" s="302"/>
      <c r="HC525"/>
      <c r="HD525"/>
      <c r="HE525"/>
      <c r="HF525"/>
      <c r="HG525"/>
      <c r="HH525"/>
    </row>
    <row r="526" spans="2:217" s="10" customFormat="1" ht="12.75" customHeight="1" x14ac:dyDescent="0.2">
      <c r="B526" s="310" t="s">
        <v>88</v>
      </c>
      <c r="C526" s="243"/>
      <c r="D526" s="302"/>
      <c r="E526" s="243"/>
      <c r="F526" s="302"/>
      <c r="G526" s="243"/>
      <c r="H526" s="302"/>
      <c r="I526" s="243"/>
      <c r="J526" s="302"/>
      <c r="K526" s="243"/>
      <c r="L526" s="302"/>
      <c r="M526" s="243"/>
      <c r="N526" s="302"/>
      <c r="O526" s="243"/>
      <c r="P526" s="302"/>
      <c r="Q526" s="243"/>
      <c r="R526" s="302"/>
      <c r="S526" s="243"/>
      <c r="T526" s="302"/>
      <c r="U526" s="243"/>
      <c r="V526" s="302"/>
      <c r="W526" s="243"/>
      <c r="X526" s="302"/>
      <c r="Y526" s="243"/>
      <c r="Z526" s="302"/>
      <c r="AA526" s="243"/>
      <c r="AB526" s="302"/>
      <c r="AC526" s="243"/>
      <c r="AD526" s="302"/>
      <c r="AE526" s="243"/>
      <c r="AF526" s="302"/>
      <c r="AG526" s="94"/>
      <c r="AH526" s="302"/>
      <c r="AI526" s="94"/>
      <c r="AJ526" s="302"/>
      <c r="AK526" s="94"/>
      <c r="AL526" s="302"/>
      <c r="AM526" s="94"/>
      <c r="AN526" s="302"/>
      <c r="AO526" s="94"/>
      <c r="AP526" s="302"/>
      <c r="AQ526" s="94"/>
      <c r="AR526" s="302"/>
      <c r="AS526" s="94"/>
      <c r="AT526" s="302"/>
      <c r="AU526" s="94"/>
      <c r="AV526" s="302"/>
      <c r="AW526" s="94"/>
      <c r="AX526" s="302"/>
      <c r="AY526" s="94"/>
      <c r="AZ526" s="302"/>
      <c r="BA526" s="94"/>
      <c r="BB526" s="302"/>
      <c r="BC526" s="94"/>
      <c r="BD526" s="302"/>
      <c r="BE526" s="94"/>
      <c r="BF526" s="302"/>
      <c r="BG526" s="94"/>
      <c r="BH526" s="302"/>
      <c r="BI526" s="94"/>
      <c r="BJ526" s="302"/>
      <c r="BK526" s="94"/>
      <c r="BL526" s="302"/>
      <c r="BM526" s="94"/>
      <c r="BN526" s="302"/>
      <c r="BO526" s="94"/>
      <c r="BP526" s="302"/>
      <c r="BQ526" s="94"/>
      <c r="BR526" s="302"/>
      <c r="BS526" s="94"/>
      <c r="BT526" s="302"/>
      <c r="BU526" s="94"/>
      <c r="BV526" s="302"/>
      <c r="BW526" s="94"/>
      <c r="BX526" s="302"/>
      <c r="BY526" s="94"/>
      <c r="BZ526" s="302"/>
      <c r="CA526" s="94"/>
      <c r="CB526" s="302"/>
      <c r="CC526" s="94"/>
      <c r="CD526" s="302"/>
      <c r="CE526" s="94"/>
      <c r="CF526" s="302"/>
      <c r="CG526" s="94"/>
      <c r="CH526" s="302"/>
      <c r="CI526" s="94"/>
      <c r="CJ526" s="302"/>
      <c r="CK526" s="94"/>
      <c r="CL526" s="302"/>
      <c r="CM526" s="94"/>
      <c r="CN526" s="302"/>
      <c r="CO526" s="94"/>
      <c r="CP526" s="302"/>
      <c r="CQ526" s="533"/>
      <c r="CR526" s="302"/>
      <c r="CS526" s="94"/>
      <c r="CT526" s="302"/>
      <c r="CU526" s="94"/>
      <c r="CV526" s="302"/>
      <c r="CW526" s="94"/>
      <c r="CX526" s="302"/>
      <c r="CY526" s="94"/>
      <c r="CZ526" s="302"/>
      <c r="DA526" s="94"/>
      <c r="DB526" s="302"/>
      <c r="DC526" s="94"/>
      <c r="DD526" s="302"/>
      <c r="DE526" s="94"/>
      <c r="DF526" s="302"/>
      <c r="DG526" s="94"/>
      <c r="DH526" s="302"/>
      <c r="DI526" s="94"/>
      <c r="DJ526" s="302"/>
      <c r="DK526" s="94"/>
      <c r="DL526" s="302"/>
      <c r="DM526" s="94"/>
      <c r="DN526" s="302"/>
      <c r="DO526" s="94"/>
      <c r="DP526" s="302"/>
      <c r="DQ526" s="94"/>
      <c r="DR526" s="302"/>
      <c r="DS526" s="101">
        <v>3</v>
      </c>
      <c r="DT526" s="302"/>
      <c r="DU526" s="101">
        <v>-34</v>
      </c>
      <c r="DV526" s="302"/>
      <c r="DW526" s="101">
        <v>-72</v>
      </c>
      <c r="DX526" s="302"/>
      <c r="DY526" s="101">
        <v>-72</v>
      </c>
      <c r="DZ526" s="302"/>
      <c r="EA526" s="101">
        <v>-14</v>
      </c>
      <c r="EB526" s="101"/>
      <c r="EC526" s="101">
        <v>6</v>
      </c>
      <c r="ED526" s="101"/>
      <c r="EE526" s="101">
        <v>31</v>
      </c>
      <c r="EF526" s="101"/>
      <c r="EG526" s="101">
        <v>18</v>
      </c>
      <c r="EH526" s="101"/>
      <c r="EI526" s="101">
        <v>25</v>
      </c>
      <c r="EJ526" s="101"/>
      <c r="EK526" s="101">
        <v>1</v>
      </c>
      <c r="EL526" s="94"/>
      <c r="EM526" s="101">
        <v>7</v>
      </c>
      <c r="EN526" s="94"/>
      <c r="EO526" s="101">
        <v>-7</v>
      </c>
      <c r="EP526" s="302"/>
      <c r="EQ526" s="101">
        <v>6</v>
      </c>
      <c r="ER526" s="302"/>
      <c r="ES526" s="101">
        <f t="shared" ref="ES526" si="3249">EQ526/EQ519*ES519</f>
        <v>6.06</v>
      </c>
      <c r="ET526" s="302"/>
      <c r="EU526" s="101">
        <f t="shared" ref="EU526" si="3250">ES526/ES519*EU519</f>
        <v>6.1205999999999996</v>
      </c>
      <c r="EV526" s="302"/>
      <c r="EW526" s="101">
        <f t="shared" ref="EW526" si="3251">EU526/EU519*EW519</f>
        <v>6.1818059999999999</v>
      </c>
      <c r="EX526" s="302"/>
      <c r="EY526" s="244"/>
      <c r="EZ526" s="594"/>
      <c r="FA526" s="405"/>
      <c r="FB526" s="244"/>
      <c r="FC526" s="302"/>
      <c r="FD526" s="243"/>
      <c r="FE526" s="302"/>
      <c r="FF526" s="95"/>
      <c r="FG526" s="302"/>
      <c r="FH526" s="95"/>
      <c r="FI526" s="302"/>
      <c r="FJ526" s="95"/>
      <c r="FK526" s="302"/>
      <c r="FL526" s="95"/>
      <c r="FM526" s="302"/>
      <c r="FN526" s="95"/>
      <c r="FO526" s="302"/>
      <c r="FP526" s="95"/>
      <c r="FQ526" s="302"/>
      <c r="FR526" s="245"/>
      <c r="FS526" s="303"/>
      <c r="FT526" s="245"/>
      <c r="FU526" s="303"/>
      <c r="FV526" s="245"/>
      <c r="FW526" s="302"/>
      <c r="FX526" s="480"/>
      <c r="FY526" s="302"/>
      <c r="FZ526" s="245"/>
      <c r="GA526" s="302"/>
      <c r="GB526" s="480"/>
      <c r="GC526" s="302"/>
      <c r="GD526" s="245"/>
      <c r="GE526" s="302"/>
      <c r="GF526" s="245"/>
      <c r="GG526" s="302"/>
      <c r="GH526" s="245"/>
      <c r="GI526" s="302"/>
      <c r="GJ526" s="100">
        <f>DS526+DU526+DW526+DY526</f>
        <v>-175</v>
      </c>
      <c r="GK526" s="302"/>
      <c r="GL526" s="100">
        <f t="shared" ref="GL526:GL530" si="3252">EA526+EC526+EE526+EG526</f>
        <v>41</v>
      </c>
      <c r="GM526" s="302"/>
      <c r="GN526" s="100">
        <f t="shared" ref="GN526:GN530" si="3253">EI526+EK526+EM526+EO526</f>
        <v>26</v>
      </c>
      <c r="GO526" s="302"/>
      <c r="GP526" s="100">
        <f t="shared" ref="GP526:GP530" si="3254">EQ526+ES526+EU526+EW526</f>
        <v>24.362406</v>
      </c>
      <c r="GQ526" s="302"/>
      <c r="GR526" s="101">
        <f>GP526/GP519*GR519</f>
        <v>24.606030059999998</v>
      </c>
      <c r="GS526" s="302"/>
      <c r="GT526" s="101">
        <f>GR526/GR519*GT519</f>
        <v>24.852090360599998</v>
      </c>
      <c r="GU526" s="302"/>
      <c r="GV526" s="101">
        <f>GT526/GT519*GV519</f>
        <v>25.100611264205998</v>
      </c>
      <c r="GW526" s="302"/>
      <c r="GX526" s="101">
        <f>GV526/GV519*GX519</f>
        <v>25.351617376848058</v>
      </c>
      <c r="GY526" s="302"/>
      <c r="GZ526" s="98" t="s">
        <v>494</v>
      </c>
      <c r="HA526" s="302"/>
      <c r="HC526"/>
      <c r="HD526"/>
      <c r="HE526"/>
      <c r="HF526"/>
      <c r="HG526"/>
      <c r="HH526"/>
    </row>
    <row r="527" spans="2:217" s="10" customFormat="1" ht="12.75" customHeight="1" x14ac:dyDescent="0.2">
      <c r="B527" s="310" t="s">
        <v>74</v>
      </c>
      <c r="C527" s="243"/>
      <c r="D527" s="302"/>
      <c r="E527" s="243"/>
      <c r="F527" s="302"/>
      <c r="G527" s="243"/>
      <c r="H527" s="302"/>
      <c r="I527" s="243"/>
      <c r="J527" s="302"/>
      <c r="K527" s="243"/>
      <c r="L527" s="302"/>
      <c r="M527" s="243"/>
      <c r="N527" s="302"/>
      <c r="O527" s="243"/>
      <c r="P527" s="302"/>
      <c r="Q527" s="243"/>
      <c r="R527" s="302"/>
      <c r="S527" s="243"/>
      <c r="T527" s="302"/>
      <c r="U527" s="243"/>
      <c r="V527" s="302"/>
      <c r="W527" s="243"/>
      <c r="X527" s="302"/>
      <c r="Y527" s="243"/>
      <c r="Z527" s="302"/>
      <c r="AA527" s="243"/>
      <c r="AB527" s="302"/>
      <c r="AC527" s="243"/>
      <c r="AD527" s="302"/>
      <c r="AE527" s="243"/>
      <c r="AF527" s="302"/>
      <c r="AG527" s="94"/>
      <c r="AH527" s="302"/>
      <c r="AI527" s="94"/>
      <c r="AJ527" s="302"/>
      <c r="AK527" s="94"/>
      <c r="AL527" s="302"/>
      <c r="AM527" s="94"/>
      <c r="AN527" s="302"/>
      <c r="AO527" s="94"/>
      <c r="AP527" s="302"/>
      <c r="AQ527" s="94"/>
      <c r="AR527" s="302"/>
      <c r="AS527" s="94"/>
      <c r="AT527" s="302"/>
      <c r="AU527" s="94"/>
      <c r="AV527" s="302"/>
      <c r="AW527" s="94"/>
      <c r="AX527" s="302"/>
      <c r="AY527" s="94"/>
      <c r="AZ527" s="302"/>
      <c r="BA527" s="94"/>
      <c r="BB527" s="302"/>
      <c r="BC527" s="94"/>
      <c r="BD527" s="302"/>
      <c r="BE527" s="94"/>
      <c r="BF527" s="302"/>
      <c r="BG527" s="94"/>
      <c r="BH527" s="302"/>
      <c r="BI527" s="94"/>
      <c r="BJ527" s="302"/>
      <c r="BK527" s="94"/>
      <c r="BL527" s="302"/>
      <c r="BM527" s="94"/>
      <c r="BN527" s="302"/>
      <c r="BO527" s="94"/>
      <c r="BP527" s="302"/>
      <c r="BQ527" s="94"/>
      <c r="BR527" s="302"/>
      <c r="BS527" s="94"/>
      <c r="BT527" s="302"/>
      <c r="BU527" s="94"/>
      <c r="BV527" s="302"/>
      <c r="BW527" s="94"/>
      <c r="BX527" s="302"/>
      <c r="BY527" s="94"/>
      <c r="BZ527" s="302"/>
      <c r="CA527" s="94"/>
      <c r="CB527" s="302"/>
      <c r="CC527" s="94"/>
      <c r="CD527" s="302"/>
      <c r="CE527" s="94"/>
      <c r="CF527" s="302"/>
      <c r="CG527" s="94"/>
      <c r="CH527" s="302"/>
      <c r="CI527" s="94"/>
      <c r="CJ527" s="302"/>
      <c r="CK527" s="94"/>
      <c r="CL527" s="302"/>
      <c r="CM527" s="94"/>
      <c r="CN527" s="302"/>
      <c r="CO527" s="94"/>
      <c r="CP527" s="302"/>
      <c r="CQ527" s="533"/>
      <c r="CR527" s="302"/>
      <c r="CS527" s="94"/>
      <c r="CT527" s="302"/>
      <c r="CU527" s="94"/>
      <c r="CV527" s="302"/>
      <c r="CW527" s="94"/>
      <c r="CX527" s="302"/>
      <c r="CY527" s="94"/>
      <c r="CZ527" s="302"/>
      <c r="DA527" s="94"/>
      <c r="DB527" s="302"/>
      <c r="DC527" s="94"/>
      <c r="DD527" s="302"/>
      <c r="DE527" s="94"/>
      <c r="DF527" s="302"/>
      <c r="DG527" s="94"/>
      <c r="DH527" s="302"/>
      <c r="DI527" s="94"/>
      <c r="DJ527" s="302"/>
      <c r="DK527" s="94"/>
      <c r="DL527" s="302"/>
      <c r="DM527" s="94"/>
      <c r="DN527" s="302"/>
      <c r="DO527" s="94"/>
      <c r="DP527" s="302"/>
      <c r="DQ527" s="94"/>
      <c r="DR527" s="302"/>
      <c r="DS527" s="101">
        <v>6</v>
      </c>
      <c r="DT527" s="302"/>
      <c r="DU527" s="101">
        <v>8</v>
      </c>
      <c r="DV527" s="302"/>
      <c r="DW527" s="101">
        <v>6</v>
      </c>
      <c r="DX527" s="302"/>
      <c r="DY527" s="101">
        <v>3</v>
      </c>
      <c r="DZ527" s="302"/>
      <c r="EA527" s="101">
        <v>3</v>
      </c>
      <c r="EB527" s="101"/>
      <c r="EC527" s="101">
        <v>3</v>
      </c>
      <c r="ED527" s="101"/>
      <c r="EE527" s="101">
        <v>-1</v>
      </c>
      <c r="EF527" s="101"/>
      <c r="EG527" s="101">
        <v>1</v>
      </c>
      <c r="EH527" s="101"/>
      <c r="EI527" s="101">
        <v>1</v>
      </c>
      <c r="EJ527" s="101"/>
      <c r="EK527" s="101">
        <v>0</v>
      </c>
      <c r="EL527" s="94"/>
      <c r="EM527" s="101">
        <v>0</v>
      </c>
      <c r="EN527" s="94"/>
      <c r="EO527" s="101">
        <v>0</v>
      </c>
      <c r="EP527" s="302"/>
      <c r="EQ527" s="101">
        <f>EO527</f>
        <v>0</v>
      </c>
      <c r="ER527" s="302"/>
      <c r="ES527" s="101">
        <f t="shared" ref="ES527" si="3255">EQ527</f>
        <v>0</v>
      </c>
      <c r="ET527" s="302"/>
      <c r="EU527" s="101">
        <f t="shared" ref="EU527" si="3256">ES527</f>
        <v>0</v>
      </c>
      <c r="EV527" s="302"/>
      <c r="EW527" s="101">
        <f t="shared" ref="EW527" si="3257">EU527</f>
        <v>0</v>
      </c>
      <c r="EX527" s="302"/>
      <c r="EY527" s="244"/>
      <c r="EZ527" s="594"/>
      <c r="FA527" s="405"/>
      <c r="FB527" s="244"/>
      <c r="FC527" s="302"/>
      <c r="FD527" s="243"/>
      <c r="FE527" s="302"/>
      <c r="FF527" s="95"/>
      <c r="FG527" s="302"/>
      <c r="FH527" s="95"/>
      <c r="FI527" s="302"/>
      <c r="FJ527" s="95"/>
      <c r="FK527" s="302"/>
      <c r="FL527" s="95"/>
      <c r="FM527" s="302"/>
      <c r="FN527" s="95"/>
      <c r="FO527" s="302"/>
      <c r="FP527" s="95"/>
      <c r="FQ527" s="302"/>
      <c r="FR527" s="245"/>
      <c r="FS527" s="303"/>
      <c r="FT527" s="245"/>
      <c r="FU527" s="303"/>
      <c r="FV527" s="245"/>
      <c r="FW527" s="302"/>
      <c r="FX527" s="480"/>
      <c r="FY527" s="302"/>
      <c r="FZ527" s="245"/>
      <c r="GA527" s="302"/>
      <c r="GB527" s="480"/>
      <c r="GC527" s="302"/>
      <c r="GD527" s="245"/>
      <c r="GE527" s="302"/>
      <c r="GF527" s="245"/>
      <c r="GG527" s="302"/>
      <c r="GH527" s="245"/>
      <c r="GI527" s="302"/>
      <c r="GJ527" s="100">
        <f>DS527+DU527+DW527+DY527</f>
        <v>23</v>
      </c>
      <c r="GK527" s="302"/>
      <c r="GL527" s="100">
        <f t="shared" si="3252"/>
        <v>6</v>
      </c>
      <c r="GM527" s="302"/>
      <c r="GN527" s="100">
        <f t="shared" si="3253"/>
        <v>1</v>
      </c>
      <c r="GO527" s="302"/>
      <c r="GP527" s="100">
        <f t="shared" si="3254"/>
        <v>0</v>
      </c>
      <c r="GQ527" s="302"/>
      <c r="GR527" s="101">
        <f>GP527</f>
        <v>0</v>
      </c>
      <c r="GS527" s="302"/>
      <c r="GT527" s="101">
        <f>GR527</f>
        <v>0</v>
      </c>
      <c r="GU527" s="302"/>
      <c r="GV527" s="101">
        <f>GT527</f>
        <v>0</v>
      </c>
      <c r="GW527" s="302"/>
      <c r="GX527" s="101">
        <f>GV527</f>
        <v>0</v>
      </c>
      <c r="GY527" s="302"/>
      <c r="GZ527" s="98" t="s">
        <v>494</v>
      </c>
      <c r="HA527" s="302"/>
      <c r="HC527"/>
      <c r="HD527"/>
      <c r="HE527"/>
      <c r="HF527"/>
      <c r="HG527"/>
      <c r="HH527"/>
    </row>
    <row r="528" spans="2:217" s="10" customFormat="1" ht="12.75" customHeight="1" x14ac:dyDescent="0.2">
      <c r="B528" s="310" t="s">
        <v>89</v>
      </c>
      <c r="C528" s="243"/>
      <c r="D528" s="302"/>
      <c r="E528" s="243"/>
      <c r="F528" s="302"/>
      <c r="G528" s="243"/>
      <c r="H528" s="302"/>
      <c r="I528" s="243"/>
      <c r="J528" s="302"/>
      <c r="K528" s="243"/>
      <c r="L528" s="302"/>
      <c r="M528" s="243"/>
      <c r="N528" s="302"/>
      <c r="O528" s="243"/>
      <c r="P528" s="302"/>
      <c r="Q528" s="243"/>
      <c r="R528" s="302"/>
      <c r="S528" s="243"/>
      <c r="T528" s="302"/>
      <c r="U528" s="243"/>
      <c r="V528" s="302"/>
      <c r="W528" s="243"/>
      <c r="X528" s="302"/>
      <c r="Y528" s="243"/>
      <c r="Z528" s="302"/>
      <c r="AA528" s="243"/>
      <c r="AB528" s="302"/>
      <c r="AC528" s="243"/>
      <c r="AD528" s="302"/>
      <c r="AE528" s="243"/>
      <c r="AF528" s="302"/>
      <c r="AG528" s="94"/>
      <c r="AH528" s="302"/>
      <c r="AI528" s="94"/>
      <c r="AJ528" s="302"/>
      <c r="AK528" s="94"/>
      <c r="AL528" s="302"/>
      <c r="AM528" s="94"/>
      <c r="AN528" s="302"/>
      <c r="AO528" s="94"/>
      <c r="AP528" s="302"/>
      <c r="AQ528" s="94"/>
      <c r="AR528" s="302"/>
      <c r="AS528" s="94"/>
      <c r="AT528" s="302"/>
      <c r="AU528" s="94"/>
      <c r="AV528" s="302"/>
      <c r="AW528" s="94"/>
      <c r="AX528" s="302"/>
      <c r="AY528" s="94"/>
      <c r="AZ528" s="302"/>
      <c r="BA528" s="94"/>
      <c r="BB528" s="302"/>
      <c r="BC528" s="94"/>
      <c r="BD528" s="302"/>
      <c r="BE528" s="94"/>
      <c r="BF528" s="302"/>
      <c r="BG528" s="94"/>
      <c r="BH528" s="302"/>
      <c r="BI528" s="94"/>
      <c r="BJ528" s="302"/>
      <c r="BK528" s="94"/>
      <c r="BL528" s="302"/>
      <c r="BM528" s="94"/>
      <c r="BN528" s="302"/>
      <c r="BO528" s="94"/>
      <c r="BP528" s="302"/>
      <c r="BQ528" s="94"/>
      <c r="BR528" s="302"/>
      <c r="BS528" s="94"/>
      <c r="BT528" s="302"/>
      <c r="BU528" s="94"/>
      <c r="BV528" s="302"/>
      <c r="BW528" s="94"/>
      <c r="BX528" s="302"/>
      <c r="BY528" s="94"/>
      <c r="BZ528" s="302"/>
      <c r="CA528" s="94"/>
      <c r="CB528" s="302"/>
      <c r="CC528" s="94"/>
      <c r="CD528" s="302"/>
      <c r="CE528" s="94"/>
      <c r="CF528" s="302"/>
      <c r="CG528" s="94"/>
      <c r="CH528" s="302"/>
      <c r="CI528" s="94"/>
      <c r="CJ528" s="302"/>
      <c r="CK528" s="94"/>
      <c r="CL528" s="302"/>
      <c r="CM528" s="94"/>
      <c r="CN528" s="302"/>
      <c r="CO528" s="94"/>
      <c r="CP528" s="302"/>
      <c r="CQ528" s="533"/>
      <c r="CR528" s="302"/>
      <c r="CS528" s="94"/>
      <c r="CT528" s="302"/>
      <c r="CU528" s="94"/>
      <c r="CV528" s="302"/>
      <c r="CW528" s="94"/>
      <c r="CX528" s="302"/>
      <c r="CY528" s="94"/>
      <c r="CZ528" s="302"/>
      <c r="DA528" s="94"/>
      <c r="DB528" s="302"/>
      <c r="DC528" s="94"/>
      <c r="DD528" s="302"/>
      <c r="DE528" s="94"/>
      <c r="DF528" s="302"/>
      <c r="DG528" s="94"/>
      <c r="DH528" s="302"/>
      <c r="DI528" s="94"/>
      <c r="DJ528" s="302"/>
      <c r="DK528" s="94"/>
      <c r="DL528" s="302"/>
      <c r="DM528" s="94"/>
      <c r="DN528" s="302"/>
      <c r="DO528" s="94"/>
      <c r="DP528" s="302"/>
      <c r="DQ528" s="94"/>
      <c r="DR528" s="302"/>
      <c r="DS528" s="101">
        <v>-7</v>
      </c>
      <c r="DT528" s="302"/>
      <c r="DU528" s="101">
        <v>54</v>
      </c>
      <c r="DV528" s="302"/>
      <c r="DW528" s="101">
        <v>361</v>
      </c>
      <c r="DX528" s="302"/>
      <c r="DY528" s="101">
        <v>26</v>
      </c>
      <c r="DZ528" s="302"/>
      <c r="EA528" s="101">
        <f>166</f>
        <v>166</v>
      </c>
      <c r="EB528" s="101"/>
      <c r="EC528" s="101">
        <f>150</f>
        <v>150</v>
      </c>
      <c r="ED528" s="101"/>
      <c r="EE528" s="101">
        <f>85</f>
        <v>85</v>
      </c>
      <c r="EF528" s="101"/>
      <c r="EG528" s="101">
        <f>229</f>
        <v>229</v>
      </c>
      <c r="EH528" s="101"/>
      <c r="EI528" s="101">
        <f>175</f>
        <v>175</v>
      </c>
      <c r="EJ528" s="101"/>
      <c r="EK528" s="101">
        <f>202</f>
        <v>202</v>
      </c>
      <c r="EL528" s="94"/>
      <c r="EM528" s="101">
        <f>237</f>
        <v>237</v>
      </c>
      <c r="EN528" s="94"/>
      <c r="EO528" s="101">
        <f>280</f>
        <v>280</v>
      </c>
      <c r="EP528" s="302"/>
      <c r="EQ528" s="101">
        <v>195</v>
      </c>
      <c r="ER528" s="302"/>
      <c r="ES528" s="101">
        <f t="shared" ref="ES528" si="3258">EQ528/EQ519*ES519</f>
        <v>196.95</v>
      </c>
      <c r="ET528" s="302"/>
      <c r="EU528" s="101">
        <f t="shared" ref="EU528" si="3259">ES528/ES519*EU519</f>
        <v>198.9195</v>
      </c>
      <c r="EV528" s="302"/>
      <c r="EW528" s="101">
        <f t="shared" ref="EW528" si="3260">EU528/EU519*EW519</f>
        <v>200.90869499999999</v>
      </c>
      <c r="EX528" s="302"/>
      <c r="EY528" s="244"/>
      <c r="EZ528" s="594"/>
      <c r="FA528" s="405"/>
      <c r="FB528" s="244"/>
      <c r="FC528" s="302"/>
      <c r="FD528" s="243"/>
      <c r="FE528" s="302"/>
      <c r="FF528" s="95"/>
      <c r="FG528" s="302"/>
      <c r="FH528" s="95"/>
      <c r="FI528" s="302"/>
      <c r="FJ528" s="95"/>
      <c r="FK528" s="302"/>
      <c r="FL528" s="95"/>
      <c r="FM528" s="302"/>
      <c r="FN528" s="95"/>
      <c r="FO528" s="302"/>
      <c r="FP528" s="95"/>
      <c r="FQ528" s="302"/>
      <c r="FR528" s="245"/>
      <c r="FS528" s="303"/>
      <c r="FT528" s="245"/>
      <c r="FU528" s="303"/>
      <c r="FV528" s="245"/>
      <c r="FW528" s="302"/>
      <c r="FX528" s="480"/>
      <c r="FY528" s="302"/>
      <c r="FZ528" s="245"/>
      <c r="GA528" s="302"/>
      <c r="GB528" s="480"/>
      <c r="GC528" s="302"/>
      <c r="GD528" s="245"/>
      <c r="GE528" s="302"/>
      <c r="GF528" s="245"/>
      <c r="GG528" s="302"/>
      <c r="GH528" s="245"/>
      <c r="GI528" s="302"/>
      <c r="GJ528" s="100">
        <f>DS528+DU528+DW528+DY528</f>
        <v>434</v>
      </c>
      <c r="GK528" s="302"/>
      <c r="GL528" s="100">
        <f t="shared" si="3252"/>
        <v>630</v>
      </c>
      <c r="GM528" s="302"/>
      <c r="GN528" s="100">
        <f t="shared" si="3253"/>
        <v>894</v>
      </c>
      <c r="GO528" s="302"/>
      <c r="GP528" s="100">
        <f t="shared" si="3254"/>
        <v>791.77819499999998</v>
      </c>
      <c r="GQ528" s="302"/>
      <c r="GR528" s="101">
        <f>GP528*0.98</f>
        <v>775.94263109999997</v>
      </c>
      <c r="GS528" s="302"/>
      <c r="GT528" s="101">
        <f>GR528*0.98</f>
        <v>760.42377847799992</v>
      </c>
      <c r="GU528" s="302"/>
      <c r="GV528" s="101">
        <f>GT528*0.98</f>
        <v>745.21530290843987</v>
      </c>
      <c r="GW528" s="302"/>
      <c r="GX528" s="101">
        <f>GV528*0.98</f>
        <v>730.31099685027107</v>
      </c>
      <c r="GY528" s="302"/>
      <c r="GZ528" s="98" t="s">
        <v>494</v>
      </c>
      <c r="HA528" s="302"/>
      <c r="HC528"/>
      <c r="HD528"/>
      <c r="HE528"/>
      <c r="HF528"/>
      <c r="HG528"/>
      <c r="HH528"/>
    </row>
    <row r="529" spans="1:217" s="10" customFormat="1" ht="12.75" customHeight="1" x14ac:dyDescent="0.2">
      <c r="B529" s="310" t="s">
        <v>291</v>
      </c>
      <c r="C529" s="243"/>
      <c r="D529" s="302"/>
      <c r="E529" s="243"/>
      <c r="F529" s="302"/>
      <c r="G529" s="243"/>
      <c r="H529" s="302"/>
      <c r="I529" s="243"/>
      <c r="J529" s="302"/>
      <c r="K529" s="243"/>
      <c r="L529" s="302"/>
      <c r="M529" s="243"/>
      <c r="N529" s="302"/>
      <c r="O529" s="243"/>
      <c r="P529" s="302"/>
      <c r="Q529" s="243"/>
      <c r="R529" s="302"/>
      <c r="S529" s="243"/>
      <c r="T529" s="302"/>
      <c r="U529" s="243"/>
      <c r="V529" s="302"/>
      <c r="W529" s="243"/>
      <c r="X529" s="302"/>
      <c r="Y529" s="243"/>
      <c r="Z529" s="302"/>
      <c r="AA529" s="243"/>
      <c r="AB529" s="302"/>
      <c r="AC529" s="243"/>
      <c r="AD529" s="302"/>
      <c r="AE529" s="243"/>
      <c r="AF529" s="302"/>
      <c r="AG529" s="94"/>
      <c r="AH529" s="302"/>
      <c r="AI529" s="94"/>
      <c r="AJ529" s="302"/>
      <c r="AK529" s="94"/>
      <c r="AL529" s="302"/>
      <c r="AM529" s="94"/>
      <c r="AN529" s="302"/>
      <c r="AO529" s="94"/>
      <c r="AP529" s="302"/>
      <c r="AQ529" s="94"/>
      <c r="AR529" s="302"/>
      <c r="AS529" s="94"/>
      <c r="AT529" s="302"/>
      <c r="AU529" s="94"/>
      <c r="AV529" s="302"/>
      <c r="AW529" s="94"/>
      <c r="AX529" s="302"/>
      <c r="AY529" s="94"/>
      <c r="AZ529" s="302"/>
      <c r="BA529" s="94"/>
      <c r="BB529" s="302"/>
      <c r="BC529" s="94"/>
      <c r="BD529" s="302"/>
      <c r="BE529" s="94"/>
      <c r="BF529" s="302"/>
      <c r="BG529" s="94"/>
      <c r="BH529" s="302"/>
      <c r="BI529" s="94"/>
      <c r="BJ529" s="302"/>
      <c r="BK529" s="94"/>
      <c r="BL529" s="302"/>
      <c r="BM529" s="94"/>
      <c r="BN529" s="302"/>
      <c r="BO529" s="94"/>
      <c r="BP529" s="302"/>
      <c r="BQ529" s="94"/>
      <c r="BR529" s="302"/>
      <c r="BS529" s="94"/>
      <c r="BT529" s="302"/>
      <c r="BU529" s="94"/>
      <c r="BV529" s="302"/>
      <c r="BW529" s="94"/>
      <c r="BX529" s="302"/>
      <c r="BY529" s="94"/>
      <c r="BZ529" s="302"/>
      <c r="CA529" s="94"/>
      <c r="CB529" s="302"/>
      <c r="CC529" s="94"/>
      <c r="CD529" s="302"/>
      <c r="CE529" s="94"/>
      <c r="CF529" s="302"/>
      <c r="CG529" s="94"/>
      <c r="CH529" s="302"/>
      <c r="CI529" s="94"/>
      <c r="CJ529" s="302"/>
      <c r="CK529" s="94"/>
      <c r="CL529" s="302"/>
      <c r="CM529" s="94"/>
      <c r="CN529" s="302"/>
      <c r="CO529" s="94"/>
      <c r="CP529" s="302"/>
      <c r="CQ529" s="533"/>
      <c r="CR529" s="302"/>
      <c r="CS529" s="94"/>
      <c r="CT529" s="302"/>
      <c r="CU529" s="94"/>
      <c r="CV529" s="302"/>
      <c r="CW529" s="94"/>
      <c r="CX529" s="302"/>
      <c r="CY529" s="94"/>
      <c r="CZ529" s="302"/>
      <c r="DA529" s="94"/>
      <c r="DB529" s="302"/>
      <c r="DC529" s="94"/>
      <c r="DD529" s="302"/>
      <c r="DE529" s="94"/>
      <c r="DF529" s="302"/>
      <c r="DG529" s="94"/>
      <c r="DH529" s="302"/>
      <c r="DI529" s="94"/>
      <c r="DJ529" s="302"/>
      <c r="DK529" s="94"/>
      <c r="DL529" s="302"/>
      <c r="DM529" s="94"/>
      <c r="DN529" s="302"/>
      <c r="DO529" s="94"/>
      <c r="DP529" s="302"/>
      <c r="DQ529" s="94"/>
      <c r="DR529" s="302"/>
      <c r="DS529" s="101">
        <v>250</v>
      </c>
      <c r="DT529" s="302"/>
      <c r="DU529" s="101">
        <v>259</v>
      </c>
      <c r="DV529" s="302"/>
      <c r="DW529" s="101">
        <v>248</v>
      </c>
      <c r="DX529" s="302"/>
      <c r="DY529" s="101">
        <v>256</v>
      </c>
      <c r="DZ529" s="302"/>
      <c r="EA529" s="101">
        <v>299</v>
      </c>
      <c r="EB529" s="101"/>
      <c r="EC529" s="101">
        <v>288</v>
      </c>
      <c r="ED529" s="101"/>
      <c r="EE529" s="101">
        <v>275</v>
      </c>
      <c r="EF529" s="101"/>
      <c r="EG529" s="101">
        <v>277</v>
      </c>
      <c r="EH529" s="101"/>
      <c r="EI529" s="101">
        <v>277</v>
      </c>
      <c r="EJ529" s="101"/>
      <c r="EK529" s="101">
        <v>277</v>
      </c>
      <c r="EL529" s="94"/>
      <c r="EM529" s="101">
        <v>279</v>
      </c>
      <c r="EN529" s="94"/>
      <c r="EO529" s="101">
        <v>272</v>
      </c>
      <c r="EP529" s="302"/>
      <c r="EQ529" s="101">
        <f>EO529</f>
        <v>272</v>
      </c>
      <c r="ER529" s="302"/>
      <c r="ES529" s="101">
        <f t="shared" ref="ES529:ES530" si="3261">EQ529</f>
        <v>272</v>
      </c>
      <c r="ET529" s="302"/>
      <c r="EU529" s="101">
        <f t="shared" ref="EU529:EU530" si="3262">ES529</f>
        <v>272</v>
      </c>
      <c r="EV529" s="302"/>
      <c r="EW529" s="101">
        <f t="shared" ref="EW529:EW530" si="3263">EU529</f>
        <v>272</v>
      </c>
      <c r="EX529" s="302"/>
      <c r="EY529" s="244"/>
      <c r="EZ529" s="594"/>
      <c r="FA529" s="405"/>
      <c r="FB529" s="244"/>
      <c r="FC529" s="302"/>
      <c r="FD529" s="243"/>
      <c r="FE529" s="302"/>
      <c r="FF529" s="95"/>
      <c r="FG529" s="302"/>
      <c r="FH529" s="95"/>
      <c r="FI529" s="302"/>
      <c r="FJ529" s="95"/>
      <c r="FK529" s="302"/>
      <c r="FL529" s="95"/>
      <c r="FM529" s="302"/>
      <c r="FN529" s="95"/>
      <c r="FO529" s="302"/>
      <c r="FP529" s="95"/>
      <c r="FQ529" s="302"/>
      <c r="FR529" s="245"/>
      <c r="FS529" s="303"/>
      <c r="FT529" s="245"/>
      <c r="FU529" s="303"/>
      <c r="FV529" s="245"/>
      <c r="FW529" s="302"/>
      <c r="FX529" s="480"/>
      <c r="FY529" s="302"/>
      <c r="FZ529" s="245"/>
      <c r="GA529" s="302"/>
      <c r="GB529" s="480"/>
      <c r="GC529" s="302"/>
      <c r="GD529" s="245"/>
      <c r="GE529" s="302"/>
      <c r="GF529" s="245"/>
      <c r="GG529" s="302"/>
      <c r="GH529" s="245"/>
      <c r="GI529" s="302"/>
      <c r="GJ529" s="100">
        <f>DS529+DU529+DW529+DY529</f>
        <v>1013</v>
      </c>
      <c r="GK529" s="302"/>
      <c r="GL529" s="100">
        <f t="shared" si="3252"/>
        <v>1139</v>
      </c>
      <c r="GM529" s="302"/>
      <c r="GN529" s="100">
        <f t="shared" si="3253"/>
        <v>1105</v>
      </c>
      <c r="GO529" s="302"/>
      <c r="GP529" s="100">
        <f t="shared" si="3254"/>
        <v>1088</v>
      </c>
      <c r="GQ529" s="302"/>
      <c r="GR529" s="101">
        <f>GP529</f>
        <v>1088</v>
      </c>
      <c r="GS529" s="302"/>
      <c r="GT529" s="101">
        <f>GR529-125</f>
        <v>963</v>
      </c>
      <c r="GU529" s="302"/>
      <c r="GV529" s="101">
        <f>GT529</f>
        <v>963</v>
      </c>
      <c r="GW529" s="302"/>
      <c r="GX529" s="101">
        <f>GV529</f>
        <v>963</v>
      </c>
      <c r="GY529" s="302"/>
      <c r="GZ529" s="98" t="s">
        <v>494</v>
      </c>
      <c r="HA529" s="302"/>
      <c r="HC529"/>
      <c r="HD529"/>
      <c r="HE529"/>
      <c r="HF529"/>
      <c r="HG529"/>
      <c r="HH529"/>
    </row>
    <row r="530" spans="1:217" s="10" customFormat="1" ht="12.75" customHeight="1" x14ac:dyDescent="0.2">
      <c r="B530" s="310" t="s">
        <v>358</v>
      </c>
      <c r="C530" s="243"/>
      <c r="D530" s="302"/>
      <c r="E530" s="243"/>
      <c r="F530" s="302"/>
      <c r="G530" s="243"/>
      <c r="H530" s="302"/>
      <c r="I530" s="243"/>
      <c r="J530" s="302"/>
      <c r="K530" s="243"/>
      <c r="L530" s="302"/>
      <c r="M530" s="243"/>
      <c r="N530" s="302"/>
      <c r="O530" s="243"/>
      <c r="P530" s="302"/>
      <c r="Q530" s="243"/>
      <c r="R530" s="302"/>
      <c r="S530" s="243"/>
      <c r="T530" s="302"/>
      <c r="U530" s="243"/>
      <c r="V530" s="302"/>
      <c r="W530" s="243"/>
      <c r="X530" s="302"/>
      <c r="Y530" s="243"/>
      <c r="Z530" s="302"/>
      <c r="AA530" s="243"/>
      <c r="AB530" s="302"/>
      <c r="AC530" s="243"/>
      <c r="AD530" s="302"/>
      <c r="AE530" s="243"/>
      <c r="AF530" s="302"/>
      <c r="AG530" s="94"/>
      <c r="AH530" s="302"/>
      <c r="AI530" s="94"/>
      <c r="AJ530" s="302"/>
      <c r="AK530" s="94"/>
      <c r="AL530" s="302"/>
      <c r="AM530" s="94"/>
      <c r="AN530" s="302"/>
      <c r="AO530" s="94"/>
      <c r="AP530" s="302"/>
      <c r="AQ530" s="94"/>
      <c r="AR530" s="302"/>
      <c r="AS530" s="94"/>
      <c r="AT530" s="302"/>
      <c r="AU530" s="94"/>
      <c r="AV530" s="302"/>
      <c r="AW530" s="94"/>
      <c r="AX530" s="302"/>
      <c r="AY530" s="94"/>
      <c r="AZ530" s="302"/>
      <c r="BA530" s="94"/>
      <c r="BB530" s="302"/>
      <c r="BC530" s="94"/>
      <c r="BD530" s="302"/>
      <c r="BE530" s="94"/>
      <c r="BF530" s="302"/>
      <c r="BG530" s="94"/>
      <c r="BH530" s="302"/>
      <c r="BI530" s="94"/>
      <c r="BJ530" s="302"/>
      <c r="BK530" s="94"/>
      <c r="BL530" s="302"/>
      <c r="BM530" s="94"/>
      <c r="BN530" s="302"/>
      <c r="BO530" s="94"/>
      <c r="BP530" s="302"/>
      <c r="BQ530" s="94"/>
      <c r="BR530" s="302"/>
      <c r="BS530" s="94"/>
      <c r="BT530" s="302"/>
      <c r="BU530" s="94"/>
      <c r="BV530" s="302"/>
      <c r="BW530" s="94"/>
      <c r="BX530" s="302"/>
      <c r="BY530" s="94"/>
      <c r="BZ530" s="302"/>
      <c r="CA530" s="94"/>
      <c r="CB530" s="302"/>
      <c r="CC530" s="94"/>
      <c r="CD530" s="302"/>
      <c r="CE530" s="94"/>
      <c r="CF530" s="302"/>
      <c r="CG530" s="94"/>
      <c r="CH530" s="302"/>
      <c r="CI530" s="94"/>
      <c r="CJ530" s="302"/>
      <c r="CK530" s="94"/>
      <c r="CL530" s="302"/>
      <c r="CM530" s="94"/>
      <c r="CN530" s="302"/>
      <c r="CO530" s="94"/>
      <c r="CP530" s="302"/>
      <c r="CQ530" s="533"/>
      <c r="CR530" s="302"/>
      <c r="CS530" s="94"/>
      <c r="CT530" s="302"/>
      <c r="CU530" s="94"/>
      <c r="CV530" s="302"/>
      <c r="CW530" s="94"/>
      <c r="CX530" s="302"/>
      <c r="CY530" s="94"/>
      <c r="CZ530" s="302"/>
      <c r="DA530" s="94"/>
      <c r="DB530" s="302"/>
      <c r="DC530" s="94"/>
      <c r="DD530" s="302"/>
      <c r="DE530" s="94"/>
      <c r="DF530" s="302"/>
      <c r="DG530" s="94"/>
      <c r="DH530" s="302"/>
      <c r="DI530" s="94"/>
      <c r="DJ530" s="302"/>
      <c r="DK530" s="94"/>
      <c r="DL530" s="302"/>
      <c r="DM530" s="94"/>
      <c r="DN530" s="302"/>
      <c r="DO530" s="94"/>
      <c r="DP530" s="302"/>
      <c r="DQ530" s="94"/>
      <c r="DR530" s="302"/>
      <c r="DS530" s="101">
        <f>1-1</f>
        <v>0</v>
      </c>
      <c r="DT530" s="302"/>
      <c r="DU530" s="101">
        <v>1</v>
      </c>
      <c r="DV530" s="302"/>
      <c r="DW530" s="101">
        <f>-1-1</f>
        <v>-2</v>
      </c>
      <c r="DX530" s="302"/>
      <c r="DY530" s="101">
        <f>-2</f>
        <v>-2</v>
      </c>
      <c r="DZ530" s="302"/>
      <c r="EA530" s="101">
        <f>-4+2</f>
        <v>-2</v>
      </c>
      <c r="EB530" s="101"/>
      <c r="EC530" s="101">
        <f>-4+4</f>
        <v>0</v>
      </c>
      <c r="ED530" s="101"/>
      <c r="EE530" s="101">
        <f>1+1</f>
        <v>2</v>
      </c>
      <c r="EF530" s="101"/>
      <c r="EG530" s="101">
        <v>1</v>
      </c>
      <c r="EH530" s="101"/>
      <c r="EI530" s="101">
        <f>-1+1</f>
        <v>0</v>
      </c>
      <c r="EJ530" s="101"/>
      <c r="EK530" s="101">
        <f>-3+1</f>
        <v>-2</v>
      </c>
      <c r="EL530" s="94"/>
      <c r="EM530" s="101">
        <f>-2+3</f>
        <v>1</v>
      </c>
      <c r="EN530" s="94"/>
      <c r="EO530" s="101">
        <f>-2+1</f>
        <v>-1</v>
      </c>
      <c r="EP530" s="302"/>
      <c r="EQ530" s="101">
        <v>1</v>
      </c>
      <c r="ER530" s="302"/>
      <c r="ES530" s="101">
        <f t="shared" si="3261"/>
        <v>1</v>
      </c>
      <c r="ET530" s="302"/>
      <c r="EU530" s="101">
        <f t="shared" si="3262"/>
        <v>1</v>
      </c>
      <c r="EV530" s="302"/>
      <c r="EW530" s="101">
        <f t="shared" si="3263"/>
        <v>1</v>
      </c>
      <c r="EX530" s="302"/>
      <c r="EY530" s="244"/>
      <c r="EZ530" s="594"/>
      <c r="FA530" s="405"/>
      <c r="FB530" s="244"/>
      <c r="FC530" s="302"/>
      <c r="FD530" s="243"/>
      <c r="FE530" s="302"/>
      <c r="FF530" s="95"/>
      <c r="FG530" s="302"/>
      <c r="FH530" s="95"/>
      <c r="FI530" s="302"/>
      <c r="FJ530" s="95"/>
      <c r="FK530" s="302"/>
      <c r="FL530" s="95"/>
      <c r="FM530" s="302"/>
      <c r="FN530" s="95"/>
      <c r="FO530" s="302"/>
      <c r="FP530" s="95"/>
      <c r="FQ530" s="302"/>
      <c r="FR530" s="245"/>
      <c r="FS530" s="303"/>
      <c r="FT530" s="245"/>
      <c r="FU530" s="303"/>
      <c r="FV530" s="245"/>
      <c r="FW530" s="302"/>
      <c r="FX530" s="480"/>
      <c r="FY530" s="302"/>
      <c r="FZ530" s="245"/>
      <c r="GA530" s="302"/>
      <c r="GB530" s="480"/>
      <c r="GC530" s="302"/>
      <c r="GD530" s="245"/>
      <c r="GE530" s="302"/>
      <c r="GF530" s="245"/>
      <c r="GG530" s="302"/>
      <c r="GH530" s="245"/>
      <c r="GI530" s="302"/>
      <c r="GJ530" s="100">
        <f>DS530+DU530+DW530+DY530</f>
        <v>-3</v>
      </c>
      <c r="GK530" s="302"/>
      <c r="GL530" s="100">
        <f t="shared" si="3252"/>
        <v>1</v>
      </c>
      <c r="GM530" s="302"/>
      <c r="GN530" s="100">
        <f t="shared" si="3253"/>
        <v>-2</v>
      </c>
      <c r="GO530" s="302"/>
      <c r="GP530" s="100">
        <f t="shared" si="3254"/>
        <v>4</v>
      </c>
      <c r="GQ530" s="302"/>
      <c r="GR530" s="101">
        <f>GP530</f>
        <v>4</v>
      </c>
      <c r="GS530" s="302"/>
      <c r="GT530" s="101">
        <f>GR530</f>
        <v>4</v>
      </c>
      <c r="GU530" s="302"/>
      <c r="GV530" s="101">
        <f>GT530</f>
        <v>4</v>
      </c>
      <c r="GW530" s="302"/>
      <c r="GX530" s="101">
        <f>GV530</f>
        <v>4</v>
      </c>
      <c r="GY530" s="302"/>
      <c r="GZ530" s="98" t="s">
        <v>494</v>
      </c>
      <c r="HA530" s="302"/>
      <c r="HC530"/>
      <c r="HD530"/>
      <c r="HE530"/>
      <c r="HF530"/>
      <c r="HG530"/>
      <c r="HH530"/>
    </row>
    <row r="531" spans="1:217" s="10" customFormat="1" ht="12.75" customHeight="1" x14ac:dyDescent="0.2">
      <c r="B531" s="311" t="s">
        <v>244</v>
      </c>
      <c r="C531" s="243"/>
      <c r="D531" s="302"/>
      <c r="E531" s="243"/>
      <c r="F531" s="302"/>
      <c r="G531" s="243"/>
      <c r="H531" s="302"/>
      <c r="I531" s="243"/>
      <c r="J531" s="302"/>
      <c r="K531" s="243"/>
      <c r="L531" s="302"/>
      <c r="M531" s="243"/>
      <c r="N531" s="302"/>
      <c r="O531" s="243"/>
      <c r="P531" s="302"/>
      <c r="Q531" s="243"/>
      <c r="R531" s="302"/>
      <c r="S531" s="243"/>
      <c r="T531" s="302"/>
      <c r="U531" s="243"/>
      <c r="V531" s="302"/>
      <c r="W531" s="243"/>
      <c r="X531" s="302"/>
      <c r="Y531" s="243"/>
      <c r="Z531" s="302"/>
      <c r="AA531" s="243"/>
      <c r="AB531" s="302"/>
      <c r="AC531" s="243"/>
      <c r="AD531" s="302"/>
      <c r="AE531" s="243"/>
      <c r="AF531" s="302"/>
      <c r="AG531" s="94"/>
      <c r="AH531" s="302"/>
      <c r="AI531" s="94"/>
      <c r="AJ531" s="302"/>
      <c r="AK531" s="94"/>
      <c r="AL531" s="302"/>
      <c r="AM531" s="94"/>
      <c r="AN531" s="302"/>
      <c r="AO531" s="94"/>
      <c r="AP531" s="302"/>
      <c r="AQ531" s="94"/>
      <c r="AR531" s="302"/>
      <c r="AS531" s="94"/>
      <c r="AT531" s="302"/>
      <c r="AU531" s="94"/>
      <c r="AV531" s="302"/>
      <c r="AW531" s="94"/>
      <c r="AX531" s="302"/>
      <c r="AY531" s="94"/>
      <c r="AZ531" s="302"/>
      <c r="BA531" s="94"/>
      <c r="BB531" s="302"/>
      <c r="BC531" s="94"/>
      <c r="BD531" s="302"/>
      <c r="BE531" s="94"/>
      <c r="BF531" s="302"/>
      <c r="BG531" s="94"/>
      <c r="BH531" s="302"/>
      <c r="BI531" s="94"/>
      <c r="BJ531" s="302"/>
      <c r="BK531" s="94"/>
      <c r="BL531" s="302"/>
      <c r="BM531" s="94"/>
      <c r="BN531" s="302"/>
      <c r="BO531" s="94"/>
      <c r="BP531" s="302"/>
      <c r="BQ531" s="94"/>
      <c r="BR531" s="302"/>
      <c r="BS531" s="94"/>
      <c r="BT531" s="302"/>
      <c r="BU531" s="94"/>
      <c r="BV531" s="302"/>
      <c r="BW531" s="94"/>
      <c r="BX531" s="302"/>
      <c r="BY531" s="94"/>
      <c r="BZ531" s="302"/>
      <c r="CA531" s="94"/>
      <c r="CB531" s="302"/>
      <c r="CC531" s="94"/>
      <c r="CD531" s="302"/>
      <c r="CE531" s="94"/>
      <c r="CF531" s="302"/>
      <c r="CG531" s="94"/>
      <c r="CH531" s="302"/>
      <c r="CI531" s="94"/>
      <c r="CJ531" s="302"/>
      <c r="CK531" s="94"/>
      <c r="CL531" s="302"/>
      <c r="CM531" s="94"/>
      <c r="CN531" s="302"/>
      <c r="CO531" s="94"/>
      <c r="CP531" s="302"/>
      <c r="CQ531" s="533"/>
      <c r="CR531" s="302"/>
      <c r="CS531" s="94"/>
      <c r="CT531" s="302"/>
      <c r="CU531" s="94"/>
      <c r="CV531" s="302"/>
      <c r="CW531" s="94"/>
      <c r="CX531" s="302"/>
      <c r="CY531" s="94"/>
      <c r="CZ531" s="302"/>
      <c r="DA531" s="94"/>
      <c r="DB531" s="302"/>
      <c r="DC531" s="94"/>
      <c r="DD531" s="302"/>
      <c r="DE531" s="94"/>
      <c r="DF531" s="302"/>
      <c r="DG531" s="94"/>
      <c r="DH531" s="302"/>
      <c r="DI531" s="94"/>
      <c r="DJ531" s="302"/>
      <c r="DK531" s="94"/>
      <c r="DL531" s="302"/>
      <c r="DM531" s="94"/>
      <c r="DN531" s="302"/>
      <c r="DO531" s="94"/>
      <c r="DP531" s="302"/>
      <c r="DQ531" s="94"/>
      <c r="DR531" s="302"/>
      <c r="DS531" s="197">
        <f>SUM(DS526:DS530)</f>
        <v>252</v>
      </c>
      <c r="DT531" s="302"/>
      <c r="DU531" s="197">
        <f>SUM(DU526:DU530)</f>
        <v>288</v>
      </c>
      <c r="DV531" s="302"/>
      <c r="DW531" s="197">
        <f>SUM(DW526:DW530)</f>
        <v>541</v>
      </c>
      <c r="DX531" s="302"/>
      <c r="DY531" s="197">
        <f>SUM(DY526:DY530)</f>
        <v>211</v>
      </c>
      <c r="DZ531" s="302"/>
      <c r="EA531" s="197">
        <f>SUM(EA526:EA530)</f>
        <v>452</v>
      </c>
      <c r="EB531" s="197"/>
      <c r="EC531" s="197">
        <f>SUM(EC526:EC530)</f>
        <v>447</v>
      </c>
      <c r="ED531" s="197"/>
      <c r="EE531" s="197">
        <f>SUM(EE526:EE530)</f>
        <v>392</v>
      </c>
      <c r="EF531" s="197"/>
      <c r="EG531" s="197">
        <f>SUM(EG526:EG530)</f>
        <v>526</v>
      </c>
      <c r="EH531" s="197"/>
      <c r="EI531" s="197">
        <f>SUM(EI526:EI530)</f>
        <v>478</v>
      </c>
      <c r="EJ531" s="197"/>
      <c r="EK531" s="197">
        <f>SUM(EK526:EK530)</f>
        <v>478</v>
      </c>
      <c r="EL531" s="94"/>
      <c r="EM531" s="197">
        <f>SUM(EM526:EM530)</f>
        <v>524</v>
      </c>
      <c r="EN531" s="94"/>
      <c r="EO531" s="197">
        <f>SUM(EO526:EO530)</f>
        <v>544</v>
      </c>
      <c r="EP531" s="302"/>
      <c r="EQ531" s="197">
        <f>SUM(EQ526:EQ530)</f>
        <v>474</v>
      </c>
      <c r="ER531" s="302"/>
      <c r="ES531" s="197">
        <f>SUM(ES526:ES530)</f>
        <v>476.01</v>
      </c>
      <c r="ET531" s="302"/>
      <c r="EU531" s="197">
        <f>SUM(EU526:EU530)</f>
        <v>478.0401</v>
      </c>
      <c r="EV531" s="302"/>
      <c r="EW531" s="197">
        <f>SUM(EW526:EW530)</f>
        <v>480.09050100000002</v>
      </c>
      <c r="EX531" s="302"/>
      <c r="EY531" s="244"/>
      <c r="EZ531" s="594"/>
      <c r="FA531" s="405"/>
      <c r="FB531" s="244"/>
      <c r="FC531" s="302"/>
      <c r="FD531" s="243"/>
      <c r="FE531" s="302"/>
      <c r="FF531" s="95"/>
      <c r="FG531" s="302"/>
      <c r="FH531" s="95"/>
      <c r="FI531" s="302"/>
      <c r="FJ531" s="95"/>
      <c r="FK531" s="302"/>
      <c r="FL531" s="95"/>
      <c r="FM531" s="302"/>
      <c r="FN531" s="95"/>
      <c r="FO531" s="302"/>
      <c r="FP531" s="95"/>
      <c r="FQ531" s="302"/>
      <c r="FR531" s="245"/>
      <c r="FS531" s="303"/>
      <c r="FT531" s="245"/>
      <c r="FU531" s="303"/>
      <c r="FV531" s="245"/>
      <c r="FW531" s="302"/>
      <c r="FX531" s="480"/>
      <c r="FY531" s="302"/>
      <c r="FZ531" s="245"/>
      <c r="GA531" s="302"/>
      <c r="GB531" s="480"/>
      <c r="GC531" s="302"/>
      <c r="GD531" s="245"/>
      <c r="GE531" s="302"/>
      <c r="GF531" s="245"/>
      <c r="GG531" s="302"/>
      <c r="GH531" s="245"/>
      <c r="GI531" s="302"/>
      <c r="GJ531" s="197">
        <f>SUM(GJ526:GJ530)</f>
        <v>1292</v>
      </c>
      <c r="GK531" s="302"/>
      <c r="GL531" s="197">
        <f>SUM(GL526:GL530)</f>
        <v>1817</v>
      </c>
      <c r="GM531" s="302"/>
      <c r="GN531" s="197">
        <f>SUM(GN526:GN530)</f>
        <v>2024</v>
      </c>
      <c r="GO531" s="302"/>
      <c r="GP531" s="197">
        <f>SUM(GP526:GP530)</f>
        <v>1908.1406010000001</v>
      </c>
      <c r="GQ531" s="302"/>
      <c r="GR531" s="197">
        <f>SUM(GR526:GR530)</f>
        <v>1892.5486611599999</v>
      </c>
      <c r="GS531" s="302"/>
      <c r="GT531" s="197">
        <f>SUM(GT526:GT530)</f>
        <v>1752.2758688385998</v>
      </c>
      <c r="GU531" s="302"/>
      <c r="GV531" s="197">
        <f>SUM(GV526:GV530)</f>
        <v>1737.315914172646</v>
      </c>
      <c r="GW531" s="302"/>
      <c r="GX531" s="197">
        <f>SUM(GX526:GX530)</f>
        <v>1722.6626142271191</v>
      </c>
      <c r="GY531" s="302"/>
      <c r="GZ531" s="98" t="s">
        <v>494</v>
      </c>
      <c r="HA531" s="302"/>
      <c r="HC531"/>
      <c r="HD531"/>
      <c r="HE531"/>
      <c r="HF531"/>
      <c r="HG531"/>
      <c r="HH531"/>
    </row>
    <row r="532" spans="1:217" s="10" customFormat="1" ht="12.75" customHeight="1" x14ac:dyDescent="0.2">
      <c r="B532" s="311"/>
      <c r="C532" s="243"/>
      <c r="D532" s="302"/>
      <c r="E532" s="243"/>
      <c r="F532" s="302"/>
      <c r="G532" s="243"/>
      <c r="H532" s="302"/>
      <c r="I532" s="243"/>
      <c r="J532" s="302"/>
      <c r="K532" s="243"/>
      <c r="L532" s="302"/>
      <c r="M532" s="243"/>
      <c r="N532" s="302"/>
      <c r="O532" s="243"/>
      <c r="P532" s="302"/>
      <c r="Q532" s="243"/>
      <c r="R532" s="302"/>
      <c r="S532" s="243"/>
      <c r="T532" s="302"/>
      <c r="U532" s="243"/>
      <c r="V532" s="302"/>
      <c r="W532" s="243"/>
      <c r="X532" s="302"/>
      <c r="Y532" s="243"/>
      <c r="Z532" s="302"/>
      <c r="AA532" s="243"/>
      <c r="AB532" s="302"/>
      <c r="AC532" s="243"/>
      <c r="AD532" s="302"/>
      <c r="AE532" s="243"/>
      <c r="AF532" s="302"/>
      <c r="AG532" s="94"/>
      <c r="AH532" s="302"/>
      <c r="AI532" s="94"/>
      <c r="AJ532" s="302"/>
      <c r="AK532" s="94"/>
      <c r="AL532" s="302"/>
      <c r="AM532" s="94"/>
      <c r="AN532" s="302"/>
      <c r="AO532" s="94"/>
      <c r="AP532" s="302"/>
      <c r="AQ532" s="94"/>
      <c r="AR532" s="302"/>
      <c r="AS532" s="94"/>
      <c r="AT532" s="302"/>
      <c r="AU532" s="94"/>
      <c r="AV532" s="302"/>
      <c r="AW532" s="94"/>
      <c r="AX532" s="302"/>
      <c r="AY532" s="94"/>
      <c r="AZ532" s="302"/>
      <c r="BA532" s="94"/>
      <c r="BB532" s="302"/>
      <c r="BC532" s="94"/>
      <c r="BD532" s="302"/>
      <c r="BE532" s="94"/>
      <c r="BF532" s="302"/>
      <c r="BG532" s="94"/>
      <c r="BH532" s="302"/>
      <c r="BI532" s="94"/>
      <c r="BJ532" s="302"/>
      <c r="BK532" s="94"/>
      <c r="BL532" s="302"/>
      <c r="BM532" s="94"/>
      <c r="BN532" s="302"/>
      <c r="BO532" s="94"/>
      <c r="BP532" s="302"/>
      <c r="BQ532" s="94"/>
      <c r="BR532" s="302"/>
      <c r="BS532" s="94"/>
      <c r="BT532" s="302"/>
      <c r="BU532" s="94"/>
      <c r="BV532" s="302"/>
      <c r="BW532" s="94"/>
      <c r="BX532" s="302"/>
      <c r="BY532" s="94"/>
      <c r="BZ532" s="302"/>
      <c r="CA532" s="94"/>
      <c r="CB532" s="302"/>
      <c r="CC532" s="94"/>
      <c r="CD532" s="302"/>
      <c r="CE532" s="94"/>
      <c r="CF532" s="302"/>
      <c r="CG532" s="94"/>
      <c r="CH532" s="302"/>
      <c r="CI532" s="94"/>
      <c r="CJ532" s="302"/>
      <c r="CK532" s="94"/>
      <c r="CL532" s="302"/>
      <c r="CM532" s="94"/>
      <c r="CN532" s="302"/>
      <c r="CO532" s="94"/>
      <c r="CP532" s="302"/>
      <c r="CQ532" s="533"/>
      <c r="CR532" s="302"/>
      <c r="CS532" s="94"/>
      <c r="CT532" s="302"/>
      <c r="CU532" s="94"/>
      <c r="CV532" s="302"/>
      <c r="CW532" s="94"/>
      <c r="CX532" s="302"/>
      <c r="CY532" s="94"/>
      <c r="CZ532" s="302"/>
      <c r="DA532" s="94"/>
      <c r="DB532" s="302"/>
      <c r="DC532" s="94"/>
      <c r="DD532" s="302"/>
      <c r="DE532" s="94"/>
      <c r="DF532" s="302"/>
      <c r="DG532" s="94"/>
      <c r="DH532" s="302"/>
      <c r="DI532" s="94"/>
      <c r="DJ532" s="302"/>
      <c r="DK532" s="94"/>
      <c r="DL532" s="302"/>
      <c r="DM532" s="94"/>
      <c r="DN532" s="302"/>
      <c r="DO532" s="94"/>
      <c r="DP532" s="302"/>
      <c r="DQ532" s="94"/>
      <c r="DR532" s="302"/>
      <c r="DS532" s="101"/>
      <c r="DT532" s="302"/>
      <c r="DU532" s="101"/>
      <c r="DV532" s="302"/>
      <c r="DW532" s="101"/>
      <c r="DX532" s="302"/>
      <c r="DY532" s="101"/>
      <c r="DZ532" s="302"/>
      <c r="EA532" s="101"/>
      <c r="EB532" s="101"/>
      <c r="EC532" s="101"/>
      <c r="ED532" s="101"/>
      <c r="EE532" s="101"/>
      <c r="EF532" s="101"/>
      <c r="EG532" s="101"/>
      <c r="EH532" s="101"/>
      <c r="EI532" s="101"/>
      <c r="EJ532" s="101"/>
      <c r="EK532" s="101"/>
      <c r="EL532" s="94"/>
      <c r="EM532" s="101"/>
      <c r="EN532" s="94"/>
      <c r="EO532" s="101"/>
      <c r="EP532" s="302"/>
      <c r="EQ532" s="101"/>
      <c r="ER532" s="302"/>
      <c r="ES532" s="101"/>
      <c r="ET532" s="302"/>
      <c r="EU532" s="101"/>
      <c r="EV532" s="302"/>
      <c r="EW532" s="101"/>
      <c r="EX532" s="302"/>
      <c r="EY532" s="244"/>
      <c r="EZ532" s="594"/>
      <c r="FA532" s="405"/>
      <c r="FB532" s="244"/>
      <c r="FC532" s="302"/>
      <c r="FD532" s="243"/>
      <c r="FE532" s="302"/>
      <c r="FF532" s="95"/>
      <c r="FG532" s="302"/>
      <c r="FH532" s="95"/>
      <c r="FI532" s="302"/>
      <c r="FJ532" s="95"/>
      <c r="FK532" s="302"/>
      <c r="FL532" s="95"/>
      <c r="FM532" s="302"/>
      <c r="FN532" s="95"/>
      <c r="FO532" s="302"/>
      <c r="FP532" s="95"/>
      <c r="FQ532" s="302"/>
      <c r="FR532" s="245"/>
      <c r="FS532" s="303"/>
      <c r="FT532" s="245"/>
      <c r="FU532" s="303"/>
      <c r="FV532" s="245"/>
      <c r="FW532" s="302"/>
      <c r="FX532" s="480"/>
      <c r="FY532" s="302"/>
      <c r="FZ532" s="245"/>
      <c r="GA532" s="302"/>
      <c r="GB532" s="480"/>
      <c r="GC532" s="302"/>
      <c r="GD532" s="245"/>
      <c r="GE532" s="302"/>
      <c r="GF532" s="245"/>
      <c r="GG532" s="302"/>
      <c r="GH532" s="245"/>
      <c r="GI532" s="302"/>
      <c r="GJ532" s="245"/>
      <c r="GK532" s="302"/>
      <c r="GL532" s="245"/>
      <c r="GM532" s="302"/>
      <c r="GN532" s="245"/>
      <c r="GO532" s="302"/>
      <c r="GP532" s="245"/>
      <c r="GQ532" s="302"/>
      <c r="GR532" s="101"/>
      <c r="GS532" s="302"/>
      <c r="GT532" s="101"/>
      <c r="GU532" s="302"/>
      <c r="GV532" s="101"/>
      <c r="GW532" s="302"/>
      <c r="GX532" s="101"/>
      <c r="GY532" s="302"/>
      <c r="GZ532" s="302"/>
      <c r="HA532" s="302"/>
      <c r="HC532"/>
      <c r="HD532"/>
      <c r="HE532"/>
      <c r="HF532"/>
      <c r="HG532"/>
      <c r="HH532"/>
    </row>
    <row r="533" spans="1:217" s="15" customFormat="1" ht="12.75" customHeight="1" x14ac:dyDescent="0.2">
      <c r="B533" s="311" t="s">
        <v>460</v>
      </c>
      <c r="C533" s="1121"/>
      <c r="D533" s="1122"/>
      <c r="E533" s="1121"/>
      <c r="F533" s="1122"/>
      <c r="G533" s="1121"/>
      <c r="H533" s="1122"/>
      <c r="I533" s="1121"/>
      <c r="J533" s="1122"/>
      <c r="K533" s="1121"/>
      <c r="L533" s="1122"/>
      <c r="M533" s="1121"/>
      <c r="N533" s="1122"/>
      <c r="O533" s="1121"/>
      <c r="P533" s="1122"/>
      <c r="Q533" s="1121"/>
      <c r="R533" s="1122"/>
      <c r="S533" s="1121"/>
      <c r="T533" s="1122"/>
      <c r="U533" s="1121"/>
      <c r="V533" s="1122"/>
      <c r="W533" s="1121"/>
      <c r="X533" s="1122"/>
      <c r="Y533" s="1121"/>
      <c r="Z533" s="1122"/>
      <c r="AA533" s="1121"/>
      <c r="AB533" s="1122"/>
      <c r="AC533" s="1121"/>
      <c r="AD533" s="1122"/>
      <c r="AE533" s="1121"/>
      <c r="AF533" s="1122"/>
      <c r="AG533" s="132"/>
      <c r="AH533" s="1122"/>
      <c r="AI533" s="132"/>
      <c r="AJ533" s="1122"/>
      <c r="AK533" s="132"/>
      <c r="AL533" s="1122"/>
      <c r="AM533" s="132"/>
      <c r="AN533" s="1122"/>
      <c r="AO533" s="132"/>
      <c r="AP533" s="1122"/>
      <c r="AQ533" s="132"/>
      <c r="AR533" s="1122"/>
      <c r="AS533" s="132"/>
      <c r="AT533" s="1122"/>
      <c r="AU533" s="132"/>
      <c r="AV533" s="1122"/>
      <c r="AW533" s="132"/>
      <c r="AX533" s="1122"/>
      <c r="AY533" s="132"/>
      <c r="AZ533" s="1122"/>
      <c r="BA533" s="132"/>
      <c r="BB533" s="1122"/>
      <c r="BC533" s="132"/>
      <c r="BD533" s="1122"/>
      <c r="BE533" s="132"/>
      <c r="BF533" s="1122"/>
      <c r="BG533" s="132"/>
      <c r="BH533" s="1122"/>
      <c r="BI533" s="132"/>
      <c r="BJ533" s="1122"/>
      <c r="BK533" s="132"/>
      <c r="BL533" s="1122"/>
      <c r="BM533" s="132"/>
      <c r="BN533" s="1122"/>
      <c r="BO533" s="132"/>
      <c r="BP533" s="1122"/>
      <c r="BQ533" s="132"/>
      <c r="BR533" s="1122"/>
      <c r="BS533" s="132"/>
      <c r="BT533" s="1122"/>
      <c r="BU533" s="132"/>
      <c r="BV533" s="1122"/>
      <c r="BW533" s="132"/>
      <c r="BX533" s="1122"/>
      <c r="BY533" s="132"/>
      <c r="BZ533" s="1122"/>
      <c r="CA533" s="132"/>
      <c r="CB533" s="1122"/>
      <c r="CC533" s="132"/>
      <c r="CD533" s="1122"/>
      <c r="CE533" s="132"/>
      <c r="CF533" s="1122"/>
      <c r="CG533" s="132"/>
      <c r="CH533" s="1122"/>
      <c r="CI533" s="132"/>
      <c r="CJ533" s="1122"/>
      <c r="CK533" s="132"/>
      <c r="CL533" s="1122"/>
      <c r="CM533" s="132"/>
      <c r="CN533" s="1122"/>
      <c r="CO533" s="132"/>
      <c r="CP533" s="1122"/>
      <c r="CQ533" s="488"/>
      <c r="CR533" s="1122"/>
      <c r="CS533" s="132"/>
      <c r="CT533" s="1122"/>
      <c r="CU533" s="132"/>
      <c r="CV533" s="1122"/>
      <c r="CW533" s="132"/>
      <c r="CX533" s="1122"/>
      <c r="CY533" s="132"/>
      <c r="CZ533" s="1122"/>
      <c r="DA533" s="132"/>
      <c r="DB533" s="1122"/>
      <c r="DC533" s="132"/>
      <c r="DD533" s="1122"/>
      <c r="DE533" s="132"/>
      <c r="DF533" s="1122"/>
      <c r="DG533" s="132"/>
      <c r="DH533" s="1122"/>
      <c r="DI533" s="132"/>
      <c r="DJ533" s="1122"/>
      <c r="DK533" s="132"/>
      <c r="DL533" s="1122"/>
      <c r="DM533" s="132"/>
      <c r="DN533" s="1122"/>
      <c r="DO533" s="132"/>
      <c r="DP533" s="1122"/>
      <c r="DQ533" s="132"/>
      <c r="DR533" s="1122"/>
      <c r="DS533" s="197">
        <f>DS523-DS531</f>
        <v>-310</v>
      </c>
      <c r="DT533" s="1122"/>
      <c r="DU533" s="197">
        <f>DU523-DU531</f>
        <v>-326</v>
      </c>
      <c r="DV533" s="1122"/>
      <c r="DW533" s="197">
        <f>DW523-DW531</f>
        <v>-763</v>
      </c>
      <c r="DX533" s="1122"/>
      <c r="DY533" s="197">
        <f>DY523-DY531</f>
        <v>-370</v>
      </c>
      <c r="DZ533" s="1122"/>
      <c r="EA533" s="197">
        <f>EA523-EA531</f>
        <v>-367</v>
      </c>
      <c r="EB533" s="197"/>
      <c r="EC533" s="197">
        <f>EC523-EC531</f>
        <v>-385</v>
      </c>
      <c r="ED533" s="197"/>
      <c r="EE533" s="197">
        <f>EE523-EE531</f>
        <v>-276</v>
      </c>
      <c r="EF533" s="197"/>
      <c r="EG533" s="197">
        <f>EG523-EG531</f>
        <v>-459</v>
      </c>
      <c r="EH533" s="197"/>
      <c r="EI533" s="197">
        <f>EI523-EI531</f>
        <v>-341</v>
      </c>
      <c r="EJ533" s="197"/>
      <c r="EK533" s="197">
        <f>EK523-EK531</f>
        <v>-368</v>
      </c>
      <c r="EL533" s="132"/>
      <c r="EM533" s="197">
        <f>EM523-EM531</f>
        <v>-420</v>
      </c>
      <c r="EN533" s="132"/>
      <c r="EO533" s="197">
        <f>EO523-EO531</f>
        <v>-541</v>
      </c>
      <c r="EP533" s="1122"/>
      <c r="EQ533" s="197">
        <f>EQ523-EQ531</f>
        <v>-357.47</v>
      </c>
      <c r="ER533" s="1122"/>
      <c r="ES533" s="197">
        <f>ES523-ES531</f>
        <v>-359.34870000000001</v>
      </c>
      <c r="ET533" s="1122"/>
      <c r="EU533" s="197">
        <f>EU523-EU531</f>
        <v>-361.24618699999996</v>
      </c>
      <c r="EV533" s="1122"/>
      <c r="EW533" s="197">
        <f>EW523-EW531</f>
        <v>-363.16264887</v>
      </c>
      <c r="EX533" s="1122"/>
      <c r="EY533" s="1126"/>
      <c r="EZ533" s="1127"/>
      <c r="FA533" s="1128"/>
      <c r="FB533" s="1126"/>
      <c r="FC533" s="1122"/>
      <c r="FD533" s="1121"/>
      <c r="FE533" s="1122"/>
      <c r="FF533" s="133"/>
      <c r="FG533" s="1122"/>
      <c r="FH533" s="133"/>
      <c r="FI533" s="1122"/>
      <c r="FJ533" s="133"/>
      <c r="FK533" s="1122"/>
      <c r="FL533" s="133"/>
      <c r="FM533" s="1122"/>
      <c r="FN533" s="133"/>
      <c r="FO533" s="1122"/>
      <c r="FP533" s="133"/>
      <c r="FQ533" s="1122"/>
      <c r="FR533" s="1126"/>
      <c r="FS533" s="1129"/>
      <c r="FT533" s="1126"/>
      <c r="FU533" s="1129"/>
      <c r="FV533" s="1126"/>
      <c r="FW533" s="1122"/>
      <c r="FX533" s="523"/>
      <c r="FY533" s="1122"/>
      <c r="FZ533" s="1126"/>
      <c r="GA533" s="1122"/>
      <c r="GB533" s="523"/>
      <c r="GC533" s="1122"/>
      <c r="GD533" s="1126"/>
      <c r="GE533" s="1122"/>
      <c r="GF533" s="1126"/>
      <c r="GG533" s="1122"/>
      <c r="GH533" s="1126"/>
      <c r="GI533" s="1122"/>
      <c r="GJ533" s="197">
        <f>GJ523-GJ531</f>
        <v>-1769</v>
      </c>
      <c r="GK533" s="1122"/>
      <c r="GL533" s="197">
        <f>GL523-GL531</f>
        <v>-1487</v>
      </c>
      <c r="GM533" s="1122"/>
      <c r="GN533" s="197">
        <f>GN523-GN531</f>
        <v>-1670</v>
      </c>
      <c r="GO533" s="1122"/>
      <c r="GP533" s="197">
        <f>GP523-GP531</f>
        <v>-1441.2275358700001</v>
      </c>
      <c r="GQ533" s="1122"/>
      <c r="GR533" s="197">
        <f>GR523-GR531</f>
        <v>-1416.9104653786999</v>
      </c>
      <c r="GS533" s="1122"/>
      <c r="GT533" s="197">
        <f>GT523-GT531</f>
        <v>-1267.7433710994867</v>
      </c>
      <c r="GU533" s="1122"/>
      <c r="GV533" s="197">
        <f>GV523-GV531</f>
        <v>-1243.7166130561418</v>
      </c>
      <c r="GW533" s="1122"/>
      <c r="GX533" s="197">
        <f>GX523-GX531</f>
        <v>-1219.8206121314499</v>
      </c>
      <c r="GY533" s="1122"/>
      <c r="GZ533" s="98" t="s">
        <v>494</v>
      </c>
      <c r="HA533" s="1122"/>
      <c r="HC533"/>
      <c r="HD533"/>
      <c r="HE533"/>
      <c r="HF533"/>
      <c r="HG533"/>
      <c r="HH533"/>
    </row>
    <row r="534" spans="1:217" s="10" customFormat="1" ht="12.75" customHeight="1" x14ac:dyDescent="0.2">
      <c r="B534" s="310" t="s">
        <v>461</v>
      </c>
      <c r="C534" s="243"/>
      <c r="D534" s="302"/>
      <c r="E534" s="243"/>
      <c r="F534" s="302"/>
      <c r="G534" s="243"/>
      <c r="H534" s="302"/>
      <c r="I534" s="243"/>
      <c r="J534" s="302"/>
      <c r="K534" s="243"/>
      <c r="L534" s="302"/>
      <c r="M534" s="243"/>
      <c r="N534" s="302"/>
      <c r="O534" s="243"/>
      <c r="P534" s="302"/>
      <c r="Q534" s="243"/>
      <c r="R534" s="302"/>
      <c r="S534" s="243"/>
      <c r="T534" s="302"/>
      <c r="U534" s="243"/>
      <c r="V534" s="302"/>
      <c r="W534" s="243"/>
      <c r="X534" s="302"/>
      <c r="Y534" s="243"/>
      <c r="Z534" s="302"/>
      <c r="AA534" s="243"/>
      <c r="AB534" s="302"/>
      <c r="AC534" s="243"/>
      <c r="AD534" s="302"/>
      <c r="AE534" s="243"/>
      <c r="AF534" s="302"/>
      <c r="AG534" s="94"/>
      <c r="AH534" s="302"/>
      <c r="AI534" s="94"/>
      <c r="AJ534" s="302"/>
      <c r="AK534" s="94"/>
      <c r="AL534" s="302"/>
      <c r="AM534" s="94"/>
      <c r="AN534" s="302"/>
      <c r="AO534" s="94"/>
      <c r="AP534" s="302"/>
      <c r="AQ534" s="94"/>
      <c r="AR534" s="302"/>
      <c r="AS534" s="94"/>
      <c r="AT534" s="302"/>
      <c r="AU534" s="94"/>
      <c r="AV534" s="302"/>
      <c r="AW534" s="94"/>
      <c r="AX534" s="302"/>
      <c r="AY534" s="94"/>
      <c r="AZ534" s="302"/>
      <c r="BA534" s="94"/>
      <c r="BB534" s="302"/>
      <c r="BC534" s="94"/>
      <c r="BD534" s="302"/>
      <c r="BE534" s="94"/>
      <c r="BF534" s="302"/>
      <c r="BG534" s="94"/>
      <c r="BH534" s="302"/>
      <c r="BI534" s="94"/>
      <c r="BJ534" s="302"/>
      <c r="BK534" s="94"/>
      <c r="BL534" s="302"/>
      <c r="BM534" s="94"/>
      <c r="BN534" s="302"/>
      <c r="BO534" s="94"/>
      <c r="BP534" s="302"/>
      <c r="BQ534" s="94"/>
      <c r="BR534" s="302"/>
      <c r="BS534" s="94"/>
      <c r="BT534" s="302"/>
      <c r="BU534" s="94"/>
      <c r="BV534" s="302"/>
      <c r="BW534" s="94"/>
      <c r="BX534" s="302"/>
      <c r="BY534" s="94"/>
      <c r="BZ534" s="302"/>
      <c r="CA534" s="94"/>
      <c r="CB534" s="302"/>
      <c r="CC534" s="94"/>
      <c r="CD534" s="302"/>
      <c r="CE534" s="94"/>
      <c r="CF534" s="302"/>
      <c r="CG534" s="94"/>
      <c r="CH534" s="302"/>
      <c r="CI534" s="94"/>
      <c r="CJ534" s="302"/>
      <c r="CK534" s="94"/>
      <c r="CL534" s="302"/>
      <c r="CM534" s="94"/>
      <c r="CN534" s="302"/>
      <c r="CO534" s="94"/>
      <c r="CP534" s="302"/>
      <c r="CQ534" s="533"/>
      <c r="CR534" s="302"/>
      <c r="CS534" s="94"/>
      <c r="CT534" s="302"/>
      <c r="CU534" s="94"/>
      <c r="CV534" s="302"/>
      <c r="CW534" s="94"/>
      <c r="CX534" s="302"/>
      <c r="CY534" s="94"/>
      <c r="CZ534" s="302"/>
      <c r="DA534" s="94"/>
      <c r="DB534" s="302"/>
      <c r="DC534" s="94"/>
      <c r="DD534" s="302"/>
      <c r="DE534" s="94"/>
      <c r="DF534" s="302"/>
      <c r="DG534" s="94"/>
      <c r="DH534" s="302"/>
      <c r="DI534" s="94"/>
      <c r="DJ534" s="302"/>
      <c r="DK534" s="94"/>
      <c r="DL534" s="302"/>
      <c r="DM534" s="94"/>
      <c r="DN534" s="302"/>
      <c r="DO534" s="94"/>
      <c r="DP534" s="302"/>
      <c r="DQ534" s="94"/>
      <c r="DR534" s="302"/>
      <c r="DS534" s="101">
        <v>-189</v>
      </c>
      <c r="DT534" s="302"/>
      <c r="DU534" s="101">
        <v>-181</v>
      </c>
      <c r="DV534" s="302"/>
      <c r="DW534" s="101">
        <v>214</v>
      </c>
      <c r="DX534" s="302"/>
      <c r="DY534" s="101">
        <v>-209</v>
      </c>
      <c r="DZ534" s="302"/>
      <c r="EA534" s="101">
        <v>-183</v>
      </c>
      <c r="EB534" s="101"/>
      <c r="EC534" s="101">
        <v>-187</v>
      </c>
      <c r="ED534" s="101"/>
      <c r="EE534" s="101">
        <v>-288</v>
      </c>
      <c r="EF534" s="101"/>
      <c r="EG534" s="101">
        <v>-301</v>
      </c>
      <c r="EH534" s="101"/>
      <c r="EI534" s="101">
        <v>-271</v>
      </c>
      <c r="EJ534" s="101"/>
      <c r="EK534" s="101">
        <v>-269</v>
      </c>
      <c r="EL534" s="99"/>
      <c r="EM534" s="101">
        <v>-90</v>
      </c>
      <c r="EN534" s="99"/>
      <c r="EO534" s="101">
        <v>-58</v>
      </c>
      <c r="EP534" s="302"/>
      <c r="EQ534" s="100">
        <f>EQ535*EQ533/100</f>
        <v>-160.86150000000001</v>
      </c>
      <c r="ER534" s="302"/>
      <c r="ES534" s="100">
        <f t="shared" ref="ES534" si="3264">ES535*ES533/100</f>
        <v>-161.70691500000001</v>
      </c>
      <c r="ET534" s="302"/>
      <c r="EU534" s="100">
        <f t="shared" ref="EU534" si="3265">EU535*EU533/100</f>
        <v>-162.56078414999999</v>
      </c>
      <c r="EV534" s="302"/>
      <c r="EW534" s="100">
        <f t="shared" ref="EW534" si="3266">EW535*EW533/100</f>
        <v>-163.4231919915</v>
      </c>
      <c r="EX534" s="302"/>
      <c r="EY534" s="244"/>
      <c r="EZ534" s="594"/>
      <c r="FA534" s="405"/>
      <c r="FB534" s="244"/>
      <c r="FC534" s="302"/>
      <c r="FD534" s="243"/>
      <c r="FE534" s="302"/>
      <c r="FF534" s="95"/>
      <c r="FG534" s="302"/>
      <c r="FH534" s="95"/>
      <c r="FI534" s="302"/>
      <c r="FJ534" s="95"/>
      <c r="FK534" s="302"/>
      <c r="FL534" s="95"/>
      <c r="FM534" s="302"/>
      <c r="FN534" s="95"/>
      <c r="FO534" s="302"/>
      <c r="FP534" s="95"/>
      <c r="FQ534" s="302"/>
      <c r="FR534" s="245"/>
      <c r="FS534" s="303"/>
      <c r="FT534" s="245"/>
      <c r="FU534" s="303"/>
      <c r="FV534" s="245"/>
      <c r="FW534" s="302"/>
      <c r="FX534" s="480"/>
      <c r="FY534" s="302"/>
      <c r="FZ534" s="245"/>
      <c r="GA534" s="302"/>
      <c r="GB534" s="480"/>
      <c r="GC534" s="302"/>
      <c r="GD534" s="245"/>
      <c r="GE534" s="302"/>
      <c r="GF534" s="245"/>
      <c r="GG534" s="302"/>
      <c r="GH534" s="245"/>
      <c r="GI534" s="302"/>
      <c r="GJ534" s="100">
        <f>DS534+DU534+DW534+DY534</f>
        <v>-365</v>
      </c>
      <c r="GK534" s="302"/>
      <c r="GL534" s="100">
        <f>EA534+EC534+EE534+EG534</f>
        <v>-959</v>
      </c>
      <c r="GM534" s="302"/>
      <c r="GN534" s="100">
        <f>EI534+EK534+EM534+EO534</f>
        <v>-688</v>
      </c>
      <c r="GO534" s="302"/>
      <c r="GP534" s="100">
        <f>EQ534+ES534+EU534+EW534</f>
        <v>-648.55239114150004</v>
      </c>
      <c r="GQ534" s="302"/>
      <c r="GR534" s="100">
        <f>GR535*GR533/100</f>
        <v>-623.44060476662798</v>
      </c>
      <c r="GS534" s="302"/>
      <c r="GT534" s="100">
        <f>GT535*GT533/100</f>
        <v>-557.80708328377409</v>
      </c>
      <c r="GU534" s="302"/>
      <c r="GV534" s="100">
        <f>GV535*GV533/100</f>
        <v>-547.23530974470236</v>
      </c>
      <c r="GW534" s="302"/>
      <c r="GX534" s="100">
        <f>GX535*GX533/100</f>
        <v>-536.721069337838</v>
      </c>
      <c r="GY534" s="302"/>
      <c r="GZ534" s="98" t="s">
        <v>494</v>
      </c>
      <c r="HA534" s="302"/>
      <c r="HC534"/>
      <c r="HD534"/>
      <c r="HE534"/>
      <c r="HF534"/>
      <c r="HG534"/>
      <c r="HH534"/>
    </row>
    <row r="535" spans="1:217" s="10" customFormat="1" ht="12.75" customHeight="1" x14ac:dyDescent="0.2">
      <c r="B535" s="310" t="s">
        <v>462</v>
      </c>
      <c r="C535" s="243"/>
      <c r="D535" s="302"/>
      <c r="E535" s="243"/>
      <c r="F535" s="302"/>
      <c r="G535" s="243"/>
      <c r="H535" s="302"/>
      <c r="I535" s="243"/>
      <c r="J535" s="302"/>
      <c r="K535" s="243"/>
      <c r="L535" s="302"/>
      <c r="M535" s="243"/>
      <c r="N535" s="302"/>
      <c r="O535" s="243"/>
      <c r="P535" s="302"/>
      <c r="Q535" s="243"/>
      <c r="R535" s="302"/>
      <c r="S535" s="243"/>
      <c r="T535" s="302"/>
      <c r="U535" s="243"/>
      <c r="V535" s="302"/>
      <c r="W535" s="243"/>
      <c r="X535" s="302"/>
      <c r="Y535" s="243"/>
      <c r="Z535" s="302"/>
      <c r="AA535" s="243"/>
      <c r="AB535" s="302"/>
      <c r="AC535" s="243"/>
      <c r="AD535" s="302"/>
      <c r="AE535" s="243"/>
      <c r="AF535" s="302"/>
      <c r="AG535" s="94"/>
      <c r="AH535" s="302"/>
      <c r="AI535" s="94"/>
      <c r="AJ535" s="302"/>
      <c r="AK535" s="94"/>
      <c r="AL535" s="302"/>
      <c r="AM535" s="94"/>
      <c r="AN535" s="302"/>
      <c r="AO535" s="94"/>
      <c r="AP535" s="302"/>
      <c r="AQ535" s="94"/>
      <c r="AR535" s="302"/>
      <c r="AS535" s="94"/>
      <c r="AT535" s="302"/>
      <c r="AU535" s="94"/>
      <c r="AV535" s="302"/>
      <c r="AW535" s="94"/>
      <c r="AX535" s="302"/>
      <c r="AY535" s="94"/>
      <c r="AZ535" s="302"/>
      <c r="BA535" s="94"/>
      <c r="BB535" s="302"/>
      <c r="BC535" s="94"/>
      <c r="BD535" s="302"/>
      <c r="BE535" s="94"/>
      <c r="BF535" s="302"/>
      <c r="BG535" s="94"/>
      <c r="BH535" s="302"/>
      <c r="BI535" s="94"/>
      <c r="BJ535" s="302"/>
      <c r="BK535" s="94"/>
      <c r="BL535" s="302"/>
      <c r="BM535" s="94"/>
      <c r="BN535" s="302"/>
      <c r="BO535" s="94"/>
      <c r="BP535" s="302"/>
      <c r="BQ535" s="94"/>
      <c r="BR535" s="302"/>
      <c r="BS535" s="94"/>
      <c r="BT535" s="302"/>
      <c r="BU535" s="94"/>
      <c r="BV535" s="302"/>
      <c r="BW535" s="94"/>
      <c r="BX535" s="302"/>
      <c r="BY535" s="94"/>
      <c r="BZ535" s="302"/>
      <c r="CA535" s="94"/>
      <c r="CB535" s="302"/>
      <c r="CC535" s="94"/>
      <c r="CD535" s="302"/>
      <c r="CE535" s="94"/>
      <c r="CF535" s="302"/>
      <c r="CG535" s="94"/>
      <c r="CH535" s="302"/>
      <c r="CI535" s="94"/>
      <c r="CJ535" s="302"/>
      <c r="CK535" s="94"/>
      <c r="CL535" s="302"/>
      <c r="CM535" s="94"/>
      <c r="CN535" s="302"/>
      <c r="CO535" s="94"/>
      <c r="CP535" s="302"/>
      <c r="CQ535" s="533"/>
      <c r="CR535" s="302"/>
      <c r="CS535" s="94"/>
      <c r="CT535" s="302"/>
      <c r="CU535" s="94"/>
      <c r="CV535" s="302"/>
      <c r="CW535" s="94"/>
      <c r="CX535" s="302"/>
      <c r="CY535" s="94"/>
      <c r="CZ535" s="302"/>
      <c r="DA535" s="94"/>
      <c r="DB535" s="302"/>
      <c r="DC535" s="94"/>
      <c r="DD535" s="302"/>
      <c r="DE535" s="94"/>
      <c r="DF535" s="302"/>
      <c r="DG535" s="94"/>
      <c r="DH535" s="302"/>
      <c r="DI535" s="94"/>
      <c r="DJ535" s="302"/>
      <c r="DK535" s="94"/>
      <c r="DL535" s="302"/>
      <c r="DM535" s="94"/>
      <c r="DN535" s="302"/>
      <c r="DO535" s="94"/>
      <c r="DP535" s="302"/>
      <c r="DQ535" s="94"/>
      <c r="DR535" s="302"/>
      <c r="DS535" s="100">
        <f>+DS534/DS533*100</f>
        <v>60.967741935483865</v>
      </c>
      <c r="DT535" s="14"/>
      <c r="DU535" s="100">
        <f>+DU534/DU533*100</f>
        <v>55.521472392638039</v>
      </c>
      <c r="DV535" s="14"/>
      <c r="DW535" s="100">
        <f>+DW534/DW533*100</f>
        <v>-28.047182175622542</v>
      </c>
      <c r="DX535" s="14"/>
      <c r="DY535" s="100">
        <f>+DY534/DY533*100</f>
        <v>56.486486486486484</v>
      </c>
      <c r="DZ535" s="14"/>
      <c r="EA535" s="100">
        <f>+EA534/EA533*100</f>
        <v>49.863760217983646</v>
      </c>
      <c r="EB535" s="14"/>
      <c r="EC535" s="100">
        <f>+EC534/EC533*100</f>
        <v>48.571428571428569</v>
      </c>
      <c r="ED535" s="99"/>
      <c r="EE535" s="100">
        <f>+EE534/EE533*100</f>
        <v>104.34782608695652</v>
      </c>
      <c r="EF535" s="94"/>
      <c r="EG535" s="100">
        <f>+EG534/EG533*100</f>
        <v>65.577342047930287</v>
      </c>
      <c r="EH535" s="94"/>
      <c r="EI535" s="100">
        <f>+EI534/EI533*100</f>
        <v>79.47214076246334</v>
      </c>
      <c r="EJ535" s="94"/>
      <c r="EK535" s="100">
        <f>+EK534/EK533*100</f>
        <v>73.097826086956516</v>
      </c>
      <c r="EL535" s="94"/>
      <c r="EM535" s="100">
        <f>+EM534/EM533*100</f>
        <v>21.428571428571427</v>
      </c>
      <c r="EN535" s="94"/>
      <c r="EO535" s="100">
        <f>+EO534/EO533*100</f>
        <v>10.720887245841034</v>
      </c>
      <c r="EP535" s="302"/>
      <c r="EQ535" s="101">
        <v>45</v>
      </c>
      <c r="ER535" s="302"/>
      <c r="ES535" s="101">
        <f>EQ535</f>
        <v>45</v>
      </c>
      <c r="ET535" s="302"/>
      <c r="EU535" s="101">
        <f>ES535</f>
        <v>45</v>
      </c>
      <c r="EV535" s="302"/>
      <c r="EW535" s="101">
        <f>EU535</f>
        <v>45</v>
      </c>
      <c r="EX535" s="302"/>
      <c r="EY535" s="244"/>
      <c r="EZ535" s="594"/>
      <c r="FA535" s="405"/>
      <c r="FB535" s="244"/>
      <c r="FC535" s="302"/>
      <c r="FD535" s="243"/>
      <c r="FE535" s="302"/>
      <c r="FF535" s="95"/>
      <c r="FG535" s="302"/>
      <c r="FH535" s="95"/>
      <c r="FI535" s="302"/>
      <c r="FJ535" s="95"/>
      <c r="FK535" s="302"/>
      <c r="FL535" s="95"/>
      <c r="FM535" s="302"/>
      <c r="FN535" s="95"/>
      <c r="FO535" s="302"/>
      <c r="FP535" s="95"/>
      <c r="FQ535" s="302"/>
      <c r="FR535" s="245"/>
      <c r="FS535" s="303"/>
      <c r="FT535" s="245"/>
      <c r="FU535" s="303"/>
      <c r="FV535" s="245"/>
      <c r="FW535" s="302"/>
      <c r="FX535" s="480"/>
      <c r="FY535" s="302"/>
      <c r="FZ535" s="245"/>
      <c r="GA535" s="302"/>
      <c r="GB535" s="480"/>
      <c r="GC535" s="302"/>
      <c r="GD535" s="245"/>
      <c r="GE535" s="302"/>
      <c r="GF535" s="245"/>
      <c r="GG535" s="302"/>
      <c r="GH535" s="245"/>
      <c r="GI535" s="302"/>
      <c r="GJ535" s="100">
        <f>+GJ534/GJ533*100</f>
        <v>20.633126059920858</v>
      </c>
      <c r="GK535" s="302"/>
      <c r="GL535" s="100">
        <f>+GL534/GL533*100</f>
        <v>64.492266308002684</v>
      </c>
      <c r="GM535" s="302"/>
      <c r="GN535" s="100">
        <f>+GN534/GN533*100</f>
        <v>41.197604790419163</v>
      </c>
      <c r="GO535" s="302"/>
      <c r="GP535" s="100">
        <f>+GP534/GP533*100</f>
        <v>45</v>
      </c>
      <c r="GQ535" s="302"/>
      <c r="GR535" s="101">
        <f>GP535-1</f>
        <v>44</v>
      </c>
      <c r="GS535" s="302"/>
      <c r="GT535" s="101">
        <f>GR535</f>
        <v>44</v>
      </c>
      <c r="GU535" s="302"/>
      <c r="GV535" s="101">
        <f>GT535</f>
        <v>44</v>
      </c>
      <c r="GW535" s="302"/>
      <c r="GX535" s="101">
        <f>GV535</f>
        <v>44</v>
      </c>
      <c r="GY535" s="302"/>
      <c r="GZ535" s="98" t="s">
        <v>494</v>
      </c>
      <c r="HA535" s="302"/>
      <c r="HC535"/>
      <c r="HD535"/>
      <c r="HE535"/>
      <c r="HF535"/>
      <c r="HG535"/>
      <c r="HH535"/>
    </row>
    <row r="536" spans="1:217" s="10" customFormat="1" ht="12.75" customHeight="1" x14ac:dyDescent="0.2">
      <c r="B536" s="310" t="s">
        <v>247</v>
      </c>
      <c r="C536" s="243"/>
      <c r="D536" s="302"/>
      <c r="E536" s="243"/>
      <c r="F536" s="302"/>
      <c r="G536" s="243"/>
      <c r="H536" s="302"/>
      <c r="I536" s="243"/>
      <c r="J536" s="302"/>
      <c r="K536" s="243"/>
      <c r="L536" s="302"/>
      <c r="M536" s="243"/>
      <c r="N536" s="302"/>
      <c r="O536" s="243"/>
      <c r="P536" s="302"/>
      <c r="Q536" s="243"/>
      <c r="R536" s="302"/>
      <c r="S536" s="243"/>
      <c r="T536" s="302"/>
      <c r="U536" s="243"/>
      <c r="V536" s="302"/>
      <c r="W536" s="243"/>
      <c r="X536" s="302"/>
      <c r="Y536" s="243"/>
      <c r="Z536" s="302"/>
      <c r="AA536" s="243"/>
      <c r="AB536" s="302"/>
      <c r="AC536" s="243"/>
      <c r="AD536" s="302"/>
      <c r="AE536" s="243"/>
      <c r="AF536" s="302"/>
      <c r="AG536" s="94"/>
      <c r="AH536" s="302"/>
      <c r="AI536" s="94"/>
      <c r="AJ536" s="302"/>
      <c r="AK536" s="94"/>
      <c r="AL536" s="302"/>
      <c r="AM536" s="94"/>
      <c r="AN536" s="302"/>
      <c r="AO536" s="94"/>
      <c r="AP536" s="302"/>
      <c r="AQ536" s="94"/>
      <c r="AR536" s="302"/>
      <c r="AS536" s="94"/>
      <c r="AT536" s="302"/>
      <c r="AU536" s="94"/>
      <c r="AV536" s="302"/>
      <c r="AW536" s="94"/>
      <c r="AX536" s="302"/>
      <c r="AY536" s="94"/>
      <c r="AZ536" s="302"/>
      <c r="BA536" s="94"/>
      <c r="BB536" s="302"/>
      <c r="BC536" s="94"/>
      <c r="BD536" s="302"/>
      <c r="BE536" s="94"/>
      <c r="BF536" s="302"/>
      <c r="BG536" s="94"/>
      <c r="BH536" s="302"/>
      <c r="BI536" s="94"/>
      <c r="BJ536" s="302"/>
      <c r="BK536" s="94"/>
      <c r="BL536" s="302"/>
      <c r="BM536" s="94"/>
      <c r="BN536" s="302"/>
      <c r="BO536" s="94"/>
      <c r="BP536" s="302"/>
      <c r="BQ536" s="94"/>
      <c r="BR536" s="302"/>
      <c r="BS536" s="94"/>
      <c r="BT536" s="302"/>
      <c r="BU536" s="94"/>
      <c r="BV536" s="302"/>
      <c r="BW536" s="94"/>
      <c r="BX536" s="302"/>
      <c r="BY536" s="94"/>
      <c r="BZ536" s="302"/>
      <c r="CA536" s="94"/>
      <c r="CB536" s="302"/>
      <c r="CC536" s="94"/>
      <c r="CD536" s="302"/>
      <c r="CE536" s="94"/>
      <c r="CF536" s="302"/>
      <c r="CG536" s="94"/>
      <c r="CH536" s="302"/>
      <c r="CI536" s="94"/>
      <c r="CJ536" s="302"/>
      <c r="CK536" s="94"/>
      <c r="CL536" s="302"/>
      <c r="CM536" s="94"/>
      <c r="CN536" s="302"/>
      <c r="CO536" s="94"/>
      <c r="CP536" s="302"/>
      <c r="CQ536" s="533"/>
      <c r="CR536" s="302"/>
      <c r="CS536" s="94"/>
      <c r="CT536" s="302"/>
      <c r="CU536" s="94"/>
      <c r="CV536" s="302"/>
      <c r="CW536" s="94"/>
      <c r="CX536" s="302"/>
      <c r="CY536" s="94"/>
      <c r="CZ536" s="302"/>
      <c r="DA536" s="94"/>
      <c r="DB536" s="302"/>
      <c r="DC536" s="94"/>
      <c r="DD536" s="302"/>
      <c r="DE536" s="94"/>
      <c r="DF536" s="302"/>
      <c r="DG536" s="94"/>
      <c r="DH536" s="302"/>
      <c r="DI536" s="94"/>
      <c r="DJ536" s="302"/>
      <c r="DK536" s="94"/>
      <c r="DL536" s="302"/>
      <c r="DM536" s="94"/>
      <c r="DN536" s="302"/>
      <c r="DO536" s="94"/>
      <c r="DP536" s="302"/>
      <c r="DQ536" s="94"/>
      <c r="DR536" s="302"/>
      <c r="DS536" s="101">
        <v>30</v>
      </c>
      <c r="DT536" s="302"/>
      <c r="DU536" s="101">
        <v>31</v>
      </c>
      <c r="DV536" s="302"/>
      <c r="DW536" s="101">
        <v>6</v>
      </c>
      <c r="DX536" s="302"/>
      <c r="DY536" s="101">
        <v>49</v>
      </c>
      <c r="DZ536" s="302"/>
      <c r="EA536" s="101">
        <v>6</v>
      </c>
      <c r="EB536" s="302"/>
      <c r="EC536" s="101">
        <v>46</v>
      </c>
      <c r="ED536" s="94"/>
      <c r="EE536" s="101">
        <v>6</v>
      </c>
      <c r="EF536" s="94"/>
      <c r="EG536" s="101">
        <v>45</v>
      </c>
      <c r="EH536" s="94"/>
      <c r="EI536" s="101">
        <v>6</v>
      </c>
      <c r="EJ536" s="94"/>
      <c r="EK536" s="101">
        <v>46</v>
      </c>
      <c r="EL536" s="94"/>
      <c r="EM536" s="101">
        <v>6</v>
      </c>
      <c r="EN536" s="94"/>
      <c r="EO536" s="101">
        <v>45</v>
      </c>
      <c r="EP536" s="302"/>
      <c r="EQ536" s="101">
        <f>EI536</f>
        <v>6</v>
      </c>
      <c r="ER536" s="302"/>
      <c r="ES536" s="101">
        <f>EQ536</f>
        <v>6</v>
      </c>
      <c r="ET536" s="302"/>
      <c r="EU536" s="101">
        <f>ES536</f>
        <v>6</v>
      </c>
      <c r="EV536" s="302"/>
      <c r="EW536" s="101">
        <f>EU536</f>
        <v>6</v>
      </c>
      <c r="EX536" s="302"/>
      <c r="EY536" s="244"/>
      <c r="EZ536" s="594"/>
      <c r="FA536" s="405"/>
      <c r="FB536" s="244"/>
      <c r="FC536" s="302"/>
      <c r="FD536" s="243"/>
      <c r="FE536" s="302"/>
      <c r="FF536" s="95"/>
      <c r="FG536" s="302"/>
      <c r="FH536" s="95"/>
      <c r="FI536" s="302"/>
      <c r="FJ536" s="95"/>
      <c r="FK536" s="302"/>
      <c r="FL536" s="95"/>
      <c r="FM536" s="302"/>
      <c r="FN536" s="95"/>
      <c r="FO536" s="302"/>
      <c r="FP536" s="95"/>
      <c r="FQ536" s="302"/>
      <c r="FR536" s="245"/>
      <c r="FS536" s="303"/>
      <c r="FT536" s="245"/>
      <c r="FU536" s="303"/>
      <c r="FV536" s="245"/>
      <c r="FW536" s="302"/>
      <c r="FX536" s="480"/>
      <c r="FY536" s="302"/>
      <c r="FZ536" s="245"/>
      <c r="GA536" s="302"/>
      <c r="GB536" s="480"/>
      <c r="GC536" s="302"/>
      <c r="GD536" s="245"/>
      <c r="GE536" s="302"/>
      <c r="GF536" s="245"/>
      <c r="GG536" s="302"/>
      <c r="GH536" s="245"/>
      <c r="GI536" s="302"/>
      <c r="GJ536" s="100">
        <f>DS536+DU536+DW536+DY536</f>
        <v>116</v>
      </c>
      <c r="GK536" s="302"/>
      <c r="GL536" s="100">
        <f>EA536+EC536+EE536+EG536</f>
        <v>103</v>
      </c>
      <c r="GM536" s="302"/>
      <c r="GN536" s="100">
        <f>EI536+EK536+EM536+EO536</f>
        <v>103</v>
      </c>
      <c r="GO536" s="302"/>
      <c r="GP536" s="100">
        <f>EQ536+ES536+EU536+EW536</f>
        <v>24</v>
      </c>
      <c r="GQ536" s="302"/>
      <c r="GR536" s="101">
        <f>GP536</f>
        <v>24</v>
      </c>
      <c r="GS536" s="302"/>
      <c r="GT536" s="101">
        <f>GR536</f>
        <v>24</v>
      </c>
      <c r="GU536" s="302"/>
      <c r="GV536" s="101">
        <f>GT536</f>
        <v>24</v>
      </c>
      <c r="GW536" s="302"/>
      <c r="GX536" s="101">
        <f>GV536</f>
        <v>24</v>
      </c>
      <c r="GY536" s="302"/>
      <c r="GZ536" s="98" t="s">
        <v>494</v>
      </c>
      <c r="HA536" s="302"/>
      <c r="HC536"/>
      <c r="HD536"/>
      <c r="HE536"/>
      <c r="HF536"/>
      <c r="HG536"/>
      <c r="HH536"/>
    </row>
    <row r="537" spans="1:217" s="15" customFormat="1" ht="12.75" customHeight="1" x14ac:dyDescent="0.2">
      <c r="B537" s="208" t="s">
        <v>827</v>
      </c>
      <c r="C537" s="1121"/>
      <c r="D537" s="1122"/>
      <c r="E537" s="1121"/>
      <c r="F537" s="1122"/>
      <c r="G537" s="1121"/>
      <c r="H537" s="1122"/>
      <c r="I537" s="1121"/>
      <c r="J537" s="1122"/>
      <c r="K537" s="1121"/>
      <c r="L537" s="1122"/>
      <c r="M537" s="1121"/>
      <c r="N537" s="1122"/>
      <c r="O537" s="1121"/>
      <c r="P537" s="1122"/>
      <c r="Q537" s="1121"/>
      <c r="R537" s="1122"/>
      <c r="S537" s="1121"/>
      <c r="T537" s="1122"/>
      <c r="U537" s="1121"/>
      <c r="V537" s="1122"/>
      <c r="W537" s="1121"/>
      <c r="X537" s="1122"/>
      <c r="Y537" s="1121"/>
      <c r="Z537" s="1122"/>
      <c r="AA537" s="1121"/>
      <c r="AB537" s="1122"/>
      <c r="AC537" s="1121"/>
      <c r="AD537" s="1122"/>
      <c r="AE537" s="1121"/>
      <c r="AF537" s="1122"/>
      <c r="AG537" s="132"/>
      <c r="AH537" s="1122"/>
      <c r="AI537" s="132"/>
      <c r="AJ537" s="1122"/>
      <c r="AK537" s="132"/>
      <c r="AL537" s="1122"/>
      <c r="AM537" s="132"/>
      <c r="AN537" s="1122"/>
      <c r="AO537" s="132"/>
      <c r="AP537" s="1122"/>
      <c r="AQ537" s="132"/>
      <c r="AR537" s="1122"/>
      <c r="AS537" s="132"/>
      <c r="AT537" s="1122"/>
      <c r="AU537" s="132"/>
      <c r="AV537" s="1122"/>
      <c r="AW537" s="132"/>
      <c r="AX537" s="1122"/>
      <c r="AY537" s="132"/>
      <c r="AZ537" s="1122"/>
      <c r="BA537" s="132"/>
      <c r="BB537" s="1122"/>
      <c r="BC537" s="132"/>
      <c r="BD537" s="1122"/>
      <c r="BE537" s="132"/>
      <c r="BF537" s="1122"/>
      <c r="BG537" s="132"/>
      <c r="BH537" s="1122"/>
      <c r="BI537" s="132"/>
      <c r="BJ537" s="1122"/>
      <c r="BK537" s="132"/>
      <c r="BL537" s="1122"/>
      <c r="BM537" s="132"/>
      <c r="BN537" s="1122"/>
      <c r="BO537" s="132"/>
      <c r="BP537" s="1122"/>
      <c r="BQ537" s="132"/>
      <c r="BR537" s="1122"/>
      <c r="BS537" s="132"/>
      <c r="BT537" s="1122"/>
      <c r="BU537" s="132"/>
      <c r="BV537" s="1122"/>
      <c r="BW537" s="132"/>
      <c r="BX537" s="1122"/>
      <c r="BY537" s="132"/>
      <c r="BZ537" s="1122"/>
      <c r="CA537" s="132"/>
      <c r="CB537" s="1122"/>
      <c r="CC537" s="132"/>
      <c r="CD537" s="1122"/>
      <c r="CE537" s="132"/>
      <c r="CF537" s="1122"/>
      <c r="CG537" s="132"/>
      <c r="CH537" s="1122"/>
      <c r="CI537" s="132"/>
      <c r="CJ537" s="1122"/>
      <c r="CK537" s="132"/>
      <c r="CL537" s="1122"/>
      <c r="CM537" s="132"/>
      <c r="CN537" s="1122"/>
      <c r="CO537" s="132"/>
      <c r="CP537" s="1122"/>
      <c r="CQ537" s="488"/>
      <c r="CR537" s="1122"/>
      <c r="CS537" s="132"/>
      <c r="CT537" s="1122"/>
      <c r="CU537" s="132"/>
      <c r="CV537" s="1122"/>
      <c r="CW537" s="132"/>
      <c r="CX537" s="1122"/>
      <c r="CY537" s="132"/>
      <c r="CZ537" s="1122"/>
      <c r="DA537" s="132"/>
      <c r="DB537" s="1122"/>
      <c r="DC537" s="132">
        <f>DC541</f>
        <v>-86</v>
      </c>
      <c r="DD537" s="1122"/>
      <c r="DE537" s="132">
        <f>DE541</f>
        <v>-140</v>
      </c>
      <c r="DF537" s="1122"/>
      <c r="DG537" s="132">
        <f>DG541</f>
        <v>-163</v>
      </c>
      <c r="DH537" s="1122"/>
      <c r="DI537" s="132">
        <f>DI541</f>
        <v>-278</v>
      </c>
      <c r="DJ537" s="1122"/>
      <c r="DK537" s="132">
        <f>DK541</f>
        <v>-166</v>
      </c>
      <c r="DL537" s="1122"/>
      <c r="DM537" s="132">
        <f>DM541</f>
        <v>-191</v>
      </c>
      <c r="DN537" s="1122"/>
      <c r="DO537" s="132">
        <f>DO541</f>
        <v>-106</v>
      </c>
      <c r="DP537" s="1122"/>
      <c r="DQ537" s="132">
        <f>DQ541</f>
        <v>-289</v>
      </c>
      <c r="DR537" s="1122"/>
      <c r="DS537" s="197">
        <f>DS533-DS534-DS536</f>
        <v>-151</v>
      </c>
      <c r="DT537" s="1122"/>
      <c r="DU537" s="197">
        <f>DU533-DU534-DU536</f>
        <v>-176</v>
      </c>
      <c r="DV537" s="1122"/>
      <c r="DW537" s="197">
        <f>DW533-DW534-DW536</f>
        <v>-983</v>
      </c>
      <c r="DX537" s="1122"/>
      <c r="DY537" s="197">
        <f>DY533-DY534-DY536</f>
        <v>-210</v>
      </c>
      <c r="DZ537" s="1122"/>
      <c r="EA537" s="197">
        <f>EA533-EA534-EA536</f>
        <v>-190</v>
      </c>
      <c r="EB537" s="1122"/>
      <c r="EC537" s="197">
        <f>EC533-EC534-EC536</f>
        <v>-244</v>
      </c>
      <c r="ED537" s="1122"/>
      <c r="EE537" s="197">
        <f>EE533-EE534-EE536</f>
        <v>6</v>
      </c>
      <c r="EF537" s="1123" t="str">
        <f t="shared" ref="EF537" si="3267">IF(ISERROR((EE537/DW537-1)*100),"NA",IF(((EE537/DW537-1)*100)&gt;100,"NM",IF(((EE537/DW537-1)*100)&lt;-50,"NM",(EE537/DW537-1)*100)))</f>
        <v>NM</v>
      </c>
      <c r="EG537" s="197">
        <f>EG533-EG534-EG536</f>
        <v>-203</v>
      </c>
      <c r="EH537" s="1125"/>
      <c r="EI537" s="197">
        <f>EI533-EI534-EI536</f>
        <v>-76</v>
      </c>
      <c r="EJ537" s="1125"/>
      <c r="EK537" s="197">
        <f>EK533-EK534-EK536</f>
        <v>-145</v>
      </c>
      <c r="EL537" s="1125"/>
      <c r="EM537" s="197">
        <f>EM533-EM534-EM536</f>
        <v>-336</v>
      </c>
      <c r="EN537" s="1125"/>
      <c r="EO537" s="197">
        <f>EO533-EO534-EO536</f>
        <v>-528</v>
      </c>
      <c r="EP537" s="1122"/>
      <c r="EQ537" s="197">
        <f>EQ533-EQ534-EQ536</f>
        <v>-202.60850000000002</v>
      </c>
      <c r="ER537" s="1122"/>
      <c r="ES537" s="197">
        <f t="shared" ref="ES537" si="3268">ES533-ES534-ES536</f>
        <v>-203.641785</v>
      </c>
      <c r="ET537" s="1122"/>
      <c r="EU537" s="197">
        <f t="shared" ref="EU537" si="3269">EU533-EU534-EU536</f>
        <v>-204.68540284999997</v>
      </c>
      <c r="EV537" s="1122"/>
      <c r="EW537" s="197">
        <f t="shared" ref="EW537" si="3270">EW533-EW534-EW536</f>
        <v>-205.73945687849999</v>
      </c>
      <c r="EX537" s="1122"/>
      <c r="EY537" s="1126"/>
      <c r="EZ537" s="1127"/>
      <c r="FA537" s="1128"/>
      <c r="FB537" s="1126"/>
      <c r="FC537" s="1122"/>
      <c r="FD537" s="1121"/>
      <c r="FE537" s="1122"/>
      <c r="FF537" s="133"/>
      <c r="FG537" s="1122"/>
      <c r="FH537" s="133"/>
      <c r="FI537" s="1122"/>
      <c r="FJ537" s="133"/>
      <c r="FK537" s="1122"/>
      <c r="FL537" s="133"/>
      <c r="FM537" s="1122"/>
      <c r="FN537" s="133"/>
      <c r="FO537" s="1122"/>
      <c r="FP537" s="133"/>
      <c r="FQ537" s="1122"/>
      <c r="FR537" s="1126"/>
      <c r="FS537" s="1129"/>
      <c r="FT537" s="1126"/>
      <c r="FU537" s="1129"/>
      <c r="FV537" s="1126"/>
      <c r="FW537" s="1122"/>
      <c r="FX537" s="523"/>
      <c r="FY537" s="1122"/>
      <c r="FZ537" s="1126"/>
      <c r="GA537" s="1122"/>
      <c r="GB537" s="523"/>
      <c r="GC537" s="1122"/>
      <c r="GD537" s="1126">
        <f>GD541</f>
        <v>-391</v>
      </c>
      <c r="GE537" s="1122"/>
      <c r="GF537" s="184">
        <f>GF541</f>
        <v>-667</v>
      </c>
      <c r="GG537" s="1122"/>
      <c r="GH537" s="184">
        <f>GH541</f>
        <v>-752</v>
      </c>
      <c r="GI537" s="184"/>
      <c r="GJ537" s="197">
        <f>GJ533-GJ534-GJ536</f>
        <v>-1520</v>
      </c>
      <c r="GK537" s="184"/>
      <c r="GL537" s="197">
        <f>GL533-GL534-GL536</f>
        <v>-631</v>
      </c>
      <c r="GM537" s="184"/>
      <c r="GN537" s="197">
        <f>GN533-GN534-GN536</f>
        <v>-1085</v>
      </c>
      <c r="GO537" s="184"/>
      <c r="GP537" s="197">
        <f>GP533-GP534-GP536</f>
        <v>-816.67514472850007</v>
      </c>
      <c r="GQ537" s="184"/>
      <c r="GR537" s="197">
        <f>GR533-GR534-GR536</f>
        <v>-817.4698606120719</v>
      </c>
      <c r="GS537" s="184"/>
      <c r="GT537" s="197">
        <f>GT533-GT534-GT536</f>
        <v>-733.9362878157126</v>
      </c>
      <c r="GU537" s="184"/>
      <c r="GV537" s="197">
        <f>GV533-GV534-GV536</f>
        <v>-720.48130331143943</v>
      </c>
      <c r="GW537" s="184"/>
      <c r="GX537" s="197">
        <f>GX533-GX534-GX536</f>
        <v>-707.09954279361193</v>
      </c>
      <c r="GY537" s="184"/>
      <c r="GZ537" s="98" t="s">
        <v>494</v>
      </c>
      <c r="HA537" s="1122"/>
      <c r="HC537"/>
      <c r="HD537"/>
      <c r="HE537"/>
      <c r="HF537"/>
      <c r="HG537"/>
      <c r="HH537"/>
    </row>
    <row r="538" spans="1:217" s="5" customFormat="1" ht="12.75" customHeight="1" x14ac:dyDescent="0.2">
      <c r="B538" s="179" t="s">
        <v>751</v>
      </c>
      <c r="C538" s="284"/>
      <c r="D538" s="230"/>
      <c r="E538" s="284"/>
      <c r="F538" s="230"/>
      <c r="G538" s="284"/>
      <c r="H538" s="230"/>
      <c r="I538" s="284"/>
      <c r="J538" s="230"/>
      <c r="K538" s="284"/>
      <c r="L538" s="230"/>
      <c r="M538" s="284"/>
      <c r="N538" s="230"/>
      <c r="O538" s="284"/>
      <c r="P538" s="230"/>
      <c r="Q538" s="284"/>
      <c r="R538" s="230"/>
      <c r="S538" s="284"/>
      <c r="T538" s="230"/>
      <c r="U538" s="284"/>
      <c r="V538" s="230"/>
      <c r="W538" s="284"/>
      <c r="X538" s="230"/>
      <c r="Y538" s="284"/>
      <c r="Z538" s="230"/>
      <c r="AA538" s="284"/>
      <c r="AB538" s="230"/>
      <c r="AC538" s="284"/>
      <c r="AD538" s="230"/>
      <c r="AE538" s="284"/>
      <c r="AF538" s="230"/>
      <c r="AG538" s="284"/>
      <c r="AH538" s="230"/>
      <c r="AI538" s="284"/>
      <c r="AJ538" s="230"/>
      <c r="AK538" s="284"/>
      <c r="AL538" s="230"/>
      <c r="AM538" s="284"/>
      <c r="AN538" s="230"/>
      <c r="AO538" s="284"/>
      <c r="AP538" s="230"/>
      <c r="AQ538" s="284"/>
      <c r="AR538" s="230"/>
      <c r="AS538" s="284"/>
      <c r="AT538" s="230"/>
      <c r="AU538" s="284"/>
      <c r="AV538" s="230"/>
      <c r="AW538" s="284"/>
      <c r="AX538" s="230"/>
      <c r="AY538" s="284"/>
      <c r="AZ538" s="230"/>
      <c r="BA538" s="284"/>
      <c r="BB538" s="230"/>
      <c r="BC538" s="284"/>
      <c r="BD538" s="230"/>
      <c r="BE538" s="284"/>
      <c r="BF538" s="230"/>
      <c r="BG538" s="284"/>
      <c r="BH538" s="230"/>
      <c r="BI538" s="284"/>
      <c r="BJ538" s="230"/>
      <c r="BK538" s="284"/>
      <c r="BL538" s="230"/>
      <c r="BM538" s="284"/>
      <c r="BN538" s="230"/>
      <c r="BO538" s="284"/>
      <c r="BP538" s="230"/>
      <c r="BQ538" s="284"/>
      <c r="BR538" s="230"/>
      <c r="BS538" s="284"/>
      <c r="BT538" s="230"/>
      <c r="BU538" s="284"/>
      <c r="BV538" s="230"/>
      <c r="BW538" s="284"/>
      <c r="BX538" s="230"/>
      <c r="BY538" s="284"/>
      <c r="BZ538" s="230"/>
      <c r="CA538" s="284"/>
      <c r="CB538" s="230"/>
      <c r="CC538" s="284"/>
      <c r="CD538" s="230"/>
      <c r="CE538" s="284"/>
      <c r="CF538" s="230"/>
      <c r="CG538" s="284"/>
      <c r="CH538" s="230"/>
      <c r="CI538" s="284"/>
      <c r="CJ538" s="230"/>
      <c r="CK538" s="284"/>
      <c r="CL538" s="230"/>
      <c r="CM538" s="284"/>
      <c r="CN538" s="230"/>
      <c r="CO538" s="284"/>
      <c r="CP538" s="230"/>
      <c r="CQ538" s="562"/>
      <c r="CR538" s="230"/>
      <c r="CS538" s="284"/>
      <c r="CT538" s="230"/>
      <c r="CU538" s="284"/>
      <c r="CV538" s="230"/>
      <c r="CW538" s="284"/>
      <c r="CX538" s="230"/>
      <c r="CY538" s="284"/>
      <c r="CZ538" s="230"/>
      <c r="DA538" s="284"/>
      <c r="DB538" s="230"/>
      <c r="DC538" s="284"/>
      <c r="DD538" s="230"/>
      <c r="DE538" s="284"/>
      <c r="DF538" s="230"/>
      <c r="DG538" s="284"/>
      <c r="DH538" s="230"/>
      <c r="DI538" s="284"/>
      <c r="DJ538" s="230"/>
      <c r="DK538" s="284"/>
      <c r="DL538" s="230"/>
      <c r="DM538" s="101"/>
      <c r="DN538" s="98"/>
      <c r="DO538" s="101"/>
      <c r="DP538" s="98"/>
      <c r="DQ538" s="101"/>
      <c r="DR538" s="98"/>
      <c r="DS538" s="101"/>
      <c r="DT538" s="98"/>
      <c r="DU538" s="101"/>
      <c r="DV538" s="98"/>
      <c r="DW538" s="101"/>
      <c r="DX538" s="98"/>
      <c r="DY538" s="101"/>
      <c r="DZ538" s="98"/>
      <c r="EA538" s="952"/>
      <c r="EB538" s="952"/>
      <c r="EC538" s="952"/>
      <c r="ED538" s="952"/>
      <c r="EE538" s="952"/>
      <c r="EF538" s="952"/>
      <c r="EG538" s="952">
        <v>28</v>
      </c>
      <c r="EH538" s="952"/>
      <c r="EI538" s="952">
        <v>21</v>
      </c>
      <c r="EJ538" s="952"/>
      <c r="EK538" s="952">
        <v>22</v>
      </c>
      <c r="EL538" s="860"/>
      <c r="EM538" s="952">
        <v>17</v>
      </c>
      <c r="EN538" s="860"/>
      <c r="EO538" s="952">
        <v>42</v>
      </c>
      <c r="EP538" s="98"/>
      <c r="EQ538" s="952">
        <v>30</v>
      </c>
      <c r="ER538" s="98"/>
      <c r="ES538" s="952">
        <f>EQ538</f>
        <v>30</v>
      </c>
      <c r="ET538" s="98"/>
      <c r="EU538" s="952">
        <f>ES538</f>
        <v>30</v>
      </c>
      <c r="EV538" s="98"/>
      <c r="EW538" s="952">
        <f>EU538-1</f>
        <v>29</v>
      </c>
      <c r="EX538" s="98"/>
      <c r="EY538" s="121"/>
      <c r="EZ538" s="594"/>
      <c r="FA538" s="405"/>
      <c r="FB538" s="200"/>
      <c r="FC538" s="200"/>
      <c r="FD538" s="121"/>
      <c r="FE538" s="98"/>
      <c r="FF538" s="118"/>
      <c r="FG538" s="98"/>
      <c r="FH538" s="118"/>
      <c r="FI538" s="98"/>
      <c r="FJ538" s="118"/>
      <c r="FK538" s="98"/>
      <c r="FL538" s="118"/>
      <c r="FM538" s="98"/>
      <c r="FN538" s="118"/>
      <c r="FO538" s="98"/>
      <c r="FP538" s="118"/>
      <c r="FQ538" s="98"/>
      <c r="FR538" s="119"/>
      <c r="FS538" s="120"/>
      <c r="FT538" s="119"/>
      <c r="FU538" s="98"/>
      <c r="FV538" s="121"/>
      <c r="FW538" s="98"/>
      <c r="FX538" s="485"/>
      <c r="FY538" s="98"/>
      <c r="FZ538" s="119"/>
      <c r="GA538" s="98"/>
      <c r="GB538" s="542"/>
      <c r="GC538" s="98"/>
      <c r="GD538" s="119"/>
      <c r="GE538" s="98"/>
      <c r="GF538" s="119"/>
      <c r="GG538" s="98"/>
      <c r="GH538" s="119"/>
      <c r="GI538" s="98"/>
      <c r="GJ538" s="119"/>
      <c r="GK538" s="98"/>
      <c r="GL538" s="119">
        <f>EA538+EC538+EE538+EG538</f>
        <v>28</v>
      </c>
      <c r="GM538" s="98"/>
      <c r="GN538" s="119">
        <f>EI538+EK538+EM538+EO538</f>
        <v>102</v>
      </c>
      <c r="GO538" s="98"/>
      <c r="GP538" s="119">
        <f>EQ538+ES538+EU538+EW538</f>
        <v>119</v>
      </c>
      <c r="GQ538" s="98"/>
      <c r="GR538" s="121">
        <v>125</v>
      </c>
      <c r="GS538" s="98"/>
      <c r="GT538" s="121"/>
      <c r="GU538" s="98"/>
      <c r="GV538" s="121"/>
      <c r="GW538" s="98"/>
      <c r="GX538" s="121"/>
      <c r="GY538" s="98"/>
      <c r="GZ538" s="98" t="s">
        <v>494</v>
      </c>
      <c r="HA538" s="98"/>
      <c r="HB538" s="15"/>
      <c r="HC538"/>
      <c r="HD538"/>
      <c r="HE538"/>
      <c r="HF538"/>
      <c r="HG538"/>
      <c r="HH538"/>
      <c r="HI538" s="15"/>
    </row>
    <row r="539" spans="1:217" s="10" customFormat="1" ht="12.75" customHeight="1" x14ac:dyDescent="0.2">
      <c r="B539" s="102" t="s">
        <v>828</v>
      </c>
      <c r="C539" s="304"/>
      <c r="D539" s="14"/>
      <c r="E539" s="304"/>
      <c r="F539" s="14"/>
      <c r="G539" s="304"/>
      <c r="H539" s="14"/>
      <c r="I539" s="304"/>
      <c r="J539" s="14"/>
      <c r="K539" s="304"/>
      <c r="L539" s="14"/>
      <c r="M539" s="304"/>
      <c r="N539" s="14"/>
      <c r="O539" s="304"/>
      <c r="P539" s="14"/>
      <c r="Q539" s="304"/>
      <c r="R539" s="14"/>
      <c r="S539" s="304"/>
      <c r="T539" s="14"/>
      <c r="U539" s="304"/>
      <c r="V539" s="14"/>
      <c r="W539" s="304"/>
      <c r="X539" s="14"/>
      <c r="Y539" s="304"/>
      <c r="Z539" s="14"/>
      <c r="AA539" s="304"/>
      <c r="AB539" s="14"/>
      <c r="AC539" s="304"/>
      <c r="AD539" s="14"/>
      <c r="AE539" s="304"/>
      <c r="AF539" s="14"/>
      <c r="AG539" s="99"/>
      <c r="AH539" s="14"/>
      <c r="AI539" s="99"/>
      <c r="AJ539" s="14"/>
      <c r="AK539" s="99"/>
      <c r="AL539" s="14"/>
      <c r="AM539" s="99"/>
      <c r="AN539" s="14"/>
      <c r="AO539" s="99"/>
      <c r="AP539" s="14"/>
      <c r="AQ539" s="99"/>
      <c r="AR539" s="14"/>
      <c r="AS539" s="99"/>
      <c r="AT539" s="14"/>
      <c r="AU539" s="99"/>
      <c r="AV539" s="14"/>
      <c r="AW539" s="99"/>
      <c r="AX539" s="14"/>
      <c r="AY539" s="99"/>
      <c r="AZ539" s="14"/>
      <c r="BA539" s="99"/>
      <c r="BB539" s="14"/>
      <c r="BC539" s="99"/>
      <c r="BD539" s="14"/>
      <c r="BE539" s="99"/>
      <c r="BF539" s="14"/>
      <c r="BG539" s="99"/>
      <c r="BH539" s="14"/>
      <c r="BI539" s="99"/>
      <c r="BJ539" s="14"/>
      <c r="BK539" s="99"/>
      <c r="BL539" s="14"/>
      <c r="BM539" s="99"/>
      <c r="BN539" s="14"/>
      <c r="BO539" s="99"/>
      <c r="BP539" s="14"/>
      <c r="BQ539" s="99"/>
      <c r="BR539" s="14"/>
      <c r="BS539" s="99"/>
      <c r="BT539" s="14"/>
      <c r="BU539" s="99"/>
      <c r="BV539" s="14"/>
      <c r="BW539" s="99"/>
      <c r="BX539" s="14"/>
      <c r="BY539" s="99"/>
      <c r="BZ539" s="14"/>
      <c r="CA539" s="99"/>
      <c r="CB539" s="14"/>
      <c r="CC539" s="99"/>
      <c r="CD539" s="14"/>
      <c r="CE539" s="99"/>
      <c r="CF539" s="14"/>
      <c r="CG539" s="99"/>
      <c r="CH539" s="14"/>
      <c r="CI539" s="99"/>
      <c r="CJ539" s="14"/>
      <c r="CK539" s="99"/>
      <c r="CL539" s="14"/>
      <c r="CM539" s="99"/>
      <c r="CN539" s="14"/>
      <c r="CO539" s="99"/>
      <c r="CP539" s="14"/>
      <c r="CQ539" s="482"/>
      <c r="CR539" s="14"/>
      <c r="CS539" s="99"/>
      <c r="CT539" s="14"/>
      <c r="CU539" s="99"/>
      <c r="CV539" s="14"/>
      <c r="CW539" s="99"/>
      <c r="CX539" s="14"/>
      <c r="CY539" s="99"/>
      <c r="CZ539" s="14"/>
      <c r="DA539" s="99"/>
      <c r="DB539" s="14"/>
      <c r="DC539" s="99"/>
      <c r="DD539" s="14"/>
      <c r="DE539" s="99"/>
      <c r="DF539" s="14"/>
      <c r="DG539" s="99"/>
      <c r="DH539" s="14"/>
      <c r="DI539" s="99"/>
      <c r="DJ539" s="14"/>
      <c r="DK539" s="99"/>
      <c r="DL539" s="14"/>
      <c r="DM539" s="99"/>
      <c r="DN539" s="14"/>
      <c r="DO539" s="99"/>
      <c r="DP539" s="14"/>
      <c r="DQ539" s="99"/>
      <c r="DR539" s="14"/>
      <c r="DS539" s="100"/>
      <c r="DT539" s="14"/>
      <c r="DU539" s="100"/>
      <c r="DV539" s="14"/>
      <c r="DW539" s="100"/>
      <c r="DX539" s="14"/>
      <c r="DY539" s="100"/>
      <c r="DZ539" s="14"/>
      <c r="EA539" s="100"/>
      <c r="EB539" s="14"/>
      <c r="EC539" s="100"/>
      <c r="ED539" s="14"/>
      <c r="EE539" s="100"/>
      <c r="EF539" s="771"/>
      <c r="EG539" s="100">
        <f>EG537+EG538</f>
        <v>-175</v>
      </c>
      <c r="EH539" s="1083"/>
      <c r="EI539" s="100">
        <f>EI537+EI538</f>
        <v>-55</v>
      </c>
      <c r="EJ539" s="1083"/>
      <c r="EK539" s="100">
        <f>EK537+EK538</f>
        <v>-123</v>
      </c>
      <c r="EL539" s="1083"/>
      <c r="EM539" s="100">
        <f>EM537+EM538</f>
        <v>-319</v>
      </c>
      <c r="EN539" s="1083"/>
      <c r="EO539" s="100">
        <f>EO537+EO538</f>
        <v>-486</v>
      </c>
      <c r="EP539" s="14"/>
      <c r="EQ539" s="100">
        <f>EQ537+EQ538</f>
        <v>-172.60850000000002</v>
      </c>
      <c r="ER539" s="14"/>
      <c r="ES539" s="100">
        <f>ES537+ES538</f>
        <v>-173.641785</v>
      </c>
      <c r="ET539" s="14"/>
      <c r="EU539" s="100">
        <f>EU537+EU538</f>
        <v>-174.68540284999997</v>
      </c>
      <c r="EV539" s="14"/>
      <c r="EW539" s="100">
        <f>EW537+EW538</f>
        <v>-176.73945687849999</v>
      </c>
      <c r="EX539" s="14"/>
      <c r="EY539" s="245"/>
      <c r="EZ539" s="602"/>
      <c r="FA539" s="266"/>
      <c r="FB539" s="245"/>
      <c r="FC539" s="14"/>
      <c r="FD539" s="304"/>
      <c r="FE539" s="14"/>
      <c r="FF539" s="96"/>
      <c r="FG539" s="14"/>
      <c r="FH539" s="96"/>
      <c r="FI539" s="14"/>
      <c r="FJ539" s="96"/>
      <c r="FK539" s="14"/>
      <c r="FL539" s="96"/>
      <c r="FM539" s="14"/>
      <c r="FN539" s="96"/>
      <c r="FO539" s="14"/>
      <c r="FP539" s="96"/>
      <c r="FQ539" s="14"/>
      <c r="FR539" s="245"/>
      <c r="FS539" s="305"/>
      <c r="FT539" s="245"/>
      <c r="FU539" s="305"/>
      <c r="FV539" s="245"/>
      <c r="FW539" s="14"/>
      <c r="FX539" s="480"/>
      <c r="FY539" s="14"/>
      <c r="FZ539" s="245"/>
      <c r="GA539" s="14"/>
      <c r="GB539" s="480"/>
      <c r="GC539" s="14"/>
      <c r="GD539" s="245"/>
      <c r="GE539" s="14"/>
      <c r="GF539" s="119"/>
      <c r="GG539" s="14"/>
      <c r="GH539" s="119"/>
      <c r="GI539" s="119"/>
      <c r="GJ539" s="100"/>
      <c r="GK539" s="119"/>
      <c r="GL539" s="100"/>
      <c r="GM539" s="119"/>
      <c r="GN539" s="100">
        <f>GN537+GN538</f>
        <v>-983</v>
      </c>
      <c r="GO539" s="119"/>
      <c r="GP539" s="100">
        <f>GP537+GP538</f>
        <v>-697.67514472850007</v>
      </c>
      <c r="GQ539" s="119"/>
      <c r="GR539" s="100">
        <f>GR537+GR538</f>
        <v>-692.4698606120719</v>
      </c>
      <c r="GS539" s="119"/>
      <c r="GT539" s="100">
        <f>GT537+GT538</f>
        <v>-733.9362878157126</v>
      </c>
      <c r="GU539" s="119"/>
      <c r="GV539" s="100">
        <f>GV537+GV538</f>
        <v>-720.48130331143943</v>
      </c>
      <c r="GW539" s="119"/>
      <c r="GX539" s="100">
        <f>GX537+GX538</f>
        <v>-707.09954279361193</v>
      </c>
      <c r="GY539" s="119"/>
      <c r="GZ539" s="98"/>
      <c r="HA539" s="14"/>
      <c r="HC539"/>
      <c r="HD539"/>
      <c r="HE539"/>
      <c r="HF539"/>
      <c r="HG539"/>
      <c r="HH539"/>
    </row>
    <row r="540" spans="1:217" s="15" customFormat="1" ht="12.75" customHeight="1" x14ac:dyDescent="0.2">
      <c r="B540" s="208"/>
      <c r="C540" s="1121"/>
      <c r="D540" s="1122"/>
      <c r="E540" s="1121"/>
      <c r="F540" s="1122"/>
      <c r="G540" s="1121"/>
      <c r="H540" s="1122"/>
      <c r="I540" s="1121"/>
      <c r="J540" s="1122"/>
      <c r="K540" s="1121"/>
      <c r="L540" s="1122"/>
      <c r="M540" s="1121"/>
      <c r="N540" s="1122"/>
      <c r="O540" s="1121"/>
      <c r="P540" s="1122"/>
      <c r="Q540" s="1121"/>
      <c r="R540" s="1122"/>
      <c r="S540" s="1121"/>
      <c r="T540" s="1122"/>
      <c r="U540" s="1121"/>
      <c r="V540" s="1122"/>
      <c r="W540" s="1121"/>
      <c r="X540" s="1122"/>
      <c r="Y540" s="1121"/>
      <c r="Z540" s="1122"/>
      <c r="AA540" s="1121"/>
      <c r="AB540" s="1122"/>
      <c r="AC540" s="1121"/>
      <c r="AD540" s="1122"/>
      <c r="AE540" s="1121"/>
      <c r="AF540" s="1122"/>
      <c r="AG540" s="132"/>
      <c r="AH540" s="1122"/>
      <c r="AI540" s="132"/>
      <c r="AJ540" s="1122"/>
      <c r="AK540" s="132"/>
      <c r="AL540" s="1122"/>
      <c r="AM540" s="132"/>
      <c r="AN540" s="1122"/>
      <c r="AO540" s="132"/>
      <c r="AP540" s="1122"/>
      <c r="AQ540" s="132"/>
      <c r="AR540" s="1122"/>
      <c r="AS540" s="132"/>
      <c r="AT540" s="1122"/>
      <c r="AU540" s="132"/>
      <c r="AV540" s="1122"/>
      <c r="AW540" s="132"/>
      <c r="AX540" s="1122"/>
      <c r="AY540" s="132"/>
      <c r="AZ540" s="1122"/>
      <c r="BA540" s="132"/>
      <c r="BB540" s="1122"/>
      <c r="BC540" s="132"/>
      <c r="BD540" s="1122"/>
      <c r="BE540" s="132"/>
      <c r="BF540" s="1122"/>
      <c r="BG540" s="132"/>
      <c r="BH540" s="1122"/>
      <c r="BI540" s="132"/>
      <c r="BJ540" s="1122"/>
      <c r="BK540" s="132"/>
      <c r="BL540" s="1122"/>
      <c r="BM540" s="132"/>
      <c r="BN540" s="1122"/>
      <c r="BO540" s="132"/>
      <c r="BP540" s="1122"/>
      <c r="BQ540" s="132"/>
      <c r="BR540" s="1122"/>
      <c r="BS540" s="132"/>
      <c r="BT540" s="1122"/>
      <c r="BU540" s="132"/>
      <c r="BV540" s="1122"/>
      <c r="BW540" s="132"/>
      <c r="BX540" s="1122"/>
      <c r="BY540" s="132"/>
      <c r="BZ540" s="1122"/>
      <c r="CA540" s="132"/>
      <c r="CB540" s="1122"/>
      <c r="CC540" s="132"/>
      <c r="CD540" s="1122"/>
      <c r="CE540" s="132"/>
      <c r="CF540" s="1122"/>
      <c r="CG540" s="132"/>
      <c r="CH540" s="1122"/>
      <c r="CI540" s="132"/>
      <c r="CJ540" s="1122"/>
      <c r="CK540" s="132"/>
      <c r="CL540" s="1122"/>
      <c r="CM540" s="132"/>
      <c r="CN540" s="1122"/>
      <c r="CO540" s="132"/>
      <c r="CP540" s="1122"/>
      <c r="CQ540" s="488"/>
      <c r="CR540" s="1122"/>
      <c r="CS540" s="132"/>
      <c r="CT540" s="1122"/>
      <c r="CU540" s="132"/>
      <c r="CV540" s="1122"/>
      <c r="CW540" s="132"/>
      <c r="CX540" s="1122"/>
      <c r="CY540" s="132"/>
      <c r="CZ540" s="1122"/>
      <c r="DA540" s="132"/>
      <c r="DB540" s="1122"/>
      <c r="DC540" s="132"/>
      <c r="DD540" s="1122"/>
      <c r="DE540" s="132"/>
      <c r="DF540" s="1122"/>
      <c r="DG540" s="132"/>
      <c r="DH540" s="1122"/>
      <c r="DI540" s="132"/>
      <c r="DJ540" s="1122"/>
      <c r="DK540" s="132"/>
      <c r="DL540" s="1122"/>
      <c r="DM540" s="132"/>
      <c r="DN540" s="1122"/>
      <c r="DO540" s="132"/>
      <c r="DP540" s="1122"/>
      <c r="DQ540" s="132"/>
      <c r="DR540" s="1122"/>
      <c r="DS540" s="197"/>
      <c r="DT540" s="1122"/>
      <c r="DU540" s="197"/>
      <c r="DV540" s="1122"/>
      <c r="DW540" s="197"/>
      <c r="DX540" s="1122"/>
      <c r="DY540" s="197"/>
      <c r="DZ540" s="1122"/>
      <c r="EA540" s="197"/>
      <c r="EB540" s="1122"/>
      <c r="EC540" s="197"/>
      <c r="ED540" s="1122"/>
      <c r="EE540" s="197"/>
      <c r="EF540" s="1123"/>
      <c r="EG540" s="197"/>
      <c r="EH540" s="1125"/>
      <c r="EI540" s="197"/>
      <c r="EJ540" s="1125"/>
      <c r="EK540" s="197"/>
      <c r="EL540" s="1125"/>
      <c r="EM540" s="197"/>
      <c r="EN540" s="1125"/>
      <c r="EO540" s="197"/>
      <c r="EP540" s="1122"/>
      <c r="EQ540" s="1124"/>
      <c r="ER540" s="1122"/>
      <c r="ES540" s="1124"/>
      <c r="ET540" s="1122"/>
      <c r="EU540" s="1124"/>
      <c r="EV540" s="1122"/>
      <c r="EW540" s="1124"/>
      <c r="EX540" s="1122"/>
      <c r="EY540" s="1126"/>
      <c r="EZ540" s="1127"/>
      <c r="FA540" s="1128"/>
      <c r="FB540" s="1126"/>
      <c r="FC540" s="1122"/>
      <c r="FD540" s="1121"/>
      <c r="FE540" s="1122"/>
      <c r="FF540" s="133"/>
      <c r="FG540" s="1122"/>
      <c r="FH540" s="133"/>
      <c r="FI540" s="1122"/>
      <c r="FJ540" s="133"/>
      <c r="FK540" s="1122"/>
      <c r="FL540" s="133"/>
      <c r="FM540" s="1122"/>
      <c r="FN540" s="133"/>
      <c r="FO540" s="1122"/>
      <c r="FP540" s="133"/>
      <c r="FQ540" s="1122"/>
      <c r="FR540" s="1126"/>
      <c r="FS540" s="1129"/>
      <c r="FT540" s="1126"/>
      <c r="FU540" s="1129"/>
      <c r="FV540" s="1126"/>
      <c r="FW540" s="1122"/>
      <c r="FX540" s="523"/>
      <c r="FY540" s="1122"/>
      <c r="FZ540" s="1126"/>
      <c r="GA540" s="1122"/>
      <c r="GB540" s="523"/>
      <c r="GC540" s="1122"/>
      <c r="GD540" s="1126"/>
      <c r="GE540" s="1122"/>
      <c r="GF540" s="184"/>
      <c r="GG540" s="1122"/>
      <c r="GH540" s="184"/>
      <c r="GI540" s="184"/>
      <c r="GJ540" s="184"/>
      <c r="GK540" s="184"/>
      <c r="GL540" s="184"/>
      <c r="GM540" s="184"/>
      <c r="GN540" s="184"/>
      <c r="GO540" s="184"/>
      <c r="GP540" s="184"/>
      <c r="GQ540" s="184"/>
      <c r="GR540" s="184"/>
      <c r="GS540" s="184"/>
      <c r="GT540" s="184"/>
      <c r="GU540" s="184"/>
      <c r="GV540" s="184"/>
      <c r="GW540" s="184"/>
      <c r="GX540" s="184"/>
      <c r="GY540" s="184"/>
      <c r="GZ540" s="1130"/>
      <c r="HA540" s="1122"/>
      <c r="HC540"/>
      <c r="HD540"/>
      <c r="HE540"/>
      <c r="HF540"/>
      <c r="HG540"/>
      <c r="HH540"/>
    </row>
    <row r="541" spans="1:217" s="5" customFormat="1" ht="12.75" customHeight="1" x14ac:dyDescent="0.2">
      <c r="A541" s="5" t="s">
        <v>209</v>
      </c>
      <c r="B541" s="131" t="s">
        <v>258</v>
      </c>
      <c r="C541" s="284">
        <f>2-11</f>
        <v>-9</v>
      </c>
      <c r="D541" s="230"/>
      <c r="E541" s="284">
        <f>38-19</f>
        <v>19</v>
      </c>
      <c r="F541" s="230"/>
      <c r="G541" s="284">
        <f>13-22</f>
        <v>-9</v>
      </c>
      <c r="H541" s="230"/>
      <c r="I541" s="284">
        <f>-29+4</f>
        <v>-25</v>
      </c>
      <c r="J541" s="230"/>
      <c r="K541" s="284">
        <v>-9</v>
      </c>
      <c r="L541" s="230">
        <f>IF(ISERROR((K541/C541-1)*100),"NA",IF(((K541/C541-1)*100)&gt;100,"NM",IF(((K541/C541-1)*100)&lt;-50,"NM",(K541/C541-1)*100)))</f>
        <v>0</v>
      </c>
      <c r="M541" s="284">
        <v>-10</v>
      </c>
      <c r="N541" s="230" t="str">
        <f>IF(ISERROR((M541/E541-1)*100),"NA",IF(((M541/E541-1)*100)&gt;100,"NM",IF(((M541/E541-1)*100)&lt;-50,"NM",(M541/E541-1)*100)))</f>
        <v>NM</v>
      </c>
      <c r="O541" s="284">
        <f>-29-310+124+6</f>
        <v>-209</v>
      </c>
      <c r="P541" s="230" t="str">
        <f>IF(ISERROR((O541/G541-1)*100),"NA",IF(((O541/G541-1)*100)&gt;100,"NM",IF(((O541/G541-1)*100)&lt;-50,"NM",(O541/G541-1)*100)))</f>
        <v>NM</v>
      </c>
      <c r="Q541" s="284">
        <f>-165+159</f>
        <v>-6</v>
      </c>
      <c r="R541" s="230" t="str">
        <f>IF(ISERROR((Q541/I541-1)*100),"NA",IF(((Q541/I541-1)*100)&gt;100,"NM",IF(((Q541/I541-1)*100)&lt;-50,"NM",(Q541/I541-1)*100)))</f>
        <v>NM</v>
      </c>
      <c r="S541" s="284">
        <f>-124+48</f>
        <v>-76</v>
      </c>
      <c r="T541" s="230" t="str">
        <f>IF(ISERROR((S541/K541-1)*100),"NA",IF(((S541/K541-1)*100)&gt;100,"NM",IF(((S541/K541-1)*100)&lt;-50,"NM",(S541/K541-1)*100)))</f>
        <v>NM</v>
      </c>
      <c r="U541" s="284">
        <v>-4</v>
      </c>
      <c r="V541" s="230" t="str">
        <f>IF(ISERROR((U541/M541-1)*100),"NA",IF(((U541/M541-1)*100)&gt;100,"NM",IF(((U541/M541-1)*100)&lt;-50,"NM",(U541/M541-1)*100)))</f>
        <v>NM</v>
      </c>
      <c r="W541" s="284">
        <v>-70</v>
      </c>
      <c r="X541" s="230" t="str">
        <f>IF(ISERROR((W541/O541-1)*100),"NA",IF(((W541/O541-1)*100)&gt;100,"NM",IF(((W541/O541-1)*100)&lt;-50,"NM",(W541/O541-1)*100)))</f>
        <v>NM</v>
      </c>
      <c r="Y541" s="284">
        <f>-200+20+17</f>
        <v>-163</v>
      </c>
      <c r="Z541" s="230" t="str">
        <f>IF(ISERROR((Y541/Q541-1)*100),"NA",IF(((Y541/Q541-1)*100)&gt;100,"NM",IF(((Y541/Q541-1)*100)&lt;-50,"NM",(Y541/Q541-1)*100)))</f>
        <v>NM</v>
      </c>
      <c r="AA541" s="284">
        <v>-12</v>
      </c>
      <c r="AB541" s="230" t="str">
        <f>IF(ISERROR((AA541/S541-1)*100),"NA",IF(((AA541/S541-1)*100)&gt;100,"NM",IF(((AA541/S541-1)*100)&lt;-50,"NM",(AA541/S541-1)*100)))</f>
        <v>NM</v>
      </c>
      <c r="AC541" s="284">
        <v>41</v>
      </c>
      <c r="AD541" s="230" t="str">
        <f>IF(ISERROR((AC541/U541-1)*100),"NA",IF(((AC541/U541-1)*100)&gt;100,"NM",IF(((AC541/U541-1)*100)&lt;-50,"NM",(AC541/U541-1)*100)))</f>
        <v>NM</v>
      </c>
      <c r="AE541" s="284">
        <v>80</v>
      </c>
      <c r="AF541" s="230" t="str">
        <f>IF(ISERROR((AE541/W541-1)*100),"NA",IF(((AE541/W541-1)*100)&gt;100,"NM",IF(((AE541/W541-1)*100)&lt;-50,"NM",(AE541/W541-1)*100)))</f>
        <v>NM</v>
      </c>
      <c r="AG541" s="284">
        <v>2</v>
      </c>
      <c r="AH541" s="230" t="str">
        <f>IF(ISERROR((AG541/Y541-1)*100),"NA",IF(((AG541/Y541-1)*100)&gt;100,"NM",IF(((AG541/Y541-1)*100)&lt;-50,"NM",(AG541/Y541-1)*100)))</f>
        <v>NM</v>
      </c>
      <c r="AI541" s="284">
        <v>-17</v>
      </c>
      <c r="AJ541" s="230">
        <f>IF(ISERROR((AI541/AA541-1)*100),"NA",IF(((AI541/AA541-1)*100)&gt;100,"NM",IF(((AI541/AA541-1)*100)&lt;-50,"NM",(AI541/AA541-1)*100)))</f>
        <v>41.666666666666671</v>
      </c>
      <c r="AK541" s="284">
        <v>97</v>
      </c>
      <c r="AL541" s="230" t="str">
        <f>IF(ISERROR((AK541/AC541-1)*100),"NA",IF(((AK541/AC541-1)*100)&gt;100,"NM",IF(((AK541/AC541-1)*100)&lt;-50,"NM",(AK541/AC541-1)*100)))</f>
        <v>NM</v>
      </c>
      <c r="AM541" s="284">
        <v>24</v>
      </c>
      <c r="AN541" s="230" t="str">
        <f>IF(ISERROR((AM541/AE541-1)*100),"NA",IF(((AM541/AE541-1)*100)&gt;100,"NM",IF(((AM541/AE541-1)*100)&lt;-50,"NM",(AM541/AE541-1)*100)))</f>
        <v>NM</v>
      </c>
      <c r="AO541" s="284">
        <v>30</v>
      </c>
      <c r="AP541" s="230" t="str">
        <f>IF(ISERROR((AO541/AG541-1)*100),"NA",IF(((AO541/AG541-1)*100)&gt;100,"NM",IF(((AO541/AG541-1)*100)&lt;-50,"NM",(AO541/AG541-1)*100)))</f>
        <v>NM</v>
      </c>
      <c r="AQ541" s="284">
        <v>8</v>
      </c>
      <c r="AR541" s="230" t="str">
        <f>IF(ISERROR((AQ541/AI541-1)*100),"NA",IF(((AQ541/AI541-1)*100)&gt;100,"NM",IF(((AQ541/AI541-1)*100)&lt;-50,"NM",(AQ541/AI541-1)*100)))</f>
        <v>NM</v>
      </c>
      <c r="AS541" s="284">
        <v>77</v>
      </c>
      <c r="AT541" s="230">
        <f>IF(ISERROR((AS541/AK541-1)*100),"NA",IF(((AS541/AK541-1)*100)&gt;100,"NM",IF(((AS541/AK541-1)*100)&lt;-50,"NM",(AS541/AK541-1)*100)))</f>
        <v>-20.618556701030933</v>
      </c>
      <c r="AU541" s="284">
        <v>-3</v>
      </c>
      <c r="AV541" s="230" t="str">
        <f>IF(ISERROR((AU541/AM541-1)*100),"NA",IF(((AU541/AM541-1)*100)&gt;100,"NM",IF(((AU541/AM541-1)*100)&lt;-50,"NM",(AU541/AM541-1)*100)))</f>
        <v>NM</v>
      </c>
      <c r="AW541" s="284">
        <v>-64</v>
      </c>
      <c r="AX541" s="230" t="str">
        <f>IF(ISERROR((AW541/AO541-1)*100),"NA",IF(((AW541/AO541-1)*100)&gt;100,"NM",IF(((AW541/AO541-1)*100)&lt;-50,"NM",(AW541/AO541-1)*100)))</f>
        <v>NM</v>
      </c>
      <c r="AY541" s="284">
        <v>9</v>
      </c>
      <c r="AZ541" s="230">
        <f>IF(ISERROR((AY541/AQ541-1)*100),"NA",IF(((AY541/AQ541-1)*100)&gt;100,"NM",IF(((AY541/AQ541-1)*100)&lt;-50,"NM",(AY541/AQ541-1)*100)))</f>
        <v>12.5</v>
      </c>
      <c r="BA541" s="284">
        <v>-14</v>
      </c>
      <c r="BB541" s="230" t="str">
        <f>IF(ISERROR((BA541/AS541-1)*100),"NA",IF(((BA541/AS541-1)*100)&gt;100,"NM",IF(((BA541/AS541-1)*100)&lt;-50,"NM",(BA541/AS541-1)*100)))</f>
        <v>NM</v>
      </c>
      <c r="BC541" s="284">
        <v>-7</v>
      </c>
      <c r="BD541" s="230" t="str">
        <f>IF(ISERROR((BC541/AU541-1)*100),"NA",IF(((BC541/AU541-1)*100)&gt;100,"NM",IF(((BC541/AU541-1)*100)&lt;-50,"NM",(BC541/AU541-1)*100)))</f>
        <v>NM</v>
      </c>
      <c r="BE541" s="284">
        <v>34</v>
      </c>
      <c r="BF541" s="230" t="str">
        <f>IF(ISERROR((BE541/AW541-1)*100),"NA",IF(((BE541/AW541-1)*100)&gt;100,"NM",IF(((BE541/AW541-1)*100)&lt;-50,"NM",(BE541/AW541-1)*100)))</f>
        <v>NM</v>
      </c>
      <c r="BG541" s="284">
        <v>45</v>
      </c>
      <c r="BH541" s="230" t="str">
        <f>IF(ISERROR((BG541/AY541-1)*100),"NA",IF(((BG541/AY541-1)*100)&gt;100,"NM",IF(((BG541/AY541-1)*100)&lt;-50,"NM",(BG541/AY541-1)*100)))</f>
        <v>NM</v>
      </c>
      <c r="BI541" s="284">
        <v>78</v>
      </c>
      <c r="BJ541" s="230" t="str">
        <f>IF(ISERROR((BI541/BA541-1)*100),"NA",IF(((BI541/BA541-1)*100)&gt;100,"NM",IF(((BI541/BA541-1)*100)&lt;-50,"NM",(BI541/BA541-1)*100)))</f>
        <v>NM</v>
      </c>
      <c r="BK541" s="284">
        <v>45</v>
      </c>
      <c r="BL541" s="230" t="str">
        <f>IF(ISERROR((BK541/BC541-1)*100),"NA",IF(((BK541/BC541-1)*100)&gt;100,"NM",IF(((BK541/BC541-1)*100)&lt;-50,"NM",(BK541/BC541-1)*100)))</f>
        <v>NM</v>
      </c>
      <c r="BM541" s="284">
        <v>-36</v>
      </c>
      <c r="BN541" s="230" t="str">
        <f>IF(ISERROR((BM541/BE541-1)*100),"NA",IF(((BM541/BE541-1)*100)&gt;100,"NM",IF(((BM541/BE541-1)*100)&lt;-50,"NM",(BM541/BE541-1)*100)))</f>
        <v>NM</v>
      </c>
      <c r="BO541" s="284">
        <v>-23</v>
      </c>
      <c r="BP541" s="230" t="str">
        <f>IF(ISERROR((BO541/BG541-1)*100),"NA",IF(((BO541/BG541-1)*100)&gt;100,"NM",IF(((BO541/BG541-1)*100)&lt;-50,"NM",(BO541/BG541-1)*100)))</f>
        <v>NM</v>
      </c>
      <c r="BQ541" s="284">
        <v>-81</v>
      </c>
      <c r="BR541" s="230" t="str">
        <f>IF(ISERROR((BQ541/BI541-1)*100),"NA",IF(((BQ541/BI541-1)*100)&gt;100,"NM",IF(((BQ541/BI541-1)*100)&lt;-50,"NM",(BQ541/BI541-1)*100)))</f>
        <v>NM</v>
      </c>
      <c r="BS541" s="284">
        <v>-220</v>
      </c>
      <c r="BT541" s="230" t="str">
        <f>IF(ISERROR((BS541/BK541-1)*100),"NA",IF(((BS541/BK541-1)*100)&gt;100,"NM",IF(((BS541/BK541-1)*100)&lt;-50,"NM",(BS541/BK541-1)*100)))</f>
        <v>NM</v>
      </c>
      <c r="BU541" s="284">
        <v>-236</v>
      </c>
      <c r="BV541" s="230" t="str">
        <f>IF(ISERROR((BU541/BM541-1)*100),"NA",IF(((BU541/BM541-1)*100)&gt;100,"NM",IF(((BU541/BM541-1)*100)&lt;-50,"NM",(BU541/BM541-1)*100)))</f>
        <v>NM</v>
      </c>
      <c r="BW541" s="284">
        <v>-255</v>
      </c>
      <c r="BX541" s="230" t="str">
        <f>IF(ISERROR((BW541/BO541-1)*100),"NA",IF(((BW541/BO541-1)*100)&gt;100,"NM",IF(((BW541/BO541-1)*100)&lt;-50,"NM",(BW541/BO541-1)*100)))</f>
        <v>NM</v>
      </c>
      <c r="BY541" s="284">
        <v>-170</v>
      </c>
      <c r="BZ541" s="230" t="str">
        <f>IF(ISERROR((BY541/BQ541-1)*100),"NA",IF(((BY541/BQ541-1)*100)&gt;100,"NM",IF(((BY541/BQ541-1)*100)&lt;-50,"NM",(BY541/BQ541-1)*100)))</f>
        <v>NM</v>
      </c>
      <c r="CA541" s="284">
        <v>-148</v>
      </c>
      <c r="CB541" s="230">
        <f>IF(ISERROR((CA541/BS541-1)*100),"NA",IF(((CA541/BS541-1)*100)&gt;100,"NM",IF(((CA541/BS541-1)*100)&lt;-50,"NM",(CA541/BS541-1)*100)))</f>
        <v>-32.727272727272727</v>
      </c>
      <c r="CC541" s="284">
        <v>-175</v>
      </c>
      <c r="CD541" s="230">
        <f>IF(ISERROR((CC541/BU541-1)*100),"NA",IF(((CC541/BU541-1)*100)&gt;100,"NM",IF(((CC541/BU541-1)*100)&lt;-50,"NM",(CC541/BU541-1)*100)))</f>
        <v>-25.847457627118644</v>
      </c>
      <c r="CE541" s="284">
        <v>-127</v>
      </c>
      <c r="CF541" s="230" t="str">
        <f>IF(ISERROR((CE541/BW541-1)*100),"NA",IF(((CE541/BW541-1)*100)&gt;100,"NM",IF(((CE541/BW541-1)*100)&lt;-50,"NM",(CE541/BW541-1)*100)))</f>
        <v>NM</v>
      </c>
      <c r="CG541" s="284">
        <v>-108</v>
      </c>
      <c r="CH541" s="230">
        <f>IF(ISERROR((CG541/BY541-1)*100),"NA",IF(((CG541/BY541-1)*100)&gt;100,"NM",IF(((CG541/BY541-1)*100)&lt;-50,"NM",(CG541/BY541-1)*100)))</f>
        <v>-36.470588235294123</v>
      </c>
      <c r="CI541" s="284">
        <v>-178</v>
      </c>
      <c r="CJ541" s="230">
        <f>IF(ISERROR((CI541/CA541-1)*100),"NA",IF(((CI541/CA541-1)*100)&gt;100,"NM",IF(((CI541/CA541-1)*100)&lt;-50,"NM",(CI541/CA541-1)*100)))</f>
        <v>20.270270270270263</v>
      </c>
      <c r="CK541" s="284">
        <v>-2</v>
      </c>
      <c r="CL541" s="230" t="str">
        <f>IF(ISERROR((CK541/CC541-1)*100),"NA",IF(((CK541/CC541-1)*100)&gt;100,"NM",IF(((CK541/CC541-1)*100)&lt;-50,"NM",(CK541/CC541-1)*100)))</f>
        <v>NM</v>
      </c>
      <c r="CM541" s="284">
        <v>-9</v>
      </c>
      <c r="CN541" s="230" t="str">
        <f>IF(ISERROR((CM541/CE541-1)*100),"NA",IF(((CM541/CE541-1)*100)&gt;100,"NM",IF(((CM541/CE541-1)*100)&lt;-50,"NM",(CM541/CE541-1)*100)))</f>
        <v>NM</v>
      </c>
      <c r="CO541" s="284">
        <v>-43</v>
      </c>
      <c r="CP541" s="230" t="str">
        <f>IF(ISERROR((CO541/CG541-1)*100),"NA",IF(((CO541/CG541-1)*100)&gt;100,"NM",IF(((CO541/CG541-1)*100)&lt;-50,"NM",(CO541/CG541-1)*100)))</f>
        <v>NM</v>
      </c>
      <c r="CQ541" s="562">
        <v>-102</v>
      </c>
      <c r="CR541" s="230">
        <f>IF(ISERROR((CQ541/CI541-1)*100),"NA",IF(((CQ541/CI541-1)*100)&gt;100,"NM",IF(((CQ541/CI541-1)*100)&lt;-50,"NM",(CQ541/CI541-1)*100)))</f>
        <v>-42.696629213483149</v>
      </c>
      <c r="CS541" s="284">
        <v>-95</v>
      </c>
      <c r="CT541" s="230" t="str">
        <f>IF(ISERROR((CS541/CK541-1)*100),"NA",IF(((CS541/CK541-1)*100)&gt;100,"NM",IF(((CS541/CK541-1)*100)&lt;-50,"NM",(CS541/CK541-1)*100)))</f>
        <v>NM</v>
      </c>
      <c r="CU541" s="284">
        <v>-67</v>
      </c>
      <c r="CV541" s="230" t="str">
        <f>IF(ISERROR((CU541/CM541-1)*100),"NA",IF(((CU541/CM541-1)*100)&gt;100,"NM",IF(((CU541/CM541-1)*100)&lt;-50,"NM",(CU541/CM541-1)*100)))</f>
        <v>NM</v>
      </c>
      <c r="CW541" s="284">
        <v>-53</v>
      </c>
      <c r="CX541" s="230">
        <f>IF(ISERROR((CW541/CO541-1)*100),"NA",IF(((CW541/CO541-1)*100)&gt;100,"NM",IF(((CW541/CO541-1)*100)&lt;-50,"NM",(CW541/CO541-1)*100)))</f>
        <v>23.255813953488371</v>
      </c>
      <c r="CY541" s="284">
        <v>-134</v>
      </c>
      <c r="CZ541" s="230">
        <f>IF(ISERROR((CY541/CQ541-1)*100),"NA",IF(((CY541/CQ541-1)*100)&gt;100,"NM",IF(((CY541/CQ541-1)*100)&lt;-50,"NM",(CY541/CQ541-1)*100)))</f>
        <v>31.372549019607842</v>
      </c>
      <c r="DA541" s="284">
        <v>-137</v>
      </c>
      <c r="DB541" s="230">
        <f>IF(ISERROR((DA541/CS541-1)*100),"NA",IF(((DA541/CS541-1)*100)&gt;100,"NM",IF(((DA541/CS541-1)*100)&lt;-50,"NM",(DA541/CS541-1)*100)))</f>
        <v>44.21052631578948</v>
      </c>
      <c r="DC541" s="284">
        <v>-86</v>
      </c>
      <c r="DD541" s="230">
        <f>IF(ISERROR((DC541/CU541-1)*100),"NA",IF(((DC541/CU541-1)*100)&gt;100,"NM",IF(((DC541/CU541-1)*100)&lt;-50,"NM",(DC541/CU541-1)*100)))</f>
        <v>28.358208955223873</v>
      </c>
      <c r="DE541" s="284">
        <v>-140</v>
      </c>
      <c r="DF541" s="230" t="str">
        <f>IF(ISERROR((DE541/CW541-1)*100),"NA",IF(((DE541/CW541-1)*100)&gt;100,"NM",IF(((DE541/CW541-1)*100)&lt;-50,"NM",(DE541/CW541-1)*100)))</f>
        <v>NM</v>
      </c>
      <c r="DG541" s="284">
        <v>-163</v>
      </c>
      <c r="DH541" s="230">
        <f>IF(ISERROR((DG541/CY541-1)*100),"NA",IF(((DG541/CY541-1)*100)&gt;100,"NM",IF(((DG541/CY541-1)*100)&lt;-50,"NM",(DG541/CY541-1)*100)))</f>
        <v>21.641791044776127</v>
      </c>
      <c r="DI541" s="284">
        <v>-278</v>
      </c>
      <c r="DJ541" s="230" t="str">
        <f>IF(ISERROR((DI541/DA541-1)*100),"NA",IF(((DI541/DA541-1)*100)&gt;100,"NM",IF(((DI541/DA541-1)*100)&lt;-50,"NM",(DI541/DA541-1)*100)))</f>
        <v>NM</v>
      </c>
      <c r="DK541" s="284">
        <v>-166</v>
      </c>
      <c r="DL541" s="230">
        <f>IF(ISERROR((DK541/DC541-1)*100),"NA",IF(((DK541/DC541-1)*100)&gt;100,"NM",IF(((DK541/DC541-1)*100)&lt;-50,"NM",(DK541/DC541-1)*100)))</f>
        <v>93.023255813953497</v>
      </c>
      <c r="DM541" s="284">
        <v>-191</v>
      </c>
      <c r="DN541" s="98">
        <f t="shared" ref="DN541:DZ545" si="3271">IF(ISERROR((DM541/DE541-1)*100),"NA",IF(((DM541/DE541-1)*100)&gt;100,"NM",IF(((DM541/DE541-1)*100)&lt;-50,"NM",(DM541/DE541-1)*100)))</f>
        <v>36.428571428571431</v>
      </c>
      <c r="DO541" s="284">
        <v>-106</v>
      </c>
      <c r="DP541" s="98">
        <f t="shared" si="3271"/>
        <v>-34.969325153374228</v>
      </c>
      <c r="DQ541" s="284">
        <v>-289</v>
      </c>
      <c r="DR541" s="98">
        <f t="shared" si="3271"/>
        <v>3.9568345323740983</v>
      </c>
      <c r="DS541" s="1016">
        <f>DS537</f>
        <v>-151</v>
      </c>
      <c r="DT541" s="98">
        <f t="shared" si="3271"/>
        <v>-9.0361445783132552</v>
      </c>
      <c r="DU541" s="1016">
        <f>DU537</f>
        <v>-176</v>
      </c>
      <c r="DV541" s="98">
        <f t="shared" si="3271"/>
        <v>-7.8534031413612588</v>
      </c>
      <c r="DW541" s="1016">
        <f>DW537</f>
        <v>-983</v>
      </c>
      <c r="DX541" s="98" t="str">
        <f t="shared" si="3271"/>
        <v>NM</v>
      </c>
      <c r="DY541" s="1016">
        <f>DY537</f>
        <v>-210</v>
      </c>
      <c r="DZ541" s="98">
        <f t="shared" si="3271"/>
        <v>-27.335640138408301</v>
      </c>
      <c r="EA541" s="1016">
        <f>EA537</f>
        <v>-190</v>
      </c>
      <c r="EB541" s="98">
        <f t="shared" ref="EB541:EB545" si="3272">IF(ISERROR((EA541/DS541-1)*100),"NA",IF(((EA541/DS541-1)*100)&gt;100,"NM",IF(((EA541/DS541-1)*100)&lt;-50,"NM",(EA541/DS541-1)*100)))</f>
        <v>25.827814569536422</v>
      </c>
      <c r="EC541" s="1016">
        <f>EC537</f>
        <v>-244</v>
      </c>
      <c r="ED541" s="98">
        <f t="shared" ref="ED541:ED545" si="3273">IF(ISERROR((EC541/DU541-1)*100),"NA",IF(((EC541/DU541-1)*100)&gt;100,"NM",IF(((EC541/DU541-1)*100)&lt;-50,"NM",(EC541/DU541-1)*100)))</f>
        <v>38.636363636363647</v>
      </c>
      <c r="EE541" s="1016">
        <f>EE537</f>
        <v>6</v>
      </c>
      <c r="EF541" s="860" t="str">
        <f t="shared" ref="EF541:EF545" si="3274">IF(ISERROR((EE541/DW541-1)*100),"NA",IF(((EE541/DW541-1)*100)&gt;100,"NM",IF(((EE541/DW541-1)*100)&lt;-50,"NM",(EE541/DW541-1)*100)))</f>
        <v>NM</v>
      </c>
      <c r="EG541" s="1016">
        <f>EG537</f>
        <v>-203</v>
      </c>
      <c r="EH541" s="860">
        <f t="shared" ref="EH541:EH545" si="3275">IF(ISERROR((EG541/DY541-1)*100),"NA",IF(((EG541/DY541-1)*100)&gt;100,"NM",IF(((EG541/DY541-1)*100)&lt;-50,"NM",(EG541/DY541-1)*100)))</f>
        <v>-3.3333333333333326</v>
      </c>
      <c r="EI541" s="1016">
        <f>EI537</f>
        <v>-76</v>
      </c>
      <c r="EJ541" s="860" t="str">
        <f t="shared" ref="EJ541:EJ545" si="3276">IF(ISERROR((EI541/EA541-1)*100),"NA",IF(((EI541/EA541-1)*100)&gt;100,"NM",IF(((EI541/EA541-1)*100)&lt;-50,"NM",(EI541/EA541-1)*100)))</f>
        <v>NM</v>
      </c>
      <c r="EK541" s="1016">
        <f>EK537</f>
        <v>-145</v>
      </c>
      <c r="EL541" s="860">
        <f t="shared" ref="EL541:EL545" si="3277">IF(ISERROR((EK541/EC541-1)*100),"NA",IF(((EK541/EC541-1)*100)&gt;100,"NM",IF(((EK541/EC541-1)*100)&lt;-50,"NM",(EK541/EC541-1)*100)))</f>
        <v>-40.573770491803273</v>
      </c>
      <c r="EM541" s="1016">
        <f>EM537</f>
        <v>-336</v>
      </c>
      <c r="EN541" s="860" t="str">
        <f t="shared" ref="EN541:EN545" si="3278">IF(ISERROR((EM541/EE541-1)*100),"NA",IF(((EM541/EE541-1)*100)&gt;100,"NM",IF(((EM541/EE541-1)*100)&lt;-50,"NM",(EM541/EE541-1)*100)))</f>
        <v>NM</v>
      </c>
      <c r="EO541" s="1016">
        <f>EO537</f>
        <v>-528</v>
      </c>
      <c r="EP541" s="98" t="str">
        <f t="shared" ref="EP541:EP545" si="3279">IF(ISERROR((EO541/EG541-1)*100),"NA",IF(((EO541/EG541-1)*100)&gt;100,"NM",IF(((EO541/EG541-1)*100)&lt;-50,"NM",(EO541/EG541-1)*100)))</f>
        <v>NM</v>
      </c>
      <c r="EQ541" s="1016">
        <f>EQ537</f>
        <v>-202.60850000000002</v>
      </c>
      <c r="ER541" s="98" t="str">
        <f t="shared" ref="ER541:ER545" si="3280">IF(ISERROR((EQ541/EI541-1)*100),"NA",IF(((EQ541/EI541-1)*100)&gt;100,"NM",IF(((EQ541/EI541-1)*100)&lt;-50,"NM",(EQ541/EI541-1)*100)))</f>
        <v>NM</v>
      </c>
      <c r="ES541" s="1016">
        <f>ES537</f>
        <v>-203.641785</v>
      </c>
      <c r="ET541" s="98">
        <f t="shared" ref="ET541:ET545" si="3281">IF(ISERROR((ES541/EK541-1)*100),"NA",IF(((ES541/EK541-1)*100)&gt;100,"NM",IF(((ES541/EK541-1)*100)&lt;-50,"NM",(ES541/EK541-1)*100)))</f>
        <v>40.442610344827592</v>
      </c>
      <c r="EU541" s="1016">
        <f>EU537</f>
        <v>-204.68540284999997</v>
      </c>
      <c r="EV541" s="98">
        <f t="shared" ref="EV541:EV545" si="3282">IF(ISERROR((EU541/EM541-1)*100),"NA",IF(((EU541/EM541-1)*100)&gt;100,"NM",IF(((EU541/EM541-1)*100)&lt;-50,"NM",(EU541/EM541-1)*100)))</f>
        <v>-39.081725342261905</v>
      </c>
      <c r="EW541" s="1016">
        <f>EW537</f>
        <v>-205.73945687849999</v>
      </c>
      <c r="EX541" s="98" t="str">
        <f t="shared" ref="EX541:EX545" si="3283">IF(ISERROR((EW541/EO541-1)*100),"NA",IF(((EW541/EO541-1)*100)&gt;100,"NM",IF(((EW541/EO541-1)*100)&lt;-50,"NM",(EW541/EO541-1)*100)))</f>
        <v>NM</v>
      </c>
      <c r="EY541" s="436"/>
      <c r="EZ541" s="604"/>
      <c r="FA541" s="414"/>
      <c r="FB541" s="326" t="s">
        <v>494</v>
      </c>
      <c r="FC541" s="326"/>
      <c r="FD541" s="436">
        <f>-233-50+317</f>
        <v>34</v>
      </c>
      <c r="FE541" s="230" t="str">
        <f>IF(ISERROR((FD541/FB541-1)*100),"NA",IF(((FD541/FB541-1)*100)&gt;100,"NM",IF(((FD541/FB541-1)*100)&lt;-50,"NM",(FD541/FB541-1)*100)))</f>
        <v>NA</v>
      </c>
      <c r="FF541" s="183">
        <f>+G541+E541+C541+I541</f>
        <v>-24</v>
      </c>
      <c r="FG541" s="230" t="str">
        <f>IF(ISERROR((FF541/FD541-1)*100),"NA",IF(((FF541/FD541-1)*100)&gt;100,"NM",IF(((FF541/FD541-1)*100)&lt;-50,"NM",(FF541/FD541-1)*100)))</f>
        <v>NM</v>
      </c>
      <c r="FH541" s="183">
        <f>+Q541+O541+M541+K541</f>
        <v>-234</v>
      </c>
      <c r="FI541" s="230" t="str">
        <f>IF(ISERROR((FH541/FF541-1)*100),"NA",IF(((FH541/FF541-1)*100)&gt;100,"NM",IF(((FH541/FF541-1)*100)&lt;-50,"NM",(FH541/FF541-1)*100)))</f>
        <v>NM</v>
      </c>
      <c r="FJ541" s="183">
        <f>S541+U541+W541+Y541</f>
        <v>-313</v>
      </c>
      <c r="FK541" s="230">
        <f>IF(ISERROR((FJ541/FH541-1)*100),"NA",IF(((FJ541/FH541-1)*100)&gt;100,"NM",IF(((FJ541/FH541-1)*100)&lt;-50,"NM",(FJ541/FH541-1)*100)))</f>
        <v>33.760683760683754</v>
      </c>
      <c r="FL541" s="183">
        <f>AA541+AC541+AE541+AG541</f>
        <v>111</v>
      </c>
      <c r="FM541" s="230" t="str">
        <f>IF(ISERROR((FL541/FJ541-1)*100),"NA",IF(((FL541/FJ541-1)*100)&gt;100,"NM",IF(((FL541/FJ541-1)*100)&lt;-50,"NM",(FL541/FJ541-1)*100)))</f>
        <v>NM</v>
      </c>
      <c r="FN541" s="183">
        <f>AI541+AK541+AM541+AO541</f>
        <v>134</v>
      </c>
      <c r="FO541" s="230">
        <f>IF(ISERROR((FN541/FL541-1)*100),"NA",IF(((FN541/FL541-1)*100)&gt;100,"NM",IF(((FN541/FL541-1)*100)&lt;-50,"NM",(FN541/FL541-1)*100)))</f>
        <v>20.720720720720731</v>
      </c>
      <c r="FP541" s="183">
        <f>AQ541+AS541+AU541+AW541</f>
        <v>18</v>
      </c>
      <c r="FQ541" s="230" t="str">
        <f>IF(ISERROR((FP541/FN541-1)*100),"NA",IF(((FP541/FN541-1)*100)&gt;100,"NM",IF(((FP541/FN541-1)*100)&lt;-50,"NM",(FP541/FN541-1)*100)))</f>
        <v>NM</v>
      </c>
      <c r="FR541" s="184">
        <f>AY541+BA541+BC541+BE541</f>
        <v>22</v>
      </c>
      <c r="FS541" s="575">
        <f>IF(ISERROR((FR541/FP541-1)*100),"NA",IF(((FR541/FP541-1)*100)&gt;100,"NM",IF(((FR541/FP541-1)*100)&lt;-50,"NM",(FR541/FP541-1)*100)))</f>
        <v>22.222222222222232</v>
      </c>
      <c r="FT541" s="184">
        <f>BG541+BI541+BK541+BM541</f>
        <v>132</v>
      </c>
      <c r="FU541" s="230" t="str">
        <f t="shared" ref="FU541:GW543" si="3284">IF(ISERROR((FT541/FR541-1)*100),"NA",IF(((FT541/FR541-1)*100)&gt;100,"NM",IF(((FT541/FR541-1)*100)&lt;-50,"NM",(FT541/FR541-1)*100)))</f>
        <v>NM</v>
      </c>
      <c r="FV541" s="436">
        <v>-608</v>
      </c>
      <c r="FW541" s="230" t="str">
        <f t="shared" si="3284"/>
        <v>NM</v>
      </c>
      <c r="FX541" s="498">
        <f>BW541+BY541+CA541+CC541</f>
        <v>-748</v>
      </c>
      <c r="FY541" s="230">
        <f t="shared" si="3284"/>
        <v>23.026315789473696</v>
      </c>
      <c r="FZ541" s="184">
        <f>CE541+CG541+CI541+CK541</f>
        <v>-415</v>
      </c>
      <c r="GA541" s="230">
        <f t="shared" si="3284"/>
        <v>-44.518716577540104</v>
      </c>
      <c r="GB541" s="562">
        <v>-306</v>
      </c>
      <c r="GC541" s="98">
        <f t="shared" si="3284"/>
        <v>-26.265060240963855</v>
      </c>
      <c r="GD541" s="184">
        <f>CU541+CW541+CY541+DA541</f>
        <v>-391</v>
      </c>
      <c r="GE541" s="98">
        <f t="shared" si="3284"/>
        <v>27.777777777777768</v>
      </c>
      <c r="GF541" s="184">
        <f>DC541+DE541+DG541+DI541</f>
        <v>-667</v>
      </c>
      <c r="GG541" s="98">
        <f t="shared" si="3284"/>
        <v>70.588235294117638</v>
      </c>
      <c r="GH541" s="184">
        <f>DK541+DM541+DO541+DQ541</f>
        <v>-752</v>
      </c>
      <c r="GI541" s="98">
        <f t="shared" si="3284"/>
        <v>12.743628185907042</v>
      </c>
      <c r="GJ541" s="1016">
        <f>GJ537</f>
        <v>-1520</v>
      </c>
      <c r="GK541" s="98" t="str">
        <f t="shared" si="3284"/>
        <v>NM</v>
      </c>
      <c r="GL541" s="1016">
        <f>GL537</f>
        <v>-631</v>
      </c>
      <c r="GM541" s="98" t="str">
        <f t="shared" si="3284"/>
        <v>NM</v>
      </c>
      <c r="GN541" s="1016">
        <f>GN537</f>
        <v>-1085</v>
      </c>
      <c r="GO541" s="98">
        <f t="shared" si="3284"/>
        <v>71.949286846275754</v>
      </c>
      <c r="GP541" s="1016">
        <f>GP537</f>
        <v>-816.67514472850007</v>
      </c>
      <c r="GQ541" s="98">
        <f t="shared" si="3284"/>
        <v>-24.730401407511515</v>
      </c>
      <c r="GR541" s="1016">
        <f>GR537</f>
        <v>-817.4698606120719</v>
      </c>
      <c r="GS541" s="98">
        <f t="shared" si="3284"/>
        <v>9.7311138792655072E-2</v>
      </c>
      <c r="GT541" s="1016">
        <f>GT537</f>
        <v>-733.9362878157126</v>
      </c>
      <c r="GU541" s="98">
        <f t="shared" si="3284"/>
        <v>-10.218550777372315</v>
      </c>
      <c r="GV541" s="1016">
        <f>GV537</f>
        <v>-720.48130331143943</v>
      </c>
      <c r="GW541" s="98">
        <f t="shared" si="3284"/>
        <v>-1.8332632856071118</v>
      </c>
      <c r="GX541" s="1016">
        <f>GX537</f>
        <v>-707.09954279361193</v>
      </c>
      <c r="GY541" s="98">
        <f t="shared" ref="GY541:GY543" si="3285">IF(ISERROR((GX541/GV541-1)*100),"NA",IF(((GX541/GV541-1)*100)&gt;100,"NM",IF(((GX541/GV541-1)*100)&lt;-50,"NM",(GX541/GV541-1)*100)))</f>
        <v>-1.8573362634565216</v>
      </c>
      <c r="GZ541" s="98">
        <f>IF(ISERROR(((GX541/GN541)^0.2-1)*100),"NA",IF((((GX541/GN541)^0.2-1)*100)&gt;100,"NM",IF((((GX541/GN541)^0.2-1)*100)&lt;-50,"NM",((GX541/GN541)^0.2-1)*100)))</f>
        <v>-8.2068732153570583</v>
      </c>
      <c r="HA541" s="98"/>
      <c r="HB541" s="15"/>
      <c r="HC541"/>
      <c r="HD541"/>
      <c r="HE541"/>
      <c r="HF541"/>
      <c r="HG541"/>
      <c r="HH541"/>
      <c r="HI541" s="15"/>
    </row>
    <row r="542" spans="1:217" s="10" customFormat="1" ht="12.75" customHeight="1" x14ac:dyDescent="0.2">
      <c r="B542" s="102" t="s">
        <v>341</v>
      </c>
      <c r="C542" s="204"/>
      <c r="D542" s="98"/>
      <c r="E542" s="204"/>
      <c r="F542" s="98"/>
      <c r="G542" s="204"/>
      <c r="H542" s="98"/>
      <c r="I542" s="204"/>
      <c r="J542" s="236"/>
      <c r="K542" s="204"/>
      <c r="L542" s="236"/>
      <c r="M542" s="204"/>
      <c r="N542" s="236"/>
      <c r="O542" s="204"/>
      <c r="P542" s="236"/>
      <c r="Q542" s="204"/>
      <c r="R542" s="236"/>
      <c r="S542" s="204"/>
      <c r="T542" s="236"/>
      <c r="U542" s="204"/>
      <c r="V542" s="236"/>
      <c r="W542" s="204"/>
      <c r="X542" s="236"/>
      <c r="Y542" s="204"/>
      <c r="Z542" s="236"/>
      <c r="AA542" s="204"/>
      <c r="AB542" s="236"/>
      <c r="AC542" s="204"/>
      <c r="AD542" s="236"/>
      <c r="AE542" s="204"/>
      <c r="AF542" s="236"/>
      <c r="AG542" s="204"/>
      <c r="AH542" s="236"/>
      <c r="AI542" s="204"/>
      <c r="AJ542" s="236"/>
      <c r="AK542" s="204"/>
      <c r="AL542" s="236"/>
      <c r="AM542" s="204"/>
      <c r="AN542" s="236"/>
      <c r="AO542" s="204"/>
      <c r="AP542" s="236"/>
      <c r="AQ542" s="204"/>
      <c r="AR542" s="236"/>
      <c r="AS542" s="221">
        <v>-10</v>
      </c>
      <c r="AT542" s="236" t="str">
        <f>IF(ISERROR((AS542/AK542-1)*100),"NA",IF(((AS542/AK542-1)*100)&gt;100,"NM",IF(((AS542/AK542-1)*100)&lt;-50,"NM",(AS542/AK542-1)*100)))</f>
        <v>NA</v>
      </c>
      <c r="AU542" s="221">
        <v>-15</v>
      </c>
      <c r="AV542" s="236" t="str">
        <f>IF(ISERROR((AU542/AM542-1)*100),"NA",IF(((AU542/AM542-1)*100)&gt;100,"NM",IF(((AU542/AM542-1)*100)&lt;-50,"NM",(AU542/AM542-1)*100)))</f>
        <v>NA</v>
      </c>
      <c r="AW542" s="221">
        <v>-17.5</v>
      </c>
      <c r="AX542" s="236" t="str">
        <f>IF(ISERROR((AW542/AO542-1)*100),"NA",IF(((AW542/AO542-1)*100)&gt;100,"NM",IF(((AW542/AO542-1)*100)&lt;-50,"NM",(AW542/AO542-1)*100)))</f>
        <v>NA</v>
      </c>
      <c r="AY542" s="101">
        <v>-4</v>
      </c>
      <c r="AZ542" s="236" t="str">
        <f>IF(ISERROR((AY542/AQ542-1)*100),"NA",IF(((AY542/AQ542-1)*100)&gt;100,"NM",IF(((AY542/AQ542-1)*100)&lt;-50,"NM",(AY542/AQ542-1)*100)))</f>
        <v>NA</v>
      </c>
      <c r="BA542" s="101">
        <v>-10</v>
      </c>
      <c r="BB542" s="236">
        <f>IF(ISERROR((BA542/AS542-1)*100),"NA",IF(((BA542/AS542-1)*100)&gt;100,"NM",IF(((BA542/AS542-1)*100)&lt;-50,"NM",(BA542/AS542-1)*100)))</f>
        <v>0</v>
      </c>
      <c r="BC542" s="101">
        <v>-7</v>
      </c>
      <c r="BD542" s="236" t="str">
        <f>IF(ISERROR((BC542/AU542-1)*100),"NA",IF(((BC542/AU542-1)*100)&gt;100,"NM",IF(((BC542/AU542-1)*100)&lt;-50,"NM",(BC542/AU542-1)*100)))</f>
        <v>NM</v>
      </c>
      <c r="BE542" s="101">
        <v>-5</v>
      </c>
      <c r="BF542" s="236" t="str">
        <f>IF(ISERROR((BE542/AW542-1)*100),"NA",IF(((BE542/AW542-1)*100)&gt;100,"NM",IF(((BE542/AW542-1)*100)&lt;-50,"NM",(BE542/AW542-1)*100)))</f>
        <v>NM</v>
      </c>
      <c r="BG542" s="101">
        <v>0</v>
      </c>
      <c r="BH542" s="236" t="str">
        <f>IF(ISERROR((BG542/AY542-1)*100),"NA",IF(((BG542/AY542-1)*100)&gt;100,"NM",IF(((BG542/AY542-1)*100)&lt;-50,"NM",(BG542/AY542-1)*100)))</f>
        <v>NM</v>
      </c>
      <c r="BI542" s="101">
        <v>0</v>
      </c>
      <c r="BJ542" s="236" t="str">
        <f>IF(ISERROR((BI542/BA542-1)*100),"NA",IF(((BI542/BA542-1)*100)&gt;100,"NM",IF(((BI542/BA542-1)*100)&lt;-50,"NM",(BI542/BA542-1)*100)))</f>
        <v>NM</v>
      </c>
      <c r="BK542" s="101">
        <v>0</v>
      </c>
      <c r="BL542" s="236" t="str">
        <f>IF(ISERROR((BK542/BC542-1)*100),"NA",IF(((BK542/BC542-1)*100)&gt;100,"NM",IF(((BK542/BC542-1)*100)&lt;-50,"NM",(BK542/BC542-1)*100)))</f>
        <v>NM</v>
      </c>
      <c r="BM542" s="101">
        <v>0</v>
      </c>
      <c r="BN542" s="236" t="str">
        <f>IF(ISERROR((BM542/BE542-1)*100),"NA",IF(((BM542/BE542-1)*100)&gt;100,"NM",IF(((BM542/BE542-1)*100)&lt;-50,"NM",(BM542/BE542-1)*100)))</f>
        <v>NM</v>
      </c>
      <c r="BO542" s="101">
        <v>0</v>
      </c>
      <c r="BP542" s="236" t="str">
        <f>IF(ISERROR((BO542/BG542-1)*100),"NA",IF(((BO542/BG542-1)*100)&gt;100,"NM",IF(((BO542/BG542-1)*100)&lt;-50,"NM",(BO542/BG542-1)*100)))</f>
        <v>NA</v>
      </c>
      <c r="BQ542" s="101">
        <v>0</v>
      </c>
      <c r="BR542" s="236" t="str">
        <f>IF(ISERROR((BQ542/BI542-1)*100),"NA",IF(((BQ542/BI542-1)*100)&gt;100,"NM",IF(((BQ542/BI542-1)*100)&lt;-50,"NM",(BQ542/BI542-1)*100)))</f>
        <v>NA</v>
      </c>
      <c r="BS542" s="101">
        <v>0</v>
      </c>
      <c r="BT542" s="236" t="str">
        <f>IF(ISERROR((BS542/BK542-1)*100),"NA",IF(((BS542/BK542-1)*100)&gt;100,"NM",IF(((BS542/BK542-1)*100)&lt;-50,"NM",(BS542/BK542-1)*100)))</f>
        <v>NA</v>
      </c>
      <c r="BU542" s="101">
        <v>0</v>
      </c>
      <c r="BV542" s="236" t="str">
        <f>IF(ISERROR((BU542/BM542-1)*100),"NA",IF(((BU542/BM542-1)*100)&gt;100,"NM",IF(((BU542/BM542-1)*100)&lt;-50,"NM",(BU542/BM542-1)*100)))</f>
        <v>NA</v>
      </c>
      <c r="BW542" s="101">
        <v>0</v>
      </c>
      <c r="BX542" s="236" t="str">
        <f>IF(ISERROR((BW542/BO542-1)*100),"NA",IF(((BW542/BO542-1)*100)&gt;100,"NM",IF(((BW542/BO542-1)*100)&lt;-50,"NM",(BW542/BO542-1)*100)))</f>
        <v>NA</v>
      </c>
      <c r="BY542" s="101">
        <v>0</v>
      </c>
      <c r="BZ542" s="236" t="str">
        <f>IF(ISERROR((BY542/BQ542-1)*100),"NA",IF(((BY542/BQ542-1)*100)&gt;100,"NM",IF(((BY542/BQ542-1)*100)&lt;-50,"NM",(BY542/BQ542-1)*100)))</f>
        <v>NA</v>
      </c>
      <c r="CA542" s="101">
        <v>0</v>
      </c>
      <c r="CB542" s="236" t="str">
        <f>IF(ISERROR((CA542/BS542-1)*100),"NA",IF(((CA542/BS542-1)*100)&gt;100,"NM",IF(((CA542/BS542-1)*100)&lt;-50,"NM",(CA542/BS542-1)*100)))</f>
        <v>NA</v>
      </c>
      <c r="CC542" s="101">
        <v>0</v>
      </c>
      <c r="CD542" s="236" t="str">
        <f>IF(ISERROR((CC542/BU542-1)*100),"NA",IF(((CC542/BU542-1)*100)&gt;100,"NM",IF(((CC542/BU542-1)*100)&lt;-50,"NM",(CC542/BU542-1)*100)))</f>
        <v>NA</v>
      </c>
      <c r="CE542" s="101">
        <v>0</v>
      </c>
      <c r="CF542" s="236" t="str">
        <f>IF(ISERROR((CE542/BW542-1)*100),"NA",IF(((CE542/BW542-1)*100)&gt;100,"NM",IF(((CE542/BW542-1)*100)&lt;-50,"NM",(CE542/BW542-1)*100)))</f>
        <v>NA</v>
      </c>
      <c r="CG542" s="101">
        <v>0</v>
      </c>
      <c r="CH542" s="236" t="str">
        <f>IF(ISERROR((CG542/BY542-1)*100),"NA",IF(((CG542/BY542-1)*100)&gt;100,"NM",IF(((CG542/BY542-1)*100)&lt;-50,"NM",(CG542/BY542-1)*100)))</f>
        <v>NA</v>
      </c>
      <c r="CI542" s="101">
        <v>0</v>
      </c>
      <c r="CJ542" s="236" t="str">
        <f>IF(ISERROR((CI542/CA542-1)*100),"NA",IF(((CI542/CA542-1)*100)&gt;100,"NM",IF(((CI542/CA542-1)*100)&lt;-50,"NM",(CI542/CA542-1)*100)))</f>
        <v>NA</v>
      </c>
      <c r="CK542" s="101">
        <v>0</v>
      </c>
      <c r="CL542" s="236" t="str">
        <f>IF(ISERROR((CK542/CC542-1)*100),"NA",IF(((CK542/CC542-1)*100)&gt;100,"NM",IF(((CK542/CC542-1)*100)&lt;-50,"NM",(CK542/CC542-1)*100)))</f>
        <v>NA</v>
      </c>
      <c r="CM542" s="101">
        <v>0</v>
      </c>
      <c r="CN542" s="236" t="str">
        <f>IF(ISERROR((CM542/CE542-1)*100),"NA",IF(((CM542/CE542-1)*100)&gt;100,"NM",IF(((CM542/CE542-1)*100)&lt;-50,"NM",(CM542/CE542-1)*100)))</f>
        <v>NA</v>
      </c>
      <c r="CO542" s="101">
        <v>0</v>
      </c>
      <c r="CP542" s="236" t="str">
        <f>IF(ISERROR((CO542/CG542-1)*100),"NA",IF(((CO542/CG542-1)*100)&gt;100,"NM",IF(((CO542/CG542-1)*100)&lt;-50,"NM",(CO542/CG542-1)*100)))</f>
        <v>NA</v>
      </c>
      <c r="CQ542" s="542">
        <v>0</v>
      </c>
      <c r="CR542" s="236" t="str">
        <f>IF(ISERROR((CQ542/CI542-1)*100),"NA",IF(((CQ542/CI542-1)*100)&gt;100,"NM",IF(((CQ542/CI542-1)*100)&lt;-50,"NM",(CQ542/CI542-1)*100)))</f>
        <v>NA</v>
      </c>
      <c r="CS542" s="101">
        <v>0</v>
      </c>
      <c r="CT542" s="236" t="str">
        <f>IF(ISERROR((CS542/CK542-1)*100),"NA",IF(((CS542/CK542-1)*100)&gt;100,"NM",IF(((CS542/CK542-1)*100)&lt;-50,"NM",(CS542/CK542-1)*100)))</f>
        <v>NA</v>
      </c>
      <c r="CU542" s="101">
        <v>0</v>
      </c>
      <c r="CV542" s="236" t="str">
        <f>IF(ISERROR((CU542/CM542-1)*100),"NA",IF(((CU542/CM542-1)*100)&gt;100,"NM",IF(((CU542/CM542-1)*100)&lt;-50,"NM",(CU542/CM542-1)*100)))</f>
        <v>NA</v>
      </c>
      <c r="CW542" s="101">
        <v>0</v>
      </c>
      <c r="CX542" s="236" t="str">
        <f>IF(ISERROR((CW542/CO542-1)*100),"NA",IF(((CW542/CO542-1)*100)&gt;100,"NM",IF(((CW542/CO542-1)*100)&lt;-50,"NM",(CW542/CO542-1)*100)))</f>
        <v>NA</v>
      </c>
      <c r="CY542" s="101">
        <v>0</v>
      </c>
      <c r="CZ542" s="236" t="str">
        <f>IF(ISERROR((CY542/CQ542-1)*100),"NA",IF(((CY542/CQ542-1)*100)&gt;100,"NM",IF(((CY542/CQ542-1)*100)&lt;-50,"NM",(CY542/CQ542-1)*100)))</f>
        <v>NA</v>
      </c>
      <c r="DA542" s="101">
        <v>0</v>
      </c>
      <c r="DB542" s="236" t="str">
        <f>IF(ISERROR((DA542/CS542-1)*100),"NA",IF(((DA542/CS542-1)*100)&gt;100,"NM",IF(((DA542/CS542-1)*100)&lt;-50,"NM",(DA542/CS542-1)*100)))</f>
        <v>NA</v>
      </c>
      <c r="DC542" s="101">
        <v>0</v>
      </c>
      <c r="DD542" s="236" t="str">
        <f>IF(ISERROR((DC542/CU542-1)*100),"NA",IF(((DC542/CU542-1)*100)&gt;100,"NM",IF(((DC542/CU542-1)*100)&lt;-50,"NM",(DC542/CU542-1)*100)))</f>
        <v>NA</v>
      </c>
      <c r="DE542" s="101">
        <v>0</v>
      </c>
      <c r="DF542" s="236" t="str">
        <f>IF(ISERROR((DE542/CW542-1)*100),"NA",IF(((DE542/CW542-1)*100)&gt;100,"NM",IF(((DE542/CW542-1)*100)&lt;-50,"NM",(DE542/CW542-1)*100)))</f>
        <v>NA</v>
      </c>
      <c r="DG542" s="101">
        <v>0</v>
      </c>
      <c r="DH542" s="236" t="str">
        <f>IF(ISERROR((DG542/CY542-1)*100),"NA",IF(((DG542/CY542-1)*100)&gt;100,"NM",IF(((DG542/CY542-1)*100)&lt;-50,"NM",(DG542/CY542-1)*100)))</f>
        <v>NA</v>
      </c>
      <c r="DI542" s="101">
        <v>0</v>
      </c>
      <c r="DJ542" s="236" t="str">
        <f>IF(ISERROR((DI542/DA542-1)*100),"NA",IF(((DI542/DA542-1)*100)&gt;100,"NM",IF(((DI542/DA542-1)*100)&lt;-50,"NM",(DI542/DA542-1)*100)))</f>
        <v>NA</v>
      </c>
      <c r="DK542" s="101">
        <v>0</v>
      </c>
      <c r="DL542" s="236" t="str">
        <f>IF(ISERROR((DK542/DC542-1)*100),"NA",IF(((DK542/DC542-1)*100)&gt;100,"NM",IF(((DK542/DC542-1)*100)&lt;-50,"NM",(DK542/DC542-1)*100)))</f>
        <v>NA</v>
      </c>
      <c r="DM542" s="101">
        <v>0</v>
      </c>
      <c r="DN542" s="98" t="str">
        <f t="shared" si="3271"/>
        <v>NA</v>
      </c>
      <c r="DO542" s="101">
        <v>0</v>
      </c>
      <c r="DP542" s="98" t="str">
        <f t="shared" si="3271"/>
        <v>NA</v>
      </c>
      <c r="DQ542" s="101">
        <v>0</v>
      </c>
      <c r="DR542" s="98" t="str">
        <f t="shared" si="3271"/>
        <v>NA</v>
      </c>
      <c r="DS542" s="101">
        <v>0</v>
      </c>
      <c r="DT542" s="98" t="str">
        <f t="shared" si="3271"/>
        <v>NA</v>
      </c>
      <c r="DU542" s="101">
        <v>0</v>
      </c>
      <c r="DV542" s="98" t="str">
        <f t="shared" si="3271"/>
        <v>NA</v>
      </c>
      <c r="DW542" s="101">
        <v>0</v>
      </c>
      <c r="DX542" s="98" t="str">
        <f t="shared" si="3271"/>
        <v>NA</v>
      </c>
      <c r="DY542" s="101">
        <v>0</v>
      </c>
      <c r="DZ542" s="98" t="str">
        <f t="shared" si="3271"/>
        <v>NA</v>
      </c>
      <c r="EA542" s="101">
        <v>0</v>
      </c>
      <c r="EB542" s="98" t="str">
        <f t="shared" si="3272"/>
        <v>NA</v>
      </c>
      <c r="EC542" s="101">
        <v>0</v>
      </c>
      <c r="ED542" s="98" t="str">
        <f t="shared" si="3273"/>
        <v>NA</v>
      </c>
      <c r="EE542" s="101">
        <v>0</v>
      </c>
      <c r="EF542" s="860" t="str">
        <f t="shared" si="3274"/>
        <v>NA</v>
      </c>
      <c r="EG542" s="101">
        <v>0</v>
      </c>
      <c r="EH542" s="860" t="str">
        <f t="shared" si="3275"/>
        <v>NA</v>
      </c>
      <c r="EI542" s="101">
        <v>0</v>
      </c>
      <c r="EJ542" s="860" t="str">
        <f t="shared" si="3276"/>
        <v>NA</v>
      </c>
      <c r="EK542" s="101">
        <v>0</v>
      </c>
      <c r="EL542" s="860" t="str">
        <f t="shared" si="3277"/>
        <v>NA</v>
      </c>
      <c r="EM542" s="101">
        <v>0</v>
      </c>
      <c r="EN542" s="860" t="str">
        <f t="shared" si="3278"/>
        <v>NA</v>
      </c>
      <c r="EO542" s="101">
        <v>0</v>
      </c>
      <c r="EP542" s="98" t="str">
        <f t="shared" si="3279"/>
        <v>NA</v>
      </c>
      <c r="EQ542" s="1054">
        <f t="shared" ref="EQ542" si="3286">38/(38+75)*EO542</f>
        <v>0</v>
      </c>
      <c r="ER542" s="98" t="str">
        <f t="shared" si="3280"/>
        <v>NA</v>
      </c>
      <c r="ES542" s="1054">
        <f t="shared" ref="ES542" si="3287">38/(38+75)*EQ542</f>
        <v>0</v>
      </c>
      <c r="ET542" s="98" t="str">
        <f t="shared" si="3281"/>
        <v>NA</v>
      </c>
      <c r="EU542" s="1054">
        <f t="shared" ref="EU542" si="3288">38/(38+75)*ES542</f>
        <v>0</v>
      </c>
      <c r="EV542" s="98" t="str">
        <f t="shared" si="3282"/>
        <v>NA</v>
      </c>
      <c r="EW542" s="1054">
        <f t="shared" ref="EW542" si="3289">38/(38+75)*EU542</f>
        <v>0</v>
      </c>
      <c r="EX542" s="98" t="str">
        <f t="shared" si="3283"/>
        <v>NA</v>
      </c>
      <c r="EY542" s="115"/>
      <c r="EZ542" s="594"/>
      <c r="FA542" s="405"/>
      <c r="FB542" s="274"/>
      <c r="FC542" s="236"/>
      <c r="FD542" s="237"/>
      <c r="FE542" s="236"/>
      <c r="FF542" s="237"/>
      <c r="FG542" s="236"/>
      <c r="FH542" s="237"/>
      <c r="FI542" s="236"/>
      <c r="FJ542" s="237"/>
      <c r="FK542" s="236"/>
      <c r="FL542" s="237"/>
      <c r="FM542" s="236"/>
      <c r="FN542" s="237"/>
      <c r="FO542" s="236"/>
      <c r="FP542" s="237">
        <f>AQ542+AS542+AU542+AW542</f>
        <v>-42.5</v>
      </c>
      <c r="FQ542" s="236" t="str">
        <f>IF(ISERROR((FP542/FN542-1)*100),"NA",IF(((FP542/FN542-1)*100)&gt;100,"NM",IF(((FP542/FN542-1)*100)&lt;-50,"NM",(FP542/FN542-1)*100)))</f>
        <v>NA</v>
      </c>
      <c r="FR542" s="115">
        <f>AY542+BA542+BC542+BE542</f>
        <v>-26</v>
      </c>
      <c r="FS542" s="120">
        <f>IF(ISERROR((FR542/FP542-1)*100),"NA",IF(((FR542/FP542-1)*100)&gt;100,"NM",IF(((FR542/FP542-1)*100)&lt;-50,"NM",(FR542/FP542-1)*100)))</f>
        <v>-38.823529411764703</v>
      </c>
      <c r="FT542" s="115">
        <f>BG542+BI542+BK542+BM542</f>
        <v>0</v>
      </c>
      <c r="FU542" s="98" t="str">
        <f t="shared" si="3284"/>
        <v>NM</v>
      </c>
      <c r="FV542" s="115">
        <f>BO542+BQ542+BS542+BU542</f>
        <v>0</v>
      </c>
      <c r="FW542" s="98" t="str">
        <f t="shared" si="3284"/>
        <v>NA</v>
      </c>
      <c r="FX542" s="485">
        <f>BW542+BY542+CA542+CC542</f>
        <v>0</v>
      </c>
      <c r="FY542" s="98" t="str">
        <f t="shared" si="3284"/>
        <v>NA</v>
      </c>
      <c r="FZ542" s="119">
        <f>CE542+CG542+CI542+CK542</f>
        <v>0</v>
      </c>
      <c r="GA542" s="98" t="str">
        <f t="shared" si="3284"/>
        <v>NA</v>
      </c>
      <c r="GB542" s="485">
        <f>CG542+CI542+CK542+CM542</f>
        <v>0</v>
      </c>
      <c r="GC542" s="98" t="str">
        <f t="shared" si="3284"/>
        <v>NA</v>
      </c>
      <c r="GD542" s="119">
        <f>CO542+CQ542+CS542+CU542</f>
        <v>0</v>
      </c>
      <c r="GE542" s="98" t="str">
        <f t="shared" si="3284"/>
        <v>NA</v>
      </c>
      <c r="GF542" s="119">
        <f>CW542+CY542+DA542+DC542</f>
        <v>0</v>
      </c>
      <c r="GG542" s="98" t="str">
        <f t="shared" si="3284"/>
        <v>NA</v>
      </c>
      <c r="GH542" s="119">
        <f>DE542+DG542+DI542+DK542</f>
        <v>0</v>
      </c>
      <c r="GI542" s="98" t="str">
        <f t="shared" si="3284"/>
        <v>NA</v>
      </c>
      <c r="GJ542" s="119">
        <f>DM542+DO542+DQ542+DS542</f>
        <v>0</v>
      </c>
      <c r="GK542" s="98" t="str">
        <f t="shared" si="3284"/>
        <v>NA</v>
      </c>
      <c r="GL542" s="119">
        <f>DU542+DW542+DY542+EA542</f>
        <v>0</v>
      </c>
      <c r="GM542" s="98" t="str">
        <f t="shared" si="3284"/>
        <v>NA</v>
      </c>
      <c r="GN542" s="119">
        <f>EC542+EE542+EG542+EI542</f>
        <v>0</v>
      </c>
      <c r="GO542" s="98" t="str">
        <f t="shared" si="3284"/>
        <v>NA</v>
      </c>
      <c r="GP542" s="119">
        <f>EK542+EM542+EO542+EQ542</f>
        <v>0</v>
      </c>
      <c r="GQ542" s="98" t="str">
        <f t="shared" si="3284"/>
        <v>NA</v>
      </c>
      <c r="GR542" s="119">
        <f>CU542+CW542+CY542+FE542</f>
        <v>0</v>
      </c>
      <c r="GS542" s="98" t="str">
        <f t="shared" si="3284"/>
        <v>NA</v>
      </c>
      <c r="GT542" s="119">
        <f>CW542+CY542+DA542+FG542</f>
        <v>0</v>
      </c>
      <c r="GU542" s="98" t="str">
        <f t="shared" si="3284"/>
        <v>NA</v>
      </c>
      <c r="GV542" s="119">
        <f>CY542+DA542+DC542+FI542</f>
        <v>0</v>
      </c>
      <c r="GW542" s="98" t="str">
        <f t="shared" si="3284"/>
        <v>NA</v>
      </c>
      <c r="GX542" s="119">
        <f>DA542+DC542+DE542+FK542</f>
        <v>0</v>
      </c>
      <c r="GY542" s="98" t="str">
        <f t="shared" si="3285"/>
        <v>NA</v>
      </c>
      <c r="GZ542" s="98" t="str">
        <f>IF(ISERROR(((GX542/GN542)^0.2-1)*100),"NA",IF((((GX542/GN542)^0.2-1)*100)&gt;100,"NM",IF((((GX542/GN542)^0.2-1)*100)&lt;-50,"NM",((GX542/GN542)^0.2-1)*100)))</f>
        <v>NA</v>
      </c>
      <c r="HA542" s="98"/>
      <c r="HC542"/>
      <c r="HD542"/>
      <c r="HE542"/>
      <c r="HF542"/>
      <c r="HG542"/>
      <c r="HH542"/>
    </row>
    <row r="543" spans="1:217" s="10" customFormat="1" ht="12.75" customHeight="1" x14ac:dyDescent="0.2">
      <c r="B543" s="102" t="s">
        <v>514</v>
      </c>
      <c r="C543" s="231"/>
      <c r="D543" s="98"/>
      <c r="E543" s="231"/>
      <c r="F543" s="98"/>
      <c r="G543" s="231"/>
      <c r="H543" s="98"/>
      <c r="I543" s="231"/>
      <c r="J543" s="98"/>
      <c r="K543" s="231"/>
      <c r="L543" s="98"/>
      <c r="M543" s="231"/>
      <c r="N543" s="98"/>
      <c r="O543" s="231"/>
      <c r="P543" s="98"/>
      <c r="Q543" s="231"/>
      <c r="R543" s="98"/>
      <c r="S543" s="231"/>
      <c r="T543" s="98"/>
      <c r="U543" s="231"/>
      <c r="V543" s="98"/>
      <c r="W543" s="231"/>
      <c r="X543" s="98"/>
      <c r="Y543" s="231"/>
      <c r="Z543" s="98"/>
      <c r="AA543" s="231"/>
      <c r="AB543" s="98"/>
      <c r="AC543" s="231"/>
      <c r="AD543" s="98"/>
      <c r="AE543" s="231"/>
      <c r="AF543" s="98"/>
      <c r="AG543" s="231"/>
      <c r="AH543" s="98"/>
      <c r="AI543" s="231"/>
      <c r="AJ543" s="98"/>
      <c r="AK543" s="221">
        <v>105</v>
      </c>
      <c r="AL543" s="98" t="str">
        <f>IF(ISERROR((AK543/AC543-1)*100),"NA",IF(((AK543/AC543-1)*100)&gt;100,"NM",IF(((AK543/AC543-1)*100)&lt;-50,"NM",(AK543/AC543-1)*100)))</f>
        <v>NA</v>
      </c>
      <c r="AM543" s="221">
        <v>9</v>
      </c>
      <c r="AN543" s="98" t="str">
        <f>IF(ISERROR((AM543/AE543-1)*100),"NA",IF(((AM543/AE543-1)*100)&gt;100,"NM",IF(((AM543/AE543-1)*100)&lt;-50,"NM",(AM543/AE543-1)*100)))</f>
        <v>NA</v>
      </c>
      <c r="AO543" s="221">
        <v>15</v>
      </c>
      <c r="AP543" s="98" t="str">
        <f>IF(ISERROR((AO543/AG543-1)*100),"NA",IF(((AO543/AG543-1)*100)&gt;100,"NM",IF(((AO543/AG543-1)*100)&lt;-50,"NM",(AO543/AG543-1)*100)))</f>
        <v>NA</v>
      </c>
      <c r="AQ543" s="221">
        <v>20</v>
      </c>
      <c r="AR543" s="98" t="str">
        <f>IF(ISERROR((AQ543/AI543-1)*100),"NA",IF(((AQ543/AI543-1)*100)&gt;100,"NM",IF(((AQ543/AI543-1)*100)&lt;-50,"NM",(AQ543/AI543-1)*100)))</f>
        <v>NA</v>
      </c>
      <c r="AS543" s="221">
        <v>79</v>
      </c>
      <c r="AT543" s="236">
        <f>IF(ISERROR((AS543/AK543-1)*100),"NA",IF(((AS543/AK543-1)*100)&gt;100,"NM",IF(((AS543/AK543-1)*100)&lt;-50,"NM",(AS543/AK543-1)*100)))</f>
        <v>-24.761904761904763</v>
      </c>
      <c r="AU543" s="221">
        <v>80</v>
      </c>
      <c r="AV543" s="236" t="str">
        <f>IF(ISERROR((AU543/AM543-1)*100),"NA",IF(((AU543/AM543-1)*100)&gt;100,"NM",IF(((AU543/AM543-1)*100)&lt;-50,"NM",(AU543/AM543-1)*100)))</f>
        <v>NM</v>
      </c>
      <c r="AW543" s="112">
        <f>41.5-14</f>
        <v>27.5</v>
      </c>
      <c r="AX543" s="236">
        <f>IF(ISERROR((AW543/AO543-1)*100),"NA",IF(((AW543/AO543-1)*100)&gt;100,"NM",IF(((AW543/AO543-1)*100)&lt;-50,"NM",(AW543/AO543-1)*100)))</f>
        <v>83.333333333333329</v>
      </c>
      <c r="AY543" s="101">
        <f>-2+65</f>
        <v>63</v>
      </c>
      <c r="AZ543" s="236" t="str">
        <f>IF(ISERROR((AY543/AQ543-1)*100),"NA",IF(((AY543/AQ543-1)*100)&gt;100,"NM",IF(((AY543/AQ543-1)*100)&lt;-50,"NM",(AY543/AQ543-1)*100)))</f>
        <v>NM</v>
      </c>
      <c r="BA543" s="101">
        <f>42</f>
        <v>42</v>
      </c>
      <c r="BB543" s="236">
        <f>IF(ISERROR((BA543/AS543-1)*100),"NA",IF(((BA543/AS543-1)*100)&gt;100,"NM",IF(((BA543/AS543-1)*100)&lt;-50,"NM",(BA543/AS543-1)*100)))</f>
        <v>-46.835443037974692</v>
      </c>
      <c r="BC543" s="101">
        <f>18</f>
        <v>18</v>
      </c>
      <c r="BD543" s="236" t="str">
        <f>IF(ISERROR((BC543/AU543-1)*100),"NA",IF(((BC543/AU543-1)*100)&gt;100,"NM",IF(((BC543/AU543-1)*100)&lt;-50,"NM",(BC543/AU543-1)*100)))</f>
        <v>NM</v>
      </c>
      <c r="BE543" s="101">
        <f>28-20+23</f>
        <v>31</v>
      </c>
      <c r="BF543" s="236">
        <f>IF(ISERROR((BE543/AW543-1)*100),"NA",IF(((BE543/AW543-1)*100)&gt;100,"NM",IF(((BE543/AW543-1)*100)&lt;-50,"NM",(BE543/AW543-1)*100)))</f>
        <v>12.72727272727272</v>
      </c>
      <c r="BG543" s="101">
        <f>37-7</f>
        <v>30</v>
      </c>
      <c r="BH543" s="236" t="str">
        <f>IF(ISERROR((BG543/AY543-1)*100),"NA",IF(((BG543/AY543-1)*100)&gt;100,"NM",IF(((BG543/AY543-1)*100)&lt;-50,"NM",(BG543/AY543-1)*100)))</f>
        <v>NM</v>
      </c>
      <c r="BI543" s="101">
        <v>71</v>
      </c>
      <c r="BJ543" s="236">
        <f>IF(ISERROR((BI543/BA543-1)*100),"NA",IF(((BI543/BA543-1)*100)&gt;100,"NM",IF(((BI543/BA543-1)*100)&lt;-50,"NM",(BI543/BA543-1)*100)))</f>
        <v>69.047619047619051</v>
      </c>
      <c r="BK543" s="101">
        <f>70-30-7</f>
        <v>33</v>
      </c>
      <c r="BL543" s="236">
        <f>IF(ISERROR((BK543/BC543-1)*100),"NA",IF(((BK543/BC543-1)*100)&gt;100,"NM",IF(((BK543/BC543-1)*100)&lt;-50,"NM",(BK543/BC543-1)*100)))</f>
        <v>83.333333333333329</v>
      </c>
      <c r="BM543" s="101">
        <f>26-8-7-12-35-12</f>
        <v>-48</v>
      </c>
      <c r="BN543" s="236" t="str">
        <f>IF(ISERROR((BM543/BE543-1)*100),"NA",IF(((BM543/BE543-1)*100)&gt;100,"NM",IF(((BM543/BE543-1)*100)&lt;-50,"NM",(BM543/BE543-1)*100)))</f>
        <v>NM</v>
      </c>
      <c r="BO543" s="101">
        <f>4-16+15+20</f>
        <v>23</v>
      </c>
      <c r="BP543" s="236">
        <f>IF(ISERROR((BO543/BG543-1)*100),"NA",IF(((BO543/BG543-1)*100)&gt;100,"NM",IF(((BO543/BG543-1)*100)&lt;-50,"NM",(BO543/BG543-1)*100)))</f>
        <v>-23.333333333333329</v>
      </c>
      <c r="BQ543" s="101">
        <v>-13</v>
      </c>
      <c r="BR543" s="236" t="str">
        <f>IF(ISERROR((BQ543/BI543-1)*100),"NA",IF(((BQ543/BI543-1)*100)&gt;100,"NM",IF(((BQ543/BI543-1)*100)&lt;-50,"NM",(BQ543/BI543-1)*100)))</f>
        <v>NM</v>
      </c>
      <c r="BS543" s="101">
        <f>-47-51-23+3</f>
        <v>-118</v>
      </c>
      <c r="BT543" s="236" t="str">
        <f>IF(ISERROR((BS543/BK543-1)*100),"NA",IF(((BS543/BK543-1)*100)&gt;100,"NM",IF(((BS543/BK543-1)*100)&lt;-50,"NM",(BS543/BK543-1)*100)))</f>
        <v>NM</v>
      </c>
      <c r="BU543" s="101">
        <v>-119</v>
      </c>
      <c r="BV543" s="236" t="str">
        <f>IF(ISERROR((BU543/BM543-1)*100),"NA",IF(((BU543/BM543-1)*100)&gt;100,"NM",IF(((BU543/BM543-1)*100)&lt;-50,"NM",(BU543/BM543-1)*100)))</f>
        <v>NM</v>
      </c>
      <c r="BW543" s="101">
        <f>-79-23</f>
        <v>-102</v>
      </c>
      <c r="BX543" s="236" t="str">
        <f>IF(ISERROR((BW543/BO543-1)*100),"NA",IF(((BW543/BO543-1)*100)&gt;100,"NM",IF(((BW543/BO543-1)*100)&lt;-50,"NM",(BW543/BO543-1)*100)))</f>
        <v>NM</v>
      </c>
      <c r="BY543" s="101">
        <v>-44</v>
      </c>
      <c r="BZ543" s="236" t="str">
        <f>IF(ISERROR((BY543/BQ543-1)*100),"NA",IF(((BY543/BQ543-1)*100)&gt;100,"NM",IF(((BY543/BQ543-1)*100)&lt;-50,"NM",(BY543/BQ543-1)*100)))</f>
        <v>NM</v>
      </c>
      <c r="CA543" s="101">
        <f>5-28</f>
        <v>-23</v>
      </c>
      <c r="CB543" s="236" t="str">
        <f>IF(ISERROR((CA543/BS543-1)*100),"NA",IF(((CA543/BS543-1)*100)&gt;100,"NM",IF(((CA543/BS543-1)*100)&lt;-50,"NM",(CA543/BS543-1)*100)))</f>
        <v>NM</v>
      </c>
      <c r="CC543" s="101">
        <f>-18-18+17-14-12</f>
        <v>-45</v>
      </c>
      <c r="CD543" s="236" t="str">
        <f>IF(ISERROR((CC543/BU543-1)*100),"NA",IF(((CC543/BU543-1)*100)&gt;100,"NM",IF(((CC543/BU543-1)*100)&lt;-50,"NM",(CC543/BU543-1)*100)))</f>
        <v>NM</v>
      </c>
      <c r="CE543" s="101">
        <v>-76</v>
      </c>
      <c r="CF543" s="236">
        <f>IF(ISERROR((CE543/BW543-1)*100),"NA",IF(((CE543/BW543-1)*100)&gt;100,"NM",IF(((CE543/BW543-1)*100)&lt;-50,"NM",(CE543/BW543-1)*100)))</f>
        <v>-25.490196078431371</v>
      </c>
      <c r="CG543" s="101">
        <v>-8</v>
      </c>
      <c r="CH543" s="236" t="str">
        <f>IF(ISERROR((CG543/BY543-1)*100),"NA",IF(((CG543/BY543-1)*100)&gt;100,"NM",IF(((CG543/BY543-1)*100)&lt;-50,"NM",(CG543/BY543-1)*100)))</f>
        <v>NM</v>
      </c>
      <c r="CI543" s="101">
        <f>-57+18-15</f>
        <v>-54</v>
      </c>
      <c r="CJ543" s="236" t="str">
        <f>IF(ISERROR((CI543/CA543-1)*100),"NA",IF(((CI543/CA543-1)*100)&gt;100,"NM",IF(((CI543/CA543-1)*100)&lt;-50,"NM",(CI543/CA543-1)*100)))</f>
        <v>NM</v>
      </c>
      <c r="CK543" s="101">
        <f>25+27+20</f>
        <v>72</v>
      </c>
      <c r="CL543" s="236" t="str">
        <f>IF(ISERROR((CK543/CC543-1)*100),"NA",IF(((CK543/CC543-1)*100)&gt;100,"NM",IF(((CK543/CC543-1)*100)&lt;-50,"NM",(CK543/CC543-1)*100)))</f>
        <v>NM</v>
      </c>
      <c r="CM543" s="101">
        <v>16</v>
      </c>
      <c r="CN543" s="236" t="str">
        <f>IF(ISERROR((CM543/CE543-1)*100),"NA",IF(((CM543/CE543-1)*100)&gt;100,"NM",IF(((CM543/CE543-1)*100)&lt;-50,"NM",(CM543/CE543-1)*100)))</f>
        <v>NM</v>
      </c>
      <c r="CO543" s="101">
        <f>-12-2</f>
        <v>-14</v>
      </c>
      <c r="CP543" s="236">
        <f>IF(ISERROR((CO543/CG543-1)*100),"NA",IF(((CO543/CG543-1)*100)&gt;100,"NM",IF(((CO543/CG543-1)*100)&lt;-50,"NM",(CO543/CG543-1)*100)))</f>
        <v>75</v>
      </c>
      <c r="CQ543" s="542">
        <v>-50</v>
      </c>
      <c r="CR543" s="236">
        <f>IF(ISERROR((CQ543/CI543-1)*100),"NA",IF(((CQ543/CI543-1)*100)&gt;100,"NM",IF(((CQ543/CI543-1)*100)&lt;-50,"NM",(CQ543/CI543-1)*100)))</f>
        <v>-7.4074074074074066</v>
      </c>
      <c r="CS543" s="101">
        <v>-20</v>
      </c>
      <c r="CT543" s="236" t="str">
        <f>IF(ISERROR((CS543/CK543-1)*100),"NA",IF(((CS543/CK543-1)*100)&gt;100,"NM",IF(((CS543/CK543-1)*100)&lt;-50,"NM",(CS543/CK543-1)*100)))</f>
        <v>NM</v>
      </c>
      <c r="CU543" s="101">
        <v>-23</v>
      </c>
      <c r="CV543" s="236" t="str">
        <f>IF(ISERROR((CU543/CM543-1)*100),"NA",IF(((CU543/CM543-1)*100)&gt;100,"NM",IF(((CU543/CM543-1)*100)&lt;-50,"NM",(CU543/CM543-1)*100)))</f>
        <v>NM</v>
      </c>
      <c r="CW543" s="101">
        <f>42-13-16</f>
        <v>13</v>
      </c>
      <c r="CX543" s="236" t="str">
        <f>IF(ISERROR((CW543/CO543-1)*100),"NA",IF(((CW543/CO543-1)*100)&gt;100,"NM",IF(((CW543/CO543-1)*100)&lt;-50,"NM",(CW543/CO543-1)*100)))</f>
        <v>NM</v>
      </c>
      <c r="CY543" s="101">
        <v>-35</v>
      </c>
      <c r="CZ543" s="236">
        <f>IF(ISERROR((CY543/CQ543-1)*100),"NA",IF(((CY543/CQ543-1)*100)&gt;100,"NM",IF(((CY543/CQ543-1)*100)&lt;-50,"NM",(CY543/CQ543-1)*100)))</f>
        <v>-30.000000000000004</v>
      </c>
      <c r="DA543" s="101">
        <f>15-23</f>
        <v>-8</v>
      </c>
      <c r="DB543" s="236" t="str">
        <f>IF(ISERROR((DA543/CS543-1)*100),"NA",IF(((DA543/CS543-1)*100)&gt;100,"NM",IF(((DA543/CS543-1)*100)&lt;-50,"NM",(DA543/CS543-1)*100)))</f>
        <v>NM</v>
      </c>
      <c r="DC543" s="101">
        <v>0</v>
      </c>
      <c r="DD543" s="236" t="str">
        <f>IF(ISERROR((DC543/CU543-1)*100),"NA",IF(((DC543/CU543-1)*100)&gt;100,"NM",IF(((DC543/CU543-1)*100)&lt;-50,"NM",(DC543/CU543-1)*100)))</f>
        <v>NM</v>
      </c>
      <c r="DE543" s="101">
        <v>-10</v>
      </c>
      <c r="DF543" s="236" t="str">
        <f>IF(ISERROR((DE543/CW543-1)*100),"NA",IF(((DE543/CW543-1)*100)&gt;100,"NM",IF(((DE543/CW543-1)*100)&lt;-50,"NM",(DE543/CW543-1)*100)))</f>
        <v>NM</v>
      </c>
      <c r="DG543" s="101">
        <v>0</v>
      </c>
      <c r="DH543" s="236" t="str">
        <f>IF(ISERROR((DG543/CY543-1)*100),"NA",IF(((DG543/CY543-1)*100)&gt;100,"NM",IF(((DG543/CY543-1)*100)&lt;-50,"NM",(DG543/CY543-1)*100)))</f>
        <v>NM</v>
      </c>
      <c r="DI543" s="101">
        <f>9-101</f>
        <v>-92</v>
      </c>
      <c r="DJ543" s="236" t="str">
        <f>IF(ISERROR((DI543/DA543-1)*100),"NA",IF(((DI543/DA543-1)*100)&gt;100,"NM",IF(((DI543/DA543-1)*100)&lt;-50,"NM",(DI543/DA543-1)*100)))</f>
        <v>NM</v>
      </c>
      <c r="DK543" s="101">
        <f>21-57</f>
        <v>-36</v>
      </c>
      <c r="DL543" s="236" t="str">
        <f>IF(ISERROR((DK543/DC543-1)*100),"NA",IF(((DK543/DC543-1)*100)&gt;100,"NM",IF(((DK543/DC543-1)*100)&lt;-50,"NM",(DK543/DC543-1)*100)))</f>
        <v>NA</v>
      </c>
      <c r="DM543" s="101">
        <v>0</v>
      </c>
      <c r="DN543" s="98" t="str">
        <f t="shared" si="3271"/>
        <v>NM</v>
      </c>
      <c r="DO543" s="101">
        <f>-7-6</f>
        <v>-13</v>
      </c>
      <c r="DP543" s="98" t="str">
        <f t="shared" si="3271"/>
        <v>NA</v>
      </c>
      <c r="DQ543" s="101">
        <v>-117</v>
      </c>
      <c r="DR543" s="98">
        <f t="shared" si="3271"/>
        <v>27.173913043478272</v>
      </c>
      <c r="DS543" s="950">
        <v>0</v>
      </c>
      <c r="DT543" s="860" t="str">
        <f t="shared" si="3271"/>
        <v>NM</v>
      </c>
      <c r="DU543" s="950">
        <v>0</v>
      </c>
      <c r="DV543" s="860" t="str">
        <f t="shared" si="3271"/>
        <v>NA</v>
      </c>
      <c r="DW543" s="950">
        <f>-49-792</f>
        <v>-841</v>
      </c>
      <c r="DX543" s="860" t="str">
        <f t="shared" si="3271"/>
        <v>NM</v>
      </c>
      <c r="DY543" s="950">
        <v>-23</v>
      </c>
      <c r="DZ543" s="860" t="str">
        <f t="shared" si="3271"/>
        <v>NM</v>
      </c>
      <c r="EA543" s="951">
        <v>-4</v>
      </c>
      <c r="EB543" s="860" t="str">
        <f t="shared" si="3272"/>
        <v>NA</v>
      </c>
      <c r="EC543" s="951">
        <v>1</v>
      </c>
      <c r="ED543" s="98" t="str">
        <f t="shared" si="3273"/>
        <v>NA</v>
      </c>
      <c r="EE543" s="951">
        <v>-6</v>
      </c>
      <c r="EF543" s="860" t="str">
        <f t="shared" si="3274"/>
        <v>NM</v>
      </c>
      <c r="EG543" s="951">
        <v>0</v>
      </c>
      <c r="EH543" s="860" t="str">
        <f t="shared" si="3275"/>
        <v>NM</v>
      </c>
      <c r="EI543" s="951">
        <f>-44-4+37</f>
        <v>-11</v>
      </c>
      <c r="EJ543" s="860" t="str">
        <f t="shared" si="3276"/>
        <v>NM</v>
      </c>
      <c r="EK543" s="951">
        <f>-36+27</f>
        <v>-9</v>
      </c>
      <c r="EL543" s="860" t="str">
        <f t="shared" si="3277"/>
        <v>NM</v>
      </c>
      <c r="EM543" s="951">
        <v>-167</v>
      </c>
      <c r="EN543" s="860" t="str">
        <f t="shared" si="3278"/>
        <v>NM</v>
      </c>
      <c r="EO543" s="951">
        <f>-395+42</f>
        <v>-353</v>
      </c>
      <c r="EP543" s="98" t="str">
        <f t="shared" si="3279"/>
        <v>NA</v>
      </c>
      <c r="EQ543" s="1030">
        <v>0</v>
      </c>
      <c r="ER543" s="98" t="str">
        <f t="shared" si="3280"/>
        <v>NM</v>
      </c>
      <c r="ES543" s="1030">
        <v>0</v>
      </c>
      <c r="ET543" s="98" t="str">
        <f t="shared" si="3281"/>
        <v>NM</v>
      </c>
      <c r="EU543" s="1030">
        <v>0</v>
      </c>
      <c r="EV543" s="98" t="str">
        <f t="shared" si="3282"/>
        <v>NM</v>
      </c>
      <c r="EW543" s="1030">
        <v>0</v>
      </c>
      <c r="EX543" s="98" t="str">
        <f t="shared" si="3283"/>
        <v>NM</v>
      </c>
      <c r="EY543" s="112"/>
      <c r="EZ543" s="594"/>
      <c r="FA543" s="405"/>
      <c r="FB543" s="150"/>
      <c r="FC543" s="98"/>
      <c r="FD543" s="118"/>
      <c r="FE543" s="98"/>
      <c r="FF543" s="118"/>
      <c r="FG543" s="98"/>
      <c r="FH543" s="118"/>
      <c r="FI543" s="98"/>
      <c r="FJ543" s="118"/>
      <c r="FK543" s="98"/>
      <c r="FL543" s="118"/>
      <c r="FM543" s="98"/>
      <c r="FN543" s="118"/>
      <c r="FO543" s="98"/>
      <c r="FP543" s="118">
        <f>AQ543+AS543+AU543+AW543</f>
        <v>206.5</v>
      </c>
      <c r="FQ543" s="98" t="str">
        <f>IF(ISERROR((FP543/FN543-1)*100),"NA",IF(((FP543/FN543-1)*100)&gt;100,"NM",IF(((FP543/FN543-1)*100)&lt;-50,"NM",(FP543/FN543-1)*100)))</f>
        <v>NA</v>
      </c>
      <c r="FR543" s="160">
        <f>AY543+BA543+BC543+BE543</f>
        <v>154</v>
      </c>
      <c r="FS543" s="120">
        <f>IF(ISERROR((FR543/FP543-1)*100),"NA",IF(((FR543/FP543-1)*100)&gt;100,"NM",IF(((FR543/FP543-1)*100)&lt;-50,"NM",(FR543/FP543-1)*100)))</f>
        <v>-25.423728813559322</v>
      </c>
      <c r="FT543" s="160">
        <f>BG543+BI543+BK543+BM543</f>
        <v>86</v>
      </c>
      <c r="FU543" s="98">
        <f t="shared" si="3284"/>
        <v>-44.155844155844157</v>
      </c>
      <c r="FV543" s="119">
        <f>BO543+BQ543+BS543+BU543</f>
        <v>-227</v>
      </c>
      <c r="FW543" s="98" t="str">
        <f t="shared" si="3284"/>
        <v>NM</v>
      </c>
      <c r="FX543" s="485">
        <f>BW543+BY543+CA543+CC543</f>
        <v>-214</v>
      </c>
      <c r="FY543" s="98">
        <f t="shared" si="3284"/>
        <v>-5.7268722466960353</v>
      </c>
      <c r="FZ543" s="119">
        <f>CE543+CG543+CI543+CK543</f>
        <v>-66</v>
      </c>
      <c r="GA543" s="98" t="str">
        <f t="shared" si="3284"/>
        <v>NM</v>
      </c>
      <c r="GB543" s="485">
        <f>CM543+CO543+CQ543+CS543</f>
        <v>-68</v>
      </c>
      <c r="GC543" s="98">
        <f t="shared" si="3284"/>
        <v>3.0303030303030276</v>
      </c>
      <c r="GD543" s="119">
        <f>CU543+CW543+CY543+DA543</f>
        <v>-53</v>
      </c>
      <c r="GE543" s="98">
        <f t="shared" si="3284"/>
        <v>-22.058823529411764</v>
      </c>
      <c r="GF543" s="119">
        <f>DC543+DE543+DG543+DI543</f>
        <v>-102</v>
      </c>
      <c r="GG543" s="98">
        <f t="shared" si="3284"/>
        <v>92.452830188679243</v>
      </c>
      <c r="GH543" s="119">
        <f>DK543+DM543+DO543+DQ543</f>
        <v>-166</v>
      </c>
      <c r="GI543" s="98">
        <f t="shared" si="3284"/>
        <v>62.745098039215684</v>
      </c>
      <c r="GJ543" s="119">
        <f>DS543+DU543+DW543+DY543</f>
        <v>-864</v>
      </c>
      <c r="GK543" s="98" t="str">
        <f t="shared" si="3284"/>
        <v>NM</v>
      </c>
      <c r="GL543" s="119">
        <f>EA543+EC543+EE543+EG543</f>
        <v>-9</v>
      </c>
      <c r="GM543" s="98" t="str">
        <f t="shared" si="3284"/>
        <v>NM</v>
      </c>
      <c r="GN543" s="119">
        <f>EI543+EK543+EM543+EO543</f>
        <v>-540</v>
      </c>
      <c r="GO543" s="98" t="str">
        <f t="shared" si="3284"/>
        <v>NM</v>
      </c>
      <c r="GP543" s="119">
        <f>EQ543+ES543+EU543+EW543</f>
        <v>0</v>
      </c>
      <c r="GQ543" s="98" t="str">
        <f t="shared" si="3284"/>
        <v>NM</v>
      </c>
      <c r="GR543" s="112">
        <v>0</v>
      </c>
      <c r="GS543" s="98" t="str">
        <f t="shared" si="3284"/>
        <v>NA</v>
      </c>
      <c r="GT543" s="112">
        <v>0</v>
      </c>
      <c r="GU543" s="98" t="str">
        <f t="shared" si="3284"/>
        <v>NA</v>
      </c>
      <c r="GV543" s="112">
        <v>0</v>
      </c>
      <c r="GW543" s="98" t="str">
        <f t="shared" si="3284"/>
        <v>NA</v>
      </c>
      <c r="GX543" s="112">
        <v>0</v>
      </c>
      <c r="GY543" s="98" t="str">
        <f t="shared" si="3285"/>
        <v>NA</v>
      </c>
      <c r="GZ543" s="98" t="str">
        <f>IF(ISERROR(((GX543/GN543)^0.2-1)*100),"NA",IF((((GX543/GN543)^0.2-1)*100)&gt;100,"NM",IF((((GX543/GN543)^0.2-1)*100)&lt;-50,"NM",((GX543/GN543)^0.2-1)*100)))</f>
        <v>NM</v>
      </c>
      <c r="HA543" s="98"/>
      <c r="HC543"/>
      <c r="HD543"/>
      <c r="HE543"/>
      <c r="HF543"/>
      <c r="HG543"/>
      <c r="HH543"/>
    </row>
    <row r="544" spans="1:217" s="10" customFormat="1" ht="12.75" customHeight="1" x14ac:dyDescent="0.2">
      <c r="B544" s="208" t="s">
        <v>357</v>
      </c>
      <c r="C544" s="204">
        <f>C541-C542-C543</f>
        <v>-9</v>
      </c>
      <c r="D544" s="98"/>
      <c r="E544" s="204">
        <f>E541-E542-E543</f>
        <v>19</v>
      </c>
      <c r="F544" s="98"/>
      <c r="G544" s="204">
        <f>G541-G542-G543</f>
        <v>-9</v>
      </c>
      <c r="H544" s="98"/>
      <c r="I544" s="204">
        <f>I541-I542-I543</f>
        <v>-25</v>
      </c>
      <c r="J544" s="98"/>
      <c r="K544" s="204">
        <f>K541-K542-K543</f>
        <v>-9</v>
      </c>
      <c r="L544" s="98">
        <f>IF(ISERROR((K544/C544-1)*100),"NA",IF(((K544/C544-1)*100)&gt;100,"NM",IF(((K544/C544-1)*100)&lt;-50,"NM",(K544/C544-1)*100)))</f>
        <v>0</v>
      </c>
      <c r="M544" s="204">
        <f>M541-M542-M543</f>
        <v>-10</v>
      </c>
      <c r="N544" s="98" t="str">
        <f>IF(ISERROR((M544/E544-1)*100),"NA",IF(((M544/E544-1)*100)&gt;100,"NM",IF(((M544/E544-1)*100)&lt;-50,"NM",(M544/E544-1)*100)))</f>
        <v>NM</v>
      </c>
      <c r="O544" s="204">
        <f>O541-O542-O543</f>
        <v>-209</v>
      </c>
      <c r="P544" s="98" t="str">
        <f>IF(ISERROR((O544/G544-1)*100),"NA",IF(((O544/G544-1)*100)&gt;100,"NM",IF(((O544/G544-1)*100)&lt;-50,"NM",(O544/G544-1)*100)))</f>
        <v>NM</v>
      </c>
      <c r="Q544" s="204">
        <f>Q541-Q542-Q543</f>
        <v>-6</v>
      </c>
      <c r="R544" s="98" t="str">
        <f>IF(ISERROR((Q544/I544-1)*100),"NA",IF(((Q544/I544-1)*100)&gt;100,"NM",IF(((Q544/I544-1)*100)&lt;-50,"NM",(Q544/I544-1)*100)))</f>
        <v>NM</v>
      </c>
      <c r="S544" s="204">
        <f>S541-S542-S543</f>
        <v>-76</v>
      </c>
      <c r="T544" s="98" t="str">
        <f>IF(ISERROR((S544/K544-1)*100),"NA",IF(((S544/K544-1)*100)&gt;100,"NM",IF(((S544/K544-1)*100)&lt;-50,"NM",(S544/K544-1)*100)))</f>
        <v>NM</v>
      </c>
      <c r="U544" s="204">
        <f>U541-U542-U543</f>
        <v>-4</v>
      </c>
      <c r="V544" s="98" t="str">
        <f>IF(ISERROR((U544/M544-1)*100),"NA",IF(((U544/M544-1)*100)&gt;100,"NM",IF(((U544/M544-1)*100)&lt;-50,"NM",(U544/M544-1)*100)))</f>
        <v>NM</v>
      </c>
      <c r="W544" s="204">
        <f>W541-W542-W543</f>
        <v>-70</v>
      </c>
      <c r="X544" s="98" t="str">
        <f>IF(ISERROR((W544/O544-1)*100),"NA",IF(((W544/O544-1)*100)&gt;100,"NM",IF(((W544/O544-1)*100)&lt;-50,"NM",(W544/O544-1)*100)))</f>
        <v>NM</v>
      </c>
      <c r="Y544" s="204">
        <f>Y541-Y542-Y543</f>
        <v>-163</v>
      </c>
      <c r="Z544" s="98" t="str">
        <f>IF(ISERROR((Y544/Q544-1)*100),"NA",IF(((Y544/Q544-1)*100)&gt;100,"NM",IF(((Y544/Q544-1)*100)&lt;-50,"NM",(Y544/Q544-1)*100)))</f>
        <v>NM</v>
      </c>
      <c r="AA544" s="204">
        <f>AA541-AA542-AA543</f>
        <v>-12</v>
      </c>
      <c r="AB544" s="98" t="str">
        <f>IF(ISERROR((AA544/S544-1)*100),"NA",IF(((AA544/S544-1)*100)&gt;100,"NM",IF(((AA544/S544-1)*100)&lt;-50,"NM",(AA544/S544-1)*100)))</f>
        <v>NM</v>
      </c>
      <c r="AC544" s="204">
        <f>AC541-AC542-AC543</f>
        <v>41</v>
      </c>
      <c r="AD544" s="98" t="str">
        <f>IF(ISERROR((AC544/U544-1)*100),"NA",IF(((AC544/U544-1)*100)&gt;100,"NM",IF(((AC544/U544-1)*100)&lt;-50,"NM",(AC544/U544-1)*100)))</f>
        <v>NM</v>
      </c>
      <c r="AE544" s="204">
        <f>AE541-AE542-AE543</f>
        <v>80</v>
      </c>
      <c r="AF544" s="98" t="str">
        <f>IF(ISERROR((AE544/W544-1)*100),"NA",IF(((AE544/W544-1)*100)&gt;100,"NM",IF(((AE544/W544-1)*100)&lt;-50,"NM",(AE544/W544-1)*100)))</f>
        <v>NM</v>
      </c>
      <c r="AG544" s="204">
        <f>AG541-AG542-AG543</f>
        <v>2</v>
      </c>
      <c r="AH544" s="98" t="str">
        <f>IF(ISERROR((AG544/Y544-1)*100),"NA",IF(((AG544/Y544-1)*100)&gt;100,"NM",IF(((AG544/Y544-1)*100)&lt;-50,"NM",(AG544/Y544-1)*100)))</f>
        <v>NM</v>
      </c>
      <c r="AI544" s="204">
        <f>AI541-AI542-AI543</f>
        <v>-17</v>
      </c>
      <c r="AJ544" s="98">
        <f>IF(ISERROR((AI544/AA544-1)*100),"NA",IF(((AI544/AA544-1)*100)&gt;100,"NM",IF(((AI544/AA544-1)*100)&lt;-50,"NM",(AI544/AA544-1)*100)))</f>
        <v>41.666666666666671</v>
      </c>
      <c r="AK544" s="204">
        <f>AK541-AK542-AK543</f>
        <v>-8</v>
      </c>
      <c r="AL544" s="98" t="str">
        <f>IF(ISERROR((AK544/AC544-1)*100),"NA",IF(((AK544/AC544-1)*100)&gt;100,"NM",IF(((AK544/AC544-1)*100)&lt;-50,"NM",(AK544/AC544-1)*100)))</f>
        <v>NM</v>
      </c>
      <c r="AM544" s="204">
        <f>AM541-AM542-AM543</f>
        <v>15</v>
      </c>
      <c r="AN544" s="98" t="str">
        <f>IF(ISERROR((AM544/AE544-1)*100),"NA",IF(((AM544/AE544-1)*100)&gt;100,"NM",IF(((AM544/AE544-1)*100)&lt;-50,"NM",(AM544/AE544-1)*100)))</f>
        <v>NM</v>
      </c>
      <c r="AO544" s="204">
        <f>AO541-AO542-AO543</f>
        <v>15</v>
      </c>
      <c r="AP544" s="98" t="str">
        <f>IF(ISERROR((AO544/AG544-1)*100),"NA",IF(((AO544/AG544-1)*100)&gt;100,"NM",IF(((AO544/AG544-1)*100)&lt;-50,"NM",(AO544/AG544-1)*100)))</f>
        <v>NM</v>
      </c>
      <c r="AQ544" s="204">
        <f>AQ541-AQ542-AQ543</f>
        <v>-12</v>
      </c>
      <c r="AR544" s="98">
        <f>IF(ISERROR((AQ544/AI544-1)*100),"NA",IF(((AQ544/AI544-1)*100)&gt;100,"NM",IF(((AQ544/AI544-1)*100)&lt;-50,"NM",(AQ544/AI544-1)*100)))</f>
        <v>-29.411764705882348</v>
      </c>
      <c r="AS544" s="204">
        <f>AS541-AS542-AS543</f>
        <v>8</v>
      </c>
      <c r="AT544" s="98" t="str">
        <f>IF(ISERROR((AS544/AK544-1)*100),"NA",IF(((AS544/AK544-1)*100)&gt;100,"NM",IF(((AS544/AK544-1)*100)&lt;-50,"NM",(AS544/AK544-1)*100)))</f>
        <v>NM</v>
      </c>
      <c r="AU544" s="204">
        <f>AU541-AU542-AU543</f>
        <v>-68</v>
      </c>
      <c r="AV544" s="236" t="str">
        <f>IF(ISERROR((AU544/AM544-1)*100),"NA",IF(((AU544/AM544-1)*100)&gt;100,"NM",IF(((AU544/AM544-1)*100)&lt;-50,"NM",(AU544/AM544-1)*100)))</f>
        <v>NM</v>
      </c>
      <c r="AW544" s="204">
        <f>AW541-AW542-AW543</f>
        <v>-74</v>
      </c>
      <c r="AX544" s="236" t="str">
        <f>IF(ISERROR((AW544/AO544-1)*100),"NA",IF(((AW544/AO544-1)*100)&gt;100,"NM",IF(((AW544/AO544-1)*100)&lt;-50,"NM",(AW544/AO544-1)*100)))</f>
        <v>NM</v>
      </c>
      <c r="AY544" s="197">
        <f>AY541-AY542-AY543</f>
        <v>-50</v>
      </c>
      <c r="AZ544" s="98" t="str">
        <f>IF(ISERROR((AY544/AQ544-1)*100),"NA",IF(((AY544/AQ544-1)*100)&gt;100,"NM",IF(((AY544/AQ544-1)*100)&lt;-50,"NM",(AY544/AQ544-1)*100)))</f>
        <v>NM</v>
      </c>
      <c r="BA544" s="197">
        <f>BA541-BA542-BA543</f>
        <v>-46</v>
      </c>
      <c r="BB544" s="98" t="str">
        <f>IF(ISERROR((BA544/AS544-1)*100),"NA",IF(((BA544/AS544-1)*100)&gt;100,"NM",IF(((BA544/AS544-1)*100)&lt;-50,"NM",(BA544/AS544-1)*100)))</f>
        <v>NM</v>
      </c>
      <c r="BC544" s="197">
        <f>BC541-BC542-BC543</f>
        <v>-18</v>
      </c>
      <c r="BD544" s="236" t="str">
        <f>IF(ISERROR((BC544/AU544-1)*100),"NA",IF(((BC544/AU544-1)*100)&gt;100,"NM",IF(((BC544/AU544-1)*100)&lt;-50,"NM",(BC544/AU544-1)*100)))</f>
        <v>NM</v>
      </c>
      <c r="BE544" s="197">
        <f>BE541-BE542-BE543</f>
        <v>8</v>
      </c>
      <c r="BF544" s="236" t="str">
        <f>IF(ISERROR((BE544/AW544-1)*100),"NA",IF(((BE544/AW544-1)*100)&gt;100,"NM",IF(((BE544/AW544-1)*100)&lt;-50,"NM",(BE544/AW544-1)*100)))</f>
        <v>NM</v>
      </c>
      <c r="BG544" s="197">
        <f>BG541-BG542-BG543</f>
        <v>15</v>
      </c>
      <c r="BH544" s="98" t="str">
        <f>IF(ISERROR((BG544/AY544-1)*100),"NA",IF(((BG544/AY544-1)*100)&gt;100,"NM",IF(((BG544/AY544-1)*100)&lt;-50,"NM",(BG544/AY544-1)*100)))</f>
        <v>NM</v>
      </c>
      <c r="BI544" s="197">
        <f>BI541-BI542-BI543</f>
        <v>7</v>
      </c>
      <c r="BJ544" s="98" t="str">
        <f>IF(ISERROR((BI544/BA544-1)*100),"NA",IF(((BI544/BA544-1)*100)&gt;100,"NM",IF(((BI544/BA544-1)*100)&lt;-50,"NM",(BI544/BA544-1)*100)))</f>
        <v>NM</v>
      </c>
      <c r="BK544" s="197">
        <f>BK541-BK542-BK543</f>
        <v>12</v>
      </c>
      <c r="BL544" s="236" t="str">
        <f>IF(ISERROR((BK544/BC544-1)*100),"NA",IF(((BK544/BC544-1)*100)&gt;100,"NM",IF(((BK544/BC544-1)*100)&lt;-50,"NM",(BK544/BC544-1)*100)))</f>
        <v>NM</v>
      </c>
      <c r="BM544" s="197">
        <f>BM541-BM542-BM543</f>
        <v>12</v>
      </c>
      <c r="BN544" s="236">
        <f>IF(ISERROR((BM544/BE544-1)*100),"NA",IF(((BM544/BE544-1)*100)&gt;100,"NM",IF(((BM544/BE544-1)*100)&lt;-50,"NM",(BM544/BE544-1)*100)))</f>
        <v>50</v>
      </c>
      <c r="BO544" s="197">
        <f>BO541-BO542-BO543</f>
        <v>-46</v>
      </c>
      <c r="BP544" s="98" t="str">
        <f>IF(ISERROR((BO544/BG544-1)*100),"NA",IF(((BO544/BG544-1)*100)&gt;100,"NM",IF(((BO544/BG544-1)*100)&lt;-50,"NM",(BO544/BG544-1)*100)))</f>
        <v>NM</v>
      </c>
      <c r="BQ544" s="197">
        <f>BQ541-BQ542-BQ543</f>
        <v>-68</v>
      </c>
      <c r="BR544" s="98" t="str">
        <f>IF(ISERROR((BQ544/BI544-1)*100),"NA",IF(((BQ544/BI544-1)*100)&gt;100,"NM",IF(((BQ544/BI544-1)*100)&lt;-50,"NM",(BQ544/BI544-1)*100)))</f>
        <v>NM</v>
      </c>
      <c r="BS544" s="197">
        <f>BS541-BS542-BS543</f>
        <v>-102</v>
      </c>
      <c r="BT544" s="98" t="str">
        <f>IF(ISERROR((BS544/BK544-1)*100),"NA",IF(((BS544/BK544-1)*100)&gt;100,"NM",IF(((BS544/BK544-1)*100)&lt;-50,"NM",(BS544/BK544-1)*100)))</f>
        <v>NM</v>
      </c>
      <c r="BU544" s="197">
        <f>BU541-BU542-BU543</f>
        <v>-117</v>
      </c>
      <c r="BV544" s="236" t="str">
        <f>IF(ISERROR((BU544/BM544-1)*100),"NA",IF(((BU544/BM544-1)*100)&gt;100,"NM",IF(((BU544/BM544-1)*100)&lt;-50,"NM",(BU544/BM544-1)*100)))</f>
        <v>NM</v>
      </c>
      <c r="BW544" s="197">
        <f>BW541-BW542-BW543</f>
        <v>-153</v>
      </c>
      <c r="BX544" s="98" t="str">
        <f>IF(ISERROR((BW544/BO544-1)*100),"NA",IF(((BW544/BO544-1)*100)&gt;100,"NM",IF(((BW544/BO544-1)*100)&lt;-50,"NM",(BW544/BO544-1)*100)))</f>
        <v>NM</v>
      </c>
      <c r="BY544" s="197">
        <f>BY541-BY542-BY543</f>
        <v>-126</v>
      </c>
      <c r="BZ544" s="98">
        <f>IF(ISERROR((BY544/BQ544-1)*100),"NA",IF(((BY544/BQ544-1)*100)&gt;100,"NM",IF(((BY544/BQ544-1)*100)&lt;-50,"NM",(BY544/BQ544-1)*100)))</f>
        <v>85.294117647058826</v>
      </c>
      <c r="CA544" s="197">
        <f>CA541-CA542-CA543</f>
        <v>-125</v>
      </c>
      <c r="CB544" s="98">
        <f>IF(ISERROR((CA544/BS544-1)*100),"NA",IF(((CA544/BS544-1)*100)&gt;100,"NM",IF(((CA544/BS544-1)*100)&lt;-50,"NM",(CA544/BS544-1)*100)))</f>
        <v>22.549019607843146</v>
      </c>
      <c r="CC544" s="197">
        <f>CC541-CC542-CC543</f>
        <v>-130</v>
      </c>
      <c r="CD544" s="98">
        <f>IF(ISERROR((CC544/BU544-1)*100),"NA",IF(((CC544/BU544-1)*100)&gt;100,"NM",IF(((CC544/BU544-1)*100)&lt;-50,"NM",(CC544/BU544-1)*100)))</f>
        <v>11.111111111111116</v>
      </c>
      <c r="CE544" s="197">
        <f>CE541-CE542-CE543</f>
        <v>-51</v>
      </c>
      <c r="CF544" s="98" t="str">
        <f>IF(ISERROR((CE544/BW544-1)*100),"NA",IF(((CE544/BW544-1)*100)&gt;100,"NM",IF(((CE544/BW544-1)*100)&lt;-50,"NM",(CE544/BW544-1)*100)))</f>
        <v>NM</v>
      </c>
      <c r="CG544" s="197">
        <f>CG541-CG542-CG543</f>
        <v>-100</v>
      </c>
      <c r="CH544" s="98">
        <f>IF(ISERROR((CG544/BY544-1)*100),"NA",IF(((CG544/BY544-1)*100)&gt;100,"NM",IF(((CG544/BY544-1)*100)&lt;-50,"NM",(CG544/BY544-1)*100)))</f>
        <v>-20.63492063492064</v>
      </c>
      <c r="CI544" s="197">
        <f>CI541-CI542-CI543</f>
        <v>-124</v>
      </c>
      <c r="CJ544" s="98">
        <f>IF(ISERROR((CI544/CA544-1)*100),"NA",IF(((CI544/CA544-1)*100)&gt;100,"NM",IF(((CI544/CA544-1)*100)&lt;-50,"NM",(CI544/CA544-1)*100)))</f>
        <v>-0.80000000000000071</v>
      </c>
      <c r="CK544" s="197">
        <f>CK541-CK542-CK543</f>
        <v>-74</v>
      </c>
      <c r="CL544" s="98">
        <f>IF(ISERROR((CK544/CC544-1)*100),"NA",IF(((CK544/CC544-1)*100)&gt;100,"NM",IF(((CK544/CC544-1)*100)&lt;-50,"NM",(CK544/CC544-1)*100)))</f>
        <v>-43.07692307692308</v>
      </c>
      <c r="CM544" s="197">
        <f>CM541-CM542-CM543</f>
        <v>-25</v>
      </c>
      <c r="CN544" s="98" t="str">
        <f>IF(ISERROR((CM544/CE544-1)*100),"NA",IF(((CM544/CE544-1)*100)&gt;100,"NM",IF(((CM544/CE544-1)*100)&lt;-50,"NM",(CM544/CE544-1)*100)))</f>
        <v>NM</v>
      </c>
      <c r="CO544" s="197">
        <f>CO541-CO542-CO543</f>
        <v>-29</v>
      </c>
      <c r="CP544" s="98" t="str">
        <f>IF(ISERROR((CO544/CG544-1)*100),"NA",IF(((CO544/CG544-1)*100)&gt;100,"NM",IF(((CO544/CG544-1)*100)&lt;-50,"NM",(CO544/CG544-1)*100)))</f>
        <v>NM</v>
      </c>
      <c r="CQ544" s="502">
        <f>CQ541-CQ542-CQ543</f>
        <v>-52</v>
      </c>
      <c r="CR544" s="98" t="str">
        <f>IF(ISERROR((CQ544/CI544-1)*100),"NA",IF(((CQ544/CI544-1)*100)&gt;100,"NM",IF(((CQ544/CI544-1)*100)&lt;-50,"NM",(CQ544/CI544-1)*100)))</f>
        <v>NM</v>
      </c>
      <c r="CS544" s="197">
        <f>CS541-CS542-CS543</f>
        <v>-75</v>
      </c>
      <c r="CT544" s="98">
        <f>IF(ISERROR((CS544/CK544-1)*100),"NA",IF(((CS544/CK544-1)*100)&gt;100,"NM",IF(((CS544/CK544-1)*100)&lt;-50,"NM",(CS544/CK544-1)*100)))</f>
        <v>1.3513513513513598</v>
      </c>
      <c r="CU544" s="197">
        <f>CU541-CU542-CU543</f>
        <v>-44</v>
      </c>
      <c r="CV544" s="98">
        <f>IF(ISERROR((CU544/CM544-1)*100),"NA",IF(((CU544/CM544-1)*100)&gt;100,"NM",IF(((CU544/CM544-1)*100)&lt;-50,"NM",(CU544/CM544-1)*100)))</f>
        <v>76</v>
      </c>
      <c r="CW544" s="197">
        <f>CW541-CW542-CW543</f>
        <v>-66</v>
      </c>
      <c r="CX544" s="98" t="str">
        <f>IF(ISERROR((CW544/CO544-1)*100),"NA",IF(((CW544/CO544-1)*100)&gt;100,"NM",IF(((CW544/CO544-1)*100)&lt;-50,"NM",(CW544/CO544-1)*100)))</f>
        <v>NM</v>
      </c>
      <c r="CY544" s="197">
        <f>CY541-CY542-CY543</f>
        <v>-99</v>
      </c>
      <c r="CZ544" s="98">
        <f>IF(ISERROR((CY544/CQ544-1)*100),"NA",IF(((CY544/CQ544-1)*100)&gt;100,"NM",IF(((CY544/CQ544-1)*100)&lt;-50,"NM",(CY544/CQ544-1)*100)))</f>
        <v>90.384615384615373</v>
      </c>
      <c r="DA544" s="197">
        <f>DA541-DA542-DA543</f>
        <v>-129</v>
      </c>
      <c r="DB544" s="98">
        <f>IF(ISERROR((DA544/CS544-1)*100),"NA",IF(((DA544/CS544-1)*100)&gt;100,"NM",IF(((DA544/CS544-1)*100)&lt;-50,"NM",(DA544/CS544-1)*100)))</f>
        <v>72</v>
      </c>
      <c r="DC544" s="197">
        <f>DC541-DC542-DC543</f>
        <v>-86</v>
      </c>
      <c r="DD544" s="98">
        <f>IF(ISERROR((DC544/CU544-1)*100),"NA",IF(((DC544/CU544-1)*100)&gt;100,"NM",IF(((DC544/CU544-1)*100)&lt;-50,"NM",(DC544/CU544-1)*100)))</f>
        <v>95.454545454545453</v>
      </c>
      <c r="DE544" s="197">
        <f>DE541-DE542-DE543</f>
        <v>-130</v>
      </c>
      <c r="DF544" s="98">
        <f>IF(ISERROR((DE544/CW544-1)*100),"NA",IF(((DE544/CW544-1)*100)&gt;100,"NM",IF(((DE544/CW544-1)*100)&lt;-50,"NM",(DE544/CW544-1)*100)))</f>
        <v>96.969696969696969</v>
      </c>
      <c r="DG544" s="197">
        <f>DG541-DG542-DG543</f>
        <v>-163</v>
      </c>
      <c r="DH544" s="98">
        <f>IF(ISERROR((DG544/CY544-1)*100),"NA",IF(((DG544/CY544-1)*100)&gt;100,"NM",IF(((DG544/CY544-1)*100)&lt;-50,"NM",(DG544/CY544-1)*100)))</f>
        <v>64.646464646464636</v>
      </c>
      <c r="DI544" s="197">
        <f>DI541-DI542-DI543</f>
        <v>-186</v>
      </c>
      <c r="DJ544" s="98">
        <f>IF(ISERROR((DI544/DA544-1)*100),"NA",IF(((DI544/DA544-1)*100)&gt;100,"NM",IF(((DI544/DA544-1)*100)&lt;-50,"NM",(DI544/DA544-1)*100)))</f>
        <v>44.186046511627893</v>
      </c>
      <c r="DK544" s="197">
        <f>DK541-DK542-DK543</f>
        <v>-130</v>
      </c>
      <c r="DL544" s="98">
        <f>IF(ISERROR((DK544/DC544-1)*100),"NA",IF(((DK544/DC544-1)*100)&gt;100,"NM",IF(((DK544/DC544-1)*100)&lt;-50,"NM",(DK544/DC544-1)*100)))</f>
        <v>51.162790697674424</v>
      </c>
      <c r="DM544" s="197">
        <f>DM541-DM542-DM543</f>
        <v>-191</v>
      </c>
      <c r="DN544" s="98">
        <f t="shared" si="3271"/>
        <v>46.923076923076934</v>
      </c>
      <c r="DO544" s="197">
        <f>DO541-DO542-DO543</f>
        <v>-93</v>
      </c>
      <c r="DP544" s="98">
        <f t="shared" si="3271"/>
        <v>-42.944785276073617</v>
      </c>
      <c r="DQ544" s="197">
        <f>DQ541-DQ542-DQ543</f>
        <v>-172</v>
      </c>
      <c r="DR544" s="98">
        <f t="shared" si="3271"/>
        <v>-7.5268817204301115</v>
      </c>
      <c r="DS544" s="197">
        <f>DS541-DS542-DS543</f>
        <v>-151</v>
      </c>
      <c r="DT544" s="98">
        <f t="shared" si="3271"/>
        <v>16.153846153846164</v>
      </c>
      <c r="DU544" s="197">
        <f>DU541-DU542-DU543</f>
        <v>-176</v>
      </c>
      <c r="DV544" s="98">
        <f t="shared" si="3271"/>
        <v>-7.8534031413612588</v>
      </c>
      <c r="DW544" s="197">
        <f>DW541-DW542-DW543</f>
        <v>-142</v>
      </c>
      <c r="DX544" s="98">
        <f t="shared" si="3271"/>
        <v>52.688172043010752</v>
      </c>
      <c r="DY544" s="197">
        <f>DY541-DY542-DY543</f>
        <v>-187</v>
      </c>
      <c r="DZ544" s="98">
        <f t="shared" si="3271"/>
        <v>8.7209302325581319</v>
      </c>
      <c r="EA544" s="197">
        <f>EA541-EA542-EA543</f>
        <v>-186</v>
      </c>
      <c r="EB544" s="98">
        <f t="shared" si="3272"/>
        <v>23.178807947019877</v>
      </c>
      <c r="EC544" s="197">
        <f>EC541-EC542-EC543</f>
        <v>-245</v>
      </c>
      <c r="ED544" s="98">
        <f t="shared" si="3273"/>
        <v>39.20454545454546</v>
      </c>
      <c r="EE544" s="197">
        <f>EE541-EE542-EE543</f>
        <v>12</v>
      </c>
      <c r="EF544" s="860" t="str">
        <f t="shared" si="3274"/>
        <v>NM</v>
      </c>
      <c r="EG544" s="197">
        <f>EG541-EG542-EG543</f>
        <v>-203</v>
      </c>
      <c r="EH544" s="860">
        <f t="shared" si="3275"/>
        <v>8.5561497326203106</v>
      </c>
      <c r="EI544" s="197">
        <f>EI541-EI542-EI543</f>
        <v>-65</v>
      </c>
      <c r="EJ544" s="860" t="str">
        <f t="shared" si="3276"/>
        <v>NM</v>
      </c>
      <c r="EK544" s="197">
        <f>EK541-EK542-EK543</f>
        <v>-136</v>
      </c>
      <c r="EL544" s="860">
        <f t="shared" si="3277"/>
        <v>-44.489795918367349</v>
      </c>
      <c r="EM544" s="197">
        <f>EM541-EM542-EM543</f>
        <v>-169</v>
      </c>
      <c r="EN544" s="860" t="str">
        <f t="shared" si="3278"/>
        <v>NM</v>
      </c>
      <c r="EO544" s="197">
        <f>EO541-EO542-EO543</f>
        <v>-175</v>
      </c>
      <c r="EP544" s="98">
        <f t="shared" si="3279"/>
        <v>-13.793103448275868</v>
      </c>
      <c r="EQ544" s="1016">
        <f t="shared" ref="EQ544" si="3290">EQ541-EQ542-EQ543</f>
        <v>-202.60850000000002</v>
      </c>
      <c r="ER544" s="98" t="str">
        <f t="shared" si="3280"/>
        <v>NM</v>
      </c>
      <c r="ES544" s="1016">
        <f t="shared" ref="ES544" si="3291">ES541-ES542-ES543</f>
        <v>-203.641785</v>
      </c>
      <c r="ET544" s="98">
        <f t="shared" si="3281"/>
        <v>49.736606617647048</v>
      </c>
      <c r="EU544" s="1016">
        <f t="shared" ref="EU544" si="3292">EU541-EU542-EU543</f>
        <v>-204.68540284999997</v>
      </c>
      <c r="EV544" s="98">
        <f t="shared" si="3282"/>
        <v>21.115622988165672</v>
      </c>
      <c r="EW544" s="1016">
        <f t="shared" ref="EW544" si="3293">EW541-EW542-EW543</f>
        <v>-205.73945687849999</v>
      </c>
      <c r="EX544" s="98">
        <f t="shared" si="3283"/>
        <v>17.565403930571421</v>
      </c>
      <c r="EY544" s="197"/>
      <c r="EZ544" s="594"/>
      <c r="FA544" s="405"/>
      <c r="FB544" s="197"/>
      <c r="FC544" s="98"/>
      <c r="FD544" s="197">
        <f>FD541-FD542-FD543</f>
        <v>34</v>
      </c>
      <c r="FE544" s="98" t="str">
        <f>IF(ISERROR((FD544/FB544-1)*100),"NA",IF(((FD544/FB544-1)*100)&gt;100,"NM",IF(((FD544/FB544-1)*100)&lt;-50,"NM",(FD544/FB544-1)*100)))</f>
        <v>NA</v>
      </c>
      <c r="FF544" s="197">
        <f>FF541-FF542-FF543</f>
        <v>-24</v>
      </c>
      <c r="FG544" s="98" t="str">
        <f>IF(ISERROR((FF544/FD544-1)*100),"NA",IF(((FF544/FD544-1)*100)&gt;100,"NM",IF(((FF544/FD544-1)*100)&lt;-50,"NM",(FF544/FD544-1)*100)))</f>
        <v>NM</v>
      </c>
      <c r="FH544" s="197">
        <f>FH541-FH542-FH543</f>
        <v>-234</v>
      </c>
      <c r="FI544" s="98" t="str">
        <f>IF(ISERROR((FH544/FF544-1)*100),"NA",IF(((FH544/FF544-1)*100)&gt;100,"NM",IF(((FH544/FF544-1)*100)&lt;-50,"NM",(FH544/FF544-1)*100)))</f>
        <v>NM</v>
      </c>
      <c r="FJ544" s="197">
        <f>FJ541-FJ542-FJ543</f>
        <v>-313</v>
      </c>
      <c r="FK544" s="98">
        <f>IF(ISERROR((FJ544/FH544-1)*100),"NA",IF(((FJ544/FH544-1)*100)&gt;100,"NM",IF(((FJ544/FH544-1)*100)&lt;-50,"NM",(FJ544/FH544-1)*100)))</f>
        <v>33.760683760683754</v>
      </c>
      <c r="FL544" s="197">
        <f>FL541-FL542-FL543</f>
        <v>111</v>
      </c>
      <c r="FM544" s="98" t="str">
        <f>IF(ISERROR((FL544/FJ544-1)*100),"NA",IF(((FL544/FJ544-1)*100)&gt;100,"NM",IF(((FL544/FJ544-1)*100)&lt;-50,"NM",(FL544/FJ544-1)*100)))</f>
        <v>NM</v>
      </c>
      <c r="FN544" s="197">
        <f>FN541-FN542-FN543</f>
        <v>134</v>
      </c>
      <c r="FO544" s="98">
        <f>IF(ISERROR((FN544/FL544-1)*100),"NA",IF(((FN544/FL544-1)*100)&gt;100,"NM",IF(((FN544/FL544-1)*100)&lt;-50,"NM",(FN544/FL544-1)*100)))</f>
        <v>20.720720720720731</v>
      </c>
      <c r="FP544" s="204">
        <f>FP541-FP542-FP543</f>
        <v>-146</v>
      </c>
      <c r="FQ544" s="98" t="str">
        <f>IF(ISERROR((FP544/FN544-1)*100),"NA",IF(((FP544/FN544-1)*100)&gt;100,"NM",IF(((FP544/FN544-1)*100)&lt;-50,"NM",(FP544/FN544-1)*100)))</f>
        <v>NM</v>
      </c>
      <c r="FR544" s="197">
        <f>FR541-FR542-FR543</f>
        <v>-106</v>
      </c>
      <c r="FS544" s="120">
        <f>IF(ISERROR((FR544/FP544-1)*100),"NA",IF(((FR544/FP544-1)*100)&gt;100,"NM",IF(((FR544/FP544-1)*100)&lt;-50,"NM",(FR544/FP544-1)*100)))</f>
        <v>-27.397260273972602</v>
      </c>
      <c r="FT544" s="197">
        <f>FT541-FT542-FT543</f>
        <v>46</v>
      </c>
      <c r="FU544" s="98" t="str">
        <f>IF(ISERROR((FT544/FR544-1)*100),"NA",IF(((FT544/FR544-1)*100)&gt;100,"NM",IF(((FT544/FR544-1)*100)&lt;-50,"NM",(FT544/FR544-1)*100)))</f>
        <v>NM</v>
      </c>
      <c r="FV544" s="197">
        <f>FV541-FV542-FV543</f>
        <v>-381</v>
      </c>
      <c r="FW544" s="98" t="str">
        <f>IF(ISERROR((FV544/FT544-1)*100),"NA",IF(((FV544/FT544-1)*100)&gt;100,"NM",IF(((FV544/FT544-1)*100)&lt;-50,"NM",(FV544/FT544-1)*100)))</f>
        <v>NM</v>
      </c>
      <c r="FX544" s="502">
        <f>FX541-FX542-FX543</f>
        <v>-534</v>
      </c>
      <c r="FY544" s="98">
        <f>IF(ISERROR((FX544/FV544-1)*100),"NA",IF(((FX544/FV544-1)*100)&gt;100,"NM",IF(((FX544/FV544-1)*100)&lt;-50,"NM",(FX544/FV544-1)*100)))</f>
        <v>40.157480314960623</v>
      </c>
      <c r="FZ544" s="197">
        <f>FZ541-FZ542-FZ543</f>
        <v>-349</v>
      </c>
      <c r="GA544" s="98">
        <f>IF(ISERROR((FZ544/FX544-1)*100),"NA",IF(((FZ544/FX544-1)*100)&gt;100,"NM",IF(((FZ544/FX544-1)*100)&lt;-50,"NM",(FZ544/FX544-1)*100)))</f>
        <v>-34.644194756554306</v>
      </c>
      <c r="GB544" s="502">
        <f>GB541-GB542-GB543</f>
        <v>-238</v>
      </c>
      <c r="GC544" s="98">
        <f>IF(ISERROR((GB544/FZ544-1)*100),"NA",IF(((GB544/FZ544-1)*100)&gt;100,"NM",IF(((GB544/FZ544-1)*100)&lt;-50,"NM",(GB544/FZ544-1)*100)))</f>
        <v>-31.805157593123212</v>
      </c>
      <c r="GD544" s="197">
        <f>GD541-GD542-GD543</f>
        <v>-338</v>
      </c>
      <c r="GE544" s="98">
        <f>IF(ISERROR((GD544/GB544-1)*100),"NA",IF(((GD544/GB544-1)*100)&gt;100,"NM",IF(((GD544/GB544-1)*100)&lt;-50,"NM",(GD544/GB544-1)*100)))</f>
        <v>42.016806722689083</v>
      </c>
      <c r="GF544" s="197">
        <f>GF541-GF542-GF543</f>
        <v>-565</v>
      </c>
      <c r="GG544" s="98">
        <f>IF(ISERROR((GF544/GD544-1)*100),"NA",IF(((GF544/GD544-1)*100)&gt;100,"NM",IF(((GF544/GD544-1)*100)&lt;-50,"NM",(GF544/GD544-1)*100)))</f>
        <v>67.15976331360946</v>
      </c>
      <c r="GH544" s="197">
        <f>GH541-GH542-GH543</f>
        <v>-586</v>
      </c>
      <c r="GI544" s="98">
        <f>IF(ISERROR((GH544/GF544-1)*100),"NA",IF(((GH544/GF544-1)*100)&gt;100,"NM",IF(((GH544/GF544-1)*100)&lt;-50,"NM",(GH544/GF544-1)*100)))</f>
        <v>3.7168141592920367</v>
      </c>
      <c r="GJ544" s="197">
        <f>GJ541-GJ542-GJ543</f>
        <v>-656</v>
      </c>
      <c r="GK544" s="98">
        <f>IF(ISERROR((GJ544/GH544-1)*100),"NA",IF(((GJ544/GH544-1)*100)&gt;100,"NM",IF(((GJ544/GH544-1)*100)&lt;-50,"NM",(GJ544/GH544-1)*100)))</f>
        <v>11.945392491467576</v>
      </c>
      <c r="GL544" s="197">
        <f>GL541-GL542-GL543</f>
        <v>-622</v>
      </c>
      <c r="GM544" s="98">
        <f>IF(ISERROR((GL544/GJ544-1)*100),"NA",IF(((GL544/GJ544-1)*100)&gt;100,"NM",IF(((GL544/GJ544-1)*100)&lt;-50,"NM",(GL544/GJ544-1)*100)))</f>
        <v>-5.1829268292682968</v>
      </c>
      <c r="GN544" s="197">
        <f>GN541-GN542-GN543</f>
        <v>-545</v>
      </c>
      <c r="GO544" s="98">
        <f>IF(ISERROR((GN544/GL544-1)*100),"NA",IF(((GN544/GL544-1)*100)&gt;100,"NM",IF(((GN544/GL544-1)*100)&lt;-50,"NM",(GN544/GL544-1)*100)))</f>
        <v>-12.37942122186495</v>
      </c>
      <c r="GP544" s="197">
        <f>GP541-GP542-GP543</f>
        <v>-816.67514472850007</v>
      </c>
      <c r="GQ544" s="98">
        <f>IF(ISERROR((GP544/GN544-1)*100),"NA",IF(((GP544/GN544-1)*100)&gt;100,"NM",IF(((GP544/GN544-1)*100)&lt;-50,"NM",(GP544/GN544-1)*100)))</f>
        <v>49.848650408899097</v>
      </c>
      <c r="GR544" s="197">
        <f>SUM(GR541:GR543)</f>
        <v>-817.4698606120719</v>
      </c>
      <c r="GS544" s="98">
        <f>IF(ISERROR((GR544/GP544-1)*100),"NA",IF(((GR544/GP544-1)*100)&gt;100,"NM",IF(((GR544/GP544-1)*100)&lt;-50,"NM",(GR544/GP544-1)*100)))</f>
        <v>9.7311138792655072E-2</v>
      </c>
      <c r="GT544" s="197">
        <f>SUM(GT541:GT543)</f>
        <v>-733.9362878157126</v>
      </c>
      <c r="GU544" s="98">
        <f>IF(ISERROR((GT544/GR544-1)*100),"NA",IF(((GT544/GR544-1)*100)&gt;100,"NM",IF(((GT544/GR544-1)*100)&lt;-50,"NM",(GT544/GR544-1)*100)))</f>
        <v>-10.218550777372315</v>
      </c>
      <c r="GV544" s="197">
        <f>SUM(GV541:GV543)</f>
        <v>-720.48130331143943</v>
      </c>
      <c r="GW544" s="98">
        <f>IF(ISERROR((GV544/GT544-1)*100),"NA",IF(((GV544/GT544-1)*100)&gt;100,"NM",IF(((GV544/GT544-1)*100)&lt;-50,"NM",(GV544/GT544-1)*100)))</f>
        <v>-1.8332632856071118</v>
      </c>
      <c r="GX544" s="197">
        <f>SUM(GX541:GX543)</f>
        <v>-707.09954279361193</v>
      </c>
      <c r="GY544" s="98">
        <f>IF(ISERROR((GX544/GV544-1)*100),"NA",IF(((GX544/GV544-1)*100)&gt;100,"NM",IF(((GX544/GV544-1)*100)&lt;-50,"NM",(GX544/GV544-1)*100)))</f>
        <v>-1.8573362634565216</v>
      </c>
      <c r="GZ544" s="98">
        <f>IF(ISERROR(((GX544/GN544)^0.2-1)*100),"NA",IF((((GX544/GN544)^0.2-1)*100)&gt;100,"NM",IF((((GX544/GN544)^0.2-1)*100)&lt;-50,"NM",((GX544/GN544)^0.2-1)*100)))</f>
        <v>5.345699406697868</v>
      </c>
      <c r="HA544" s="98"/>
      <c r="HC544"/>
      <c r="HD544"/>
      <c r="HE544"/>
      <c r="HF544"/>
      <c r="HG544"/>
      <c r="HH544"/>
    </row>
    <row r="545" spans="1:217" s="210" customFormat="1" ht="12.75" customHeight="1" x14ac:dyDescent="0.2">
      <c r="A545" s="210" t="s">
        <v>347</v>
      </c>
      <c r="B545" s="209" t="s">
        <v>138</v>
      </c>
      <c r="C545" s="117">
        <f>C541/(1-C606/100)-(C542+C543)/0.65</f>
        <v>-13.781249999999998</v>
      </c>
      <c r="D545" s="98"/>
      <c r="E545" s="117">
        <f>E541/(1-E606/100)-(E542+E543)/0.65</f>
        <v>29.160427807486631</v>
      </c>
      <c r="F545" s="98"/>
      <c r="G545" s="117">
        <f>G541/(1-G606/100)-(G542+G543)/0.65</f>
        <v>-13.7109375</v>
      </c>
      <c r="H545" s="98"/>
      <c r="I545" s="117">
        <f>I541/(1-I606/100)-(I542+I543)/0.65</f>
        <v>-38.180693069306933</v>
      </c>
      <c r="J545" s="98"/>
      <c r="K545" s="117">
        <f>K541/(1-K606/100)-(K542+K543)/0.65</f>
        <v>-13.40625</v>
      </c>
      <c r="L545" s="98">
        <f>IF(ISERROR((K545/C545-1)*100),"NA",IF(((K545/C545-1)*100)&gt;100,"NM",IF(((K545/C545-1)*100)&lt;-50,"NM",(K545/C545-1)*100)))</f>
        <v>-2.7210884353741416</v>
      </c>
      <c r="M545" s="117">
        <f>M541/(1-M606/100)-(M542+M543)/0.65</f>
        <v>-15.011933174224344</v>
      </c>
      <c r="N545" s="98" t="str">
        <f>IF(ISERROR((M545/E545-1)*100),"NA",IF(((M545/E545-1)*100)&gt;100,"NM",IF(((M545/E545-1)*100)&lt;-50,"NM",(M545/E545-1)*100)))</f>
        <v>NM</v>
      </c>
      <c r="O545" s="117">
        <f>O541/(1-O606/100)-(O542+O543)/0.65</f>
        <v>-320.62939997417732</v>
      </c>
      <c r="P545" s="98" t="str">
        <f>IF(ISERROR((O545/G545-1)*100),"NA",IF(((O545/G545-1)*100)&gt;100,"NM",IF(((O545/G545-1)*100)&lt;-50,"NM",(O545/G545-1)*100)))</f>
        <v>NM</v>
      </c>
      <c r="Q545" s="117">
        <f>Q541/(1-Q606/100)-(Q542+Q543)/0.65</f>
        <v>-9.1979615352213511</v>
      </c>
      <c r="R545" s="98" t="str">
        <f>IF(ISERROR((Q545/I545-1)*100),"NA",IF(((Q545/I545-1)*100)&gt;100,"NM",IF(((Q545/I545-1)*100)&lt;-50,"NM",(Q545/I545-1)*100)))</f>
        <v>NM</v>
      </c>
      <c r="S545" s="117">
        <f>S541/(1-S606/100)-(S542+S543)/0.65</f>
        <v>-116.09000000000002</v>
      </c>
      <c r="T545" s="98" t="str">
        <f>IF(ISERROR((S545/K545-1)*100),"NA",IF(((S545/K545-1)*100)&gt;100,"NM",IF(((S545/K545-1)*100)&lt;-50,"NM",(S545/K545-1)*100)))</f>
        <v>NM</v>
      </c>
      <c r="U545" s="117">
        <f>U541/(1-U606/100)-(U542+U543)/0.65</f>
        <v>-5.9206349206349209</v>
      </c>
      <c r="V545" s="98" t="str">
        <f>IF(ISERROR((U545/M545-1)*100),"NA",IF(((U545/M545-1)*100)&gt;100,"NM",IF(((U545/M545-1)*100)&lt;-50,"NM",(U545/M545-1)*100)))</f>
        <v>NM</v>
      </c>
      <c r="W545" s="117">
        <f>W541/(1-W606/100)-(W542+W543)/0.65</f>
        <v>-102.76892430278885</v>
      </c>
      <c r="X545" s="98" t="str">
        <f>IF(ISERROR((W545/O545-1)*100),"NA",IF(((W545/O545-1)*100)&gt;100,"NM",IF(((W545/O545-1)*100)&lt;-50,"NM",(W545/O545-1)*100)))</f>
        <v>NM</v>
      </c>
      <c r="Y545" s="117">
        <f>Y541/(1-Y606/100)-(Y542+Y543)/0.65</f>
        <v>-213.07189542483661</v>
      </c>
      <c r="Z545" s="98" t="str">
        <f>IF(ISERROR((Y545/Q545-1)*100),"NA",IF(((Y545/Q545-1)*100)&gt;100,"NM",IF(((Y545/Q545-1)*100)&lt;-50,"NM",(Y545/Q545-1)*100)))</f>
        <v>NM</v>
      </c>
      <c r="AA545" s="117">
        <f>AA541/(1-AA606/100)-(AA542+AA543)/0.65</f>
        <v>-17.354260089686097</v>
      </c>
      <c r="AB545" s="98" t="str">
        <f>IF(ISERROR((AA545/S545-1)*100),"NA",IF(((AA545/S545-1)*100)&gt;100,"NM",IF(((AA545/S545-1)*100)&lt;-50,"NM",(AA545/S545-1)*100)))</f>
        <v>NM</v>
      </c>
      <c r="AC545" s="117">
        <f>AC541/(1-AC606/100)-(AC542+AC543)/0.65</f>
        <v>56.408064516129038</v>
      </c>
      <c r="AD545" s="98" t="str">
        <f>IF(ISERROR((AC545/U545-1)*100),"NA",IF(((AC545/U545-1)*100)&gt;100,"NM",IF(((AC545/U545-1)*100)&lt;-50,"NM",(AC545/U545-1)*100)))</f>
        <v>NM</v>
      </c>
      <c r="AE545" s="117">
        <f>AE541/(1-AE606/100)-(AE542+AE543)/0.65</f>
        <v>109.61038961038962</v>
      </c>
      <c r="AF545" s="98" t="str">
        <f>IF(ISERROR((AE545/W545-1)*100),"NA",IF(((AE545/W545-1)*100)&gt;100,"NM",IF(((AE545/W545-1)*100)&lt;-50,"NM",(AE545/W545-1)*100)))</f>
        <v>NM</v>
      </c>
      <c r="AG545" s="117">
        <f>AG541/(1-AG606/100)-(AG542+AG543)/0.65</f>
        <v>2.8</v>
      </c>
      <c r="AH545" s="98" t="str">
        <f>IF(ISERROR((AG545/Y545-1)*100),"NA",IF(((AG545/Y545-1)*100)&gt;100,"NM",IF(((AG545/Y545-1)*100)&lt;-50,"NM",(AG545/Y545-1)*100)))</f>
        <v>NM</v>
      </c>
      <c r="AI545" s="117">
        <f>AI541/(1-AI606/100)-(AI542+AI543)/0.65</f>
        <v>-24.74285714285714</v>
      </c>
      <c r="AJ545" s="98">
        <f>IF(ISERROR((AI545/AA545-1)*100),"NA",IF(((AI545/AA545-1)*100)&gt;100,"NM",IF(((AI545/AA545-1)*100)&lt;-50,"NM",(AI545/AA545-1)*100)))</f>
        <v>42.575119970468812</v>
      </c>
      <c r="AK545" s="117">
        <f>AK541/(1-AK606/100)-(AK542+AK543)/0.65</f>
        <v>-37.565876682064655</v>
      </c>
      <c r="AL545" s="98" t="str">
        <f>IF(ISERROR((AK545/AC545-1)*100),"NA",IF(((AK545/AC545-1)*100)&gt;100,"NM",IF(((AK545/AC545-1)*100)&lt;-50,"NM",(AK545/AC545-1)*100)))</f>
        <v>NM</v>
      </c>
      <c r="AM545" s="117">
        <f>AM541/(1-AM606/100)-(AM542+AM543)/0.65</f>
        <v>20.173263629574315</v>
      </c>
      <c r="AN545" s="98" t="str">
        <f>IF(ISERROR((AM545/AE545-1)*100),"NA",IF(((AM545/AE545-1)*100)&gt;100,"NM",IF(((AM545/AE545-1)*100)&lt;-50,"NM",(AM545/AE545-1)*100)))</f>
        <v>NM</v>
      </c>
      <c r="AO545" s="117">
        <f>AO541/(1-AO606/100)-(AO542+AO543)/0.65</f>
        <v>20.377622377622377</v>
      </c>
      <c r="AP545" s="98" t="str">
        <f>IF(ISERROR((AO545/AG545-1)*100),"NA",IF(((AO545/AG545-1)*100)&gt;100,"NM",IF(((AO545/AG545-1)*100)&lt;-50,"NM",(AO545/AG545-1)*100)))</f>
        <v>NM</v>
      </c>
      <c r="AQ545" s="117">
        <f>AQ541/(1-AQ606/100)-(AQ542+AQ543)/0.65</f>
        <v>-19.265581134194271</v>
      </c>
      <c r="AR545" s="98">
        <f>IF(ISERROR((AQ545/AI545-1)*100),"NA",IF(((AQ545/AI545-1)*100)&gt;100,"NM",IF(((AQ545/AI545-1)*100)&lt;-50,"NM",(AQ545/AI545-1)*100)))</f>
        <v>-22.136796801755242</v>
      </c>
      <c r="AS545" s="117">
        <f>AS541/(1-AS606/100)-(AS542+AS543)/0.65</f>
        <v>4.7438549955791558</v>
      </c>
      <c r="AT545" s="98" t="str">
        <f>IF(ISERROR((AS545/AK545-1)*100),"NA",IF(((AS545/AK545-1)*100)&gt;100,"NM",IF(((AS545/AK545-1)*100)&lt;-50,"NM",(AS545/AK545-1)*100)))</f>
        <v>NM</v>
      </c>
      <c r="AU545" s="117">
        <f>AU541/(1-AU606/100)-(AU542+AU543)/0.65</f>
        <v>-104.23461538461538</v>
      </c>
      <c r="AV545" s="98" t="str">
        <f>IF(ISERROR((AU545/AM545-1)*100),"NA",IF(((AU545/AM545-1)*100)&gt;100,"NM",IF(((AU545/AM545-1)*100)&lt;-50,"NM",(AU545/AM545-1)*100)))</f>
        <v>NM</v>
      </c>
      <c r="AW545" s="117">
        <f>AW541/(1-AW606/100)-(AW542+AW543)/0.65</f>
        <v>-112.46596707422739</v>
      </c>
      <c r="AX545" s="98" t="str">
        <f>IF(ISERROR((AW545/AO545-1)*100),"NA",IF(((AW545/AO545-1)*100)&gt;100,"NM",IF(((AW545/AO545-1)*100)&lt;-50,"NM",(AW545/AO545-1)*100)))</f>
        <v>NM</v>
      </c>
      <c r="AY545" s="117">
        <f>AY541/(1-AY606/100)-(AY542+AY543)/0.65</f>
        <v>-77.462213225371116</v>
      </c>
      <c r="AZ545" s="98" t="str">
        <f>IF(ISERROR((AY545/AQ545-1)*100),"NA",IF(((AY545/AQ545-1)*100)&gt;100,"NM",IF(((AY545/AQ545-1)*100)&lt;-50,"NM",(AY545/AQ545-1)*100)))</f>
        <v>NM</v>
      </c>
      <c r="BA545" s="117">
        <f>BA541/(1-BA606/100)-(BA542+BA543)/0.65</f>
        <v>-69.818167604752972</v>
      </c>
      <c r="BB545" s="98" t="str">
        <f>IF(ISERROR((BA545/AS545-1)*100),"NA",IF(((BA545/AS545-1)*100)&gt;100,"NM",IF(((BA545/AS545-1)*100)&lt;-50,"NM",(BA545/AS545-1)*100)))</f>
        <v>NM</v>
      </c>
      <c r="BC545" s="117">
        <f>BC541/(1-BC606/100)-(BC542+BC543)/0.65</f>
        <v>-26.896980889674001</v>
      </c>
      <c r="BD545" s="98" t="str">
        <f>IF(ISERROR((BC545/AU545-1)*100),"NA",IF(((BC545/AU545-1)*100)&gt;100,"NM",IF(((BC545/AU545-1)*100)&lt;-50,"NM",(BC545/AU545-1)*100)))</f>
        <v>NM</v>
      </c>
      <c r="BE545" s="117">
        <f>BE541/(1-BE606/100)-(BE542+BE543)/0.65</f>
        <v>8.258064516129032</v>
      </c>
      <c r="BF545" s="98" t="str">
        <f>IF(ISERROR((BE545/AW545-1)*100),"NA",IF(((BE545/AW545-1)*100)&gt;100,"NM",IF(((BE545/AW545-1)*100)&lt;-50,"NM",(BE545/AW545-1)*100)))</f>
        <v>NM</v>
      </c>
      <c r="BG545" s="117">
        <f>BG541/(1-BG606/100)-(BG542+BG543)/0.65</f>
        <v>19.640978245414466</v>
      </c>
      <c r="BH545" s="98" t="str">
        <f>IF(ISERROR((BG545/AY545-1)*100),"NA",IF(((BG545/AY545-1)*100)&gt;100,"NM",IF(((BG545/AY545-1)*100)&lt;-50,"NM",(BG545/AY545-1)*100)))</f>
        <v>NM</v>
      </c>
      <c r="BI545" s="117">
        <f>BI541/(1-BI606/100)-(BI542+BI543)/0.65</f>
        <v>5.7760957577891219</v>
      </c>
      <c r="BJ545" s="98" t="str">
        <f>IF(ISERROR((BI545/BA545-1)*100),"NA",IF(((BI545/BA545-1)*100)&gt;100,"NM",IF(((BI545/BA545-1)*100)&lt;-50,"NM",(BI545/BA545-1)*100)))</f>
        <v>NM</v>
      </c>
      <c r="BK545" s="117">
        <f>BK541/(1-BK606/100)-(BK542+BK543)/0.65</f>
        <v>15.33589052456977</v>
      </c>
      <c r="BL545" s="98" t="str">
        <f>IF(ISERROR((BK545/BC545-1)*100),"NA",IF(((BK545/BC545-1)*100)&gt;100,"NM",IF(((BK545/BC545-1)*100)&lt;-50,"NM",(BK545/BC545-1)*100)))</f>
        <v>NM</v>
      </c>
      <c r="BM545" s="117">
        <f>BM541/(1-BM606/100)-(BM542+BM543)/0.65</f>
        <v>21.753130590339886</v>
      </c>
      <c r="BN545" s="98" t="str">
        <f>IF(ISERROR((BM545/BE545-1)*100),"NA",IF(((BM545/BE545-1)*100)&gt;100,"NM",IF(((BM545/BE545-1)*100)&lt;-50,"NM",(BM545/BE545-1)*100)))</f>
        <v>NM</v>
      </c>
      <c r="BO545" s="117">
        <f>BO541/(1-BO606/100)-(BO542+BO543)/0.65</f>
        <v>-68.876219862227316</v>
      </c>
      <c r="BP545" s="98" t="str">
        <f>IF(ISERROR((BO545/BG545-1)*100),"NA",IF(((BO545/BG545-1)*100)&gt;100,"NM",IF(((BO545/BG545-1)*100)&lt;-50,"NM",(BO545/BG545-1)*100)))</f>
        <v>NM</v>
      </c>
      <c r="BQ545" s="117">
        <f>BQ541/(1-BQ606/100)-(BQ542+BQ543)/0.65</f>
        <v>-95.609921082299891</v>
      </c>
      <c r="BR545" s="98" t="str">
        <f>IF(ISERROR((BQ545/BI545-1)*100),"NA",IF(((BQ545/BI545-1)*100)&gt;100,"NM",IF(((BQ545/BI545-1)*100)&lt;-50,"NM",(BQ545/BI545-1)*100)))</f>
        <v>NM</v>
      </c>
      <c r="BS545" s="117">
        <f>BS541/(1-BS606/100)-(BS542+BS543)/0.65</f>
        <v>-148.46153846153842</v>
      </c>
      <c r="BT545" s="98" t="str">
        <f>IF(ISERROR((BS545/BK545-1)*100),"NA",IF(((BS545/BK545-1)*100)&gt;100,"NM",IF(((BS545/BK545-1)*100)&lt;-50,"NM",(BS545/BK545-1)*100)))</f>
        <v>NM</v>
      </c>
      <c r="BU545" s="117">
        <f>BU541/(1-BU606/100)-(BU542+BU543)/0.65</f>
        <v>1041.7152209492633</v>
      </c>
      <c r="BV545" s="98" t="str">
        <f>IF(ISERROR((BU545/BM545-1)*100),"NA",IF(((BU545/BM545-1)*100)&gt;100,"NM",IF(((BU545/BM545-1)*100)&lt;-50,"NM",(BU545/BM545-1)*100)))</f>
        <v>NM</v>
      </c>
      <c r="BW545" s="117">
        <f>BW541/(1-BW606/100)-(BW542+BW543)/0.65</f>
        <v>960.82138200782288</v>
      </c>
      <c r="BX545" s="98" t="str">
        <f>IF(ISERROR((BW545/BO545-1)*100),"NA",IF(((BW545/BO545-1)*100)&gt;100,"NM",IF(((BW545/BO545-1)*100)&lt;-50,"NM",(BW545/BO545-1)*100)))</f>
        <v>NM</v>
      </c>
      <c r="BY545" s="117">
        <f>BY541/(1-BY606/100)-(BY542+BY543)/0.65</f>
        <v>-1098.5314685314679</v>
      </c>
      <c r="BZ545" s="98" t="str">
        <f>IF(ISERROR((BY545/BQ545-1)*100),"NA",IF(((BY545/BQ545-1)*100)&gt;100,"NM",IF(((BY545/BQ545-1)*100)&lt;-50,"NM",(BY545/BQ545-1)*100)))</f>
        <v>NM</v>
      </c>
      <c r="CA545" s="117">
        <f>CA541/(1-CA606/100)-(CA542+CA543)/0.65</f>
        <v>-901.60848806366073</v>
      </c>
      <c r="CB545" s="98" t="str">
        <f>IF(ISERROR((CA545/BS545-1)*100),"NA",IF(((CA545/BS545-1)*100)&gt;100,"NM",IF(((CA545/BS545-1)*100)&lt;-50,"NM",(CA545/BS545-1)*100)))</f>
        <v>NM</v>
      </c>
      <c r="CC545" s="117">
        <f>CC541/(1-CC606/100)-(CC542+CC543)/0.65</f>
        <v>-158.22675504107542</v>
      </c>
      <c r="CD545" s="98" t="str">
        <f>IF(ISERROR((CC545/BU545-1)*100),"NA",IF(((CC545/BU545-1)*100)&gt;100,"NM",IF(((CC545/BU545-1)*100)&lt;-50,"NM",(CC545/BU545-1)*100)))</f>
        <v>NM</v>
      </c>
      <c r="CE545" s="117">
        <f>CE541/(1-CE606/100)-(CE542+CE543)/0.65</f>
        <v>-65.763723971777679</v>
      </c>
      <c r="CF545" s="98" t="str">
        <f>IF(ISERROR((CE545/BW545-1)*100),"NA",IF(((CE545/BW545-1)*100)&gt;100,"NM",IF(((CE545/BW545-1)*100)&lt;-50,"NM",(CE545/BW545-1)*100)))</f>
        <v>NM</v>
      </c>
      <c r="CG545" s="117">
        <f>CG541/(1-CG606/100)-(CG542+CG543)/0.65</f>
        <v>-136.37802197802199</v>
      </c>
      <c r="CH545" s="98" t="str">
        <f>IF(ISERROR((CG545/BY545-1)*100),"NA",IF(((CG545/BY545-1)*100)&gt;100,"NM",IF(((CG545/BY545-1)*100)&lt;-50,"NM",(CG545/BY545-1)*100)))</f>
        <v>NM</v>
      </c>
      <c r="CI545" s="117">
        <f>CI541/(1-CI606/100)-(CI542+CI543)/0.65</f>
        <v>-170.59109311740895</v>
      </c>
      <c r="CJ545" s="98" t="str">
        <f>IF(ISERROR((CI545/CA545-1)*100),"NA",IF(((CI545/CA545-1)*100)&gt;100,"NM",IF(((CI545/CA545-1)*100)&lt;-50,"NM",(CI545/CA545-1)*100)))</f>
        <v>NM</v>
      </c>
      <c r="CK545" s="117">
        <f>CK541/(1-CK606/100)-(CK542+CK543)/0.65</f>
        <v>-113.48759811616954</v>
      </c>
      <c r="CL545" s="98">
        <f>IF(ISERROR((CK545/CC545-1)*100),"NA",IF(((CK545/CC545-1)*100)&gt;100,"NM",IF(((CK545/CC545-1)*100)&lt;-50,"NM",(CK545/CC545-1)*100)))</f>
        <v>-28.275342506576507</v>
      </c>
      <c r="CM545" s="117">
        <f>CM541/(1-CM606/100)-(CM542+CM543)/0.65</f>
        <v>-37.380963250399446</v>
      </c>
      <c r="CN545" s="98">
        <f>IF(ISERROR((CM545/CE545-1)*100),"NA",IF(((CM545/CE545-1)*100)&gt;100,"NM",IF(((CM545/CE545-1)*100)&lt;-50,"NM",(CM545/CE545-1)*100)))</f>
        <v>-43.158688418494393</v>
      </c>
      <c r="CO545" s="117">
        <f>CO541/(1-CO606/100)-(CO542+CO543)/0.65</f>
        <v>-39.557661240213747</v>
      </c>
      <c r="CP545" s="98" t="str">
        <f>IF(ISERROR((CO545/CG545-1)*100),"NA",IF(((CO545/CG545-1)*100)&gt;100,"NM",IF(((CO545/CG545-1)*100)&lt;-50,"NM",(CO545/CG545-1)*100)))</f>
        <v>NM</v>
      </c>
      <c r="CQ545" s="486">
        <f>CQ541/(1-CQ606/100)-(CQ542+CQ543)/0.65</f>
        <v>-58.290993428681858</v>
      </c>
      <c r="CR545" s="98" t="str">
        <f>IF(ISERROR((CQ545/CI545-1)*100),"NA",IF(((CQ545/CI545-1)*100)&gt;100,"NM",IF(((CQ545/CI545-1)*100)&lt;-50,"NM",(CQ545/CI545-1)*100)))</f>
        <v>NM</v>
      </c>
      <c r="CS545" s="117">
        <f>CS541/(1-CS606/100)-(CS542+CS543)/0.65</f>
        <v>-101.70920060331827</v>
      </c>
      <c r="CT545" s="98">
        <f>IF(ISERROR((CS545/CK545-1)*100),"NA",IF(((CS545/CK545-1)*100)&gt;100,"NM",IF(((CS545/CK545-1)*100)&lt;-50,"NM",(CS545/CK545-1)*100)))</f>
        <v>-10.378576785803961</v>
      </c>
      <c r="CU545" s="117">
        <f>CU541/(1-CU606/100)-(CU542+CU543)/0.65</f>
        <v>-58.343630933992372</v>
      </c>
      <c r="CV545" s="98">
        <f>IF(ISERROR((CU545/CM545-1)*100),"NA",IF(((CU545/CM545-1)*100)&gt;100,"NM",IF(((CU545/CM545-1)*100)&lt;-50,"NM",(CU545/CM545-1)*100)))</f>
        <v>56.078457751804777</v>
      </c>
      <c r="CW545" s="117">
        <f>CW541/(1-CW606/100)-(CW542+CW543)/0.65</f>
        <v>-94.120300751879697</v>
      </c>
      <c r="CX545" s="98" t="str">
        <f>IF(ISERROR((CW545/CO545-1)*100),"NA",IF(((CW545/CO545-1)*100)&gt;100,"NM",IF(((CW545/CO545-1)*100)&lt;-50,"NM",(CW545/CO545-1)*100)))</f>
        <v>NM</v>
      </c>
      <c r="CY545" s="117">
        <f>CY541/(1-CY606/100)-(CY542+CY543)/0.65</f>
        <v>-133.77236723193877</v>
      </c>
      <c r="CZ545" s="98" t="str">
        <f>IF(ISERROR((CY545/CQ545-1)*100),"NA",IF(((CY545/CQ545-1)*100)&gt;100,"NM",IF(((CY545/CQ545-1)*100)&lt;-50,"NM",(CY545/CQ545-1)*100)))</f>
        <v>NM</v>
      </c>
      <c r="DA545" s="117">
        <f>DA541/(1-DA606/100)-(DA542+DA543)/0.65</f>
        <v>-179.82407407407408</v>
      </c>
      <c r="DB545" s="98">
        <f>IF(ISERROR((DA545/CS545-1)*100),"NA",IF(((DA545/CS545-1)*100)&gt;100,"NM",IF(((DA545/CS545-1)*100)&lt;-50,"NM",(DA545/CS545-1)*100)))</f>
        <v>76.802170312414503</v>
      </c>
      <c r="DC545" s="117">
        <f>DC541/(1-DC606/100)-(DC542+DC543)/0.65</f>
        <v>-119.26855763427884</v>
      </c>
      <c r="DD545" s="98" t="str">
        <f>IF(ISERROR((DC545/CU545-1)*100),"NA",IF(((DC545/CU545-1)*100)&gt;100,"NM",IF(((DC545/CU545-1)*100)&lt;-50,"NM",(DC545/CU545-1)*100)))</f>
        <v>NM</v>
      </c>
      <c r="DE545" s="117">
        <f>DE541/(1-DE606/100)-(DE542+DE543)/0.65</f>
        <v>-178.24162223914701</v>
      </c>
      <c r="DF545" s="98">
        <f>IF(ISERROR((DE545/CW545-1)*100),"NA",IF(((DE545/CW545-1)*100)&gt;100,"NM",IF(((DE545/CW545-1)*100)&lt;-50,"NM",(DE545/CW545-1)*100)))</f>
        <v>89.3763840693925</v>
      </c>
      <c r="DG545" s="117">
        <f>DG541/(1-DG606/100)-(DG542+DG543)/0.65</f>
        <v>-221.4662295081967</v>
      </c>
      <c r="DH545" s="98">
        <f>IF(ISERROR((DG545/CY545-1)*100),"NA",IF(((DG545/CY545-1)*100)&gt;100,"NM",IF(((DG545/CY545-1)*100)&lt;-50,"NM",(DG545/CY545-1)*100)))</f>
        <v>65.554541712049954</v>
      </c>
      <c r="DI545" s="117">
        <f>DI541/(1-DI606/100)-(DI542+DI543)/0.65</f>
        <v>-230.64828925018202</v>
      </c>
      <c r="DJ545" s="98">
        <f>IF(ISERROR((DI545/DA545-1)*100),"NA",IF(((DI545/DA545-1)*100)&gt;100,"NM",IF(((DI545/DA545-1)*100)&lt;-50,"NM",(DI545/DA545-1)*100)))</f>
        <v>28.263298692238603</v>
      </c>
      <c r="DK545" s="117">
        <f>DK541/(1-DK606/100)-(DK542+DK543)/0.65</f>
        <v>-173.59528411287206</v>
      </c>
      <c r="DL545" s="98">
        <f>IF(ISERROR((DK545/DC545-1)*100),"NA",IF(((DK545/DC545-1)*100)&gt;100,"NM",IF(((DK545/DC545-1)*100)&lt;-50,"NM",(DK545/DC545-1)*100)))</f>
        <v>45.549914877967183</v>
      </c>
      <c r="DM545" s="117">
        <f>DM541/(1-DM606/100)-(DM542+DM543)/0.65</f>
        <v>-263.81801357186924</v>
      </c>
      <c r="DN545" s="98">
        <f t="shared" si="3271"/>
        <v>48.011452239760423</v>
      </c>
      <c r="DO545" s="117">
        <f>DO541/(1-DO606/100)-(DO542+DO543)/0.65</f>
        <v>-123.48571428571429</v>
      </c>
      <c r="DP545" s="98">
        <f t="shared" si="3271"/>
        <v>-44.241740801775855</v>
      </c>
      <c r="DQ545" s="117">
        <f>DQ541/(1-DQ606/100)-(DQ542+DQ543)/0.65</f>
        <v>-198.52912019826516</v>
      </c>
      <c r="DR545" s="98">
        <f t="shared" si="3271"/>
        <v>-13.925604718913609</v>
      </c>
      <c r="DS545" s="117">
        <f>DS541/(1-DS606/100)-(DS542+DS543)/0.65</f>
        <v>-203.43055555555554</v>
      </c>
      <c r="DT545" s="98">
        <f t="shared" si="3271"/>
        <v>17.186683149344372</v>
      </c>
      <c r="DU545" s="117">
        <f>DU541/(1-DU606/100)-(DU542+DU543)/0.65</f>
        <v>-223.60863309352519</v>
      </c>
      <c r="DV545" s="98">
        <f t="shared" si="3271"/>
        <v>-15.241332437441857</v>
      </c>
      <c r="DW545" s="117">
        <f>DW541/(1-DW606/100)-(DW542+DW543)/0.65</f>
        <v>-1547.1318681318685</v>
      </c>
      <c r="DX545" s="98" t="str">
        <f t="shared" si="3271"/>
        <v>NM</v>
      </c>
      <c r="DY545" s="117">
        <f>DY541/(1-DY606/100)-(DY542+DY543)/0.65</f>
        <v>-226.65974334248202</v>
      </c>
      <c r="DZ545" s="98">
        <f t="shared" si="3271"/>
        <v>14.169519875030744</v>
      </c>
      <c r="EA545" s="117">
        <f>EA541/(1-EA606/100)-(EA542+EA543)/0.65</f>
        <v>-241.71321733821733</v>
      </c>
      <c r="EB545" s="98">
        <f t="shared" si="3272"/>
        <v>18.81854064553594</v>
      </c>
      <c r="EC545" s="117">
        <f>EC541/(1-EC606/100)-(EC542+EC543)/0.65</f>
        <v>-311.25869963369968</v>
      </c>
      <c r="ED545" s="98">
        <f t="shared" si="3273"/>
        <v>39.197979669914851</v>
      </c>
      <c r="EE545" s="117">
        <f>EE541/(1-EE606/100)-(EE542+EE543)/0.65</f>
        <v>16.672356299101338</v>
      </c>
      <c r="EF545" s="860" t="str">
        <f t="shared" si="3274"/>
        <v>NM</v>
      </c>
      <c r="EG545" s="117">
        <f>EG541/(1-EG606/100)-(EG542+EG543)/0.65</f>
        <v>-239.10148975791435</v>
      </c>
      <c r="EH545" s="860">
        <f t="shared" si="3275"/>
        <v>5.4891734332518372</v>
      </c>
      <c r="EI545" s="117">
        <f>EI541/(1-EI606/100)-(EI542+EI543)/0.65</f>
        <v>-80.026387089174236</v>
      </c>
      <c r="EJ545" s="860" t="str">
        <f t="shared" si="3276"/>
        <v>NM</v>
      </c>
      <c r="EK545" s="117">
        <f>EK541/(1-EK606/100)-(EK542+EK543)/0.65</f>
        <v>-167.62546187437019</v>
      </c>
      <c r="EL545" s="860">
        <f t="shared" si="3277"/>
        <v>-46.145935174940398</v>
      </c>
      <c r="EM545" s="117">
        <f>EM541/(1-EM606/100)-(EM542+EM543)/0.65</f>
        <v>-257.72909698996659</v>
      </c>
      <c r="EN545" s="860" t="str">
        <f t="shared" si="3278"/>
        <v>NM</v>
      </c>
      <c r="EO545" s="117">
        <f>EO541/(1-EO606/100)-(EO542+EO543)/0.65</f>
        <v>-359.40765842087444</v>
      </c>
      <c r="EP545" s="98">
        <f t="shared" si="3279"/>
        <v>50.315942734094946</v>
      </c>
      <c r="EQ545" s="1031">
        <f>EQ541/(1-EQ606/100)-(EQ542+EQ543)/0.65</f>
        <v>-247.92890436280251</v>
      </c>
      <c r="ER545" s="98" t="str">
        <f t="shared" si="3280"/>
        <v>NM</v>
      </c>
      <c r="ES545" s="1031">
        <f t="shared" ref="ES545" si="3294">ES541/(1-ES606/100)-(ES542+ES543)/0.65</f>
        <v>-249.33066666310665</v>
      </c>
      <c r="ET545" s="98">
        <f t="shared" si="3281"/>
        <v>48.742717171435366</v>
      </c>
      <c r="EU545" s="1031">
        <f t="shared" ref="EU545" si="3295">EU541/(1-EU606/100)-(EU542+EU543)/0.65</f>
        <v>-250.76548734901192</v>
      </c>
      <c r="EV545" s="98">
        <f t="shared" si="3282"/>
        <v>-2.7019105418375711</v>
      </c>
      <c r="EW545" s="1031">
        <f t="shared" ref="EW545" si="3296">EW541/(1-EW606/100)-(EW542+EW543)/0.65</f>
        <v>-251.65910141054385</v>
      </c>
      <c r="EX545" s="98">
        <f t="shared" si="3283"/>
        <v>-29.979482764430855</v>
      </c>
      <c r="EY545" s="117"/>
      <c r="EZ545" s="594"/>
      <c r="FA545" s="409"/>
      <c r="FB545" s="117"/>
      <c r="FC545" s="98"/>
      <c r="FD545" s="117">
        <f>FD541/(1-FD606/100)-(FD542+FD543)/0.65</f>
        <v>34</v>
      </c>
      <c r="FE545" s="98" t="str">
        <f>IF(ISERROR((FD545/FB545-1)*100),"NA",IF(((FD545/FB545-1)*100)&gt;100,"NM",IF(((FD545/FB545-1)*100)&lt;-50,"NM",(FD545/FB545-1)*100)))</f>
        <v>NA</v>
      </c>
      <c r="FF545" s="117">
        <f>FF541/(1-FF606/100)-(FF542+FF543)/0.65</f>
        <v>-36.698576972833116</v>
      </c>
      <c r="FG545" s="98" t="str">
        <f>IF(ISERROR((FF545/FD545-1)*100),"NA",IF(((FF545/FD545-1)*100)&gt;100,"NM",IF(((FF545/FD545-1)*100)&lt;-50,"NM",(FF545/FD545-1)*100)))</f>
        <v>NM</v>
      </c>
      <c r="FH545" s="117">
        <f>FH541/(1-FH606/100)-(FH542+FH543)/0.65</f>
        <v>-353.96099031297996</v>
      </c>
      <c r="FI545" s="98" t="str">
        <f>IF(ISERROR((FH545/FF545-1)*100),"NA",IF(((FH545/FF545-1)*100)&gt;100,"NM",IF(((FH545/FF545-1)*100)&lt;-50,"NM",(FH545/FF545-1)*100)))</f>
        <v>NM</v>
      </c>
      <c r="FJ545" s="117">
        <f>FJ541/(1-FJ606/100)-(FJ542+FJ543)/0.65</f>
        <v>-452.31213872832376</v>
      </c>
      <c r="FK545" s="98">
        <f>IF(ISERROR((FJ545/FH545-1)*100),"NA",IF(((FJ545/FH545-1)*100)&gt;100,"NM",IF(((FJ545/FH545-1)*100)&lt;-50,"NM",(FJ545/FH545-1)*100)))</f>
        <v>27.785872202577909</v>
      </c>
      <c r="FL545" s="117">
        <f>FL541/(1-FL606/100)-(FL542+FL543)/0.65</f>
        <v>154.76769025367156</v>
      </c>
      <c r="FM545" s="98" t="str">
        <f>IF(ISERROR((FL545/FJ545-1)*100),"NA",IF(((FL545/FJ545-1)*100)&gt;100,"NM",IF(((FL545/FJ545-1)*100)&lt;-50,"NM",(FL545/FJ545-1)*100)))</f>
        <v>NM</v>
      </c>
      <c r="FN545" s="117">
        <f>FN541/(1-FN606/100)-(FN542+FN543)/0.65</f>
        <v>186.70632815460402</v>
      </c>
      <c r="FO545" s="98">
        <f>IF(ISERROR((FN545/FL545-1)*100),"NA",IF(((FN545/FL545-1)*100)&gt;100,"NM",IF(((FN545/FL545-1)*100)&lt;-50,"NM",(FN545/FL545-1)*100)))</f>
        <v>20.636502262574009</v>
      </c>
      <c r="FP545" s="117">
        <f>FP541/(1-FP606/100)-(FP542+FP543)/0.65</f>
        <v>-226.17990264092373</v>
      </c>
      <c r="FQ545" s="98" t="str">
        <f>IF(ISERROR((FP545/FN545-1)*100),"NA",IF(((FP545/FN545-1)*100)&gt;100,"NM",IF(((FP545/FN545-1)*100)&lt;-50,"NM",(FP545/FN545-1)*100)))</f>
        <v>NM</v>
      </c>
      <c r="FR545" s="117">
        <f>FR541/(1-FR606/100)-(FR542+FR543)/0.65</f>
        <v>-165.06081933978501</v>
      </c>
      <c r="FS545" s="120">
        <f>IF(ISERROR((FR545/FP545-1)*100),"NA",IF(((FR545/FP545-1)*100)&gt;100,"NM",IF(((FR545/FP545-1)*100)&lt;-50,"NM",(FR545/FP545-1)*100)))</f>
        <v>-27.022331598652027</v>
      </c>
      <c r="FT545" s="117">
        <f>FT541/(1-FT606/100)-(FT542+FT543)/0.65</f>
        <v>60.86993786158132</v>
      </c>
      <c r="FU545" s="98" t="str">
        <f>IF(ISERROR((FT545/FR545-1)*100),"NA",IF(((FT545/FR545-1)*100)&gt;100,"NM",IF(((FT545/FR545-1)*100)&lt;-50,"NM",(FT545/FR545-1)*100)))</f>
        <v>NM</v>
      </c>
      <c r="FV545" s="117">
        <f>FV541/(1-FV606/100)-(FV542+FV543)/0.65</f>
        <v>-594.13431013431023</v>
      </c>
      <c r="FW545" s="98" t="str">
        <f>IF(ISERROR((FV545/FT545-1)*100),"NA",IF(((FV545/FT545-1)*100)&gt;100,"NM",IF(((FV545/FT545-1)*100)&lt;-50,"NM",(FV545/FT545-1)*100)))</f>
        <v>NM</v>
      </c>
      <c r="FX545" s="486">
        <f>FX541/(1-FX606/100)-(FX542+FX543)/0.65</f>
        <v>-1912.6381766381762</v>
      </c>
      <c r="FY545" s="98" t="str">
        <f>IF(ISERROR((FX545/FV545-1)*100),"NA",IF(((FX545/FV545-1)*100)&gt;100,"NM",IF(((FX545/FV545-1)*100)&lt;-50,"NM",(FX545/FV545-1)*100)))</f>
        <v>NM</v>
      </c>
      <c r="FZ545" s="117">
        <f>FZ541/(1-FZ606/100)-(FZ542+FZ543)/0.65</f>
        <v>-478.15058090971218</v>
      </c>
      <c r="GA545" s="98" t="str">
        <f>IF(ISERROR((FZ545/FX545-1)*100),"NA",IF(((FZ545/FX545-1)*100)&gt;100,"NM",IF(((FZ545/FX545-1)*100)&lt;-50,"NM",(FZ545/FX545-1)*100)))</f>
        <v>NM</v>
      </c>
      <c r="GB545" s="481">
        <f>GB541/(1-GB606/100)-(GB542+GB543)/0.65</f>
        <v>-321.19582605350467</v>
      </c>
      <c r="GC545" s="98">
        <f>IF(ISERROR((GB545/FZ545-1)*100),"NA",IF(((GB545/FZ545-1)*100)&gt;100,"NM",IF(((GB545/FZ545-1)*100)&lt;-50,"NM",(GB545/FZ545-1)*100)))</f>
        <v>-32.825382028730573</v>
      </c>
      <c r="GD545" s="100">
        <f>GD541/(1-GD606/100)-(GD542+GD543)/0.65</f>
        <v>-465.8480742742106</v>
      </c>
      <c r="GE545" s="98">
        <f>IF(ISERROR((GD545/GB545-1)*100),"NA",IF(((GD545/GB545-1)*100)&gt;100,"NM",IF(((GD545/GB545-1)*100)&lt;-50,"NM",(GD545/GB545-1)*100)))</f>
        <v>45.035531749596849</v>
      </c>
      <c r="GF545" s="100">
        <f>GF541/(1-GF606/100)-(GF542+GF543)/0.65</f>
        <v>-755.01629327902242</v>
      </c>
      <c r="GG545" s="98">
        <f>IF(ISERROR((GF545/GD545-1)*100),"NA",IF(((GF545/GD545-1)*100)&gt;100,"NM",IF(((GF545/GD545-1)*100)&lt;-50,"NM",(GF545/GD545-1)*100)))</f>
        <v>62.073503138407247</v>
      </c>
      <c r="GH545" s="100">
        <f>GH541/(1-GH606/100)-(GH542+GH543)/0.65</f>
        <v>-764.23825202035334</v>
      </c>
      <c r="GI545" s="98">
        <f>IF(ISERROR((GH545/GF545-1)*100),"NA",IF(((GH545/GF545-1)*100)&gt;100,"NM",IF(((GH545/GF545-1)*100)&lt;-50,"NM",(GH545/GF545-1)*100)))</f>
        <v>1.2214251299505152</v>
      </c>
      <c r="GJ545" s="1031">
        <f>GJ541/(1-GJ606/100)-(GJ542+GJ543)/0.65</f>
        <v>-849.42350040466022</v>
      </c>
      <c r="GK545" s="98">
        <f>IF(ISERROR((GJ545/GH545-1)*100),"NA",IF(((GJ545/GH545-1)*100)&gt;100,"NM",IF(((GJ545/GH545-1)*100)&lt;-50,"NM",(GJ545/GH545-1)*100)))</f>
        <v>11.146425628278834</v>
      </c>
      <c r="GL545" s="100">
        <f>GL541/(1-GL606/100)-(GL542+GL543)/0.65</f>
        <v>-771.41532853537728</v>
      </c>
      <c r="GM545" s="98">
        <f>IF(ISERROR((GL545/GJ545-1)*100),"NA",IF(((GL545/GJ545-1)*100)&gt;100,"NM",IF(((GL545/GJ545-1)*100)&lt;-50,"NM",(GL545/GJ545-1)*100)))</f>
        <v>-9.1836606630403281</v>
      </c>
      <c r="GN545" s="100">
        <f>GN541/(1-GN606/100)-(GN542+GN543)/0.65</f>
        <v>-694.27562286627449</v>
      </c>
      <c r="GO545" s="98">
        <f>IF(ISERROR((GN545/GL545-1)*100),"NA",IF(((GN545/GL545-1)*100)&gt;100,"NM",IF(((GN545/GL545-1)*100)&lt;-50,"NM",(GN545/GL545-1)*100)))</f>
        <v>-9.9997631386923089</v>
      </c>
      <c r="GP545" s="100">
        <f>GP541/(1-GP606/100)-(GP542+GP543)/0.65</f>
        <v>-999.6829008286004</v>
      </c>
      <c r="GQ545" s="98">
        <f>IF(ISERROR((GP545/GN545-1)*100),"NA",IF(((GP545/GN545-1)*100)&gt;100,"NM",IF(((GP545/GN545-1)*100)&lt;-50,"NM",(GP545/GN545-1)*100)))</f>
        <v>43.989341970768116</v>
      </c>
      <c r="GR545" s="117">
        <f>GR541/(1-GR606/100)-(GR542+GR543)/0.65</f>
        <v>-1015.3036225561477</v>
      </c>
      <c r="GS545" s="98">
        <f>IF(ISERROR((GR545/GP545-1)*100),"NA",IF(((GR545/GP545-1)*100)&gt;100,"NM",IF(((GR545/GP545-1)*100)&lt;-50,"NM",(GR545/GP545-1)*100)))</f>
        <v>1.5625676616654927</v>
      </c>
      <c r="GT545" s="117">
        <f>GT541/(1-GT606/100)-(GT542+GT543)/0.65</f>
        <v>-915.38565271513062</v>
      </c>
      <c r="GU545" s="98">
        <f>IF(ISERROR((GT545/GR545-1)*100),"NA",IF(((GT545/GR545-1)*100)&gt;100,"NM",IF(((GT545/GR545-1)*100)&lt;-50,"NM",(GT545/GR545-1)*100)))</f>
        <v>-9.8411911098535967</v>
      </c>
      <c r="GV545" s="117">
        <f>GV541/(1-GV606/100)-(GV542+GV543)/0.65</f>
        <v>-901.57732325318477</v>
      </c>
      <c r="GW545" s="98">
        <f>IF(ISERROR((GV545/GT545-1)*100),"NA",IF(((GV545/GT545-1)*100)&gt;100,"NM",IF(((GV545/GT545-1)*100)&lt;-50,"NM",(GV545/GT545-1)*100)))</f>
        <v>-1.5084712570039627</v>
      </c>
      <c r="GX545" s="117">
        <f>GX541/(1-GX606/100)-(GX542+GX543)/0.65</f>
        <v>-887.46328130787208</v>
      </c>
      <c r="GY545" s="98">
        <f>IF(ISERROR((GX545/GV545-1)*100),"NA",IF(((GX545/GV545-1)*100)&gt;100,"NM",IF(((GX545/GV545-1)*100)&lt;-50,"NM",(GX545/GV545-1)*100)))</f>
        <v>-1.5654832460054169</v>
      </c>
      <c r="GZ545" s="98">
        <f>IF(ISERROR(((GX545/GN545)^0.2-1)*100),"NA",IF((((GX545/GN545)^0.2-1)*100)&gt;100,"NM",IF((((GX545/GN545)^0.2-1)*100)&lt;-50,"NM",((GX545/GN545)^0.2-1)*100)))</f>
        <v>5.0324981959703807</v>
      </c>
      <c r="HA545" s="98"/>
      <c r="HB545" s="240"/>
      <c r="HC545"/>
      <c r="HD545"/>
      <c r="HE545"/>
      <c r="HF545"/>
      <c r="HG545"/>
      <c r="HH545"/>
      <c r="HI545" s="10"/>
    </row>
    <row r="546" spans="1:217" s="210" customFormat="1" ht="12.75" hidden="1" customHeight="1" outlineLevel="1" x14ac:dyDescent="0.2">
      <c r="B546" s="209"/>
      <c r="C546" s="117"/>
      <c r="D546" s="98"/>
      <c r="E546" s="117"/>
      <c r="F546" s="98"/>
      <c r="G546" s="117"/>
      <c r="H546" s="98"/>
      <c r="I546" s="117"/>
      <c r="J546" s="98"/>
      <c r="K546" s="117"/>
      <c r="L546" s="98"/>
      <c r="M546" s="117"/>
      <c r="N546" s="98"/>
      <c r="O546" s="117"/>
      <c r="P546" s="98"/>
      <c r="Q546" s="117"/>
      <c r="R546" s="98"/>
      <c r="S546" s="117"/>
      <c r="T546" s="98"/>
      <c r="U546" s="117"/>
      <c r="V546" s="98"/>
      <c r="W546" s="117"/>
      <c r="X546" s="98"/>
      <c r="Y546" s="117"/>
      <c r="Z546" s="98"/>
      <c r="AA546" s="117"/>
      <c r="AB546" s="98"/>
      <c r="AC546" s="117"/>
      <c r="AD546" s="98"/>
      <c r="AE546" s="117"/>
      <c r="AF546" s="98"/>
      <c r="AG546" s="117"/>
      <c r="AH546" s="98"/>
      <c r="AI546" s="117"/>
      <c r="AJ546" s="98"/>
      <c r="AK546" s="117"/>
      <c r="AL546" s="98"/>
      <c r="AM546" s="117"/>
      <c r="AN546" s="98"/>
      <c r="AO546" s="117"/>
      <c r="AP546" s="98"/>
      <c r="AQ546" s="117"/>
      <c r="AR546" s="98"/>
      <c r="AS546" s="117"/>
      <c r="AT546" s="98"/>
      <c r="AU546" s="117"/>
      <c r="AV546" s="98"/>
      <c r="AW546" s="117"/>
      <c r="AX546" s="98"/>
      <c r="AY546" s="117"/>
      <c r="AZ546" s="98"/>
      <c r="BA546" s="117"/>
      <c r="BB546" s="98"/>
      <c r="BC546" s="117"/>
      <c r="BD546" s="98"/>
      <c r="BE546" s="117"/>
      <c r="BF546" s="98"/>
      <c r="BG546" s="117"/>
      <c r="BH546" s="98"/>
      <c r="BI546" s="117"/>
      <c r="BJ546" s="98"/>
      <c r="BK546" s="117"/>
      <c r="BL546" s="98"/>
      <c r="BM546" s="117"/>
      <c r="BN546" s="98"/>
      <c r="BO546" s="117"/>
      <c r="BP546" s="98"/>
      <c r="BQ546" s="117"/>
      <c r="BR546" s="98"/>
      <c r="BS546" s="117"/>
      <c r="BT546" s="98"/>
      <c r="BU546" s="117"/>
      <c r="BV546" s="98"/>
      <c r="BW546" s="117"/>
      <c r="BX546" s="98"/>
      <c r="BY546" s="117"/>
      <c r="BZ546" s="98"/>
      <c r="CA546" s="117"/>
      <c r="CB546" s="98"/>
      <c r="CC546" s="117"/>
      <c r="CD546" s="98"/>
      <c r="CE546" s="117"/>
      <c r="CF546" s="98"/>
      <c r="CG546" s="117"/>
      <c r="CH546" s="98"/>
      <c r="CI546" s="117"/>
      <c r="CJ546" s="98"/>
      <c r="CK546" s="117"/>
      <c r="CL546" s="98"/>
      <c r="CM546" s="117"/>
      <c r="CN546" s="98"/>
      <c r="CO546" s="117"/>
      <c r="CP546" s="98"/>
      <c r="CQ546" s="117"/>
      <c r="CR546" s="98"/>
      <c r="CS546" s="117"/>
      <c r="CT546" s="98"/>
      <c r="CU546" s="117"/>
      <c r="CV546" s="98"/>
      <c r="CW546" s="117"/>
      <c r="CX546" s="98"/>
      <c r="CY546" s="117"/>
      <c r="CZ546" s="98"/>
      <c r="DA546" s="117"/>
      <c r="DB546" s="98"/>
      <c r="DC546" s="117"/>
      <c r="DD546" s="98"/>
      <c r="DE546" s="117"/>
      <c r="DF546" s="98"/>
      <c r="DG546" s="117"/>
      <c r="DH546" s="98"/>
      <c r="DI546" s="117"/>
      <c r="DJ546" s="98"/>
      <c r="DK546" s="117"/>
      <c r="DL546" s="98"/>
      <c r="DM546" s="117"/>
      <c r="DN546" s="98"/>
      <c r="DO546" s="117"/>
      <c r="DP546" s="98"/>
      <c r="DQ546" s="117"/>
      <c r="DR546" s="98"/>
      <c r="DS546" s="117"/>
      <c r="DT546" s="98"/>
      <c r="DU546" s="117"/>
      <c r="DV546" s="98"/>
      <c r="DW546" s="117"/>
      <c r="DX546" s="98"/>
      <c r="DY546" s="117"/>
      <c r="DZ546" s="98"/>
      <c r="EA546" s="117"/>
      <c r="EB546" s="98"/>
      <c r="EC546" s="117"/>
      <c r="ED546" s="98"/>
      <c r="EE546" s="117"/>
      <c r="EF546" s="860"/>
      <c r="EG546" s="117"/>
      <c r="EH546" s="860"/>
      <c r="EI546" s="117"/>
      <c r="EJ546" s="860"/>
      <c r="EK546" s="117"/>
      <c r="EL546" s="860"/>
      <c r="EM546" s="117"/>
      <c r="EN546" s="860"/>
      <c r="EO546" s="117"/>
      <c r="EP546" s="98"/>
      <c r="EQ546" s="1031"/>
      <c r="ER546" s="98"/>
      <c r="ES546" s="1031"/>
      <c r="ET546" s="98"/>
      <c r="EU546" s="1031"/>
      <c r="EV546" s="98"/>
      <c r="EW546" s="1031"/>
      <c r="EX546" s="98"/>
      <c r="EY546" s="117"/>
      <c r="EZ546" s="594"/>
      <c r="FA546" s="409"/>
      <c r="FB546" s="117"/>
      <c r="FC546" s="98"/>
      <c r="FD546" s="117"/>
      <c r="FE546" s="98"/>
      <c r="FF546" s="117"/>
      <c r="FG546" s="98"/>
      <c r="FH546" s="117"/>
      <c r="FI546" s="98"/>
      <c r="FJ546" s="117"/>
      <c r="FK546" s="98"/>
      <c r="FL546" s="117"/>
      <c r="FM546" s="98"/>
      <c r="FN546" s="117"/>
      <c r="FO546" s="98"/>
      <c r="FP546" s="117"/>
      <c r="FQ546" s="98"/>
      <c r="FR546" s="117"/>
      <c r="FS546" s="120"/>
      <c r="FT546" s="117"/>
      <c r="FU546" s="98"/>
      <c r="FV546" s="117"/>
      <c r="FW546" s="98"/>
      <c r="FX546" s="486"/>
      <c r="FY546" s="98"/>
      <c r="FZ546" s="117"/>
      <c r="GA546" s="98"/>
      <c r="GB546" s="481"/>
      <c r="GC546" s="98"/>
      <c r="GD546" s="100"/>
      <c r="GE546" s="98"/>
      <c r="GF546" s="100"/>
      <c r="GG546" s="98"/>
      <c r="GH546" s="100"/>
      <c r="GI546" s="98"/>
      <c r="GJ546" s="100"/>
      <c r="GK546" s="98"/>
      <c r="GL546" s="100"/>
      <c r="GM546" s="98"/>
      <c r="GN546" s="100"/>
      <c r="GO546" s="98"/>
      <c r="GP546" s="100"/>
      <c r="GQ546" s="98"/>
      <c r="GR546" s="117"/>
      <c r="GS546" s="98"/>
      <c r="GT546" s="117"/>
      <c r="GU546" s="98"/>
      <c r="GV546" s="117"/>
      <c r="GW546" s="98"/>
      <c r="GX546" s="117"/>
      <c r="GY546" s="98"/>
      <c r="GZ546" s="98"/>
      <c r="HA546" s="98"/>
      <c r="HB546" s="240"/>
      <c r="HC546"/>
      <c r="HD546"/>
      <c r="HE546"/>
      <c r="HF546"/>
      <c r="HG546"/>
      <c r="HH546"/>
      <c r="HI546" s="10"/>
    </row>
    <row r="547" spans="1:217" s="708" customFormat="1" ht="12.75" hidden="1" customHeight="1" outlineLevel="1" collapsed="1" x14ac:dyDescent="0.2">
      <c r="B547" s="709" t="s">
        <v>737</v>
      </c>
      <c r="C547" s="710"/>
      <c r="D547" s="710"/>
      <c r="E547" s="710"/>
      <c r="F547" s="710"/>
      <c r="G547" s="710"/>
      <c r="H547" s="710"/>
      <c r="I547" s="710"/>
      <c r="J547" s="710"/>
      <c r="K547" s="710"/>
      <c r="L547" s="710"/>
      <c r="M547" s="710"/>
      <c r="N547" s="710"/>
      <c r="O547" s="710"/>
      <c r="P547" s="710"/>
      <c r="Q547" s="710"/>
      <c r="R547" s="710"/>
      <c r="S547" s="710"/>
      <c r="T547" s="710"/>
      <c r="U547" s="710"/>
      <c r="V547" s="710"/>
      <c r="W547" s="710"/>
      <c r="X547" s="710"/>
      <c r="Y547" s="710"/>
      <c r="Z547" s="710"/>
      <c r="AA547" s="710"/>
      <c r="AB547" s="710"/>
      <c r="AC547" s="710"/>
      <c r="AD547" s="710"/>
      <c r="AE547" s="710"/>
      <c r="AF547" s="710"/>
      <c r="AG547" s="710"/>
      <c r="AH547" s="710"/>
      <c r="AI547" s="710"/>
      <c r="AJ547" s="710"/>
      <c r="AK547" s="710"/>
      <c r="AL547" s="710"/>
      <c r="AM547" s="710"/>
      <c r="AN547" s="710"/>
      <c r="AO547" s="710"/>
      <c r="AP547" s="710"/>
      <c r="AQ547" s="710"/>
      <c r="AR547" s="710"/>
      <c r="AS547" s="710"/>
      <c r="AT547" s="710"/>
      <c r="AU547" s="710"/>
      <c r="AV547" s="710"/>
      <c r="AW547" s="710"/>
      <c r="AX547" s="710"/>
      <c r="AY547" s="710"/>
      <c r="AZ547" s="710"/>
      <c r="BA547" s="710"/>
      <c r="BB547" s="710"/>
      <c r="BC547" s="710"/>
      <c r="BD547" s="710"/>
      <c r="BE547" s="710"/>
      <c r="BF547" s="710"/>
      <c r="BG547" s="710"/>
      <c r="BH547" s="710"/>
      <c r="BI547" s="710"/>
      <c r="BJ547" s="710"/>
      <c r="BK547" s="710"/>
      <c r="BL547" s="710"/>
      <c r="BM547" s="710"/>
      <c r="BN547" s="710"/>
      <c r="BO547" s="710"/>
      <c r="BP547" s="710"/>
      <c r="BQ547" s="710"/>
      <c r="BR547" s="710"/>
      <c r="BS547" s="711"/>
      <c r="BT547" s="710"/>
      <c r="BU547" s="711"/>
      <c r="BV547" s="710"/>
      <c r="BW547" s="711"/>
      <c r="BX547" s="710"/>
      <c r="BY547" s="711"/>
      <c r="BZ547" s="710"/>
      <c r="CA547" s="711"/>
      <c r="CB547" s="710"/>
      <c r="CC547" s="711"/>
      <c r="CD547" s="710"/>
      <c r="CE547" s="711"/>
      <c r="CF547" s="710"/>
      <c r="CG547" s="711"/>
      <c r="CH547" s="710"/>
      <c r="CI547" s="711"/>
      <c r="CJ547" s="710"/>
      <c r="CK547" s="711"/>
      <c r="CL547" s="710"/>
      <c r="CM547" s="711"/>
      <c r="CN547" s="710"/>
      <c r="CO547" s="711"/>
      <c r="CP547" s="710"/>
      <c r="CQ547" s="711"/>
      <c r="CR547" s="710"/>
      <c r="CS547" s="711"/>
      <c r="CT547" s="710"/>
      <c r="CU547" s="711"/>
      <c r="CV547" s="710"/>
      <c r="CW547" s="711"/>
      <c r="CX547" s="710"/>
      <c r="CY547" s="711"/>
      <c r="CZ547" s="710"/>
      <c r="DA547" s="711"/>
      <c r="DB547" s="710"/>
      <c r="DC547" s="711"/>
      <c r="DD547" s="710"/>
      <c r="DE547" s="711"/>
      <c r="DF547" s="710"/>
      <c r="DG547" s="711"/>
      <c r="DH547" s="710"/>
      <c r="DI547" s="711"/>
      <c r="DJ547" s="710"/>
      <c r="DK547" s="711"/>
      <c r="DL547" s="710"/>
      <c r="DM547" s="711"/>
      <c r="DN547" s="710"/>
      <c r="DO547" s="711"/>
      <c r="DP547" s="710"/>
      <c r="DQ547" s="711"/>
      <c r="DR547" s="710"/>
      <c r="DS547" s="711"/>
      <c r="DT547" s="710"/>
      <c r="DU547" s="711"/>
      <c r="DV547" s="710"/>
      <c r="DW547" s="711"/>
      <c r="DX547" s="710"/>
      <c r="DY547" s="711"/>
      <c r="DZ547" s="710"/>
      <c r="EA547" s="711"/>
      <c r="EB547" s="710"/>
      <c r="EC547" s="711"/>
      <c r="ED547" s="711"/>
      <c r="EE547" s="711"/>
      <c r="EF547" s="711"/>
      <c r="EG547" s="711"/>
      <c r="EH547" s="711"/>
      <c r="EI547" s="711"/>
      <c r="EJ547" s="711"/>
      <c r="EK547" s="711"/>
      <c r="EL547" s="711"/>
      <c r="EM547" s="711"/>
      <c r="EN547" s="711"/>
      <c r="EO547" s="711"/>
      <c r="EP547" s="710"/>
      <c r="EQ547" s="711"/>
      <c r="ER547" s="710"/>
      <c r="ES547" s="711"/>
      <c r="ET547" s="710"/>
      <c r="EU547" s="711"/>
      <c r="EV547" s="710"/>
      <c r="EW547" s="711"/>
      <c r="EX547" s="710"/>
      <c r="EY547" s="712"/>
      <c r="EZ547" s="713"/>
      <c r="FA547" s="714"/>
      <c r="FB547" s="711"/>
      <c r="FC547" s="710"/>
      <c r="FD547" s="711"/>
      <c r="FE547" s="710"/>
      <c r="FF547" s="712"/>
      <c r="FG547" s="710"/>
      <c r="FH547" s="712"/>
      <c r="FI547" s="710"/>
      <c r="FJ547" s="712"/>
      <c r="FK547" s="710"/>
      <c r="FL547" s="712"/>
      <c r="FM547" s="710"/>
      <c r="FN547" s="712"/>
      <c r="FO547" s="710"/>
      <c r="FP547" s="712"/>
      <c r="FQ547" s="710"/>
      <c r="FR547" s="712"/>
      <c r="FS547" s="715"/>
      <c r="FT547" s="712"/>
      <c r="FU547" s="715"/>
      <c r="FV547" s="712"/>
      <c r="FW547" s="710"/>
      <c r="FX547" s="716"/>
      <c r="FY547" s="710"/>
      <c r="FZ547" s="712"/>
      <c r="GA547" s="710"/>
      <c r="GB547" s="716"/>
      <c r="GC547" s="710"/>
      <c r="GD547" s="712"/>
      <c r="GE547" s="710"/>
      <c r="GF547" s="712"/>
      <c r="GG547" s="710"/>
      <c r="GH547" s="712"/>
      <c r="GI547" s="710"/>
      <c r="GJ547" s="712"/>
      <c r="GK547" s="710"/>
      <c r="GL547" s="712"/>
      <c r="GM547" s="710"/>
      <c r="GN547" s="712"/>
      <c r="GO547" s="710"/>
      <c r="GP547" s="712"/>
      <c r="GQ547" s="710"/>
      <c r="GR547" s="712"/>
      <c r="GS547" s="710"/>
      <c r="GT547" s="712"/>
      <c r="GU547" s="710"/>
      <c r="GV547" s="712"/>
      <c r="GW547" s="710"/>
      <c r="GX547" s="712"/>
      <c r="GY547" s="710"/>
      <c r="GZ547" s="710"/>
      <c r="HA547" s="710"/>
      <c r="HC547"/>
      <c r="HD547"/>
      <c r="HE547"/>
      <c r="HF547"/>
      <c r="HG547"/>
      <c r="HH547"/>
    </row>
    <row r="548" spans="1:217" s="2" customFormat="1" ht="12.75" hidden="1" customHeight="1" outlineLevel="1" x14ac:dyDescent="0.2">
      <c r="B548" s="91"/>
      <c r="C548" s="112"/>
      <c r="D548" s="113"/>
      <c r="E548" s="112"/>
      <c r="F548" s="113"/>
      <c r="G548" s="112"/>
      <c r="H548" s="113"/>
      <c r="I548" s="112"/>
      <c r="J548" s="98"/>
      <c r="K548" s="112"/>
      <c r="L548" s="98"/>
      <c r="M548" s="112"/>
      <c r="N548" s="98"/>
      <c r="O548" s="112"/>
      <c r="P548" s="98"/>
      <c r="Q548" s="112"/>
      <c r="R548" s="98"/>
      <c r="S548" s="112"/>
      <c r="T548" s="98"/>
      <c r="U548" s="112"/>
      <c r="V548" s="98"/>
      <c r="W548" s="112"/>
      <c r="X548" s="98"/>
      <c r="Y548" s="112"/>
      <c r="Z548" s="98"/>
      <c r="AA548" s="112"/>
      <c r="AB548" s="98"/>
      <c r="AC548" s="112"/>
      <c r="AD548" s="98"/>
      <c r="AE548" s="112"/>
      <c r="AF548" s="98"/>
      <c r="AG548" s="112"/>
      <c r="AH548" s="98"/>
      <c r="AI548" s="112"/>
      <c r="AJ548" s="98"/>
      <c r="AK548" s="112"/>
      <c r="AL548" s="98"/>
      <c r="AM548" s="112"/>
      <c r="AN548" s="98"/>
      <c r="AO548" s="112"/>
      <c r="AP548" s="98"/>
      <c r="AQ548" s="112"/>
      <c r="AR548" s="98"/>
      <c r="AS548" s="112"/>
      <c r="AT548" s="98"/>
      <c r="AU548" s="112"/>
      <c r="AV548" s="98"/>
      <c r="AW548" s="112"/>
      <c r="AX548" s="98"/>
      <c r="AY548" s="112"/>
      <c r="AZ548" s="98"/>
      <c r="BA548" s="112"/>
      <c r="BB548" s="98"/>
      <c r="BC548" s="112"/>
      <c r="BD548" s="98"/>
      <c r="BE548" s="112"/>
      <c r="BF548" s="98"/>
      <c r="BG548" s="112"/>
      <c r="BH548" s="98"/>
      <c r="BI548" s="112"/>
      <c r="BJ548" s="98"/>
      <c r="BK548" s="112"/>
      <c r="BL548" s="98"/>
      <c r="BM548" s="112"/>
      <c r="BN548" s="98"/>
      <c r="BO548" s="112"/>
      <c r="BP548" s="98"/>
      <c r="BQ548" s="112"/>
      <c r="BR548" s="98"/>
      <c r="BS548" s="112"/>
      <c r="BT548" s="98"/>
      <c r="BU548" s="112"/>
      <c r="BV548" s="98"/>
      <c r="BW548" s="112"/>
      <c r="BX548" s="98"/>
      <c r="BY548" s="112"/>
      <c r="BZ548" s="98"/>
      <c r="CA548" s="112"/>
      <c r="CB548" s="98"/>
      <c r="CC548" s="112"/>
      <c r="CD548" s="98"/>
      <c r="CE548" s="112"/>
      <c r="CF548" s="98"/>
      <c r="CG548" s="112"/>
      <c r="CH548" s="98"/>
      <c r="CI548" s="112"/>
      <c r="CJ548" s="98"/>
      <c r="CK548" s="112"/>
      <c r="CL548" s="98"/>
      <c r="CM548" s="112"/>
      <c r="CN548" s="98"/>
      <c r="CO548" s="112"/>
      <c r="CP548" s="98"/>
      <c r="CQ548" s="543"/>
      <c r="CR548" s="98"/>
      <c r="CS548" s="112"/>
      <c r="CT548" s="98"/>
      <c r="CU548" s="112"/>
      <c r="CV548" s="98"/>
      <c r="CW548" s="112"/>
      <c r="CX548" s="98"/>
      <c r="CY548" s="112"/>
      <c r="CZ548" s="98"/>
      <c r="DA548" s="112"/>
      <c r="DB548" s="98"/>
      <c r="DC548" s="112"/>
      <c r="DD548" s="98"/>
      <c r="DE548" s="112"/>
      <c r="DF548" s="98"/>
      <c r="DG548" s="112"/>
      <c r="DH548" s="98"/>
      <c r="DI548" s="112"/>
      <c r="DJ548" s="98"/>
      <c r="DK548" s="112"/>
      <c r="DL548" s="98"/>
      <c r="DM548" s="112"/>
      <c r="DN548" s="98"/>
      <c r="DO548" s="112"/>
      <c r="DP548" s="98"/>
      <c r="DQ548" s="112"/>
      <c r="DR548" s="98"/>
      <c r="DS548" s="112"/>
      <c r="DT548" s="98"/>
      <c r="DU548" s="112"/>
      <c r="DV548" s="98"/>
      <c r="DW548" s="112"/>
      <c r="DX548" s="98"/>
      <c r="DY548" s="112"/>
      <c r="DZ548" s="98"/>
      <c r="EA548" s="112"/>
      <c r="EB548" s="98"/>
      <c r="EC548" s="112"/>
      <c r="ED548" s="112"/>
      <c r="EE548" s="112"/>
      <c r="EF548" s="112"/>
      <c r="EG548" s="112"/>
      <c r="EH548" s="112"/>
      <c r="EI548" s="112"/>
      <c r="EJ548" s="112"/>
      <c r="EK548" s="112"/>
      <c r="EL548" s="112"/>
      <c r="EM548" s="112"/>
      <c r="EN548" s="112"/>
      <c r="EO548" s="112"/>
      <c r="EP548" s="98"/>
      <c r="EQ548" s="112"/>
      <c r="ER548" s="98"/>
      <c r="ES548" s="112"/>
      <c r="ET548" s="98"/>
      <c r="EU548" s="112"/>
      <c r="EV548" s="98"/>
      <c r="EW548" s="112"/>
      <c r="EX548" s="98"/>
      <c r="EY548" s="114"/>
      <c r="EZ548" s="594"/>
      <c r="FA548" s="405"/>
      <c r="FB548" s="114"/>
      <c r="FC548" s="113"/>
      <c r="FD548" s="112"/>
      <c r="FE548" s="113"/>
      <c r="FF548" s="114"/>
      <c r="FG548" s="113"/>
      <c r="FH548" s="114"/>
      <c r="FI548" s="113"/>
      <c r="FJ548" s="114"/>
      <c r="FK548" s="113"/>
      <c r="FL548" s="114"/>
      <c r="FM548" s="113"/>
      <c r="FN548" s="114"/>
      <c r="FO548" s="113"/>
      <c r="FP548" s="114"/>
      <c r="FQ548" s="113"/>
      <c r="FR548" s="115"/>
      <c r="FS548" s="116"/>
      <c r="FT548" s="115"/>
      <c r="FU548" s="116"/>
      <c r="FV548" s="115"/>
      <c r="FW548" s="98"/>
      <c r="FX548" s="484"/>
      <c r="FY548" s="98"/>
      <c r="FZ548" s="114"/>
      <c r="GA548" s="98"/>
      <c r="GB548" s="576"/>
      <c r="GC548" s="98"/>
      <c r="GD548" s="114"/>
      <c r="GE548" s="98"/>
      <c r="GF548" s="114"/>
      <c r="GG548" s="98"/>
      <c r="GH548" s="114"/>
      <c r="GI548" s="98"/>
      <c r="GJ548" s="114"/>
      <c r="GK548" s="98"/>
      <c r="GL548" s="114"/>
      <c r="GM548" s="98"/>
      <c r="GN548" s="114"/>
      <c r="GO548" s="98"/>
      <c r="GP548" s="114"/>
      <c r="GQ548" s="98"/>
      <c r="GR548" s="114"/>
      <c r="GS548" s="98"/>
      <c r="GT548" s="114"/>
      <c r="GU548" s="98"/>
      <c r="GV548" s="114"/>
      <c r="GW548" s="98"/>
      <c r="GX548" s="114"/>
      <c r="GY548" s="98"/>
      <c r="GZ548" s="98"/>
      <c r="HA548" s="98"/>
      <c r="HB548" s="10"/>
      <c r="HC548"/>
      <c r="HD548"/>
      <c r="HE548"/>
      <c r="HF548"/>
      <c r="HG548"/>
      <c r="HH548"/>
      <c r="HI548" s="10"/>
    </row>
    <row r="549" spans="1:217" s="2" customFormat="1" ht="12.75" hidden="1" customHeight="1" outlineLevel="1" x14ac:dyDescent="0.2">
      <c r="B549" s="93" t="s">
        <v>284</v>
      </c>
      <c r="C549" s="112"/>
      <c r="D549" s="113"/>
      <c r="E549" s="112"/>
      <c r="F549" s="113"/>
      <c r="G549" s="112"/>
      <c r="H549" s="113"/>
      <c r="I549" s="112"/>
      <c r="J549" s="98"/>
      <c r="K549" s="112"/>
      <c r="L549" s="98"/>
      <c r="M549" s="112"/>
      <c r="N549" s="98"/>
      <c r="O549" s="112"/>
      <c r="P549" s="98"/>
      <c r="Q549" s="112"/>
      <c r="R549" s="98"/>
      <c r="S549" s="112"/>
      <c r="T549" s="98"/>
      <c r="U549" s="112"/>
      <c r="V549" s="98"/>
      <c r="W549" s="112"/>
      <c r="X549" s="98"/>
      <c r="Y549" s="112"/>
      <c r="Z549" s="98"/>
      <c r="AA549" s="112"/>
      <c r="AB549" s="98"/>
      <c r="AC549" s="112"/>
      <c r="AD549" s="98"/>
      <c r="AE549" s="112"/>
      <c r="AF549" s="98"/>
      <c r="AG549" s="112"/>
      <c r="AH549" s="98"/>
      <c r="AI549" s="112"/>
      <c r="AJ549" s="98"/>
      <c r="AK549" s="112"/>
      <c r="AL549" s="98"/>
      <c r="AM549" s="112"/>
      <c r="AN549" s="98"/>
      <c r="AO549" s="112"/>
      <c r="AP549" s="98"/>
      <c r="AQ549" s="112"/>
      <c r="AR549" s="98"/>
      <c r="AS549" s="112"/>
      <c r="AT549" s="98"/>
      <c r="AU549" s="112"/>
      <c r="AV549" s="98"/>
      <c r="AW549" s="112"/>
      <c r="AX549" s="98"/>
      <c r="AY549" s="112"/>
      <c r="AZ549" s="98"/>
      <c r="BA549" s="112"/>
      <c r="BB549" s="98"/>
      <c r="BC549" s="112"/>
      <c r="BD549" s="98"/>
      <c r="BE549" s="112"/>
      <c r="BF549" s="98"/>
      <c r="BG549" s="112"/>
      <c r="BH549" s="98"/>
      <c r="BI549" s="112"/>
      <c r="BJ549" s="98"/>
      <c r="BK549" s="112"/>
      <c r="BL549" s="98"/>
      <c r="BM549" s="112"/>
      <c r="BN549" s="98"/>
      <c r="BO549" s="112"/>
      <c r="BP549" s="98"/>
      <c r="BQ549" s="112"/>
      <c r="BR549" s="98"/>
      <c r="BS549" s="112"/>
      <c r="BT549" s="98"/>
      <c r="BU549" s="112"/>
      <c r="BV549" s="98"/>
      <c r="BW549" s="112"/>
      <c r="BX549" s="98"/>
      <c r="BY549" s="112"/>
      <c r="BZ549" s="98"/>
      <c r="CA549" s="112"/>
      <c r="CB549" s="98"/>
      <c r="CC549" s="112"/>
      <c r="CD549" s="98"/>
      <c r="CE549" s="112"/>
      <c r="CF549" s="98"/>
      <c r="CG549" s="112"/>
      <c r="CH549" s="98"/>
      <c r="CI549" s="112"/>
      <c r="CJ549" s="98"/>
      <c r="CK549" s="112"/>
      <c r="CL549" s="98"/>
      <c r="CM549" s="112"/>
      <c r="CN549" s="98"/>
      <c r="CO549" s="112"/>
      <c r="CP549" s="98"/>
      <c r="CQ549" s="543"/>
      <c r="CR549" s="98"/>
      <c r="CS549" s="112"/>
      <c r="CT549" s="98"/>
      <c r="CU549" s="112"/>
      <c r="CV549" s="98"/>
      <c r="CW549" s="112"/>
      <c r="CX549" s="98"/>
      <c r="CY549" s="112"/>
      <c r="CZ549" s="98"/>
      <c r="DA549" s="112"/>
      <c r="DB549" s="98"/>
      <c r="DC549" s="112"/>
      <c r="DD549" s="98"/>
      <c r="DE549" s="112"/>
      <c r="DF549" s="98"/>
      <c r="DG549" s="112"/>
      <c r="DH549" s="98"/>
      <c r="DI549" s="112"/>
      <c r="DJ549" s="98"/>
      <c r="DK549" s="112"/>
      <c r="DL549" s="98"/>
      <c r="DM549" s="112"/>
      <c r="DN549" s="98"/>
      <c r="DO549" s="112"/>
      <c r="DP549" s="98"/>
      <c r="DQ549" s="112"/>
      <c r="DR549" s="98"/>
      <c r="DS549" s="112"/>
      <c r="DT549" s="98"/>
      <c r="DU549" s="112"/>
      <c r="DV549" s="98"/>
      <c r="DW549" s="112"/>
      <c r="DX549" s="98"/>
      <c r="DY549" s="112"/>
      <c r="DZ549" s="98"/>
      <c r="EA549" s="112"/>
      <c r="EB549" s="98"/>
      <c r="EC549" s="112"/>
      <c r="ED549" s="98"/>
      <c r="EE549" s="112"/>
      <c r="EF549" s="860"/>
      <c r="EG549" s="112"/>
      <c r="EH549" s="860"/>
      <c r="EI549" s="112"/>
      <c r="EJ549" s="860"/>
      <c r="EK549" s="112"/>
      <c r="EL549" s="860"/>
      <c r="EM549" s="112"/>
      <c r="EN549" s="860"/>
      <c r="EO549" s="112"/>
      <c r="EP549" s="98"/>
      <c r="EQ549" s="1022"/>
      <c r="ER549" s="98"/>
      <c r="ES549" s="1022"/>
      <c r="ET549" s="98"/>
      <c r="EU549" s="1022"/>
      <c r="EV549" s="98"/>
      <c r="EW549" s="1022"/>
      <c r="EX549" s="98"/>
      <c r="EY549" s="114"/>
      <c r="EZ549" s="594"/>
      <c r="FA549" s="405"/>
      <c r="FB549" s="112"/>
      <c r="FC549" s="113"/>
      <c r="FD549" s="112"/>
      <c r="FE549" s="113"/>
      <c r="FF549" s="114"/>
      <c r="FG549" s="113"/>
      <c r="FH549" s="114"/>
      <c r="FI549" s="113"/>
      <c r="FJ549" s="114"/>
      <c r="FK549" s="113"/>
      <c r="FL549" s="114"/>
      <c r="FM549" s="113"/>
      <c r="FN549" s="114"/>
      <c r="FO549" s="113"/>
      <c r="FP549" s="114"/>
      <c r="FQ549" s="113"/>
      <c r="FR549" s="115"/>
      <c r="FS549" s="116"/>
      <c r="FT549" s="115"/>
      <c r="FU549" s="116"/>
      <c r="FV549" s="115"/>
      <c r="FW549" s="98"/>
      <c r="FX549" s="484"/>
      <c r="FY549" s="98"/>
      <c r="FZ549" s="115"/>
      <c r="GA549" s="98"/>
      <c r="GB549" s="484"/>
      <c r="GC549" s="98"/>
      <c r="GD549" s="115"/>
      <c r="GE549" s="98"/>
      <c r="GF549" s="114"/>
      <c r="GG549" s="98"/>
      <c r="GH549" s="114"/>
      <c r="GI549" s="98"/>
      <c r="GJ549" s="114"/>
      <c r="GK549" s="98"/>
      <c r="GL549" s="114"/>
      <c r="GM549" s="98"/>
      <c r="GN549" s="114"/>
      <c r="GO549" s="98"/>
      <c r="GP549" s="114"/>
      <c r="GQ549" s="98"/>
      <c r="GR549" s="114"/>
      <c r="GS549" s="98"/>
      <c r="GT549" s="114"/>
      <c r="GU549" s="98"/>
      <c r="GV549" s="114"/>
      <c r="GW549" s="98"/>
      <c r="GX549" s="114"/>
      <c r="GY549" s="98"/>
      <c r="GZ549" s="98"/>
      <c r="HA549" s="98"/>
      <c r="HB549" s="10"/>
      <c r="HC549"/>
      <c r="HD549"/>
      <c r="HE549"/>
      <c r="HF549"/>
      <c r="HG549"/>
      <c r="HH549"/>
      <c r="HI549" s="10"/>
    </row>
    <row r="550" spans="1:217" s="2" customFormat="1" ht="12.75" hidden="1" customHeight="1" outlineLevel="1" x14ac:dyDescent="0.2">
      <c r="B550" s="91" t="s">
        <v>493</v>
      </c>
      <c r="C550" s="122"/>
      <c r="D550" s="98"/>
      <c r="E550" s="122"/>
      <c r="F550" s="98"/>
      <c r="G550" s="122"/>
      <c r="H550" s="98"/>
      <c r="I550" s="122"/>
      <c r="J550" s="98"/>
      <c r="K550" s="122"/>
      <c r="L550" s="98"/>
      <c r="M550" s="122"/>
      <c r="N550" s="98"/>
      <c r="O550" s="122"/>
      <c r="P550" s="98"/>
      <c r="Q550" s="122"/>
      <c r="R550" s="98"/>
      <c r="S550" s="122"/>
      <c r="T550" s="98"/>
      <c r="U550" s="122"/>
      <c r="V550" s="98"/>
      <c r="W550" s="122"/>
      <c r="X550" s="98"/>
      <c r="Y550" s="122"/>
      <c r="Z550" s="98"/>
      <c r="AA550" s="122"/>
      <c r="AB550" s="98"/>
      <c r="AC550" s="122"/>
      <c r="AD550" s="98"/>
      <c r="AE550" s="122"/>
      <c r="AF550" s="98"/>
      <c r="AG550" s="122"/>
      <c r="AH550" s="98"/>
      <c r="AI550" s="122"/>
      <c r="AJ550" s="98"/>
      <c r="AK550" s="122"/>
      <c r="AL550" s="98"/>
      <c r="AM550" s="122"/>
      <c r="AN550" s="98"/>
      <c r="AO550" s="122"/>
      <c r="AP550" s="98"/>
      <c r="AQ550" s="122"/>
      <c r="AR550" s="98"/>
      <c r="AS550" s="122"/>
      <c r="AT550" s="98"/>
      <c r="AU550" s="122"/>
      <c r="AV550" s="98"/>
      <c r="AW550" s="122"/>
      <c r="AX550" s="98"/>
      <c r="AY550" s="122"/>
      <c r="AZ550" s="98"/>
      <c r="BA550" s="122"/>
      <c r="BB550" s="98"/>
      <c r="BC550" s="122"/>
      <c r="BD550" s="98"/>
      <c r="BE550" s="122"/>
      <c r="BF550" s="98"/>
      <c r="BG550" s="122"/>
      <c r="BH550" s="98"/>
      <c r="BI550" s="122"/>
      <c r="BJ550" s="98"/>
      <c r="BK550" s="122"/>
      <c r="BL550" s="98"/>
      <c r="BM550" s="122"/>
      <c r="BN550" s="98"/>
      <c r="BO550" s="174"/>
      <c r="BP550" s="175"/>
      <c r="BQ550" s="174"/>
      <c r="BR550" s="175"/>
      <c r="BS550" s="174"/>
      <c r="BT550" s="175"/>
      <c r="BU550" s="174"/>
      <c r="BV550" s="175"/>
      <c r="BW550" s="174"/>
      <c r="BX550" s="175"/>
      <c r="BY550" s="174"/>
      <c r="BZ550" s="175"/>
      <c r="CA550" s="174"/>
      <c r="CB550" s="98"/>
      <c r="CC550" s="122"/>
      <c r="CD550" s="98"/>
      <c r="CE550" s="122"/>
      <c r="CF550" s="98"/>
      <c r="CG550" s="122"/>
      <c r="CH550" s="98"/>
      <c r="CI550" s="122"/>
      <c r="CJ550" s="98"/>
      <c r="CK550" s="122"/>
      <c r="CL550" s="98"/>
      <c r="CM550" s="122"/>
      <c r="CN550" s="98"/>
      <c r="CO550" s="122"/>
      <c r="CP550" s="98"/>
      <c r="CQ550" s="547"/>
      <c r="CR550" s="98"/>
      <c r="CS550" s="122"/>
      <c r="CT550" s="98"/>
      <c r="CU550" s="122"/>
      <c r="CV550" s="98"/>
      <c r="CW550" s="122"/>
      <c r="CX550" s="98"/>
      <c r="CY550" s="122"/>
      <c r="CZ550" s="98"/>
      <c r="DA550" s="122"/>
      <c r="DB550" s="98"/>
      <c r="DC550" s="122"/>
      <c r="DD550" s="98"/>
      <c r="DE550" s="122"/>
      <c r="DF550" s="98"/>
      <c r="DG550" s="122"/>
      <c r="DH550" s="98"/>
      <c r="DI550" s="122"/>
      <c r="DJ550" s="98"/>
      <c r="DK550" s="122"/>
      <c r="DL550" s="98"/>
      <c r="DM550" s="122"/>
      <c r="DN550" s="98"/>
      <c r="DO550" s="122"/>
      <c r="DP550" s="98"/>
      <c r="DQ550" s="122"/>
      <c r="DR550" s="98"/>
      <c r="DS550" s="122"/>
      <c r="DT550" s="98"/>
      <c r="DU550" s="122"/>
      <c r="DV550" s="98"/>
      <c r="DW550" s="122"/>
      <c r="DX550" s="98"/>
      <c r="DY550" s="122"/>
      <c r="DZ550" s="98"/>
      <c r="EA550" s="122"/>
      <c r="EB550" s="98"/>
      <c r="EC550" s="122"/>
      <c r="ED550" s="98"/>
      <c r="EE550" s="122"/>
      <c r="EF550" s="860"/>
      <c r="EG550" s="122"/>
      <c r="EH550" s="860"/>
      <c r="EI550" s="122"/>
      <c r="EJ550" s="860"/>
      <c r="EK550" s="122"/>
      <c r="EL550" s="860" t="str">
        <f t="shared" ref="EL550:EL557" si="3297">IF(ISERROR((EK550/EC550-1)*100),"NA",IF(((EK550/EC550-1)*100)&gt;100,"NM",IF(((EK550/EC550-1)*100)&lt;-50,"NM",(EK550/EC550-1)*100)))</f>
        <v>NA</v>
      </c>
      <c r="EM550" s="122"/>
      <c r="EN550" s="860"/>
      <c r="EO550" s="122"/>
      <c r="EP550" s="98" t="str">
        <f t="shared" ref="EP550:EP557" si="3298">IF(ISERROR((EO550/EG550-1)*100),"NA",IF(((EO550/EG550-1)*100)&gt;100,"NM",IF(((EO550/EG550-1)*100)&lt;-50,"NM",(EO550/EG550-1)*100)))</f>
        <v>NA</v>
      </c>
      <c r="EQ550" s="1003"/>
      <c r="ER550" s="98" t="str">
        <f t="shared" ref="ER550:ER557" si="3299">IF(ISERROR((EQ550/EI550-1)*100),"NA",IF(((EQ550/EI550-1)*100)&gt;100,"NM",IF(((EQ550/EI550-1)*100)&lt;-50,"NM",(EQ550/EI550-1)*100)))</f>
        <v>NA</v>
      </c>
      <c r="ES550" s="1003"/>
      <c r="ET550" s="98" t="str">
        <f t="shared" ref="ET550:ET557" si="3300">IF(ISERROR((ES550/EK550-1)*100),"NA",IF(((ES550/EK550-1)*100)&gt;100,"NM",IF(((ES550/EK550-1)*100)&lt;-50,"NM",(ES550/EK550-1)*100)))</f>
        <v>NA</v>
      </c>
      <c r="EU550" s="1003"/>
      <c r="EV550" s="98" t="str">
        <f t="shared" ref="EV550:EV557" si="3301">IF(ISERROR((EU550/EM550-1)*100),"NA",IF(((EU550/EM550-1)*100)&gt;100,"NM",IF(((EU550/EM550-1)*100)&lt;-50,"NM",(EU550/EM550-1)*100)))</f>
        <v>NA</v>
      </c>
      <c r="EW550" s="1003"/>
      <c r="EX550" s="98" t="str">
        <f t="shared" ref="EX550:EX557" si="3302">IF(ISERROR((EW550/EO550-1)*100),"NA",IF(((EW550/EO550-1)*100)&gt;100,"NM",IF(((EW550/EO550-1)*100)&lt;-50,"NM",(EW550/EO550-1)*100)))</f>
        <v>NA</v>
      </c>
      <c r="EY550" s="176"/>
      <c r="EZ550" s="594"/>
      <c r="FA550" s="405"/>
      <c r="FB550" s="122">
        <v>92</v>
      </c>
      <c r="FC550" s="98"/>
      <c r="FD550" s="122">
        <v>74</v>
      </c>
      <c r="FE550" s="98">
        <f t="shared" ref="FE550:FE557" si="3303">IF(ISERROR((FD550/FB550-1)*100),"NA",IF(((FD550/FB550-1)*100)&gt;100,"NM",IF(((FD550/FB550-1)*100)&lt;-50,"NM",(FD550/FB550-1)*100)))</f>
        <v>-19.565217391304344</v>
      </c>
      <c r="FF550" s="118">
        <f>C550+E550+G550+I550</f>
        <v>0</v>
      </c>
      <c r="FG550" s="98" t="str">
        <f t="shared" ref="FG550:FG557" si="3304">IF(ISERROR((FF550/FD550-1)*100),"NA",IF(((FF550/FD550-1)*100)&gt;100,"NM",IF(((FF550/FD550-1)*100)&lt;-50,"NM",(FF550/FD550-1)*100)))</f>
        <v>NM</v>
      </c>
      <c r="FH550" s="118">
        <f>K550+M550+O550+Q550</f>
        <v>0</v>
      </c>
      <c r="FI550" s="98" t="str">
        <f t="shared" ref="FI550:FI557" si="3305">IF(ISERROR((FH550/FF550-1)*100),"NA",IF(((FH550/FF550-1)*100)&gt;100,"NM",IF(((FH550/FF550-1)*100)&lt;-50,"NM",(FH550/FF550-1)*100)))</f>
        <v>NA</v>
      </c>
      <c r="FJ550" s="118">
        <f>S550+U550+W550+Y550</f>
        <v>0</v>
      </c>
      <c r="FK550" s="98" t="str">
        <f t="shared" ref="FK550:FK557" si="3306">IF(ISERROR((FJ550/FH550-1)*100),"NA",IF(((FJ550/FH550-1)*100)&gt;100,"NM",IF(((FJ550/FH550-1)*100)&lt;-50,"NM",(FJ550/FH550-1)*100)))</f>
        <v>NA</v>
      </c>
      <c r="FL550" s="118">
        <f>AA550+AC550+AE550+AG550</f>
        <v>0</v>
      </c>
      <c r="FM550" s="98" t="str">
        <f t="shared" ref="FM550:FM557" si="3307">IF(ISERROR((FL550/FJ550-1)*100),"NA",IF(((FL550/FJ550-1)*100)&gt;100,"NM",IF(((FL550/FJ550-1)*100)&lt;-50,"NM",(FL550/FJ550-1)*100)))</f>
        <v>NA</v>
      </c>
      <c r="FN550" s="118">
        <f>AI550+AK550+AM550+AO550</f>
        <v>0</v>
      </c>
      <c r="FO550" s="98" t="str">
        <f t="shared" ref="FO550:FO557" si="3308">IF(ISERROR((FN550/FL550-1)*100),"NA",IF(((FN550/FL550-1)*100)&gt;100,"NM",IF(((FN550/FL550-1)*100)&lt;-50,"NM",(FN550/FL550-1)*100)))</f>
        <v>NA</v>
      </c>
      <c r="FP550" s="118">
        <f>AQ550+AS550+AU550+AW550</f>
        <v>0</v>
      </c>
      <c r="FQ550" s="98" t="str">
        <f t="shared" ref="FQ550:FQ557" si="3309">IF(ISERROR((FP550/FN550-1)*100),"NA",IF(((FP550/FN550-1)*100)&gt;100,"NM",IF(((FP550/FN550-1)*100)&lt;-50,"NM",(FP550/FN550-1)*100)))</f>
        <v>NA</v>
      </c>
      <c r="FR550" s="176">
        <f>AY550+BA550+BC550+BE550</f>
        <v>0</v>
      </c>
      <c r="FS550" s="120" t="str">
        <f t="shared" ref="FS550:FS557" si="3310">IF(ISERROR((FR550/FP550-1)*100),"NA",IF(((FR550/FP550-1)*100)&gt;100,"NM",IF(((FR550/FP550-1)*100)&lt;-50,"NM",(FR550/FP550-1)*100)))</f>
        <v>NA</v>
      </c>
      <c r="FT550" s="176">
        <f>BG550+BI550+BK550+BM550</f>
        <v>0</v>
      </c>
      <c r="FU550" s="120" t="str">
        <f t="shared" ref="FU550:FU557" si="3311">IF(ISERROR((FT550/FR550-1)*100),"NA",IF(((FT550/FR550-1)*100)&gt;100,"NM",IF(((FT550/FR550-1)*100)&lt;-50,"NM",(FT550/FR550-1)*100)))</f>
        <v>NA</v>
      </c>
      <c r="FV550" s="176">
        <f>BO550+BQ550+BS550+BU550</f>
        <v>0</v>
      </c>
      <c r="FW550" s="98" t="str">
        <f t="shared" ref="FW550:FW557" si="3312">IF(ISERROR((FV550/FT550-1)*100),"NA",IF(((FV550/FT550-1)*100)&gt;100,"NM",IF(((FV550/FT550-1)*100)&lt;-50,"NM",(FV550/FT550-1)*100)))</f>
        <v>NA</v>
      </c>
      <c r="FX550" s="485">
        <f>BW550+BY550+CA550+CC550</f>
        <v>0</v>
      </c>
      <c r="FY550" s="98" t="str">
        <f t="shared" ref="FY550:FY557" si="3313">IF(ISERROR((FX550/FV550-1)*100),"NA",IF(((FX550/FV550-1)*100)&gt;100,"NM",IF(((FX550/FV550-1)*100)&lt;-50,"NM",(FX550/FV550-1)*100)))</f>
        <v>NA</v>
      </c>
      <c r="FZ550" s="119">
        <f>CE550+CG550+CI550+CK550</f>
        <v>0</v>
      </c>
      <c r="GA550" s="98" t="str">
        <f t="shared" ref="GA550:GA557" si="3314">IF(ISERROR((FZ550/FX550-1)*100),"NA",IF(((FZ550/FX550-1)*100)&gt;100,"NM",IF(((FZ550/FX550-1)*100)&lt;-50,"NM",(FZ550/FX550-1)*100)))</f>
        <v>NA</v>
      </c>
      <c r="GB550" s="485">
        <f>CM550+CO550+CQ550+CS550</f>
        <v>0</v>
      </c>
      <c r="GC550" s="98" t="str">
        <f t="shared" ref="GC550:GC557" si="3315">IF(ISERROR((GB550/FZ550-1)*100),"NA",IF(((GB550/FZ550-1)*100)&gt;100,"NM",IF(((GB550/FZ550-1)*100)&lt;-50,"NM",(GB550/FZ550-1)*100)))</f>
        <v>NA</v>
      </c>
      <c r="GD550" s="119">
        <f>CU550+CW550+CY550+DA550</f>
        <v>0</v>
      </c>
      <c r="GE550" s="98" t="str">
        <f t="shared" ref="GE550:GE557" si="3316">IF(ISERROR((GD550/GB550-1)*100),"NA",IF(((GD550/GB550-1)*100)&gt;100,"NM",IF(((GD550/GB550-1)*100)&lt;-50,"NM",(GD550/GB550-1)*100)))</f>
        <v>NA</v>
      </c>
      <c r="GF550" s="119">
        <f>DC550+DE550+DG550+DI550</f>
        <v>0</v>
      </c>
      <c r="GG550" s="98" t="str">
        <f t="shared" ref="GG550:GG557" si="3317">IF(ISERROR((GF550/GD550-1)*100),"NA",IF(((GF550/GD550-1)*100)&gt;100,"NM",IF(((GF550/GD550-1)*100)&lt;-50,"NM",(GF550/GD550-1)*100)))</f>
        <v>NA</v>
      </c>
      <c r="GH550" s="119">
        <f>DK550+DM550+DO550+DQ550</f>
        <v>0</v>
      </c>
      <c r="GI550" s="98" t="str">
        <f t="shared" ref="GI550:GW557" si="3318">IF(ISERROR((GH550/GF550-1)*100),"NA",IF(((GH550/GF550-1)*100)&gt;100,"NM",IF(((GH550/GF550-1)*100)&lt;-50,"NM",(GH550/GF550-1)*100)))</f>
        <v>NA</v>
      </c>
      <c r="GJ550" s="119">
        <f>DS550+DU550+DW550+DY550</f>
        <v>0</v>
      </c>
      <c r="GK550" s="98" t="str">
        <f t="shared" si="3318"/>
        <v>NA</v>
      </c>
      <c r="GL550" s="119">
        <f>EA550+EC550+EE550+EG550</f>
        <v>0</v>
      </c>
      <c r="GM550" s="98" t="str">
        <f t="shared" si="3318"/>
        <v>NA</v>
      </c>
      <c r="GN550" s="119">
        <f>EI550+EK550+EM550+EO550</f>
        <v>0</v>
      </c>
      <c r="GO550" s="98" t="str">
        <f t="shared" si="3318"/>
        <v>NA</v>
      </c>
      <c r="GP550" s="119"/>
      <c r="GQ550" s="98" t="str">
        <f t="shared" si="3318"/>
        <v>NA</v>
      </c>
      <c r="GR550" s="122"/>
      <c r="GS550" s="98" t="str">
        <f t="shared" si="3318"/>
        <v>NA</v>
      </c>
      <c r="GT550" s="122"/>
      <c r="GU550" s="98"/>
      <c r="GV550" s="122"/>
      <c r="GW550" s="98" t="str">
        <f t="shared" si="3318"/>
        <v>NA</v>
      </c>
      <c r="GX550" s="122"/>
      <c r="GY550" s="98" t="str">
        <f t="shared" ref="GY550:GY557" si="3319">IF(ISERROR((GX550/GV550-1)*100),"NA",IF(((GX550/GV550-1)*100)&gt;100,"NM",IF(((GX550/GV550-1)*100)&lt;-50,"NM",(GX550/GV550-1)*100)))</f>
        <v>NA</v>
      </c>
      <c r="GZ550" s="98" t="str">
        <f t="shared" ref="GZ550:GZ557" si="3320">IF(ISERROR(((GX550/GN550)^0.2-1)*100),"NA",IF((((GX550/GN550)^0.2-1)*100)&gt;100,"NM",IF((((GX550/GN550)^0.2-1)*100)&lt;-50,"NM",((GX550/GN550)^0.2-1)*100)))</f>
        <v>NA</v>
      </c>
      <c r="HA550" s="98"/>
      <c r="HB550" s="10"/>
      <c r="HC550"/>
      <c r="HD550"/>
      <c r="HE550"/>
      <c r="HF550"/>
      <c r="HG550"/>
      <c r="HH550"/>
      <c r="HI550" s="10"/>
    </row>
    <row r="551" spans="1:217" s="2" customFormat="1" ht="12.75" hidden="1" customHeight="1" outlineLevel="1" x14ac:dyDescent="0.2">
      <c r="B551" s="91" t="s">
        <v>162</v>
      </c>
      <c r="C551" s="122"/>
      <c r="D551" s="98"/>
      <c r="E551" s="122"/>
      <c r="F551" s="98"/>
      <c r="G551" s="122"/>
      <c r="H551" s="98"/>
      <c r="I551" s="122"/>
      <c r="J551" s="98"/>
      <c r="K551" s="122"/>
      <c r="L551" s="98"/>
      <c r="M551" s="122"/>
      <c r="N551" s="98"/>
      <c r="O551" s="122"/>
      <c r="P551" s="98"/>
      <c r="Q551" s="122"/>
      <c r="R551" s="98"/>
      <c r="S551" s="122"/>
      <c r="T551" s="98"/>
      <c r="U551" s="122"/>
      <c r="V551" s="98"/>
      <c r="W551" s="122"/>
      <c r="X551" s="98"/>
      <c r="Y551" s="122"/>
      <c r="Z551" s="98"/>
      <c r="AA551" s="122"/>
      <c r="AB551" s="98"/>
      <c r="AC551" s="122"/>
      <c r="AD551" s="98"/>
      <c r="AE551" s="122"/>
      <c r="AF551" s="98"/>
      <c r="AG551" s="122"/>
      <c r="AH551" s="98"/>
      <c r="AI551" s="122"/>
      <c r="AJ551" s="98"/>
      <c r="AK551" s="122"/>
      <c r="AL551" s="98"/>
      <c r="AM551" s="122"/>
      <c r="AN551" s="98"/>
      <c r="AO551" s="122"/>
      <c r="AP551" s="98"/>
      <c r="AQ551" s="122"/>
      <c r="AR551" s="98"/>
      <c r="AS551" s="122"/>
      <c r="AT551" s="98"/>
      <c r="AU551" s="122"/>
      <c r="AV551" s="98"/>
      <c r="AW551" s="122"/>
      <c r="AX551" s="98"/>
      <c r="AY551" s="122"/>
      <c r="AZ551" s="98"/>
      <c r="BA551" s="122"/>
      <c r="BB551" s="98"/>
      <c r="BC551" s="122"/>
      <c r="BD551" s="98"/>
      <c r="BE551" s="122"/>
      <c r="BF551" s="98"/>
      <c r="BG551" s="122"/>
      <c r="BH551" s="98"/>
      <c r="BI551" s="122"/>
      <c r="BJ551" s="98"/>
      <c r="BK551" s="122"/>
      <c r="BL551" s="98"/>
      <c r="BM551" s="122"/>
      <c r="BN551" s="98"/>
      <c r="BO551" s="174"/>
      <c r="BP551" s="175"/>
      <c r="BQ551" s="174"/>
      <c r="BR551" s="175"/>
      <c r="BS551" s="174"/>
      <c r="BT551" s="175"/>
      <c r="BU551" s="174"/>
      <c r="BV551" s="175"/>
      <c r="BW551" s="174"/>
      <c r="BX551" s="175"/>
      <c r="BY551" s="174"/>
      <c r="BZ551" s="175"/>
      <c r="CA551" s="174"/>
      <c r="CB551" s="98"/>
      <c r="CC551" s="122"/>
      <c r="CD551" s="98"/>
      <c r="CE551" s="122"/>
      <c r="CF551" s="98"/>
      <c r="CG551" s="122"/>
      <c r="CH551" s="98"/>
      <c r="CI551" s="122"/>
      <c r="CJ551" s="98"/>
      <c r="CK551" s="122"/>
      <c r="CL551" s="98"/>
      <c r="CM551" s="122"/>
      <c r="CN551" s="98"/>
      <c r="CO551" s="122"/>
      <c r="CP551" s="98"/>
      <c r="CQ551" s="547"/>
      <c r="CR551" s="98"/>
      <c r="CS551" s="122"/>
      <c r="CT551" s="98"/>
      <c r="CU551" s="122"/>
      <c r="CV551" s="98"/>
      <c r="CW551" s="122"/>
      <c r="CX551" s="98"/>
      <c r="CY551" s="122"/>
      <c r="CZ551" s="98"/>
      <c r="DA551" s="122"/>
      <c r="DB551" s="98"/>
      <c r="DC551" s="122"/>
      <c r="DD551" s="98"/>
      <c r="DE551" s="122"/>
      <c r="DF551" s="98"/>
      <c r="DG551" s="122"/>
      <c r="DH551" s="98"/>
      <c r="DI551" s="122"/>
      <c r="DJ551" s="98"/>
      <c r="DK551" s="122"/>
      <c r="DL551" s="98"/>
      <c r="DM551" s="122"/>
      <c r="DN551" s="98"/>
      <c r="DO551" s="122"/>
      <c r="DP551" s="98"/>
      <c r="DQ551" s="122"/>
      <c r="DR551" s="98"/>
      <c r="DS551" s="122"/>
      <c r="DT551" s="98"/>
      <c r="DU551" s="122"/>
      <c r="DV551" s="98"/>
      <c r="DW551" s="122"/>
      <c r="DX551" s="98"/>
      <c r="DY551" s="122"/>
      <c r="DZ551" s="98"/>
      <c r="EA551" s="122"/>
      <c r="EB551" s="98"/>
      <c r="EC551" s="122"/>
      <c r="ED551" s="98"/>
      <c r="EE551" s="122"/>
      <c r="EF551" s="860"/>
      <c r="EG551" s="122"/>
      <c r="EH551" s="860"/>
      <c r="EI551" s="122"/>
      <c r="EJ551" s="860"/>
      <c r="EK551" s="122"/>
      <c r="EL551" s="860" t="str">
        <f t="shared" si="3297"/>
        <v>NA</v>
      </c>
      <c r="EM551" s="122"/>
      <c r="EN551" s="860"/>
      <c r="EO551" s="122"/>
      <c r="EP551" s="98" t="str">
        <f t="shared" si="3298"/>
        <v>NA</v>
      </c>
      <c r="EQ551" s="1003"/>
      <c r="ER551" s="98" t="str">
        <f t="shared" si="3299"/>
        <v>NA</v>
      </c>
      <c r="ES551" s="1003"/>
      <c r="ET551" s="98" t="str">
        <f t="shared" si="3300"/>
        <v>NA</v>
      </c>
      <c r="EU551" s="1003"/>
      <c r="EV551" s="98" t="str">
        <f t="shared" si="3301"/>
        <v>NA</v>
      </c>
      <c r="EW551" s="1003"/>
      <c r="EX551" s="98" t="str">
        <f t="shared" si="3302"/>
        <v>NA</v>
      </c>
      <c r="EY551" s="176"/>
      <c r="EZ551" s="594"/>
      <c r="FA551" s="405"/>
      <c r="FB551" s="122">
        <v>249</v>
      </c>
      <c r="FC551" s="98"/>
      <c r="FD551" s="122">
        <v>317</v>
      </c>
      <c r="FE551" s="98">
        <f t="shared" si="3303"/>
        <v>27.30923694779117</v>
      </c>
      <c r="FF551" s="118">
        <f>C551+E551+G551+I551</f>
        <v>0</v>
      </c>
      <c r="FG551" s="98" t="str">
        <f t="shared" si="3304"/>
        <v>NM</v>
      </c>
      <c r="FH551" s="118">
        <f>K551+M551+O551+Q551</f>
        <v>0</v>
      </c>
      <c r="FI551" s="98" t="str">
        <f t="shared" si="3305"/>
        <v>NA</v>
      </c>
      <c r="FJ551" s="118">
        <f>S551+U551+W551+Y551</f>
        <v>0</v>
      </c>
      <c r="FK551" s="98" t="str">
        <f t="shared" si="3306"/>
        <v>NA</v>
      </c>
      <c r="FL551" s="118">
        <f>AA551+AC551+AE551+AG551</f>
        <v>0</v>
      </c>
      <c r="FM551" s="98" t="str">
        <f t="shared" si="3307"/>
        <v>NA</v>
      </c>
      <c r="FN551" s="118">
        <f>AI551+AK551+AM551+AO551</f>
        <v>0</v>
      </c>
      <c r="FO551" s="98" t="str">
        <f t="shared" si="3308"/>
        <v>NA</v>
      </c>
      <c r="FP551" s="118">
        <f>AQ551+AS551+AU551+AW551</f>
        <v>0</v>
      </c>
      <c r="FQ551" s="98" t="str">
        <f t="shared" si="3309"/>
        <v>NA</v>
      </c>
      <c r="FR551" s="176">
        <f>AY551+BA551+BC551+BE551</f>
        <v>0</v>
      </c>
      <c r="FS551" s="120" t="str">
        <f t="shared" si="3310"/>
        <v>NA</v>
      </c>
      <c r="FT551" s="176">
        <f>BG551+BI551+BK551+BM551</f>
        <v>0</v>
      </c>
      <c r="FU551" s="120" t="str">
        <f t="shared" si="3311"/>
        <v>NA</v>
      </c>
      <c r="FV551" s="177">
        <v>1870</v>
      </c>
      <c r="FW551" s="98" t="str">
        <f t="shared" si="3312"/>
        <v>NA</v>
      </c>
      <c r="FX551" s="485">
        <f>BW551+BY551+CA551+CC551</f>
        <v>0</v>
      </c>
      <c r="FY551" s="98" t="str">
        <f t="shared" si="3313"/>
        <v>NM</v>
      </c>
      <c r="FZ551" s="119">
        <f>CE551+CG551+CI551+CK551</f>
        <v>0</v>
      </c>
      <c r="GA551" s="98" t="str">
        <f t="shared" si="3314"/>
        <v>NA</v>
      </c>
      <c r="GB551" s="485">
        <f>CM551+CO551+CQ551+CS551</f>
        <v>0</v>
      </c>
      <c r="GC551" s="98" t="str">
        <f t="shared" si="3315"/>
        <v>NA</v>
      </c>
      <c r="GD551" s="119">
        <f>CU551+CW551+CY551+DA551</f>
        <v>0</v>
      </c>
      <c r="GE551" s="98" t="str">
        <f t="shared" si="3316"/>
        <v>NA</v>
      </c>
      <c r="GF551" s="119">
        <f>DC551+DE551+DG551+DI551</f>
        <v>0</v>
      </c>
      <c r="GG551" s="98" t="str">
        <f t="shared" si="3317"/>
        <v>NA</v>
      </c>
      <c r="GH551" s="119">
        <f>DK551+DM551+DO551+DQ551</f>
        <v>0</v>
      </c>
      <c r="GI551" s="98" t="str">
        <f t="shared" si="3318"/>
        <v>NA</v>
      </c>
      <c r="GJ551" s="119">
        <f>DS551+DU551+DW551+DY551</f>
        <v>0</v>
      </c>
      <c r="GK551" s="98" t="str">
        <f t="shared" si="3318"/>
        <v>NA</v>
      </c>
      <c r="GL551" s="119">
        <f>EA551+EC551+EE551+EG551</f>
        <v>0</v>
      </c>
      <c r="GM551" s="98" t="str">
        <f t="shared" si="3318"/>
        <v>NA</v>
      </c>
      <c r="GN551" s="119">
        <f>EI551+EK551+EM551+EO551</f>
        <v>0</v>
      </c>
      <c r="GO551" s="98" t="str">
        <f t="shared" si="3318"/>
        <v>NA</v>
      </c>
      <c r="GP551" s="119"/>
      <c r="GQ551" s="98" t="str">
        <f t="shared" si="3318"/>
        <v>NA</v>
      </c>
      <c r="GR551" s="123"/>
      <c r="GS551" s="98" t="str">
        <f t="shared" si="3318"/>
        <v>NA</v>
      </c>
      <c r="GT551" s="123"/>
      <c r="GU551" s="98"/>
      <c r="GV551" s="123"/>
      <c r="GW551" s="98" t="str">
        <f t="shared" si="3318"/>
        <v>NA</v>
      </c>
      <c r="GX551" s="123"/>
      <c r="GY551" s="98" t="str">
        <f t="shared" si="3319"/>
        <v>NA</v>
      </c>
      <c r="GZ551" s="98" t="str">
        <f t="shared" si="3320"/>
        <v>NA</v>
      </c>
      <c r="HA551" s="98"/>
      <c r="HB551" s="10"/>
      <c r="HC551"/>
      <c r="HD551"/>
      <c r="HE551"/>
      <c r="HF551"/>
      <c r="HG551"/>
      <c r="HH551"/>
      <c r="HI551" s="10"/>
    </row>
    <row r="552" spans="1:217" s="2" customFormat="1" ht="12.75" hidden="1" customHeight="1" outlineLevel="1" x14ac:dyDescent="0.2">
      <c r="B552" s="9" t="s">
        <v>534</v>
      </c>
      <c r="C552" s="101"/>
      <c r="D552" s="98"/>
      <c r="E552" s="101"/>
      <c r="F552" s="98"/>
      <c r="G552" s="101"/>
      <c r="H552" s="98"/>
      <c r="I552" s="101"/>
      <c r="J552" s="98"/>
      <c r="K552" s="101"/>
      <c r="L552" s="98"/>
      <c r="M552" s="101"/>
      <c r="N552" s="98"/>
      <c r="O552" s="101"/>
      <c r="P552" s="98"/>
      <c r="Q552" s="101"/>
      <c r="R552" s="98"/>
      <c r="S552" s="101"/>
      <c r="T552" s="98"/>
      <c r="U552" s="101"/>
      <c r="V552" s="98"/>
      <c r="W552" s="101"/>
      <c r="X552" s="98"/>
      <c r="Y552" s="101"/>
      <c r="Z552" s="98"/>
      <c r="AA552" s="101"/>
      <c r="AB552" s="98"/>
      <c r="AC552" s="101"/>
      <c r="AD552" s="98"/>
      <c r="AE552" s="101"/>
      <c r="AF552" s="98"/>
      <c r="AG552" s="101"/>
      <c r="AH552" s="98"/>
      <c r="AI552" s="101"/>
      <c r="AJ552" s="98"/>
      <c r="AK552" s="101"/>
      <c r="AL552" s="98"/>
      <c r="AM552" s="101"/>
      <c r="AN552" s="98"/>
      <c r="AO552" s="101"/>
      <c r="AP552" s="98"/>
      <c r="AQ552" s="101"/>
      <c r="AR552" s="98"/>
      <c r="AS552" s="101"/>
      <c r="AT552" s="98"/>
      <c r="AU552" s="101"/>
      <c r="AV552" s="98"/>
      <c r="AW552" s="101"/>
      <c r="AX552" s="98"/>
      <c r="AY552" s="101"/>
      <c r="AZ552" s="98"/>
      <c r="BA552" s="101"/>
      <c r="BB552" s="98"/>
      <c r="BC552" s="101"/>
      <c r="BD552" s="98"/>
      <c r="BE552" s="101"/>
      <c r="BF552" s="98"/>
      <c r="BG552" s="101"/>
      <c r="BH552" s="98"/>
      <c r="BI552" s="101"/>
      <c r="BJ552" s="98"/>
      <c r="BK552" s="101"/>
      <c r="BL552" s="98"/>
      <c r="BM552" s="101"/>
      <c r="BN552" s="98"/>
      <c r="BO552" s="178"/>
      <c r="BP552" s="175"/>
      <c r="BQ552" s="178"/>
      <c r="BR552" s="175"/>
      <c r="BS552" s="178"/>
      <c r="BT552" s="175"/>
      <c r="BU552" s="178"/>
      <c r="BV552" s="175"/>
      <c r="BW552" s="178"/>
      <c r="BX552" s="175"/>
      <c r="BY552" s="178"/>
      <c r="BZ552" s="175"/>
      <c r="CA552" s="178"/>
      <c r="CB552" s="98"/>
      <c r="CC552" s="101"/>
      <c r="CD552" s="98"/>
      <c r="CE552" s="101"/>
      <c r="CF552" s="98"/>
      <c r="CG552" s="101"/>
      <c r="CH552" s="98"/>
      <c r="CI552" s="101"/>
      <c r="CJ552" s="98"/>
      <c r="CK552" s="101"/>
      <c r="CL552" s="98"/>
      <c r="CM552" s="101"/>
      <c r="CN552" s="98"/>
      <c r="CO552" s="101"/>
      <c r="CP552" s="98"/>
      <c r="CQ552" s="542"/>
      <c r="CR552" s="98"/>
      <c r="CS552" s="101"/>
      <c r="CT552" s="98"/>
      <c r="CU552" s="101"/>
      <c r="CV552" s="98"/>
      <c r="CW552" s="101"/>
      <c r="CX552" s="98"/>
      <c r="CY552" s="101"/>
      <c r="CZ552" s="98"/>
      <c r="DA552" s="101"/>
      <c r="DB552" s="98"/>
      <c r="DC552" s="101"/>
      <c r="DD552" s="98"/>
      <c r="DE552" s="101"/>
      <c r="DF552" s="98"/>
      <c r="DG552" s="101"/>
      <c r="DH552" s="98"/>
      <c r="DI552" s="101"/>
      <c r="DJ552" s="98"/>
      <c r="DK552" s="101"/>
      <c r="DL552" s="98"/>
      <c r="DM552" s="101"/>
      <c r="DN552" s="98"/>
      <c r="DO552" s="101"/>
      <c r="DP552" s="98"/>
      <c r="DQ552" s="101"/>
      <c r="DR552" s="98"/>
      <c r="DS552" s="101"/>
      <c r="DT552" s="98"/>
      <c r="DU552" s="101"/>
      <c r="DV552" s="98"/>
      <c r="DW552" s="101"/>
      <c r="DX552" s="98"/>
      <c r="DY552" s="101"/>
      <c r="DZ552" s="98"/>
      <c r="EA552" s="101"/>
      <c r="EB552" s="98"/>
      <c r="EC552" s="101"/>
      <c r="ED552" s="98"/>
      <c r="EE552" s="101"/>
      <c r="EF552" s="860"/>
      <c r="EG552" s="101"/>
      <c r="EH552" s="860"/>
      <c r="EI552" s="101"/>
      <c r="EJ552" s="860"/>
      <c r="EK552" s="101"/>
      <c r="EL552" s="860" t="str">
        <f t="shared" si="3297"/>
        <v>NA</v>
      </c>
      <c r="EM552" s="101"/>
      <c r="EN552" s="860"/>
      <c r="EO552" s="101"/>
      <c r="EP552" s="98" t="str">
        <f t="shared" si="3298"/>
        <v>NA</v>
      </c>
      <c r="EQ552" s="1003"/>
      <c r="ER552" s="98" t="str">
        <f t="shared" si="3299"/>
        <v>NA</v>
      </c>
      <c r="ES552" s="1003"/>
      <c r="ET552" s="98" t="str">
        <f t="shared" si="3300"/>
        <v>NA</v>
      </c>
      <c r="EU552" s="1003"/>
      <c r="EV552" s="98" t="str">
        <f t="shared" si="3301"/>
        <v>NA</v>
      </c>
      <c r="EW552" s="1003"/>
      <c r="EX552" s="98" t="str">
        <f t="shared" si="3302"/>
        <v>NA</v>
      </c>
      <c r="EY552" s="119"/>
      <c r="EZ552" s="594"/>
      <c r="FA552" s="405"/>
      <c r="FB552" s="121">
        <v>1583</v>
      </c>
      <c r="FC552" s="98"/>
      <c r="FD552" s="101">
        <v>1538</v>
      </c>
      <c r="FE552" s="98">
        <f t="shared" si="3303"/>
        <v>-2.8427037271004374</v>
      </c>
      <c r="FF552" s="118">
        <f>C552+E552+G552+I552</f>
        <v>0</v>
      </c>
      <c r="FG552" s="98" t="str">
        <f t="shared" si="3304"/>
        <v>NM</v>
      </c>
      <c r="FH552" s="118">
        <f>K552+M552+O552+Q552</f>
        <v>0</v>
      </c>
      <c r="FI552" s="98" t="str">
        <f t="shared" si="3305"/>
        <v>NA</v>
      </c>
      <c r="FJ552" s="118">
        <f>S552+U552+W552+Y552</f>
        <v>0</v>
      </c>
      <c r="FK552" s="98" t="str">
        <f t="shared" si="3306"/>
        <v>NA</v>
      </c>
      <c r="FL552" s="118">
        <f>AA552+AC552+AE552+AG552</f>
        <v>0</v>
      </c>
      <c r="FM552" s="98" t="str">
        <f t="shared" si="3307"/>
        <v>NA</v>
      </c>
      <c r="FN552" s="118">
        <f>AI552+AK552+AM552+AO552</f>
        <v>0</v>
      </c>
      <c r="FO552" s="98" t="str">
        <f t="shared" si="3308"/>
        <v>NA</v>
      </c>
      <c r="FP552" s="118">
        <f>AQ552+AS552+AU552+AW552</f>
        <v>0</v>
      </c>
      <c r="FQ552" s="98" t="str">
        <f t="shared" si="3309"/>
        <v>NA</v>
      </c>
      <c r="FR552" s="119">
        <f>AY552+BA552+BC552+BE552</f>
        <v>0</v>
      </c>
      <c r="FS552" s="120" t="str">
        <f t="shared" si="3310"/>
        <v>NA</v>
      </c>
      <c r="FT552" s="119">
        <f>BG552+BI552+BK552+BM552</f>
        <v>0</v>
      </c>
      <c r="FU552" s="120" t="str">
        <f t="shared" si="3311"/>
        <v>NA</v>
      </c>
      <c r="FV552" s="121">
        <v>2365</v>
      </c>
      <c r="FW552" s="98" t="str">
        <f t="shared" si="3312"/>
        <v>NA</v>
      </c>
      <c r="FX552" s="485">
        <f>BW552+BY552+CA552+CC552</f>
        <v>0</v>
      </c>
      <c r="FY552" s="98" t="str">
        <f t="shared" si="3313"/>
        <v>NM</v>
      </c>
      <c r="FZ552" s="119">
        <f>CE552+CG552+CI552+CK552</f>
        <v>0</v>
      </c>
      <c r="GA552" s="98" t="str">
        <f t="shared" si="3314"/>
        <v>NA</v>
      </c>
      <c r="GB552" s="485">
        <f>CM552+CO552+CQ552+CS552</f>
        <v>0</v>
      </c>
      <c r="GC552" s="98" t="str">
        <f t="shared" si="3315"/>
        <v>NA</v>
      </c>
      <c r="GD552" s="119">
        <f>CU552+CW552+CY552+DA552</f>
        <v>0</v>
      </c>
      <c r="GE552" s="98" t="str">
        <f t="shared" si="3316"/>
        <v>NA</v>
      </c>
      <c r="GF552" s="119">
        <f>DC552+DE552+DG552+DI552</f>
        <v>0</v>
      </c>
      <c r="GG552" s="98" t="str">
        <f t="shared" si="3317"/>
        <v>NA</v>
      </c>
      <c r="GH552" s="119">
        <f>DK552+DM552+DO552+DQ552</f>
        <v>0</v>
      </c>
      <c r="GI552" s="98" t="str">
        <f t="shared" si="3318"/>
        <v>NA</v>
      </c>
      <c r="GJ552" s="119">
        <f>DS552+DU552+DW552+DY552</f>
        <v>0</v>
      </c>
      <c r="GK552" s="98" t="str">
        <f t="shared" si="3318"/>
        <v>NA</v>
      </c>
      <c r="GL552" s="119">
        <f>EA552+EC552+EE552+EG552</f>
        <v>0</v>
      </c>
      <c r="GM552" s="98" t="str">
        <f t="shared" si="3318"/>
        <v>NA</v>
      </c>
      <c r="GN552" s="119">
        <f>EI552+EK552+EM552+EO552</f>
        <v>0</v>
      </c>
      <c r="GO552" s="98" t="str">
        <f t="shared" si="3318"/>
        <v>NA</v>
      </c>
      <c r="GP552" s="119"/>
      <c r="GQ552" s="98" t="str">
        <f t="shared" si="3318"/>
        <v>NA</v>
      </c>
      <c r="GR552" s="122"/>
      <c r="GS552" s="98" t="str">
        <f t="shared" si="3318"/>
        <v>NA</v>
      </c>
      <c r="GT552" s="122"/>
      <c r="GU552" s="98"/>
      <c r="GV552" s="122"/>
      <c r="GW552" s="98" t="str">
        <f t="shared" si="3318"/>
        <v>NA</v>
      </c>
      <c r="GX552" s="122"/>
      <c r="GY552" s="98" t="str">
        <f t="shared" si="3319"/>
        <v>NA</v>
      </c>
      <c r="GZ552" s="98" t="str">
        <f t="shared" si="3320"/>
        <v>NA</v>
      </c>
      <c r="HA552" s="98"/>
      <c r="HB552" s="10"/>
      <c r="HC552"/>
      <c r="HD552"/>
      <c r="HE552"/>
      <c r="HF552"/>
      <c r="HG552"/>
      <c r="HH552"/>
      <c r="HI552" s="10"/>
    </row>
    <row r="553" spans="1:217" s="2" customFormat="1" ht="12.75" hidden="1" customHeight="1" outlineLevel="1" x14ac:dyDescent="0.2">
      <c r="B553" s="434" t="s">
        <v>306</v>
      </c>
      <c r="C553" s="101"/>
      <c r="D553" s="98"/>
      <c r="E553" s="101"/>
      <c r="F553" s="98"/>
      <c r="G553" s="101"/>
      <c r="H553" s="98"/>
      <c r="I553" s="101"/>
      <c r="J553" s="98"/>
      <c r="K553" s="101"/>
      <c r="L553" s="98"/>
      <c r="M553" s="101"/>
      <c r="N553" s="98"/>
      <c r="O553" s="101"/>
      <c r="P553" s="98"/>
      <c r="Q553" s="101"/>
      <c r="R553" s="98"/>
      <c r="S553" s="101"/>
      <c r="T553" s="98"/>
      <c r="U553" s="101"/>
      <c r="V553" s="98"/>
      <c r="W553" s="101"/>
      <c r="X553" s="98"/>
      <c r="Y553" s="101"/>
      <c r="Z553" s="98"/>
      <c r="AA553" s="101"/>
      <c r="AB553" s="98"/>
      <c r="AC553" s="101"/>
      <c r="AD553" s="98"/>
      <c r="AE553" s="101"/>
      <c r="AF553" s="98"/>
      <c r="AG553" s="101"/>
      <c r="AH553" s="98"/>
      <c r="AI553" s="101"/>
      <c r="AJ553" s="98"/>
      <c r="AK553" s="101"/>
      <c r="AL553" s="98"/>
      <c r="AM553" s="101"/>
      <c r="AN553" s="98"/>
      <c r="AO553" s="101"/>
      <c r="AP553" s="98"/>
      <c r="AQ553" s="101"/>
      <c r="AR553" s="98"/>
      <c r="AS553" s="101"/>
      <c r="AT553" s="98"/>
      <c r="AU553" s="101"/>
      <c r="AV553" s="98"/>
      <c r="AW553" s="101"/>
      <c r="AX553" s="98"/>
      <c r="AY553" s="101"/>
      <c r="AZ553" s="98"/>
      <c r="BA553" s="101"/>
      <c r="BB553" s="98"/>
      <c r="BC553" s="101"/>
      <c r="BD553" s="98"/>
      <c r="BE553" s="101"/>
      <c r="BF553" s="98"/>
      <c r="BG553" s="101"/>
      <c r="BH553" s="98"/>
      <c r="BI553" s="101"/>
      <c r="BJ553" s="98"/>
      <c r="BK553" s="101"/>
      <c r="BL553" s="98"/>
      <c r="BM553" s="101"/>
      <c r="BN553" s="98"/>
      <c r="BO553" s="178"/>
      <c r="BP553" s="175"/>
      <c r="BQ553" s="178"/>
      <c r="BR553" s="175"/>
      <c r="BS553" s="178"/>
      <c r="BT553" s="175"/>
      <c r="BU553" s="178"/>
      <c r="BV553" s="175"/>
      <c r="BW553" s="178"/>
      <c r="BX553" s="175"/>
      <c r="BY553" s="178"/>
      <c r="BZ553" s="175"/>
      <c r="CA553" s="178"/>
      <c r="CB553" s="98"/>
      <c r="CC553" s="101"/>
      <c r="CD553" s="98"/>
      <c r="CE553" s="101"/>
      <c r="CF553" s="98"/>
      <c r="CG553" s="101"/>
      <c r="CH553" s="98"/>
      <c r="CI553" s="101"/>
      <c r="CJ553" s="98"/>
      <c r="CK553" s="101"/>
      <c r="CL553" s="98"/>
      <c r="CM553" s="101"/>
      <c r="CN553" s="98"/>
      <c r="CO553" s="101"/>
      <c r="CP553" s="98"/>
      <c r="CQ553" s="542"/>
      <c r="CR553" s="98"/>
      <c r="CS553" s="101"/>
      <c r="CT553" s="98"/>
      <c r="CU553" s="101"/>
      <c r="CV553" s="98"/>
      <c r="CW553" s="101"/>
      <c r="CX553" s="98"/>
      <c r="CY553" s="101"/>
      <c r="CZ553" s="98"/>
      <c r="DA553" s="101"/>
      <c r="DB553" s="98"/>
      <c r="DC553" s="101"/>
      <c r="DD553" s="98"/>
      <c r="DE553" s="101"/>
      <c r="DF553" s="98"/>
      <c r="DG553" s="101"/>
      <c r="DH553" s="98"/>
      <c r="DI553" s="101"/>
      <c r="DJ553" s="98"/>
      <c r="DK553" s="101"/>
      <c r="DL553" s="98"/>
      <c r="DM553" s="101"/>
      <c r="DN553" s="98"/>
      <c r="DO553" s="101"/>
      <c r="DP553" s="98"/>
      <c r="DQ553" s="101"/>
      <c r="DR553" s="98"/>
      <c r="DS553" s="101"/>
      <c r="DT553" s="98"/>
      <c r="DU553" s="101"/>
      <c r="DV553" s="98"/>
      <c r="DW553" s="101"/>
      <c r="DX553" s="98"/>
      <c r="DY553" s="101"/>
      <c r="DZ553" s="98"/>
      <c r="EA553" s="101"/>
      <c r="EB553" s="98"/>
      <c r="EC553" s="101"/>
      <c r="ED553" s="98"/>
      <c r="EE553" s="101"/>
      <c r="EF553" s="860"/>
      <c r="EG553" s="101"/>
      <c r="EH553" s="860"/>
      <c r="EI553" s="101"/>
      <c r="EJ553" s="860"/>
      <c r="EK553" s="101"/>
      <c r="EL553" s="860" t="str">
        <f t="shared" si="3297"/>
        <v>NA</v>
      </c>
      <c r="EM553" s="101"/>
      <c r="EN553" s="860"/>
      <c r="EO553" s="101"/>
      <c r="EP553" s="98" t="str">
        <f t="shared" si="3298"/>
        <v>NA</v>
      </c>
      <c r="EQ553" s="1003"/>
      <c r="ER553" s="98" t="str">
        <f t="shared" si="3299"/>
        <v>NA</v>
      </c>
      <c r="ES553" s="1003"/>
      <c r="ET553" s="98" t="str">
        <f t="shared" si="3300"/>
        <v>NA</v>
      </c>
      <c r="EU553" s="1003"/>
      <c r="EV553" s="98" t="str">
        <f t="shared" si="3301"/>
        <v>NA</v>
      </c>
      <c r="EW553" s="1003"/>
      <c r="EX553" s="98" t="str">
        <f t="shared" si="3302"/>
        <v>NA</v>
      </c>
      <c r="EY553" s="119"/>
      <c r="EZ553" s="594"/>
      <c r="FA553" s="405"/>
      <c r="FB553" s="121">
        <v>986</v>
      </c>
      <c r="FC553" s="98"/>
      <c r="FD553" s="101">
        <v>940</v>
      </c>
      <c r="FE553" s="98">
        <f t="shared" si="3303"/>
        <v>-4.6653144016227222</v>
      </c>
      <c r="FF553" s="118">
        <f>C553+E553+G553+I553</f>
        <v>0</v>
      </c>
      <c r="FG553" s="98" t="str">
        <f t="shared" si="3304"/>
        <v>NM</v>
      </c>
      <c r="FH553" s="118">
        <f>K553+M553+O553+Q553</f>
        <v>0</v>
      </c>
      <c r="FI553" s="98" t="str">
        <f t="shared" si="3305"/>
        <v>NA</v>
      </c>
      <c r="FJ553" s="118">
        <f>S553+U553+W553+Y553</f>
        <v>0</v>
      </c>
      <c r="FK553" s="98" t="str">
        <f t="shared" si="3306"/>
        <v>NA</v>
      </c>
      <c r="FL553" s="118">
        <f>AA553+AC553+AE553+AG553</f>
        <v>0</v>
      </c>
      <c r="FM553" s="98" t="str">
        <f t="shared" si="3307"/>
        <v>NA</v>
      </c>
      <c r="FN553" s="118">
        <f>AI553+AK553+AM553+AO553</f>
        <v>0</v>
      </c>
      <c r="FO553" s="98" t="str">
        <f t="shared" si="3308"/>
        <v>NA</v>
      </c>
      <c r="FP553" s="118">
        <f>AQ553+AS553+AU553+AW553</f>
        <v>0</v>
      </c>
      <c r="FQ553" s="98" t="str">
        <f t="shared" si="3309"/>
        <v>NA</v>
      </c>
      <c r="FR553" s="119">
        <f>AY553+BA553+BC553+BE553</f>
        <v>0</v>
      </c>
      <c r="FS553" s="120" t="str">
        <f t="shared" si="3310"/>
        <v>NA</v>
      </c>
      <c r="FT553" s="119">
        <f>BG553+BI553+BK553+BM553</f>
        <v>0</v>
      </c>
      <c r="FU553" s="120" t="str">
        <f t="shared" si="3311"/>
        <v>NA</v>
      </c>
      <c r="FV553" s="121">
        <v>1337</v>
      </c>
      <c r="FW553" s="98" t="str">
        <f t="shared" si="3312"/>
        <v>NA</v>
      </c>
      <c r="FX553" s="485">
        <f>BW553+BY553+CA553+CC553</f>
        <v>0</v>
      </c>
      <c r="FY553" s="98" t="str">
        <f t="shared" si="3313"/>
        <v>NM</v>
      </c>
      <c r="FZ553" s="119">
        <f>CE553+CG553+CI553+CK553</f>
        <v>0</v>
      </c>
      <c r="GA553" s="98" t="str">
        <f t="shared" si="3314"/>
        <v>NA</v>
      </c>
      <c r="GB553" s="485">
        <f>CM553+CO553+CQ553+CS553</f>
        <v>0</v>
      </c>
      <c r="GC553" s="98" t="str">
        <f t="shared" si="3315"/>
        <v>NA</v>
      </c>
      <c r="GD553" s="119">
        <f>CU553+CW553+CY553+DA553</f>
        <v>0</v>
      </c>
      <c r="GE553" s="98" t="str">
        <f t="shared" si="3316"/>
        <v>NA</v>
      </c>
      <c r="GF553" s="119">
        <f>DC553+DE553+DG553+DI553</f>
        <v>0</v>
      </c>
      <c r="GG553" s="98" t="str">
        <f t="shared" si="3317"/>
        <v>NA</v>
      </c>
      <c r="GH553" s="119">
        <f>DK553+DM553+DO553+DQ553</f>
        <v>0</v>
      </c>
      <c r="GI553" s="98" t="str">
        <f t="shared" si="3318"/>
        <v>NA</v>
      </c>
      <c r="GJ553" s="119">
        <f>DS553+DU553+DW553+DY553</f>
        <v>0</v>
      </c>
      <c r="GK553" s="98" t="str">
        <f t="shared" si="3318"/>
        <v>NA</v>
      </c>
      <c r="GL553" s="119">
        <f>EA553+EC553+EE553+EG553</f>
        <v>0</v>
      </c>
      <c r="GM553" s="98" t="str">
        <f t="shared" si="3318"/>
        <v>NA</v>
      </c>
      <c r="GN553" s="119">
        <f>EI553+EK553+EM553+EO553</f>
        <v>0</v>
      </c>
      <c r="GO553" s="98" t="str">
        <f t="shared" si="3318"/>
        <v>NA</v>
      </c>
      <c r="GP553" s="119"/>
      <c r="GQ553" s="98" t="str">
        <f t="shared" si="3318"/>
        <v>NA</v>
      </c>
      <c r="GR553" s="119"/>
      <c r="GS553" s="98" t="str">
        <f t="shared" si="3318"/>
        <v>NA</v>
      </c>
      <c r="GT553" s="119"/>
      <c r="GU553" s="98"/>
      <c r="GV553" s="119"/>
      <c r="GW553" s="98" t="str">
        <f t="shared" si="3318"/>
        <v>NA</v>
      </c>
      <c r="GX553" s="119"/>
      <c r="GY553" s="98" t="str">
        <f t="shared" si="3319"/>
        <v>NA</v>
      </c>
      <c r="GZ553" s="98" t="str">
        <f t="shared" si="3320"/>
        <v>NA</v>
      </c>
      <c r="HA553" s="98"/>
      <c r="HB553" s="10"/>
      <c r="HC553"/>
      <c r="HD553"/>
      <c r="HE553"/>
      <c r="HF553"/>
      <c r="HG553"/>
      <c r="HH553"/>
      <c r="HI553" s="10"/>
    </row>
    <row r="554" spans="1:217" s="2" customFormat="1" ht="12.75" hidden="1" customHeight="1" outlineLevel="1" x14ac:dyDescent="0.2">
      <c r="B554" s="179" t="s">
        <v>535</v>
      </c>
      <c r="C554" s="117"/>
      <c r="D554" s="98"/>
      <c r="E554" s="117"/>
      <c r="F554" s="98"/>
      <c r="G554" s="117"/>
      <c r="H554" s="98"/>
      <c r="I554" s="117"/>
      <c r="J554" s="98"/>
      <c r="K554" s="117"/>
      <c r="L554" s="98"/>
      <c r="M554" s="117"/>
      <c r="N554" s="98"/>
      <c r="O554" s="117"/>
      <c r="P554" s="98"/>
      <c r="Q554" s="117"/>
      <c r="R554" s="98"/>
      <c r="S554" s="117"/>
      <c r="T554" s="98"/>
      <c r="U554" s="117"/>
      <c r="V554" s="98"/>
      <c r="W554" s="117"/>
      <c r="X554" s="98"/>
      <c r="Y554" s="117"/>
      <c r="Z554" s="98"/>
      <c r="AA554" s="117"/>
      <c r="AB554" s="98"/>
      <c r="AC554" s="117"/>
      <c r="AD554" s="98"/>
      <c r="AE554" s="117"/>
      <c r="AF554" s="98"/>
      <c r="AG554" s="117"/>
      <c r="AH554" s="98"/>
      <c r="AI554" s="117"/>
      <c r="AJ554" s="98"/>
      <c r="AK554" s="117"/>
      <c r="AL554" s="98"/>
      <c r="AM554" s="117"/>
      <c r="AN554" s="98"/>
      <c r="AO554" s="117"/>
      <c r="AP554" s="98"/>
      <c r="AQ554" s="117"/>
      <c r="AR554" s="98"/>
      <c r="AS554" s="117"/>
      <c r="AT554" s="98"/>
      <c r="AU554" s="117"/>
      <c r="AV554" s="98"/>
      <c r="AW554" s="117"/>
      <c r="AX554" s="98"/>
      <c r="AY554" s="117"/>
      <c r="AZ554" s="98"/>
      <c r="BA554" s="117"/>
      <c r="BB554" s="98"/>
      <c r="BC554" s="117"/>
      <c r="BD554" s="98"/>
      <c r="BE554" s="117"/>
      <c r="BF554" s="98"/>
      <c r="BG554" s="117"/>
      <c r="BH554" s="98"/>
      <c r="BI554" s="117"/>
      <c r="BJ554" s="98"/>
      <c r="BK554" s="117"/>
      <c r="BL554" s="98"/>
      <c r="BM554" s="117"/>
      <c r="BN554" s="98"/>
      <c r="BO554" s="180"/>
      <c r="BP554" s="175"/>
      <c r="BQ554" s="180"/>
      <c r="BR554" s="175"/>
      <c r="BS554" s="180"/>
      <c r="BT554" s="175"/>
      <c r="BU554" s="180"/>
      <c r="BV554" s="175"/>
      <c r="BW554" s="180"/>
      <c r="BX554" s="175"/>
      <c r="BY554" s="180"/>
      <c r="BZ554" s="175"/>
      <c r="CA554" s="180"/>
      <c r="CB554" s="98"/>
      <c r="CC554" s="117"/>
      <c r="CD554" s="98"/>
      <c r="CE554" s="117"/>
      <c r="CF554" s="98"/>
      <c r="CG554" s="117"/>
      <c r="CH554" s="98"/>
      <c r="CI554" s="117"/>
      <c r="CJ554" s="98"/>
      <c r="CK554" s="117"/>
      <c r="CL554" s="98"/>
      <c r="CM554" s="117"/>
      <c r="CN554" s="98"/>
      <c r="CO554" s="117"/>
      <c r="CP554" s="98"/>
      <c r="CQ554" s="486"/>
      <c r="CR554" s="98"/>
      <c r="CS554" s="117"/>
      <c r="CT554" s="98"/>
      <c r="CU554" s="117"/>
      <c r="CV554" s="98"/>
      <c r="CW554" s="117"/>
      <c r="CX554" s="98"/>
      <c r="CY554" s="117"/>
      <c r="CZ554" s="98"/>
      <c r="DA554" s="117"/>
      <c r="DB554" s="98"/>
      <c r="DC554" s="117"/>
      <c r="DD554" s="98"/>
      <c r="DE554" s="117"/>
      <c r="DF554" s="98"/>
      <c r="DG554" s="117"/>
      <c r="DH554" s="98"/>
      <c r="DI554" s="117"/>
      <c r="DJ554" s="98"/>
      <c r="DK554" s="117"/>
      <c r="DL554" s="98"/>
      <c r="DM554" s="117"/>
      <c r="DN554" s="98"/>
      <c r="DO554" s="117"/>
      <c r="DP554" s="98"/>
      <c r="DQ554" s="117"/>
      <c r="DR554" s="98"/>
      <c r="DS554" s="117"/>
      <c r="DT554" s="98"/>
      <c r="DU554" s="117"/>
      <c r="DV554" s="98"/>
      <c r="DW554" s="117"/>
      <c r="DX554" s="98"/>
      <c r="DY554" s="117"/>
      <c r="DZ554" s="98"/>
      <c r="EA554" s="117"/>
      <c r="EB554" s="98"/>
      <c r="EC554" s="117"/>
      <c r="ED554" s="98"/>
      <c r="EE554" s="117"/>
      <c r="EF554" s="860"/>
      <c r="EG554" s="117"/>
      <c r="EH554" s="860"/>
      <c r="EI554" s="117"/>
      <c r="EJ554" s="860"/>
      <c r="EK554" s="117"/>
      <c r="EL554" s="860" t="str">
        <f t="shared" si="3297"/>
        <v>NA</v>
      </c>
      <c r="EM554" s="117"/>
      <c r="EN554" s="860"/>
      <c r="EO554" s="117"/>
      <c r="EP554" s="98" t="str">
        <f t="shared" si="3298"/>
        <v>NA</v>
      </c>
      <c r="EQ554" s="1003"/>
      <c r="ER554" s="98" t="str">
        <f t="shared" si="3299"/>
        <v>NA</v>
      </c>
      <c r="ES554" s="1003"/>
      <c r="ET554" s="98" t="str">
        <f t="shared" si="3300"/>
        <v>NA</v>
      </c>
      <c r="EU554" s="1003"/>
      <c r="EV554" s="98" t="str">
        <f t="shared" si="3301"/>
        <v>NA</v>
      </c>
      <c r="EW554" s="1003"/>
      <c r="EX554" s="98" t="str">
        <f t="shared" si="3302"/>
        <v>NA</v>
      </c>
      <c r="EY554" s="118"/>
      <c r="EZ554" s="594"/>
      <c r="FA554" s="405"/>
      <c r="FB554" s="118">
        <f>FB552-FB553</f>
        <v>597</v>
      </c>
      <c r="FC554" s="98"/>
      <c r="FD554" s="117">
        <f>FD552-FD553</f>
        <v>598</v>
      </c>
      <c r="FE554" s="98">
        <f t="shared" si="3303"/>
        <v>0.16750418760469454</v>
      </c>
      <c r="FF554" s="118">
        <f>FF552-FF553</f>
        <v>0</v>
      </c>
      <c r="FG554" s="98" t="str">
        <f t="shared" si="3304"/>
        <v>NM</v>
      </c>
      <c r="FH554" s="118">
        <f>FH552-FH553</f>
        <v>0</v>
      </c>
      <c r="FI554" s="98" t="str">
        <f t="shared" si="3305"/>
        <v>NA</v>
      </c>
      <c r="FJ554" s="118">
        <f>FJ552-FJ553</f>
        <v>0</v>
      </c>
      <c r="FK554" s="98" t="str">
        <f t="shared" si="3306"/>
        <v>NA</v>
      </c>
      <c r="FL554" s="118">
        <f>FL552-FL553</f>
        <v>0</v>
      </c>
      <c r="FM554" s="98" t="str">
        <f t="shared" si="3307"/>
        <v>NA</v>
      </c>
      <c r="FN554" s="118">
        <f>FN552-FN553</f>
        <v>0</v>
      </c>
      <c r="FO554" s="98" t="str">
        <f t="shared" si="3308"/>
        <v>NA</v>
      </c>
      <c r="FP554" s="118">
        <f>FP552-FP553</f>
        <v>0</v>
      </c>
      <c r="FQ554" s="98" t="str">
        <f t="shared" si="3309"/>
        <v>NA</v>
      </c>
      <c r="FR554" s="119">
        <f>FR552-FR553</f>
        <v>0</v>
      </c>
      <c r="FS554" s="120" t="str">
        <f t="shared" si="3310"/>
        <v>NA</v>
      </c>
      <c r="FT554" s="119">
        <f>FT552-FT553</f>
        <v>0</v>
      </c>
      <c r="FU554" s="120" t="str">
        <f t="shared" si="3311"/>
        <v>NA</v>
      </c>
      <c r="FV554" s="119">
        <f>FV552-FV553</f>
        <v>1028</v>
      </c>
      <c r="FW554" s="98" t="str">
        <f t="shared" si="3312"/>
        <v>NA</v>
      </c>
      <c r="FX554" s="485">
        <f>FX552-FX553</f>
        <v>0</v>
      </c>
      <c r="FY554" s="98" t="str">
        <f t="shared" si="3313"/>
        <v>NM</v>
      </c>
      <c r="FZ554" s="119">
        <f>FZ552-FZ553</f>
        <v>0</v>
      </c>
      <c r="GA554" s="98" t="str">
        <f t="shared" si="3314"/>
        <v>NA</v>
      </c>
      <c r="GB554" s="485">
        <f>GB552-GB553</f>
        <v>0</v>
      </c>
      <c r="GC554" s="98" t="str">
        <f t="shared" si="3315"/>
        <v>NA</v>
      </c>
      <c r="GD554" s="119">
        <f>GD552-GD553</f>
        <v>0</v>
      </c>
      <c r="GE554" s="98" t="str">
        <f t="shared" si="3316"/>
        <v>NA</v>
      </c>
      <c r="GF554" s="119">
        <f>GF552-GF553</f>
        <v>0</v>
      </c>
      <c r="GG554" s="98" t="str">
        <f t="shared" si="3317"/>
        <v>NA</v>
      </c>
      <c r="GH554" s="119">
        <f>GH552-GH553</f>
        <v>0</v>
      </c>
      <c r="GI554" s="98" t="str">
        <f t="shared" si="3318"/>
        <v>NA</v>
      </c>
      <c r="GJ554" s="119">
        <f>GJ552-GJ553</f>
        <v>0</v>
      </c>
      <c r="GK554" s="98" t="str">
        <f t="shared" si="3318"/>
        <v>NA</v>
      </c>
      <c r="GL554" s="119">
        <f>GL552-GL553</f>
        <v>0</v>
      </c>
      <c r="GM554" s="98" t="str">
        <f t="shared" si="3318"/>
        <v>NA</v>
      </c>
      <c r="GN554" s="119">
        <f>GN552-GN553</f>
        <v>0</v>
      </c>
      <c r="GO554" s="98" t="str">
        <f t="shared" si="3318"/>
        <v>NA</v>
      </c>
      <c r="GP554" s="119"/>
      <c r="GQ554" s="98" t="str">
        <f t="shared" si="3318"/>
        <v>NA</v>
      </c>
      <c r="GR554" s="118"/>
      <c r="GS554" s="98" t="str">
        <f t="shared" si="3318"/>
        <v>NA</v>
      </c>
      <c r="GT554" s="118"/>
      <c r="GU554" s="98"/>
      <c r="GV554" s="118"/>
      <c r="GW554" s="98" t="str">
        <f t="shared" si="3318"/>
        <v>NA</v>
      </c>
      <c r="GX554" s="118"/>
      <c r="GY554" s="98" t="str">
        <f t="shared" si="3319"/>
        <v>NA</v>
      </c>
      <c r="GZ554" s="98" t="str">
        <f t="shared" si="3320"/>
        <v>NA</v>
      </c>
      <c r="HA554" s="98"/>
      <c r="HB554" s="10"/>
      <c r="HC554"/>
      <c r="HD554"/>
      <c r="HE554"/>
      <c r="HF554"/>
      <c r="HG554"/>
      <c r="HH554"/>
      <c r="HI554" s="10"/>
    </row>
    <row r="555" spans="1:217" s="2" customFormat="1" ht="12.75" hidden="1" customHeight="1" outlineLevel="1" x14ac:dyDescent="0.2">
      <c r="B555" s="91" t="s">
        <v>537</v>
      </c>
      <c r="C555" s="122"/>
      <c r="D555" s="98"/>
      <c r="E555" s="122"/>
      <c r="F555" s="98"/>
      <c r="G555" s="122"/>
      <c r="H555" s="98"/>
      <c r="I555" s="122"/>
      <c r="J555" s="98"/>
      <c r="K555" s="122"/>
      <c r="L555" s="98"/>
      <c r="M555" s="122"/>
      <c r="N555" s="98"/>
      <c r="O555" s="122"/>
      <c r="P555" s="98"/>
      <c r="Q555" s="122"/>
      <c r="R555" s="98"/>
      <c r="S555" s="122"/>
      <c r="T555" s="98"/>
      <c r="U555" s="122"/>
      <c r="V555" s="98"/>
      <c r="W555" s="122"/>
      <c r="X555" s="98"/>
      <c r="Y555" s="122"/>
      <c r="Z555" s="98"/>
      <c r="AA555" s="122"/>
      <c r="AB555" s="98"/>
      <c r="AC555" s="122"/>
      <c r="AD555" s="98"/>
      <c r="AE555" s="122"/>
      <c r="AF555" s="98"/>
      <c r="AG555" s="122"/>
      <c r="AH555" s="98"/>
      <c r="AI555" s="122"/>
      <c r="AJ555" s="98"/>
      <c r="AK555" s="122"/>
      <c r="AL555" s="98"/>
      <c r="AM555" s="122"/>
      <c r="AN555" s="98"/>
      <c r="AO555" s="122"/>
      <c r="AP555" s="98"/>
      <c r="AQ555" s="122"/>
      <c r="AR555" s="98"/>
      <c r="AS555" s="122"/>
      <c r="AT555" s="98"/>
      <c r="AU555" s="122"/>
      <c r="AV555" s="98"/>
      <c r="AW555" s="122"/>
      <c r="AX555" s="98"/>
      <c r="AY555" s="122"/>
      <c r="AZ555" s="98"/>
      <c r="BA555" s="122"/>
      <c r="BB555" s="98"/>
      <c r="BC555" s="122"/>
      <c r="BD555" s="98"/>
      <c r="BE555" s="122"/>
      <c r="BF555" s="98"/>
      <c r="BG555" s="122"/>
      <c r="BH555" s="98"/>
      <c r="BI555" s="122"/>
      <c r="BJ555" s="98"/>
      <c r="BK555" s="122"/>
      <c r="BL555" s="98"/>
      <c r="BM555" s="122"/>
      <c r="BN555" s="98"/>
      <c r="BO555" s="174"/>
      <c r="BP555" s="175"/>
      <c r="BQ555" s="174"/>
      <c r="BR555" s="175"/>
      <c r="BS555" s="174"/>
      <c r="BT555" s="175"/>
      <c r="BU555" s="174"/>
      <c r="BV555" s="175"/>
      <c r="BW555" s="174"/>
      <c r="BX555" s="175"/>
      <c r="BY555" s="174"/>
      <c r="BZ555" s="175"/>
      <c r="CA555" s="174"/>
      <c r="CB555" s="98"/>
      <c r="CC555" s="122"/>
      <c r="CD555" s="98"/>
      <c r="CE555" s="122"/>
      <c r="CF555" s="98"/>
      <c r="CG555" s="122"/>
      <c r="CH555" s="98"/>
      <c r="CI555" s="122"/>
      <c r="CJ555" s="98"/>
      <c r="CK555" s="122"/>
      <c r="CL555" s="98"/>
      <c r="CM555" s="122"/>
      <c r="CN555" s="98"/>
      <c r="CO555" s="122"/>
      <c r="CP555" s="98"/>
      <c r="CQ555" s="547"/>
      <c r="CR555" s="98"/>
      <c r="CS555" s="122"/>
      <c r="CT555" s="98"/>
      <c r="CU555" s="122"/>
      <c r="CV555" s="98"/>
      <c r="CW555" s="122"/>
      <c r="CX555" s="98"/>
      <c r="CY555" s="122"/>
      <c r="CZ555" s="98"/>
      <c r="DA555" s="122"/>
      <c r="DB555" s="98"/>
      <c r="DC555" s="122"/>
      <c r="DD555" s="98"/>
      <c r="DE555" s="122"/>
      <c r="DF555" s="98"/>
      <c r="DG555" s="122"/>
      <c r="DH555" s="98"/>
      <c r="DI555" s="122"/>
      <c r="DJ555" s="98"/>
      <c r="DK555" s="122"/>
      <c r="DL555" s="98"/>
      <c r="DM555" s="122"/>
      <c r="DN555" s="98"/>
      <c r="DO555" s="122"/>
      <c r="DP555" s="98"/>
      <c r="DQ555" s="122"/>
      <c r="DR555" s="98"/>
      <c r="DS555" s="122"/>
      <c r="DT555" s="98"/>
      <c r="DU555" s="122"/>
      <c r="DV555" s="98"/>
      <c r="DW555" s="122"/>
      <c r="DX555" s="98"/>
      <c r="DY555" s="122"/>
      <c r="DZ555" s="98"/>
      <c r="EA555" s="122"/>
      <c r="EB555" s="98"/>
      <c r="EC555" s="122"/>
      <c r="ED555" s="98"/>
      <c r="EE555" s="122"/>
      <c r="EF555" s="860"/>
      <c r="EG555" s="122"/>
      <c r="EH555" s="860"/>
      <c r="EI555" s="122"/>
      <c r="EJ555" s="860"/>
      <c r="EK555" s="122"/>
      <c r="EL555" s="860" t="str">
        <f t="shared" si="3297"/>
        <v>NA</v>
      </c>
      <c r="EM555" s="122"/>
      <c r="EN555" s="860"/>
      <c r="EO555" s="122"/>
      <c r="EP555" s="98" t="str">
        <f t="shared" si="3298"/>
        <v>NA</v>
      </c>
      <c r="EQ555" s="950"/>
      <c r="ER555" s="98" t="str">
        <f t="shared" si="3299"/>
        <v>NA</v>
      </c>
      <c r="ES555" s="950"/>
      <c r="ET555" s="98" t="str">
        <f t="shared" si="3300"/>
        <v>NA</v>
      </c>
      <c r="EU555" s="950"/>
      <c r="EV555" s="98" t="str">
        <f t="shared" si="3301"/>
        <v>NA</v>
      </c>
      <c r="EW555" s="950"/>
      <c r="EX555" s="98" t="str">
        <f t="shared" si="3302"/>
        <v>NA</v>
      </c>
      <c r="EY555" s="101"/>
      <c r="EZ555" s="594"/>
      <c r="FA555" s="405"/>
      <c r="FB555" s="177">
        <v>37</v>
      </c>
      <c r="FC555" s="98"/>
      <c r="FD555" s="122">
        <v>37</v>
      </c>
      <c r="FE555" s="98">
        <f t="shared" si="3303"/>
        <v>0</v>
      </c>
      <c r="FF555" s="118">
        <f>C555+E555+G555+I555</f>
        <v>0</v>
      </c>
      <c r="FG555" s="98" t="str">
        <f t="shared" si="3304"/>
        <v>NM</v>
      </c>
      <c r="FH555" s="118">
        <f>K555+M555+O555+Q555</f>
        <v>0</v>
      </c>
      <c r="FI555" s="98" t="str">
        <f t="shared" si="3305"/>
        <v>NA</v>
      </c>
      <c r="FJ555" s="118">
        <f>S555+U555+W555+Y555</f>
        <v>0</v>
      </c>
      <c r="FK555" s="98" t="str">
        <f t="shared" si="3306"/>
        <v>NA</v>
      </c>
      <c r="FL555" s="118">
        <f>AA555+AC555+AE555+AG555</f>
        <v>0</v>
      </c>
      <c r="FM555" s="98" t="str">
        <f t="shared" si="3307"/>
        <v>NA</v>
      </c>
      <c r="FN555" s="118">
        <f>AI555+AK555+AM555+AO555</f>
        <v>0</v>
      </c>
      <c r="FO555" s="98" t="str">
        <f t="shared" si="3308"/>
        <v>NA</v>
      </c>
      <c r="FP555" s="118">
        <f>AQ555+AS555+AU555+AW555</f>
        <v>0</v>
      </c>
      <c r="FQ555" s="98" t="str">
        <f t="shared" si="3309"/>
        <v>NA</v>
      </c>
      <c r="FR555" s="100">
        <f>AY555+BA555+BC555+BE555</f>
        <v>0</v>
      </c>
      <c r="FS555" s="120" t="str">
        <f t="shared" si="3310"/>
        <v>NA</v>
      </c>
      <c r="FT555" s="100">
        <f>BG555+BI555+BK555+BM555</f>
        <v>0</v>
      </c>
      <c r="FU555" s="120" t="str">
        <f t="shared" si="3311"/>
        <v>NA</v>
      </c>
      <c r="FV555" s="101">
        <v>168</v>
      </c>
      <c r="FW555" s="98" t="str">
        <f t="shared" si="3312"/>
        <v>NA</v>
      </c>
      <c r="FX555" s="485">
        <f>BW555+BY555+CA555+CC555</f>
        <v>0</v>
      </c>
      <c r="FY555" s="98" t="str">
        <f t="shared" si="3313"/>
        <v>NM</v>
      </c>
      <c r="FZ555" s="119">
        <f>CE555+CG555+CI555+CK555</f>
        <v>0</v>
      </c>
      <c r="GA555" s="98" t="str">
        <f t="shared" si="3314"/>
        <v>NA</v>
      </c>
      <c r="GB555" s="485">
        <f>CM555+CO555+CQ555+CS555</f>
        <v>0</v>
      </c>
      <c r="GC555" s="98" t="str">
        <f t="shared" si="3315"/>
        <v>NA</v>
      </c>
      <c r="GD555" s="119">
        <f>CU555+CW555+CY555+DA555</f>
        <v>0</v>
      </c>
      <c r="GE555" s="98" t="str">
        <f t="shared" si="3316"/>
        <v>NA</v>
      </c>
      <c r="GF555" s="119">
        <f>DC555+DE555+DG555+DI555</f>
        <v>0</v>
      </c>
      <c r="GG555" s="98" t="str">
        <f t="shared" si="3317"/>
        <v>NA</v>
      </c>
      <c r="GH555" s="119">
        <f>DK555+DM555+DO555+DQ555</f>
        <v>0</v>
      </c>
      <c r="GI555" s="98" t="str">
        <f t="shared" si="3318"/>
        <v>NA</v>
      </c>
      <c r="GJ555" s="119">
        <f>DS555+DU555+DW555+DY555</f>
        <v>0</v>
      </c>
      <c r="GK555" s="98" t="str">
        <f t="shared" si="3318"/>
        <v>NA</v>
      </c>
      <c r="GL555" s="119">
        <f>EA555+EC555+EE555+EG555</f>
        <v>0</v>
      </c>
      <c r="GM555" s="98" t="str">
        <f t="shared" si="3318"/>
        <v>NA</v>
      </c>
      <c r="GN555" s="119">
        <f>EI555+EK555+EM555+EO555</f>
        <v>0</v>
      </c>
      <c r="GO555" s="98" t="str">
        <f t="shared" si="3318"/>
        <v>NA</v>
      </c>
      <c r="GP555" s="119"/>
      <c r="GQ555" s="98" t="str">
        <f t="shared" si="3318"/>
        <v>NA</v>
      </c>
      <c r="GR555" s="101"/>
      <c r="GS555" s="98" t="str">
        <f t="shared" si="3318"/>
        <v>NA</v>
      </c>
      <c r="GT555" s="101"/>
      <c r="GU555" s="98"/>
      <c r="GV555" s="101"/>
      <c r="GW555" s="98" t="str">
        <f t="shared" si="3318"/>
        <v>NA</v>
      </c>
      <c r="GX555" s="101"/>
      <c r="GY555" s="98" t="str">
        <f t="shared" si="3319"/>
        <v>NA</v>
      </c>
      <c r="GZ555" s="98" t="str">
        <f t="shared" si="3320"/>
        <v>NA</v>
      </c>
      <c r="HA555" s="98"/>
      <c r="HB555" s="10"/>
      <c r="HC555"/>
      <c r="HD555"/>
      <c r="HE555"/>
      <c r="HF555"/>
      <c r="HG555"/>
      <c r="HH555"/>
      <c r="HI555" s="10"/>
    </row>
    <row r="556" spans="1:217" s="2" customFormat="1" ht="12.75" hidden="1" customHeight="1" outlineLevel="1" x14ac:dyDescent="0.2">
      <c r="A556" s="2" t="s">
        <v>216</v>
      </c>
      <c r="B556" s="131" t="s">
        <v>538</v>
      </c>
      <c r="C556" s="182"/>
      <c r="D556" s="98"/>
      <c r="E556" s="182"/>
      <c r="F556" s="98"/>
      <c r="G556" s="182"/>
      <c r="H556" s="98"/>
      <c r="I556" s="182"/>
      <c r="J556" s="98"/>
      <c r="K556" s="182"/>
      <c r="L556" s="98"/>
      <c r="M556" s="182"/>
      <c r="N556" s="98"/>
      <c r="O556" s="182"/>
      <c r="P556" s="98"/>
      <c r="Q556" s="182"/>
      <c r="R556" s="98"/>
      <c r="S556" s="182"/>
      <c r="T556" s="98"/>
      <c r="U556" s="182"/>
      <c r="V556" s="98"/>
      <c r="W556" s="182"/>
      <c r="X556" s="98"/>
      <c r="Y556" s="182"/>
      <c r="Z556" s="98"/>
      <c r="AA556" s="182"/>
      <c r="AB556" s="98"/>
      <c r="AC556" s="182"/>
      <c r="AD556" s="98"/>
      <c r="AE556" s="182"/>
      <c r="AF556" s="98"/>
      <c r="AG556" s="182"/>
      <c r="AH556" s="98"/>
      <c r="AI556" s="182"/>
      <c r="AJ556" s="98"/>
      <c r="AK556" s="182"/>
      <c r="AL556" s="98"/>
      <c r="AM556" s="182"/>
      <c r="AN556" s="98"/>
      <c r="AO556" s="182"/>
      <c r="AP556" s="98"/>
      <c r="AQ556" s="182"/>
      <c r="AR556" s="98"/>
      <c r="AS556" s="182"/>
      <c r="AT556" s="98"/>
      <c r="AU556" s="182"/>
      <c r="AV556" s="98"/>
      <c r="AW556" s="182"/>
      <c r="AX556" s="98"/>
      <c r="AY556" s="182"/>
      <c r="AZ556" s="98"/>
      <c r="BA556" s="182"/>
      <c r="BB556" s="98"/>
      <c r="BC556" s="182"/>
      <c r="BD556" s="98"/>
      <c r="BE556" s="182"/>
      <c r="BF556" s="98"/>
      <c r="BG556" s="182"/>
      <c r="BH556" s="98"/>
      <c r="BI556" s="182"/>
      <c r="BJ556" s="98"/>
      <c r="BK556" s="182"/>
      <c r="BL556" s="98"/>
      <c r="BM556" s="182"/>
      <c r="BN556" s="98"/>
      <c r="BO556" s="182"/>
      <c r="BP556" s="98"/>
      <c r="BQ556" s="182"/>
      <c r="BR556" s="98"/>
      <c r="BS556" s="182"/>
      <c r="BT556" s="98"/>
      <c r="BU556" s="182"/>
      <c r="BV556" s="98"/>
      <c r="BW556" s="182"/>
      <c r="BX556" s="98"/>
      <c r="BY556" s="182"/>
      <c r="BZ556" s="98"/>
      <c r="CA556" s="182"/>
      <c r="CB556" s="98"/>
      <c r="CC556" s="182"/>
      <c r="CD556" s="98"/>
      <c r="CE556" s="182"/>
      <c r="CF556" s="98"/>
      <c r="CG556" s="182"/>
      <c r="CH556" s="98"/>
      <c r="CI556" s="182"/>
      <c r="CJ556" s="98"/>
      <c r="CK556" s="182"/>
      <c r="CL556" s="98"/>
      <c r="CM556" s="182"/>
      <c r="CN556" s="98"/>
      <c r="CO556" s="182"/>
      <c r="CP556" s="98"/>
      <c r="CQ556" s="512"/>
      <c r="CR556" s="98"/>
      <c r="CS556" s="182"/>
      <c r="CT556" s="98"/>
      <c r="CU556" s="182"/>
      <c r="CV556" s="98"/>
      <c r="CW556" s="182"/>
      <c r="CX556" s="98"/>
      <c r="CY556" s="182"/>
      <c r="CZ556" s="98"/>
      <c r="DA556" s="182"/>
      <c r="DB556" s="98"/>
      <c r="DC556" s="182"/>
      <c r="DD556" s="98"/>
      <c r="DE556" s="182"/>
      <c r="DF556" s="98"/>
      <c r="DG556" s="182"/>
      <c r="DH556" s="98"/>
      <c r="DI556" s="182"/>
      <c r="DJ556" s="98"/>
      <c r="DK556" s="182"/>
      <c r="DL556" s="98"/>
      <c r="DM556" s="182"/>
      <c r="DN556" s="98"/>
      <c r="DO556" s="182"/>
      <c r="DP556" s="98"/>
      <c r="DQ556" s="182"/>
      <c r="DR556" s="98"/>
      <c r="DS556" s="182"/>
      <c r="DT556" s="98"/>
      <c r="DU556" s="182"/>
      <c r="DV556" s="98"/>
      <c r="DW556" s="182"/>
      <c r="DX556" s="98"/>
      <c r="DY556" s="182"/>
      <c r="DZ556" s="98"/>
      <c r="EA556" s="182"/>
      <c r="EB556" s="98"/>
      <c r="EC556" s="182"/>
      <c r="ED556" s="98"/>
      <c r="EE556" s="182"/>
      <c r="EF556" s="860"/>
      <c r="EG556" s="182"/>
      <c r="EH556" s="860"/>
      <c r="EI556" s="182"/>
      <c r="EJ556" s="860"/>
      <c r="EK556" s="182"/>
      <c r="EL556" s="860" t="str">
        <f t="shared" si="3297"/>
        <v>NA</v>
      </c>
      <c r="EM556" s="182"/>
      <c r="EN556" s="860"/>
      <c r="EO556" s="182"/>
      <c r="EP556" s="98" t="str">
        <f t="shared" si="3298"/>
        <v>NA</v>
      </c>
      <c r="EQ556" s="795"/>
      <c r="ER556" s="98" t="str">
        <f t="shared" si="3299"/>
        <v>NA</v>
      </c>
      <c r="ES556" s="795"/>
      <c r="ET556" s="98" t="str">
        <f t="shared" si="3300"/>
        <v>NA</v>
      </c>
      <c r="EU556" s="795"/>
      <c r="EV556" s="98" t="str">
        <f t="shared" si="3301"/>
        <v>NA</v>
      </c>
      <c r="EW556" s="795"/>
      <c r="EX556" s="98" t="str">
        <f t="shared" si="3302"/>
        <v>NA</v>
      </c>
      <c r="EY556" s="183"/>
      <c r="EZ556" s="594"/>
      <c r="FA556" s="405"/>
      <c r="FB556" s="183">
        <f>+FB555+FB552+FB551+FB550</f>
        <v>1961</v>
      </c>
      <c r="FC556" s="98"/>
      <c r="FD556" s="182">
        <f>+FD555+FD552+FD551+FD550</f>
        <v>1966</v>
      </c>
      <c r="FE556" s="98">
        <f t="shared" si="3303"/>
        <v>0.25497195308517018</v>
      </c>
      <c r="FF556" s="183">
        <f>+FF555+FF552+FF551+FF550</f>
        <v>0</v>
      </c>
      <c r="FG556" s="98" t="str">
        <f t="shared" si="3304"/>
        <v>NM</v>
      </c>
      <c r="FH556" s="183">
        <f>+FH555+FH552+FH551+FH550</f>
        <v>0</v>
      </c>
      <c r="FI556" s="98" t="str">
        <f t="shared" si="3305"/>
        <v>NA</v>
      </c>
      <c r="FJ556" s="183">
        <f>+FJ555+FJ552+FJ551+FJ550</f>
        <v>0</v>
      </c>
      <c r="FK556" s="98" t="str">
        <f t="shared" si="3306"/>
        <v>NA</v>
      </c>
      <c r="FL556" s="183">
        <f>+FL555+FL552+FL551+FL550</f>
        <v>0</v>
      </c>
      <c r="FM556" s="98" t="str">
        <f t="shared" si="3307"/>
        <v>NA</v>
      </c>
      <c r="FN556" s="183">
        <f>+FN555+FN552+FN551+FN550</f>
        <v>0</v>
      </c>
      <c r="FO556" s="98" t="str">
        <f t="shared" si="3308"/>
        <v>NA</v>
      </c>
      <c r="FP556" s="183">
        <f>+FP555+FP552+FP551+FP550</f>
        <v>0</v>
      </c>
      <c r="FQ556" s="98" t="str">
        <f t="shared" si="3309"/>
        <v>NA</v>
      </c>
      <c r="FR556" s="184">
        <f>+FR555+FR552+FR551+FR550</f>
        <v>0</v>
      </c>
      <c r="FS556" s="120" t="str">
        <f t="shared" si="3310"/>
        <v>NA</v>
      </c>
      <c r="FT556" s="184">
        <f>+FT555+FT552+FT551+FT550</f>
        <v>0</v>
      </c>
      <c r="FU556" s="120" t="str">
        <f t="shared" si="3311"/>
        <v>NA</v>
      </c>
      <c r="FV556" s="184">
        <f>+FV555+FV552+FV551+FV550</f>
        <v>4403</v>
      </c>
      <c r="FW556" s="98" t="str">
        <f t="shared" si="3312"/>
        <v>NA</v>
      </c>
      <c r="FX556" s="498">
        <f>+FX555+FX552+FX551+FX550</f>
        <v>0</v>
      </c>
      <c r="FY556" s="98" t="str">
        <f t="shared" si="3313"/>
        <v>NM</v>
      </c>
      <c r="FZ556" s="184">
        <f>+FZ555+FZ552+FZ551+FZ550</f>
        <v>0</v>
      </c>
      <c r="GA556" s="98" t="str">
        <f t="shared" si="3314"/>
        <v>NA</v>
      </c>
      <c r="GB556" s="498">
        <f>+GB555+GB552+GB551+GB550</f>
        <v>0</v>
      </c>
      <c r="GC556" s="98" t="str">
        <f t="shared" si="3315"/>
        <v>NA</v>
      </c>
      <c r="GD556" s="184">
        <f>+GD555+GD552+GD551+GD550</f>
        <v>0</v>
      </c>
      <c r="GE556" s="98" t="str">
        <f t="shared" si="3316"/>
        <v>NA</v>
      </c>
      <c r="GF556" s="184">
        <f>+GF555+GF552+GF551+GF550</f>
        <v>0</v>
      </c>
      <c r="GG556" s="98" t="str">
        <f t="shared" si="3317"/>
        <v>NA</v>
      </c>
      <c r="GH556" s="184">
        <f>+GH555+GH552+GH551+GH550</f>
        <v>0</v>
      </c>
      <c r="GI556" s="98" t="str">
        <f t="shared" si="3318"/>
        <v>NA</v>
      </c>
      <c r="GJ556" s="184">
        <f>+GJ555+GJ552+GJ551+GJ550</f>
        <v>0</v>
      </c>
      <c r="GK556" s="98" t="str">
        <f t="shared" si="3318"/>
        <v>NA</v>
      </c>
      <c r="GL556" s="184">
        <f>+GL555+GL552+GL551+GL550</f>
        <v>0</v>
      </c>
      <c r="GM556" s="98" t="str">
        <f t="shared" si="3318"/>
        <v>NA</v>
      </c>
      <c r="GN556" s="184">
        <f>+GN555+GN552+GN551+GN550</f>
        <v>0</v>
      </c>
      <c r="GO556" s="98" t="str">
        <f t="shared" si="3318"/>
        <v>NA</v>
      </c>
      <c r="GP556" s="184"/>
      <c r="GQ556" s="98" t="str">
        <f t="shared" si="3318"/>
        <v>NA</v>
      </c>
      <c r="GR556" s="183"/>
      <c r="GS556" s="98" t="str">
        <f t="shared" si="3318"/>
        <v>NA</v>
      </c>
      <c r="GT556" s="183"/>
      <c r="GU556" s="98"/>
      <c r="GV556" s="183"/>
      <c r="GW556" s="98" t="str">
        <f t="shared" si="3318"/>
        <v>NA</v>
      </c>
      <c r="GX556" s="183"/>
      <c r="GY556" s="98" t="str">
        <f t="shared" si="3319"/>
        <v>NA</v>
      </c>
      <c r="GZ556" s="98" t="str">
        <f t="shared" si="3320"/>
        <v>NA</v>
      </c>
      <c r="HA556" s="98"/>
      <c r="HB556" s="10"/>
      <c r="HC556"/>
      <c r="HD556"/>
      <c r="HE556"/>
      <c r="HF556"/>
      <c r="HG556"/>
      <c r="HH556"/>
      <c r="HI556" s="10"/>
    </row>
    <row r="557" spans="1:217" s="2" customFormat="1" ht="12.75" hidden="1" customHeight="1" outlineLevel="1" x14ac:dyDescent="0.2">
      <c r="B557" s="179" t="s">
        <v>539</v>
      </c>
      <c r="C557" s="117"/>
      <c r="D557" s="98"/>
      <c r="E557" s="117"/>
      <c r="F557" s="98"/>
      <c r="G557" s="117"/>
      <c r="H557" s="98"/>
      <c r="I557" s="117"/>
      <c r="J557" s="98"/>
      <c r="K557" s="117"/>
      <c r="L557" s="98"/>
      <c r="M557" s="117"/>
      <c r="N557" s="98"/>
      <c r="O557" s="117"/>
      <c r="P557" s="98"/>
      <c r="Q557" s="117"/>
      <c r="R557" s="98"/>
      <c r="S557" s="117"/>
      <c r="T557" s="98"/>
      <c r="U557" s="117"/>
      <c r="V557" s="98"/>
      <c r="W557" s="117"/>
      <c r="X557" s="98"/>
      <c r="Y557" s="117"/>
      <c r="Z557" s="98"/>
      <c r="AA557" s="117"/>
      <c r="AB557" s="98"/>
      <c r="AC557" s="117"/>
      <c r="AD557" s="98"/>
      <c r="AE557" s="117"/>
      <c r="AF557" s="98"/>
      <c r="AG557" s="117"/>
      <c r="AH557" s="98"/>
      <c r="AI557" s="117"/>
      <c r="AJ557" s="98"/>
      <c r="AK557" s="117"/>
      <c r="AL557" s="98"/>
      <c r="AM557" s="117"/>
      <c r="AN557" s="98"/>
      <c r="AO557" s="117"/>
      <c r="AP557" s="98"/>
      <c r="AQ557" s="117"/>
      <c r="AR557" s="98"/>
      <c r="AS557" s="117"/>
      <c r="AT557" s="98"/>
      <c r="AU557" s="117"/>
      <c r="AV557" s="98"/>
      <c r="AW557" s="117"/>
      <c r="AX557" s="98"/>
      <c r="AY557" s="117"/>
      <c r="AZ557" s="98"/>
      <c r="BA557" s="117"/>
      <c r="BB557" s="98"/>
      <c r="BC557" s="117"/>
      <c r="BD557" s="98"/>
      <c r="BE557" s="117"/>
      <c r="BF557" s="98"/>
      <c r="BG557" s="117"/>
      <c r="BH557" s="98"/>
      <c r="BI557" s="117"/>
      <c r="BJ557" s="98"/>
      <c r="BK557" s="117"/>
      <c r="BL557" s="98"/>
      <c r="BM557" s="117"/>
      <c r="BN557" s="98"/>
      <c r="BO557" s="117"/>
      <c r="BP557" s="98"/>
      <c r="BQ557" s="117"/>
      <c r="BR557" s="98"/>
      <c r="BS557" s="117"/>
      <c r="BT557" s="98"/>
      <c r="BU557" s="117"/>
      <c r="BV557" s="98"/>
      <c r="BW557" s="117"/>
      <c r="BX557" s="98"/>
      <c r="BY557" s="117"/>
      <c r="BZ557" s="98"/>
      <c r="CA557" s="117"/>
      <c r="CB557" s="98"/>
      <c r="CC557" s="117"/>
      <c r="CD557" s="98"/>
      <c r="CE557" s="117"/>
      <c r="CF557" s="98"/>
      <c r="CG557" s="117"/>
      <c r="CH557" s="98"/>
      <c r="CI557" s="117"/>
      <c r="CJ557" s="98"/>
      <c r="CK557" s="117"/>
      <c r="CL557" s="98"/>
      <c r="CM557" s="117"/>
      <c r="CN557" s="98"/>
      <c r="CO557" s="117"/>
      <c r="CP557" s="98"/>
      <c r="CQ557" s="486"/>
      <c r="CR557" s="98"/>
      <c r="CS557" s="117"/>
      <c r="CT557" s="98"/>
      <c r="CU557" s="117"/>
      <c r="CV557" s="98"/>
      <c r="CW557" s="117"/>
      <c r="CX557" s="98"/>
      <c r="CY557" s="117"/>
      <c r="CZ557" s="98"/>
      <c r="DA557" s="117"/>
      <c r="DB557" s="98"/>
      <c r="DC557" s="117"/>
      <c r="DD557" s="98"/>
      <c r="DE557" s="117"/>
      <c r="DF557" s="98"/>
      <c r="DG557" s="117"/>
      <c r="DH557" s="98"/>
      <c r="DI557" s="117"/>
      <c r="DJ557" s="98"/>
      <c r="DK557" s="117"/>
      <c r="DL557" s="98"/>
      <c r="DM557" s="117"/>
      <c r="DN557" s="98"/>
      <c r="DO557" s="117"/>
      <c r="DP557" s="98"/>
      <c r="DQ557" s="117"/>
      <c r="DR557" s="98"/>
      <c r="DS557" s="117"/>
      <c r="DT557" s="98"/>
      <c r="DU557" s="117"/>
      <c r="DV557" s="98"/>
      <c r="DW557" s="117"/>
      <c r="DX557" s="98"/>
      <c r="DY557" s="117"/>
      <c r="DZ557" s="98"/>
      <c r="EA557" s="117"/>
      <c r="EB557" s="98"/>
      <c r="EC557" s="117"/>
      <c r="ED557" s="98"/>
      <c r="EE557" s="117"/>
      <c r="EF557" s="860"/>
      <c r="EG557" s="117"/>
      <c r="EH557" s="860"/>
      <c r="EI557" s="117"/>
      <c r="EJ557" s="860"/>
      <c r="EK557" s="117"/>
      <c r="EL557" s="860" t="str">
        <f t="shared" si="3297"/>
        <v>NA</v>
      </c>
      <c r="EM557" s="117"/>
      <c r="EN557" s="860"/>
      <c r="EO557" s="117"/>
      <c r="EP557" s="98" t="str">
        <f t="shared" si="3298"/>
        <v>NA</v>
      </c>
      <c r="EQ557" s="792"/>
      <c r="ER557" s="98" t="str">
        <f t="shared" si="3299"/>
        <v>NA</v>
      </c>
      <c r="ES557" s="792"/>
      <c r="ET557" s="98" t="str">
        <f t="shared" si="3300"/>
        <v>NA</v>
      </c>
      <c r="EU557" s="792"/>
      <c r="EV557" s="98" t="str">
        <f t="shared" si="3301"/>
        <v>NA</v>
      </c>
      <c r="EW557" s="792"/>
      <c r="EX557" s="98" t="str">
        <f t="shared" si="3302"/>
        <v>NA</v>
      </c>
      <c r="EY557" s="118"/>
      <c r="EZ557" s="594"/>
      <c r="FA557" s="405"/>
      <c r="FB557" s="118">
        <f>FB556-FB553</f>
        <v>975</v>
      </c>
      <c r="FC557" s="98"/>
      <c r="FD557" s="117">
        <f>FD556-FD553</f>
        <v>1026</v>
      </c>
      <c r="FE557" s="98">
        <f t="shared" si="3303"/>
        <v>5.2307692307692388</v>
      </c>
      <c r="FF557" s="118">
        <f>FF556-FF553</f>
        <v>0</v>
      </c>
      <c r="FG557" s="98" t="str">
        <f t="shared" si="3304"/>
        <v>NM</v>
      </c>
      <c r="FH557" s="118">
        <f>FH556-FH553</f>
        <v>0</v>
      </c>
      <c r="FI557" s="98" t="str">
        <f t="shared" si="3305"/>
        <v>NA</v>
      </c>
      <c r="FJ557" s="118">
        <f>FJ556-FJ553</f>
        <v>0</v>
      </c>
      <c r="FK557" s="98" t="str">
        <f t="shared" si="3306"/>
        <v>NA</v>
      </c>
      <c r="FL557" s="118">
        <f>FL556-FL553</f>
        <v>0</v>
      </c>
      <c r="FM557" s="98" t="str">
        <f t="shared" si="3307"/>
        <v>NA</v>
      </c>
      <c r="FN557" s="118">
        <f>FN556-FN553</f>
        <v>0</v>
      </c>
      <c r="FO557" s="98" t="str">
        <f t="shared" si="3308"/>
        <v>NA</v>
      </c>
      <c r="FP557" s="118">
        <f>FP556-FP553</f>
        <v>0</v>
      </c>
      <c r="FQ557" s="98" t="str">
        <f t="shared" si="3309"/>
        <v>NA</v>
      </c>
      <c r="FR557" s="119">
        <f>FR556-FR553</f>
        <v>0</v>
      </c>
      <c r="FS557" s="120" t="str">
        <f t="shared" si="3310"/>
        <v>NA</v>
      </c>
      <c r="FT557" s="119">
        <f>FT556-FT553</f>
        <v>0</v>
      </c>
      <c r="FU557" s="120" t="str">
        <f t="shared" si="3311"/>
        <v>NA</v>
      </c>
      <c r="FV557" s="119">
        <f>FV556-FV553</f>
        <v>3066</v>
      </c>
      <c r="FW557" s="98" t="str">
        <f t="shared" si="3312"/>
        <v>NA</v>
      </c>
      <c r="FX557" s="485">
        <f>FX556-FX553</f>
        <v>0</v>
      </c>
      <c r="FY557" s="98" t="str">
        <f t="shared" si="3313"/>
        <v>NM</v>
      </c>
      <c r="FZ557" s="119">
        <f>FZ556-FZ553</f>
        <v>0</v>
      </c>
      <c r="GA557" s="98" t="str">
        <f t="shared" si="3314"/>
        <v>NA</v>
      </c>
      <c r="GB557" s="485">
        <f>GB556-GB553</f>
        <v>0</v>
      </c>
      <c r="GC557" s="98" t="str">
        <f t="shared" si="3315"/>
        <v>NA</v>
      </c>
      <c r="GD557" s="119">
        <f>GD556-GD553</f>
        <v>0</v>
      </c>
      <c r="GE557" s="98" t="str">
        <f t="shared" si="3316"/>
        <v>NA</v>
      </c>
      <c r="GF557" s="119">
        <f>GF556-GF553</f>
        <v>0</v>
      </c>
      <c r="GG557" s="98" t="str">
        <f t="shared" si="3317"/>
        <v>NA</v>
      </c>
      <c r="GH557" s="119">
        <f>GH556-GH553</f>
        <v>0</v>
      </c>
      <c r="GI557" s="98" t="str">
        <f t="shared" si="3318"/>
        <v>NA</v>
      </c>
      <c r="GJ557" s="119">
        <f>GJ556-GJ553</f>
        <v>0</v>
      </c>
      <c r="GK557" s="98" t="str">
        <f t="shared" si="3318"/>
        <v>NA</v>
      </c>
      <c r="GL557" s="119">
        <f>GL556-GL553</f>
        <v>0</v>
      </c>
      <c r="GM557" s="98" t="str">
        <f t="shared" si="3318"/>
        <v>NA</v>
      </c>
      <c r="GN557" s="119">
        <f>GN556-GN553</f>
        <v>0</v>
      </c>
      <c r="GO557" s="98" t="str">
        <f t="shared" si="3318"/>
        <v>NA</v>
      </c>
      <c r="GP557" s="119"/>
      <c r="GQ557" s="98" t="str">
        <f t="shared" si="3318"/>
        <v>NA</v>
      </c>
      <c r="GR557" s="118"/>
      <c r="GS557" s="98" t="str">
        <f t="shared" si="3318"/>
        <v>NA</v>
      </c>
      <c r="GT557" s="118"/>
      <c r="GU557" s="98"/>
      <c r="GV557" s="118"/>
      <c r="GW557" s="98" t="str">
        <f t="shared" si="3318"/>
        <v>NA</v>
      </c>
      <c r="GX557" s="118"/>
      <c r="GY557" s="98" t="str">
        <f t="shared" si="3319"/>
        <v>NA</v>
      </c>
      <c r="GZ557" s="98" t="str">
        <f t="shared" si="3320"/>
        <v>NA</v>
      </c>
      <c r="HA557" s="98"/>
      <c r="HB557" s="10"/>
      <c r="HC557"/>
      <c r="HD557"/>
      <c r="HE557"/>
      <c r="HF557"/>
      <c r="HG557"/>
      <c r="HH557"/>
      <c r="HI557" s="10"/>
    </row>
    <row r="558" spans="1:217" s="2" customFormat="1" ht="12.75" hidden="1" customHeight="1" outlineLevel="1" x14ac:dyDescent="0.2">
      <c r="B558" s="91"/>
      <c r="C558" s="194"/>
      <c r="D558" s="113"/>
      <c r="E558" s="194"/>
      <c r="F558" s="113"/>
      <c r="G558" s="194"/>
      <c r="H558" s="113"/>
      <c r="I558" s="194"/>
      <c r="J558" s="98"/>
      <c r="K558" s="194"/>
      <c r="L558" s="98"/>
      <c r="M558" s="194"/>
      <c r="N558" s="98"/>
      <c r="O558" s="194"/>
      <c r="P558" s="98"/>
      <c r="Q558" s="194"/>
      <c r="R558" s="98"/>
      <c r="S558" s="194"/>
      <c r="T558" s="98"/>
      <c r="U558" s="194"/>
      <c r="V558" s="98"/>
      <c r="W558" s="194"/>
      <c r="X558" s="98"/>
      <c r="Y558" s="194"/>
      <c r="Z558" s="98"/>
      <c r="AA558" s="194"/>
      <c r="AB558" s="98"/>
      <c r="AC558" s="194"/>
      <c r="AD558" s="98"/>
      <c r="AE558" s="194"/>
      <c r="AF558" s="98"/>
      <c r="AG558" s="194"/>
      <c r="AH558" s="98"/>
      <c r="AI558" s="194"/>
      <c r="AJ558" s="98"/>
      <c r="AK558" s="194"/>
      <c r="AL558" s="98"/>
      <c r="AM558" s="194"/>
      <c r="AN558" s="98"/>
      <c r="AO558" s="194"/>
      <c r="AP558" s="98"/>
      <c r="AQ558" s="194"/>
      <c r="AR558" s="98"/>
      <c r="AS558" s="194"/>
      <c r="AT558" s="98"/>
      <c r="AU558" s="194"/>
      <c r="AV558" s="98"/>
      <c r="AW558" s="194"/>
      <c r="AX558" s="98"/>
      <c r="AY558" s="194"/>
      <c r="AZ558" s="98"/>
      <c r="BA558" s="194"/>
      <c r="BB558" s="98"/>
      <c r="BC558" s="194"/>
      <c r="BD558" s="98"/>
      <c r="BE558" s="194"/>
      <c r="BF558" s="98"/>
      <c r="BG558" s="194"/>
      <c r="BH558" s="98"/>
      <c r="BI558" s="194"/>
      <c r="BJ558" s="98"/>
      <c r="BK558" s="194"/>
      <c r="BL558" s="98"/>
      <c r="BM558" s="194"/>
      <c r="BN558" s="98"/>
      <c r="BO558" s="194"/>
      <c r="BP558" s="98"/>
      <c r="BQ558" s="194"/>
      <c r="BR558" s="98"/>
      <c r="BS558" s="194"/>
      <c r="BT558" s="98"/>
      <c r="BU558" s="194"/>
      <c r="BV558" s="98"/>
      <c r="BW558" s="194"/>
      <c r="BX558" s="98"/>
      <c r="BY558" s="194"/>
      <c r="BZ558" s="98"/>
      <c r="CA558" s="194"/>
      <c r="CB558" s="98"/>
      <c r="CC558" s="194"/>
      <c r="CD558" s="98"/>
      <c r="CE558" s="194"/>
      <c r="CF558" s="98"/>
      <c r="CG558" s="194"/>
      <c r="CH558" s="98"/>
      <c r="CI558" s="194"/>
      <c r="CJ558" s="98"/>
      <c r="CK558" s="194"/>
      <c r="CL558" s="98"/>
      <c r="CM558" s="194"/>
      <c r="CN558" s="98"/>
      <c r="CO558" s="194"/>
      <c r="CP558" s="98"/>
      <c r="CQ558" s="550"/>
      <c r="CR558" s="98"/>
      <c r="CS558" s="194"/>
      <c r="CT558" s="98"/>
      <c r="CU558" s="194"/>
      <c r="CV558" s="98"/>
      <c r="CW558" s="194"/>
      <c r="CX558" s="98"/>
      <c r="CY558" s="194"/>
      <c r="CZ558" s="98"/>
      <c r="DA558" s="194"/>
      <c r="DB558" s="98"/>
      <c r="DC558" s="194"/>
      <c r="DD558" s="98"/>
      <c r="DE558" s="194"/>
      <c r="DF558" s="98"/>
      <c r="DG558" s="194"/>
      <c r="DH558" s="98"/>
      <c r="DI558" s="194"/>
      <c r="DJ558" s="98"/>
      <c r="DK558" s="194"/>
      <c r="DL558" s="98"/>
      <c r="DM558" s="194"/>
      <c r="DN558" s="98"/>
      <c r="DO558" s="194"/>
      <c r="DP558" s="98"/>
      <c r="DQ558" s="194"/>
      <c r="DR558" s="98"/>
      <c r="DS558" s="194"/>
      <c r="DT558" s="98"/>
      <c r="DU558" s="194"/>
      <c r="DV558" s="98"/>
      <c r="DW558" s="194"/>
      <c r="DX558" s="98"/>
      <c r="DY558" s="194"/>
      <c r="DZ558" s="98"/>
      <c r="EA558" s="194"/>
      <c r="EB558" s="98"/>
      <c r="EC558" s="194"/>
      <c r="ED558" s="98"/>
      <c r="EE558" s="194"/>
      <c r="EF558" s="860"/>
      <c r="EG558" s="194"/>
      <c r="EH558" s="860"/>
      <c r="EI558" s="194"/>
      <c r="EJ558" s="860"/>
      <c r="EK558" s="194"/>
      <c r="EL558" s="860"/>
      <c r="EM558" s="194"/>
      <c r="EN558" s="860"/>
      <c r="EO558" s="194"/>
      <c r="EP558" s="98"/>
      <c r="EQ558" s="1052"/>
      <c r="ER558" s="98"/>
      <c r="ES558" s="1052"/>
      <c r="ET558" s="98"/>
      <c r="EU558" s="1052"/>
      <c r="EV558" s="98"/>
      <c r="EW558" s="1052"/>
      <c r="EX558" s="98"/>
      <c r="EY558" s="195"/>
      <c r="EZ558" s="594"/>
      <c r="FA558" s="405"/>
      <c r="FB558" s="195"/>
      <c r="FC558" s="113"/>
      <c r="FD558" s="194"/>
      <c r="FE558" s="113"/>
      <c r="FF558" s="195"/>
      <c r="FG558" s="113"/>
      <c r="FH558" s="195"/>
      <c r="FI558" s="113"/>
      <c r="FJ558" s="195"/>
      <c r="FK558" s="113"/>
      <c r="FL558" s="195"/>
      <c r="FM558" s="113"/>
      <c r="FN558" s="195"/>
      <c r="FO558" s="113"/>
      <c r="FP558" s="195"/>
      <c r="FQ558" s="113"/>
      <c r="FR558" s="193"/>
      <c r="FS558" s="116"/>
      <c r="FT558" s="193"/>
      <c r="FU558" s="116"/>
      <c r="FV558" s="193"/>
      <c r="FW558" s="98"/>
      <c r="FX558" s="501"/>
      <c r="FY558" s="98"/>
      <c r="FZ558" s="193"/>
      <c r="GA558" s="98"/>
      <c r="GB558" s="501"/>
      <c r="GC558" s="98"/>
      <c r="GD558" s="193"/>
      <c r="GE558" s="98"/>
      <c r="GF558" s="193"/>
      <c r="GG558" s="98"/>
      <c r="GH558" s="193"/>
      <c r="GI558" s="98"/>
      <c r="GJ558" s="193"/>
      <c r="GK558" s="98"/>
      <c r="GL558" s="193"/>
      <c r="GM558" s="98"/>
      <c r="GN558" s="193"/>
      <c r="GO558" s="98"/>
      <c r="GP558" s="193"/>
      <c r="GQ558" s="98"/>
      <c r="GR558" s="195"/>
      <c r="GS558" s="98"/>
      <c r="GT558" s="195"/>
      <c r="GU558" s="98"/>
      <c r="GV558" s="195"/>
      <c r="GW558" s="98"/>
      <c r="GX558" s="195"/>
      <c r="GY558" s="98"/>
      <c r="GZ558" s="98"/>
      <c r="HA558" s="98"/>
      <c r="HB558" s="10"/>
      <c r="HC558"/>
      <c r="HD558"/>
      <c r="HE558"/>
      <c r="HF558"/>
      <c r="HG558"/>
      <c r="HH558"/>
      <c r="HI558" s="10"/>
    </row>
    <row r="559" spans="1:217" s="2" customFormat="1" ht="12.75" hidden="1" customHeight="1" outlineLevel="1" x14ac:dyDescent="0.2">
      <c r="B559" s="131" t="s">
        <v>620</v>
      </c>
      <c r="C559" s="112"/>
      <c r="D559" s="113"/>
      <c r="E559" s="112"/>
      <c r="F559" s="113"/>
      <c r="G559" s="112"/>
      <c r="H559" s="113"/>
      <c r="I559" s="112"/>
      <c r="J559" s="98"/>
      <c r="K559" s="112"/>
      <c r="L559" s="98"/>
      <c r="M559" s="112"/>
      <c r="N559" s="98"/>
      <c r="O559" s="112"/>
      <c r="P559" s="98"/>
      <c r="Q559" s="112"/>
      <c r="R559" s="98"/>
      <c r="S559" s="112"/>
      <c r="T559" s="98"/>
      <c r="U559" s="112"/>
      <c r="V559" s="98"/>
      <c r="W559" s="112"/>
      <c r="X559" s="98"/>
      <c r="Y559" s="112"/>
      <c r="Z559" s="98"/>
      <c r="AA559" s="112"/>
      <c r="AB559" s="98"/>
      <c r="AC559" s="112"/>
      <c r="AD559" s="98"/>
      <c r="AE559" s="112"/>
      <c r="AF559" s="98"/>
      <c r="AG559" s="112"/>
      <c r="AH559" s="98"/>
      <c r="AI559" s="112"/>
      <c r="AJ559" s="98"/>
      <c r="AK559" s="112"/>
      <c r="AL559" s="98"/>
      <c r="AM559" s="112"/>
      <c r="AN559" s="98"/>
      <c r="AO559" s="112"/>
      <c r="AP559" s="98"/>
      <c r="AQ559" s="112"/>
      <c r="AR559" s="98"/>
      <c r="AS559" s="112"/>
      <c r="AT559" s="98"/>
      <c r="AU559" s="112"/>
      <c r="AV559" s="98"/>
      <c r="AW559" s="112"/>
      <c r="AX559" s="98"/>
      <c r="AY559" s="112"/>
      <c r="AZ559" s="98"/>
      <c r="BA559" s="112"/>
      <c r="BB559" s="98"/>
      <c r="BC559" s="112"/>
      <c r="BD559" s="98"/>
      <c r="BE559" s="112"/>
      <c r="BF559" s="98"/>
      <c r="BG559" s="112"/>
      <c r="BH559" s="98"/>
      <c r="BI559" s="112"/>
      <c r="BJ559" s="98"/>
      <c r="BK559" s="112"/>
      <c r="BL559" s="98"/>
      <c r="BM559" s="112"/>
      <c r="BN559" s="98"/>
      <c r="BO559" s="112"/>
      <c r="BP559" s="98"/>
      <c r="BQ559" s="112"/>
      <c r="BR559" s="98"/>
      <c r="BS559" s="112"/>
      <c r="BT559" s="98"/>
      <c r="BU559" s="112"/>
      <c r="BV559" s="98"/>
      <c r="BW559" s="112"/>
      <c r="BX559" s="98"/>
      <c r="BY559" s="112"/>
      <c r="BZ559" s="98"/>
      <c r="CA559" s="112"/>
      <c r="CB559" s="98"/>
      <c r="CC559" s="112"/>
      <c r="CD559" s="98"/>
      <c r="CE559" s="112"/>
      <c r="CF559" s="98"/>
      <c r="CG559" s="112"/>
      <c r="CH559" s="98"/>
      <c r="CI559" s="112"/>
      <c r="CJ559" s="98"/>
      <c r="CK559" s="112"/>
      <c r="CL559" s="98"/>
      <c r="CM559" s="112"/>
      <c r="CN559" s="98"/>
      <c r="CO559" s="112"/>
      <c r="CP559" s="98"/>
      <c r="CQ559" s="543"/>
      <c r="CR559" s="98"/>
      <c r="CS559" s="112"/>
      <c r="CT559" s="98"/>
      <c r="CU559" s="112"/>
      <c r="CV559" s="98"/>
      <c r="CW559" s="112"/>
      <c r="CX559" s="98"/>
      <c r="CY559" s="112"/>
      <c r="CZ559" s="98"/>
      <c r="DA559" s="112"/>
      <c r="DB559" s="98"/>
      <c r="DC559" s="112"/>
      <c r="DD559" s="98"/>
      <c r="DE559" s="112"/>
      <c r="DF559" s="98"/>
      <c r="DG559" s="112"/>
      <c r="DH559" s="98"/>
      <c r="DI559" s="112"/>
      <c r="DJ559" s="98"/>
      <c r="DK559" s="112"/>
      <c r="DL559" s="98"/>
      <c r="DM559" s="112"/>
      <c r="DN559" s="98"/>
      <c r="DO559" s="112"/>
      <c r="DP559" s="98"/>
      <c r="DQ559" s="112"/>
      <c r="DR559" s="98"/>
      <c r="DS559" s="112"/>
      <c r="DT559" s="98"/>
      <c r="DU559" s="112"/>
      <c r="DV559" s="98"/>
      <c r="DW559" s="112"/>
      <c r="DX559" s="98"/>
      <c r="DY559" s="112"/>
      <c r="DZ559" s="98"/>
      <c r="EA559" s="112"/>
      <c r="EB559" s="98"/>
      <c r="EC559" s="112"/>
      <c r="ED559" s="98"/>
      <c r="EE559" s="112"/>
      <c r="EF559" s="860"/>
      <c r="EG559" s="112"/>
      <c r="EH559" s="860"/>
      <c r="EI559" s="112"/>
      <c r="EJ559" s="860"/>
      <c r="EK559" s="112"/>
      <c r="EL559" s="860"/>
      <c r="EM559" s="112"/>
      <c r="EN559" s="860"/>
      <c r="EO559" s="112"/>
      <c r="EP559" s="98"/>
      <c r="EQ559" s="1022"/>
      <c r="ER559" s="98"/>
      <c r="ES559" s="1022"/>
      <c r="ET559" s="98"/>
      <c r="EU559" s="1022"/>
      <c r="EV559" s="98"/>
      <c r="EW559" s="1022"/>
      <c r="EX559" s="98"/>
      <c r="EY559" s="114"/>
      <c r="EZ559" s="594"/>
      <c r="FA559" s="405"/>
      <c r="FB559" s="114"/>
      <c r="FC559" s="113"/>
      <c r="FD559" s="112"/>
      <c r="FE559" s="113"/>
      <c r="FF559" s="114"/>
      <c r="FG559" s="113"/>
      <c r="FH559" s="114"/>
      <c r="FI559" s="113"/>
      <c r="FJ559" s="114"/>
      <c r="FK559" s="113"/>
      <c r="FL559" s="114"/>
      <c r="FM559" s="113"/>
      <c r="FN559" s="114"/>
      <c r="FO559" s="113"/>
      <c r="FP559" s="114"/>
      <c r="FQ559" s="113"/>
      <c r="FR559" s="115"/>
      <c r="FS559" s="116"/>
      <c r="FT559" s="115"/>
      <c r="FU559" s="116"/>
      <c r="FV559" s="115"/>
      <c r="FW559" s="98"/>
      <c r="FX559" s="484"/>
      <c r="FY559" s="98"/>
      <c r="FZ559" s="115"/>
      <c r="GA559" s="98"/>
      <c r="GB559" s="484"/>
      <c r="GC559" s="98"/>
      <c r="GD559" s="115"/>
      <c r="GE559" s="98"/>
      <c r="GF559" s="115"/>
      <c r="GG559" s="98"/>
      <c r="GH559" s="115"/>
      <c r="GI559" s="98"/>
      <c r="GJ559" s="115"/>
      <c r="GK559" s="98"/>
      <c r="GL559" s="115"/>
      <c r="GM559" s="98"/>
      <c r="GN559" s="115"/>
      <c r="GO559" s="98"/>
      <c r="GP559" s="115"/>
      <c r="GQ559" s="98"/>
      <c r="GR559" s="114"/>
      <c r="GS559" s="98"/>
      <c r="GT559" s="114"/>
      <c r="GU559" s="98"/>
      <c r="GV559" s="114"/>
      <c r="GW559" s="98"/>
      <c r="GX559" s="114"/>
      <c r="GY559" s="98"/>
      <c r="GZ559" s="98"/>
      <c r="HA559" s="98"/>
      <c r="HB559" s="10"/>
      <c r="HC559"/>
      <c r="HD559"/>
      <c r="HE559"/>
      <c r="HF559"/>
      <c r="HG559"/>
      <c r="HH559"/>
      <c r="HI559" s="10"/>
    </row>
    <row r="560" spans="1:217" s="2" customFormat="1" ht="12.75" hidden="1" customHeight="1" outlineLevel="1" x14ac:dyDescent="0.2">
      <c r="B560" s="179" t="s">
        <v>540</v>
      </c>
      <c r="C560" s="122"/>
      <c r="D560" s="98"/>
      <c r="E560" s="122"/>
      <c r="F560" s="98"/>
      <c r="G560" s="122"/>
      <c r="H560" s="98"/>
      <c r="I560" s="122"/>
      <c r="J560" s="98"/>
      <c r="K560" s="122"/>
      <c r="L560" s="98"/>
      <c r="M560" s="122"/>
      <c r="N560" s="98"/>
      <c r="O560" s="122"/>
      <c r="P560" s="98"/>
      <c r="Q560" s="122"/>
      <c r="R560" s="98"/>
      <c r="S560" s="122"/>
      <c r="T560" s="98"/>
      <c r="U560" s="122"/>
      <c r="V560" s="98"/>
      <c r="W560" s="122"/>
      <c r="X560" s="98"/>
      <c r="Y560" s="122"/>
      <c r="Z560" s="98"/>
      <c r="AA560" s="122"/>
      <c r="AB560" s="98"/>
      <c r="AC560" s="122"/>
      <c r="AD560" s="98"/>
      <c r="AE560" s="122"/>
      <c r="AF560" s="98"/>
      <c r="AG560" s="122"/>
      <c r="AH560" s="98"/>
      <c r="AI560" s="122"/>
      <c r="AJ560" s="98"/>
      <c r="AK560" s="122"/>
      <c r="AL560" s="98"/>
      <c r="AM560" s="122"/>
      <c r="AN560" s="98"/>
      <c r="AO560" s="122"/>
      <c r="AP560" s="98"/>
      <c r="AQ560" s="122"/>
      <c r="AR560" s="98"/>
      <c r="AS560" s="122"/>
      <c r="AT560" s="98"/>
      <c r="AU560" s="122"/>
      <c r="AV560" s="98"/>
      <c r="AW560" s="122"/>
      <c r="AX560" s="98"/>
      <c r="AY560" s="122"/>
      <c r="AZ560" s="98"/>
      <c r="BA560" s="122"/>
      <c r="BB560" s="98"/>
      <c r="BC560" s="122"/>
      <c r="BD560" s="98"/>
      <c r="BE560" s="122"/>
      <c r="BF560" s="98"/>
      <c r="BG560" s="122"/>
      <c r="BH560" s="98"/>
      <c r="BI560" s="122"/>
      <c r="BJ560" s="98"/>
      <c r="BK560" s="122"/>
      <c r="BL560" s="98"/>
      <c r="BM560" s="122"/>
      <c r="BN560" s="98"/>
      <c r="BO560" s="122"/>
      <c r="BP560" s="98"/>
      <c r="BQ560" s="122"/>
      <c r="BR560" s="98"/>
      <c r="BS560" s="122"/>
      <c r="BT560" s="98"/>
      <c r="BU560" s="122"/>
      <c r="BV560" s="98"/>
      <c r="BW560" s="122"/>
      <c r="BX560" s="98"/>
      <c r="BY560" s="122"/>
      <c r="BZ560" s="98"/>
      <c r="CA560" s="122"/>
      <c r="CB560" s="98"/>
      <c r="CC560" s="122"/>
      <c r="CD560" s="98"/>
      <c r="CE560" s="122"/>
      <c r="CF560" s="98"/>
      <c r="CG560" s="122"/>
      <c r="CH560" s="98"/>
      <c r="CI560" s="122"/>
      <c r="CJ560" s="98"/>
      <c r="CK560" s="122"/>
      <c r="CL560" s="98"/>
      <c r="CM560" s="122"/>
      <c r="CN560" s="98"/>
      <c r="CO560" s="122"/>
      <c r="CP560" s="98"/>
      <c r="CQ560" s="547"/>
      <c r="CR560" s="98"/>
      <c r="CS560" s="122"/>
      <c r="CT560" s="98"/>
      <c r="CU560" s="122"/>
      <c r="CV560" s="98"/>
      <c r="CW560" s="122"/>
      <c r="CX560" s="98"/>
      <c r="CY560" s="122"/>
      <c r="CZ560" s="98"/>
      <c r="DA560" s="122"/>
      <c r="DB560" s="98"/>
      <c r="DC560" s="122"/>
      <c r="DD560" s="98"/>
      <c r="DE560" s="122"/>
      <c r="DF560" s="98"/>
      <c r="DG560" s="122"/>
      <c r="DH560" s="98"/>
      <c r="DI560" s="122"/>
      <c r="DJ560" s="98"/>
      <c r="DK560" s="122"/>
      <c r="DL560" s="98"/>
      <c r="DM560" s="122"/>
      <c r="DN560" s="98"/>
      <c r="DO560" s="122"/>
      <c r="DP560" s="98"/>
      <c r="DQ560" s="122"/>
      <c r="DR560" s="98"/>
      <c r="DS560" s="122"/>
      <c r="DT560" s="98"/>
      <c r="DU560" s="122"/>
      <c r="DV560" s="98"/>
      <c r="DW560" s="122"/>
      <c r="DX560" s="98"/>
      <c r="DY560" s="122"/>
      <c r="DZ560" s="98"/>
      <c r="EA560" s="122"/>
      <c r="EB560" s="98"/>
      <c r="EC560" s="122"/>
      <c r="ED560" s="98"/>
      <c r="EE560" s="122"/>
      <c r="EF560" s="860"/>
      <c r="EG560" s="122"/>
      <c r="EH560" s="860"/>
      <c r="EI560" s="122"/>
      <c r="EJ560" s="860"/>
      <c r="EK560" s="122"/>
      <c r="EL560" s="860" t="str">
        <f t="shared" ref="EL560:EL566" si="3321">IF(ISERROR((EK560/EC560-1)*100),"NA",IF(((EK560/EC560-1)*100)&gt;100,"NM",IF(((EK560/EC560-1)*100)&lt;-50,"NM",(EK560/EC560-1)*100)))</f>
        <v>NA</v>
      </c>
      <c r="EM560" s="122"/>
      <c r="EN560" s="860"/>
      <c r="EO560" s="122"/>
      <c r="EP560" s="98" t="str">
        <f t="shared" ref="EP560:EP566" si="3322">IF(ISERROR((EO560/EG560-1)*100),"NA",IF(((EO560/EG560-1)*100)&gt;100,"NM",IF(((EO560/EG560-1)*100)&lt;-50,"NM",(EO560/EG560-1)*100)))</f>
        <v>NA</v>
      </c>
      <c r="EQ560" s="1024"/>
      <c r="ER560" s="98" t="str">
        <f t="shared" ref="ER560:ER562" si="3323">IF(ISERROR((EQ560/EI560-1)*100),"NA",IF(((EQ560/EI560-1)*100)&gt;100,"NM",IF(((EQ560/EI560-1)*100)&lt;-50,"NM",(EQ560/EI560-1)*100)))</f>
        <v>NA</v>
      </c>
      <c r="ES560" s="1024"/>
      <c r="ET560" s="98" t="str">
        <f t="shared" ref="ET560:ET562" si="3324">IF(ISERROR((ES560/EK560-1)*100),"NA",IF(((ES560/EK560-1)*100)&gt;100,"NM",IF(((ES560/EK560-1)*100)&lt;-50,"NM",(ES560/EK560-1)*100)))</f>
        <v>NA</v>
      </c>
      <c r="EU560" s="1024"/>
      <c r="EV560" s="98" t="str">
        <f t="shared" ref="EV560:EV562" si="3325">IF(ISERROR((EU560/EM560-1)*100),"NA",IF(((EU560/EM560-1)*100)&gt;100,"NM",IF(((EU560/EM560-1)*100)&lt;-50,"NM",(EU560/EM560-1)*100)))</f>
        <v>NA</v>
      </c>
      <c r="EW560" s="1024"/>
      <c r="EX560" s="98" t="str">
        <f t="shared" ref="EX560:EX562" si="3326">IF(ISERROR((EW560/EO560-1)*100),"NA",IF(((EW560/EO560-1)*100)&gt;100,"NM",IF(((EW560/EO560-1)*100)&lt;-50,"NM",(EW560/EO560-1)*100)))</f>
        <v>NA</v>
      </c>
      <c r="EY560" s="176"/>
      <c r="EZ560" s="594"/>
      <c r="FA560" s="405"/>
      <c r="FB560" s="177">
        <v>242</v>
      </c>
      <c r="FC560" s="98"/>
      <c r="FD560" s="122">
        <v>176</v>
      </c>
      <c r="FE560" s="98">
        <f>IF(ISERROR((FD560/FB560-1)*100),"NA",IF(((FD560/FB560-1)*100)&gt;100,"NM",IF(((FD560/FB560-1)*100)&lt;-50,"NM",(FD560/FB560-1)*100)))</f>
        <v>-27.27272727272727</v>
      </c>
      <c r="FF560" s="118">
        <f>C560+E560+G560+I560</f>
        <v>0</v>
      </c>
      <c r="FG560" s="98" t="str">
        <f>IF(ISERROR((FF560/FD560-1)*100),"NA",IF(((FF560/FD560-1)*100)&gt;100,"NM",IF(((FF560/FD560-1)*100)&lt;-50,"NM",(FF560/FD560-1)*100)))</f>
        <v>NM</v>
      </c>
      <c r="FH560" s="118">
        <f>K560+M560+O560+Q560</f>
        <v>0</v>
      </c>
      <c r="FI560" s="98" t="str">
        <f>IF(ISERROR((FH560/FF560-1)*100),"NA",IF(((FH560/FF560-1)*100)&gt;100,"NM",IF(((FH560/FF560-1)*100)&lt;-50,"NM",(FH560/FF560-1)*100)))</f>
        <v>NA</v>
      </c>
      <c r="FJ560" s="118">
        <f>S560+U560+W560+Y560</f>
        <v>0</v>
      </c>
      <c r="FK560" s="98" t="str">
        <f>IF(ISERROR((FJ560/FH560-1)*100),"NA",IF(((FJ560/FH560-1)*100)&gt;100,"NM",IF(((FJ560/FH560-1)*100)&lt;-50,"NM",(FJ560/FH560-1)*100)))</f>
        <v>NA</v>
      </c>
      <c r="FL560" s="118">
        <f>AA560+AC560+AE560+AG560</f>
        <v>0</v>
      </c>
      <c r="FM560" s="98" t="str">
        <f>IF(ISERROR((FL560/FJ560-1)*100),"NA",IF(((FL560/FJ560-1)*100)&gt;100,"NM",IF(((FL560/FJ560-1)*100)&lt;-50,"NM",(FL560/FJ560-1)*100)))</f>
        <v>NA</v>
      </c>
      <c r="FN560" s="118">
        <f>AI560+AK560+AM560+AO560</f>
        <v>0</v>
      </c>
      <c r="FO560" s="98" t="str">
        <f>IF(ISERROR((FN560/FL560-1)*100),"NA",IF(((FN560/FL560-1)*100)&gt;100,"NM",IF(((FN560/FL560-1)*100)&lt;-50,"NM",(FN560/FL560-1)*100)))</f>
        <v>NA</v>
      </c>
      <c r="FP560" s="118">
        <f>AQ560+AS560+AU560+AW560</f>
        <v>0</v>
      </c>
      <c r="FQ560" s="98" t="str">
        <f>IF(ISERROR((FP560/FN560-1)*100),"NA",IF(((FP560/FN560-1)*100)&gt;100,"NM",IF(((FP560/FN560-1)*100)&lt;-50,"NM",(FP560/FN560-1)*100)))</f>
        <v>NA</v>
      </c>
      <c r="FR560" s="176">
        <f>AY560+BA560+BC560+BE560</f>
        <v>0</v>
      </c>
      <c r="FS560" s="120" t="str">
        <f>IF(ISERROR((FR560/FP560-1)*100),"NA",IF(((FR560/FP560-1)*100)&gt;100,"NM",IF(((FR560/FP560-1)*100)&lt;-50,"NM",(FR560/FP560-1)*100)))</f>
        <v>NA</v>
      </c>
      <c r="FT560" s="176">
        <f>BG560+BI560+BK560+BM560</f>
        <v>0</v>
      </c>
      <c r="FU560" s="120" t="str">
        <f>IF(ISERROR((FT560/FR560-1)*100),"NA",IF(((FT560/FR560-1)*100)&gt;100,"NM",IF(((FT560/FR560-1)*100)&lt;-50,"NM",(FT560/FR560-1)*100)))</f>
        <v>NA</v>
      </c>
      <c r="FV560" s="177">
        <v>692</v>
      </c>
      <c r="FW560" s="98" t="str">
        <f>IF(ISERROR((FV560/FT560-1)*100),"NA",IF(((FV560/FT560-1)*100)&gt;100,"NM",IF(((FV560/FT560-1)*100)&lt;-50,"NM",(FV560/FT560-1)*100)))</f>
        <v>NA</v>
      </c>
      <c r="FX560" s="485">
        <f>BW560+BY560+CA560+CC560</f>
        <v>0</v>
      </c>
      <c r="FY560" s="98" t="str">
        <f>IF(ISERROR((FX560/FV560-1)*100),"NA",IF(((FX560/FV560-1)*100)&gt;100,"NM",IF(((FX560/FV560-1)*100)&lt;-50,"NM",(FX560/FV560-1)*100)))</f>
        <v>NM</v>
      </c>
      <c r="FZ560" s="119">
        <f>CE560+CG560+CI560+CK560</f>
        <v>0</v>
      </c>
      <c r="GA560" s="98" t="str">
        <f>IF(ISERROR((FZ560/FX560-1)*100),"NA",IF(((FZ560/FX560-1)*100)&gt;100,"NM",IF(((FZ560/FX560-1)*100)&lt;-50,"NM",(FZ560/FX560-1)*100)))</f>
        <v>NA</v>
      </c>
      <c r="GB560" s="485">
        <f>CM560+CO560+CQ560+CS560</f>
        <v>0</v>
      </c>
      <c r="GC560" s="98" t="str">
        <f>IF(ISERROR((GB560/FZ560-1)*100),"NA",IF(((GB560/FZ560-1)*100)&gt;100,"NM",IF(((GB560/FZ560-1)*100)&lt;-50,"NM",(GB560/FZ560-1)*100)))</f>
        <v>NA</v>
      </c>
      <c r="GD560" s="119">
        <f>CU560+CW560+CY560+DA560</f>
        <v>0</v>
      </c>
      <c r="GE560" s="98" t="str">
        <f>IF(ISERROR((GD560/GB560-1)*100),"NA",IF(((GD560/GB560-1)*100)&gt;100,"NM",IF(((GD560/GB560-1)*100)&lt;-50,"NM",(GD560/GB560-1)*100)))</f>
        <v>NA</v>
      </c>
      <c r="GF560" s="119">
        <f>DC560+DE560+DG560+DI560</f>
        <v>0</v>
      </c>
      <c r="GG560" s="98" t="str">
        <f>IF(ISERROR((GF560/GD560-1)*100),"NA",IF(((GF560/GD560-1)*100)&gt;100,"NM",IF(((GF560/GD560-1)*100)&lt;-50,"NM",(GF560/GD560-1)*100)))</f>
        <v>NA</v>
      </c>
      <c r="GH560" s="119">
        <f>DK560+DM560+DO560+DQ560</f>
        <v>0</v>
      </c>
      <c r="GI560" s="98" t="str">
        <f>IF(ISERROR((GH560/GF560-1)*100),"NA",IF(((GH560/GF560-1)*100)&gt;100,"NM",IF(((GH560/GF560-1)*100)&lt;-50,"NM",(GH560/GF560-1)*100)))</f>
        <v>NA</v>
      </c>
      <c r="GJ560" s="119">
        <f t="shared" ref="GJ560:GJ565" si="3327">DS560+DU560+DW560+DY560</f>
        <v>0</v>
      </c>
      <c r="GK560" s="98" t="str">
        <f>IF(ISERROR((GJ560/GH560-1)*100),"NA",IF(((GJ560/GH560-1)*100)&gt;100,"NM",IF(((GJ560/GH560-1)*100)&lt;-50,"NM",(GJ560/GH560-1)*100)))</f>
        <v>NA</v>
      </c>
      <c r="GL560" s="119">
        <f>EA560+EC560+EE560+EG560</f>
        <v>0</v>
      </c>
      <c r="GM560" s="98" t="str">
        <f>IF(ISERROR((GL560/GJ560-1)*100),"NA",IF(((GL560/GJ560-1)*100)&gt;100,"NM",IF(((GL560/GJ560-1)*100)&lt;-50,"NM",(GL560/GJ560-1)*100)))</f>
        <v>NA</v>
      </c>
      <c r="GN560" s="119">
        <f>EI560+EK560+EM560+EO560</f>
        <v>0</v>
      </c>
      <c r="GO560" s="98" t="str">
        <f>IF(ISERROR((GN560/GL560-1)*100),"NA",IF(((GN560/GL560-1)*100)&gt;100,"NM",IF(((GN560/GL560-1)*100)&lt;-50,"NM",(GN560/GL560-1)*100)))</f>
        <v>NA</v>
      </c>
      <c r="GP560" s="119"/>
      <c r="GQ560" s="98" t="str">
        <f>IF(ISERROR((GP560/GN560-1)*100),"NA",IF(((GP560/GN560-1)*100)&gt;100,"NM",IF(((GP560/GN560-1)*100)&lt;-50,"NM",(GP560/GN560-1)*100)))</f>
        <v>NA</v>
      </c>
      <c r="GR560" s="176"/>
      <c r="GS560" s="98" t="str">
        <f>IF(ISERROR((GR560/GP560-1)*100),"NA",IF(((GR560/GP560-1)*100)&gt;100,"NM",IF(((GR560/GP560-1)*100)&lt;-50,"NM",(GR560/GP560-1)*100)))</f>
        <v>NA</v>
      </c>
      <c r="GT560" s="176"/>
      <c r="GU560" s="98"/>
      <c r="GV560" s="176"/>
      <c r="GW560" s="98" t="str">
        <f>IF(ISERROR((GV560/GT560-1)*100),"NA",IF(((GV560/GT560-1)*100)&gt;100,"NM",IF(((GV560/GT560-1)*100)&lt;-50,"NM",(GV560/GT560-1)*100)))</f>
        <v>NA</v>
      </c>
      <c r="GX560" s="176"/>
      <c r="GY560" s="98" t="str">
        <f>IF(ISERROR((GX560/GV560-1)*100),"NA",IF(((GX560/GV560-1)*100)&gt;100,"NM",IF(((GX560/GV560-1)*100)&lt;-50,"NM",(GX560/GV560-1)*100)))</f>
        <v>NA</v>
      </c>
      <c r="GZ560" s="98" t="str">
        <f>IF(ISERROR(((GX560/GN560)^0.2-1)*100),"NA",IF((((GX560/GN560)^0.2-1)*100)&gt;100,"NM",IF((((GX560/GN560)^0.2-1)*100)&lt;-50,"NM",((GX560/GN560)^0.2-1)*100)))</f>
        <v>NA</v>
      </c>
      <c r="HA560" s="98"/>
      <c r="HB560" s="10"/>
      <c r="HC560"/>
      <c r="HD560"/>
      <c r="HE560"/>
      <c r="HF560"/>
      <c r="HG560"/>
      <c r="HH560"/>
      <c r="HI560" s="10"/>
    </row>
    <row r="561" spans="1:217" s="2" customFormat="1" ht="12.75" hidden="1" customHeight="1" outlineLevel="1" x14ac:dyDescent="0.2">
      <c r="A561" s="2" t="s">
        <v>217</v>
      </c>
      <c r="B561" s="179" t="s">
        <v>356</v>
      </c>
      <c r="C561" s="122"/>
      <c r="D561" s="98"/>
      <c r="E561" s="122"/>
      <c r="F561" s="98"/>
      <c r="G561" s="122"/>
      <c r="H561" s="98"/>
      <c r="I561" s="122"/>
      <c r="J561" s="98"/>
      <c r="K561" s="122"/>
      <c r="L561" s="98"/>
      <c r="M561" s="122"/>
      <c r="N561" s="98"/>
      <c r="O561" s="122"/>
      <c r="P561" s="98"/>
      <c r="Q561" s="122"/>
      <c r="R561" s="98"/>
      <c r="S561" s="122"/>
      <c r="T561" s="98"/>
      <c r="U561" s="122"/>
      <c r="V561" s="98"/>
      <c r="W561" s="122"/>
      <c r="X561" s="98"/>
      <c r="Y561" s="122"/>
      <c r="Z561" s="98"/>
      <c r="AA561" s="122"/>
      <c r="AB561" s="98"/>
      <c r="AC561" s="122"/>
      <c r="AD561" s="98"/>
      <c r="AE561" s="122"/>
      <c r="AF561" s="98"/>
      <c r="AG561" s="122"/>
      <c r="AH561" s="98"/>
      <c r="AI561" s="122"/>
      <c r="AJ561" s="98"/>
      <c r="AK561" s="122"/>
      <c r="AL561" s="98"/>
      <c r="AM561" s="122"/>
      <c r="AN561" s="98"/>
      <c r="AO561" s="122"/>
      <c r="AP561" s="98"/>
      <c r="AQ561" s="122"/>
      <c r="AR561" s="98"/>
      <c r="AS561" s="122"/>
      <c r="AT561" s="98"/>
      <c r="AU561" s="122"/>
      <c r="AV561" s="98"/>
      <c r="AW561" s="122"/>
      <c r="AX561" s="98"/>
      <c r="AY561" s="122"/>
      <c r="AZ561" s="98"/>
      <c r="BA561" s="122"/>
      <c r="BB561" s="98"/>
      <c r="BC561" s="122"/>
      <c r="BD561" s="98"/>
      <c r="BE561" s="122"/>
      <c r="BF561" s="98"/>
      <c r="BG561" s="122"/>
      <c r="BH561" s="98"/>
      <c r="BI561" s="122"/>
      <c r="BJ561" s="98"/>
      <c r="BK561" s="122"/>
      <c r="BL561" s="98"/>
      <c r="BM561" s="122"/>
      <c r="BN561" s="98"/>
      <c r="BO561" s="122"/>
      <c r="BP561" s="98"/>
      <c r="BQ561" s="122"/>
      <c r="BR561" s="98"/>
      <c r="BS561" s="122"/>
      <c r="BT561" s="98"/>
      <c r="BU561" s="122"/>
      <c r="BV561" s="98"/>
      <c r="BW561" s="122"/>
      <c r="BX561" s="98"/>
      <c r="BY561" s="122"/>
      <c r="BZ561" s="98"/>
      <c r="CA561" s="122"/>
      <c r="CB561" s="98"/>
      <c r="CC561" s="122"/>
      <c r="CD561" s="98"/>
      <c r="CE561" s="122"/>
      <c r="CF561" s="98"/>
      <c r="CG561" s="122"/>
      <c r="CH561" s="98"/>
      <c r="CI561" s="122"/>
      <c r="CJ561" s="98"/>
      <c r="CK561" s="122"/>
      <c r="CL561" s="98"/>
      <c r="CM561" s="122"/>
      <c r="CN561" s="98"/>
      <c r="CO561" s="122"/>
      <c r="CP561" s="98"/>
      <c r="CQ561" s="547"/>
      <c r="CR561" s="98"/>
      <c r="CS561" s="122"/>
      <c r="CT561" s="98"/>
      <c r="CU561" s="122"/>
      <c r="CV561" s="98"/>
      <c r="CW561" s="122"/>
      <c r="CX561" s="98"/>
      <c r="CY561" s="122"/>
      <c r="CZ561" s="98"/>
      <c r="DA561" s="122"/>
      <c r="DB561" s="98"/>
      <c r="DC561" s="122"/>
      <c r="DD561" s="98"/>
      <c r="DE561" s="122"/>
      <c r="DF561" s="98"/>
      <c r="DG561" s="122"/>
      <c r="DH561" s="98"/>
      <c r="DI561" s="122"/>
      <c r="DJ561" s="98"/>
      <c r="DK561" s="122"/>
      <c r="DL561" s="98"/>
      <c r="DM561" s="122"/>
      <c r="DN561" s="98"/>
      <c r="DO561" s="122"/>
      <c r="DP561" s="98"/>
      <c r="DQ561" s="122"/>
      <c r="DR561" s="98"/>
      <c r="DS561" s="122"/>
      <c r="DT561" s="98"/>
      <c r="DU561" s="122"/>
      <c r="DV561" s="98"/>
      <c r="DW561" s="122"/>
      <c r="DX561" s="98"/>
      <c r="DY561" s="122"/>
      <c r="DZ561" s="98"/>
      <c r="EA561" s="122"/>
      <c r="EB561" s="98"/>
      <c r="EC561" s="122"/>
      <c r="ED561" s="98"/>
      <c r="EE561" s="122"/>
      <c r="EF561" s="860"/>
      <c r="EG561" s="122"/>
      <c r="EH561" s="860"/>
      <c r="EI561" s="122"/>
      <c r="EJ561" s="860"/>
      <c r="EK561" s="122"/>
      <c r="EL561" s="860" t="str">
        <f t="shared" si="3321"/>
        <v>NA</v>
      </c>
      <c r="EM561" s="122"/>
      <c r="EN561" s="860"/>
      <c r="EO561" s="122"/>
      <c r="EP561" s="98" t="str">
        <f t="shared" si="3322"/>
        <v>NA</v>
      </c>
      <c r="EQ561" s="1024"/>
      <c r="ER561" s="98" t="str">
        <f t="shared" si="3323"/>
        <v>NA</v>
      </c>
      <c r="ES561" s="1024"/>
      <c r="ET561" s="98" t="str">
        <f t="shared" si="3324"/>
        <v>NA</v>
      </c>
      <c r="EU561" s="1024"/>
      <c r="EV561" s="98" t="str">
        <f t="shared" si="3325"/>
        <v>NA</v>
      </c>
      <c r="EW561" s="1024"/>
      <c r="EX561" s="98" t="str">
        <f t="shared" si="3326"/>
        <v>NA</v>
      </c>
      <c r="EY561" s="176"/>
      <c r="EZ561" s="594"/>
      <c r="FA561" s="405"/>
      <c r="FB561" s="177">
        <v>570</v>
      </c>
      <c r="FC561" s="98"/>
      <c r="FD561" s="122">
        <v>650</v>
      </c>
      <c r="FE561" s="98">
        <f>IF(ISERROR((FD561/FB561-1)*100),"NA",IF(((FD561/FB561-1)*100)&gt;100,"NM",IF(((FD561/FB561-1)*100)&lt;-50,"NM",(FD561/FB561-1)*100)))</f>
        <v>14.035087719298245</v>
      </c>
      <c r="FF561" s="118">
        <f>C561+E561+G561+I561</f>
        <v>0</v>
      </c>
      <c r="FG561" s="98" t="str">
        <f>IF(ISERROR((FF561/FD561-1)*100),"NA",IF(((FF561/FD561-1)*100)&gt;100,"NM",IF(((FF561/FD561-1)*100)&lt;-50,"NM",(FF561/FD561-1)*100)))</f>
        <v>NM</v>
      </c>
      <c r="FH561" s="118">
        <f>K561+M561+O561+Q561</f>
        <v>0</v>
      </c>
      <c r="FI561" s="98" t="str">
        <f>IF(ISERROR((FH561/FF561-1)*100),"NA",IF(((FH561/FF561-1)*100)&gt;100,"NM",IF(((FH561/FF561-1)*100)&lt;-50,"NM",(FH561/FF561-1)*100)))</f>
        <v>NA</v>
      </c>
      <c r="FJ561" s="118">
        <f>S561+U561+W561+Y561</f>
        <v>0</v>
      </c>
      <c r="FK561" s="98" t="str">
        <f>IF(ISERROR((FJ561/FH561-1)*100),"NA",IF(((FJ561/FH561-1)*100)&gt;100,"NM",IF(((FJ561/FH561-1)*100)&lt;-50,"NM",(FJ561/FH561-1)*100)))</f>
        <v>NA</v>
      </c>
      <c r="FL561" s="118">
        <f>AA561+AC561+AE561+AG561</f>
        <v>0</v>
      </c>
      <c r="FM561" s="98" t="str">
        <f>IF(ISERROR((FL561/FJ561-1)*100),"NA",IF(((FL561/FJ561-1)*100)&gt;100,"NM",IF(((FL561/FJ561-1)*100)&lt;-50,"NM",(FL561/FJ561-1)*100)))</f>
        <v>NA</v>
      </c>
      <c r="FN561" s="118">
        <f>AI561+AK561+AM561+AO561</f>
        <v>0</v>
      </c>
      <c r="FO561" s="98" t="str">
        <f>IF(ISERROR((FN561/FL561-1)*100),"NA",IF(((FN561/FL561-1)*100)&gt;100,"NM",IF(((FN561/FL561-1)*100)&lt;-50,"NM",(FN561/FL561-1)*100)))</f>
        <v>NA</v>
      </c>
      <c r="FP561" s="118">
        <f>AQ561+AS561+AU561+AW561</f>
        <v>0</v>
      </c>
      <c r="FQ561" s="98" t="str">
        <f>IF(ISERROR((FP561/FN561-1)*100),"NA",IF(((FP561/FN561-1)*100)&gt;100,"NM",IF(((FP561/FN561-1)*100)&lt;-50,"NM",(FP561/FN561-1)*100)))</f>
        <v>NA</v>
      </c>
      <c r="FR561" s="176">
        <f>AY561+BA561+BC561+BE561</f>
        <v>0</v>
      </c>
      <c r="FS561" s="120" t="str">
        <f>IF(ISERROR((FR561/FP561-1)*100),"NA",IF(((FR561/FP561-1)*100)&gt;100,"NM",IF(((FR561/FP561-1)*100)&lt;-50,"NM",(FR561/FP561-1)*100)))</f>
        <v>NA</v>
      </c>
      <c r="FT561" s="176">
        <f>BG561+BI561+BK561+BM561</f>
        <v>0</v>
      </c>
      <c r="FU561" s="120" t="str">
        <f>IF(ISERROR((FT561/FR561-1)*100),"NA",IF(((FT561/FR561-1)*100)&gt;100,"NM",IF(((FT561/FR561-1)*100)&lt;-50,"NM",(FT561/FR561-1)*100)))</f>
        <v>NA</v>
      </c>
      <c r="FV561" s="177">
        <f>2065+2</f>
        <v>2067</v>
      </c>
      <c r="FW561" s="98" t="str">
        <f>IF(ISERROR((FV561/FT561-1)*100),"NA",IF(((FV561/FT561-1)*100)&gt;100,"NM",IF(((FV561/FT561-1)*100)&lt;-50,"NM",(FV561/FT561-1)*100)))</f>
        <v>NA</v>
      </c>
      <c r="FX561" s="485">
        <f>BW561+BY561+CA561+CC561</f>
        <v>0</v>
      </c>
      <c r="FY561" s="98" t="str">
        <f>IF(ISERROR((FX561/FV561-1)*100),"NA",IF(((FX561/FV561-1)*100)&gt;100,"NM",IF(((FX561/FV561-1)*100)&lt;-50,"NM",(FX561/FV561-1)*100)))</f>
        <v>NM</v>
      </c>
      <c r="FZ561" s="119">
        <f>CE561+CG561+CI561+CK561</f>
        <v>0</v>
      </c>
      <c r="GA561" s="98" t="str">
        <f>IF(ISERROR((FZ561/FX561-1)*100),"NA",IF(((FZ561/FX561-1)*100)&gt;100,"NM",IF(((FZ561/FX561-1)*100)&lt;-50,"NM",(FZ561/FX561-1)*100)))</f>
        <v>NA</v>
      </c>
      <c r="GB561" s="485">
        <f>CM561+CO561+CQ561+CS561</f>
        <v>0</v>
      </c>
      <c r="GC561" s="98" t="str">
        <f>IF(ISERROR((GB561/FZ561-1)*100),"NA",IF(((GB561/FZ561-1)*100)&gt;100,"NM",IF(((GB561/FZ561-1)*100)&lt;-50,"NM",(GB561/FZ561-1)*100)))</f>
        <v>NA</v>
      </c>
      <c r="GD561" s="119">
        <f>CU561+CW561+CY561+DA561</f>
        <v>0</v>
      </c>
      <c r="GE561" s="98" t="str">
        <f>IF(ISERROR((GD561/GB561-1)*100),"NA",IF(((GD561/GB561-1)*100)&gt;100,"NM",IF(((GD561/GB561-1)*100)&lt;-50,"NM",(GD561/GB561-1)*100)))</f>
        <v>NA</v>
      </c>
      <c r="GF561" s="119">
        <f>DC561+DE561+DG561+DI561</f>
        <v>0</v>
      </c>
      <c r="GG561" s="98" t="str">
        <f>IF(ISERROR((GF561/GD561-1)*100),"NA",IF(((GF561/GD561-1)*100)&gt;100,"NM",IF(((GF561/GD561-1)*100)&lt;-50,"NM",(GF561/GD561-1)*100)))</f>
        <v>NA</v>
      </c>
      <c r="GH561" s="119">
        <f>DK561+DM561+DO561+DQ561</f>
        <v>0</v>
      </c>
      <c r="GI561" s="98" t="str">
        <f>IF(ISERROR((GH561/GF561-1)*100),"NA",IF(((GH561/GF561-1)*100)&gt;100,"NM",IF(((GH561/GF561-1)*100)&lt;-50,"NM",(GH561/GF561-1)*100)))</f>
        <v>NA</v>
      </c>
      <c r="GJ561" s="119">
        <f t="shared" si="3327"/>
        <v>0</v>
      </c>
      <c r="GK561" s="98" t="str">
        <f>IF(ISERROR((GJ561/GH561-1)*100),"NA",IF(((GJ561/GH561-1)*100)&gt;100,"NM",IF(((GJ561/GH561-1)*100)&lt;-50,"NM",(GJ561/GH561-1)*100)))</f>
        <v>NA</v>
      </c>
      <c r="GL561" s="119">
        <f>EA561+EC561+EE561+EG561</f>
        <v>0</v>
      </c>
      <c r="GM561" s="98" t="str">
        <f>IF(ISERROR((GL561/GJ561-1)*100),"NA",IF(((GL561/GJ561-1)*100)&gt;100,"NM",IF(((GL561/GJ561-1)*100)&lt;-50,"NM",(GL561/GJ561-1)*100)))</f>
        <v>NA</v>
      </c>
      <c r="GN561" s="119">
        <f>EI561+EK561+EM561+EO561</f>
        <v>0</v>
      </c>
      <c r="GO561" s="98" t="str">
        <f>IF(ISERROR((GN561/GL561-1)*100),"NA",IF(((GN561/GL561-1)*100)&gt;100,"NM",IF(((GN561/GL561-1)*100)&lt;-50,"NM",(GN561/GL561-1)*100)))</f>
        <v>NA</v>
      </c>
      <c r="GP561" s="119"/>
      <c r="GQ561" s="98" t="str">
        <f>IF(ISERROR((GP561/GN561-1)*100),"NA",IF(((GP561/GN561-1)*100)&gt;100,"NM",IF(((GP561/GN561-1)*100)&lt;-50,"NM",(GP561/GN561-1)*100)))</f>
        <v>NA</v>
      </c>
      <c r="GR561" s="176"/>
      <c r="GS561" s="98" t="str">
        <f>IF(ISERROR((GR561/GP561-1)*100),"NA",IF(((GR561/GP561-1)*100)&gt;100,"NM",IF(((GR561/GP561-1)*100)&lt;-50,"NM",(GR561/GP561-1)*100)))</f>
        <v>NA</v>
      </c>
      <c r="GT561" s="176"/>
      <c r="GU561" s="98"/>
      <c r="GV561" s="176"/>
      <c r="GW561" s="98" t="str">
        <f>IF(ISERROR((GV561/GT561-1)*100),"NA",IF(((GV561/GT561-1)*100)&gt;100,"NM",IF(((GV561/GT561-1)*100)&lt;-50,"NM",(GV561/GT561-1)*100)))</f>
        <v>NA</v>
      </c>
      <c r="GX561" s="176"/>
      <c r="GY561" s="98" t="str">
        <f>IF(ISERROR((GX561/GV561-1)*100),"NA",IF(((GX561/GV561-1)*100)&gt;100,"NM",IF(((GX561/GV561-1)*100)&lt;-50,"NM",(GX561/GV561-1)*100)))</f>
        <v>NA</v>
      </c>
      <c r="GZ561" s="98" t="str">
        <f>IF(ISERROR(((GX561/GN561)^0.2-1)*100),"NA",IF((((GX561/GN561)^0.2-1)*100)&gt;100,"NM",IF((((GX561/GN561)^0.2-1)*100)&lt;-50,"NM",((GX561/GN561)^0.2-1)*100)))</f>
        <v>NA</v>
      </c>
      <c r="HA561" s="98"/>
      <c r="HB561" s="10"/>
      <c r="HC561"/>
      <c r="HD561"/>
      <c r="HE561"/>
      <c r="HF561"/>
      <c r="HG561"/>
      <c r="HH561"/>
      <c r="HI561" s="10"/>
    </row>
    <row r="562" spans="1:217" s="2" customFormat="1" ht="12.75" hidden="1" customHeight="1" outlineLevel="1" x14ac:dyDescent="0.2">
      <c r="B562" s="18" t="s">
        <v>120</v>
      </c>
      <c r="C562" s="122"/>
      <c r="D562" s="98"/>
      <c r="E562" s="122"/>
      <c r="F562" s="98"/>
      <c r="G562" s="122"/>
      <c r="H562" s="98"/>
      <c r="I562" s="122"/>
      <c r="J562" s="98"/>
      <c r="K562" s="122"/>
      <c r="L562" s="98"/>
      <c r="M562" s="122"/>
      <c r="N562" s="98"/>
      <c r="O562" s="122"/>
      <c r="P562" s="98"/>
      <c r="Q562" s="122"/>
      <c r="R562" s="98"/>
      <c r="S562" s="122"/>
      <c r="T562" s="98"/>
      <c r="U562" s="122"/>
      <c r="V562" s="98"/>
      <c r="W562" s="122"/>
      <c r="X562" s="98"/>
      <c r="Y562" s="122"/>
      <c r="Z562" s="98"/>
      <c r="AA562" s="122"/>
      <c r="AB562" s="98"/>
      <c r="AC562" s="122"/>
      <c r="AD562" s="98"/>
      <c r="AE562" s="122"/>
      <c r="AF562" s="98"/>
      <c r="AG562" s="122"/>
      <c r="AH562" s="98"/>
      <c r="AI562" s="122"/>
      <c r="AJ562" s="98"/>
      <c r="AK562" s="122"/>
      <c r="AL562" s="98"/>
      <c r="AM562" s="122"/>
      <c r="AN562" s="98"/>
      <c r="AO562" s="122"/>
      <c r="AP562" s="98"/>
      <c r="AQ562" s="122"/>
      <c r="AR562" s="98"/>
      <c r="AS562" s="122"/>
      <c r="AT562" s="98"/>
      <c r="AU562" s="122"/>
      <c r="AV562" s="98"/>
      <c r="AW562" s="122"/>
      <c r="AX562" s="98"/>
      <c r="AY562" s="122"/>
      <c r="AZ562" s="98"/>
      <c r="BA562" s="122"/>
      <c r="BB562" s="98"/>
      <c r="BC562" s="122"/>
      <c r="BD562" s="98"/>
      <c r="BE562" s="122"/>
      <c r="BF562" s="98"/>
      <c r="BG562" s="122"/>
      <c r="BH562" s="98"/>
      <c r="BI562" s="122"/>
      <c r="BJ562" s="98"/>
      <c r="BK562" s="122"/>
      <c r="BL562" s="98"/>
      <c r="BM562" s="122"/>
      <c r="BN562" s="98"/>
      <c r="BO562" s="122"/>
      <c r="BP562" s="98"/>
      <c r="BQ562" s="122"/>
      <c r="BR562" s="98"/>
      <c r="BS562" s="122"/>
      <c r="BT562" s="98"/>
      <c r="BU562" s="122"/>
      <c r="BV562" s="98"/>
      <c r="BW562" s="122"/>
      <c r="BX562" s="98"/>
      <c r="BY562" s="122"/>
      <c r="BZ562" s="98"/>
      <c r="CA562" s="122"/>
      <c r="CB562" s="98"/>
      <c r="CC562" s="122"/>
      <c r="CD562" s="98"/>
      <c r="CE562" s="122"/>
      <c r="CF562" s="98"/>
      <c r="CG562" s="122"/>
      <c r="CH562" s="98"/>
      <c r="CI562" s="122"/>
      <c r="CJ562" s="98"/>
      <c r="CK562" s="122"/>
      <c r="CL562" s="98"/>
      <c r="CM562" s="122"/>
      <c r="CN562" s="98"/>
      <c r="CO562" s="122"/>
      <c r="CP562" s="98"/>
      <c r="CQ562" s="547"/>
      <c r="CR562" s="98"/>
      <c r="CS562" s="122"/>
      <c r="CT562" s="98"/>
      <c r="CU562" s="122"/>
      <c r="CV562" s="98"/>
      <c r="CW562" s="122"/>
      <c r="CX562" s="98"/>
      <c r="CY562" s="122"/>
      <c r="CZ562" s="98"/>
      <c r="DA562" s="122"/>
      <c r="DB562" s="98"/>
      <c r="DC562" s="122"/>
      <c r="DD562" s="98"/>
      <c r="DE562" s="122"/>
      <c r="DF562" s="98"/>
      <c r="DG562" s="122"/>
      <c r="DH562" s="98"/>
      <c r="DI562" s="122"/>
      <c r="DJ562" s="98"/>
      <c r="DK562" s="122"/>
      <c r="DL562" s="98"/>
      <c r="DM562" s="122"/>
      <c r="DN562" s="98"/>
      <c r="DO562" s="122"/>
      <c r="DP562" s="98"/>
      <c r="DQ562" s="122"/>
      <c r="DR562" s="98"/>
      <c r="DS562" s="122"/>
      <c r="DT562" s="98"/>
      <c r="DU562" s="122"/>
      <c r="DV562" s="98"/>
      <c r="DW562" s="122"/>
      <c r="DX562" s="98"/>
      <c r="DY562" s="122"/>
      <c r="DZ562" s="98"/>
      <c r="EA562" s="122"/>
      <c r="EB562" s="98"/>
      <c r="EC562" s="122"/>
      <c r="ED562" s="98"/>
      <c r="EE562" s="122"/>
      <c r="EF562" s="860"/>
      <c r="EG562" s="122"/>
      <c r="EH562" s="860"/>
      <c r="EI562" s="122"/>
      <c r="EJ562" s="860"/>
      <c r="EK562" s="122"/>
      <c r="EL562" s="860" t="str">
        <f t="shared" si="3321"/>
        <v>NA</v>
      </c>
      <c r="EM562" s="122"/>
      <c r="EN562" s="860"/>
      <c r="EO562" s="122"/>
      <c r="EP562" s="98" t="str">
        <f t="shared" si="3322"/>
        <v>NA</v>
      </c>
      <c r="EQ562" s="950"/>
      <c r="ER562" s="98" t="str">
        <f t="shared" si="3323"/>
        <v>NA</v>
      </c>
      <c r="ES562" s="950"/>
      <c r="ET562" s="98" t="str">
        <f t="shared" si="3324"/>
        <v>NA</v>
      </c>
      <c r="EU562" s="950"/>
      <c r="EV562" s="98" t="str">
        <f t="shared" si="3325"/>
        <v>NA</v>
      </c>
      <c r="EW562" s="950"/>
      <c r="EX562" s="98" t="str">
        <f t="shared" si="3326"/>
        <v>NA</v>
      </c>
      <c r="EY562" s="122"/>
      <c r="EZ562" s="594"/>
      <c r="FA562" s="405"/>
      <c r="FB562" s="122">
        <v>-97</v>
      </c>
      <c r="FC562" s="98"/>
      <c r="FD562" s="122">
        <v>-112</v>
      </c>
      <c r="FE562" s="98">
        <f>IF(ISERROR((FD562/FB562-1)*100),"NA",IF(((FD562/FB562-1)*100)&gt;100,"NM",IF(((FD562/FB562-1)*100)&lt;-50,"NM",(FD562/FB562-1)*100)))</f>
        <v>15.463917525773185</v>
      </c>
      <c r="FF562" s="122">
        <v>-27</v>
      </c>
      <c r="FG562" s="98" t="str">
        <f>IF(ISERROR((FF562/FD562-1)*100),"NA",IF(((FF562/FD562-1)*100)&gt;100,"NM",IF(((FF562/FD562-1)*100)&lt;-50,"NM",(FF562/FD562-1)*100)))</f>
        <v>NM</v>
      </c>
      <c r="FH562" s="122">
        <v>-98</v>
      </c>
      <c r="FI562" s="98" t="str">
        <f>IF(ISERROR((FH562/FF562-1)*100),"NA",IF(((FH562/FF562-1)*100)&gt;100,"NM",IF(((FH562/FF562-1)*100)&lt;-50,"NM",(FH562/FF562-1)*100)))</f>
        <v>NM</v>
      </c>
      <c r="FJ562" s="122">
        <v>-202</v>
      </c>
      <c r="FK562" s="98" t="str">
        <f>IF(ISERROR((FJ562/FH562-1)*100),"NA",IF(((FJ562/FH562-1)*100)&gt;100,"NM",IF(((FJ562/FH562-1)*100)&lt;-50,"NM",(FJ562/FH562-1)*100)))</f>
        <v>NM</v>
      </c>
      <c r="FL562" s="122">
        <v>-382</v>
      </c>
      <c r="FM562" s="98">
        <f>IF(ISERROR((FL562/FJ562-1)*100),"NA",IF(((FL562/FJ562-1)*100)&gt;100,"NM",IF(((FL562/FJ562-1)*100)&lt;-50,"NM",(FL562/FJ562-1)*100)))</f>
        <v>89.108910891089096</v>
      </c>
      <c r="FN562" s="118">
        <f>AI562+AK562+AM562+AO562</f>
        <v>0</v>
      </c>
      <c r="FO562" s="98" t="str">
        <f>IF(ISERROR((FN562/FL562-1)*100),"NA",IF(((FN562/FL562-1)*100)&gt;100,"NM",IF(((FN562/FL562-1)*100)&lt;-50,"NM",(FN562/FL562-1)*100)))</f>
        <v>NM</v>
      </c>
      <c r="FP562" s="118">
        <f>AQ562+AS562+AU562+AW562</f>
        <v>0</v>
      </c>
      <c r="FQ562" s="98" t="str">
        <f>IF(ISERROR((FP562/FN562-1)*100),"NA",IF(((FP562/FN562-1)*100)&gt;100,"NM",IF(((FP562/FN562-1)*100)&lt;-50,"NM",(FP562/FN562-1)*100)))</f>
        <v>NA</v>
      </c>
      <c r="FR562" s="123">
        <f>AY562+BA562+BC562+BE562</f>
        <v>0</v>
      </c>
      <c r="FS562" s="120" t="str">
        <f>IF(ISERROR((FR562/FP562-1)*100),"NA",IF(((FR562/FP562-1)*100)&gt;100,"NM",IF(((FR562/FP562-1)*100)&lt;-50,"NM",(FR562/FP562-1)*100)))</f>
        <v>NA</v>
      </c>
      <c r="FT562" s="123">
        <f>BG562+BI562+BK562+BM562</f>
        <v>0</v>
      </c>
      <c r="FU562" s="120" t="str">
        <f>IF(ISERROR((FT562/FR562-1)*100),"NA",IF(((FT562/FR562-1)*100)&gt;100,"NM",IF(((FT562/FR562-1)*100)&lt;-50,"NM",(FT562/FR562-1)*100)))</f>
        <v>NA</v>
      </c>
      <c r="FV562" s="123">
        <f>BO562+BQ562+BS562+BU562</f>
        <v>0</v>
      </c>
      <c r="FW562" s="98" t="str">
        <f>IF(ISERROR((FV562/FT562-1)*100),"NA",IF(((FV562/FT562-1)*100)&gt;100,"NM",IF(((FV562/FT562-1)*100)&lt;-50,"NM",(FV562/FT562-1)*100)))</f>
        <v>NA</v>
      </c>
      <c r="FX562" s="485">
        <f>BW562+BY562+CA562+CC562</f>
        <v>0</v>
      </c>
      <c r="FY562" s="98" t="str">
        <f>IF(ISERROR((FX562/FV562-1)*100),"NA",IF(((FX562/FV562-1)*100)&gt;100,"NM",IF(((FX562/FV562-1)*100)&lt;-50,"NM",(FX562/FV562-1)*100)))</f>
        <v>NA</v>
      </c>
      <c r="FZ562" s="119">
        <f>CE562+CG562+CI562+CK562</f>
        <v>0</v>
      </c>
      <c r="GA562" s="98" t="str">
        <f>IF(ISERROR((FZ562/FX562-1)*100),"NA",IF(((FZ562/FX562-1)*100)&gt;100,"NM",IF(((FZ562/FX562-1)*100)&lt;-50,"NM",(FZ562/FX562-1)*100)))</f>
        <v>NA</v>
      </c>
      <c r="GB562" s="485">
        <f>CM562+CO562+CQ562+CS562</f>
        <v>0</v>
      </c>
      <c r="GC562" s="98" t="str">
        <f>IF(ISERROR((GB562/FZ562-1)*100),"NA",IF(((GB562/FZ562-1)*100)&gt;100,"NM",IF(((GB562/FZ562-1)*100)&lt;-50,"NM",(GB562/FZ562-1)*100)))</f>
        <v>NA</v>
      </c>
      <c r="GD562" s="119">
        <f>CU562+CW562+CY562+DA562</f>
        <v>0</v>
      </c>
      <c r="GE562" s="98" t="str">
        <f>IF(ISERROR((GD562/GB562-1)*100),"NA",IF(((GD562/GB562-1)*100)&gt;100,"NM",IF(((GD562/GB562-1)*100)&lt;-50,"NM",(GD562/GB562-1)*100)))</f>
        <v>NA</v>
      </c>
      <c r="GF562" s="119">
        <f>DC562+DE562+DG562+DI562</f>
        <v>0</v>
      </c>
      <c r="GG562" s="98" t="str">
        <f>IF(ISERROR((GF562/GD562-1)*100),"NA",IF(((GF562/GD562-1)*100)&gt;100,"NM",IF(((GF562/GD562-1)*100)&lt;-50,"NM",(GF562/GD562-1)*100)))</f>
        <v>NA</v>
      </c>
      <c r="GH562" s="119">
        <f>DK562+DM562+DO562+DQ562</f>
        <v>0</v>
      </c>
      <c r="GI562" s="98" t="str">
        <f>IF(ISERROR((GH562/GF562-1)*100),"NA",IF(((GH562/GF562-1)*100)&gt;100,"NM",IF(((GH562/GF562-1)*100)&lt;-50,"NM",(GH562/GF562-1)*100)))</f>
        <v>NA</v>
      </c>
      <c r="GJ562" s="119">
        <f t="shared" si="3327"/>
        <v>0</v>
      </c>
      <c r="GK562" s="98" t="str">
        <f>IF(ISERROR((GJ562/GH562-1)*100),"NA",IF(((GJ562/GH562-1)*100)&gt;100,"NM",IF(((GJ562/GH562-1)*100)&lt;-50,"NM",(GJ562/GH562-1)*100)))</f>
        <v>NA</v>
      </c>
      <c r="GL562" s="119">
        <f>EA562+EC562+EE562+EG562</f>
        <v>0</v>
      </c>
      <c r="GM562" s="98" t="str">
        <f>IF(ISERROR((GL562/GJ562-1)*100),"NA",IF(((GL562/GJ562-1)*100)&gt;100,"NM",IF(((GL562/GJ562-1)*100)&lt;-50,"NM",(GL562/GJ562-1)*100)))</f>
        <v>NA</v>
      </c>
      <c r="GN562" s="119">
        <f>EI562+EK562+EM562+EO562</f>
        <v>0</v>
      </c>
      <c r="GO562" s="98" t="str">
        <f>IF(ISERROR((GN562/GL562-1)*100),"NA",IF(((GN562/GL562-1)*100)&gt;100,"NM",IF(((GN562/GL562-1)*100)&lt;-50,"NM",(GN562/GL562-1)*100)))</f>
        <v>NA</v>
      </c>
      <c r="GP562" s="119"/>
      <c r="GQ562" s="98" t="str">
        <f>IF(ISERROR((GP562/GN562-1)*100),"NA",IF(((GP562/GN562-1)*100)&gt;100,"NM",IF(((GP562/GN562-1)*100)&lt;-50,"NM",(GP562/GN562-1)*100)))</f>
        <v>NA</v>
      </c>
      <c r="GR562" s="122"/>
      <c r="GS562" s="98" t="str">
        <f>IF(ISERROR((GR562/GP562-1)*100),"NA",IF(((GR562/GP562-1)*100)&gt;100,"NM",IF(((GR562/GP562-1)*100)&lt;-50,"NM",(GR562/GP562-1)*100)))</f>
        <v>NA</v>
      </c>
      <c r="GT562" s="122"/>
      <c r="GU562" s="98"/>
      <c r="GV562" s="122"/>
      <c r="GW562" s="98" t="str">
        <f>IF(ISERROR((GV562/GT562-1)*100),"NA",IF(((GV562/GT562-1)*100)&gt;100,"NM",IF(((GV562/GT562-1)*100)&lt;-50,"NM",(GV562/GT562-1)*100)))</f>
        <v>NA</v>
      </c>
      <c r="GX562" s="122"/>
      <c r="GY562" s="98" t="str">
        <f>IF(ISERROR((GX562/GV562-1)*100),"NA",IF(((GX562/GV562-1)*100)&gt;100,"NM",IF(((GX562/GV562-1)*100)&lt;-50,"NM",(GX562/GV562-1)*100)))</f>
        <v>NA</v>
      </c>
      <c r="GZ562" s="98" t="str">
        <f>IF(ISERROR(((GX562/GN562)^0.2-1)*100),"NA",IF((((GX562/GN562)^0.2-1)*100)&gt;100,"NM",IF((((GX562/GN562)^0.2-1)*100)&lt;-50,"NM",((GX562/GN562)^0.2-1)*100)))</f>
        <v>NA</v>
      </c>
      <c r="HA562" s="98"/>
      <c r="HB562" s="10"/>
      <c r="HC562"/>
      <c r="HD562"/>
      <c r="HE562"/>
      <c r="HF562"/>
      <c r="HG562"/>
      <c r="HH562"/>
      <c r="HI562" s="10"/>
    </row>
    <row r="563" spans="1:217" s="2" customFormat="1" ht="12.75" hidden="1" customHeight="1" outlineLevel="1" x14ac:dyDescent="0.2">
      <c r="B563" s="18" t="s">
        <v>750</v>
      </c>
      <c r="C563" s="122"/>
      <c r="D563" s="98"/>
      <c r="E563" s="122"/>
      <c r="F563" s="98"/>
      <c r="G563" s="122"/>
      <c r="H563" s="98"/>
      <c r="I563" s="122"/>
      <c r="J563" s="98"/>
      <c r="K563" s="122"/>
      <c r="L563" s="98"/>
      <c r="M563" s="122"/>
      <c r="N563" s="98"/>
      <c r="O563" s="122"/>
      <c r="P563" s="98"/>
      <c r="Q563" s="122"/>
      <c r="R563" s="98"/>
      <c r="S563" s="122"/>
      <c r="T563" s="98"/>
      <c r="U563" s="122"/>
      <c r="V563" s="98"/>
      <c r="W563" s="122"/>
      <c r="X563" s="98"/>
      <c r="Y563" s="122"/>
      <c r="Z563" s="98"/>
      <c r="AA563" s="122"/>
      <c r="AB563" s="98"/>
      <c r="AC563" s="122"/>
      <c r="AD563" s="98"/>
      <c r="AE563" s="122"/>
      <c r="AF563" s="98"/>
      <c r="AG563" s="122"/>
      <c r="AH563" s="98"/>
      <c r="AI563" s="122"/>
      <c r="AJ563" s="98"/>
      <c r="AK563" s="122"/>
      <c r="AL563" s="98"/>
      <c r="AM563" s="122"/>
      <c r="AN563" s="98"/>
      <c r="AO563" s="122"/>
      <c r="AP563" s="98"/>
      <c r="AQ563" s="122"/>
      <c r="AR563" s="98"/>
      <c r="AS563" s="122"/>
      <c r="AT563" s="98"/>
      <c r="AU563" s="122"/>
      <c r="AV563" s="98"/>
      <c r="AW563" s="122"/>
      <c r="AX563" s="98"/>
      <c r="AY563" s="122"/>
      <c r="AZ563" s="98"/>
      <c r="BA563" s="122"/>
      <c r="BB563" s="98"/>
      <c r="BC563" s="122"/>
      <c r="BD563" s="98"/>
      <c r="BE563" s="122"/>
      <c r="BF563" s="98"/>
      <c r="BG563" s="122"/>
      <c r="BH563" s="98"/>
      <c r="BI563" s="122"/>
      <c r="BJ563" s="98"/>
      <c r="BK563" s="122"/>
      <c r="BL563" s="98"/>
      <c r="BM563" s="122"/>
      <c r="BN563" s="98"/>
      <c r="BO563" s="122"/>
      <c r="BP563" s="98"/>
      <c r="BQ563" s="122"/>
      <c r="BR563" s="98"/>
      <c r="BS563" s="122"/>
      <c r="BT563" s="98"/>
      <c r="BU563" s="122"/>
      <c r="BV563" s="98"/>
      <c r="BW563" s="122"/>
      <c r="BX563" s="98"/>
      <c r="BY563" s="122"/>
      <c r="BZ563" s="98"/>
      <c r="CA563" s="122"/>
      <c r="CB563" s="98"/>
      <c r="CC563" s="122"/>
      <c r="CD563" s="98"/>
      <c r="CE563" s="122"/>
      <c r="CF563" s="98"/>
      <c r="CG563" s="122"/>
      <c r="CH563" s="98"/>
      <c r="CI563" s="122"/>
      <c r="CJ563" s="98"/>
      <c r="CK563" s="122"/>
      <c r="CL563" s="98"/>
      <c r="CM563" s="122"/>
      <c r="CN563" s="98"/>
      <c r="CO563" s="122"/>
      <c r="CP563" s="98"/>
      <c r="CQ563" s="547"/>
      <c r="CR563" s="98"/>
      <c r="CS563" s="122"/>
      <c r="CT563" s="98"/>
      <c r="CU563" s="122"/>
      <c r="CV563" s="98"/>
      <c r="CW563" s="122"/>
      <c r="CX563" s="98"/>
      <c r="CY563" s="122"/>
      <c r="CZ563" s="98"/>
      <c r="DA563" s="122"/>
      <c r="DB563" s="98"/>
      <c r="DC563" s="122"/>
      <c r="DD563" s="98"/>
      <c r="DE563" s="122"/>
      <c r="DF563" s="98"/>
      <c r="DG563" s="122"/>
      <c r="DH563" s="98"/>
      <c r="DI563" s="122"/>
      <c r="DJ563" s="98"/>
      <c r="DK563" s="122"/>
      <c r="DL563" s="98"/>
      <c r="DM563" s="122"/>
      <c r="DN563" s="98"/>
      <c r="DO563" s="122"/>
      <c r="DP563" s="98"/>
      <c r="DQ563" s="122"/>
      <c r="DR563" s="98"/>
      <c r="DS563" s="122"/>
      <c r="DT563" s="98"/>
      <c r="DU563" s="122"/>
      <c r="DV563" s="98"/>
      <c r="DW563" s="122"/>
      <c r="DX563" s="98"/>
      <c r="DY563" s="122"/>
      <c r="DZ563" s="98"/>
      <c r="EA563" s="122"/>
      <c r="EB563" s="98"/>
      <c r="EC563" s="122"/>
      <c r="ED563" s="98"/>
      <c r="EE563" s="122"/>
      <c r="EF563" s="860"/>
      <c r="EG563" s="122"/>
      <c r="EH563" s="860"/>
      <c r="EI563" s="122"/>
      <c r="EJ563" s="860"/>
      <c r="EK563" s="122"/>
      <c r="EL563" s="860"/>
      <c r="EM563" s="122"/>
      <c r="EN563" s="860"/>
      <c r="EO563" s="122"/>
      <c r="EP563" s="98"/>
      <c r="EQ563" s="950"/>
      <c r="ER563" s="98"/>
      <c r="ES563" s="950"/>
      <c r="ET563" s="98"/>
      <c r="EU563" s="950"/>
      <c r="EV563" s="98"/>
      <c r="EW563" s="950"/>
      <c r="EX563" s="98"/>
      <c r="EY563" s="122"/>
      <c r="EZ563" s="594"/>
      <c r="FA563" s="405"/>
      <c r="FB563" s="122"/>
      <c r="FC563" s="98"/>
      <c r="FD563" s="122"/>
      <c r="FE563" s="98"/>
      <c r="FF563" s="122"/>
      <c r="FG563" s="98"/>
      <c r="FH563" s="122"/>
      <c r="FI563" s="98"/>
      <c r="FJ563" s="122"/>
      <c r="FK563" s="98"/>
      <c r="FL563" s="122"/>
      <c r="FM563" s="98"/>
      <c r="FN563" s="118"/>
      <c r="FO563" s="98"/>
      <c r="FP563" s="118"/>
      <c r="FQ563" s="98"/>
      <c r="FR563" s="123"/>
      <c r="FS563" s="120"/>
      <c r="FT563" s="123"/>
      <c r="FU563" s="120"/>
      <c r="FV563" s="123"/>
      <c r="FW563" s="98"/>
      <c r="FX563" s="485"/>
      <c r="FY563" s="98"/>
      <c r="FZ563" s="119"/>
      <c r="GA563" s="98"/>
      <c r="GB563" s="485"/>
      <c r="GC563" s="98"/>
      <c r="GD563" s="119"/>
      <c r="GE563" s="98"/>
      <c r="GF563" s="119"/>
      <c r="GG563" s="98"/>
      <c r="GH563" s="119"/>
      <c r="GI563" s="98"/>
      <c r="GJ563" s="119">
        <f t="shared" si="3327"/>
        <v>0</v>
      </c>
      <c r="GK563" s="98"/>
      <c r="GL563" s="119">
        <f>EA563+EC563+EE563+EG563</f>
        <v>0</v>
      </c>
      <c r="GM563" s="98"/>
      <c r="GN563" s="119">
        <f>EI563+EK563+EM563+EO563</f>
        <v>0</v>
      </c>
      <c r="GO563" s="98"/>
      <c r="GP563" s="119"/>
      <c r="GQ563" s="98"/>
      <c r="GR563" s="122"/>
      <c r="GS563" s="98"/>
      <c r="GT563" s="122"/>
      <c r="GU563" s="98"/>
      <c r="GV563" s="122"/>
      <c r="GW563" s="98"/>
      <c r="GX563" s="122"/>
      <c r="GY563" s="98"/>
      <c r="GZ563" s="98" t="str">
        <f>IF(ISERROR(((GX563/GN563)^0.2-1)*100),"NA",IF((((GX563/GN563)^0.2-1)*100)&gt;100,"NM",IF((((GX563/GN563)^0.2-1)*100)&lt;-50,"NM",((GX563/GN563)^0.2-1)*100)))</f>
        <v>NA</v>
      </c>
      <c r="HA563" s="98"/>
      <c r="HB563" s="10"/>
      <c r="HC563"/>
      <c r="HD563"/>
      <c r="HE563"/>
      <c r="HF563"/>
      <c r="HG563"/>
      <c r="HH563"/>
      <c r="HI563" s="10"/>
    </row>
    <row r="564" spans="1:217" s="5" customFormat="1" ht="12.75" hidden="1" customHeight="1" outlineLevel="1" x14ac:dyDescent="0.2">
      <c r="B564" s="179" t="s">
        <v>684</v>
      </c>
      <c r="C564" s="284"/>
      <c r="D564" s="230"/>
      <c r="E564" s="284"/>
      <c r="F564" s="230"/>
      <c r="G564" s="284"/>
      <c r="H564" s="230"/>
      <c r="I564" s="284"/>
      <c r="J564" s="230"/>
      <c r="K564" s="284"/>
      <c r="L564" s="230"/>
      <c r="M564" s="284"/>
      <c r="N564" s="230"/>
      <c r="O564" s="284"/>
      <c r="P564" s="230"/>
      <c r="Q564" s="284"/>
      <c r="R564" s="230"/>
      <c r="S564" s="284"/>
      <c r="T564" s="230"/>
      <c r="U564" s="284"/>
      <c r="V564" s="230"/>
      <c r="W564" s="284"/>
      <c r="X564" s="230"/>
      <c r="Y564" s="284"/>
      <c r="Z564" s="230"/>
      <c r="AA564" s="284"/>
      <c r="AB564" s="230"/>
      <c r="AC564" s="284"/>
      <c r="AD564" s="230"/>
      <c r="AE564" s="284"/>
      <c r="AF564" s="230"/>
      <c r="AG564" s="284"/>
      <c r="AH564" s="230"/>
      <c r="AI564" s="284"/>
      <c r="AJ564" s="230"/>
      <c r="AK564" s="284"/>
      <c r="AL564" s="230"/>
      <c r="AM564" s="284"/>
      <c r="AN564" s="230"/>
      <c r="AO564" s="284"/>
      <c r="AP564" s="230"/>
      <c r="AQ564" s="284"/>
      <c r="AR564" s="230"/>
      <c r="AS564" s="284"/>
      <c r="AT564" s="230"/>
      <c r="AU564" s="284"/>
      <c r="AV564" s="230"/>
      <c r="AW564" s="284"/>
      <c r="AX564" s="230"/>
      <c r="AY564" s="284"/>
      <c r="AZ564" s="230"/>
      <c r="BA564" s="284"/>
      <c r="BB564" s="230"/>
      <c r="BC564" s="284"/>
      <c r="BD564" s="230"/>
      <c r="BE564" s="284"/>
      <c r="BF564" s="230"/>
      <c r="BG564" s="284"/>
      <c r="BH564" s="230"/>
      <c r="BI564" s="284"/>
      <c r="BJ564" s="230"/>
      <c r="BK564" s="284"/>
      <c r="BL564" s="230"/>
      <c r="BM564" s="284"/>
      <c r="BN564" s="230"/>
      <c r="BO564" s="284"/>
      <c r="BP564" s="230"/>
      <c r="BQ564" s="284"/>
      <c r="BR564" s="230"/>
      <c r="BS564" s="284"/>
      <c r="BT564" s="230"/>
      <c r="BU564" s="284"/>
      <c r="BV564" s="230"/>
      <c r="BW564" s="284"/>
      <c r="BX564" s="230"/>
      <c r="BY564" s="284"/>
      <c r="BZ564" s="230"/>
      <c r="CA564" s="284"/>
      <c r="CB564" s="230"/>
      <c r="CC564" s="284"/>
      <c r="CD564" s="230"/>
      <c r="CE564" s="284"/>
      <c r="CF564" s="230"/>
      <c r="CG564" s="284"/>
      <c r="CH564" s="230"/>
      <c r="CI564" s="284"/>
      <c r="CJ564" s="230"/>
      <c r="CK564" s="284"/>
      <c r="CL564" s="230"/>
      <c r="CM564" s="284"/>
      <c r="CN564" s="230"/>
      <c r="CO564" s="284"/>
      <c r="CP564" s="230"/>
      <c r="CQ564" s="562"/>
      <c r="CR564" s="230"/>
      <c r="CS564" s="284"/>
      <c r="CT564" s="230"/>
      <c r="CU564" s="284"/>
      <c r="CV564" s="230"/>
      <c r="CW564" s="284"/>
      <c r="CX564" s="230"/>
      <c r="CY564" s="284"/>
      <c r="CZ564" s="230"/>
      <c r="DA564" s="284"/>
      <c r="DB564" s="230"/>
      <c r="DC564" s="284"/>
      <c r="DD564" s="230"/>
      <c r="DE564" s="284"/>
      <c r="DF564" s="230"/>
      <c r="DG564" s="284"/>
      <c r="DH564" s="230"/>
      <c r="DI564" s="284"/>
      <c r="DJ564" s="230"/>
      <c r="DK564" s="284"/>
      <c r="DL564" s="230"/>
      <c r="DM564" s="284"/>
      <c r="DN564" s="98"/>
      <c r="DO564" s="284"/>
      <c r="DP564" s="98"/>
      <c r="DQ564" s="284"/>
      <c r="DR564" s="98"/>
      <c r="DS564" s="284"/>
      <c r="DT564" s="98"/>
      <c r="DU564" s="284"/>
      <c r="DV564" s="98"/>
      <c r="DW564" s="284"/>
      <c r="DX564" s="98"/>
      <c r="DY564" s="101"/>
      <c r="DZ564" s="98"/>
      <c r="EA564" s="101"/>
      <c r="EB564" s="98"/>
      <c r="EC564" s="101"/>
      <c r="ED564" s="98"/>
      <c r="EE564" s="101"/>
      <c r="EF564" s="860"/>
      <c r="EG564" s="101"/>
      <c r="EH564" s="860"/>
      <c r="EI564" s="101"/>
      <c r="EJ564" s="860"/>
      <c r="EK564" s="101"/>
      <c r="EL564" s="860"/>
      <c r="EM564" s="101"/>
      <c r="EN564" s="860"/>
      <c r="EO564" s="101"/>
      <c r="EP564" s="98"/>
      <c r="EQ564" s="952"/>
      <c r="ER564" s="98"/>
      <c r="ES564" s="952"/>
      <c r="ET564" s="98"/>
      <c r="EU564" s="952"/>
      <c r="EV564" s="98"/>
      <c r="EW564" s="952"/>
      <c r="EX564" s="98"/>
      <c r="EY564" s="121"/>
      <c r="EZ564" s="594"/>
      <c r="FA564" s="405"/>
      <c r="FB564" s="200"/>
      <c r="FC564" s="200"/>
      <c r="FD564" s="121"/>
      <c r="FE564" s="98"/>
      <c r="FF564" s="118"/>
      <c r="FG564" s="98"/>
      <c r="FH564" s="118"/>
      <c r="FI564" s="98"/>
      <c r="FJ564" s="118"/>
      <c r="FK564" s="98"/>
      <c r="FL564" s="118"/>
      <c r="FM564" s="98"/>
      <c r="FN564" s="118"/>
      <c r="FO564" s="98"/>
      <c r="FP564" s="118"/>
      <c r="FQ564" s="98"/>
      <c r="FR564" s="119"/>
      <c r="FS564" s="120"/>
      <c r="FT564" s="119"/>
      <c r="FU564" s="98"/>
      <c r="FV564" s="121"/>
      <c r="FW564" s="98"/>
      <c r="FX564" s="485"/>
      <c r="FY564" s="98"/>
      <c r="FZ564" s="119"/>
      <c r="GA564" s="98"/>
      <c r="GB564" s="542"/>
      <c r="GC564" s="98"/>
      <c r="GD564" s="119"/>
      <c r="GE564" s="98"/>
      <c r="GF564" s="119"/>
      <c r="GG564" s="98"/>
      <c r="GH564" s="119"/>
      <c r="GI564" s="98"/>
      <c r="GJ564" s="119">
        <f t="shared" si="3327"/>
        <v>0</v>
      </c>
      <c r="GK564" s="98"/>
      <c r="GL564" s="119">
        <f>EA564+EC564+EE588+EG564</f>
        <v>0</v>
      </c>
      <c r="GM564" s="98"/>
      <c r="GN564" s="119">
        <f t="shared" ref="GN564:GN565" si="3328">EI564+EK564+EM564+EO564</f>
        <v>0</v>
      </c>
      <c r="GO564" s="98"/>
      <c r="GP564" s="119"/>
      <c r="GQ564" s="98"/>
      <c r="GR564" s="122"/>
      <c r="GS564" s="98"/>
      <c r="GT564" s="122"/>
      <c r="GU564" s="98"/>
      <c r="GV564" s="122"/>
      <c r="GW564" s="98"/>
      <c r="GX564" s="122"/>
      <c r="GY564" s="98"/>
      <c r="GZ564" s="98" t="s">
        <v>494</v>
      </c>
      <c r="HA564" s="98"/>
      <c r="HB564" s="15"/>
      <c r="HC564"/>
      <c r="HD564"/>
      <c r="HE564"/>
      <c r="HF564"/>
      <c r="HG564"/>
      <c r="HH564"/>
      <c r="HI564" s="15"/>
    </row>
    <row r="565" spans="1:217" s="5" customFormat="1" ht="12.75" hidden="1" customHeight="1" outlineLevel="1" x14ac:dyDescent="0.2">
      <c r="B565" s="179" t="s">
        <v>752</v>
      </c>
      <c r="C565" s="284"/>
      <c r="D565" s="230"/>
      <c r="E565" s="284"/>
      <c r="F565" s="230"/>
      <c r="G565" s="284"/>
      <c r="H565" s="230"/>
      <c r="I565" s="284"/>
      <c r="J565" s="230"/>
      <c r="K565" s="284"/>
      <c r="L565" s="230"/>
      <c r="M565" s="284"/>
      <c r="N565" s="230"/>
      <c r="O565" s="284"/>
      <c r="P565" s="230"/>
      <c r="Q565" s="284"/>
      <c r="R565" s="230"/>
      <c r="S565" s="284"/>
      <c r="T565" s="230"/>
      <c r="U565" s="284"/>
      <c r="V565" s="230"/>
      <c r="W565" s="284"/>
      <c r="X565" s="230"/>
      <c r="Y565" s="284"/>
      <c r="Z565" s="230"/>
      <c r="AA565" s="284"/>
      <c r="AB565" s="230"/>
      <c r="AC565" s="284"/>
      <c r="AD565" s="230"/>
      <c r="AE565" s="284"/>
      <c r="AF565" s="230"/>
      <c r="AG565" s="284"/>
      <c r="AH565" s="230"/>
      <c r="AI565" s="284"/>
      <c r="AJ565" s="230"/>
      <c r="AK565" s="284"/>
      <c r="AL565" s="230"/>
      <c r="AM565" s="284"/>
      <c r="AN565" s="230"/>
      <c r="AO565" s="284"/>
      <c r="AP565" s="230"/>
      <c r="AQ565" s="284"/>
      <c r="AR565" s="230"/>
      <c r="AS565" s="284"/>
      <c r="AT565" s="230"/>
      <c r="AU565" s="284"/>
      <c r="AV565" s="230"/>
      <c r="AW565" s="284"/>
      <c r="AX565" s="230"/>
      <c r="AY565" s="284"/>
      <c r="AZ565" s="230"/>
      <c r="BA565" s="284"/>
      <c r="BB565" s="230"/>
      <c r="BC565" s="284"/>
      <c r="BD565" s="230"/>
      <c r="BE565" s="284"/>
      <c r="BF565" s="230"/>
      <c r="BG565" s="284"/>
      <c r="BH565" s="230"/>
      <c r="BI565" s="284"/>
      <c r="BJ565" s="230"/>
      <c r="BK565" s="284"/>
      <c r="BL565" s="230"/>
      <c r="BM565" s="284"/>
      <c r="BN565" s="230"/>
      <c r="BO565" s="284"/>
      <c r="BP565" s="230"/>
      <c r="BQ565" s="284"/>
      <c r="BR565" s="230"/>
      <c r="BS565" s="284"/>
      <c r="BT565" s="230"/>
      <c r="BU565" s="284"/>
      <c r="BV565" s="230"/>
      <c r="BW565" s="284"/>
      <c r="BX565" s="230"/>
      <c r="BY565" s="284"/>
      <c r="BZ565" s="230"/>
      <c r="CA565" s="284"/>
      <c r="CB565" s="230"/>
      <c r="CC565" s="284"/>
      <c r="CD565" s="230"/>
      <c r="CE565" s="284"/>
      <c r="CF565" s="230"/>
      <c r="CG565" s="284"/>
      <c r="CH565" s="230"/>
      <c r="CI565" s="284"/>
      <c r="CJ565" s="230"/>
      <c r="CK565" s="284"/>
      <c r="CL565" s="230"/>
      <c r="CM565" s="284"/>
      <c r="CN565" s="230"/>
      <c r="CO565" s="284"/>
      <c r="CP565" s="230"/>
      <c r="CQ565" s="562"/>
      <c r="CR565" s="230"/>
      <c r="CS565" s="284"/>
      <c r="CT565" s="230"/>
      <c r="CU565" s="284"/>
      <c r="CV565" s="230"/>
      <c r="CW565" s="284"/>
      <c r="CX565" s="230"/>
      <c r="CY565" s="284"/>
      <c r="CZ565" s="230"/>
      <c r="DA565" s="284"/>
      <c r="DB565" s="230"/>
      <c r="DC565" s="284"/>
      <c r="DD565" s="230"/>
      <c r="DE565" s="284"/>
      <c r="DF565" s="230"/>
      <c r="DG565" s="284"/>
      <c r="DH565" s="230"/>
      <c r="DI565" s="284"/>
      <c r="DJ565" s="230"/>
      <c r="DK565" s="284"/>
      <c r="DL565" s="230"/>
      <c r="DM565" s="284"/>
      <c r="DN565" s="98"/>
      <c r="DO565" s="284"/>
      <c r="DP565" s="98"/>
      <c r="DQ565" s="284"/>
      <c r="DR565" s="98"/>
      <c r="DS565" s="284"/>
      <c r="DT565" s="98"/>
      <c r="DU565" s="284"/>
      <c r="DV565" s="98"/>
      <c r="DW565" s="284"/>
      <c r="DX565" s="98"/>
      <c r="DY565" s="101"/>
      <c r="DZ565" s="98"/>
      <c r="EA565" s="101"/>
      <c r="EB565" s="98"/>
      <c r="EC565" s="101"/>
      <c r="ED565" s="98"/>
      <c r="EE565" s="101"/>
      <c r="EF565" s="860"/>
      <c r="EG565" s="101"/>
      <c r="EH565" s="860"/>
      <c r="EI565" s="101"/>
      <c r="EJ565" s="860"/>
      <c r="EK565" s="101"/>
      <c r="EL565" s="860"/>
      <c r="EM565" s="101"/>
      <c r="EN565" s="860"/>
      <c r="EO565" s="101"/>
      <c r="EP565" s="98"/>
      <c r="EQ565" s="952"/>
      <c r="ER565" s="98"/>
      <c r="ES565" s="952"/>
      <c r="ET565" s="98"/>
      <c r="EU565" s="952"/>
      <c r="EV565" s="98"/>
      <c r="EW565" s="952"/>
      <c r="EX565" s="98"/>
      <c r="EY565" s="121"/>
      <c r="EZ565" s="594"/>
      <c r="FA565" s="405"/>
      <c r="FB565" s="200"/>
      <c r="FC565" s="200"/>
      <c r="FD565" s="121"/>
      <c r="FE565" s="98"/>
      <c r="FF565" s="118"/>
      <c r="FG565" s="98"/>
      <c r="FH565" s="118"/>
      <c r="FI565" s="98"/>
      <c r="FJ565" s="118"/>
      <c r="FK565" s="98"/>
      <c r="FL565" s="118"/>
      <c r="FM565" s="98"/>
      <c r="FN565" s="118"/>
      <c r="FO565" s="98"/>
      <c r="FP565" s="118"/>
      <c r="FQ565" s="98"/>
      <c r="FR565" s="119"/>
      <c r="FS565" s="120"/>
      <c r="FT565" s="119"/>
      <c r="FU565" s="98"/>
      <c r="FV565" s="121"/>
      <c r="FW565" s="98"/>
      <c r="FX565" s="485"/>
      <c r="FY565" s="98"/>
      <c r="FZ565" s="119"/>
      <c r="GA565" s="98"/>
      <c r="GB565" s="542"/>
      <c r="GC565" s="98"/>
      <c r="GD565" s="119"/>
      <c r="GE565" s="98"/>
      <c r="GF565" s="119"/>
      <c r="GG565" s="98"/>
      <c r="GH565" s="119"/>
      <c r="GI565" s="98"/>
      <c r="GJ565" s="119">
        <f t="shared" si="3327"/>
        <v>0</v>
      </c>
      <c r="GK565" s="98"/>
      <c r="GL565" s="119">
        <f>EG565</f>
        <v>0</v>
      </c>
      <c r="GM565" s="98"/>
      <c r="GN565" s="119">
        <f t="shared" si="3328"/>
        <v>0</v>
      </c>
      <c r="GO565" s="98"/>
      <c r="GP565" s="119"/>
      <c r="GQ565" s="98"/>
      <c r="GR565" s="952"/>
      <c r="GS565" s="98"/>
      <c r="GT565" s="952"/>
      <c r="GU565" s="98"/>
      <c r="GV565" s="952"/>
      <c r="GW565" s="98"/>
      <c r="GX565" s="952"/>
      <c r="GY565" s="98"/>
      <c r="GZ565" s="98" t="s">
        <v>494</v>
      </c>
      <c r="HA565" s="98"/>
      <c r="HB565" s="15"/>
      <c r="HC565"/>
      <c r="HD565"/>
      <c r="HE565"/>
      <c r="HF565"/>
      <c r="HG565"/>
      <c r="HH565"/>
      <c r="HI565" s="15"/>
    </row>
    <row r="566" spans="1:217" s="2" customFormat="1" ht="12.75" hidden="1" customHeight="1" outlineLevel="1" x14ac:dyDescent="0.2">
      <c r="B566" s="131" t="s">
        <v>160</v>
      </c>
      <c r="C566" s="182"/>
      <c r="D566" s="98"/>
      <c r="E566" s="182"/>
      <c r="F566" s="98"/>
      <c r="G566" s="182"/>
      <c r="H566" s="98"/>
      <c r="I566" s="182"/>
      <c r="J566" s="98"/>
      <c r="K566" s="182"/>
      <c r="L566" s="98"/>
      <c r="M566" s="182"/>
      <c r="N566" s="98"/>
      <c r="O566" s="182"/>
      <c r="P566" s="98"/>
      <c r="Q566" s="182"/>
      <c r="R566" s="98"/>
      <c r="S566" s="182"/>
      <c r="T566" s="98"/>
      <c r="U566" s="182"/>
      <c r="V566" s="98"/>
      <c r="W566" s="182"/>
      <c r="X566" s="98"/>
      <c r="Y566" s="182"/>
      <c r="Z566" s="98"/>
      <c r="AA566" s="182"/>
      <c r="AB566" s="98"/>
      <c r="AC566" s="182"/>
      <c r="AD566" s="98"/>
      <c r="AE566" s="182"/>
      <c r="AF566" s="98"/>
      <c r="AG566" s="182"/>
      <c r="AH566" s="98"/>
      <c r="AI566" s="182"/>
      <c r="AJ566" s="98"/>
      <c r="AK566" s="182"/>
      <c r="AL566" s="98"/>
      <c r="AM566" s="182"/>
      <c r="AN566" s="98"/>
      <c r="AO566" s="182"/>
      <c r="AP566" s="98"/>
      <c r="AQ566" s="182"/>
      <c r="AR566" s="98"/>
      <c r="AS566" s="182"/>
      <c r="AT566" s="98"/>
      <c r="AU566" s="182"/>
      <c r="AV566" s="98"/>
      <c r="AW566" s="182"/>
      <c r="AX566" s="98"/>
      <c r="AY566" s="182"/>
      <c r="AZ566" s="98"/>
      <c r="BA566" s="182"/>
      <c r="BB566" s="98"/>
      <c r="BC566" s="182"/>
      <c r="BD566" s="98"/>
      <c r="BE566" s="182"/>
      <c r="BF566" s="98"/>
      <c r="BG566" s="182"/>
      <c r="BH566" s="98"/>
      <c r="BI566" s="182"/>
      <c r="BJ566" s="98"/>
      <c r="BK566" s="182"/>
      <c r="BL566" s="98"/>
      <c r="BM566" s="182"/>
      <c r="BN566" s="98"/>
      <c r="BO566" s="182"/>
      <c r="BP566" s="98"/>
      <c r="BQ566" s="182"/>
      <c r="BR566" s="98"/>
      <c r="BS566" s="182"/>
      <c r="BT566" s="98"/>
      <c r="BU566" s="182"/>
      <c r="BV566" s="98"/>
      <c r="BW566" s="182"/>
      <c r="BX566" s="98"/>
      <c r="BY566" s="182"/>
      <c r="BZ566" s="98"/>
      <c r="CA566" s="182"/>
      <c r="CB566" s="98"/>
      <c r="CC566" s="182"/>
      <c r="CD566" s="98"/>
      <c r="CE566" s="182"/>
      <c r="CF566" s="98"/>
      <c r="CG566" s="182"/>
      <c r="CH566" s="98"/>
      <c r="CI566" s="182"/>
      <c r="CJ566" s="98"/>
      <c r="CK566" s="182"/>
      <c r="CL566" s="98"/>
      <c r="CM566" s="182"/>
      <c r="CN566" s="98"/>
      <c r="CO566" s="182"/>
      <c r="CP566" s="98"/>
      <c r="CQ566" s="512"/>
      <c r="CR566" s="98"/>
      <c r="CS566" s="182"/>
      <c r="CT566" s="98"/>
      <c r="CU566" s="182"/>
      <c r="CV566" s="98"/>
      <c r="CW566" s="182"/>
      <c r="CX566" s="98"/>
      <c r="CY566" s="182"/>
      <c r="CZ566" s="98"/>
      <c r="DA566" s="182"/>
      <c r="DB566" s="98"/>
      <c r="DC566" s="182"/>
      <c r="DD566" s="98"/>
      <c r="DE566" s="182"/>
      <c r="DF566" s="98"/>
      <c r="DG566" s="182"/>
      <c r="DH566" s="98"/>
      <c r="DI566" s="182"/>
      <c r="DJ566" s="98"/>
      <c r="DK566" s="182"/>
      <c r="DL566" s="98"/>
      <c r="DM566" s="182"/>
      <c r="DN566" s="98"/>
      <c r="DO566" s="182"/>
      <c r="DP566" s="98"/>
      <c r="DQ566" s="182"/>
      <c r="DR566" s="98"/>
      <c r="DS566" s="1021"/>
      <c r="DT566" s="98"/>
      <c r="DU566" s="1021"/>
      <c r="DV566" s="98"/>
      <c r="DW566" s="1021"/>
      <c r="DX566" s="98"/>
      <c r="DY566" s="1021"/>
      <c r="DZ566" s="98"/>
      <c r="EA566" s="1021"/>
      <c r="EB566" s="98"/>
      <c r="EC566" s="1021"/>
      <c r="ED566" s="98"/>
      <c r="EE566" s="1021"/>
      <c r="EF566" s="860"/>
      <c r="EG566" s="1021"/>
      <c r="EH566" s="860"/>
      <c r="EI566" s="1021"/>
      <c r="EJ566" s="860"/>
      <c r="EK566" s="1021"/>
      <c r="EL566" s="860" t="str">
        <f t="shared" si="3321"/>
        <v>NA</v>
      </c>
      <c r="EM566" s="1021"/>
      <c r="EN566" s="860"/>
      <c r="EO566" s="1021"/>
      <c r="EP566" s="98" t="str">
        <f t="shared" si="3322"/>
        <v>NA</v>
      </c>
      <c r="EQ566" s="1021"/>
      <c r="ER566" s="98" t="str">
        <f t="shared" ref="ER566" si="3329">IF(ISERROR((EQ566/EI566-1)*100),"NA",IF(((EQ566/EI566-1)*100)&gt;100,"NM",IF(((EQ566/EI566-1)*100)&lt;-50,"NM",(EQ566/EI566-1)*100)))</f>
        <v>NA</v>
      </c>
      <c r="ES566" s="1021"/>
      <c r="ET566" s="98" t="str">
        <f t="shared" ref="ET566" si="3330">IF(ISERROR((ES566/EK566-1)*100),"NA",IF(((ES566/EK566-1)*100)&gt;100,"NM",IF(((ES566/EK566-1)*100)&lt;-50,"NM",(ES566/EK566-1)*100)))</f>
        <v>NA</v>
      </c>
      <c r="EU566" s="1021"/>
      <c r="EV566" s="98" t="str">
        <f t="shared" ref="EV566" si="3331">IF(ISERROR((EU566/EM566-1)*100),"NA",IF(((EU566/EM566-1)*100)&gt;100,"NM",IF(((EU566/EM566-1)*100)&lt;-50,"NM",(EU566/EM566-1)*100)))</f>
        <v>NA</v>
      </c>
      <c r="EW566" s="1021"/>
      <c r="EX566" s="98" t="str">
        <f t="shared" ref="EX566" si="3332">IF(ISERROR((EW566/EO566-1)*100),"NA",IF(((EW566/EO566-1)*100)&gt;100,"NM",IF(((EW566/EO566-1)*100)&lt;-50,"NM",(EW566/EO566-1)*100)))</f>
        <v>NA</v>
      </c>
      <c r="EY566" s="182"/>
      <c r="EZ566" s="594"/>
      <c r="FA566" s="405"/>
      <c r="FB566" s="1021">
        <f>FB562+FB561+FB560+FB553+FB564+FB563+FB565</f>
        <v>1701</v>
      </c>
      <c r="FC566" s="182"/>
      <c r="FD566" s="1021">
        <f>FD562+FD561+FD560+FD553+FD564+FD563+FD565</f>
        <v>1654</v>
      </c>
      <c r="FE566" s="98">
        <f>IF(ISERROR((FD566/FB566-1)*100),"NA",IF(((FD566/FB566-1)*100)&gt;100,"NM",IF(((FD566/FB566-1)*100)&lt;-50,"NM",(FD566/FB566-1)*100)))</f>
        <v>-2.7630805408583203</v>
      </c>
      <c r="FF566" s="1021">
        <f>FF562+FF561+FF560+FF553+FF564+FF563+FF565</f>
        <v>-27</v>
      </c>
      <c r="FG566" s="98" t="str">
        <f>IF(ISERROR((FF566/FD566-1)*100),"NA",IF(((FF566/FD566-1)*100)&gt;100,"NM",IF(((FF566/FD566-1)*100)&lt;-50,"NM",(FF566/FD566-1)*100)))</f>
        <v>NM</v>
      </c>
      <c r="FH566" s="1021">
        <f>FH562+FH561+FH560+FH553+FH564+FH563+FH565</f>
        <v>-98</v>
      </c>
      <c r="FI566" s="98" t="str">
        <f>IF(ISERROR((FH566/FF566-1)*100),"NA",IF(((FH566/FF566-1)*100)&gt;100,"NM",IF(((FH566/FF566-1)*100)&lt;-50,"NM",(FH566/FF566-1)*100)))</f>
        <v>NM</v>
      </c>
      <c r="FJ566" s="1021">
        <f>FJ562+FJ561+FJ560+FJ553+FJ564+FJ563+FJ565</f>
        <v>-202</v>
      </c>
      <c r="FK566" s="98" t="str">
        <f>IF(ISERROR((FJ566/FH566-1)*100),"NA",IF(((FJ566/FH566-1)*100)&gt;100,"NM",IF(((FJ566/FH566-1)*100)&lt;-50,"NM",(FJ566/FH566-1)*100)))</f>
        <v>NM</v>
      </c>
      <c r="FL566" s="1021">
        <f>FL562+FL561+FL560+FL553+FL564+FL563+FL565</f>
        <v>-382</v>
      </c>
      <c r="FM566" s="98">
        <f>IF(ISERROR((FL566/FJ566-1)*100),"NA",IF(((FL566/FJ566-1)*100)&gt;100,"NM",IF(((FL566/FJ566-1)*100)&lt;-50,"NM",(FL566/FJ566-1)*100)))</f>
        <v>89.108910891089096</v>
      </c>
      <c r="FN566" s="1021">
        <f>FN562+FN561+FN560+FN553+FN564+FN563+FN565</f>
        <v>0</v>
      </c>
      <c r="FO566" s="98" t="str">
        <f>IF(ISERROR((FN566/FL566-1)*100),"NA",IF(((FN566/FL566-1)*100)&gt;100,"NM",IF(((FN566/FL566-1)*100)&lt;-50,"NM",(FN566/FL566-1)*100)))</f>
        <v>NM</v>
      </c>
      <c r="FP566" s="1021">
        <f>FP562+FP561+FP560+FP553+FP564+FP563+FP565</f>
        <v>0</v>
      </c>
      <c r="FQ566" s="98" t="str">
        <f>IF(ISERROR((FP566/FN566-1)*100),"NA",IF(((FP566/FN566-1)*100)&gt;100,"NM",IF(((FP566/FN566-1)*100)&lt;-50,"NM",(FP566/FN566-1)*100)))</f>
        <v>NA</v>
      </c>
      <c r="FR566" s="1021">
        <f>FR562+FR561+FR560+FR553+FR564+FR563+FR565</f>
        <v>0</v>
      </c>
      <c r="FS566" s="120" t="str">
        <f>IF(ISERROR((FR566/FP566-1)*100),"NA",IF(((FR566/FP566-1)*100)&gt;100,"NM",IF(((FR566/FP566-1)*100)&lt;-50,"NM",(FR566/FP566-1)*100)))</f>
        <v>NA</v>
      </c>
      <c r="FT566" s="1021">
        <f>FT562+FT561+FT560+FT553+FT564+FT563+FT565</f>
        <v>0</v>
      </c>
      <c r="FU566" s="120" t="str">
        <f>IF(ISERROR((FT566/FR566-1)*100),"NA",IF(((FT566/FR566-1)*100)&gt;100,"NM",IF(((FT566/FR566-1)*100)&lt;-50,"NM",(FT566/FR566-1)*100)))</f>
        <v>NA</v>
      </c>
      <c r="FV566" s="1021">
        <f>FV562+FV561+FV560+FV553+FV564+FV563+FV565</f>
        <v>4096</v>
      </c>
      <c r="FW566" s="98" t="str">
        <f>IF(ISERROR((FV566/FT566-1)*100),"NA",IF(((FV566/FT566-1)*100)&gt;100,"NM",IF(((FV566/FT566-1)*100)&lt;-50,"NM",(FV566/FT566-1)*100)))</f>
        <v>NA</v>
      </c>
      <c r="FX566" s="1021">
        <f>FX562+FX561+FX560+FX553+FX564+FX563+FX565</f>
        <v>0</v>
      </c>
      <c r="FY566" s="98" t="str">
        <f>IF(ISERROR((FX566/FV566-1)*100),"NA",IF(((FX566/FV566-1)*100)&gt;100,"NM",IF(((FX566/FV566-1)*100)&lt;-50,"NM",(FX566/FV566-1)*100)))</f>
        <v>NM</v>
      </c>
      <c r="FZ566" s="1021">
        <f>FZ562+FZ561+FZ560+FZ553+FZ564+FZ563+FZ565</f>
        <v>0</v>
      </c>
      <c r="GA566" s="98" t="str">
        <f>IF(ISERROR((FZ566/FX566-1)*100),"NA",IF(((FZ566/FX566-1)*100)&gt;100,"NM",IF(((FZ566/FX566-1)*100)&lt;-50,"NM",(FZ566/FX566-1)*100)))</f>
        <v>NA</v>
      </c>
      <c r="GB566" s="1021">
        <f>GB562+GB561+GB560+GB553+GB564+GB563+GB565</f>
        <v>0</v>
      </c>
      <c r="GC566" s="98" t="str">
        <f>IF(ISERROR((GB566/FZ566-1)*100),"NA",IF(((GB566/FZ566-1)*100)&gt;100,"NM",IF(((GB566/FZ566-1)*100)&lt;-50,"NM",(GB566/FZ566-1)*100)))</f>
        <v>NA</v>
      </c>
      <c r="GD566" s="1021">
        <f>GD562+GD561+GD560+GD553+GD564+GD563+GD565</f>
        <v>0</v>
      </c>
      <c r="GE566" s="98" t="str">
        <f>IF(ISERROR((GD566/GB566-1)*100),"NA",IF(((GD566/GB566-1)*100)&gt;100,"NM",IF(((GD566/GB566-1)*100)&lt;-50,"NM",(GD566/GB566-1)*100)))</f>
        <v>NA</v>
      </c>
      <c r="GF566" s="1021">
        <f>GF562+GF561+GF560+GF553+GF564+GF563+GF565</f>
        <v>0</v>
      </c>
      <c r="GG566" s="98" t="str">
        <f>IF(ISERROR((GF566/GD566-1)*100),"NA",IF(((GF566/GD566-1)*100)&gt;100,"NM",IF(((GF566/GD566-1)*100)&lt;-50,"NM",(GF566/GD566-1)*100)))</f>
        <v>NA</v>
      </c>
      <c r="GH566" s="1021">
        <f>GH562+GH561+GH560+GH553+GH564+GH563+GH565</f>
        <v>0</v>
      </c>
      <c r="GI566" s="98" t="str">
        <f>IF(ISERROR((GH566/GF566-1)*100),"NA",IF(((GH566/GF566-1)*100)&gt;100,"NM",IF(((GH566/GF566-1)*100)&lt;-50,"NM",(GH566/GF566-1)*100)))</f>
        <v>NA</v>
      </c>
      <c r="GJ566" s="1021">
        <f>GJ562+GJ561+GJ560+GJ553+GJ564+GJ563+GJ565</f>
        <v>0</v>
      </c>
      <c r="GK566" s="98" t="str">
        <f>IF(ISERROR((GJ566/GH566-1)*100),"NA",IF(((GJ566/GH566-1)*100)&gt;100,"NM",IF(((GJ566/GH566-1)*100)&lt;-50,"NM",(GJ566/GH566-1)*100)))</f>
        <v>NA</v>
      </c>
      <c r="GL566" s="1021">
        <f>GL562+GL561+GL560+GL553+GL564+GL563+GL565</f>
        <v>0</v>
      </c>
      <c r="GM566" s="98" t="str">
        <f>IF(ISERROR((GL566/GJ566-1)*100),"NA",IF(((GL566/GJ566-1)*100)&gt;100,"NM",IF(((GL566/GJ566-1)*100)&lt;-50,"NM",(GL566/GJ566-1)*100)))</f>
        <v>NA</v>
      </c>
      <c r="GN566" s="1021">
        <f>GN562+GN561+GN560+GN553+GN564+GN563+GN565</f>
        <v>0</v>
      </c>
      <c r="GO566" s="98" t="str">
        <f>IF(ISERROR((GN566/GL566-1)*100),"NA",IF(((GN566/GL566-1)*100)&gt;100,"NM",IF(((GN566/GL566-1)*100)&lt;-50,"NM",(GN566/GL566-1)*100)))</f>
        <v>NA</v>
      </c>
      <c r="GP566" s="1021"/>
      <c r="GQ566" s="98" t="str">
        <f>IF(ISERROR((GP566/GN566-1)*100),"NA",IF(((GP566/GN566-1)*100)&gt;100,"NM",IF(((GP566/GN566-1)*100)&lt;-50,"NM",(GP566/GN566-1)*100)))</f>
        <v>NA</v>
      </c>
      <c r="GR566" s="1021"/>
      <c r="GS566" s="98" t="str">
        <f>IF(ISERROR((GR566/GP566-1)*100),"NA",IF(((GR566/GP566-1)*100)&gt;100,"NM",IF(((GR566/GP566-1)*100)&lt;-50,"NM",(GR566/GP566-1)*100)))</f>
        <v>NA</v>
      </c>
      <c r="GT566" s="1021"/>
      <c r="GU566" s="98"/>
      <c r="GV566" s="1021"/>
      <c r="GW566" s="98" t="str">
        <f>IF(ISERROR((GV566/GT566-1)*100),"NA",IF(((GV566/GT566-1)*100)&gt;100,"NM",IF(((GV566/GT566-1)*100)&lt;-50,"NM",(GV566/GT566-1)*100)))</f>
        <v>NA</v>
      </c>
      <c r="GX566" s="1021"/>
      <c r="GY566" s="98" t="str">
        <f>IF(ISERROR((GX566/GV566-1)*100),"NA",IF(((GX566/GV566-1)*100)&gt;100,"NM",IF(((GX566/GV566-1)*100)&lt;-50,"NM",(GX566/GV566-1)*100)))</f>
        <v>NA</v>
      </c>
      <c r="GZ566" s="98" t="str">
        <f>IF(ISERROR(((GX566/GN566)^0.2-1)*100),"NA",IF((((GX566/GN566)^0.2-1)*100)&gt;100,"NM",IF((((GX566/GN566)^0.2-1)*100)&lt;-50,"NM",((GX566/GN566)^0.2-1)*100)))</f>
        <v>NA</v>
      </c>
      <c r="HA566" s="98"/>
      <c r="HB566" s="10"/>
      <c r="HC566"/>
      <c r="HD566"/>
      <c r="HE566"/>
      <c r="HF566"/>
      <c r="HG566"/>
      <c r="HH566"/>
      <c r="HI566" s="10"/>
    </row>
    <row r="567" spans="1:217" s="2" customFormat="1" ht="12.75" hidden="1" customHeight="1" outlineLevel="1" x14ac:dyDescent="0.2">
      <c r="B567" s="179"/>
      <c r="C567" s="182"/>
      <c r="D567" s="98"/>
      <c r="E567" s="182"/>
      <c r="F567" s="98"/>
      <c r="G567" s="182"/>
      <c r="H567" s="98"/>
      <c r="I567" s="182"/>
      <c r="J567" s="98"/>
      <c r="K567" s="182"/>
      <c r="L567" s="98"/>
      <c r="M567" s="182"/>
      <c r="N567" s="98"/>
      <c r="O567" s="182"/>
      <c r="P567" s="98"/>
      <c r="Q567" s="182"/>
      <c r="R567" s="98"/>
      <c r="S567" s="182"/>
      <c r="T567" s="98"/>
      <c r="U567" s="182"/>
      <c r="V567" s="98"/>
      <c r="W567" s="182"/>
      <c r="X567" s="98"/>
      <c r="Y567" s="182"/>
      <c r="Z567" s="98"/>
      <c r="AA567" s="182"/>
      <c r="AB567" s="98"/>
      <c r="AC567" s="182"/>
      <c r="AD567" s="98"/>
      <c r="AE567" s="182"/>
      <c r="AF567" s="98"/>
      <c r="AG567" s="182"/>
      <c r="AH567" s="98"/>
      <c r="AI567" s="182"/>
      <c r="AJ567" s="98"/>
      <c r="AK567" s="182"/>
      <c r="AL567" s="98"/>
      <c r="AM567" s="182"/>
      <c r="AN567" s="98"/>
      <c r="AO567" s="182"/>
      <c r="AP567" s="98"/>
      <c r="AQ567" s="182"/>
      <c r="AR567" s="98"/>
      <c r="AS567" s="182"/>
      <c r="AT567" s="98"/>
      <c r="AU567" s="182"/>
      <c r="AV567" s="98"/>
      <c r="AW567" s="182"/>
      <c r="AX567" s="98"/>
      <c r="AY567" s="182"/>
      <c r="AZ567" s="98"/>
      <c r="BA567" s="182"/>
      <c r="BB567" s="98"/>
      <c r="BC567" s="182"/>
      <c r="BD567" s="98"/>
      <c r="BE567" s="182"/>
      <c r="BF567" s="98"/>
      <c r="BG567" s="182"/>
      <c r="BH567" s="98"/>
      <c r="BI567" s="182"/>
      <c r="BJ567" s="98"/>
      <c r="BK567" s="182"/>
      <c r="BL567" s="98"/>
      <c r="BM567" s="182"/>
      <c r="BN567" s="98"/>
      <c r="BO567" s="182"/>
      <c r="BP567" s="98"/>
      <c r="BQ567" s="182"/>
      <c r="BR567" s="98"/>
      <c r="BS567" s="182"/>
      <c r="BT567" s="98"/>
      <c r="BU567" s="182"/>
      <c r="BV567" s="98"/>
      <c r="BW567" s="182"/>
      <c r="BX567" s="98"/>
      <c r="BY567" s="182"/>
      <c r="BZ567" s="98"/>
      <c r="CA567" s="182"/>
      <c r="CB567" s="98"/>
      <c r="CC567" s="182"/>
      <c r="CD567" s="98"/>
      <c r="CE567" s="182"/>
      <c r="CF567" s="98"/>
      <c r="CG567" s="182"/>
      <c r="CH567" s="98"/>
      <c r="CI567" s="182"/>
      <c r="CJ567" s="98"/>
      <c r="CK567" s="182"/>
      <c r="CL567" s="98"/>
      <c r="CM567" s="182"/>
      <c r="CN567" s="98"/>
      <c r="CO567" s="182"/>
      <c r="CP567" s="98"/>
      <c r="CQ567" s="512"/>
      <c r="CR567" s="98"/>
      <c r="CS567" s="182"/>
      <c r="CT567" s="98"/>
      <c r="CU567" s="182"/>
      <c r="CV567" s="98"/>
      <c r="CW567" s="182"/>
      <c r="CX567" s="98"/>
      <c r="CY567" s="182"/>
      <c r="CZ567" s="98"/>
      <c r="DA567" s="182"/>
      <c r="DB567" s="98"/>
      <c r="DC567" s="182"/>
      <c r="DD567" s="98"/>
      <c r="DE567" s="182"/>
      <c r="DF567" s="98"/>
      <c r="DG567" s="182"/>
      <c r="DH567" s="98"/>
      <c r="DI567" s="182"/>
      <c r="DJ567" s="465"/>
      <c r="DK567" s="182"/>
      <c r="DL567" s="465"/>
      <c r="DM567" s="182"/>
      <c r="DN567" s="98"/>
      <c r="DO567" s="182"/>
      <c r="DP567" s="98"/>
      <c r="DQ567" s="182"/>
      <c r="DR567" s="98"/>
      <c r="DS567" s="182"/>
      <c r="DT567" s="98"/>
      <c r="DU567" s="182"/>
      <c r="DV567" s="98"/>
      <c r="DW567" s="182"/>
      <c r="DX567" s="98"/>
      <c r="DY567" s="182"/>
      <c r="DZ567" s="98"/>
      <c r="EA567" s="182"/>
      <c r="EB567" s="98"/>
      <c r="EC567" s="182"/>
      <c r="ED567" s="98"/>
      <c r="EE567" s="182"/>
      <c r="EF567" s="860"/>
      <c r="EG567" s="182"/>
      <c r="EH567" s="860"/>
      <c r="EI567" s="182"/>
      <c r="EJ567" s="860"/>
      <c r="EK567" s="182"/>
      <c r="EL567" s="860"/>
      <c r="EM567" s="182"/>
      <c r="EN567" s="860"/>
      <c r="EO567" s="182"/>
      <c r="EP567" s="98"/>
      <c r="EQ567" s="1021"/>
      <c r="ER567" s="98"/>
      <c r="ES567" s="1021"/>
      <c r="ET567" s="98"/>
      <c r="EU567" s="1021"/>
      <c r="EV567" s="98"/>
      <c r="EW567" s="1021"/>
      <c r="EX567" s="98"/>
      <c r="EY567" s="182"/>
      <c r="EZ567" s="594"/>
      <c r="FA567" s="405"/>
      <c r="FB567" s="182"/>
      <c r="FC567" s="182"/>
      <c r="FD567" s="182"/>
      <c r="FE567" s="98"/>
      <c r="FF567" s="182"/>
      <c r="FG567" s="98"/>
      <c r="FH567" s="182"/>
      <c r="FI567" s="98"/>
      <c r="FJ567" s="182"/>
      <c r="FK567" s="98"/>
      <c r="FL567" s="182"/>
      <c r="FM567" s="98"/>
      <c r="FN567" s="182"/>
      <c r="FO567" s="98"/>
      <c r="FP567" s="182"/>
      <c r="FQ567" s="98"/>
      <c r="FR567" s="197"/>
      <c r="FS567" s="120"/>
      <c r="FT567" s="197"/>
      <c r="FU567" s="120"/>
      <c r="FV567" s="197"/>
      <c r="FW567" s="98"/>
      <c r="FX567" s="502"/>
      <c r="FY567" s="98"/>
      <c r="FZ567" s="197"/>
      <c r="GA567" s="98"/>
      <c r="GB567" s="502"/>
      <c r="GC567" s="98"/>
      <c r="GD567" s="197"/>
      <c r="GE567" s="98"/>
      <c r="GF567" s="197"/>
      <c r="GG567" s="98"/>
      <c r="GH567" s="197"/>
      <c r="GI567" s="98"/>
      <c r="GJ567" s="197"/>
      <c r="GK567" s="98"/>
      <c r="GL567" s="197"/>
      <c r="GM567" s="98"/>
      <c r="GN567" s="197"/>
      <c r="GO567" s="98"/>
      <c r="GP567" s="197"/>
      <c r="GQ567" s="98"/>
      <c r="GR567" s="182"/>
      <c r="GS567" s="98"/>
      <c r="GT567" s="182"/>
      <c r="GU567" s="98"/>
      <c r="GV567" s="182"/>
      <c r="GW567" s="98"/>
      <c r="GX567" s="182"/>
      <c r="GY567" s="98"/>
      <c r="GZ567" s="98"/>
      <c r="HA567" s="98"/>
      <c r="HB567" s="10"/>
      <c r="HC567"/>
      <c r="HD567"/>
      <c r="HE567"/>
      <c r="HF567"/>
      <c r="HG567"/>
      <c r="HH567"/>
      <c r="HI567" s="10"/>
    </row>
    <row r="568" spans="1:217" s="2" customFormat="1" ht="12.75" hidden="1" customHeight="1" outlineLevel="1" x14ac:dyDescent="0.2">
      <c r="B568" s="91" t="s">
        <v>510</v>
      </c>
      <c r="C568" s="137"/>
      <c r="D568" s="98"/>
      <c r="E568" s="137"/>
      <c r="F568" s="137"/>
      <c r="G568" s="137"/>
      <c r="H568" s="98"/>
      <c r="I568" s="137"/>
      <c r="J568" s="98"/>
      <c r="K568" s="137"/>
      <c r="L568" s="98"/>
      <c r="M568" s="137"/>
      <c r="N568" s="98"/>
      <c r="O568" s="137"/>
      <c r="P568" s="98"/>
      <c r="Q568" s="137"/>
      <c r="R568" s="98"/>
      <c r="S568" s="137"/>
      <c r="T568" s="98"/>
      <c r="U568" s="137"/>
      <c r="V568" s="98"/>
      <c r="W568" s="137"/>
      <c r="X568" s="98"/>
      <c r="Y568" s="137"/>
      <c r="Z568" s="98"/>
      <c r="AA568" s="137"/>
      <c r="AB568" s="98"/>
      <c r="AC568" s="137"/>
      <c r="AD568" s="98"/>
      <c r="AE568" s="137"/>
      <c r="AF568" s="98"/>
      <c r="AG568" s="137"/>
      <c r="AH568" s="98"/>
      <c r="AI568" s="137"/>
      <c r="AJ568" s="98"/>
      <c r="AK568" s="137"/>
      <c r="AL568" s="98"/>
      <c r="AM568" s="137"/>
      <c r="AN568" s="98"/>
      <c r="AO568" s="137"/>
      <c r="AP568" s="98"/>
      <c r="AQ568" s="137"/>
      <c r="AR568" s="98"/>
      <c r="AS568" s="137"/>
      <c r="AT568" s="98"/>
      <c r="AU568" s="137"/>
      <c r="AV568" s="98"/>
      <c r="AW568" s="137"/>
      <c r="AX568" s="98"/>
      <c r="AY568" s="137"/>
      <c r="AZ568" s="98"/>
      <c r="BA568" s="137"/>
      <c r="BB568" s="98"/>
      <c r="BC568" s="137"/>
      <c r="BD568" s="98"/>
      <c r="BE568" s="137"/>
      <c r="BF568" s="98"/>
      <c r="BG568" s="137"/>
      <c r="BH568" s="98"/>
      <c r="BI568" s="137"/>
      <c r="BJ568" s="98"/>
      <c r="BK568" s="137"/>
      <c r="BL568" s="98"/>
      <c r="BM568" s="137"/>
      <c r="BN568" s="98"/>
      <c r="BO568" s="137"/>
      <c r="BP568" s="98"/>
      <c r="BQ568" s="137"/>
      <c r="BR568" s="98"/>
      <c r="BS568" s="137"/>
      <c r="BT568" s="98"/>
      <c r="BU568" s="137"/>
      <c r="BV568" s="98"/>
      <c r="BW568" s="137"/>
      <c r="BX568" s="98"/>
      <c r="BY568" s="137"/>
      <c r="BZ568" s="98"/>
      <c r="CA568" s="137"/>
      <c r="CB568" s="98"/>
      <c r="CC568" s="137"/>
      <c r="CD568" s="98"/>
      <c r="CE568" s="137"/>
      <c r="CF568" s="98"/>
      <c r="CG568" s="137"/>
      <c r="CH568" s="98"/>
      <c r="CI568" s="137"/>
      <c r="CJ568" s="98"/>
      <c r="CK568" s="137"/>
      <c r="CL568" s="98"/>
      <c r="CM568" s="137"/>
      <c r="CN568" s="98"/>
      <c r="CO568" s="137"/>
      <c r="CP568" s="98"/>
      <c r="CQ568" s="494"/>
      <c r="CR568" s="98"/>
      <c r="CS568" s="137"/>
      <c r="CT568" s="98"/>
      <c r="CU568" s="137"/>
      <c r="CV568" s="98"/>
      <c r="CW568" s="137"/>
      <c r="CX568" s="98"/>
      <c r="CY568" s="137"/>
      <c r="CZ568" s="465"/>
      <c r="DA568" s="137"/>
      <c r="DB568" s="98"/>
      <c r="DC568" s="137"/>
      <c r="DD568" s="98"/>
      <c r="DE568" s="137"/>
      <c r="DF568" s="98"/>
      <c r="DG568" s="137"/>
      <c r="DH568" s="98"/>
      <c r="DI568" s="137"/>
      <c r="DJ568" s="465"/>
      <c r="DK568" s="137"/>
      <c r="DL568" s="465"/>
      <c r="DM568" s="137"/>
      <c r="DN568" s="465"/>
      <c r="DO568" s="137"/>
      <c r="DP568" s="465"/>
      <c r="DQ568" s="137"/>
      <c r="DR568" s="465"/>
      <c r="DS568" s="137"/>
      <c r="DT568" s="465"/>
      <c r="DU568" s="137"/>
      <c r="DV568" s="465"/>
      <c r="DW568" s="137"/>
      <c r="DX568" s="465"/>
      <c r="DY568" s="137"/>
      <c r="DZ568" s="465"/>
      <c r="EA568" s="137"/>
      <c r="EB568" s="465"/>
      <c r="EC568" s="137"/>
      <c r="ED568" s="465"/>
      <c r="EE568" s="137"/>
      <c r="EF568" s="860"/>
      <c r="EG568" s="137"/>
      <c r="EH568" s="860"/>
      <c r="EI568" s="137"/>
      <c r="EJ568" s="860"/>
      <c r="EK568" s="137"/>
      <c r="EL568" s="860" t="str">
        <f t="shared" ref="EL568" si="3333">IF(ISERROR((EK568/EC568-1)*100),"NA",IF(((EK568/EC568-1)*100)&gt;100,"NM",IF(((EK568/EC568-1)*100)&lt;-50,"NM",(EK568/EC568-1)*100)))</f>
        <v>NA</v>
      </c>
      <c r="EM568" s="137"/>
      <c r="EN568" s="860"/>
      <c r="EO568" s="137"/>
      <c r="EP568" s="465" t="str">
        <f t="shared" ref="EP568" si="3334">IF(ISERROR((EO568/EG568-1)*100),"NA",IF(((EO568/EG568-1)*100)&gt;100,"NM",IF(((EO568/EG568-1)*100)&lt;-50,"NM",(EO568/EG568-1)*100)))</f>
        <v>NA</v>
      </c>
      <c r="EQ568" s="1035"/>
      <c r="ER568" s="465" t="str">
        <f t="shared" ref="ER568" si="3335">IF(ISERROR((EQ568/EI568-1)*100),"NA",IF(((EQ568/EI568-1)*100)&gt;100,"NM",IF(((EQ568/EI568-1)*100)&lt;-50,"NM",(EQ568/EI568-1)*100)))</f>
        <v>NA</v>
      </c>
      <c r="ES568" s="1035"/>
      <c r="ET568" s="465" t="str">
        <f t="shared" ref="ET568" si="3336">IF(ISERROR((ES568/EK568-1)*100),"NA",IF(((ES568/EK568-1)*100)&gt;100,"NM",IF(((ES568/EK568-1)*100)&lt;-50,"NM",(ES568/EK568-1)*100)))</f>
        <v>NA</v>
      </c>
      <c r="EU568" s="1035"/>
      <c r="EV568" s="465" t="str">
        <f t="shared" ref="EV568" si="3337">IF(ISERROR((EU568/EM568-1)*100),"NA",IF(((EU568/EM568-1)*100)&gt;100,"NM",IF(((EU568/EM568-1)*100)&lt;-50,"NM",(EU568/EM568-1)*100)))</f>
        <v>NA</v>
      </c>
      <c r="EW568" s="1035"/>
      <c r="EX568" s="465" t="str">
        <f t="shared" ref="EX568" si="3338">IF(ISERROR((EW568/EO568-1)*100),"NA",IF(((EW568/EO568-1)*100)&gt;100,"NM",IF(((EW568/EO568-1)*100)&lt;-50,"NM",(EW568/EO568-1)*100)))</f>
        <v>NA</v>
      </c>
      <c r="EY568" s="110"/>
      <c r="EZ568" s="594"/>
      <c r="FA568" s="405"/>
      <c r="FB568" s="125">
        <f>+FB560/FB557*100</f>
        <v>24.820512820512821</v>
      </c>
      <c r="FC568" s="125"/>
      <c r="FD568" s="125">
        <f>+FD560/FD557*100</f>
        <v>17.15399610136452</v>
      </c>
      <c r="FE568" s="98">
        <f>IF(ISERROR((FD568/FB568-1)*100),"NA",IF(((FD568/FB568-1)*100)&gt;100,"NM",IF(((FD568/FB568-1)*100)&lt;-50,"NM",(FD568/FB568-1)*100)))</f>
        <v>-30.887825624667741</v>
      </c>
      <c r="FF568" s="125" t="e">
        <f>+FF560/FF557*100</f>
        <v>#DIV/0!</v>
      </c>
      <c r="FG568" s="98" t="str">
        <f>IF(ISERROR((FF568/FD568-1)*100),"NA",IF(((FF568/FD568-1)*100)&gt;100,"NM",IF(((FF568/FD568-1)*100)&lt;-50,"NM",(FF568/FD568-1)*100)))</f>
        <v>NA</v>
      </c>
      <c r="FH568" s="125" t="e">
        <f>+FH560/FH557*100</f>
        <v>#DIV/0!</v>
      </c>
      <c r="FI568" s="98" t="str">
        <f>IF(ISERROR((FH568/FF568-1)*100),"NA",IF(((FH568/FF568-1)*100)&gt;100,"NM",IF(((FH568/FF568-1)*100)&lt;-50,"NM",(FH568/FF568-1)*100)))</f>
        <v>NA</v>
      </c>
      <c r="FJ568" s="125" t="e">
        <f>+FJ560/FJ557*100</f>
        <v>#DIV/0!</v>
      </c>
      <c r="FK568" s="98" t="str">
        <f>IF(ISERROR((FJ568/FH568-1)*100),"NA",IF(((FJ568/FH568-1)*100)&gt;100,"NM",IF(((FJ568/FH568-1)*100)&lt;-50,"NM",(FJ568/FH568-1)*100)))</f>
        <v>NA</v>
      </c>
      <c r="FL568" s="125" t="e">
        <f>+FL560/FL557*100</f>
        <v>#DIV/0!</v>
      </c>
      <c r="FM568" s="98" t="str">
        <f>IF(ISERROR((FL568/FJ568-1)*100),"NA",IF(((FL568/FJ568-1)*100)&gt;100,"NM",IF(((FL568/FJ568-1)*100)&lt;-50,"NM",(FL568/FJ568-1)*100)))</f>
        <v>NA</v>
      </c>
      <c r="FN568" s="125" t="e">
        <f>+FN560/FN557*100</f>
        <v>#DIV/0!</v>
      </c>
      <c r="FO568" s="98" t="str">
        <f>IF(ISERROR((FN568/FL568-1)*100),"NA",IF(((FN568/FL568-1)*100)&gt;100,"NM",IF(((FN568/FL568-1)*100)&lt;-50,"NM",(FN568/FL568-1)*100)))</f>
        <v>NA</v>
      </c>
      <c r="FP568" s="125" t="e">
        <f>+FP560/FP557*100</f>
        <v>#DIV/0!</v>
      </c>
      <c r="FQ568" s="98" t="str">
        <f>IF(ISERROR((FP568/FN568-1)*100),"NA",IF(((FP568/FN568-1)*100)&gt;100,"NM",IF(((FP568/FN568-1)*100)&lt;-50,"NM",(FP568/FN568-1)*100)))</f>
        <v>NA</v>
      </c>
      <c r="FR568" s="106" t="e">
        <f>+FR560/FR557*100</f>
        <v>#DIV/0!</v>
      </c>
      <c r="FS568" s="120" t="str">
        <f>IF(ISERROR((FR568/FP568-1)*100),"NA",IF(((FR568/FP568-1)*100)&gt;100,"NM",IF(((FR568/FP568-1)*100)&lt;-50,"NM",(FR568/FP568-1)*100)))</f>
        <v>NA</v>
      </c>
      <c r="FT568" s="106" t="e">
        <f>+FT560/FT557*100</f>
        <v>#DIV/0!</v>
      </c>
      <c r="FU568" s="120" t="str">
        <f>IF(ISERROR((FT568/FR568-1)*100),"NA",IF(((FT568/FR568-1)*100)&gt;100,"NM",IF(((FT568/FR568-1)*100)&lt;-50,"NM",(FT568/FR568-1)*100)))</f>
        <v>NA</v>
      </c>
      <c r="FV568" s="106">
        <f>+FV560/FV557*100</f>
        <v>22.570123939986953</v>
      </c>
      <c r="FW568" s="98" t="str">
        <f>IF(ISERROR((FV568/FT568-1)*100),"NA",IF(((FV568/FT568-1)*100)&gt;100,"NM",IF(((FV568/FT568-1)*100)&lt;-50,"NM",(FV568/FT568-1)*100)))</f>
        <v>NA</v>
      </c>
      <c r="FX568" s="483" t="e">
        <f>+FX560/FX557*100</f>
        <v>#DIV/0!</v>
      </c>
      <c r="FY568" s="98" t="str">
        <f>IF(ISERROR((FX568/FV568-1)*100),"NA",IF(((FX568/FV568-1)*100)&gt;100,"NM",IF(((FX568/FV568-1)*100)&lt;-50,"NM",(FX568/FV568-1)*100)))</f>
        <v>NA</v>
      </c>
      <c r="FZ568" s="106" t="e">
        <f>+FZ560/FZ557*100</f>
        <v>#DIV/0!</v>
      </c>
      <c r="GA568" s="98" t="str">
        <f>IF(ISERROR((FZ568/FX568-1)*100),"NA",IF(((FZ568/FX568-1)*100)&gt;100,"NM",IF(((FZ568/FX568-1)*100)&lt;-50,"NM",(FZ568/FX568-1)*100)))</f>
        <v>NA</v>
      </c>
      <c r="GB568" s="483" t="e">
        <f>+GB560/GB557*100</f>
        <v>#DIV/0!</v>
      </c>
      <c r="GC568" s="98" t="str">
        <f>IF(ISERROR((GB568/FZ568-1)*100),"NA",IF(((GB568/FZ568-1)*100)&gt;100,"NM",IF(((GB568/FZ568-1)*100)&lt;-50,"NM",(GB568/FZ568-1)*100)))</f>
        <v>NA</v>
      </c>
      <c r="GD568" s="106" t="e">
        <f>+GD560/GD557*100</f>
        <v>#DIV/0!</v>
      </c>
      <c r="GE568" s="98" t="str">
        <f>IF(ISERROR((GD568/GB568-1)*100),"NA",IF(((GD568/GB568-1)*100)&gt;100,"NM",IF(((GD568/GB568-1)*100)&lt;-50,"NM",(GD568/GB568-1)*100)))</f>
        <v>NA</v>
      </c>
      <c r="GF568" s="106" t="e">
        <f>+GF560/GF557*100</f>
        <v>#DIV/0!</v>
      </c>
      <c r="GG568" s="98" t="str">
        <f>IF(ISERROR((GF568/GD568-1)*100),"NA",IF(((GF568/GD568-1)*100)&gt;100,"NM",IF(((GF568/GD568-1)*100)&lt;-50,"NM",(GF568/GD568-1)*100)))</f>
        <v>NA</v>
      </c>
      <c r="GH568" s="106" t="e">
        <f>+GH560/GH557*100</f>
        <v>#DIV/0!</v>
      </c>
      <c r="GI568" s="98" t="str">
        <f>IF(ISERROR((GH568/GF568-1)*100),"NA",IF(((GH568/GF568-1)*100)&gt;100,"NM",IF(((GH568/GF568-1)*100)&lt;-50,"NM",(GH568/GF568-1)*100)))</f>
        <v>NA</v>
      </c>
      <c r="GJ568" s="106" t="e">
        <f>+GJ560/GJ557*100</f>
        <v>#DIV/0!</v>
      </c>
      <c r="GK568" s="98" t="str">
        <f>IF(ISERROR((GJ568/GH568-1)*100),"NA",IF(((GJ568/GH568-1)*100)&gt;100,"NM",IF(((GJ568/GH568-1)*100)&lt;-50,"NM",(GJ568/GH568-1)*100)))</f>
        <v>NA</v>
      </c>
      <c r="GL568" s="106" t="e">
        <f>+GL560/GL557*100</f>
        <v>#DIV/0!</v>
      </c>
      <c r="GM568" s="98" t="str">
        <f>IF(ISERROR((GL568/GJ568-1)*100),"NA",IF(((GL568/GJ568-1)*100)&gt;100,"NM",IF(((GL568/GJ568-1)*100)&lt;-50,"NM",(GL568/GJ568-1)*100)))</f>
        <v>NA</v>
      </c>
      <c r="GN568" s="106" t="e">
        <f>+GN560/GN557*100</f>
        <v>#DIV/0!</v>
      </c>
      <c r="GO568" s="98" t="str">
        <f>IF(ISERROR((GN568/GL568-1)*100),"NA",IF(((GN568/GL568-1)*100)&gt;100,"NM",IF(((GN568/GL568-1)*100)&lt;-50,"NM",(GN568/GL568-1)*100)))</f>
        <v>NA</v>
      </c>
      <c r="GP568" s="106"/>
      <c r="GQ568" s="98" t="str">
        <f>IF(ISERROR((GP568/GN568-1)*100),"NA",IF(((GP568/GN568-1)*100)&gt;100,"NM",IF(((GP568/GN568-1)*100)&lt;-50,"NM",(GP568/GN568-1)*100)))</f>
        <v>NA</v>
      </c>
      <c r="GR568" s="110"/>
      <c r="GS568" s="98" t="str">
        <f>IF(ISERROR((GR568/GP568-1)*100),"NA",IF(((GR568/GP568-1)*100)&gt;100,"NM",IF(((GR568/GP568-1)*100)&lt;-50,"NM",(GR568/GP568-1)*100)))</f>
        <v>NA</v>
      </c>
      <c r="GT568" s="110"/>
      <c r="GU568" s="98"/>
      <c r="GV568" s="110"/>
      <c r="GW568" s="98" t="str">
        <f>IF(ISERROR((GV568/GT568-1)*100),"NA",IF(((GV568/GT568-1)*100)&gt;100,"NM",IF(((GV568/GT568-1)*100)&lt;-50,"NM",(GV568/GT568-1)*100)))</f>
        <v>NA</v>
      </c>
      <c r="GX568" s="110"/>
      <c r="GY568" s="98" t="str">
        <f>IF(ISERROR((GX568/GV568-1)*100),"NA",IF(((GX568/GV568-1)*100)&gt;100,"NM",IF(((GX568/GV568-1)*100)&lt;-50,"NM",(GX568/GV568-1)*100)))</f>
        <v>NA</v>
      </c>
      <c r="GZ568" s="98" t="str">
        <f>IF(ISERROR(((GX568/GN568)^0.2-1)*100),"NA",IF((((GX568/GN568)^0.2-1)*100)&gt;100,"NM",IF((((GX568/GN568)^0.2-1)*100)&lt;-50,"NM",((GX568/GN568)^0.2-1)*100)))</f>
        <v>NA</v>
      </c>
      <c r="HA568" s="98"/>
      <c r="HB568" s="10"/>
      <c r="HC568"/>
      <c r="HD568"/>
      <c r="HE568"/>
      <c r="HF568"/>
      <c r="HG568"/>
      <c r="HH568"/>
      <c r="HI568" s="10"/>
    </row>
    <row r="569" spans="1:217" s="143" customFormat="1" ht="12.75" hidden="1" customHeight="1" outlineLevel="2" x14ac:dyDescent="0.2">
      <c r="B569" s="140" t="s">
        <v>168</v>
      </c>
      <c r="C569" s="105"/>
      <c r="D569" s="104"/>
      <c r="E569" s="105"/>
      <c r="F569" s="105"/>
      <c r="G569" s="105"/>
      <c r="H569" s="104"/>
      <c r="I569" s="105"/>
      <c r="J569" s="104"/>
      <c r="K569" s="105"/>
      <c r="L569" s="104"/>
      <c r="M569" s="105"/>
      <c r="N569" s="104"/>
      <c r="O569" s="105"/>
      <c r="P569" s="104"/>
      <c r="Q569" s="105"/>
      <c r="R569" s="104"/>
      <c r="S569" s="105"/>
      <c r="T569" s="104"/>
      <c r="U569" s="105"/>
      <c r="V569" s="104"/>
      <c r="W569" s="105"/>
      <c r="X569" s="104"/>
      <c r="Y569" s="105"/>
      <c r="Z569" s="104"/>
      <c r="AA569" s="105"/>
      <c r="AB569" s="104"/>
      <c r="AC569" s="105"/>
      <c r="AD569" s="104"/>
      <c r="AE569" s="105"/>
      <c r="AF569" s="104"/>
      <c r="AG569" s="105"/>
      <c r="AH569" s="104"/>
      <c r="AI569" s="105"/>
      <c r="AJ569" s="104"/>
      <c r="AK569" s="105"/>
      <c r="AL569" s="104"/>
      <c r="AM569" s="105"/>
      <c r="AN569" s="104"/>
      <c r="AO569" s="105"/>
      <c r="AP569" s="104"/>
      <c r="AQ569" s="105"/>
      <c r="AR569" s="104"/>
      <c r="AS569" s="105"/>
      <c r="AT569" s="104"/>
      <c r="AU569" s="105"/>
      <c r="AV569" s="104"/>
      <c r="AW569" s="105"/>
      <c r="AX569" s="104"/>
      <c r="AY569" s="105"/>
      <c r="AZ569" s="104"/>
      <c r="BA569" s="105"/>
      <c r="BB569" s="104"/>
      <c r="BC569" s="105"/>
      <c r="BD569" s="104"/>
      <c r="BE569" s="105"/>
      <c r="BF569" s="104"/>
      <c r="BG569" s="105"/>
      <c r="BH569" s="104"/>
      <c r="BI569" s="105"/>
      <c r="BJ569" s="104"/>
      <c r="BK569" s="105"/>
      <c r="BL569" s="104"/>
      <c r="BM569" s="105"/>
      <c r="BN569" s="104"/>
      <c r="BO569" s="105"/>
      <c r="BP569" s="104"/>
      <c r="BQ569" s="105"/>
      <c r="BR569" s="104"/>
      <c r="BS569" s="105"/>
      <c r="BT569" s="104"/>
      <c r="BU569" s="105"/>
      <c r="BV569" s="104"/>
      <c r="BW569" s="105"/>
      <c r="BX569" s="104"/>
      <c r="BY569" s="105"/>
      <c r="BZ569" s="104"/>
      <c r="CA569" s="105"/>
      <c r="CB569" s="104"/>
      <c r="CC569" s="105"/>
      <c r="CD569" s="104"/>
      <c r="CE569" s="105"/>
      <c r="CF569" s="104"/>
      <c r="CG569" s="105"/>
      <c r="CH569" s="104"/>
      <c r="CI569" s="105"/>
      <c r="CJ569" s="104"/>
      <c r="CK569" s="105"/>
      <c r="CL569" s="104"/>
      <c r="CM569" s="105"/>
      <c r="CN569" s="104"/>
      <c r="CO569" s="105"/>
      <c r="CP569" s="104"/>
      <c r="CQ569" s="522"/>
      <c r="CR569" s="104"/>
      <c r="CS569" s="105"/>
      <c r="CT569" s="104"/>
      <c r="CU569" s="105"/>
      <c r="CV569" s="104"/>
      <c r="CW569" s="105"/>
      <c r="CX569" s="104"/>
      <c r="CY569" s="105"/>
      <c r="CZ569" s="104"/>
      <c r="DA569" s="105"/>
      <c r="DB569" s="104"/>
      <c r="DC569" s="105"/>
      <c r="DD569" s="104"/>
      <c r="DE569" s="105"/>
      <c r="DF569" s="104"/>
      <c r="DG569" s="105"/>
      <c r="DH569" s="104"/>
      <c r="DI569" s="105"/>
      <c r="DJ569" s="633"/>
      <c r="DK569" s="105"/>
      <c r="DL569" s="633"/>
      <c r="DM569" s="105"/>
      <c r="DN569" s="104"/>
      <c r="DO569" s="105"/>
      <c r="DP569" s="104"/>
      <c r="DQ569" s="105"/>
      <c r="DR569" s="104"/>
      <c r="DS569" s="105"/>
      <c r="DT569" s="104"/>
      <c r="DU569" s="105"/>
      <c r="DV569" s="104"/>
      <c r="DW569" s="105"/>
      <c r="DX569" s="104"/>
      <c r="DY569" s="105"/>
      <c r="DZ569" s="104"/>
      <c r="EA569" s="105"/>
      <c r="EB569" s="104"/>
      <c r="EC569" s="105"/>
      <c r="ED569" s="104"/>
      <c r="EE569" s="105"/>
      <c r="EF569" s="1019"/>
      <c r="EG569" s="105"/>
      <c r="EH569" s="1019"/>
      <c r="EI569" s="105"/>
      <c r="EJ569" s="1019"/>
      <c r="EK569" s="105"/>
      <c r="EL569" s="1019"/>
      <c r="EM569" s="105"/>
      <c r="EN569" s="1019"/>
      <c r="EO569" s="105"/>
      <c r="EP569" s="104"/>
      <c r="EQ569" s="1018"/>
      <c r="ER569" s="104"/>
      <c r="ES569" s="1018"/>
      <c r="ET569" s="104"/>
      <c r="EU569" s="1018"/>
      <c r="EV569" s="104"/>
      <c r="EW569" s="1018"/>
      <c r="EX569" s="104"/>
      <c r="EY569" s="141"/>
      <c r="EZ569" s="595"/>
      <c r="FA569" s="406"/>
      <c r="FB569" s="142"/>
      <c r="FC569" s="142"/>
      <c r="FD569" s="142"/>
      <c r="FE569" s="104"/>
      <c r="FF569" s="142"/>
      <c r="FG569" s="104"/>
      <c r="FH569" s="142"/>
      <c r="FI569" s="104"/>
      <c r="FJ569" s="142"/>
      <c r="FK569" s="104"/>
      <c r="FL569" s="142"/>
      <c r="FM569" s="104"/>
      <c r="FN569" s="142"/>
      <c r="FO569" s="104"/>
      <c r="FP569" s="142"/>
      <c r="FQ569" s="104"/>
      <c r="FR569" s="141"/>
      <c r="FS569" s="109"/>
      <c r="FT569" s="141"/>
      <c r="FU569" s="109"/>
      <c r="FV569" s="141"/>
      <c r="FW569" s="104"/>
      <c r="FX569" s="491"/>
      <c r="FY569" s="104"/>
      <c r="FZ569" s="141"/>
      <c r="GA569" s="104"/>
      <c r="GB569" s="491"/>
      <c r="GC569" s="104"/>
      <c r="GD569" s="141"/>
      <c r="GE569" s="104"/>
      <c r="GF569" s="141"/>
      <c r="GG569" s="104"/>
      <c r="GH569" s="141"/>
      <c r="GI569" s="104"/>
      <c r="GJ569" s="141"/>
      <c r="GK569" s="104"/>
      <c r="GL569" s="141"/>
      <c r="GM569" s="104"/>
      <c r="GN569" s="141"/>
      <c r="GO569" s="104"/>
      <c r="GP569" s="141"/>
      <c r="GQ569" s="104"/>
      <c r="GR569" s="141"/>
      <c r="GS569" s="104"/>
      <c r="GT569" s="141"/>
      <c r="GU569" s="104"/>
      <c r="GV569" s="141"/>
      <c r="GW569" s="104"/>
      <c r="GX569" s="141"/>
      <c r="GY569" s="104"/>
      <c r="GZ569" s="104"/>
      <c r="HA569" s="104"/>
      <c r="HB569" s="111"/>
      <c r="HC569"/>
      <c r="HD569"/>
      <c r="HE569"/>
      <c r="HF569"/>
      <c r="HG569"/>
      <c r="HH569"/>
      <c r="HI569" s="111"/>
    </row>
    <row r="570" spans="1:217" s="2" customFormat="1" ht="12.75" hidden="1" customHeight="1" outlineLevel="1" collapsed="1" x14ac:dyDescent="0.2">
      <c r="B570" s="179" t="s">
        <v>55</v>
      </c>
      <c r="C570" s="137"/>
      <c r="D570" s="98"/>
      <c r="E570" s="137"/>
      <c r="F570" s="98"/>
      <c r="G570" s="137"/>
      <c r="H570" s="98"/>
      <c r="I570" s="137"/>
      <c r="J570" s="98"/>
      <c r="K570" s="137"/>
      <c r="L570" s="98"/>
      <c r="M570" s="137"/>
      <c r="N570" s="98"/>
      <c r="O570" s="137"/>
      <c r="P570" s="98"/>
      <c r="Q570" s="137"/>
      <c r="R570" s="98"/>
      <c r="S570" s="137"/>
      <c r="T570" s="98"/>
      <c r="U570" s="137"/>
      <c r="V570" s="98"/>
      <c r="W570" s="137"/>
      <c r="X570" s="98"/>
      <c r="Y570" s="137"/>
      <c r="Z570" s="98"/>
      <c r="AA570" s="137"/>
      <c r="AB570" s="98"/>
      <c r="AC570" s="137"/>
      <c r="AD570" s="98"/>
      <c r="AE570" s="137"/>
      <c r="AF570" s="98"/>
      <c r="AG570" s="137"/>
      <c r="AH570" s="98"/>
      <c r="AI570" s="137"/>
      <c r="AJ570" s="98"/>
      <c r="AK570" s="137"/>
      <c r="AL570" s="98"/>
      <c r="AM570" s="137"/>
      <c r="AN570" s="98"/>
      <c r="AO570" s="137"/>
      <c r="AP570" s="98"/>
      <c r="AQ570" s="137"/>
      <c r="AR570" s="98"/>
      <c r="AS570" s="137"/>
      <c r="AT570" s="98"/>
      <c r="AU570" s="137"/>
      <c r="AV570" s="98"/>
      <c r="AW570" s="137"/>
      <c r="AX570" s="98"/>
      <c r="AY570" s="137"/>
      <c r="AZ570" s="98"/>
      <c r="BA570" s="137"/>
      <c r="BB570" s="98"/>
      <c r="BC570" s="137"/>
      <c r="BD570" s="98"/>
      <c r="BE570" s="137"/>
      <c r="BF570" s="98"/>
      <c r="BG570" s="137"/>
      <c r="BH570" s="98"/>
      <c r="BI570" s="137"/>
      <c r="BJ570" s="98"/>
      <c r="BK570" s="137"/>
      <c r="BL570" s="98"/>
      <c r="BM570" s="137"/>
      <c r="BN570" s="98"/>
      <c r="BO570" s="137"/>
      <c r="BP570" s="98"/>
      <c r="BQ570" s="137"/>
      <c r="BR570" s="98"/>
      <c r="BS570" s="137"/>
      <c r="BT570" s="98"/>
      <c r="BU570" s="137"/>
      <c r="BV570" s="98"/>
      <c r="BW570" s="137"/>
      <c r="BX570" s="98"/>
      <c r="BY570" s="137"/>
      <c r="BZ570" s="98"/>
      <c r="CA570" s="137"/>
      <c r="CB570" s="98"/>
      <c r="CC570" s="137"/>
      <c r="CD570" s="98"/>
      <c r="CE570" s="137"/>
      <c r="CF570" s="98"/>
      <c r="CG570" s="137"/>
      <c r="CH570" s="98"/>
      <c r="CI570" s="137"/>
      <c r="CJ570" s="98"/>
      <c r="CK570" s="137"/>
      <c r="CL570" s="98"/>
      <c r="CM570" s="137"/>
      <c r="CN570" s="98"/>
      <c r="CO570" s="137"/>
      <c r="CP570" s="98"/>
      <c r="CQ570" s="494"/>
      <c r="CR570" s="98"/>
      <c r="CS570" s="137"/>
      <c r="CT570" s="98"/>
      <c r="CU570" s="137"/>
      <c r="CV570" s="98"/>
      <c r="CW570" s="137"/>
      <c r="CX570" s="98"/>
      <c r="CY570" s="137"/>
      <c r="CZ570" s="98"/>
      <c r="DA570" s="137"/>
      <c r="DB570" s="98"/>
      <c r="DC570" s="137"/>
      <c r="DD570" s="98"/>
      <c r="DE570" s="137"/>
      <c r="DF570" s="98"/>
      <c r="DG570" s="137"/>
      <c r="DH570" s="98"/>
      <c r="DI570" s="137"/>
      <c r="DJ570" s="465"/>
      <c r="DK570" s="137"/>
      <c r="DL570" s="465"/>
      <c r="DM570" s="137"/>
      <c r="DN570" s="98"/>
      <c r="DO570" s="137"/>
      <c r="DP570" s="98"/>
      <c r="DQ570" s="137"/>
      <c r="DR570" s="98"/>
      <c r="DS570" s="137"/>
      <c r="DT570" s="98"/>
      <c r="DU570" s="137"/>
      <c r="DV570" s="98"/>
      <c r="DW570" s="137"/>
      <c r="DX570" s="98"/>
      <c r="DY570" s="137"/>
      <c r="DZ570" s="98"/>
      <c r="EA570" s="137"/>
      <c r="EB570" s="98"/>
      <c r="EC570" s="137"/>
      <c r="ED570" s="98"/>
      <c r="EE570" s="137"/>
      <c r="EF570" s="860"/>
      <c r="EG570" s="137"/>
      <c r="EH570" s="860"/>
      <c r="EI570" s="137"/>
      <c r="EJ570" s="860"/>
      <c r="EK570" s="137"/>
      <c r="EL570" s="860" t="str">
        <f t="shared" ref="EL570:EL571" si="3339">IF(ISERROR((EK570/EC570-1)*100),"NA",IF(((EK570/EC570-1)*100)&gt;100,"NM",IF(((EK570/EC570-1)*100)&lt;-50,"NM",(EK570/EC570-1)*100)))</f>
        <v>NA</v>
      </c>
      <c r="EM570" s="137"/>
      <c r="EN570" s="860"/>
      <c r="EO570" s="137"/>
      <c r="EP570" s="98" t="str">
        <f t="shared" ref="EP570:EP571" si="3340">IF(ISERROR((EO570/EG570-1)*100),"NA",IF(((EO570/EG570-1)*100)&gt;100,"NM",IF(((EO570/EG570-1)*100)&lt;-50,"NM",(EO570/EG570-1)*100)))</f>
        <v>NA</v>
      </c>
      <c r="EQ570" s="1033"/>
      <c r="ER570" s="98" t="str">
        <f t="shared" ref="ER570:ER571" si="3341">IF(ISERROR((EQ570/EI570-1)*100),"NA",IF(((EQ570/EI570-1)*100)&gt;100,"NM",IF(((EQ570/EI570-1)*100)&lt;-50,"NM",(EQ570/EI570-1)*100)))</f>
        <v>NA</v>
      </c>
      <c r="ES570" s="1033"/>
      <c r="ET570" s="98" t="str">
        <f t="shared" ref="ET570:ET571" si="3342">IF(ISERROR((ES570/EK570-1)*100),"NA",IF(((ES570/EK570-1)*100)&gt;100,"NM",IF(((ES570/EK570-1)*100)&lt;-50,"NM",(ES570/EK570-1)*100)))</f>
        <v>NA</v>
      </c>
      <c r="EU570" s="1033"/>
      <c r="EV570" s="98" t="str">
        <f t="shared" ref="EV570:EV571" si="3343">IF(ISERROR((EU570/EM570-1)*100),"NA",IF(((EU570/EM570-1)*100)&gt;100,"NM",IF(((EU570/EM570-1)*100)&lt;-50,"NM",(EU570/EM570-1)*100)))</f>
        <v>NA</v>
      </c>
      <c r="EW570" s="1033"/>
      <c r="EX570" s="98" t="str">
        <f t="shared" ref="EX570:EX571" si="3344">IF(ISERROR((EW570/EO570-1)*100),"NA",IF(((EW570/EO570-1)*100)&gt;100,"NM",IF(((EW570/EO570-1)*100)&lt;-50,"NM",(EW570/EO570-1)*100)))</f>
        <v>NA</v>
      </c>
      <c r="EY570" s="137"/>
      <c r="EZ570" s="594"/>
      <c r="FA570" s="405"/>
      <c r="FB570" s="137">
        <f>(FB560+FB553)/FB556*100</f>
        <v>62.621111677715447</v>
      </c>
      <c r="FC570" s="137"/>
      <c r="FD570" s="137">
        <f>(FD560+FD553)/FD556*100</f>
        <v>56.765005086469991</v>
      </c>
      <c r="FE570" s="98">
        <f>IF(ISERROR((FD570/FB570-1)*100),"NA",IF(((FD570/FB570-1)*100)&gt;100,"NM",IF(((FD570/FB570-1)*100)&lt;-50,"NM",(FD570/FB570-1)*100)))</f>
        <v>-9.3516490435116779</v>
      </c>
      <c r="FF570" s="137" t="e">
        <f>(FF560+FF553)/FF556*100</f>
        <v>#DIV/0!</v>
      </c>
      <c r="FG570" s="98" t="str">
        <f>IF(ISERROR((FF570/FD570-1)*100),"NA",IF(((FF570/FD570-1)*100)&gt;100,"NM",IF(((FF570/FD570-1)*100)&lt;-50,"NM",(FF570/FD570-1)*100)))</f>
        <v>NA</v>
      </c>
      <c r="FH570" s="137" t="e">
        <f>(FH560+FH553)/FH556*100</f>
        <v>#DIV/0!</v>
      </c>
      <c r="FI570" s="98" t="str">
        <f>IF(ISERROR((FH570/FF570-1)*100),"NA",IF(((FH570/FF570-1)*100)&gt;100,"NM",IF(((FH570/FF570-1)*100)&lt;-50,"NM",(FH570/FF570-1)*100)))</f>
        <v>NA</v>
      </c>
      <c r="FJ570" s="137" t="e">
        <f>(FJ560+FJ553)/FJ556*100</f>
        <v>#DIV/0!</v>
      </c>
      <c r="FK570" s="98" t="str">
        <f>IF(ISERROR((FJ570/FH570-1)*100),"NA",IF(((FJ570/FH570-1)*100)&gt;100,"NM",IF(((FJ570/FH570-1)*100)&lt;-50,"NM",(FJ570/FH570-1)*100)))</f>
        <v>NA</v>
      </c>
      <c r="FL570" s="137" t="e">
        <f>(FL560+FL553)/FL556*100</f>
        <v>#DIV/0!</v>
      </c>
      <c r="FM570" s="98" t="str">
        <f>IF(ISERROR((FL570/FJ570-1)*100),"NA",IF(((FL570/FJ570-1)*100)&gt;100,"NM",IF(((FL570/FJ570-1)*100)&lt;-50,"NM",(FL570/FJ570-1)*100)))</f>
        <v>NA</v>
      </c>
      <c r="FN570" s="137" t="e">
        <f>(FN560+FN553)/FN556*100</f>
        <v>#DIV/0!</v>
      </c>
      <c r="FO570" s="98" t="str">
        <f>IF(ISERROR((FN570/FL570-1)*100),"NA",IF(((FN570/FL570-1)*100)&gt;100,"NM",IF(((FN570/FL570-1)*100)&lt;-50,"NM",(FN570/FL570-1)*100)))</f>
        <v>NA</v>
      </c>
      <c r="FP570" s="137" t="e">
        <f>(FP560+FP553)/FP556*100</f>
        <v>#DIV/0!</v>
      </c>
      <c r="FQ570" s="98" t="str">
        <f>IF(ISERROR((FP570/FN570-1)*100),"NA",IF(((FP570/FN570-1)*100)&gt;100,"NM",IF(((FP570/FN570-1)*100)&lt;-50,"NM",(FP570/FN570-1)*100)))</f>
        <v>NA</v>
      </c>
      <c r="FR570" s="106" t="e">
        <f>(FR560+FR553)/FR556*100</f>
        <v>#DIV/0!</v>
      </c>
      <c r="FS570" s="120" t="str">
        <f>IF(ISERROR((FR570/FP570-1)*100),"NA",IF(((FR570/FP570-1)*100)&gt;100,"NM",IF(((FR570/FP570-1)*100)&lt;-50,"NM",(FR570/FP570-1)*100)))</f>
        <v>NA</v>
      </c>
      <c r="FT570" s="106" t="e">
        <f>(FT560+FT553)/FT556*100</f>
        <v>#DIV/0!</v>
      </c>
      <c r="FU570" s="120" t="str">
        <f>IF(ISERROR((FT570/FR570-1)*100),"NA",IF(((FT570/FR570-1)*100)&gt;100,"NM",IF(((FT570/FR570-1)*100)&lt;-50,"NM",(FT570/FR570-1)*100)))</f>
        <v>NA</v>
      </c>
      <c r="FV570" s="106">
        <f>(FV560+FV553)/FV556*100</f>
        <v>46.082216670451963</v>
      </c>
      <c r="FW570" s="98" t="str">
        <f>IF(ISERROR((FV570/FT570-1)*100),"NA",IF(((FV570/FT570-1)*100)&gt;100,"NM",IF(((FV570/FT570-1)*100)&lt;-50,"NM",(FV570/FT570-1)*100)))</f>
        <v>NA</v>
      </c>
      <c r="FX570" s="483" t="e">
        <f>(FX560+FX553)/FX556*100</f>
        <v>#DIV/0!</v>
      </c>
      <c r="FY570" s="98" t="str">
        <f>IF(ISERROR((FX570/FV570-1)*100),"NA",IF(((FX570/FV570-1)*100)&gt;100,"NM",IF(((FX570/FV570-1)*100)&lt;-50,"NM",(FX570/FV570-1)*100)))</f>
        <v>NA</v>
      </c>
      <c r="FZ570" s="106" t="e">
        <f>(FZ560+FZ553)/FZ556*100</f>
        <v>#DIV/0!</v>
      </c>
      <c r="GA570" s="98" t="str">
        <f>IF(ISERROR((FZ570/FX570-1)*100),"NA",IF(((FZ570/FX570-1)*100)&gt;100,"NM",IF(((FZ570/FX570-1)*100)&lt;-50,"NM",(FZ570/FX570-1)*100)))</f>
        <v>NA</v>
      </c>
      <c r="GB570" s="483" t="e">
        <f>(GB560+GB553)/GB556*100</f>
        <v>#DIV/0!</v>
      </c>
      <c r="GC570" s="98" t="str">
        <f>IF(ISERROR((GB570/FZ570-1)*100),"NA",IF(((GB570/FZ570-1)*100)&gt;100,"NM",IF(((GB570/FZ570-1)*100)&lt;-50,"NM",(GB570/FZ570-1)*100)))</f>
        <v>NA</v>
      </c>
      <c r="GD570" s="106" t="e">
        <f>(GD560+GD553)/GD556*100</f>
        <v>#DIV/0!</v>
      </c>
      <c r="GE570" s="98" t="str">
        <f>IF(ISERROR((GD570/GB570-1)*100),"NA",IF(((GD570/GB570-1)*100)&gt;100,"NM",IF(((GD570/GB570-1)*100)&lt;-50,"NM",(GD570/GB570-1)*100)))</f>
        <v>NA</v>
      </c>
      <c r="GF570" s="106" t="e">
        <f>(GF560+GF553)/GF556*100</f>
        <v>#DIV/0!</v>
      </c>
      <c r="GG570" s="98" t="str">
        <f>IF(ISERROR((GF570/GD570-1)*100),"NA",IF(((GF570/GD570-1)*100)&gt;100,"NM",IF(((GF570/GD570-1)*100)&lt;-50,"NM",(GF570/GD570-1)*100)))</f>
        <v>NA</v>
      </c>
      <c r="GH570" s="106" t="e">
        <f>(GH560+GH553)/GH556*100</f>
        <v>#DIV/0!</v>
      </c>
      <c r="GI570" s="98" t="str">
        <f>IF(ISERROR((GH570/GF570-1)*100),"NA",IF(((GH570/GF570-1)*100)&gt;100,"NM",IF(((GH570/GF570-1)*100)&lt;-50,"NM",(GH570/GF570-1)*100)))</f>
        <v>NA</v>
      </c>
      <c r="GJ570" s="106" t="e">
        <f>(GJ560+GJ553)/GJ556*100</f>
        <v>#DIV/0!</v>
      </c>
      <c r="GK570" s="98" t="str">
        <f>IF(ISERROR((GJ570/GH570-1)*100),"NA",IF(((GJ570/GH570-1)*100)&gt;100,"NM",IF(((GJ570/GH570-1)*100)&lt;-50,"NM",(GJ570/GH570-1)*100)))</f>
        <v>NA</v>
      </c>
      <c r="GL570" s="106" t="e">
        <f>(GL560+GL553)/GL556*100</f>
        <v>#DIV/0!</v>
      </c>
      <c r="GM570" s="98" t="str">
        <f>IF(ISERROR((GL570/GJ570-1)*100),"NA",IF(((GL570/GJ570-1)*100)&gt;100,"NM",IF(((GL570/GJ570-1)*100)&lt;-50,"NM",(GL570/GJ570-1)*100)))</f>
        <v>NA</v>
      </c>
      <c r="GN570" s="106" t="e">
        <f>(GN560+GN553)/GN556*100</f>
        <v>#DIV/0!</v>
      </c>
      <c r="GO570" s="98" t="str">
        <f>IF(ISERROR((GN570/GL570-1)*100),"NA",IF(((GN570/GL570-1)*100)&gt;100,"NM",IF(((GN570/GL570-1)*100)&lt;-50,"NM",(GN570/GL570-1)*100)))</f>
        <v>NA</v>
      </c>
      <c r="GP570" s="106"/>
      <c r="GQ570" s="98" t="str">
        <f>IF(ISERROR((GP570/GN570-1)*100),"NA",IF(((GP570/GN570-1)*100)&gt;100,"NM",IF(((GP570/GN570-1)*100)&lt;-50,"NM",(GP570/GN570-1)*100)))</f>
        <v>NA</v>
      </c>
      <c r="GR570" s="137"/>
      <c r="GS570" s="98" t="str">
        <f>IF(ISERROR((GR570/GP570-1)*100),"NA",IF(((GR570/GP570-1)*100)&gt;100,"NM",IF(((GR570/GP570-1)*100)&lt;-50,"NM",(GR570/GP570-1)*100)))</f>
        <v>NA</v>
      </c>
      <c r="GT570" s="137"/>
      <c r="GU570" s="98"/>
      <c r="GV570" s="137"/>
      <c r="GW570" s="98" t="str">
        <f>IF(ISERROR((GV570/GT570-1)*100),"NA",IF(((GV570/GT570-1)*100)&gt;100,"NM",IF(((GV570/GT570-1)*100)&lt;-50,"NM",(GV570/GT570-1)*100)))</f>
        <v>NA</v>
      </c>
      <c r="GX570" s="137"/>
      <c r="GY570" s="98" t="str">
        <f>IF(ISERROR((GX570/GV570-1)*100),"NA",IF(((GX570/GV570-1)*100)&gt;100,"NM",IF(((GX570/GV570-1)*100)&lt;-50,"NM",(GX570/GV570-1)*100)))</f>
        <v>NA</v>
      </c>
      <c r="GZ570" s="98" t="str">
        <f>IF(ISERROR(((GX570/GN570)^0.2-1)*100),"NA",IF((((GX570/GN570)^0.2-1)*100)&gt;100,"NM",IF((((GX570/GN570)^0.2-1)*100)&lt;-50,"NM",((GX570/GN570)^0.2-1)*100)))</f>
        <v>NA</v>
      </c>
      <c r="HA570" s="98"/>
      <c r="HB570" s="10"/>
      <c r="HC570"/>
      <c r="HD570"/>
      <c r="HE570"/>
      <c r="HF570"/>
      <c r="HG570"/>
      <c r="HH570"/>
      <c r="HI570" s="10"/>
    </row>
    <row r="571" spans="1:217" s="2" customFormat="1" ht="12.75" hidden="1" customHeight="1" outlineLevel="1" x14ac:dyDescent="0.2">
      <c r="B571" s="91" t="s">
        <v>150</v>
      </c>
      <c r="C571" s="137"/>
      <c r="D571" s="98"/>
      <c r="E571" s="137"/>
      <c r="F571" s="98"/>
      <c r="G571" s="137"/>
      <c r="H571" s="98"/>
      <c r="I571" s="137"/>
      <c r="J571" s="98"/>
      <c r="K571" s="137"/>
      <c r="L571" s="98"/>
      <c r="M571" s="137"/>
      <c r="N571" s="98"/>
      <c r="O571" s="137"/>
      <c r="P571" s="98"/>
      <c r="Q571" s="137"/>
      <c r="R571" s="98"/>
      <c r="S571" s="137"/>
      <c r="T571" s="98"/>
      <c r="U571" s="137"/>
      <c r="V571" s="98"/>
      <c r="W571" s="137"/>
      <c r="X571" s="98"/>
      <c r="Y571" s="137"/>
      <c r="Z571" s="98"/>
      <c r="AA571" s="137"/>
      <c r="AB571" s="98"/>
      <c r="AC571" s="137"/>
      <c r="AD571" s="98"/>
      <c r="AE571" s="137"/>
      <c r="AF571" s="98"/>
      <c r="AG571" s="137"/>
      <c r="AH571" s="98"/>
      <c r="AI571" s="137"/>
      <c r="AJ571" s="98"/>
      <c r="AK571" s="137"/>
      <c r="AL571" s="98"/>
      <c r="AM571" s="137"/>
      <c r="AN571" s="98"/>
      <c r="AO571" s="137"/>
      <c r="AP571" s="98"/>
      <c r="AQ571" s="137"/>
      <c r="AR571" s="98"/>
      <c r="AS571" s="137"/>
      <c r="AT571" s="98"/>
      <c r="AU571" s="137"/>
      <c r="AV571" s="98"/>
      <c r="AW571" s="137"/>
      <c r="AX571" s="98"/>
      <c r="AY571" s="137"/>
      <c r="AZ571" s="98"/>
      <c r="BA571" s="137"/>
      <c r="BB571" s="98"/>
      <c r="BC571" s="137"/>
      <c r="BD571" s="98"/>
      <c r="BE571" s="137"/>
      <c r="BF571" s="98"/>
      <c r="BG571" s="137"/>
      <c r="BH571" s="98"/>
      <c r="BI571" s="137"/>
      <c r="BJ571" s="98"/>
      <c r="BK571" s="137"/>
      <c r="BL571" s="98"/>
      <c r="BM571" s="137"/>
      <c r="BN571" s="98"/>
      <c r="BO571" s="137"/>
      <c r="BP571" s="98"/>
      <c r="BQ571" s="137"/>
      <c r="BR571" s="98"/>
      <c r="BS571" s="137"/>
      <c r="BT571" s="98"/>
      <c r="BU571" s="137"/>
      <c r="BV571" s="98"/>
      <c r="BW571" s="137"/>
      <c r="BX571" s="98"/>
      <c r="BY571" s="137"/>
      <c r="BZ571" s="98"/>
      <c r="CA571" s="137"/>
      <c r="CB571" s="98"/>
      <c r="CC571" s="137"/>
      <c r="CD571" s="98"/>
      <c r="CE571" s="137"/>
      <c r="CF571" s="98"/>
      <c r="CG571" s="137"/>
      <c r="CH571" s="98"/>
      <c r="CI571" s="137"/>
      <c r="CJ571" s="98"/>
      <c r="CK571" s="137"/>
      <c r="CL571" s="98"/>
      <c r="CM571" s="137"/>
      <c r="CN571" s="98"/>
      <c r="CO571" s="137"/>
      <c r="CP571" s="98"/>
      <c r="CQ571" s="494"/>
      <c r="CR571" s="98"/>
      <c r="CS571" s="137"/>
      <c r="CT571" s="98"/>
      <c r="CU571" s="137"/>
      <c r="CV571" s="98"/>
      <c r="CW571" s="137"/>
      <c r="CX571" s="98"/>
      <c r="CY571" s="137"/>
      <c r="CZ571" s="98"/>
      <c r="DA571" s="137"/>
      <c r="DB571" s="98"/>
      <c r="DC571" s="137"/>
      <c r="DD571" s="98"/>
      <c r="DE571" s="137"/>
      <c r="DF571" s="98"/>
      <c r="DG571" s="137"/>
      <c r="DH571" s="98"/>
      <c r="DI571" s="137"/>
      <c r="DJ571" s="465"/>
      <c r="DK571" s="137"/>
      <c r="DL571" s="465"/>
      <c r="DM571" s="137"/>
      <c r="DN571" s="98"/>
      <c r="DO571" s="137"/>
      <c r="DP571" s="98"/>
      <c r="DQ571" s="137"/>
      <c r="DR571" s="98"/>
      <c r="DS571" s="137"/>
      <c r="DT571" s="98"/>
      <c r="DU571" s="137"/>
      <c r="DV571" s="98"/>
      <c r="DW571" s="137"/>
      <c r="DX571" s="98"/>
      <c r="DY571" s="137"/>
      <c r="DZ571" s="98"/>
      <c r="EA571" s="137"/>
      <c r="EB571" s="98"/>
      <c r="EC571" s="137"/>
      <c r="ED571" s="98"/>
      <c r="EE571" s="137"/>
      <c r="EF571" s="860"/>
      <c r="EG571" s="137"/>
      <c r="EH571" s="860"/>
      <c r="EI571" s="137"/>
      <c r="EJ571" s="860"/>
      <c r="EK571" s="137"/>
      <c r="EL571" s="860" t="str">
        <f t="shared" si="3339"/>
        <v>NA</v>
      </c>
      <c r="EM571" s="137"/>
      <c r="EN571" s="860"/>
      <c r="EO571" s="137"/>
      <c r="EP571" s="98" t="str">
        <f t="shared" si="3340"/>
        <v>NA</v>
      </c>
      <c r="EQ571" s="1035"/>
      <c r="ER571" s="98" t="str">
        <f t="shared" si="3341"/>
        <v>NA</v>
      </c>
      <c r="ES571" s="1035"/>
      <c r="ET571" s="98" t="str">
        <f t="shared" si="3342"/>
        <v>NA</v>
      </c>
      <c r="EU571" s="1035"/>
      <c r="EV571" s="98" t="str">
        <f t="shared" si="3343"/>
        <v>NA</v>
      </c>
      <c r="EW571" s="1035"/>
      <c r="EX571" s="98" t="str">
        <f t="shared" si="3344"/>
        <v>NA</v>
      </c>
      <c r="EY571" s="110"/>
      <c r="EZ571" s="594"/>
      <c r="FA571" s="405"/>
      <c r="FB571" s="125">
        <f>+FB561/FB557*100</f>
        <v>58.461538461538467</v>
      </c>
      <c r="FC571" s="98"/>
      <c r="FD571" s="137">
        <f>+FD561/FD557*100</f>
        <v>63.35282651072125</v>
      </c>
      <c r="FE571" s="98">
        <f>IF(ISERROR((FD571/FB571-1)*100),"NA",IF(((FD571/FB571-1)*100)&gt;100,"NM",IF(((FD571/FB571-1)*100)&lt;-50,"NM",(FD571/FB571-1)*100)))</f>
        <v>8.3666769262337191</v>
      </c>
      <c r="FF571" s="125" t="e">
        <f>+FF561/FF557*100</f>
        <v>#DIV/0!</v>
      </c>
      <c r="FG571" s="98" t="str">
        <f>IF(ISERROR((FF571/FD571-1)*100),"NA",IF(((FF571/FD571-1)*100)&gt;100,"NM",IF(((FF571/FD571-1)*100)&lt;-50,"NM",(FF571/FD571-1)*100)))</f>
        <v>NA</v>
      </c>
      <c r="FH571" s="125" t="e">
        <f>+FH561/FH557*100</f>
        <v>#DIV/0!</v>
      </c>
      <c r="FI571" s="98" t="str">
        <f>IF(ISERROR((FH571/FF571-1)*100),"NA",IF(((FH571/FF571-1)*100)&gt;100,"NM",IF(((FH571/FF571-1)*100)&lt;-50,"NM",(FH571/FF571-1)*100)))</f>
        <v>NA</v>
      </c>
      <c r="FJ571" s="125" t="e">
        <f>+FJ561/FJ557*100</f>
        <v>#DIV/0!</v>
      </c>
      <c r="FK571" s="98" t="str">
        <f>IF(ISERROR((FJ571/FH571-1)*100),"NA",IF(((FJ571/FH571-1)*100)&gt;100,"NM",IF(((FJ571/FH571-1)*100)&lt;-50,"NM",(FJ571/FH571-1)*100)))</f>
        <v>NA</v>
      </c>
      <c r="FL571" s="125" t="e">
        <f>+FL561/FL557*100</f>
        <v>#DIV/0!</v>
      </c>
      <c r="FM571" s="98" t="str">
        <f>IF(ISERROR((FL571/FJ571-1)*100),"NA",IF(((FL571/FJ571-1)*100)&gt;100,"NM",IF(((FL571/FJ571-1)*100)&lt;-50,"NM",(FL571/FJ571-1)*100)))</f>
        <v>NA</v>
      </c>
      <c r="FN571" s="125" t="e">
        <f>+FN561/FN557*100</f>
        <v>#DIV/0!</v>
      </c>
      <c r="FO571" s="98" t="str">
        <f>IF(ISERROR((FN571/FL571-1)*100),"NA",IF(((FN571/FL571-1)*100)&gt;100,"NM",IF(((FN571/FL571-1)*100)&lt;-50,"NM",(FN571/FL571-1)*100)))</f>
        <v>NA</v>
      </c>
      <c r="FP571" s="125" t="e">
        <f>+FP561/FP557*100</f>
        <v>#DIV/0!</v>
      </c>
      <c r="FQ571" s="98" t="str">
        <f>IF(ISERROR((FP571/FN571-1)*100),"NA",IF(((FP571/FN571-1)*100)&gt;100,"NM",IF(((FP571/FN571-1)*100)&lt;-50,"NM",(FP571/FN571-1)*100)))</f>
        <v>NA</v>
      </c>
      <c r="FR571" s="106" t="e">
        <f>+FR561/FR557*100</f>
        <v>#DIV/0!</v>
      </c>
      <c r="FS571" s="120" t="str">
        <f>IF(ISERROR((FR571/FP571-1)*100),"NA",IF(((FR571/FP571-1)*100)&gt;100,"NM",IF(((FR571/FP571-1)*100)&lt;-50,"NM",(FR571/FP571-1)*100)))</f>
        <v>NA</v>
      </c>
      <c r="FT571" s="106" t="e">
        <f>+FT561/FT557*100</f>
        <v>#DIV/0!</v>
      </c>
      <c r="FU571" s="120" t="str">
        <f>IF(ISERROR((FT571/FR571-1)*100),"NA",IF(((FT571/FR571-1)*100)&gt;100,"NM",IF(((FT571/FR571-1)*100)&lt;-50,"NM",(FT571/FR571-1)*100)))</f>
        <v>NA</v>
      </c>
      <c r="FV571" s="106">
        <f>+FV561/FV557*100</f>
        <v>67.416829745596871</v>
      </c>
      <c r="FW571" s="98" t="str">
        <f>IF(ISERROR((FV571/FT571-1)*100),"NA",IF(((FV571/FT571-1)*100)&gt;100,"NM",IF(((FV571/FT571-1)*100)&lt;-50,"NM",(FV571/FT571-1)*100)))</f>
        <v>NA</v>
      </c>
      <c r="FX571" s="483" t="e">
        <f>+FX561/FX557*100</f>
        <v>#DIV/0!</v>
      </c>
      <c r="FY571" s="98" t="str">
        <f>IF(ISERROR((FX571/FV571-1)*100),"NA",IF(((FX571/FV571-1)*100)&gt;100,"NM",IF(((FX571/FV571-1)*100)&lt;-50,"NM",(FX571/FV571-1)*100)))</f>
        <v>NA</v>
      </c>
      <c r="FZ571" s="106" t="e">
        <f>+FZ561/FZ557*100</f>
        <v>#DIV/0!</v>
      </c>
      <c r="GA571" s="98" t="str">
        <f>IF(ISERROR((FZ571/FX571-1)*100),"NA",IF(((FZ571/FX571-1)*100)&gt;100,"NM",IF(((FZ571/FX571-1)*100)&lt;-50,"NM",(FZ571/FX571-1)*100)))</f>
        <v>NA</v>
      </c>
      <c r="GB571" s="483" t="e">
        <f>+GB561/GB557*100</f>
        <v>#DIV/0!</v>
      </c>
      <c r="GC571" s="98" t="str">
        <f>IF(ISERROR((GB571/FZ571-1)*100),"NA",IF(((GB571/FZ571-1)*100)&gt;100,"NM",IF(((GB571/FZ571-1)*100)&lt;-50,"NM",(GB571/FZ571-1)*100)))</f>
        <v>NA</v>
      </c>
      <c r="GD571" s="106" t="e">
        <f>+GD561/GD557*100</f>
        <v>#DIV/0!</v>
      </c>
      <c r="GE571" s="98" t="str">
        <f>IF(ISERROR((GD571/GB571-1)*100),"NA",IF(((GD571/GB571-1)*100)&gt;100,"NM",IF(((GD571/GB571-1)*100)&lt;-50,"NM",(GD571/GB571-1)*100)))</f>
        <v>NA</v>
      </c>
      <c r="GF571" s="106" t="e">
        <f>+GF561/GF557*100</f>
        <v>#DIV/0!</v>
      </c>
      <c r="GG571" s="98" t="str">
        <f>IF(ISERROR((GF571/GD571-1)*100),"NA",IF(((GF571/GD571-1)*100)&gt;100,"NM",IF(((GF571/GD571-1)*100)&lt;-50,"NM",(GF571/GD571-1)*100)))</f>
        <v>NA</v>
      </c>
      <c r="GH571" s="106" t="e">
        <f>+GH561/GH557*100</f>
        <v>#DIV/0!</v>
      </c>
      <c r="GI571" s="98" t="str">
        <f>IF(ISERROR((GH571/GF571-1)*100),"NA",IF(((GH571/GF571-1)*100)&gt;100,"NM",IF(((GH571/GF571-1)*100)&lt;-50,"NM",(GH571/GF571-1)*100)))</f>
        <v>NA</v>
      </c>
      <c r="GJ571" s="106" t="e">
        <f>+GJ561/GJ557*100</f>
        <v>#DIV/0!</v>
      </c>
      <c r="GK571" s="98" t="str">
        <f>IF(ISERROR((GJ571/GH571-1)*100),"NA",IF(((GJ571/GH571-1)*100)&gt;100,"NM",IF(((GJ571/GH571-1)*100)&lt;-50,"NM",(GJ571/GH571-1)*100)))</f>
        <v>NA</v>
      </c>
      <c r="GL571" s="106" t="e">
        <f>+GL561/GL557*100</f>
        <v>#DIV/0!</v>
      </c>
      <c r="GM571" s="98" t="str">
        <f>IF(ISERROR((GL571/GJ571-1)*100),"NA",IF(((GL571/GJ571-1)*100)&gt;100,"NM",IF(((GL571/GJ571-1)*100)&lt;-50,"NM",(GL571/GJ571-1)*100)))</f>
        <v>NA</v>
      </c>
      <c r="GN571" s="106" t="e">
        <f>+GN561/GN557*100</f>
        <v>#DIV/0!</v>
      </c>
      <c r="GO571" s="98" t="str">
        <f>IF(ISERROR((GN571/GL571-1)*100),"NA",IF(((GN571/GL571-1)*100)&gt;100,"NM",IF(((GN571/GL571-1)*100)&lt;-50,"NM",(GN571/GL571-1)*100)))</f>
        <v>NA</v>
      </c>
      <c r="GP571" s="106"/>
      <c r="GQ571" s="98" t="str">
        <f>IF(ISERROR((GP571/GN571-1)*100),"NA",IF(((GP571/GN571-1)*100)&gt;100,"NM",IF(((GP571/GN571-1)*100)&lt;-50,"NM",(GP571/GN571-1)*100)))</f>
        <v>NA</v>
      </c>
      <c r="GR571" s="110"/>
      <c r="GS571" s="98" t="str">
        <f>IF(ISERROR((GR571/GP571-1)*100),"NA",IF(((GR571/GP571-1)*100)&gt;100,"NM",IF(((GR571/GP571-1)*100)&lt;-50,"NM",(GR571/GP571-1)*100)))</f>
        <v>NA</v>
      </c>
      <c r="GT571" s="110"/>
      <c r="GU571" s="98"/>
      <c r="GV571" s="110"/>
      <c r="GW571" s="98" t="str">
        <f>IF(ISERROR((GV571/GT571-1)*100),"NA",IF(((GV571/GT571-1)*100)&gt;100,"NM",IF(((GV571/GT571-1)*100)&lt;-50,"NM",(GV571/GT571-1)*100)))</f>
        <v>NA</v>
      </c>
      <c r="GX571" s="110"/>
      <c r="GY571" s="98" t="str">
        <f>IF(ISERROR((GX571/GV571-1)*100),"NA",IF(((GX571/GV571-1)*100)&gt;100,"NM",IF(((GX571/GV571-1)*100)&lt;-50,"NM",(GX571/GV571-1)*100)))</f>
        <v>NA</v>
      </c>
      <c r="GZ571" s="98" t="str">
        <f>IF(ISERROR(((GX571/GN571)^0.2-1)*100),"NA",IF((((GX571/GN571)^0.2-1)*100)&gt;100,"NM",IF((((GX571/GN571)^0.2-1)*100)&lt;-50,"NM",((GX571/GN571)^0.2-1)*100)))</f>
        <v>NA</v>
      </c>
      <c r="HA571" s="98"/>
      <c r="HB571" s="10"/>
      <c r="HC571"/>
      <c r="HD571"/>
      <c r="HE571"/>
      <c r="HF571"/>
      <c r="HG571"/>
      <c r="HH571"/>
      <c r="HI571" s="10"/>
    </row>
    <row r="572" spans="1:217" s="143" customFormat="1" ht="12.75" hidden="1" customHeight="1" outlineLevel="2" x14ac:dyDescent="0.2">
      <c r="B572" s="140" t="s">
        <v>61</v>
      </c>
      <c r="C572" s="105"/>
      <c r="D572" s="104"/>
      <c r="E572" s="105"/>
      <c r="F572" s="104"/>
      <c r="G572" s="105"/>
      <c r="H572" s="104"/>
      <c r="I572" s="105"/>
      <c r="J572" s="104"/>
      <c r="K572" s="105"/>
      <c r="L572" s="104"/>
      <c r="M572" s="105"/>
      <c r="N572" s="104"/>
      <c r="O572" s="105"/>
      <c r="P572" s="104"/>
      <c r="Q572" s="105"/>
      <c r="R572" s="104"/>
      <c r="S572" s="105"/>
      <c r="T572" s="104"/>
      <c r="U572" s="105"/>
      <c r="V572" s="104"/>
      <c r="W572" s="105"/>
      <c r="X572" s="104"/>
      <c r="Y572" s="105"/>
      <c r="Z572" s="104"/>
      <c r="AA572" s="105"/>
      <c r="AB572" s="104"/>
      <c r="AC572" s="105"/>
      <c r="AD572" s="104"/>
      <c r="AE572" s="105"/>
      <c r="AF572" s="104"/>
      <c r="AG572" s="105"/>
      <c r="AH572" s="104"/>
      <c r="AI572" s="105"/>
      <c r="AJ572" s="104"/>
      <c r="AK572" s="105"/>
      <c r="AL572" s="104"/>
      <c r="AM572" s="105"/>
      <c r="AN572" s="104"/>
      <c r="AO572" s="105"/>
      <c r="AP572" s="104"/>
      <c r="AQ572" s="105"/>
      <c r="AR572" s="104"/>
      <c r="AS572" s="105"/>
      <c r="AT572" s="104"/>
      <c r="AU572" s="105"/>
      <c r="AV572" s="104"/>
      <c r="AW572" s="105"/>
      <c r="AX572" s="104"/>
      <c r="AY572" s="105"/>
      <c r="AZ572" s="104"/>
      <c r="BA572" s="105"/>
      <c r="BB572" s="104"/>
      <c r="BC572" s="105"/>
      <c r="BD572" s="104"/>
      <c r="BE572" s="105"/>
      <c r="BF572" s="104"/>
      <c r="BG572" s="105"/>
      <c r="BH572" s="104"/>
      <c r="BI572" s="105"/>
      <c r="BJ572" s="104"/>
      <c r="BK572" s="105"/>
      <c r="BL572" s="104"/>
      <c r="BM572" s="105"/>
      <c r="BN572" s="104"/>
      <c r="BO572" s="105"/>
      <c r="BP572" s="104"/>
      <c r="BQ572" s="105"/>
      <c r="BR572" s="104"/>
      <c r="BS572" s="105"/>
      <c r="BT572" s="104"/>
      <c r="BU572" s="105"/>
      <c r="BV572" s="104"/>
      <c r="BW572" s="105"/>
      <c r="BX572" s="104"/>
      <c r="BY572" s="105"/>
      <c r="BZ572" s="104"/>
      <c r="CA572" s="105"/>
      <c r="CB572" s="104"/>
      <c r="CC572" s="105"/>
      <c r="CD572" s="104"/>
      <c r="CE572" s="105"/>
      <c r="CF572" s="104"/>
      <c r="CG572" s="105"/>
      <c r="CH572" s="104"/>
      <c r="CI572" s="105"/>
      <c r="CJ572" s="104"/>
      <c r="CK572" s="105"/>
      <c r="CL572" s="104"/>
      <c r="CM572" s="105"/>
      <c r="CN572" s="104"/>
      <c r="CO572" s="105"/>
      <c r="CP572" s="104"/>
      <c r="CQ572" s="522"/>
      <c r="CR572" s="104"/>
      <c r="CS572" s="105"/>
      <c r="CT572" s="104"/>
      <c r="CU572" s="105"/>
      <c r="CV572" s="104"/>
      <c r="CW572" s="105"/>
      <c r="CX572" s="104"/>
      <c r="CY572" s="105"/>
      <c r="CZ572" s="104"/>
      <c r="DA572" s="105"/>
      <c r="DB572" s="104"/>
      <c r="DC572" s="105"/>
      <c r="DD572" s="104"/>
      <c r="DE572" s="105"/>
      <c r="DF572" s="104"/>
      <c r="DG572" s="105"/>
      <c r="DH572" s="104"/>
      <c r="DI572" s="105"/>
      <c r="DJ572" s="633"/>
      <c r="DK572" s="105"/>
      <c r="DL572" s="633"/>
      <c r="DM572" s="105"/>
      <c r="DN572" s="104"/>
      <c r="DO572" s="105"/>
      <c r="DP572" s="104"/>
      <c r="DQ572" s="105"/>
      <c r="DR572" s="104"/>
      <c r="DS572" s="105"/>
      <c r="DT572" s="104"/>
      <c r="DU572" s="105"/>
      <c r="DV572" s="104"/>
      <c r="DW572" s="105"/>
      <c r="DX572" s="104"/>
      <c r="DY572" s="105"/>
      <c r="DZ572" s="104"/>
      <c r="EA572" s="105"/>
      <c r="EB572" s="104"/>
      <c r="EC572" s="105"/>
      <c r="ED572" s="104"/>
      <c r="EE572" s="105"/>
      <c r="EF572" s="1019"/>
      <c r="EG572" s="105"/>
      <c r="EH572" s="1019"/>
      <c r="EI572" s="105"/>
      <c r="EJ572" s="1019"/>
      <c r="EK572" s="105"/>
      <c r="EL572" s="1019"/>
      <c r="EM572" s="105"/>
      <c r="EN572" s="1019"/>
      <c r="EO572" s="105"/>
      <c r="EP572" s="104"/>
      <c r="EQ572" s="1018"/>
      <c r="ER572" s="104"/>
      <c r="ES572" s="1018"/>
      <c r="ET572" s="104"/>
      <c r="EU572" s="1018"/>
      <c r="EV572" s="104"/>
      <c r="EW572" s="1018"/>
      <c r="EX572" s="104"/>
      <c r="EY572" s="141"/>
      <c r="EZ572" s="595"/>
      <c r="FA572" s="406"/>
      <c r="FB572" s="142"/>
      <c r="FC572" s="104"/>
      <c r="FD572" s="142"/>
      <c r="FE572" s="104"/>
      <c r="FF572" s="142"/>
      <c r="FG572" s="104"/>
      <c r="FH572" s="142"/>
      <c r="FI572" s="104"/>
      <c r="FJ572" s="142"/>
      <c r="FK572" s="104"/>
      <c r="FL572" s="142"/>
      <c r="FM572" s="104"/>
      <c r="FN572" s="142"/>
      <c r="FO572" s="104"/>
      <c r="FP572" s="142"/>
      <c r="FQ572" s="104"/>
      <c r="FR572" s="141"/>
      <c r="FS572" s="109"/>
      <c r="FT572" s="141"/>
      <c r="FU572" s="109"/>
      <c r="FV572" s="141"/>
      <c r="FW572" s="104"/>
      <c r="FX572" s="491"/>
      <c r="FY572" s="104"/>
      <c r="FZ572" s="141"/>
      <c r="GA572" s="104"/>
      <c r="GB572" s="491"/>
      <c r="GC572" s="104"/>
      <c r="GD572" s="141"/>
      <c r="GE572" s="104"/>
      <c r="GF572" s="141"/>
      <c r="GG572" s="104"/>
      <c r="GH572" s="141"/>
      <c r="GI572" s="104"/>
      <c r="GJ572" s="141"/>
      <c r="GK572" s="104"/>
      <c r="GL572" s="141"/>
      <c r="GM572" s="104"/>
      <c r="GN572" s="141"/>
      <c r="GO572" s="104"/>
      <c r="GP572" s="141"/>
      <c r="GQ572" s="104"/>
      <c r="GR572" s="141"/>
      <c r="GS572" s="104"/>
      <c r="GT572" s="141"/>
      <c r="GU572" s="104"/>
      <c r="GV572" s="141"/>
      <c r="GW572" s="104"/>
      <c r="GX572" s="141"/>
      <c r="GY572" s="104"/>
      <c r="GZ572" s="104"/>
      <c r="HA572" s="104"/>
      <c r="HB572" s="111"/>
      <c r="HC572"/>
      <c r="HD572"/>
      <c r="HE572"/>
      <c r="HF572"/>
      <c r="HG572"/>
      <c r="HH572"/>
      <c r="HI572" s="111"/>
    </row>
    <row r="573" spans="1:217" s="2" customFormat="1" ht="12.75" hidden="1" customHeight="1" outlineLevel="1" collapsed="1" x14ac:dyDescent="0.2">
      <c r="B573" s="91"/>
      <c r="C573" s="137"/>
      <c r="D573" s="98"/>
      <c r="E573" s="137"/>
      <c r="F573" s="98"/>
      <c r="G573" s="137"/>
      <c r="H573" s="98"/>
      <c r="I573" s="137"/>
      <c r="J573" s="98"/>
      <c r="K573" s="137"/>
      <c r="L573" s="98"/>
      <c r="M573" s="137"/>
      <c r="N573" s="98"/>
      <c r="O573" s="137"/>
      <c r="P573" s="98"/>
      <c r="Q573" s="137"/>
      <c r="R573" s="98"/>
      <c r="S573" s="137"/>
      <c r="T573" s="98"/>
      <c r="U573" s="137"/>
      <c r="V573" s="98"/>
      <c r="W573" s="137"/>
      <c r="X573" s="98"/>
      <c r="Y573" s="137"/>
      <c r="Z573" s="98"/>
      <c r="AA573" s="137"/>
      <c r="AB573" s="98"/>
      <c r="AC573" s="137"/>
      <c r="AD573" s="98"/>
      <c r="AE573" s="137"/>
      <c r="AF573" s="98"/>
      <c r="AG573" s="137"/>
      <c r="AH573" s="98"/>
      <c r="AI573" s="137"/>
      <c r="AJ573" s="98"/>
      <c r="AK573" s="137"/>
      <c r="AL573" s="98"/>
      <c r="AM573" s="137"/>
      <c r="AN573" s="98"/>
      <c r="AO573" s="137"/>
      <c r="AP573" s="98"/>
      <c r="AQ573" s="137"/>
      <c r="AR573" s="98"/>
      <c r="AS573" s="137"/>
      <c r="AT573" s="98"/>
      <c r="AU573" s="137"/>
      <c r="AV573" s="98"/>
      <c r="AW573" s="137"/>
      <c r="AX573" s="98"/>
      <c r="AY573" s="137"/>
      <c r="AZ573" s="98"/>
      <c r="BA573" s="137"/>
      <c r="BB573" s="98"/>
      <c r="BC573" s="137"/>
      <c r="BD573" s="98"/>
      <c r="BE573" s="137"/>
      <c r="BF573" s="98"/>
      <c r="BG573" s="137"/>
      <c r="BH573" s="98"/>
      <c r="BI573" s="137"/>
      <c r="BJ573" s="98"/>
      <c r="BK573" s="137"/>
      <c r="BL573" s="98"/>
      <c r="BM573" s="137"/>
      <c r="BN573" s="98"/>
      <c r="BO573" s="137"/>
      <c r="BP573" s="98"/>
      <c r="BQ573" s="137"/>
      <c r="BR573" s="98"/>
      <c r="BS573" s="137"/>
      <c r="BT573" s="98"/>
      <c r="BU573" s="137"/>
      <c r="BV573" s="98"/>
      <c r="BW573" s="137"/>
      <c r="BX573" s="98"/>
      <c r="BY573" s="137"/>
      <c r="BZ573" s="98"/>
      <c r="CA573" s="137"/>
      <c r="CB573" s="98"/>
      <c r="CC573" s="137"/>
      <c r="CD573" s="98"/>
      <c r="CE573" s="137"/>
      <c r="CF573" s="98"/>
      <c r="CG573" s="137"/>
      <c r="CH573" s="98"/>
      <c r="CI573" s="137"/>
      <c r="CJ573" s="98"/>
      <c r="CK573" s="137"/>
      <c r="CL573" s="98"/>
      <c r="CM573" s="137"/>
      <c r="CN573" s="98"/>
      <c r="CO573" s="137"/>
      <c r="CP573" s="98"/>
      <c r="CQ573" s="494"/>
      <c r="CR573" s="98"/>
      <c r="CS573" s="137"/>
      <c r="CT573" s="98"/>
      <c r="CU573" s="137"/>
      <c r="CV573" s="98"/>
      <c r="CW573" s="137"/>
      <c r="CX573" s="98"/>
      <c r="CY573" s="137"/>
      <c r="CZ573" s="98"/>
      <c r="DA573" s="137"/>
      <c r="DB573" s="98"/>
      <c r="DC573" s="137"/>
      <c r="DD573" s="98"/>
      <c r="DE573" s="137"/>
      <c r="DF573" s="98"/>
      <c r="DG573" s="137"/>
      <c r="DH573" s="98"/>
      <c r="DI573" s="137"/>
      <c r="DJ573" s="465"/>
      <c r="DK573" s="137"/>
      <c r="DL573" s="465"/>
      <c r="DM573" s="137"/>
      <c r="DN573" s="98"/>
      <c r="DO573" s="137"/>
      <c r="DP573" s="98"/>
      <c r="DQ573" s="137"/>
      <c r="DR573" s="98"/>
      <c r="DS573" s="137"/>
      <c r="DT573" s="98"/>
      <c r="DU573" s="137"/>
      <c r="DV573" s="98"/>
      <c r="DW573" s="137"/>
      <c r="DX573" s="98"/>
      <c r="DY573" s="137"/>
      <c r="DZ573" s="98"/>
      <c r="EA573" s="137"/>
      <c r="EB573" s="98"/>
      <c r="EC573" s="137"/>
      <c r="ED573" s="98"/>
      <c r="EE573" s="137"/>
      <c r="EF573" s="860"/>
      <c r="EG573" s="137"/>
      <c r="EH573" s="860"/>
      <c r="EI573" s="137"/>
      <c r="EJ573" s="860"/>
      <c r="EK573" s="137"/>
      <c r="EL573" s="860"/>
      <c r="EM573" s="137"/>
      <c r="EN573" s="860"/>
      <c r="EO573" s="137"/>
      <c r="EP573" s="98"/>
      <c r="EQ573" s="1026"/>
      <c r="ER573" s="98"/>
      <c r="ES573" s="1026"/>
      <c r="ET573" s="98"/>
      <c r="EU573" s="1026"/>
      <c r="EV573" s="98"/>
      <c r="EW573" s="1026"/>
      <c r="EX573" s="98"/>
      <c r="EY573" s="80"/>
      <c r="EZ573" s="594"/>
      <c r="FA573" s="405"/>
      <c r="FB573" s="125"/>
      <c r="FC573" s="98"/>
      <c r="FD573" s="137"/>
      <c r="FE573" s="98"/>
      <c r="FF573" s="125"/>
      <c r="FG573" s="98"/>
      <c r="FH573" s="125"/>
      <c r="FI573" s="98"/>
      <c r="FJ573" s="125"/>
      <c r="FK573" s="98"/>
      <c r="FL573" s="125"/>
      <c r="FM573" s="98"/>
      <c r="FN573" s="125"/>
      <c r="FO573" s="98"/>
      <c r="FP573" s="125"/>
      <c r="FQ573" s="98"/>
      <c r="FR573" s="130"/>
      <c r="FS573" s="120"/>
      <c r="FT573" s="130"/>
      <c r="FU573" s="120"/>
      <c r="FV573" s="130"/>
      <c r="FW573" s="98"/>
      <c r="FX573" s="487"/>
      <c r="FY573" s="98"/>
      <c r="FZ573" s="130"/>
      <c r="GA573" s="98"/>
      <c r="GB573" s="487"/>
      <c r="GC573" s="98"/>
      <c r="GD573" s="130"/>
      <c r="GE573" s="98"/>
      <c r="GF573" s="130"/>
      <c r="GG573" s="98"/>
      <c r="GH573" s="130"/>
      <c r="GI573" s="98"/>
      <c r="GJ573" s="130"/>
      <c r="GK573" s="98"/>
      <c r="GL573" s="130"/>
      <c r="GM573" s="98"/>
      <c r="GN573" s="130"/>
      <c r="GO573" s="98"/>
      <c r="GP573" s="130"/>
      <c r="GQ573" s="98"/>
      <c r="GR573" s="80"/>
      <c r="GS573" s="98"/>
      <c r="GT573" s="80"/>
      <c r="GU573" s="98"/>
      <c r="GV573" s="80"/>
      <c r="GW573" s="98"/>
      <c r="GX573" s="80"/>
      <c r="GY573" s="98"/>
      <c r="GZ573" s="98"/>
      <c r="HA573" s="98"/>
      <c r="HB573" s="10"/>
      <c r="HC573"/>
      <c r="HD573"/>
      <c r="HE573"/>
      <c r="HF573"/>
      <c r="HG573"/>
      <c r="HH573"/>
      <c r="HI573" s="10"/>
    </row>
    <row r="574" spans="1:217" s="2" customFormat="1" ht="12.75" hidden="1" customHeight="1" outlineLevel="1" x14ac:dyDescent="0.2">
      <c r="A574" s="2" t="s">
        <v>205</v>
      </c>
      <c r="B574" s="19" t="s">
        <v>477</v>
      </c>
      <c r="C574" s="182"/>
      <c r="D574" s="98"/>
      <c r="E574" s="182"/>
      <c r="F574" s="98"/>
      <c r="G574" s="182"/>
      <c r="H574" s="98"/>
      <c r="I574" s="182"/>
      <c r="J574" s="98"/>
      <c r="K574" s="182"/>
      <c r="L574" s="98"/>
      <c r="M574" s="182"/>
      <c r="N574" s="98"/>
      <c r="O574" s="182"/>
      <c r="P574" s="98"/>
      <c r="Q574" s="182"/>
      <c r="R574" s="98"/>
      <c r="S574" s="182"/>
      <c r="T574" s="98"/>
      <c r="U574" s="182"/>
      <c r="V574" s="98"/>
      <c r="W574" s="182"/>
      <c r="X574" s="98"/>
      <c r="Y574" s="182"/>
      <c r="Z574" s="98"/>
      <c r="AA574" s="182"/>
      <c r="AB574" s="98"/>
      <c r="AC574" s="182"/>
      <c r="AD574" s="98"/>
      <c r="AE574" s="182"/>
      <c r="AF574" s="98"/>
      <c r="AG574" s="182"/>
      <c r="AH574" s="98"/>
      <c r="AI574" s="182"/>
      <c r="AJ574" s="98"/>
      <c r="AK574" s="182"/>
      <c r="AL574" s="98"/>
      <c r="AM574" s="182"/>
      <c r="AN574" s="98"/>
      <c r="AO574" s="182"/>
      <c r="AP574" s="98"/>
      <c r="AQ574" s="182"/>
      <c r="AR574" s="98"/>
      <c r="AS574" s="182"/>
      <c r="AT574" s="98"/>
      <c r="AU574" s="182"/>
      <c r="AV574" s="98"/>
      <c r="AW574" s="182"/>
      <c r="AX574" s="98"/>
      <c r="AY574" s="182"/>
      <c r="AZ574" s="98"/>
      <c r="BA574" s="182"/>
      <c r="BB574" s="98"/>
      <c r="BC574" s="182"/>
      <c r="BD574" s="98"/>
      <c r="BE574" s="182"/>
      <c r="BF574" s="98"/>
      <c r="BG574" s="182"/>
      <c r="BH574" s="98"/>
      <c r="BI574" s="182"/>
      <c r="BJ574" s="98"/>
      <c r="BK574" s="182"/>
      <c r="BL574" s="98"/>
      <c r="BM574" s="182"/>
      <c r="BN574" s="98"/>
      <c r="BO574" s="182"/>
      <c r="BP574" s="98"/>
      <c r="BQ574" s="182"/>
      <c r="BR574" s="98"/>
      <c r="BS574" s="182"/>
      <c r="BT574" s="98"/>
      <c r="BU574" s="182"/>
      <c r="BV574" s="98"/>
      <c r="BW574" s="182"/>
      <c r="BX574" s="98"/>
      <c r="BY574" s="182"/>
      <c r="BZ574" s="98"/>
      <c r="CA574" s="182"/>
      <c r="CB574" s="98"/>
      <c r="CC574" s="182"/>
      <c r="CD574" s="98"/>
      <c r="CE574" s="182"/>
      <c r="CF574" s="98"/>
      <c r="CG574" s="182"/>
      <c r="CH574" s="98"/>
      <c r="CI574" s="182"/>
      <c r="CJ574" s="98"/>
      <c r="CK574" s="182"/>
      <c r="CL574" s="98"/>
      <c r="CM574" s="704"/>
      <c r="CN574" s="98"/>
      <c r="CO574" s="182"/>
      <c r="CP574" s="98"/>
      <c r="CQ574" s="512"/>
      <c r="CR574" s="98"/>
      <c r="CS574" s="182"/>
      <c r="CT574" s="98"/>
      <c r="CU574" s="182"/>
      <c r="CV574" s="98"/>
      <c r="CW574" s="182"/>
      <c r="CX574" s="98"/>
      <c r="CY574" s="182"/>
      <c r="CZ574" s="98"/>
      <c r="DA574" s="182"/>
      <c r="DB574" s="98"/>
      <c r="DC574" s="182"/>
      <c r="DD574" s="98"/>
      <c r="DE574" s="182"/>
      <c r="DF574" s="98"/>
      <c r="DG574" s="182"/>
      <c r="DH574" s="98"/>
      <c r="DI574" s="182"/>
      <c r="DJ574" s="98"/>
      <c r="DK574" s="182"/>
      <c r="DL574" s="98"/>
      <c r="DM574" s="182"/>
      <c r="DN574" s="98"/>
      <c r="DO574" s="182"/>
      <c r="DP574" s="98"/>
      <c r="DQ574" s="182"/>
      <c r="DR574" s="98"/>
      <c r="DS574" s="182"/>
      <c r="DT574" s="98"/>
      <c r="DU574" s="182"/>
      <c r="DV574" s="98"/>
      <c r="DW574" s="182"/>
      <c r="DX574" s="98"/>
      <c r="DY574" s="182"/>
      <c r="DZ574" s="98"/>
      <c r="EA574" s="182"/>
      <c r="EB574" s="98"/>
      <c r="EC574" s="182"/>
      <c r="ED574" s="98"/>
      <c r="EE574" s="182"/>
      <c r="EF574" s="860"/>
      <c r="EG574" s="182"/>
      <c r="EH574" s="860"/>
      <c r="EI574" s="182"/>
      <c r="EJ574" s="860"/>
      <c r="EK574" s="182"/>
      <c r="EL574" s="860" t="str">
        <f t="shared" ref="EL574:EL582" si="3345">IF(ISERROR((EK574/EC574-1)*100),"NA",IF(((EK574/EC574-1)*100)&gt;100,"NM",IF(((EK574/EC574-1)*100)&lt;-50,"NM",(EK574/EC574-1)*100)))</f>
        <v>NA</v>
      </c>
      <c r="EM574" s="182"/>
      <c r="EN574" s="860"/>
      <c r="EO574" s="182"/>
      <c r="EP574" s="98" t="str">
        <f t="shared" ref="EP574:EP582" si="3346">IF(ISERROR((EO574/EG574-1)*100),"NA",IF(((EO574/EG574-1)*100)&gt;100,"NM",IF(((EO574/EG574-1)*100)&lt;-50,"NM",(EO574/EG574-1)*100)))</f>
        <v>NA</v>
      </c>
      <c r="EQ574" s="795"/>
      <c r="ER574" s="98" t="str">
        <f t="shared" ref="ER574:ER577" si="3347">IF(ISERROR((EQ574/EI574-1)*100),"NA",IF(((EQ574/EI574-1)*100)&gt;100,"NM",IF(((EQ574/EI574-1)*100)&lt;-50,"NM",(EQ574/EI574-1)*100)))</f>
        <v>NA</v>
      </c>
      <c r="ES574" s="795"/>
      <c r="ET574" s="98" t="str">
        <f t="shared" ref="ET574:ET577" si="3348">IF(ISERROR((ES574/EK574-1)*100),"NA",IF(((ES574/EK574-1)*100)&gt;100,"NM",IF(((ES574/EK574-1)*100)&lt;-50,"NM",(ES574/EK574-1)*100)))</f>
        <v>NA</v>
      </c>
      <c r="EU574" s="795"/>
      <c r="EV574" s="98" t="str">
        <f t="shared" ref="EV574:EV577" si="3349">IF(ISERROR((EU574/EM574-1)*100),"NA",IF(((EU574/EM574-1)*100)&gt;100,"NM",IF(((EU574/EM574-1)*100)&lt;-50,"NM",(EU574/EM574-1)*100)))</f>
        <v>NA</v>
      </c>
      <c r="EW574" s="795"/>
      <c r="EX574" s="98" t="str">
        <f t="shared" ref="EX574:EX577" si="3350">IF(ISERROR((EW574/EO574-1)*100),"NA",IF(((EW574/EO574-1)*100)&gt;100,"NM",IF(((EW574/EO574-1)*100)&lt;-50,"NM",(EW574/EO574-1)*100)))</f>
        <v>NA</v>
      </c>
      <c r="EY574" s="183"/>
      <c r="EZ574" s="594"/>
      <c r="FA574" s="405"/>
      <c r="FB574" s="183">
        <f>+FB556-FB566</f>
        <v>260</v>
      </c>
      <c r="FC574" s="98"/>
      <c r="FD574" s="182">
        <f>+FD556-FD566</f>
        <v>312</v>
      </c>
      <c r="FE574" s="98">
        <f>IF(ISERROR((FD574/FB574-1)*100),"NA",IF(((FD574/FB574-1)*100)&gt;100,"NM",IF(((FD574/FB574-1)*100)&lt;-50,"NM",(FD574/FB574-1)*100)))</f>
        <v>19.999999999999996</v>
      </c>
      <c r="FF574" s="183">
        <f>+FF556-FF566</f>
        <v>27</v>
      </c>
      <c r="FG574" s="98" t="str">
        <f>IF(ISERROR((FF574/FD574-1)*100),"NA",IF(((FF574/FD574-1)*100)&gt;100,"NM",IF(((FF574/FD574-1)*100)&lt;-50,"NM",(FF574/FD574-1)*100)))</f>
        <v>NM</v>
      </c>
      <c r="FH574" s="183">
        <f>+FH556-FH566</f>
        <v>98</v>
      </c>
      <c r="FI574" s="98" t="str">
        <f>IF(ISERROR((FH574/FF574-1)*100),"NA",IF(((FH574/FF574-1)*100)&gt;100,"NM",IF(((FH574/FF574-1)*100)&lt;-50,"NM",(FH574/FF574-1)*100)))</f>
        <v>NM</v>
      </c>
      <c r="FJ574" s="183">
        <f>+FJ556-FJ566</f>
        <v>202</v>
      </c>
      <c r="FK574" s="98" t="str">
        <f>IF(ISERROR((FJ574/FH574-1)*100),"NA",IF(((FJ574/FH574-1)*100)&gt;100,"NM",IF(((FJ574/FH574-1)*100)&lt;-50,"NM",(FJ574/FH574-1)*100)))</f>
        <v>NM</v>
      </c>
      <c r="FL574" s="183">
        <f>+FL556-FL566</f>
        <v>382</v>
      </c>
      <c r="FM574" s="98">
        <f>IF(ISERROR((FL574/FJ574-1)*100),"NA",IF(((FL574/FJ574-1)*100)&gt;100,"NM",IF(((FL574/FJ574-1)*100)&lt;-50,"NM",(FL574/FJ574-1)*100)))</f>
        <v>89.108910891089096</v>
      </c>
      <c r="FN574" s="183">
        <f>+FN556-FN566</f>
        <v>0</v>
      </c>
      <c r="FO574" s="98" t="str">
        <f>IF(ISERROR((FN574/FL574-1)*100),"NA",IF(((FN574/FL574-1)*100)&gt;100,"NM",IF(((FN574/FL574-1)*100)&lt;-50,"NM",(FN574/FL574-1)*100)))</f>
        <v>NM</v>
      </c>
      <c r="FP574" s="183">
        <f>+FP556-FP566</f>
        <v>0</v>
      </c>
      <c r="FQ574" s="98" t="str">
        <f t="shared" ref="FQ574:FQ581" si="3351">IF(ISERROR((FP574/FN574-1)*100),"NA",IF(((FP574/FN574-1)*100)&gt;100,"NM",IF(((FP574/FN574-1)*100)&lt;-50,"NM",(FP574/FN574-1)*100)))</f>
        <v>NA</v>
      </c>
      <c r="FR574" s="184">
        <f>+FR556-FR566</f>
        <v>0</v>
      </c>
      <c r="FS574" s="120" t="str">
        <f t="shared" ref="FS574:FS581" si="3352">IF(ISERROR((FR574/FP574-1)*100),"NA",IF(((FR574/FP574-1)*100)&gt;100,"NM",IF(((FR574/FP574-1)*100)&lt;-50,"NM",(FR574/FP574-1)*100)))</f>
        <v>NA</v>
      </c>
      <c r="FT574" s="184">
        <f>+FT556-FT566</f>
        <v>0</v>
      </c>
      <c r="FU574" s="120" t="str">
        <f>IF(ISERROR((FT574/FR574-1)*100),"NA",IF(((FT574/FR574-1)*100)&gt;100,"NM",IF(((FT574/FR574-1)*100)&lt;-50,"NM",(FT574/FR574-1)*100)))</f>
        <v>NA</v>
      </c>
      <c r="FV574" s="184">
        <f>+FV556-FV566</f>
        <v>307</v>
      </c>
      <c r="FW574" s="98" t="str">
        <f t="shared" ref="FW574:FW581" si="3353">IF(ISERROR((FV574/FT574-1)*100),"NA",IF(((FV574/FT574-1)*100)&gt;100,"NM",IF(((FV574/FT574-1)*100)&lt;-50,"NM",(FV574/FT574-1)*100)))</f>
        <v>NA</v>
      </c>
      <c r="FX574" s="498">
        <f>+FX556-FX566</f>
        <v>0</v>
      </c>
      <c r="FY574" s="98" t="str">
        <f t="shared" ref="FY574:FY581" si="3354">IF(ISERROR((FX574/FV574-1)*100),"NA",IF(((FX574/FV574-1)*100)&gt;100,"NM",IF(((FX574/FV574-1)*100)&lt;-50,"NM",(FX574/FV574-1)*100)))</f>
        <v>NM</v>
      </c>
      <c r="FZ574" s="184">
        <f>+FZ556-FZ566</f>
        <v>0</v>
      </c>
      <c r="GA574" s="98" t="str">
        <f t="shared" ref="GA574:GA581" si="3355">IF(ISERROR((FZ574/FX574-1)*100),"NA",IF(((FZ574/FX574-1)*100)&gt;100,"NM",IF(((FZ574/FX574-1)*100)&lt;-50,"NM",(FZ574/FX574-1)*100)))</f>
        <v>NA</v>
      </c>
      <c r="GB574" s="498">
        <f>+GB556-GB566</f>
        <v>0</v>
      </c>
      <c r="GC574" s="98" t="str">
        <f t="shared" ref="GC574:GC581" si="3356">IF(ISERROR((GB574/FZ574-1)*100),"NA",IF(((GB574/FZ574-1)*100)&gt;100,"NM",IF(((GB574/FZ574-1)*100)&lt;-50,"NM",(GB574/FZ574-1)*100)))</f>
        <v>NA</v>
      </c>
      <c r="GD574" s="184">
        <f>+GD556-GD566</f>
        <v>0</v>
      </c>
      <c r="GE574" s="98" t="str">
        <f t="shared" ref="GE574:GW581" si="3357">IF(ISERROR((GD574/GB574-1)*100),"NA",IF(((GD574/GB574-1)*100)&gt;100,"NM",IF(((GD574/GB574-1)*100)&lt;-50,"NM",(GD574/GB574-1)*100)))</f>
        <v>NA</v>
      </c>
      <c r="GF574" s="184">
        <f>+GF556-GF566</f>
        <v>0</v>
      </c>
      <c r="GG574" s="98" t="str">
        <f t="shared" si="3357"/>
        <v>NA</v>
      </c>
      <c r="GH574" s="184">
        <f>+GH556-GH566</f>
        <v>0</v>
      </c>
      <c r="GI574" s="98" t="str">
        <f t="shared" si="3357"/>
        <v>NA</v>
      </c>
      <c r="GJ574" s="184">
        <f>+GJ556-GJ566</f>
        <v>0</v>
      </c>
      <c r="GK574" s="98" t="str">
        <f t="shared" si="3357"/>
        <v>NA</v>
      </c>
      <c r="GL574" s="184">
        <f>+GL556-GL566</f>
        <v>0</v>
      </c>
      <c r="GM574" s="98" t="str">
        <f t="shared" si="3357"/>
        <v>NA</v>
      </c>
      <c r="GN574" s="184">
        <f>+GN556-GN566</f>
        <v>0</v>
      </c>
      <c r="GO574" s="98" t="str">
        <f t="shared" si="3357"/>
        <v>NA</v>
      </c>
      <c r="GP574" s="184"/>
      <c r="GQ574" s="98" t="str">
        <f t="shared" si="3357"/>
        <v>NA</v>
      </c>
      <c r="GR574" s="183"/>
      <c r="GS574" s="98" t="str">
        <f t="shared" si="3357"/>
        <v>NA</v>
      </c>
      <c r="GT574" s="183"/>
      <c r="GU574" s="98"/>
      <c r="GV574" s="183"/>
      <c r="GW574" s="98" t="str">
        <f t="shared" si="3357"/>
        <v>NA</v>
      </c>
      <c r="GX574" s="183"/>
      <c r="GY574" s="98" t="str">
        <f t="shared" ref="GY574:GY577" si="3358">IF(ISERROR((GX574/GV574-1)*100),"NA",IF(((GX574/GV574-1)*100)&gt;100,"NM",IF(((GX574/GV574-1)*100)&lt;-50,"NM",(GX574/GV574-1)*100)))</f>
        <v>NA</v>
      </c>
      <c r="GZ574" s="98" t="str">
        <f t="shared" ref="GZ574:GZ582" si="3359">IF(ISERROR(((GX574/GN574)^0.2-1)*100),"NA",IF((((GX574/GN574)^0.2-1)*100)&gt;100,"NM",IF((((GX574/GN574)^0.2-1)*100)&lt;-50,"NM",((GX574/GN574)^0.2-1)*100)))</f>
        <v>NA</v>
      </c>
      <c r="HA574" s="98"/>
      <c r="HB574" s="10"/>
      <c r="HC574"/>
      <c r="HD574"/>
      <c r="HE574"/>
      <c r="HF574"/>
      <c r="HG574"/>
      <c r="HH574"/>
      <c r="HI574" s="10"/>
    </row>
    <row r="575" spans="1:217" s="2" customFormat="1" ht="12.75" hidden="1" customHeight="1" outlineLevel="1" x14ac:dyDescent="0.2">
      <c r="B575" s="2" t="s">
        <v>478</v>
      </c>
      <c r="C575" s="112"/>
      <c r="D575" s="98"/>
      <c r="E575" s="112"/>
      <c r="F575" s="98"/>
      <c r="G575" s="112"/>
      <c r="H575" s="98"/>
      <c r="I575" s="112"/>
      <c r="J575" s="98"/>
      <c r="K575" s="112"/>
      <c r="L575" s="98"/>
      <c r="M575" s="112"/>
      <c r="N575" s="98"/>
      <c r="O575" s="112"/>
      <c r="P575" s="98"/>
      <c r="Q575" s="438"/>
      <c r="R575" s="98"/>
      <c r="S575" s="112"/>
      <c r="T575" s="98"/>
      <c r="U575" s="112"/>
      <c r="V575" s="98"/>
      <c r="W575" s="112"/>
      <c r="X575" s="98"/>
      <c r="Y575" s="438"/>
      <c r="Z575" s="98"/>
      <c r="AA575" s="112"/>
      <c r="AB575" s="98"/>
      <c r="AC575" s="112"/>
      <c r="AD575" s="98"/>
      <c r="AE575" s="112"/>
      <c r="AF575" s="98"/>
      <c r="AG575" s="112"/>
      <c r="AH575" s="98"/>
      <c r="AI575" s="112"/>
      <c r="AJ575" s="98"/>
      <c r="AK575" s="112"/>
      <c r="AL575" s="98"/>
      <c r="AM575" s="112"/>
      <c r="AN575" s="98"/>
      <c r="AO575" s="112"/>
      <c r="AP575" s="98"/>
      <c r="AQ575" s="112"/>
      <c r="AR575" s="98"/>
      <c r="AS575" s="112"/>
      <c r="AT575" s="98"/>
      <c r="AU575" s="112"/>
      <c r="AV575" s="98"/>
      <c r="AW575" s="112"/>
      <c r="AX575" s="98"/>
      <c r="AY575" s="112"/>
      <c r="AZ575" s="98"/>
      <c r="BA575" s="112"/>
      <c r="BB575" s="98"/>
      <c r="BC575" s="112"/>
      <c r="BD575" s="98"/>
      <c r="BE575" s="112"/>
      <c r="BF575" s="98"/>
      <c r="BG575" s="112"/>
      <c r="BH575" s="98"/>
      <c r="BI575" s="112"/>
      <c r="BJ575" s="98"/>
      <c r="BK575" s="112"/>
      <c r="BL575" s="98"/>
      <c r="BM575" s="112"/>
      <c r="BN575" s="98"/>
      <c r="BO575" s="112"/>
      <c r="BP575" s="98"/>
      <c r="BQ575" s="112"/>
      <c r="BR575" s="98"/>
      <c r="BS575" s="112"/>
      <c r="BT575" s="98"/>
      <c r="BU575" s="122"/>
      <c r="BV575" s="98"/>
      <c r="BW575" s="122"/>
      <c r="BX575" s="98"/>
      <c r="BY575" s="122"/>
      <c r="BZ575" s="98"/>
      <c r="CA575" s="122"/>
      <c r="CB575" s="98"/>
      <c r="CC575" s="122"/>
      <c r="CD575" s="98"/>
      <c r="CE575" s="122"/>
      <c r="CF575" s="98"/>
      <c r="CG575" s="122"/>
      <c r="CH575" s="98"/>
      <c r="CI575" s="122"/>
      <c r="CJ575" s="98"/>
      <c r="CK575" s="122"/>
      <c r="CL575" s="98"/>
      <c r="CM575" s="122"/>
      <c r="CN575" s="98"/>
      <c r="CO575" s="122"/>
      <c r="CP575" s="98"/>
      <c r="CQ575" s="547"/>
      <c r="CR575" s="98"/>
      <c r="CS575" s="122"/>
      <c r="CT575" s="98"/>
      <c r="CU575" s="122"/>
      <c r="CV575" s="98"/>
      <c r="CW575" s="122"/>
      <c r="CX575" s="98"/>
      <c r="CY575" s="122"/>
      <c r="CZ575" s="98"/>
      <c r="DA575" s="122"/>
      <c r="DB575" s="98"/>
      <c r="DC575" s="122"/>
      <c r="DD575" s="98"/>
      <c r="DE575" s="122"/>
      <c r="DF575" s="98"/>
      <c r="DG575" s="122"/>
      <c r="DH575" s="98"/>
      <c r="DI575" s="122"/>
      <c r="DJ575" s="98"/>
      <c r="DK575" s="122"/>
      <c r="DL575" s="98"/>
      <c r="DM575" s="122"/>
      <c r="DN575" s="98"/>
      <c r="DO575" s="122"/>
      <c r="DP575" s="98"/>
      <c r="DQ575" s="122"/>
      <c r="DR575" s="98"/>
      <c r="DS575" s="122"/>
      <c r="DT575" s="98"/>
      <c r="DU575" s="122"/>
      <c r="DV575" s="98"/>
      <c r="DW575" s="122"/>
      <c r="DX575" s="98"/>
      <c r="DY575" s="122"/>
      <c r="DZ575" s="98"/>
      <c r="EA575" s="122"/>
      <c r="EB575" s="98"/>
      <c r="EC575" s="122"/>
      <c r="ED575" s="98"/>
      <c r="EE575" s="122"/>
      <c r="EF575" s="860"/>
      <c r="EG575" s="122"/>
      <c r="EH575" s="860"/>
      <c r="EI575" s="122"/>
      <c r="EJ575" s="860"/>
      <c r="EK575" s="122"/>
      <c r="EL575" s="860" t="str">
        <f t="shared" si="3345"/>
        <v>NA</v>
      </c>
      <c r="EM575" s="122"/>
      <c r="EN575" s="860"/>
      <c r="EO575" s="122"/>
      <c r="EP575" s="98" t="str">
        <f t="shared" si="3346"/>
        <v>NA</v>
      </c>
      <c r="EQ575" s="878"/>
      <c r="ER575" s="98" t="str">
        <f t="shared" si="3347"/>
        <v>NA</v>
      </c>
      <c r="ES575" s="878"/>
      <c r="ET575" s="98" t="str">
        <f t="shared" si="3348"/>
        <v>NA</v>
      </c>
      <c r="EU575" s="878"/>
      <c r="EV575" s="98" t="str">
        <f t="shared" si="3349"/>
        <v>NA</v>
      </c>
      <c r="EW575" s="878"/>
      <c r="EX575" s="98" t="str">
        <f t="shared" si="3350"/>
        <v>NA</v>
      </c>
      <c r="EY575" s="160"/>
      <c r="EZ575" s="594"/>
      <c r="FA575" s="405"/>
      <c r="FB575" s="200" t="s">
        <v>494</v>
      </c>
      <c r="FC575" s="98"/>
      <c r="FD575" s="121">
        <f>30+9+30+41</f>
        <v>110</v>
      </c>
      <c r="FE575" s="98" t="str">
        <f>IF(ISERROR((FD575/FB575-1)*100),"NA",IF(((FD575/FB575-1)*100)&gt;100,"NM",IF(((FD575/FB575-1)*100)&lt;-50,"NM",(FD575/FB575-1)*100)))</f>
        <v>NA</v>
      </c>
      <c r="FF575" s="118">
        <f>C575+E575+G575+I575</f>
        <v>0</v>
      </c>
      <c r="FG575" s="98" t="str">
        <f>IF(ISERROR((FF575/FD575-1)*100),"NA",IF(((FF575/FD575-1)*100)&gt;100,"NM",IF(((FF575/FD575-1)*100)&lt;-50,"NM",(FF575/FD575-1)*100)))</f>
        <v>NM</v>
      </c>
      <c r="FH575" s="118">
        <f>K575+M575+O575+Q575</f>
        <v>0</v>
      </c>
      <c r="FI575" s="98" t="str">
        <f>IF(ISERROR((FH575/FF575-1)*100),"NA",IF(((FH575/FF575-1)*100)&gt;100,"NM",IF(((FH575/FF575-1)*100)&lt;-50,"NM",(FH575/FF575-1)*100)))</f>
        <v>NA</v>
      </c>
      <c r="FJ575" s="118">
        <f>S575+U575+W575+Y575</f>
        <v>0</v>
      </c>
      <c r="FK575" s="98" t="str">
        <f>IF(ISERROR((FJ575/FH575-1)*100),"NA",IF(((FJ575/FH575-1)*100)&gt;100,"NM",IF(((FJ575/FH575-1)*100)&lt;-50,"NM",(FJ575/FH575-1)*100)))</f>
        <v>NA</v>
      </c>
      <c r="FL575" s="118">
        <f>AA575+AC575+AE575+AG575</f>
        <v>0</v>
      </c>
      <c r="FM575" s="98" t="str">
        <f>IF(ISERROR((FL575/FJ575-1)*100),"NA",IF(((FL575/FJ575-1)*100)&gt;100,"NM",IF(((FL575/FJ575-1)*100)&lt;-50,"NM",(FL575/FJ575-1)*100)))</f>
        <v>NA</v>
      </c>
      <c r="FN575" s="118">
        <f>AI575+AK575+AM575+AO575</f>
        <v>0</v>
      </c>
      <c r="FO575" s="98" t="str">
        <f>IF(ISERROR((FN575/FL575-1)*100),"NA",IF(((FN575/FL575-1)*100)&gt;100,"NM",IF(((FN575/FL575-1)*100)&lt;-50,"NM",(FN575/FL575-1)*100)))</f>
        <v>NA</v>
      </c>
      <c r="FP575" s="118">
        <f>AQ575+AS575+AU575+AW575</f>
        <v>0</v>
      </c>
      <c r="FQ575" s="98" t="str">
        <f t="shared" si="3351"/>
        <v>NA</v>
      </c>
      <c r="FR575" s="160">
        <f>AY575+BA575+BC575+BE575</f>
        <v>0</v>
      </c>
      <c r="FS575" s="120" t="str">
        <f t="shared" si="3352"/>
        <v>NA</v>
      </c>
      <c r="FT575" s="160">
        <f>BG575+BI575+BK575+BM575</f>
        <v>0</v>
      </c>
      <c r="FU575" s="120" t="str">
        <f>IF(ISERROR((FT575/FR575-1)*100),"NA",IF(((FT575/FR575-1)*100)&gt;100,"NM",IF(((FT575/FR575-1)*100)&lt;-50,"NM",(FT575/FR575-1)*100)))</f>
        <v>NA</v>
      </c>
      <c r="FV575" s="112">
        <v>99</v>
      </c>
      <c r="FW575" s="98" t="str">
        <f t="shared" si="3353"/>
        <v>NA</v>
      </c>
      <c r="FX575" s="495">
        <f>BW575+BY575+CA575+CC575</f>
        <v>0</v>
      </c>
      <c r="FY575" s="98" t="str">
        <f t="shared" si="3354"/>
        <v>NM</v>
      </c>
      <c r="FZ575" s="160">
        <f>CE575+CG575+CI575+CK575</f>
        <v>0</v>
      </c>
      <c r="GA575" s="98" t="str">
        <f t="shared" si="3355"/>
        <v>NA</v>
      </c>
      <c r="GB575" s="495">
        <f>CM575+CO575+CQ575+CS575</f>
        <v>0</v>
      </c>
      <c r="GC575" s="98" t="str">
        <f t="shared" si="3356"/>
        <v>NA</v>
      </c>
      <c r="GD575" s="160">
        <f>CU575+CW575+CY575+DA575</f>
        <v>0</v>
      </c>
      <c r="GE575" s="98" t="str">
        <f t="shared" si="3357"/>
        <v>NA</v>
      </c>
      <c r="GF575" s="160">
        <f>DC575+DE575+DG575+DI575</f>
        <v>0</v>
      </c>
      <c r="GG575" s="98" t="str">
        <f t="shared" si="3357"/>
        <v>NA</v>
      </c>
      <c r="GH575" s="160">
        <f>DK575+DM575+DO575+DQ575</f>
        <v>0</v>
      </c>
      <c r="GI575" s="98" t="str">
        <f t="shared" si="3357"/>
        <v>NA</v>
      </c>
      <c r="GJ575" s="160">
        <f>DS575+DU575+DW575+DY575</f>
        <v>0</v>
      </c>
      <c r="GK575" s="98" t="str">
        <f t="shared" si="3357"/>
        <v>NA</v>
      </c>
      <c r="GL575" s="160">
        <f>EA575+EC575+EE575+EG575</f>
        <v>0</v>
      </c>
      <c r="GM575" s="98" t="str">
        <f t="shared" si="3357"/>
        <v>NA</v>
      </c>
      <c r="GN575" s="160">
        <f>EI575+EK575+EM575+EO575</f>
        <v>0</v>
      </c>
      <c r="GO575" s="98" t="str">
        <f t="shared" si="3357"/>
        <v>NA</v>
      </c>
      <c r="GP575" s="160"/>
      <c r="GQ575" s="98" t="str">
        <f t="shared" si="3357"/>
        <v>NA</v>
      </c>
      <c r="GR575" s="160"/>
      <c r="GS575" s="98" t="str">
        <f t="shared" si="3357"/>
        <v>NA</v>
      </c>
      <c r="GT575" s="160"/>
      <c r="GU575" s="98"/>
      <c r="GV575" s="160"/>
      <c r="GW575" s="98" t="str">
        <f t="shared" si="3357"/>
        <v>NA</v>
      </c>
      <c r="GX575" s="160"/>
      <c r="GY575" s="98" t="str">
        <f t="shared" si="3358"/>
        <v>NA</v>
      </c>
      <c r="GZ575" s="98" t="str">
        <f t="shared" si="3359"/>
        <v>NA</v>
      </c>
      <c r="HA575" s="98"/>
      <c r="HB575" s="10"/>
      <c r="HC575"/>
      <c r="HD575"/>
      <c r="HE575"/>
      <c r="HF575"/>
      <c r="HG575"/>
      <c r="HH575"/>
      <c r="HI575" s="10"/>
    </row>
    <row r="576" spans="1:217" s="2" customFormat="1" ht="12.75" hidden="1" customHeight="1" outlineLevel="1" x14ac:dyDescent="0.2">
      <c r="B576" s="2" t="s">
        <v>170</v>
      </c>
      <c r="C576" s="202"/>
      <c r="D576" s="98"/>
      <c r="E576" s="202"/>
      <c r="F576" s="98"/>
      <c r="G576" s="202"/>
      <c r="H576" s="98"/>
      <c r="I576" s="202"/>
      <c r="J576" s="98"/>
      <c r="K576" s="202"/>
      <c r="L576" s="98"/>
      <c r="M576" s="202"/>
      <c r="N576" s="98"/>
      <c r="O576" s="202"/>
      <c r="P576" s="98"/>
      <c r="Q576" s="202"/>
      <c r="R576" s="98"/>
      <c r="S576" s="202"/>
      <c r="T576" s="98"/>
      <c r="U576" s="202"/>
      <c r="V576" s="98"/>
      <c r="W576" s="202"/>
      <c r="X576" s="98"/>
      <c r="Y576" s="202"/>
      <c r="Z576" s="98"/>
      <c r="AA576" s="202"/>
      <c r="AB576" s="98"/>
      <c r="AC576" s="202"/>
      <c r="AD576" s="98"/>
      <c r="AE576" s="202"/>
      <c r="AF576" s="98"/>
      <c r="AG576" s="202"/>
      <c r="AH576" s="98"/>
      <c r="AI576" s="202"/>
      <c r="AJ576" s="98"/>
      <c r="AK576" s="202"/>
      <c r="AL576" s="98"/>
      <c r="AM576" s="202"/>
      <c r="AN576" s="98"/>
      <c r="AO576" s="202"/>
      <c r="AP576" s="98"/>
      <c r="AQ576" s="202"/>
      <c r="AR576" s="98"/>
      <c r="AS576" s="202"/>
      <c r="AT576" s="98"/>
      <c r="AU576" s="202"/>
      <c r="AV576" s="98"/>
      <c r="AW576" s="202"/>
      <c r="AX576" s="98"/>
      <c r="AY576" s="202"/>
      <c r="AZ576" s="98"/>
      <c r="BA576" s="202"/>
      <c r="BB576" s="98"/>
      <c r="BC576" s="202"/>
      <c r="BD576" s="98"/>
      <c r="BE576" s="202"/>
      <c r="BF576" s="98"/>
      <c r="BG576" s="202"/>
      <c r="BH576" s="98"/>
      <c r="BI576" s="202"/>
      <c r="BJ576" s="98"/>
      <c r="BK576" s="202"/>
      <c r="BL576" s="98"/>
      <c r="BM576" s="202"/>
      <c r="BN576" s="98"/>
      <c r="BO576" s="202"/>
      <c r="BP576" s="98"/>
      <c r="BQ576" s="202"/>
      <c r="BR576" s="98"/>
      <c r="BS576" s="202"/>
      <c r="BT576" s="98"/>
      <c r="BU576" s="202"/>
      <c r="BV576" s="98"/>
      <c r="BW576" s="202"/>
      <c r="BX576" s="98"/>
      <c r="BY576" s="202"/>
      <c r="BZ576" s="98"/>
      <c r="CA576" s="202"/>
      <c r="CB576" s="98"/>
      <c r="CC576" s="202"/>
      <c r="CD576" s="98"/>
      <c r="CE576" s="202"/>
      <c r="CF576" s="98"/>
      <c r="CG576" s="202"/>
      <c r="CH576" s="98"/>
      <c r="CI576" s="202"/>
      <c r="CJ576" s="98"/>
      <c r="CK576" s="202"/>
      <c r="CL576" s="98"/>
      <c r="CM576" s="202"/>
      <c r="CN576" s="98"/>
      <c r="CO576" s="202"/>
      <c r="CP576" s="98"/>
      <c r="CQ576" s="551"/>
      <c r="CR576" s="98"/>
      <c r="CS576" s="202"/>
      <c r="CT576" s="98"/>
      <c r="CU576" s="202"/>
      <c r="CV576" s="98"/>
      <c r="CW576" s="202"/>
      <c r="CX576" s="98"/>
      <c r="CY576" s="202"/>
      <c r="CZ576" s="98"/>
      <c r="DA576" s="202"/>
      <c r="DB576" s="98"/>
      <c r="DC576" s="202"/>
      <c r="DD576" s="98"/>
      <c r="DE576" s="202"/>
      <c r="DF576" s="98"/>
      <c r="DG576" s="202"/>
      <c r="DH576" s="98"/>
      <c r="DI576" s="202"/>
      <c r="DJ576" s="98"/>
      <c r="DK576" s="202"/>
      <c r="DL576" s="98"/>
      <c r="DM576" s="202"/>
      <c r="DN576" s="98"/>
      <c r="DO576" s="202"/>
      <c r="DP576" s="98"/>
      <c r="DQ576" s="202"/>
      <c r="DR576" s="98"/>
      <c r="DS576" s="202"/>
      <c r="DT576" s="98"/>
      <c r="DU576" s="202"/>
      <c r="DV576" s="98"/>
      <c r="DW576" s="202"/>
      <c r="DX576" s="98"/>
      <c r="DY576" s="202"/>
      <c r="DZ576" s="98"/>
      <c r="EA576" s="202"/>
      <c r="EB576" s="98"/>
      <c r="EC576" s="202"/>
      <c r="ED576" s="98"/>
      <c r="EE576" s="202"/>
      <c r="EF576" s="860"/>
      <c r="EG576" s="202"/>
      <c r="EH576" s="860"/>
      <c r="EI576" s="202"/>
      <c r="EJ576" s="860"/>
      <c r="EK576" s="202"/>
      <c r="EL576" s="860" t="str">
        <f t="shared" si="3345"/>
        <v>NA</v>
      </c>
      <c r="EM576" s="202"/>
      <c r="EN576" s="860"/>
      <c r="EO576" s="202"/>
      <c r="EP576" s="98" t="str">
        <f t="shared" si="3346"/>
        <v>NA</v>
      </c>
      <c r="EQ576" s="1035"/>
      <c r="ER576" s="98" t="str">
        <f t="shared" si="3347"/>
        <v>NA</v>
      </c>
      <c r="ES576" s="1035"/>
      <c r="ET576" s="98" t="str">
        <f t="shared" si="3348"/>
        <v>NA</v>
      </c>
      <c r="EU576" s="1035"/>
      <c r="EV576" s="98" t="str">
        <f t="shared" si="3349"/>
        <v>NA</v>
      </c>
      <c r="EW576" s="1035"/>
      <c r="EX576" s="98" t="str">
        <f t="shared" si="3350"/>
        <v>NA</v>
      </c>
      <c r="EY576" s="110"/>
      <c r="EZ576" s="594"/>
      <c r="FA576" s="405"/>
      <c r="FB576" s="200" t="s">
        <v>494</v>
      </c>
      <c r="FC576" s="98"/>
      <c r="FD576" s="125">
        <f>+FD575/FD574*100</f>
        <v>35.256410256410255</v>
      </c>
      <c r="FE576" s="98" t="str">
        <f>IF(ISERROR((FD576/FB576-1)*100),"NA",IF(((FD576/FB576-1)*100)&gt;100,"NM",IF(((FD576/FB576-1)*100)&lt;-50,"NM",(FD576/FB576-1)*100)))</f>
        <v>NA</v>
      </c>
      <c r="FF576" s="125">
        <f>+FF575/FF574*100</f>
        <v>0</v>
      </c>
      <c r="FG576" s="98" t="str">
        <f>IF(ISERROR((FF576/FD576-1)*100),"NA",IF(((FF576/FD576-1)*100)&gt;100,"NM",IF(((FF576/FD576-1)*100)&lt;-50,"NM",(FF576/FD576-1)*100)))</f>
        <v>NM</v>
      </c>
      <c r="FH576" s="125">
        <f>+FH575/FH574*100</f>
        <v>0</v>
      </c>
      <c r="FI576" s="98" t="str">
        <f>IF(ISERROR((FH576/FF576-1)*100),"NA",IF(((FH576/FF576-1)*100)&gt;100,"NM",IF(((FH576/FF576-1)*100)&lt;-50,"NM",(FH576/FF576-1)*100)))</f>
        <v>NA</v>
      </c>
      <c r="FJ576" s="125">
        <f>+FJ575/FJ574*100</f>
        <v>0</v>
      </c>
      <c r="FK576" s="98" t="str">
        <f>IF(ISERROR((FJ576/FH576-1)*100),"NA",IF(((FJ576/FH576-1)*100)&gt;100,"NM",IF(((FJ576/FH576-1)*100)&lt;-50,"NM",(FJ576/FH576-1)*100)))</f>
        <v>NA</v>
      </c>
      <c r="FL576" s="125">
        <f>+FL575/FL574*100</f>
        <v>0</v>
      </c>
      <c r="FM576" s="98" t="str">
        <f>IF(ISERROR((FL576/FJ576-1)*100),"NA",IF(((FL576/FJ576-1)*100)&gt;100,"NM",IF(((FL576/FJ576-1)*100)&lt;-50,"NM",(FL576/FJ576-1)*100)))</f>
        <v>NA</v>
      </c>
      <c r="FN576" s="125" t="e">
        <f>+FN575/FN574*100</f>
        <v>#DIV/0!</v>
      </c>
      <c r="FO576" s="98" t="str">
        <f>IF(ISERROR((FN576/FL576-1)*100),"NA",IF(((FN576/FL576-1)*100)&gt;100,"NM",IF(((FN576/FL576-1)*100)&lt;-50,"NM",(FN576/FL576-1)*100)))</f>
        <v>NA</v>
      </c>
      <c r="FP576" s="125" t="e">
        <f>+FP575/FP574*100</f>
        <v>#DIV/0!</v>
      </c>
      <c r="FQ576" s="98" t="str">
        <f t="shared" si="3351"/>
        <v>NA</v>
      </c>
      <c r="FR576" s="106" t="e">
        <f>+FR575/FR574*100</f>
        <v>#DIV/0!</v>
      </c>
      <c r="FS576" s="120" t="str">
        <f t="shared" si="3352"/>
        <v>NA</v>
      </c>
      <c r="FT576" s="106" t="e">
        <f>+FT575/FT574*100</f>
        <v>#DIV/0!</v>
      </c>
      <c r="FU576" s="120" t="str">
        <f>IF(ISERROR((FT576/FR576-1)*100),"NA",IF(((FT576/FR576-1)*100)&gt;100,"NM",IF(((FT576/FR576-1)*100)&lt;-50,"NM",(FT576/FR576-1)*100)))</f>
        <v>NA</v>
      </c>
      <c r="FV576" s="106">
        <f>+FV575/FV574*100</f>
        <v>32.247557003257327</v>
      </c>
      <c r="FW576" s="98" t="str">
        <f t="shared" si="3353"/>
        <v>NA</v>
      </c>
      <c r="FX576" s="483" t="e">
        <f>+FX575/FX574*100</f>
        <v>#DIV/0!</v>
      </c>
      <c r="FY576" s="98" t="str">
        <f t="shared" si="3354"/>
        <v>NA</v>
      </c>
      <c r="FZ576" s="106" t="e">
        <f>+FZ575/FZ574*100</f>
        <v>#DIV/0!</v>
      </c>
      <c r="GA576" s="98" t="str">
        <f t="shared" si="3355"/>
        <v>NA</v>
      </c>
      <c r="GB576" s="483" t="e">
        <f>+GB575/GB574*100</f>
        <v>#DIV/0!</v>
      </c>
      <c r="GC576" s="98" t="str">
        <f t="shared" si="3356"/>
        <v>NA</v>
      </c>
      <c r="GD576" s="106" t="e">
        <f>+GD575/GD574*100</f>
        <v>#DIV/0!</v>
      </c>
      <c r="GE576" s="98" t="str">
        <f t="shared" si="3357"/>
        <v>NA</v>
      </c>
      <c r="GF576" s="106" t="e">
        <f>+GF575/GF574*100</f>
        <v>#DIV/0!</v>
      </c>
      <c r="GG576" s="98" t="str">
        <f t="shared" si="3357"/>
        <v>NA</v>
      </c>
      <c r="GH576" s="106" t="e">
        <f>+GH575/GH574*100</f>
        <v>#DIV/0!</v>
      </c>
      <c r="GI576" s="98" t="str">
        <f t="shared" si="3357"/>
        <v>NA</v>
      </c>
      <c r="GJ576" s="106" t="e">
        <f>+GJ575/GJ574*100</f>
        <v>#DIV/0!</v>
      </c>
      <c r="GK576" s="98" t="str">
        <f t="shared" si="3357"/>
        <v>NA</v>
      </c>
      <c r="GL576" s="106" t="e">
        <f>+GL575/GL574*100</f>
        <v>#DIV/0!</v>
      </c>
      <c r="GM576" s="98" t="str">
        <f t="shared" si="3357"/>
        <v>NA</v>
      </c>
      <c r="GN576" s="106" t="e">
        <f>+GN575/GN574*100</f>
        <v>#DIV/0!</v>
      </c>
      <c r="GO576" s="98" t="str">
        <f t="shared" si="3357"/>
        <v>NA</v>
      </c>
      <c r="GP576" s="106"/>
      <c r="GQ576" s="98" t="str">
        <f t="shared" si="3357"/>
        <v>NA</v>
      </c>
      <c r="GR576" s="110"/>
      <c r="GS576" s="98" t="str">
        <f t="shared" si="3357"/>
        <v>NA</v>
      </c>
      <c r="GT576" s="110"/>
      <c r="GU576" s="98"/>
      <c r="GV576" s="110"/>
      <c r="GW576" s="98" t="str">
        <f t="shared" si="3357"/>
        <v>NA</v>
      </c>
      <c r="GX576" s="110"/>
      <c r="GY576" s="98" t="str">
        <f t="shared" si="3358"/>
        <v>NA</v>
      </c>
      <c r="GZ576" s="98" t="str">
        <f t="shared" si="3359"/>
        <v>NA</v>
      </c>
      <c r="HA576" s="98"/>
      <c r="HB576" s="10"/>
      <c r="HC576"/>
      <c r="HD576"/>
      <c r="HE576"/>
      <c r="HF576"/>
      <c r="HG576"/>
      <c r="HH576"/>
      <c r="HI576" s="10"/>
    </row>
    <row r="577" spans="1:217" s="2" customFormat="1" ht="12.75" hidden="1" customHeight="1" outlineLevel="1" x14ac:dyDescent="0.2">
      <c r="A577" s="2" t="s">
        <v>518</v>
      </c>
      <c r="B577" s="93" t="s">
        <v>28</v>
      </c>
      <c r="C577" s="204"/>
      <c r="D577" s="98"/>
      <c r="E577" s="204"/>
      <c r="F577" s="98"/>
      <c r="G577" s="204"/>
      <c r="H577" s="98"/>
      <c r="I577" s="204"/>
      <c r="J577" s="98"/>
      <c r="K577" s="204"/>
      <c r="L577" s="98"/>
      <c r="M577" s="204"/>
      <c r="N577" s="98"/>
      <c r="O577" s="204"/>
      <c r="P577" s="98"/>
      <c r="Q577" s="204"/>
      <c r="R577" s="98"/>
      <c r="S577" s="204"/>
      <c r="T577" s="98"/>
      <c r="U577" s="204"/>
      <c r="V577" s="98"/>
      <c r="W577" s="204"/>
      <c r="X577" s="98"/>
      <c r="Y577" s="204"/>
      <c r="Z577" s="98"/>
      <c r="AA577" s="204"/>
      <c r="AB577" s="98"/>
      <c r="AC577" s="204"/>
      <c r="AD577" s="98"/>
      <c r="AE577" s="204"/>
      <c r="AF577" s="98"/>
      <c r="AG577" s="204"/>
      <c r="AH577" s="98"/>
      <c r="AI577" s="204"/>
      <c r="AJ577" s="98"/>
      <c r="AK577" s="204"/>
      <c r="AL577" s="98"/>
      <c r="AM577" s="204"/>
      <c r="AN577" s="98"/>
      <c r="AO577" s="204"/>
      <c r="AP577" s="98"/>
      <c r="AQ577" s="204"/>
      <c r="AR577" s="98"/>
      <c r="AS577" s="204"/>
      <c r="AT577" s="98"/>
      <c r="AU577" s="204"/>
      <c r="AV577" s="98"/>
      <c r="AW577" s="204"/>
      <c r="AX577" s="98"/>
      <c r="AY577" s="204"/>
      <c r="AZ577" s="98"/>
      <c r="BA577" s="204"/>
      <c r="BB577" s="98"/>
      <c r="BC577" s="204"/>
      <c r="BD577" s="98"/>
      <c r="BE577" s="204"/>
      <c r="BF577" s="98"/>
      <c r="BG577" s="204"/>
      <c r="BH577" s="98"/>
      <c r="BI577" s="204"/>
      <c r="BJ577" s="98"/>
      <c r="BK577" s="204"/>
      <c r="BL577" s="98"/>
      <c r="BM577" s="204"/>
      <c r="BN577" s="98"/>
      <c r="BO577" s="204"/>
      <c r="BP577" s="98"/>
      <c r="BQ577" s="204"/>
      <c r="BR577" s="98"/>
      <c r="BS577" s="204"/>
      <c r="BT577" s="98"/>
      <c r="BU577" s="182"/>
      <c r="BV577" s="98"/>
      <c r="BW577" s="182"/>
      <c r="BX577" s="98"/>
      <c r="BY577" s="182"/>
      <c r="BZ577" s="98"/>
      <c r="CA577" s="182"/>
      <c r="CB577" s="98"/>
      <c r="CC577" s="182"/>
      <c r="CD577" s="98"/>
      <c r="CE577" s="182"/>
      <c r="CF577" s="98"/>
      <c r="CG577" s="182"/>
      <c r="CH577" s="98"/>
      <c r="CI577" s="182"/>
      <c r="CJ577" s="98"/>
      <c r="CK577" s="182"/>
      <c r="CL577" s="98"/>
      <c r="CM577" s="182"/>
      <c r="CN577" s="98"/>
      <c r="CO577" s="182"/>
      <c r="CP577" s="98"/>
      <c r="CQ577" s="512"/>
      <c r="CR577" s="98"/>
      <c r="CS577" s="182"/>
      <c r="CT577" s="98"/>
      <c r="CU577" s="182"/>
      <c r="CV577" s="98"/>
      <c r="CW577" s="182"/>
      <c r="CX577" s="98"/>
      <c r="CY577" s="182"/>
      <c r="CZ577" s="98"/>
      <c r="DA577" s="182"/>
      <c r="DB577" s="98"/>
      <c r="DC577" s="182"/>
      <c r="DD577" s="98"/>
      <c r="DE577" s="182"/>
      <c r="DF577" s="98"/>
      <c r="DG577" s="182"/>
      <c r="DH577" s="98"/>
      <c r="DI577" s="182"/>
      <c r="DJ577" s="98"/>
      <c r="DK577" s="182"/>
      <c r="DL577" s="98"/>
      <c r="DM577" s="182"/>
      <c r="DN577" s="98"/>
      <c r="DO577" s="182"/>
      <c r="DP577" s="98"/>
      <c r="DQ577" s="182"/>
      <c r="DR577" s="98"/>
      <c r="DS577" s="182"/>
      <c r="DT577" s="98"/>
      <c r="DU577" s="182"/>
      <c r="DV577" s="98"/>
      <c r="DW577" s="182"/>
      <c r="DX577" s="98"/>
      <c r="DY577" s="182"/>
      <c r="DZ577" s="98"/>
      <c r="EA577" s="182"/>
      <c r="EB577" s="98"/>
      <c r="EC577" s="182"/>
      <c r="ED577" s="98"/>
      <c r="EE577" s="182"/>
      <c r="EF577" s="860"/>
      <c r="EG577" s="182"/>
      <c r="EH577" s="860"/>
      <c r="EI577" s="182"/>
      <c r="EJ577" s="860"/>
      <c r="EK577" s="182"/>
      <c r="EL577" s="860" t="str">
        <f t="shared" si="3345"/>
        <v>NA</v>
      </c>
      <c r="EM577" s="182"/>
      <c r="EN577" s="860"/>
      <c r="EO577" s="182"/>
      <c r="EP577" s="98" t="str">
        <f t="shared" si="3346"/>
        <v>NA</v>
      </c>
      <c r="EQ577" s="1028"/>
      <c r="ER577" s="98" t="str">
        <f t="shared" si="3347"/>
        <v>NA</v>
      </c>
      <c r="ES577" s="1028"/>
      <c r="ET577" s="98" t="str">
        <f t="shared" si="3348"/>
        <v>NA</v>
      </c>
      <c r="EU577" s="1028"/>
      <c r="EV577" s="98" t="str">
        <f t="shared" si="3349"/>
        <v>NA</v>
      </c>
      <c r="EW577" s="1028"/>
      <c r="EX577" s="98" t="str">
        <f t="shared" si="3350"/>
        <v>NA</v>
      </c>
      <c r="EY577" s="204"/>
      <c r="EZ577" s="594"/>
      <c r="FA577" s="405"/>
      <c r="FB577" s="200" t="s">
        <v>494</v>
      </c>
      <c r="FC577" s="98"/>
      <c r="FD577" s="183">
        <f>+FD574-FD575</f>
        <v>202</v>
      </c>
      <c r="FE577" s="98" t="str">
        <f>IF(ISERROR((FD577/FB577-1)*100),"NA",IF(((FD577/FB577-1)*100)&gt;100,"NM",IF(((FD577/FB577-1)*100)&lt;-50,"NM",(FD577/FB577-1)*100)))</f>
        <v>NA</v>
      </c>
      <c r="FF577" s="183">
        <f>+FF574-FF575</f>
        <v>27</v>
      </c>
      <c r="FG577" s="98" t="str">
        <f>IF(ISERROR((FF577/FD577-1)*100),"NA",IF(((FF577/FD577-1)*100)&gt;100,"NM",IF(((FF577/FD577-1)*100)&lt;-50,"NM",(FF577/FD577-1)*100)))</f>
        <v>NM</v>
      </c>
      <c r="FH577" s="183">
        <f>+FH574-FH575</f>
        <v>98</v>
      </c>
      <c r="FI577" s="98" t="str">
        <f>IF(ISERROR((FH577/FF577-1)*100),"NA",IF(((FH577/FF577-1)*100)&gt;100,"NM",IF(((FH577/FF577-1)*100)&lt;-50,"NM",(FH577/FF577-1)*100)))</f>
        <v>NM</v>
      </c>
      <c r="FJ577" s="183">
        <f>+FJ574-FJ575</f>
        <v>202</v>
      </c>
      <c r="FK577" s="98" t="str">
        <f>IF(ISERROR((FJ577/FH577-1)*100),"NA",IF(((FJ577/FH577-1)*100)&gt;100,"NM",IF(((FJ577/FH577-1)*100)&lt;-50,"NM",(FJ577/FH577-1)*100)))</f>
        <v>NM</v>
      </c>
      <c r="FL577" s="183">
        <f>+FL574-FL575</f>
        <v>382</v>
      </c>
      <c r="FM577" s="98">
        <f>IF(ISERROR((FL577/FJ577-1)*100),"NA",IF(((FL577/FJ577-1)*100)&gt;100,"NM",IF(((FL577/FJ577-1)*100)&lt;-50,"NM",(FL577/FJ577-1)*100)))</f>
        <v>89.108910891089096</v>
      </c>
      <c r="FN577" s="183">
        <f>+FN574-FN575</f>
        <v>0</v>
      </c>
      <c r="FO577" s="98" t="str">
        <f>IF(ISERROR((FN577/FL577-1)*100),"NA",IF(((FN577/FL577-1)*100)&gt;100,"NM",IF(((FN577/FL577-1)*100)&lt;-50,"NM",(FN577/FL577-1)*100)))</f>
        <v>NM</v>
      </c>
      <c r="FP577" s="183">
        <f>+FP574-FP575</f>
        <v>0</v>
      </c>
      <c r="FQ577" s="98" t="str">
        <f t="shared" si="3351"/>
        <v>NA</v>
      </c>
      <c r="FR577" s="205">
        <f>+FR574-FR575</f>
        <v>0</v>
      </c>
      <c r="FS577" s="120" t="str">
        <f t="shared" si="3352"/>
        <v>NA</v>
      </c>
      <c r="FT577" s="205">
        <f>+FT574-FT575</f>
        <v>0</v>
      </c>
      <c r="FU577" s="120" t="str">
        <f>IF(ISERROR((FT577/FR577-1)*100),"NA",IF(((FT577/FR577-1)*100)&gt;100,"NM",IF(((FT577/FR577-1)*100)&lt;-50,"NM",(FT577/FR577-1)*100)))</f>
        <v>NA</v>
      </c>
      <c r="FV577" s="205">
        <f>+FV574-FV575</f>
        <v>208</v>
      </c>
      <c r="FW577" s="98" t="str">
        <f t="shared" si="3353"/>
        <v>NA</v>
      </c>
      <c r="FX577" s="503">
        <f>+FX574-FX575</f>
        <v>0</v>
      </c>
      <c r="FY577" s="98" t="str">
        <f t="shared" si="3354"/>
        <v>NM</v>
      </c>
      <c r="FZ577" s="205">
        <f>+FZ574-FZ575</f>
        <v>0</v>
      </c>
      <c r="GA577" s="98" t="str">
        <f t="shared" si="3355"/>
        <v>NA</v>
      </c>
      <c r="GB577" s="503">
        <f>+GB574-GB575</f>
        <v>0</v>
      </c>
      <c r="GC577" s="98" t="str">
        <f t="shared" si="3356"/>
        <v>NA</v>
      </c>
      <c r="GD577" s="205">
        <f>+GD574-GD575</f>
        <v>0</v>
      </c>
      <c r="GE577" s="98" t="str">
        <f t="shared" si="3357"/>
        <v>NA</v>
      </c>
      <c r="GF577" s="205">
        <f>+GF574-GF575</f>
        <v>0</v>
      </c>
      <c r="GG577" s="98" t="str">
        <f t="shared" si="3357"/>
        <v>NA</v>
      </c>
      <c r="GH577" s="205">
        <f>+GH574-GH575</f>
        <v>0</v>
      </c>
      <c r="GI577" s="98" t="str">
        <f t="shared" si="3357"/>
        <v>NA</v>
      </c>
      <c r="GJ577" s="205">
        <f>+GJ574-GJ575</f>
        <v>0</v>
      </c>
      <c r="GK577" s="98" t="str">
        <f t="shared" si="3357"/>
        <v>NA</v>
      </c>
      <c r="GL577" s="205">
        <f>+GL574-GL575</f>
        <v>0</v>
      </c>
      <c r="GM577" s="98" t="str">
        <f t="shared" si="3357"/>
        <v>NA</v>
      </c>
      <c r="GN577" s="205">
        <f>+GN574-GN575</f>
        <v>0</v>
      </c>
      <c r="GO577" s="98" t="str">
        <f t="shared" si="3357"/>
        <v>NA</v>
      </c>
      <c r="GP577" s="205"/>
      <c r="GQ577" s="98" t="str">
        <f t="shared" si="3357"/>
        <v>NA</v>
      </c>
      <c r="GR577" s="204"/>
      <c r="GS577" s="98" t="str">
        <f t="shared" si="3357"/>
        <v>NA</v>
      </c>
      <c r="GT577" s="204"/>
      <c r="GU577" s="98"/>
      <c r="GV577" s="204"/>
      <c r="GW577" s="98" t="str">
        <f t="shared" si="3357"/>
        <v>NA</v>
      </c>
      <c r="GX577" s="204"/>
      <c r="GY577" s="98" t="str">
        <f t="shared" si="3358"/>
        <v>NA</v>
      </c>
      <c r="GZ577" s="98" t="str">
        <f t="shared" si="3359"/>
        <v>NA</v>
      </c>
      <c r="HA577" s="98"/>
      <c r="HB577" s="10"/>
      <c r="HC577"/>
      <c r="HD577"/>
      <c r="HE577"/>
      <c r="HF577"/>
      <c r="HG577"/>
      <c r="HH577"/>
      <c r="HI577" s="10"/>
    </row>
    <row r="578" spans="1:217" s="2" customFormat="1" ht="12.75" hidden="1" customHeight="1" outlineLevel="1" x14ac:dyDescent="0.2">
      <c r="B578" s="10" t="s">
        <v>747</v>
      </c>
      <c r="C578" s="231"/>
      <c r="D578" s="98"/>
      <c r="E578" s="231"/>
      <c r="F578" s="98"/>
      <c r="G578" s="231"/>
      <c r="H578" s="98"/>
      <c r="I578" s="231"/>
      <c r="J578" s="98"/>
      <c r="K578" s="231"/>
      <c r="L578" s="98"/>
      <c r="M578" s="231"/>
      <c r="N578" s="98"/>
      <c r="O578" s="231"/>
      <c r="P578" s="98"/>
      <c r="Q578" s="231"/>
      <c r="R578" s="98"/>
      <c r="S578" s="231"/>
      <c r="T578" s="98"/>
      <c r="U578" s="231"/>
      <c r="V578" s="98"/>
      <c r="W578" s="231"/>
      <c r="X578" s="98"/>
      <c r="Y578" s="231"/>
      <c r="Z578" s="98"/>
      <c r="AA578" s="231"/>
      <c r="AB578" s="98"/>
      <c r="AC578" s="231"/>
      <c r="AD578" s="98"/>
      <c r="AE578" s="231"/>
      <c r="AF578" s="98"/>
      <c r="AG578" s="231"/>
      <c r="AH578" s="98"/>
      <c r="AI578" s="231"/>
      <c r="AJ578" s="98"/>
      <c r="AK578" s="231"/>
      <c r="AL578" s="98"/>
      <c r="AM578" s="231"/>
      <c r="AN578" s="98"/>
      <c r="AO578" s="231"/>
      <c r="AP578" s="98"/>
      <c r="AQ578" s="231"/>
      <c r="AR578" s="98"/>
      <c r="AS578" s="231"/>
      <c r="AT578" s="98"/>
      <c r="AU578" s="231"/>
      <c r="AV578" s="98"/>
      <c r="AW578" s="231"/>
      <c r="AX578" s="98"/>
      <c r="AY578" s="231"/>
      <c r="AZ578" s="98"/>
      <c r="BA578" s="231"/>
      <c r="BB578" s="98"/>
      <c r="BC578" s="231"/>
      <c r="BD578" s="98"/>
      <c r="BE578" s="231"/>
      <c r="BF578" s="98"/>
      <c r="BG578" s="231"/>
      <c r="BH578" s="98"/>
      <c r="BI578" s="231"/>
      <c r="BJ578" s="98"/>
      <c r="BK578" s="231"/>
      <c r="BL578" s="98"/>
      <c r="BM578" s="231"/>
      <c r="BN578" s="98"/>
      <c r="BO578" s="231"/>
      <c r="BP578" s="98"/>
      <c r="BQ578" s="231"/>
      <c r="BR578" s="98"/>
      <c r="BS578" s="231"/>
      <c r="BT578" s="98"/>
      <c r="BU578" s="117"/>
      <c r="BV578" s="98"/>
      <c r="BW578" s="117"/>
      <c r="BX578" s="98"/>
      <c r="BY578" s="117"/>
      <c r="BZ578" s="98"/>
      <c r="CA578" s="117"/>
      <c r="CB578" s="98"/>
      <c r="CC578" s="117"/>
      <c r="CD578" s="98"/>
      <c r="CE578" s="117"/>
      <c r="CF578" s="98"/>
      <c r="CG578" s="117"/>
      <c r="CH578" s="98"/>
      <c r="CI578" s="117"/>
      <c r="CJ578" s="98"/>
      <c r="CK578" s="117"/>
      <c r="CL578" s="98"/>
      <c r="CM578" s="117"/>
      <c r="CN578" s="98"/>
      <c r="CO578" s="117"/>
      <c r="CP578" s="98"/>
      <c r="CQ578" s="486"/>
      <c r="CR578" s="98"/>
      <c r="CS578" s="117"/>
      <c r="CT578" s="98"/>
      <c r="CU578" s="117"/>
      <c r="CV578" s="98"/>
      <c r="CW578" s="117"/>
      <c r="CX578" s="98"/>
      <c r="CY578" s="117"/>
      <c r="CZ578" s="98"/>
      <c r="DA578" s="117"/>
      <c r="DB578" s="98"/>
      <c r="DC578" s="117"/>
      <c r="DD578" s="98"/>
      <c r="DE578" s="117"/>
      <c r="DF578" s="98"/>
      <c r="DG578" s="117"/>
      <c r="DH578" s="98"/>
      <c r="DI578" s="117"/>
      <c r="DJ578" s="98"/>
      <c r="DK578" s="117"/>
      <c r="DL578" s="98"/>
      <c r="DM578" s="117"/>
      <c r="DN578" s="98"/>
      <c r="DO578" s="117"/>
      <c r="DP578" s="98"/>
      <c r="DQ578" s="117"/>
      <c r="DR578" s="98"/>
      <c r="DS578" s="117"/>
      <c r="DT578" s="98"/>
      <c r="DU578" s="117"/>
      <c r="DV578" s="98"/>
      <c r="DW578" s="117"/>
      <c r="DX578" s="98"/>
      <c r="DY578" s="117"/>
      <c r="DZ578" s="98"/>
      <c r="EA578" s="117"/>
      <c r="EB578" s="98"/>
      <c r="EC578" s="117"/>
      <c r="ED578" s="98"/>
      <c r="EE578" s="117"/>
      <c r="EF578" s="860"/>
      <c r="EG578" s="117"/>
      <c r="EH578" s="860"/>
      <c r="EI578" s="1151"/>
      <c r="EJ578" s="860"/>
      <c r="EK578" s="1151"/>
      <c r="EL578" s="860"/>
      <c r="EM578" s="1151"/>
      <c r="EN578" s="860"/>
      <c r="EO578" s="1151"/>
      <c r="EP578" s="98"/>
      <c r="EQ578" s="1031"/>
      <c r="ER578" s="98"/>
      <c r="ES578" s="1031"/>
      <c r="ET578" s="98"/>
      <c r="EU578" s="1031"/>
      <c r="EV578" s="98"/>
      <c r="EW578" s="1031"/>
      <c r="EX578" s="98"/>
      <c r="EY578" s="231"/>
      <c r="EZ578" s="594"/>
      <c r="FA578" s="405"/>
      <c r="FB578" s="200"/>
      <c r="FC578" s="98"/>
      <c r="FD578" s="118"/>
      <c r="FE578" s="98"/>
      <c r="FF578" s="118"/>
      <c r="FG578" s="98"/>
      <c r="FH578" s="118"/>
      <c r="FI578" s="98"/>
      <c r="FJ578" s="118"/>
      <c r="FK578" s="98"/>
      <c r="FL578" s="118"/>
      <c r="FM578" s="98"/>
      <c r="FN578" s="118"/>
      <c r="FO578" s="98"/>
      <c r="FP578" s="118"/>
      <c r="FQ578" s="98"/>
      <c r="FR578" s="160"/>
      <c r="FS578" s="120"/>
      <c r="FT578" s="160"/>
      <c r="FU578" s="120"/>
      <c r="FV578" s="160"/>
      <c r="FW578" s="98"/>
      <c r="FX578" s="495"/>
      <c r="FY578" s="98"/>
      <c r="FZ578" s="160"/>
      <c r="GA578" s="98"/>
      <c r="GB578" s="495"/>
      <c r="GC578" s="98"/>
      <c r="GD578" s="160"/>
      <c r="GE578" s="98"/>
      <c r="GF578" s="117"/>
      <c r="GG578" s="98"/>
      <c r="GH578" s="117"/>
      <c r="GI578" s="98"/>
      <c r="GJ578" s="117"/>
      <c r="GK578" s="98"/>
      <c r="GL578" s="117"/>
      <c r="GM578" s="341"/>
      <c r="GN578" s="160">
        <f>EI578+EK578+EM578+EO578</f>
        <v>0</v>
      </c>
      <c r="GO578" s="341"/>
      <c r="GP578" s="160"/>
      <c r="GQ578" s="341"/>
      <c r="GR578" s="1031"/>
      <c r="GS578" s="341"/>
      <c r="GT578" s="1031"/>
      <c r="GU578" s="98"/>
      <c r="GV578" s="1031"/>
      <c r="GW578" s="98"/>
      <c r="GX578" s="1031"/>
      <c r="GY578" s="98"/>
      <c r="GZ578" s="98" t="str">
        <f t="shared" si="3359"/>
        <v>NA</v>
      </c>
      <c r="HA578" s="98"/>
      <c r="HB578" s="10"/>
      <c r="HC578"/>
      <c r="HD578"/>
      <c r="HE578"/>
      <c r="HF578"/>
      <c r="HG578"/>
      <c r="HH578"/>
      <c r="HI578" s="10"/>
    </row>
    <row r="579" spans="1:217" s="2" customFormat="1" ht="12.75" hidden="1" customHeight="1" outlineLevel="1" x14ac:dyDescent="0.2">
      <c r="B579" s="15" t="s">
        <v>746</v>
      </c>
      <c r="C579" s="204"/>
      <c r="D579" s="98"/>
      <c r="E579" s="204"/>
      <c r="F579" s="98"/>
      <c r="G579" s="204"/>
      <c r="H579" s="98"/>
      <c r="I579" s="204"/>
      <c r="J579" s="98"/>
      <c r="K579" s="204"/>
      <c r="L579" s="98"/>
      <c r="M579" s="204"/>
      <c r="N579" s="98"/>
      <c r="O579" s="204"/>
      <c r="P579" s="98"/>
      <c r="Q579" s="204"/>
      <c r="R579" s="98"/>
      <c r="S579" s="204"/>
      <c r="T579" s="98"/>
      <c r="U579" s="204"/>
      <c r="V579" s="98"/>
      <c r="W579" s="204"/>
      <c r="X579" s="98"/>
      <c r="Y579" s="204"/>
      <c r="Z579" s="98"/>
      <c r="AA579" s="204"/>
      <c r="AB579" s="98"/>
      <c r="AC579" s="204"/>
      <c r="AD579" s="98"/>
      <c r="AE579" s="204"/>
      <c r="AF579" s="98"/>
      <c r="AG579" s="204"/>
      <c r="AH579" s="98"/>
      <c r="AI579" s="204"/>
      <c r="AJ579" s="98"/>
      <c r="AK579" s="204"/>
      <c r="AL579" s="98"/>
      <c r="AM579" s="204"/>
      <c r="AN579" s="98"/>
      <c r="AO579" s="204"/>
      <c r="AP579" s="98"/>
      <c r="AQ579" s="204"/>
      <c r="AR579" s="98"/>
      <c r="AS579" s="204"/>
      <c r="AT579" s="98"/>
      <c r="AU579" s="204"/>
      <c r="AV579" s="98"/>
      <c r="AW579" s="204"/>
      <c r="AX579" s="98"/>
      <c r="AY579" s="204"/>
      <c r="AZ579" s="98"/>
      <c r="BA579" s="204"/>
      <c r="BB579" s="98"/>
      <c r="BC579" s="204"/>
      <c r="BD579" s="98"/>
      <c r="BE579" s="204"/>
      <c r="BF579" s="98"/>
      <c r="BG579" s="204"/>
      <c r="BH579" s="98"/>
      <c r="BI579" s="204"/>
      <c r="BJ579" s="98"/>
      <c r="BK579" s="204"/>
      <c r="BL579" s="98"/>
      <c r="BM579" s="204"/>
      <c r="BN579" s="98"/>
      <c r="BO579" s="204"/>
      <c r="BP579" s="98"/>
      <c r="BQ579" s="204"/>
      <c r="BR579" s="98"/>
      <c r="BS579" s="204"/>
      <c r="BT579" s="98"/>
      <c r="BU579" s="182"/>
      <c r="BV579" s="98"/>
      <c r="BW579" s="182"/>
      <c r="BX579" s="98"/>
      <c r="BY579" s="182"/>
      <c r="BZ579" s="98"/>
      <c r="CA579" s="182"/>
      <c r="CB579" s="98"/>
      <c r="CC579" s="182"/>
      <c r="CD579" s="98"/>
      <c r="CE579" s="182"/>
      <c r="CF579" s="98"/>
      <c r="CG579" s="182"/>
      <c r="CH579" s="98"/>
      <c r="CI579" s="182"/>
      <c r="CJ579" s="98"/>
      <c r="CK579" s="182"/>
      <c r="CL579" s="98"/>
      <c r="CM579" s="182"/>
      <c r="CN579" s="98"/>
      <c r="CO579" s="182"/>
      <c r="CP579" s="98"/>
      <c r="CQ579" s="512"/>
      <c r="CR579" s="98"/>
      <c r="CS579" s="182"/>
      <c r="CT579" s="98"/>
      <c r="CU579" s="182"/>
      <c r="CV579" s="98"/>
      <c r="CW579" s="182"/>
      <c r="CX579" s="98"/>
      <c r="CY579" s="182"/>
      <c r="CZ579" s="98"/>
      <c r="DA579" s="182"/>
      <c r="DB579" s="98"/>
      <c r="DC579" s="182"/>
      <c r="DD579" s="98"/>
      <c r="DE579" s="182"/>
      <c r="DF579" s="98"/>
      <c r="DG579" s="182"/>
      <c r="DH579" s="98"/>
      <c r="DI579" s="182"/>
      <c r="DJ579" s="98"/>
      <c r="DK579" s="182"/>
      <c r="DL579" s="98"/>
      <c r="DM579" s="182"/>
      <c r="DN579" s="98"/>
      <c r="DO579" s="182"/>
      <c r="DP579" s="98"/>
      <c r="DQ579" s="182"/>
      <c r="DR579" s="98"/>
      <c r="DS579" s="182"/>
      <c r="DT579" s="98"/>
      <c r="DU579" s="182"/>
      <c r="DV579" s="98"/>
      <c r="DW579" s="182"/>
      <c r="DX579" s="98"/>
      <c r="DY579" s="182"/>
      <c r="DZ579" s="98"/>
      <c r="EA579" s="182"/>
      <c r="EB579" s="98"/>
      <c r="EC579" s="182"/>
      <c r="ED579" s="98"/>
      <c r="EE579" s="182"/>
      <c r="EF579" s="860"/>
      <c r="EG579" s="182"/>
      <c r="EH579" s="860"/>
      <c r="EI579" s="182"/>
      <c r="EJ579" s="860"/>
      <c r="EK579" s="182"/>
      <c r="EL579" s="860"/>
      <c r="EM579" s="182"/>
      <c r="EN579" s="860"/>
      <c r="EO579" s="182"/>
      <c r="EP579" s="98"/>
      <c r="EQ579" s="182"/>
      <c r="ER579" s="98"/>
      <c r="ES579" s="182"/>
      <c r="ET579" s="98"/>
      <c r="EU579" s="182"/>
      <c r="EV579" s="98"/>
      <c r="EW579" s="182"/>
      <c r="EX579" s="98"/>
      <c r="EY579" s="204"/>
      <c r="EZ579" s="594"/>
      <c r="FA579" s="405"/>
      <c r="FB579" s="200"/>
      <c r="FC579" s="98"/>
      <c r="FD579" s="183"/>
      <c r="FE579" s="98"/>
      <c r="FF579" s="183"/>
      <c r="FG579" s="98"/>
      <c r="FH579" s="183"/>
      <c r="FI579" s="98"/>
      <c r="FJ579" s="183"/>
      <c r="FK579" s="98"/>
      <c r="FL579" s="183"/>
      <c r="FM579" s="98"/>
      <c r="FN579" s="183"/>
      <c r="FO579" s="98"/>
      <c r="FP579" s="183"/>
      <c r="FQ579" s="98"/>
      <c r="FR579" s="205"/>
      <c r="FS579" s="120"/>
      <c r="FT579" s="205"/>
      <c r="FU579" s="120"/>
      <c r="FV579" s="205"/>
      <c r="FW579" s="98"/>
      <c r="FX579" s="503"/>
      <c r="FY579" s="98"/>
      <c r="FZ579" s="205"/>
      <c r="GA579" s="98"/>
      <c r="GB579" s="503"/>
      <c r="GC579" s="98"/>
      <c r="GD579" s="205"/>
      <c r="GE579" s="98"/>
      <c r="GF579" s="182"/>
      <c r="GG579" s="98"/>
      <c r="GH579" s="182"/>
      <c r="GI579" s="98"/>
      <c r="GJ579" s="182">
        <f>GJ577-GJ578</f>
        <v>0</v>
      </c>
      <c r="GK579" s="98"/>
      <c r="GL579" s="182">
        <f>GL577-GL578</f>
        <v>0</v>
      </c>
      <c r="GM579" s="98"/>
      <c r="GN579" s="182">
        <f>GN577-GN578</f>
        <v>0</v>
      </c>
      <c r="GO579" s="98"/>
      <c r="GP579" s="182"/>
      <c r="GQ579" s="98"/>
      <c r="GR579" s="182"/>
      <c r="GS579" s="98"/>
      <c r="GT579" s="182"/>
      <c r="GU579" s="98"/>
      <c r="GV579" s="182"/>
      <c r="GW579" s="98"/>
      <c r="GX579" s="182"/>
      <c r="GY579" s="98"/>
      <c r="GZ579" s="98" t="str">
        <f t="shared" si="3359"/>
        <v>NA</v>
      </c>
      <c r="HA579" s="98"/>
      <c r="HB579" s="10"/>
      <c r="HC579"/>
      <c r="HD579"/>
      <c r="HE579"/>
      <c r="HF579"/>
      <c r="HG579"/>
      <c r="HH579"/>
      <c r="HI579" s="10"/>
    </row>
    <row r="580" spans="1:217" s="10" customFormat="1" ht="12.75" hidden="1" customHeight="1" outlineLevel="1" x14ac:dyDescent="0.2">
      <c r="B580" s="102" t="s">
        <v>514</v>
      </c>
      <c r="C580" s="231"/>
      <c r="D580" s="98"/>
      <c r="E580" s="231"/>
      <c r="F580" s="98"/>
      <c r="G580" s="231"/>
      <c r="H580" s="98"/>
      <c r="I580" s="231"/>
      <c r="J580" s="98"/>
      <c r="K580" s="231"/>
      <c r="L580" s="98"/>
      <c r="M580" s="231"/>
      <c r="N580" s="98"/>
      <c r="O580" s="231"/>
      <c r="P580" s="98"/>
      <c r="Q580" s="231"/>
      <c r="R580" s="98"/>
      <c r="S580" s="231"/>
      <c r="T580" s="98"/>
      <c r="U580" s="231"/>
      <c r="V580" s="98"/>
      <c r="W580" s="231"/>
      <c r="X580" s="98"/>
      <c r="Y580" s="231"/>
      <c r="Z580" s="98"/>
      <c r="AA580" s="231"/>
      <c r="AB580" s="98"/>
      <c r="AC580" s="231"/>
      <c r="AD580" s="98"/>
      <c r="AE580" s="231"/>
      <c r="AF580" s="98"/>
      <c r="AG580" s="231"/>
      <c r="AH580" s="98"/>
      <c r="AI580" s="231"/>
      <c r="AJ580" s="98"/>
      <c r="AK580" s="231"/>
      <c r="AL580" s="98"/>
      <c r="AM580" s="112"/>
      <c r="AN580" s="98"/>
      <c r="AO580" s="112"/>
      <c r="AP580" s="98"/>
      <c r="AQ580" s="112"/>
      <c r="AR580" s="98"/>
      <c r="AS580" s="112"/>
      <c r="AT580" s="98"/>
      <c r="AU580" s="221"/>
      <c r="AV580" s="98"/>
      <c r="AW580" s="221"/>
      <c r="AX580" s="98"/>
      <c r="AY580" s="122"/>
      <c r="AZ580" s="98"/>
      <c r="BA580" s="122"/>
      <c r="BB580" s="98"/>
      <c r="BC580" s="122"/>
      <c r="BD580" s="98"/>
      <c r="BE580" s="122"/>
      <c r="BF580" s="98"/>
      <c r="BG580" s="122"/>
      <c r="BH580" s="98"/>
      <c r="BI580" s="122"/>
      <c r="BJ580" s="98"/>
      <c r="BK580" s="122"/>
      <c r="BL580" s="98"/>
      <c r="BM580" s="122"/>
      <c r="BN580" s="98"/>
      <c r="BO580" s="122"/>
      <c r="BP580" s="98"/>
      <c r="BQ580" s="122"/>
      <c r="BR580" s="98"/>
      <c r="BS580" s="122"/>
      <c r="BT580" s="98"/>
      <c r="BU580" s="122"/>
      <c r="BV580" s="98"/>
      <c r="BW580" s="122"/>
      <c r="BX580" s="98"/>
      <c r="BY580" s="122"/>
      <c r="BZ580" s="98"/>
      <c r="CA580" s="122"/>
      <c r="CB580" s="98"/>
      <c r="CC580" s="122"/>
      <c r="CD580" s="98"/>
      <c r="CE580" s="122"/>
      <c r="CF580" s="98"/>
      <c r="CG580" s="122"/>
      <c r="CH580" s="98"/>
      <c r="CI580" s="122"/>
      <c r="CJ580" s="98"/>
      <c r="CK580" s="122"/>
      <c r="CL580" s="98"/>
      <c r="CM580" s="122"/>
      <c r="CN580" s="98"/>
      <c r="CO580" s="122"/>
      <c r="CP580" s="98"/>
      <c r="CQ580" s="547"/>
      <c r="CR580" s="98"/>
      <c r="CS580" s="122"/>
      <c r="CT580" s="98"/>
      <c r="CU580" s="122"/>
      <c r="CV580" s="98"/>
      <c r="CW580" s="122"/>
      <c r="CX580" s="98"/>
      <c r="CY580" s="122"/>
      <c r="CZ580" s="98"/>
      <c r="DA580" s="122"/>
      <c r="DB580" s="98"/>
      <c r="DC580" s="122"/>
      <c r="DD580" s="98"/>
      <c r="DE580" s="122"/>
      <c r="DF580" s="98"/>
      <c r="DG580" s="122"/>
      <c r="DH580" s="98"/>
      <c r="DI580" s="122"/>
      <c r="DJ580" s="98"/>
      <c r="DK580" s="122"/>
      <c r="DL580" s="98"/>
      <c r="DM580" s="122"/>
      <c r="DN580" s="98"/>
      <c r="DO580" s="122"/>
      <c r="DP580" s="98"/>
      <c r="DQ580" s="122"/>
      <c r="DR580" s="98"/>
      <c r="DS580" s="1003"/>
      <c r="DT580" s="860"/>
      <c r="DU580" s="1003"/>
      <c r="DV580" s="860"/>
      <c r="DW580" s="1003"/>
      <c r="DX580" s="860"/>
      <c r="DY580" s="1003"/>
      <c r="DZ580" s="860"/>
      <c r="EA580" s="1003"/>
      <c r="EB580" s="860"/>
      <c r="EC580" s="1003"/>
      <c r="ED580" s="98"/>
      <c r="EE580" s="1003"/>
      <c r="EF580" s="860"/>
      <c r="EG580" s="1003"/>
      <c r="EH580" s="860"/>
      <c r="EI580" s="1003"/>
      <c r="EJ580" s="860"/>
      <c r="EK580" s="1003"/>
      <c r="EL580" s="860" t="str">
        <f t="shared" si="3345"/>
        <v>NA</v>
      </c>
      <c r="EM580" s="1003"/>
      <c r="EN580" s="860"/>
      <c r="EO580" s="1003"/>
      <c r="EP580" s="98" t="str">
        <f t="shared" si="3346"/>
        <v>NA</v>
      </c>
      <c r="EQ580" s="1030"/>
      <c r="ER580" s="98" t="str">
        <f t="shared" ref="ER580:ER582" si="3360">IF(ISERROR((EQ580/EI580-1)*100),"NA",IF(((EQ580/EI580-1)*100)&gt;100,"NM",IF(((EQ580/EI580-1)*100)&lt;-50,"NM",(EQ580/EI580-1)*100)))</f>
        <v>NA</v>
      </c>
      <c r="ES580" s="1030"/>
      <c r="ET580" s="98" t="str">
        <f t="shared" ref="ET580:ET582" si="3361">IF(ISERROR((ES580/EK580-1)*100),"NA",IF(((ES580/EK580-1)*100)&gt;100,"NM",IF(((ES580/EK580-1)*100)&lt;-50,"NM",(ES580/EK580-1)*100)))</f>
        <v>NA</v>
      </c>
      <c r="EU580" s="1030"/>
      <c r="EV580" s="98" t="str">
        <f t="shared" ref="EV580:EV582" si="3362">IF(ISERROR((EU580/EM580-1)*100),"NA",IF(((EU580/EM580-1)*100)&gt;100,"NM",IF(((EU580/EM580-1)*100)&lt;-50,"NM",(EU580/EM580-1)*100)))</f>
        <v>NA</v>
      </c>
      <c r="EW580" s="1030"/>
      <c r="EX580" s="98" t="str">
        <f t="shared" ref="EX580:EX582" si="3363">IF(ISERROR((EW580/EO580-1)*100),"NA",IF(((EW580/EO580-1)*100)&gt;100,"NM",IF(((EW580/EO580-1)*100)&lt;-50,"NM",(EW580/EO580-1)*100)))</f>
        <v>NA</v>
      </c>
      <c r="EY580" s="112"/>
      <c r="EZ580" s="594"/>
      <c r="FA580" s="405"/>
      <c r="FB580" s="150"/>
      <c r="FC580" s="98"/>
      <c r="FD580" s="118"/>
      <c r="FE580" s="98"/>
      <c r="FF580" s="118"/>
      <c r="FG580" s="98"/>
      <c r="FH580" s="118"/>
      <c r="FI580" s="98"/>
      <c r="FJ580" s="118"/>
      <c r="FK580" s="98"/>
      <c r="FL580" s="118"/>
      <c r="FM580" s="98"/>
      <c r="FN580" s="118"/>
      <c r="FO580" s="98"/>
      <c r="FP580" s="118">
        <f>AQ580+AS580+AU580+AW580</f>
        <v>0</v>
      </c>
      <c r="FQ580" s="98" t="str">
        <f t="shared" si="3351"/>
        <v>NA</v>
      </c>
      <c r="FR580" s="160">
        <f>AY580+BA580+BC580+BE580</f>
        <v>0</v>
      </c>
      <c r="FS580" s="120" t="str">
        <f t="shared" si="3352"/>
        <v>NA</v>
      </c>
      <c r="FT580" s="160">
        <f>BG580+BI580+BK580+BM580</f>
        <v>0</v>
      </c>
      <c r="FU580" s="120"/>
      <c r="FV580" s="123">
        <f>BO580+BQ580+BS580+BU580</f>
        <v>0</v>
      </c>
      <c r="FW580" s="98" t="str">
        <f t="shared" si="3353"/>
        <v>NA</v>
      </c>
      <c r="FX580" s="504">
        <f>+BW580+BY580+CA580+CC580</f>
        <v>0</v>
      </c>
      <c r="FY580" s="98" t="str">
        <f t="shared" si="3354"/>
        <v>NA</v>
      </c>
      <c r="FZ580" s="123">
        <f>+CE580+CG580++CI580+CK580</f>
        <v>0</v>
      </c>
      <c r="GA580" s="98" t="str">
        <f t="shared" si="3355"/>
        <v>NA</v>
      </c>
      <c r="GB580" s="504">
        <f>+CM580+CO580+CQ580+CS580</f>
        <v>0</v>
      </c>
      <c r="GC580" s="98" t="str">
        <f t="shared" si="3356"/>
        <v>NA</v>
      </c>
      <c r="GD580" s="160">
        <f>CU580+CW580+CY580+DA580</f>
        <v>0</v>
      </c>
      <c r="GE580" s="98" t="str">
        <f t="shared" si="3357"/>
        <v>NA</v>
      </c>
      <c r="GF580" s="160">
        <f>DC580+DE580+DG580+DI580</f>
        <v>0</v>
      </c>
      <c r="GG580" s="98" t="str">
        <f t="shared" si="3357"/>
        <v>NA</v>
      </c>
      <c r="GH580" s="160">
        <f>DK580+DM580+DO580+DQ580</f>
        <v>0</v>
      </c>
      <c r="GI580" s="98" t="str">
        <f t="shared" si="3357"/>
        <v>NA</v>
      </c>
      <c r="GJ580" s="160">
        <f>DS580+DU580+DW580+DY580</f>
        <v>0</v>
      </c>
      <c r="GK580" s="98" t="str">
        <f t="shared" si="3357"/>
        <v>NA</v>
      </c>
      <c r="GL580" s="160">
        <f>EA580+EC580+EE580+EG580</f>
        <v>0</v>
      </c>
      <c r="GM580" s="98" t="str">
        <f t="shared" si="3357"/>
        <v>NA</v>
      </c>
      <c r="GN580" s="160">
        <f>EI580+EK580+EM580+EO580</f>
        <v>0</v>
      </c>
      <c r="GO580" s="98" t="str">
        <f t="shared" si="3357"/>
        <v>NA</v>
      </c>
      <c r="GP580" s="160"/>
      <c r="GQ580" s="98" t="str">
        <f t="shared" si="3357"/>
        <v>NA</v>
      </c>
      <c r="GR580" s="112"/>
      <c r="GS580" s="98" t="str">
        <f t="shared" si="3357"/>
        <v>NA</v>
      </c>
      <c r="GT580" s="112"/>
      <c r="GU580" s="98"/>
      <c r="GV580" s="112"/>
      <c r="GW580" s="98" t="str">
        <f t="shared" si="3357"/>
        <v>NA</v>
      </c>
      <c r="GX580" s="112"/>
      <c r="GY580" s="98" t="str">
        <f t="shared" ref="GY580:GY581" si="3364">IF(ISERROR((GX580/GV580-1)*100),"NA",IF(((GX580/GV580-1)*100)&gt;100,"NM",IF(((GX580/GV580-1)*100)&lt;-50,"NM",(GX580/GV580-1)*100)))</f>
        <v>NA</v>
      </c>
      <c r="GZ580" s="98" t="str">
        <f t="shared" si="3359"/>
        <v>NA</v>
      </c>
      <c r="HA580" s="98"/>
      <c r="HC580"/>
      <c r="HD580"/>
      <c r="HE580"/>
      <c r="HF580"/>
      <c r="HG580"/>
      <c r="HH580"/>
    </row>
    <row r="581" spans="1:217" s="10" customFormat="1" ht="12.75" hidden="1" customHeight="1" outlineLevel="1" x14ac:dyDescent="0.2">
      <c r="B581" s="208" t="s">
        <v>570</v>
      </c>
      <c r="C581" s="204"/>
      <c r="D581" s="98"/>
      <c r="E581" s="204"/>
      <c r="F581" s="98"/>
      <c r="G581" s="204"/>
      <c r="H581" s="98"/>
      <c r="I581" s="204"/>
      <c r="J581" s="98"/>
      <c r="K581" s="204"/>
      <c r="L581" s="98"/>
      <c r="M581" s="204"/>
      <c r="N581" s="98"/>
      <c r="O581" s="204"/>
      <c r="P581" s="98"/>
      <c r="Q581" s="204"/>
      <c r="R581" s="98"/>
      <c r="S581" s="204"/>
      <c r="T581" s="98"/>
      <c r="U581" s="204"/>
      <c r="V581" s="98"/>
      <c r="W581" s="204"/>
      <c r="X581" s="98"/>
      <c r="Y581" s="204"/>
      <c r="Z581" s="98"/>
      <c r="AA581" s="204"/>
      <c r="AB581" s="98"/>
      <c r="AC581" s="204"/>
      <c r="AD581" s="98"/>
      <c r="AE581" s="204"/>
      <c r="AF581" s="98"/>
      <c r="AG581" s="204"/>
      <c r="AH581" s="98"/>
      <c r="AI581" s="204"/>
      <c r="AJ581" s="98"/>
      <c r="AK581" s="204"/>
      <c r="AL581" s="98"/>
      <c r="AM581" s="204"/>
      <c r="AN581" s="98"/>
      <c r="AO581" s="204"/>
      <c r="AP581" s="98"/>
      <c r="AQ581" s="204"/>
      <c r="AR581" s="98"/>
      <c r="AS581" s="204"/>
      <c r="AT581" s="98"/>
      <c r="AU581" s="204"/>
      <c r="AV581" s="98"/>
      <c r="AW581" s="204"/>
      <c r="AX581" s="98"/>
      <c r="AY581" s="204"/>
      <c r="AZ581" s="98"/>
      <c r="BA581" s="204"/>
      <c r="BB581" s="98"/>
      <c r="BC581" s="204"/>
      <c r="BD581" s="98"/>
      <c r="BE581" s="204"/>
      <c r="BF581" s="98"/>
      <c r="BG581" s="204"/>
      <c r="BH581" s="98"/>
      <c r="BI581" s="204"/>
      <c r="BJ581" s="98"/>
      <c r="BK581" s="204"/>
      <c r="BL581" s="98"/>
      <c r="BM581" s="204"/>
      <c r="BN581" s="98"/>
      <c r="BO581" s="204"/>
      <c r="BP581" s="98"/>
      <c r="BQ581" s="204"/>
      <c r="BR581" s="98"/>
      <c r="BS581" s="204"/>
      <c r="BT581" s="98"/>
      <c r="BU581" s="204"/>
      <c r="BV581" s="98"/>
      <c r="BW581" s="204"/>
      <c r="BX581" s="98"/>
      <c r="BY581" s="204"/>
      <c r="BZ581" s="98"/>
      <c r="CA581" s="204"/>
      <c r="CB581" s="98"/>
      <c r="CC581" s="204"/>
      <c r="CD581" s="98"/>
      <c r="CE581" s="204"/>
      <c r="CF581" s="98"/>
      <c r="CG581" s="204"/>
      <c r="CH581" s="98"/>
      <c r="CI581" s="204"/>
      <c r="CJ581" s="98"/>
      <c r="CK581" s="204"/>
      <c r="CL581" s="98"/>
      <c r="CM581" s="204"/>
      <c r="CN581" s="98"/>
      <c r="CO581" s="204"/>
      <c r="CP581" s="98"/>
      <c r="CQ581" s="505"/>
      <c r="CR581" s="98"/>
      <c r="CS581" s="204"/>
      <c r="CT581" s="98"/>
      <c r="CU581" s="204"/>
      <c r="CV581" s="98"/>
      <c r="CW581" s="204"/>
      <c r="CX581" s="98"/>
      <c r="CY581" s="204"/>
      <c r="CZ581" s="98"/>
      <c r="DA581" s="204"/>
      <c r="DB581" s="98"/>
      <c r="DC581" s="204"/>
      <c r="DD581" s="98"/>
      <c r="DE581" s="204"/>
      <c r="DF581" s="98"/>
      <c r="DG581" s="204"/>
      <c r="DH581" s="98"/>
      <c r="DI581" s="204"/>
      <c r="DJ581" s="98"/>
      <c r="DK581" s="204"/>
      <c r="DL581" s="98"/>
      <c r="DM581" s="204"/>
      <c r="DN581" s="98"/>
      <c r="DO581" s="204"/>
      <c r="DP581" s="98"/>
      <c r="DQ581" s="204"/>
      <c r="DR581" s="98"/>
      <c r="DS581" s="204"/>
      <c r="DT581" s="98"/>
      <c r="DU581" s="204"/>
      <c r="DV581" s="98"/>
      <c r="DW581" s="204"/>
      <c r="DX581" s="98"/>
      <c r="DY581" s="204"/>
      <c r="DZ581" s="98"/>
      <c r="EA581" s="204"/>
      <c r="EB581" s="98"/>
      <c r="EC581" s="204"/>
      <c r="ED581" s="98"/>
      <c r="EE581" s="204"/>
      <c r="EF581" s="860"/>
      <c r="EG581" s="204"/>
      <c r="EH581" s="860"/>
      <c r="EI581" s="204"/>
      <c r="EJ581" s="860"/>
      <c r="EK581" s="204"/>
      <c r="EL581" s="860" t="str">
        <f t="shared" si="3345"/>
        <v>NA</v>
      </c>
      <c r="EM581" s="204"/>
      <c r="EN581" s="860"/>
      <c r="EO581" s="204"/>
      <c r="EP581" s="98" t="str">
        <f t="shared" si="3346"/>
        <v>NA</v>
      </c>
      <c r="EQ581" s="204"/>
      <c r="ER581" s="98" t="str">
        <f t="shared" si="3360"/>
        <v>NA</v>
      </c>
      <c r="ES581" s="204"/>
      <c r="ET581" s="98" t="str">
        <f t="shared" si="3361"/>
        <v>NA</v>
      </c>
      <c r="EU581" s="204"/>
      <c r="EV581" s="98" t="str">
        <f t="shared" si="3362"/>
        <v>NA</v>
      </c>
      <c r="EW581" s="204"/>
      <c r="EX581" s="98" t="str">
        <f t="shared" si="3363"/>
        <v>NA</v>
      </c>
      <c r="EY581" s="204"/>
      <c r="EZ581" s="594"/>
      <c r="FA581" s="405"/>
      <c r="FB581" s="150"/>
      <c r="FC581" s="98"/>
      <c r="FD581" s="204">
        <f>FD577-FD580</f>
        <v>202</v>
      </c>
      <c r="FE581" s="98" t="str">
        <f>IF(ISERROR((FD581/FB581-1)*100),"NA",IF(((FD581/FB581-1)*100)&gt;100,"NM",IF(((FD581/FB581-1)*100)&lt;-50,"NM",(FD581/FB581-1)*100)))</f>
        <v>NA</v>
      </c>
      <c r="FF581" s="204">
        <f>FF577-FF580</f>
        <v>27</v>
      </c>
      <c r="FG581" s="98" t="str">
        <f>IF(ISERROR((FF581/FD581-1)*100),"NA",IF(((FF581/FD581-1)*100)&gt;100,"NM",IF(((FF581/FD581-1)*100)&lt;-50,"NM",(FF581/FD581-1)*100)))</f>
        <v>NM</v>
      </c>
      <c r="FH581" s="204">
        <f>FH577-FH580</f>
        <v>98</v>
      </c>
      <c r="FI581" s="98" t="str">
        <f>IF(ISERROR((FH581/FF581-1)*100),"NA",IF(((FH581/FF581-1)*100)&gt;100,"NM",IF(((FH581/FF581-1)*100)&lt;-50,"NM",(FH581/FF581-1)*100)))</f>
        <v>NM</v>
      </c>
      <c r="FJ581" s="204">
        <f>FJ577-FJ580</f>
        <v>202</v>
      </c>
      <c r="FK581" s="98" t="str">
        <f>IF(ISERROR((FJ581/FH581-1)*100),"NA",IF(((FJ581/FH581-1)*100)&gt;100,"NM",IF(((FJ581/FH581-1)*100)&lt;-50,"NM",(FJ581/FH581-1)*100)))</f>
        <v>NM</v>
      </c>
      <c r="FL581" s="204">
        <f>FL577-FL580</f>
        <v>382</v>
      </c>
      <c r="FM581" s="98">
        <f>IF(ISERROR((FL581/FJ581-1)*100),"NA",IF(((FL581/FJ581-1)*100)&gt;100,"NM",IF(((FL581/FJ581-1)*100)&lt;-50,"NM",(FL581/FJ581-1)*100)))</f>
        <v>89.108910891089096</v>
      </c>
      <c r="FN581" s="204">
        <f>FN577-FN580</f>
        <v>0</v>
      </c>
      <c r="FO581" s="98" t="str">
        <f>IF(ISERROR((FN581/FL581-1)*100),"NA",IF(((FN581/FL581-1)*100)&gt;100,"NM",IF(((FN581/FL581-1)*100)&lt;-50,"NM",(FN581/FL581-1)*100)))</f>
        <v>NM</v>
      </c>
      <c r="FP581" s="204">
        <f>FP577-FP580</f>
        <v>0</v>
      </c>
      <c r="FQ581" s="98" t="str">
        <f t="shared" si="3351"/>
        <v>NA</v>
      </c>
      <c r="FR581" s="204">
        <f>FR577-FR580</f>
        <v>0</v>
      </c>
      <c r="FS581" s="120" t="str">
        <f t="shared" si="3352"/>
        <v>NA</v>
      </c>
      <c r="FT581" s="204">
        <f>FT577-FT580</f>
        <v>0</v>
      </c>
      <c r="FU581" s="120" t="str">
        <f>IF(ISERROR((FT581/FR581-1)*100),"NA",IF(((FT581/FR581-1)*100)&gt;100,"NM",IF(((FT581/FR581-1)*100)&lt;-50,"NM",(FT581/FR581-1)*100)))</f>
        <v>NA</v>
      </c>
      <c r="FV581" s="204">
        <f>FV577-FV580</f>
        <v>208</v>
      </c>
      <c r="FW581" s="98" t="str">
        <f t="shared" si="3353"/>
        <v>NA</v>
      </c>
      <c r="FX581" s="505">
        <f>FX577-FX580</f>
        <v>0</v>
      </c>
      <c r="FY581" s="98" t="str">
        <f t="shared" si="3354"/>
        <v>NM</v>
      </c>
      <c r="FZ581" s="204">
        <f>FZ577-FZ580</f>
        <v>0</v>
      </c>
      <c r="GA581" s="98" t="str">
        <f t="shared" si="3355"/>
        <v>NA</v>
      </c>
      <c r="GB581" s="505">
        <f>GB577-GB580</f>
        <v>0</v>
      </c>
      <c r="GC581" s="98" t="str">
        <f t="shared" si="3356"/>
        <v>NA</v>
      </c>
      <c r="GD581" s="204">
        <f>GD577-GD580</f>
        <v>0</v>
      </c>
      <c r="GE581" s="98" t="str">
        <f t="shared" si="3357"/>
        <v>NA</v>
      </c>
      <c r="GF581" s="204">
        <f>GF579-GF580</f>
        <v>0</v>
      </c>
      <c r="GG581" s="98" t="str">
        <f t="shared" si="3357"/>
        <v>NA</v>
      </c>
      <c r="GH581" s="204">
        <f>GH579-GH580</f>
        <v>0</v>
      </c>
      <c r="GI581" s="98" t="str">
        <f t="shared" si="3357"/>
        <v>NA</v>
      </c>
      <c r="GJ581" s="204">
        <f>GJ579-GJ580</f>
        <v>0</v>
      </c>
      <c r="GK581" s="98" t="str">
        <f t="shared" si="3357"/>
        <v>NA</v>
      </c>
      <c r="GL581" s="204">
        <f>GL579-GL580</f>
        <v>0</v>
      </c>
      <c r="GM581" s="98" t="str">
        <f t="shared" si="3357"/>
        <v>NA</v>
      </c>
      <c r="GN581" s="204">
        <f>GN579-GN580</f>
        <v>0</v>
      </c>
      <c r="GO581" s="98" t="str">
        <f t="shared" si="3357"/>
        <v>NA</v>
      </c>
      <c r="GP581" s="204"/>
      <c r="GQ581" s="98" t="str">
        <f t="shared" si="3357"/>
        <v>NA</v>
      </c>
      <c r="GR581" s="204"/>
      <c r="GS581" s="98" t="str">
        <f t="shared" si="3357"/>
        <v>NA</v>
      </c>
      <c r="GT581" s="204"/>
      <c r="GU581" s="98"/>
      <c r="GV581" s="204"/>
      <c r="GW581" s="98" t="str">
        <f t="shared" si="3357"/>
        <v>NA</v>
      </c>
      <c r="GX581" s="204"/>
      <c r="GY581" s="98" t="str">
        <f t="shared" si="3364"/>
        <v>NA</v>
      </c>
      <c r="GZ581" s="98" t="str">
        <f t="shared" si="3359"/>
        <v>NA</v>
      </c>
      <c r="HA581" s="98"/>
      <c r="HC581"/>
      <c r="HD581"/>
      <c r="HE581"/>
      <c r="HF581"/>
      <c r="HG581"/>
      <c r="HH581"/>
    </row>
    <row r="582" spans="1:217" s="210" customFormat="1" ht="12.75" hidden="1" customHeight="1" outlineLevel="1" x14ac:dyDescent="0.2">
      <c r="B582" s="209" t="s">
        <v>138</v>
      </c>
      <c r="C582" s="117"/>
      <c r="D582" s="98"/>
      <c r="E582" s="117"/>
      <c r="F582" s="98"/>
      <c r="G582" s="117"/>
      <c r="H582" s="98"/>
      <c r="I582" s="117"/>
      <c r="J582" s="98"/>
      <c r="K582" s="117"/>
      <c r="L582" s="98"/>
      <c r="M582" s="117"/>
      <c r="N582" s="98"/>
      <c r="O582" s="117"/>
      <c r="P582" s="98"/>
      <c r="Q582" s="117"/>
      <c r="R582" s="98"/>
      <c r="S582" s="117"/>
      <c r="T582" s="98"/>
      <c r="U582" s="117"/>
      <c r="V582" s="98"/>
      <c r="W582" s="117"/>
      <c r="X582" s="98"/>
      <c r="Y582" s="117"/>
      <c r="Z582" s="98"/>
      <c r="AA582" s="117"/>
      <c r="AB582" s="98"/>
      <c r="AC582" s="117"/>
      <c r="AD582" s="98"/>
      <c r="AE582" s="117"/>
      <c r="AF582" s="98"/>
      <c r="AG582" s="117"/>
      <c r="AH582" s="98"/>
      <c r="AI582" s="117"/>
      <c r="AJ582" s="98"/>
      <c r="AK582" s="117"/>
      <c r="AL582" s="98"/>
      <c r="AM582" s="117"/>
      <c r="AN582" s="98"/>
      <c r="AO582" s="117"/>
      <c r="AP582" s="98"/>
      <c r="AQ582" s="117"/>
      <c r="AR582" s="98"/>
      <c r="AS582" s="117"/>
      <c r="AT582" s="98"/>
      <c r="AU582" s="117"/>
      <c r="AV582" s="98"/>
      <c r="AW582" s="117"/>
      <c r="AX582" s="98"/>
      <c r="AY582" s="117"/>
      <c r="AZ582" s="98"/>
      <c r="BA582" s="117"/>
      <c r="BB582" s="98"/>
      <c r="BC582" s="117"/>
      <c r="BD582" s="98"/>
      <c r="BE582" s="117"/>
      <c r="BF582" s="98"/>
      <c r="BG582" s="117"/>
      <c r="BH582" s="98"/>
      <c r="BI582" s="117"/>
      <c r="BJ582" s="98"/>
      <c r="BK582" s="117"/>
      <c r="BL582" s="98"/>
      <c r="BM582" s="117"/>
      <c r="BN582" s="98"/>
      <c r="BO582" s="117"/>
      <c r="BP582" s="98"/>
      <c r="BQ582" s="117"/>
      <c r="BR582" s="98"/>
      <c r="BS582" s="117"/>
      <c r="BT582" s="98"/>
      <c r="BU582" s="117"/>
      <c r="BV582" s="98"/>
      <c r="BW582" s="117"/>
      <c r="BX582" s="98"/>
      <c r="BY582" s="117"/>
      <c r="BZ582" s="98"/>
      <c r="CA582" s="117"/>
      <c r="CB582" s="98"/>
      <c r="CC582" s="117"/>
      <c r="CD582" s="98"/>
      <c r="CE582" s="117"/>
      <c r="CF582" s="98"/>
      <c r="CG582" s="117"/>
      <c r="CH582" s="98"/>
      <c r="CI582" s="117"/>
      <c r="CJ582" s="98"/>
      <c r="CK582" s="117"/>
      <c r="CL582" s="98"/>
      <c r="CM582" s="117"/>
      <c r="CN582" s="98"/>
      <c r="CO582" s="117"/>
      <c r="CP582" s="98"/>
      <c r="CQ582" s="486"/>
      <c r="CR582" s="98"/>
      <c r="CS582" s="117"/>
      <c r="CT582" s="98"/>
      <c r="CU582" s="117"/>
      <c r="CV582" s="98"/>
      <c r="CW582" s="117"/>
      <c r="CX582" s="98"/>
      <c r="CY582" s="117"/>
      <c r="CZ582" s="98"/>
      <c r="DA582" s="117"/>
      <c r="DB582" s="98"/>
      <c r="DC582" s="117"/>
      <c r="DD582" s="98"/>
      <c r="DE582" s="117"/>
      <c r="DF582" s="98"/>
      <c r="DG582" s="117"/>
      <c r="DH582" s="98"/>
      <c r="DI582" s="117"/>
      <c r="DJ582" s="98"/>
      <c r="DK582" s="117"/>
      <c r="DL582" s="98"/>
      <c r="DM582" s="117"/>
      <c r="DN582" s="98"/>
      <c r="DO582" s="117"/>
      <c r="DP582" s="98"/>
      <c r="DQ582" s="117"/>
      <c r="DR582" s="98"/>
      <c r="DS582" s="117"/>
      <c r="DT582" s="98"/>
      <c r="DU582" s="117"/>
      <c r="DV582" s="98"/>
      <c r="DW582" s="117"/>
      <c r="DX582" s="98"/>
      <c r="DY582" s="117"/>
      <c r="DZ582" s="98"/>
      <c r="EA582" s="117"/>
      <c r="EB582" s="98"/>
      <c r="EC582" s="117"/>
      <c r="ED582" s="98"/>
      <c r="EE582" s="117"/>
      <c r="EF582" s="860"/>
      <c r="EG582" s="117"/>
      <c r="EH582" s="860"/>
      <c r="EI582" s="117"/>
      <c r="EJ582" s="860"/>
      <c r="EK582" s="117"/>
      <c r="EL582" s="860" t="str">
        <f t="shared" si="3345"/>
        <v>NA</v>
      </c>
      <c r="EM582" s="117"/>
      <c r="EN582" s="860"/>
      <c r="EO582" s="117"/>
      <c r="EP582" s="98" t="str">
        <f t="shared" si="3346"/>
        <v>NA</v>
      </c>
      <c r="EQ582" s="1031"/>
      <c r="ER582" s="98" t="str">
        <f t="shared" si="3360"/>
        <v>NA</v>
      </c>
      <c r="ES582" s="1031"/>
      <c r="ET582" s="98" t="str">
        <f t="shared" si="3361"/>
        <v>NA</v>
      </c>
      <c r="EU582" s="1031"/>
      <c r="EV582" s="98" t="str">
        <f t="shared" si="3362"/>
        <v>NA</v>
      </c>
      <c r="EW582" s="1031"/>
      <c r="EX582" s="98" t="str">
        <f t="shared" si="3363"/>
        <v>NA</v>
      </c>
      <c r="EY582" s="118"/>
      <c r="EZ582" s="598"/>
      <c r="FA582" s="409"/>
      <c r="FB582" s="118">
        <f>FB574-(+FB580)/0.65</f>
        <v>260</v>
      </c>
      <c r="FC582" s="98"/>
      <c r="FD582" s="118">
        <f>FD574-(+FD580)/0.65</f>
        <v>312</v>
      </c>
      <c r="FE582" s="98">
        <f>IF(ISERROR((FD582/FB582-1)*100),"NA",IF(((FD582/FB582-1)*100)&gt;100,"NM",IF(((FD582/FB582-1)*100)&lt;-50,"NM",(FD582/FB582-1)*100)))</f>
        <v>19.999999999999996</v>
      </c>
      <c r="FF582" s="118">
        <f>FF574-(+FF580)/0.65</f>
        <v>27</v>
      </c>
      <c r="FG582" s="98" t="str">
        <f>IF(ISERROR((FF582/FD582-1)*100),"NA",IF(((FF582/FD582-1)*100)&gt;100,"NM",IF(((FF582/FD582-1)*100)&lt;-50,"NM",(FF582/FD582-1)*100)))</f>
        <v>NM</v>
      </c>
      <c r="FH582" s="118">
        <f>FH574-(+FH580)/0.65</f>
        <v>98</v>
      </c>
      <c r="FI582" s="98" t="str">
        <f>IF(ISERROR((FH582/FF582-1)*100),"NA",IF(((FH582/FF582-1)*100)&gt;100,"NM",IF(((FH582/FF582-1)*100)&lt;-50,"NM",(FH582/FF582-1)*100)))</f>
        <v>NM</v>
      </c>
      <c r="FJ582" s="118">
        <f>FJ574-(+FJ580)/0.65</f>
        <v>202</v>
      </c>
      <c r="FK582" s="98" t="str">
        <f>IF(ISERROR((FJ582/FH582-1)*100),"NA",IF(((FJ582/FH582-1)*100)&gt;100,"NM",IF(((FJ582/FH582-1)*100)&lt;-50,"NM",(FJ582/FH582-1)*100)))</f>
        <v>NM</v>
      </c>
      <c r="FL582" s="118">
        <f>FL574-(+FL580)/0.65</f>
        <v>382</v>
      </c>
      <c r="FM582" s="98">
        <f>IF(ISERROR((FL582/FJ582-1)*100),"NA",IF(((FL582/FJ582-1)*100)&gt;100,"NM",IF(((FL582/FJ582-1)*100)&lt;-50,"NM",(FL582/FJ582-1)*100)))</f>
        <v>89.108910891089096</v>
      </c>
      <c r="FN582" s="118">
        <f>FN574-(+FN580)/0.65</f>
        <v>0</v>
      </c>
      <c r="FO582" s="98" t="str">
        <f>IF(ISERROR((FN582/FL582-1)*100),"NA",IF(((FN582/FL582-1)*100)&gt;100,"NM",IF(((FN582/FL582-1)*100)&lt;-50,"NM",(FN582/FL582-1)*100)))</f>
        <v>NM</v>
      </c>
      <c r="FP582" s="118">
        <f>FP574-(+FP580)/0.65</f>
        <v>0</v>
      </c>
      <c r="FQ582" s="98" t="str">
        <f>IF(ISERROR((FP582/FN582-1)*100),"NA",IF(((FP582/FN582-1)*100)&gt;100,"NM",IF(((FP582/FN582-1)*100)&lt;-50,"NM",(FP582/FN582-1)*100)))</f>
        <v>NA</v>
      </c>
      <c r="FR582" s="118">
        <f>FR574-(+FR580)/0.65</f>
        <v>0</v>
      </c>
      <c r="FS582" s="98" t="str">
        <f>IF(ISERROR((FR582/FP582-1)*100),"NA",IF(((FR582/FP582-1)*100)&gt;100,"NM",IF(((FR582/FP582-1)*100)&lt;-50,"NM",(FR582/FP582-1)*100)))</f>
        <v>NA</v>
      </c>
      <c r="FT582" s="118">
        <f>FT574-(+FT580)/0.65</f>
        <v>0</v>
      </c>
      <c r="FU582" s="98" t="str">
        <f>IF(ISERROR((FT582/FR582-1)*100),"NA",IF(((FT582/FR582-1)*100)&gt;100,"NM",IF(((FT582/FR582-1)*100)&lt;-50,"NM",(FT582/FR582-1)*100)))</f>
        <v>NA</v>
      </c>
      <c r="FV582" s="119">
        <f>FV574-(+FV580)/0.65</f>
        <v>307</v>
      </c>
      <c r="FW582" s="98" t="str">
        <f>IF(ISERROR((FV582/FT582-1)*100),"NA",IF(((FV582/FT582-1)*100)&gt;100,"NM",IF(((FV582/FT582-1)*100)&lt;-50,"NM",(FV582/FT582-1)*100)))</f>
        <v>NA</v>
      </c>
      <c r="FX582" s="485">
        <f>FX574-(+FX580)/0.65</f>
        <v>0</v>
      </c>
      <c r="FY582" s="98" t="str">
        <f>IF(ISERROR((FX582/FV582-1)*100),"NA",IF(((FX582/FV582-1)*100)&gt;100,"NM",IF(((FX582/FV582-1)*100)&lt;-50,"NM",(FX582/FV582-1)*100)))</f>
        <v>NM</v>
      </c>
      <c r="FZ582" s="119">
        <f>FZ574-(+FZ580)/0.65</f>
        <v>0</v>
      </c>
      <c r="GA582" s="98" t="str">
        <f>IF(ISERROR((FZ582/FX582-1)*100),"NA",IF(((FZ582/FX582-1)*100)&gt;100,"NM",IF(((FZ582/FX582-1)*100)&lt;-50,"NM",(FZ582/FX582-1)*100)))</f>
        <v>NA</v>
      </c>
      <c r="GB582" s="485">
        <f>GB574-(+GB580)/0.65</f>
        <v>0</v>
      </c>
      <c r="GC582" s="98" t="str">
        <f>IF(ISERROR((GB582/FZ582-1)*100),"NA",IF(((GB582/FZ582-1)*100)&gt;100,"NM",IF(((GB582/FZ582-1)*100)&lt;-50,"NM",(GB582/FZ582-1)*100)))</f>
        <v>NA</v>
      </c>
      <c r="GD582" s="119">
        <f>GD574-(+GD580)/0.65</f>
        <v>0</v>
      </c>
      <c r="GE582" s="98" t="str">
        <f>IF(ISERROR((GD582/GB582-1)*100),"NA",IF(((GD582/GB582-1)*100)&gt;100,"NM",IF(((GD582/GB582-1)*100)&lt;-50,"NM",(GD582/GB582-1)*100)))</f>
        <v>NA</v>
      </c>
      <c r="GF582" s="117">
        <f>GF574-(+GF580)/0.65</f>
        <v>0</v>
      </c>
      <c r="GG582" s="98" t="str">
        <f>IF(ISERROR((GF582/GD582-1)*100),"NA",IF(((GF582/GD582-1)*100)&gt;100,"NM",IF(((GF582/GD582-1)*100)&lt;-50,"NM",(GF582/GD582-1)*100)))</f>
        <v>NA</v>
      </c>
      <c r="GH582" s="117">
        <f>GH574-(+GH580)/0.65</f>
        <v>0</v>
      </c>
      <c r="GI582" s="98" t="str">
        <f>IF(ISERROR((GH582/GF582-1)*100),"NA",IF(((GH582/GF582-1)*100)&gt;100,"NM",IF(((GH582/GF582-1)*100)&lt;-50,"NM",(GH582/GF582-1)*100)))</f>
        <v>NA</v>
      </c>
      <c r="GJ582" s="117">
        <f>GJ574-(+GJ580)/0.65</f>
        <v>0</v>
      </c>
      <c r="GK582" s="98" t="str">
        <f>IF(ISERROR((GJ582/GH582-1)*100),"NA",IF(((GJ582/GH582-1)*100)&gt;100,"NM",IF(((GJ582/GH582-1)*100)&lt;-50,"NM",(GJ582/GH582-1)*100)))</f>
        <v>NA</v>
      </c>
      <c r="GL582" s="117">
        <f>GL574-(+GL580)/0.65</f>
        <v>0</v>
      </c>
      <c r="GM582" s="98" t="str">
        <f>IF(ISERROR((GL582/GJ582-1)*100),"NA",IF(((GL582/GJ582-1)*100)&gt;100,"NM",IF(((GL582/GJ582-1)*100)&lt;-50,"NM",(GL582/GJ582-1)*100)))</f>
        <v>NA</v>
      </c>
      <c r="GN582" s="117">
        <f>GN574-(+GN580)/0.65</f>
        <v>0</v>
      </c>
      <c r="GO582" s="98" t="str">
        <f>IF(ISERROR((GN582/GL582-1)*100),"NA",IF(((GN582/GL582-1)*100)&gt;100,"NM",IF(((GN582/GL582-1)*100)&lt;-50,"NM",(GN582/GL582-1)*100)))</f>
        <v>NA</v>
      </c>
      <c r="GP582" s="117"/>
      <c r="GQ582" s="98" t="str">
        <f>IF(ISERROR((GP582/GN582-1)*100),"NA",IF(((GP582/GN582-1)*100)&gt;100,"NM",IF(((GP582/GN582-1)*100)&lt;-50,"NM",(GP582/GN582-1)*100)))</f>
        <v>NA</v>
      </c>
      <c r="GR582" s="117"/>
      <c r="GS582" s="98" t="str">
        <f>IF(ISERROR((GR582/GP582-1)*100),"NA",IF(((GR582/GP582-1)*100)&gt;100,"NM",IF(((GR582/GP582-1)*100)&lt;-50,"NM",(GR582/GP582-1)*100)))</f>
        <v>NA</v>
      </c>
      <c r="GT582" s="117"/>
      <c r="GU582" s="98"/>
      <c r="GV582" s="117"/>
      <c r="GW582" s="98" t="str">
        <f>IF(ISERROR((GV582/GT582-1)*100),"NA",IF(((GV582/GT582-1)*100)&gt;100,"NM",IF(((GV582/GT582-1)*100)&lt;-50,"NM",(GV582/GT582-1)*100)))</f>
        <v>NA</v>
      </c>
      <c r="GX582" s="117"/>
      <c r="GY582" s="98" t="str">
        <f>IF(ISERROR((GX582/GV582-1)*100),"NA",IF(((GX582/GV582-1)*100)&gt;100,"NM",IF(((GX582/GV582-1)*100)&lt;-50,"NM",(GX582/GV582-1)*100)))</f>
        <v>NA</v>
      </c>
      <c r="GZ582" s="98" t="str">
        <f t="shared" si="3359"/>
        <v>NA</v>
      </c>
      <c r="HA582" s="98"/>
      <c r="HB582" s="240"/>
      <c r="HC582"/>
      <c r="HD582"/>
      <c r="HE582"/>
      <c r="HF582"/>
      <c r="HG582"/>
      <c r="HH582"/>
      <c r="HI582" s="10"/>
    </row>
    <row r="583" spans="1:217" s="2" customFormat="1" ht="12.75" hidden="1" customHeight="1" outlineLevel="1" x14ac:dyDescent="0.2">
      <c r="B583" s="19"/>
      <c r="C583" s="182"/>
      <c r="D583" s="98"/>
      <c r="E583" s="182"/>
      <c r="F583" s="98"/>
      <c r="G583" s="182"/>
      <c r="H583" s="98"/>
      <c r="I583" s="182"/>
      <c r="J583" s="98"/>
      <c r="K583" s="182"/>
      <c r="L583" s="98"/>
      <c r="M583" s="182"/>
      <c r="N583" s="98"/>
      <c r="O583" s="182"/>
      <c r="P583" s="98"/>
      <c r="Q583" s="182"/>
      <c r="R583" s="98"/>
      <c r="S583" s="182"/>
      <c r="T583" s="98"/>
      <c r="U583" s="182"/>
      <c r="V583" s="98"/>
      <c r="W583" s="182"/>
      <c r="X583" s="98"/>
      <c r="Y583" s="182"/>
      <c r="Z583" s="98"/>
      <c r="AA583" s="182"/>
      <c r="AB583" s="98"/>
      <c r="AC583" s="182"/>
      <c r="AD583" s="98"/>
      <c r="AE583" s="182"/>
      <c r="AF583" s="98"/>
      <c r="AG583" s="182"/>
      <c r="AH583" s="98"/>
      <c r="AI583" s="211"/>
      <c r="AJ583" s="98"/>
      <c r="AK583" s="211"/>
      <c r="AL583" s="98"/>
      <c r="AM583" s="211"/>
      <c r="AN583" s="98"/>
      <c r="AO583" s="211"/>
      <c r="AP583" s="98"/>
      <c r="AQ583" s="211"/>
      <c r="AR583" s="98"/>
      <c r="AS583" s="211"/>
      <c r="AT583" s="98"/>
      <c r="AU583" s="211"/>
      <c r="AV583" s="98"/>
      <c r="AW583" s="211"/>
      <c r="AX583" s="98"/>
      <c r="AY583" s="211"/>
      <c r="AZ583" s="98"/>
      <c r="BA583" s="211"/>
      <c r="BB583" s="98"/>
      <c r="BC583" s="211"/>
      <c r="BD583" s="98"/>
      <c r="BE583" s="211"/>
      <c r="BF583" s="98"/>
      <c r="BG583" s="211"/>
      <c r="BH583" s="98"/>
      <c r="BI583" s="211"/>
      <c r="BJ583" s="98"/>
      <c r="BK583" s="211"/>
      <c r="BL583" s="98"/>
      <c r="BM583" s="211"/>
      <c r="BN583" s="98"/>
      <c r="BO583" s="211"/>
      <c r="BP583" s="98"/>
      <c r="BQ583" s="211"/>
      <c r="BR583" s="98"/>
      <c r="BS583" s="211"/>
      <c r="BT583" s="98"/>
      <c r="BU583" s="211"/>
      <c r="BV583" s="98"/>
      <c r="BW583" s="211"/>
      <c r="BX583" s="98"/>
      <c r="BY583" s="211"/>
      <c r="BZ583" s="98"/>
      <c r="CA583" s="211"/>
      <c r="CB583" s="98"/>
      <c r="CC583" s="211"/>
      <c r="CD583" s="98"/>
      <c r="CE583" s="211"/>
      <c r="CF583" s="98"/>
      <c r="CG583" s="211"/>
      <c r="CH583" s="98"/>
      <c r="CI583" s="211"/>
      <c r="CJ583" s="98"/>
      <c r="CK583" s="211"/>
      <c r="CL583" s="98"/>
      <c r="CM583" s="211"/>
      <c r="CN583" s="98"/>
      <c r="CO583" s="211"/>
      <c r="CP583" s="98"/>
      <c r="CQ583" s="552"/>
      <c r="CR583" s="98"/>
      <c r="CS583" s="211"/>
      <c r="CT583" s="98"/>
      <c r="CU583" s="211"/>
      <c r="CV583" s="98"/>
      <c r="CW583" s="211"/>
      <c r="CX583" s="98"/>
      <c r="CY583" s="211"/>
      <c r="CZ583" s="98"/>
      <c r="DA583" s="211"/>
      <c r="DB583" s="98"/>
      <c r="DC583" s="211"/>
      <c r="DD583" s="98"/>
      <c r="DE583" s="211"/>
      <c r="DF583" s="98"/>
      <c r="DG583" s="211"/>
      <c r="DH583" s="98"/>
      <c r="DI583" s="211"/>
      <c r="DJ583" s="98"/>
      <c r="DK583" s="211"/>
      <c r="DL583" s="98"/>
      <c r="DM583" s="211"/>
      <c r="DN583" s="98"/>
      <c r="DO583" s="211"/>
      <c r="DP583" s="98"/>
      <c r="DQ583" s="211"/>
      <c r="DR583" s="98"/>
      <c r="DS583" s="211"/>
      <c r="DT583" s="98"/>
      <c r="DU583" s="211"/>
      <c r="DV583" s="98"/>
      <c r="DW583" s="211"/>
      <c r="DX583" s="98"/>
      <c r="DY583" s="211"/>
      <c r="DZ583" s="98"/>
      <c r="EA583" s="211"/>
      <c r="EB583" s="98"/>
      <c r="EC583" s="211"/>
      <c r="ED583" s="98"/>
      <c r="EE583" s="211"/>
      <c r="EF583" s="860"/>
      <c r="EG583" s="211"/>
      <c r="EH583" s="860"/>
      <c r="EI583" s="211"/>
      <c r="EJ583" s="860"/>
      <c r="EK583" s="211"/>
      <c r="EL583" s="860"/>
      <c r="EM583" s="211"/>
      <c r="EN583" s="860"/>
      <c r="EO583" s="211"/>
      <c r="EP583" s="98"/>
      <c r="EQ583" s="1053"/>
      <c r="ER583" s="98"/>
      <c r="ES583" s="1053"/>
      <c r="ET583" s="98"/>
      <c r="EU583" s="1053"/>
      <c r="EV583" s="98"/>
      <c r="EW583" s="1053"/>
      <c r="EX583" s="98"/>
      <c r="EY583" s="212"/>
      <c r="EZ583" s="594"/>
      <c r="FA583" s="405"/>
      <c r="FB583" s="183"/>
      <c r="FC583" s="98"/>
      <c r="FD583" s="182"/>
      <c r="FE583" s="98"/>
      <c r="FF583" s="183"/>
      <c r="FG583" s="98"/>
      <c r="FH583" s="183"/>
      <c r="FI583" s="98"/>
      <c r="FJ583" s="183"/>
      <c r="FK583" s="98"/>
      <c r="FL583" s="183"/>
      <c r="FM583" s="98"/>
      <c r="FN583" s="212"/>
      <c r="FO583" s="213"/>
      <c r="FP583" s="212"/>
      <c r="FQ583" s="213"/>
      <c r="FR583" s="184"/>
      <c r="FS583" s="214"/>
      <c r="FT583" s="184"/>
      <c r="FU583" s="214"/>
      <c r="FV583" s="184"/>
      <c r="FW583" s="98"/>
      <c r="FX583" s="498"/>
      <c r="FY583" s="98"/>
      <c r="FZ583" s="184"/>
      <c r="GA583" s="98"/>
      <c r="GB583" s="498"/>
      <c r="GC583" s="98"/>
      <c r="GD583" s="212"/>
      <c r="GE583" s="98"/>
      <c r="GF583" s="184"/>
      <c r="GG583" s="98"/>
      <c r="GH583" s="184"/>
      <c r="GI583" s="98"/>
      <c r="GJ583" s="184"/>
      <c r="GK583" s="98"/>
      <c r="GL583" s="184"/>
      <c r="GM583" s="98"/>
      <c r="GN583" s="184"/>
      <c r="GO583" s="98"/>
      <c r="GP583" s="184"/>
      <c r="GQ583" s="98"/>
      <c r="GR583" s="212"/>
      <c r="GS583" s="98"/>
      <c r="GT583" s="212"/>
      <c r="GU583" s="98"/>
      <c r="GV583" s="212"/>
      <c r="GW583" s="98"/>
      <c r="GX583" s="212"/>
      <c r="GY583" s="98"/>
      <c r="GZ583" s="98"/>
      <c r="HA583" s="98"/>
      <c r="HB583" s="10"/>
      <c r="HC583"/>
      <c r="HD583"/>
      <c r="HE583"/>
      <c r="HF583"/>
      <c r="HG583"/>
      <c r="HH583"/>
      <c r="HI583" s="10"/>
    </row>
    <row r="584" spans="1:217" s="2" customFormat="1" ht="12.75" hidden="1" customHeight="1" outlineLevel="1" x14ac:dyDescent="0.2">
      <c r="B584" s="91" t="s">
        <v>480</v>
      </c>
      <c r="C584" s="137"/>
      <c r="D584" s="98"/>
      <c r="E584" s="137"/>
      <c r="F584" s="98"/>
      <c r="G584" s="137"/>
      <c r="H584" s="98"/>
      <c r="I584" s="137"/>
      <c r="J584" s="98"/>
      <c r="K584" s="137"/>
      <c r="L584" s="98"/>
      <c r="M584" s="137"/>
      <c r="N584" s="98"/>
      <c r="O584" s="137"/>
      <c r="P584" s="98"/>
      <c r="Q584" s="137"/>
      <c r="R584" s="98"/>
      <c r="S584" s="137"/>
      <c r="T584" s="98"/>
      <c r="U584" s="137"/>
      <c r="V584" s="98"/>
      <c r="W584" s="137"/>
      <c r="X584" s="98"/>
      <c r="Y584" s="137"/>
      <c r="Z584" s="98"/>
      <c r="AA584" s="137"/>
      <c r="AB584" s="98"/>
      <c r="AC584" s="137"/>
      <c r="AD584" s="98"/>
      <c r="AE584" s="137"/>
      <c r="AF584" s="98"/>
      <c r="AG584" s="137"/>
      <c r="AH584" s="98"/>
      <c r="AI584" s="137"/>
      <c r="AJ584" s="98"/>
      <c r="AK584" s="137"/>
      <c r="AL584" s="98"/>
      <c r="AM584" s="137"/>
      <c r="AN584" s="98"/>
      <c r="AO584" s="137"/>
      <c r="AP584" s="98"/>
      <c r="AQ584" s="137"/>
      <c r="AR584" s="98"/>
      <c r="AS584" s="137"/>
      <c r="AT584" s="98"/>
      <c r="AU584" s="137"/>
      <c r="AV584" s="98"/>
      <c r="AW584" s="137"/>
      <c r="AX584" s="98"/>
      <c r="AY584" s="137"/>
      <c r="AZ584" s="98"/>
      <c r="BA584" s="137"/>
      <c r="BB584" s="98"/>
      <c r="BC584" s="137"/>
      <c r="BD584" s="98"/>
      <c r="BE584" s="137"/>
      <c r="BF584" s="98"/>
      <c r="BG584" s="137"/>
      <c r="BH584" s="98"/>
      <c r="BI584" s="137"/>
      <c r="BJ584" s="98"/>
      <c r="BK584" s="137"/>
      <c r="BL584" s="98"/>
      <c r="BM584" s="137"/>
      <c r="BN584" s="98"/>
      <c r="BO584" s="137"/>
      <c r="BP584" s="98"/>
      <c r="BQ584" s="137"/>
      <c r="BR584" s="98"/>
      <c r="BS584" s="137"/>
      <c r="BT584" s="98"/>
      <c r="BU584" s="137"/>
      <c r="BV584" s="98"/>
      <c r="BW584" s="137"/>
      <c r="BX584" s="98"/>
      <c r="BY584" s="137"/>
      <c r="BZ584" s="98"/>
      <c r="CA584" s="137"/>
      <c r="CB584" s="98"/>
      <c r="CC584" s="137"/>
      <c r="CD584" s="98"/>
      <c r="CE584" s="137"/>
      <c r="CF584" s="98"/>
      <c r="CG584" s="137"/>
      <c r="CH584" s="98"/>
      <c r="CI584" s="137"/>
      <c r="CJ584" s="98"/>
      <c r="CK584" s="137"/>
      <c r="CL584" s="98"/>
      <c r="CM584" s="137"/>
      <c r="CN584" s="98"/>
      <c r="CO584" s="137"/>
      <c r="CP584" s="98"/>
      <c r="CQ584" s="494"/>
      <c r="CR584" s="98"/>
      <c r="CS584" s="137"/>
      <c r="CT584" s="98"/>
      <c r="CU584" s="137"/>
      <c r="CV584" s="98"/>
      <c r="CW584" s="137"/>
      <c r="CX584" s="98"/>
      <c r="CY584" s="137"/>
      <c r="CZ584" s="98"/>
      <c r="DA584" s="137"/>
      <c r="DB584" s="98"/>
      <c r="DC584" s="137"/>
      <c r="DD584" s="98"/>
      <c r="DE584" s="137"/>
      <c r="DF584" s="98"/>
      <c r="DG584" s="137"/>
      <c r="DH584" s="98"/>
      <c r="DI584" s="137"/>
      <c r="DJ584" s="98"/>
      <c r="DK584" s="137"/>
      <c r="DL584" s="98"/>
      <c r="DM584" s="137"/>
      <c r="DN584" s="98"/>
      <c r="DO584" s="137"/>
      <c r="DP584" s="98"/>
      <c r="DQ584" s="137"/>
      <c r="DR584" s="98"/>
      <c r="DS584" s="137"/>
      <c r="DT584" s="98"/>
      <c r="DU584" s="137"/>
      <c r="DV584" s="98"/>
      <c r="DW584" s="137"/>
      <c r="DX584" s="98"/>
      <c r="DY584" s="137"/>
      <c r="DZ584" s="98"/>
      <c r="EA584" s="137"/>
      <c r="EB584" s="98"/>
      <c r="EC584" s="137"/>
      <c r="ED584" s="98"/>
      <c r="EE584" s="137"/>
      <c r="EF584" s="860"/>
      <c r="EG584" s="137"/>
      <c r="EH584" s="860"/>
      <c r="EI584" s="137"/>
      <c r="EJ584" s="860"/>
      <c r="EK584" s="137"/>
      <c r="EL584" s="860" t="str">
        <f t="shared" ref="EL584:EL585" si="3365">IF(ISERROR((EK584/EC584-1)*100),"NA",IF(((EK584/EC584-1)*100)&gt;100,"NM",IF(((EK584/EC584-1)*100)&lt;-50,"NM",(EK584/EC584-1)*100)))</f>
        <v>NA</v>
      </c>
      <c r="EM584" s="137"/>
      <c r="EN584" s="860"/>
      <c r="EO584" s="137"/>
      <c r="EP584" s="98" t="str">
        <f t="shared" ref="EP584:EP585" si="3366">IF(ISERROR((EO584/EG584-1)*100),"NA",IF(((EO584/EG584-1)*100)&gt;100,"NM",IF(((EO584/EG584-1)*100)&lt;-50,"NM",(EO584/EG584-1)*100)))</f>
        <v>NA</v>
      </c>
      <c r="EQ584" s="818"/>
      <c r="ER584" s="98" t="str">
        <f t="shared" ref="ER584:ER585" si="3367">IF(ISERROR((EQ584/EI584-1)*100),"NA",IF(((EQ584/EI584-1)*100)&gt;100,"NM",IF(((EQ584/EI584-1)*100)&lt;-50,"NM",(EQ584/EI584-1)*100)))</f>
        <v>NA</v>
      </c>
      <c r="ES584" s="818"/>
      <c r="ET584" s="98" t="str">
        <f t="shared" ref="ET584:ET585" si="3368">IF(ISERROR((ES584/EK584-1)*100),"NA",IF(((ES584/EK584-1)*100)&gt;100,"NM",IF(((ES584/EK584-1)*100)&lt;-50,"NM",(ES584/EK584-1)*100)))</f>
        <v>NA</v>
      </c>
      <c r="EU584" s="818"/>
      <c r="EV584" s="98" t="str">
        <f t="shared" ref="EV584:EV585" si="3369">IF(ISERROR((EU584/EM584-1)*100),"NA",IF(((EU584/EM584-1)*100)&gt;100,"NM",IF(((EU584/EM584-1)*100)&lt;-50,"NM",(EU584/EM584-1)*100)))</f>
        <v>NA</v>
      </c>
      <c r="EW584" s="818"/>
      <c r="EX584" s="98" t="str">
        <f t="shared" ref="EX584:EX585" si="3370">IF(ISERROR((EW584/EO584-1)*100),"NA",IF(((EW584/EO584-1)*100)&gt;100,"NM",IF(((EW584/EO584-1)*100)&lt;-50,"NM",(EW584/EO584-1)*100)))</f>
        <v>NA</v>
      </c>
      <c r="EY584" s="125"/>
      <c r="EZ584" s="594"/>
      <c r="FA584" s="405"/>
      <c r="FB584" s="125">
        <f>+FB574/FB556*100</f>
        <v>13.258541560428352</v>
      </c>
      <c r="FC584" s="98"/>
      <c r="FD584" s="137">
        <f>+FD574/FD556*100</f>
        <v>15.869786368260428</v>
      </c>
      <c r="FE584" s="98">
        <f>IF(ISERROR((FD584/FB584-1)*100),"NA",IF(((FD584/FB584-1)*100)&gt;100,"NM",IF(((FD584/FB584-1)*100)&lt;-50,"NM",(FD584/FB584-1)*100)))</f>
        <v>19.694811800610388</v>
      </c>
      <c r="FF584" s="125" t="e">
        <f>+FF574/FF556*100</f>
        <v>#DIV/0!</v>
      </c>
      <c r="FG584" s="98" t="str">
        <f>IF(ISERROR((FF584/FD584-1)*100),"NA",IF(((FF584/FD584-1)*100)&gt;100,"NM",IF(((FF584/FD584-1)*100)&lt;-50,"NM",(FF584/FD584-1)*100)))</f>
        <v>NA</v>
      </c>
      <c r="FH584" s="125" t="e">
        <f>+FH574/FH556*100</f>
        <v>#DIV/0!</v>
      </c>
      <c r="FI584" s="98" t="str">
        <f>IF(ISERROR((FH584/FF584-1)*100),"NA",IF(((FH584/FF584-1)*100)&gt;100,"NM",IF(((FH584/FF584-1)*100)&lt;-50,"NM",(FH584/FF584-1)*100)))</f>
        <v>NA</v>
      </c>
      <c r="FJ584" s="125" t="e">
        <f>+FJ574/FJ556*100</f>
        <v>#DIV/0!</v>
      </c>
      <c r="FK584" s="98" t="str">
        <f>IF(ISERROR((FJ584/FH584-1)*100),"NA",IF(((FJ584/FH584-1)*100)&gt;100,"NM",IF(((FJ584/FH584-1)*100)&lt;-50,"NM",(FJ584/FH584-1)*100)))</f>
        <v>NA</v>
      </c>
      <c r="FL584" s="125" t="e">
        <f>+FL574/FL556*100</f>
        <v>#DIV/0!</v>
      </c>
      <c r="FM584" s="98" t="str">
        <f>IF(ISERROR((FL584/FJ584-1)*100),"NA",IF(((FL584/FJ584-1)*100)&gt;100,"NM",IF(((FL584/FJ584-1)*100)&lt;-50,"NM",(FL584/FJ584-1)*100)))</f>
        <v>NA</v>
      </c>
      <c r="FN584" s="125" t="e">
        <f>+FN574/FN556*100</f>
        <v>#DIV/0!</v>
      </c>
      <c r="FO584" s="98" t="str">
        <f>IF(ISERROR((FN584/FL584-1)*100),"NA",IF(((FN584/FL584-1)*100)&gt;100,"NM",IF(((FN584/FL584-1)*100)&lt;-50,"NM",(FN584/FL584-1)*100)))</f>
        <v>NA</v>
      </c>
      <c r="FP584" s="125" t="e">
        <f>+FP574/FP556*100</f>
        <v>#DIV/0!</v>
      </c>
      <c r="FQ584" s="98" t="str">
        <f>IF(ISERROR((FP584/FN584-1)*100),"NA",IF(((FP584/FN584-1)*100)&gt;100,"NM",IF(((FP584/FN584-1)*100)&lt;-50,"NM",(FP584/FN584-1)*100)))</f>
        <v>NA</v>
      </c>
      <c r="FR584" s="130" t="e">
        <f>+FR574/FR556*100</f>
        <v>#DIV/0!</v>
      </c>
      <c r="FS584" s="120" t="str">
        <f>IF(ISERROR((FR584/FP584-1)*100),"NA",IF(((FR584/FP584-1)*100)&gt;100,"NM",IF(((FR584/FP584-1)*100)&lt;-50,"NM",(FR584/FP584-1)*100)))</f>
        <v>NA</v>
      </c>
      <c r="FT584" s="130" t="e">
        <f>+FT574/FT556*100</f>
        <v>#DIV/0!</v>
      </c>
      <c r="FU584" s="120" t="str">
        <f>IF(ISERROR((FT584/FR584-1)*100),"NA",IF(((FT584/FR584-1)*100)&gt;100,"NM",IF(((FT584/FR584-1)*100)&lt;-50,"NM",(FT584/FR584-1)*100)))</f>
        <v>NA</v>
      </c>
      <c r="FV584" s="130">
        <f>+FV574/FV556*100</f>
        <v>6.97251873722462</v>
      </c>
      <c r="FW584" s="98" t="str">
        <f>IF(ISERROR((FV584/FT584-1)*100),"NA",IF(((FV584/FT584-1)*100)&gt;100,"NM",IF(((FV584/FT584-1)*100)&lt;-50,"NM",(FV584/FT584-1)*100)))</f>
        <v>NA</v>
      </c>
      <c r="FX584" s="487" t="e">
        <f>+FX574/FX556*100</f>
        <v>#DIV/0!</v>
      </c>
      <c r="FY584" s="98" t="str">
        <f>IF(ISERROR((FX584/FV584-1)*100),"NA",IF(((FX584/FV584-1)*100)&gt;100,"NM",IF(((FX584/FV584-1)*100)&lt;-50,"NM",(FX584/FV584-1)*100)))</f>
        <v>NA</v>
      </c>
      <c r="FZ584" s="130" t="e">
        <f>+FZ574/FZ556*100</f>
        <v>#DIV/0!</v>
      </c>
      <c r="GA584" s="98" t="str">
        <f>IF(ISERROR((FZ584/FX584-1)*100),"NA",IF(((FZ584/FX584-1)*100)&gt;100,"NM",IF(((FZ584/FX584-1)*100)&lt;-50,"NM",(FZ584/FX584-1)*100)))</f>
        <v>NA</v>
      </c>
      <c r="GB584" s="487" t="e">
        <f>+GB574/GB556*100</f>
        <v>#DIV/0!</v>
      </c>
      <c r="GC584" s="98" t="str">
        <f>IF(ISERROR((GB584/FZ584-1)*100),"NA",IF(((GB584/FZ584-1)*100)&gt;100,"NM",IF(((GB584/FZ584-1)*100)&lt;-50,"NM",(GB584/FZ584-1)*100)))</f>
        <v>NA</v>
      </c>
      <c r="GD584" s="130" t="e">
        <f>+GD574/GD556*100</f>
        <v>#DIV/0!</v>
      </c>
      <c r="GE584" s="98" t="str">
        <f>IF(ISERROR((GD584/GB584-1)*100),"NA",IF(((GD584/GB584-1)*100)&gt;100,"NM",IF(((GD584/GB584-1)*100)&lt;-50,"NM",(GD584/GB584-1)*100)))</f>
        <v>NA</v>
      </c>
      <c r="GF584" s="130" t="e">
        <f>+GF574/GF556*100</f>
        <v>#DIV/0!</v>
      </c>
      <c r="GG584" s="98" t="str">
        <f>IF(ISERROR((GF584/GD584-1)*100),"NA",IF(((GF584/GD584-1)*100)&gt;100,"NM",IF(((GF584/GD584-1)*100)&lt;-50,"NM",(GF584/GD584-1)*100)))</f>
        <v>NA</v>
      </c>
      <c r="GH584" s="130" t="e">
        <f>+GH574/GH556*100</f>
        <v>#DIV/0!</v>
      </c>
      <c r="GI584" s="98" t="str">
        <f>IF(ISERROR((GH584/GF584-1)*100),"NA",IF(((GH584/GF584-1)*100)&gt;100,"NM",IF(((GH584/GF584-1)*100)&lt;-50,"NM",(GH584/GF584-1)*100)))</f>
        <v>NA</v>
      </c>
      <c r="GJ584" s="130" t="e">
        <f>+GJ574/GJ556*100</f>
        <v>#DIV/0!</v>
      </c>
      <c r="GK584" s="98" t="str">
        <f>IF(ISERROR((GJ584/GH584-1)*100),"NA",IF(((GJ584/GH584-1)*100)&gt;100,"NM",IF(((GJ584/GH584-1)*100)&lt;-50,"NM",(GJ584/GH584-1)*100)))</f>
        <v>NA</v>
      </c>
      <c r="GL584" s="130" t="e">
        <f>+GL574/GL556*100</f>
        <v>#DIV/0!</v>
      </c>
      <c r="GM584" s="98" t="str">
        <f>IF(ISERROR((GL584/GJ584-1)*100),"NA",IF(((GL584/GJ584-1)*100)&gt;100,"NM",IF(((GL584/GJ584-1)*100)&lt;-50,"NM",(GL584/GJ584-1)*100)))</f>
        <v>NA</v>
      </c>
      <c r="GN584" s="130" t="e">
        <f>+GN574/GN556*100</f>
        <v>#DIV/0!</v>
      </c>
      <c r="GO584" s="98" t="str">
        <f>IF(ISERROR((GN584/GL584-1)*100),"NA",IF(((GN584/GL584-1)*100)&gt;100,"NM",IF(((GN584/GL584-1)*100)&lt;-50,"NM",(GN584/GL584-1)*100)))</f>
        <v>NA</v>
      </c>
      <c r="GP584" s="130"/>
      <c r="GQ584" s="98" t="str">
        <f>IF(ISERROR((GP584/GN584-1)*100),"NA",IF(((GP584/GN584-1)*100)&gt;100,"NM",IF(((GP584/GN584-1)*100)&lt;-50,"NM",(GP584/GN584-1)*100)))</f>
        <v>NA</v>
      </c>
      <c r="GR584" s="125"/>
      <c r="GS584" s="98" t="str">
        <f>IF(ISERROR((GR584/GP584-1)*100),"NA",IF(((GR584/GP584-1)*100)&gt;100,"NM",IF(((GR584/GP584-1)*100)&lt;-50,"NM",(GR584/GP584-1)*100)))</f>
        <v>NA</v>
      </c>
      <c r="GT584" s="125"/>
      <c r="GU584" s="98"/>
      <c r="GV584" s="125"/>
      <c r="GW584" s="98" t="str">
        <f>IF(ISERROR((GV584/GT584-1)*100),"NA",IF(((GV584/GT584-1)*100)&gt;100,"NM",IF(((GV584/GT584-1)*100)&lt;-50,"NM",(GV584/GT584-1)*100)))</f>
        <v>NA</v>
      </c>
      <c r="GX584" s="125"/>
      <c r="GY584" s="98" t="str">
        <f>IF(ISERROR((GX584/GV584-1)*100),"NA",IF(((GX584/GV584-1)*100)&gt;100,"NM",IF(((GX584/GV584-1)*100)&lt;-50,"NM",(GX584/GV584-1)*100)))</f>
        <v>NA</v>
      </c>
      <c r="GZ584" s="98" t="str">
        <f>IF(ISERROR(((GX584/GN584)^0.2-1)*100),"NA",IF((((GX584/GN584)^0.2-1)*100)&gt;100,"NM",IF((((GX584/GN584)^0.2-1)*100)&lt;-50,"NM",((GX584/GN584)^0.2-1)*100)))</f>
        <v>NA</v>
      </c>
      <c r="HA584" s="98"/>
      <c r="HB584" s="10"/>
      <c r="HC584"/>
      <c r="HD584"/>
      <c r="HE584"/>
      <c r="HF584"/>
      <c r="HG584"/>
      <c r="HH584"/>
      <c r="HI584" s="10"/>
    </row>
    <row r="585" spans="1:217" s="2" customFormat="1" ht="12.75" hidden="1" customHeight="1" outlineLevel="1" x14ac:dyDescent="0.2">
      <c r="B585" s="91" t="s">
        <v>105</v>
      </c>
      <c r="C585" s="137"/>
      <c r="D585" s="98"/>
      <c r="E585" s="137"/>
      <c r="F585" s="98"/>
      <c r="G585" s="137"/>
      <c r="H585" s="98"/>
      <c r="I585" s="137"/>
      <c r="J585" s="98"/>
      <c r="K585" s="137"/>
      <c r="L585" s="98"/>
      <c r="M585" s="137"/>
      <c r="N585" s="98"/>
      <c r="O585" s="137"/>
      <c r="P585" s="98"/>
      <c r="Q585" s="137"/>
      <c r="R585" s="98"/>
      <c r="S585" s="137"/>
      <c r="T585" s="98"/>
      <c r="U585" s="137"/>
      <c r="V585" s="98"/>
      <c r="W585" s="137"/>
      <c r="X585" s="98"/>
      <c r="Y585" s="137"/>
      <c r="Z585" s="98"/>
      <c r="AA585" s="137"/>
      <c r="AB585" s="98"/>
      <c r="AC585" s="137"/>
      <c r="AD585" s="98"/>
      <c r="AE585" s="137"/>
      <c r="AF585" s="98"/>
      <c r="AG585" s="137"/>
      <c r="AH585" s="98"/>
      <c r="AI585" s="137"/>
      <c r="AJ585" s="98"/>
      <c r="AK585" s="137"/>
      <c r="AL585" s="98"/>
      <c r="AM585" s="137"/>
      <c r="AN585" s="98"/>
      <c r="AO585" s="137"/>
      <c r="AP585" s="98"/>
      <c r="AQ585" s="137"/>
      <c r="AR585" s="98"/>
      <c r="AS585" s="137"/>
      <c r="AT585" s="98"/>
      <c r="AU585" s="137"/>
      <c r="AV585" s="98"/>
      <c r="AW585" s="137"/>
      <c r="AX585" s="98"/>
      <c r="AY585" s="137"/>
      <c r="AZ585" s="98"/>
      <c r="BA585" s="137"/>
      <c r="BB585" s="98"/>
      <c r="BC585" s="137"/>
      <c r="BD585" s="98"/>
      <c r="BE585" s="137"/>
      <c r="BF585" s="98"/>
      <c r="BG585" s="137"/>
      <c r="BH585" s="98"/>
      <c r="BI585" s="137"/>
      <c r="BJ585" s="98"/>
      <c r="BK585" s="137"/>
      <c r="BL585" s="98"/>
      <c r="BM585" s="137"/>
      <c r="BN585" s="98"/>
      <c r="BO585" s="137"/>
      <c r="BP585" s="98"/>
      <c r="BQ585" s="137"/>
      <c r="BR585" s="98"/>
      <c r="BS585" s="137"/>
      <c r="BT585" s="98"/>
      <c r="BU585" s="137"/>
      <c r="BV585" s="98"/>
      <c r="BW585" s="137"/>
      <c r="BX585" s="98"/>
      <c r="BY585" s="137"/>
      <c r="BZ585" s="98"/>
      <c r="CA585" s="137"/>
      <c r="CB585" s="98"/>
      <c r="CC585" s="137"/>
      <c r="CD585" s="98"/>
      <c r="CE585" s="137"/>
      <c r="CF585" s="98"/>
      <c r="CG585" s="137"/>
      <c r="CH585" s="98"/>
      <c r="CI585" s="137"/>
      <c r="CJ585" s="98"/>
      <c r="CK585" s="137"/>
      <c r="CL585" s="98"/>
      <c r="CM585" s="137"/>
      <c r="CN585" s="98"/>
      <c r="CO585" s="137"/>
      <c r="CP585" s="98"/>
      <c r="CQ585" s="494"/>
      <c r="CR585" s="98"/>
      <c r="CS585" s="137"/>
      <c r="CT585" s="98"/>
      <c r="CU585" s="137"/>
      <c r="CV585" s="98"/>
      <c r="CW585" s="137"/>
      <c r="CX585" s="98"/>
      <c r="CY585" s="137"/>
      <c r="CZ585" s="98"/>
      <c r="DA585" s="137"/>
      <c r="DB585" s="98"/>
      <c r="DC585" s="137"/>
      <c r="DD585" s="98"/>
      <c r="DE585" s="137"/>
      <c r="DF585" s="98"/>
      <c r="DG585" s="137"/>
      <c r="DH585" s="98"/>
      <c r="DI585" s="137"/>
      <c r="DJ585" s="98"/>
      <c r="DK585" s="137"/>
      <c r="DL585" s="98"/>
      <c r="DM585" s="137"/>
      <c r="DN585" s="98"/>
      <c r="DO585" s="137"/>
      <c r="DP585" s="98"/>
      <c r="DQ585" s="137"/>
      <c r="DR585" s="98"/>
      <c r="DS585" s="137"/>
      <c r="DT585" s="98"/>
      <c r="DU585" s="137"/>
      <c r="DV585" s="98"/>
      <c r="DW585" s="137"/>
      <c r="DX585" s="98"/>
      <c r="DY585" s="137"/>
      <c r="DZ585" s="98"/>
      <c r="EA585" s="137"/>
      <c r="EB585" s="98"/>
      <c r="EC585" s="137"/>
      <c r="ED585" s="98"/>
      <c r="EE585" s="137"/>
      <c r="EF585" s="860"/>
      <c r="EG585" s="137"/>
      <c r="EH585" s="860"/>
      <c r="EI585" s="137"/>
      <c r="EJ585" s="860"/>
      <c r="EK585" s="137"/>
      <c r="EL585" s="860" t="str">
        <f t="shared" si="3365"/>
        <v>NA</v>
      </c>
      <c r="EM585" s="137"/>
      <c r="EN585" s="860"/>
      <c r="EO585" s="137"/>
      <c r="EP585" s="98" t="str">
        <f t="shared" si="3366"/>
        <v>NA</v>
      </c>
      <c r="EQ585" s="1033"/>
      <c r="ER585" s="98" t="str">
        <f t="shared" si="3367"/>
        <v>NA</v>
      </c>
      <c r="ES585" s="1033"/>
      <c r="ET585" s="98" t="str">
        <f t="shared" si="3368"/>
        <v>NA</v>
      </c>
      <c r="EU585" s="1033"/>
      <c r="EV585" s="98" t="str">
        <f t="shared" si="3369"/>
        <v>NA</v>
      </c>
      <c r="EW585" s="1033"/>
      <c r="EX585" s="98" t="str">
        <f t="shared" si="3370"/>
        <v>NA</v>
      </c>
      <c r="EY585" s="137"/>
      <c r="EZ585" s="594"/>
      <c r="FA585" s="405"/>
      <c r="FB585" s="200" t="s">
        <v>494</v>
      </c>
      <c r="FC585" s="98"/>
      <c r="FD585" s="137">
        <f>+FD577/FD556*100</f>
        <v>10.274669379450661</v>
      </c>
      <c r="FE585" s="98" t="str">
        <f>IF(ISERROR((FD585/FB585-1)*100),"NA",IF(((FD585/FB585-1)*100)&gt;100,"NM",IF(((FD585/FB585-1)*100)&lt;-50,"NM",(FD585/FB585-1)*100)))</f>
        <v>NA</v>
      </c>
      <c r="FF585" s="137" t="e">
        <f>+FF577/FF556*100</f>
        <v>#DIV/0!</v>
      </c>
      <c r="FG585" s="98" t="str">
        <f>IF(ISERROR((FF585/FD585-1)*100),"NA",IF(((FF585/FD585-1)*100)&gt;100,"NM",IF(((FF585/FD585-1)*100)&lt;-50,"NM",(FF585/FD585-1)*100)))</f>
        <v>NA</v>
      </c>
      <c r="FH585" s="137" t="e">
        <f>+FH577/FH556*100</f>
        <v>#DIV/0!</v>
      </c>
      <c r="FI585" s="98" t="str">
        <f>IF(ISERROR((FH585/FF585-1)*100),"NA",IF(((FH585/FF585-1)*100)&gt;100,"NM",IF(((FH585/FF585-1)*100)&lt;-50,"NM",(FH585/FF585-1)*100)))</f>
        <v>NA</v>
      </c>
      <c r="FJ585" s="137" t="e">
        <f>+FJ577/FJ556*100</f>
        <v>#DIV/0!</v>
      </c>
      <c r="FK585" s="98" t="str">
        <f>IF(ISERROR((FJ585/FH585-1)*100),"NA",IF(((FJ585/FH585-1)*100)&gt;100,"NM",IF(((FJ585/FH585-1)*100)&lt;-50,"NM",(FJ585/FH585-1)*100)))</f>
        <v>NA</v>
      </c>
      <c r="FL585" s="137" t="e">
        <f>+FL577/FL556*100</f>
        <v>#DIV/0!</v>
      </c>
      <c r="FM585" s="98" t="str">
        <f>IF(ISERROR((FL585/FJ585-1)*100),"NA",IF(((FL585/FJ585-1)*100)&gt;100,"NM",IF(((FL585/FJ585-1)*100)&lt;-50,"NM",(FL585/FJ585-1)*100)))</f>
        <v>NA</v>
      </c>
      <c r="FN585" s="137" t="e">
        <f>+FN577/FN556*100</f>
        <v>#DIV/0!</v>
      </c>
      <c r="FO585" s="98" t="str">
        <f>IF(ISERROR((FN585/FL585-1)*100),"NA",IF(((FN585/FL585-1)*100)&gt;100,"NM",IF(((FN585/FL585-1)*100)&lt;-50,"NM",(FN585/FL585-1)*100)))</f>
        <v>NA</v>
      </c>
      <c r="FP585" s="137" t="e">
        <f>+FP577/FP556*100</f>
        <v>#DIV/0!</v>
      </c>
      <c r="FQ585" s="98" t="str">
        <f>IF(ISERROR((FP585/FN585-1)*100),"NA",IF(((FP585/FN585-1)*100)&gt;100,"NM",IF(((FP585/FN585-1)*100)&lt;-50,"NM",(FP585/FN585-1)*100)))</f>
        <v>NA</v>
      </c>
      <c r="FR585" s="106" t="e">
        <f>+FR577/FR556*100</f>
        <v>#DIV/0!</v>
      </c>
      <c r="FS585" s="120" t="str">
        <f>IF(ISERROR((FR585/FP585-1)*100),"NA",IF(((FR585/FP585-1)*100)&gt;100,"NM",IF(((FR585/FP585-1)*100)&lt;-50,"NM",(FR585/FP585-1)*100)))</f>
        <v>NA</v>
      </c>
      <c r="FT585" s="106" t="e">
        <f>+FT577/FT556*100</f>
        <v>#DIV/0!</v>
      </c>
      <c r="FU585" s="120" t="str">
        <f>IF(ISERROR((FT585/FR585-1)*100),"NA",IF(((FT585/FR585-1)*100)&gt;100,"NM",IF(((FT585/FR585-1)*100)&lt;-50,"NM",(FT585/FR585-1)*100)))</f>
        <v>NA</v>
      </c>
      <c r="FV585" s="106">
        <f>+FV577/FV556*100</f>
        <v>4.7240517828753124</v>
      </c>
      <c r="FW585" s="98" t="str">
        <f>IF(ISERROR((FV585/FT585-1)*100),"NA",IF(((FV585/FT585-1)*100)&gt;100,"NM",IF(((FV585/FT585-1)*100)&lt;-50,"NM",(FV585/FT585-1)*100)))</f>
        <v>NA</v>
      </c>
      <c r="FX585" s="483" t="e">
        <f>+FX577/FX556*100</f>
        <v>#DIV/0!</v>
      </c>
      <c r="FY585" s="98" t="str">
        <f>IF(ISERROR((FX585/FV585-1)*100),"NA",IF(((FX585/FV585-1)*100)&gt;100,"NM",IF(((FX585/FV585-1)*100)&lt;-50,"NM",(FX585/FV585-1)*100)))</f>
        <v>NA</v>
      </c>
      <c r="FZ585" s="106" t="e">
        <f>+FZ577/FZ556*100</f>
        <v>#DIV/0!</v>
      </c>
      <c r="GA585" s="98" t="str">
        <f>IF(ISERROR((FZ585/FX585-1)*100),"NA",IF(((FZ585/FX585-1)*100)&gt;100,"NM",IF(((FZ585/FX585-1)*100)&lt;-50,"NM",(FZ585/FX585-1)*100)))</f>
        <v>NA</v>
      </c>
      <c r="GB585" s="483" t="e">
        <f>+GB577/GB556*100</f>
        <v>#DIV/0!</v>
      </c>
      <c r="GC585" s="98" t="str">
        <f>IF(ISERROR((GB585/FZ585-1)*100),"NA",IF(((GB585/FZ585-1)*100)&gt;100,"NM",IF(((GB585/FZ585-1)*100)&lt;-50,"NM",(GB585/FZ585-1)*100)))</f>
        <v>NA</v>
      </c>
      <c r="GD585" s="106" t="e">
        <f>+GD577/GD556*100</f>
        <v>#DIV/0!</v>
      </c>
      <c r="GE585" s="98" t="str">
        <f>IF(ISERROR((GD585/GB585-1)*100),"NA",IF(((GD585/GB585-1)*100)&gt;100,"NM",IF(((GD585/GB585-1)*100)&lt;-50,"NM",(GD585/GB585-1)*100)))</f>
        <v>NA</v>
      </c>
      <c r="GF585" s="106" t="e">
        <f>+GF577/GF556*100</f>
        <v>#DIV/0!</v>
      </c>
      <c r="GG585" s="98" t="str">
        <f>IF(ISERROR((GF585/GD585-1)*100),"NA",IF(((GF585/GD585-1)*100)&gt;100,"NM",IF(((GF585/GD585-1)*100)&lt;-50,"NM",(GF585/GD585-1)*100)))</f>
        <v>NA</v>
      </c>
      <c r="GH585" s="106" t="e">
        <f>+GH577/GH556*100</f>
        <v>#DIV/0!</v>
      </c>
      <c r="GI585" s="98" t="str">
        <f>IF(ISERROR((GH585/GF585-1)*100),"NA",IF(((GH585/GF585-1)*100)&gt;100,"NM",IF(((GH585/GF585-1)*100)&lt;-50,"NM",(GH585/GF585-1)*100)))</f>
        <v>NA</v>
      </c>
      <c r="GJ585" s="106" t="e">
        <f>+GJ577/GJ556*100</f>
        <v>#DIV/0!</v>
      </c>
      <c r="GK585" s="98" t="str">
        <f>IF(ISERROR((GJ585/GH585-1)*100),"NA",IF(((GJ585/GH585-1)*100)&gt;100,"NM",IF(((GJ585/GH585-1)*100)&lt;-50,"NM",(GJ585/GH585-1)*100)))</f>
        <v>NA</v>
      </c>
      <c r="GL585" s="106" t="e">
        <f>+GL577/GL556*100</f>
        <v>#DIV/0!</v>
      </c>
      <c r="GM585" s="98" t="str">
        <f>IF(ISERROR((GL585/GJ585-1)*100),"NA",IF(((GL585/GJ585-1)*100)&gt;100,"NM",IF(((GL585/GJ585-1)*100)&lt;-50,"NM",(GL585/GJ585-1)*100)))</f>
        <v>NA</v>
      </c>
      <c r="GN585" s="106" t="e">
        <f>+GN577/GN556*100</f>
        <v>#DIV/0!</v>
      </c>
      <c r="GO585" s="98" t="str">
        <f>IF(ISERROR((GN585/GL585-1)*100),"NA",IF(((GN585/GL585-1)*100)&gt;100,"NM",IF(((GN585/GL585-1)*100)&lt;-50,"NM",(GN585/GL585-1)*100)))</f>
        <v>NA</v>
      </c>
      <c r="GP585" s="106"/>
      <c r="GQ585" s="98" t="str">
        <f>IF(ISERROR((GP585/GN585-1)*100),"NA",IF(((GP585/GN585-1)*100)&gt;100,"NM",IF(((GP585/GN585-1)*100)&lt;-50,"NM",(GP585/GN585-1)*100)))</f>
        <v>NA</v>
      </c>
      <c r="GR585" s="137"/>
      <c r="GS585" s="98" t="str">
        <f>IF(ISERROR((GR585/GP585-1)*100),"NA",IF(((GR585/GP585-1)*100)&gt;100,"NM",IF(((GR585/GP585-1)*100)&lt;-50,"NM",(GR585/GP585-1)*100)))</f>
        <v>NA</v>
      </c>
      <c r="GT585" s="137"/>
      <c r="GU585" s="98"/>
      <c r="GV585" s="137"/>
      <c r="GW585" s="98" t="str">
        <f>IF(ISERROR((GV585/GT585-1)*100),"NA",IF(((GV585/GT585-1)*100)&gt;100,"NM",IF(((GV585/GT585-1)*100)&lt;-50,"NM",(GV585/GT585-1)*100)))</f>
        <v>NA</v>
      </c>
      <c r="GX585" s="137"/>
      <c r="GY585" s="98" t="str">
        <f>IF(ISERROR((GX585/GV585-1)*100),"NA",IF(((GX585/GV585-1)*100)&gt;100,"NM",IF(((GX585/GV585-1)*100)&lt;-50,"NM",(GX585/GV585-1)*100)))</f>
        <v>NA</v>
      </c>
      <c r="GZ585" s="98" t="str">
        <f>IF(ISERROR(((GX585/GN585)^0.2-1)*100),"NA",IF((((GX585/GN585)^0.2-1)*100)&gt;100,"NM",IF((((GX585/GN585)^0.2-1)*100)&lt;-50,"NM",((GX585/GN585)^0.2-1)*100)))</f>
        <v>NA</v>
      </c>
      <c r="HA585" s="98"/>
      <c r="HB585" s="10"/>
      <c r="HC585"/>
      <c r="HD585"/>
      <c r="HE585"/>
      <c r="HF585"/>
      <c r="HG585"/>
      <c r="HH585"/>
      <c r="HI585" s="10"/>
    </row>
    <row r="586" spans="1:217" s="10" customFormat="1" ht="12.75" customHeight="1" collapsed="1" x14ac:dyDescent="0.2">
      <c r="B586" s="208"/>
      <c r="C586" s="204"/>
      <c r="D586" s="98"/>
      <c r="E586" s="204"/>
      <c r="F586" s="98"/>
      <c r="G586" s="204"/>
      <c r="H586" s="98"/>
      <c r="I586" s="204"/>
      <c r="J586" s="98"/>
      <c r="K586" s="204"/>
      <c r="L586" s="98"/>
      <c r="M586" s="204"/>
      <c r="N586" s="98"/>
      <c r="O586" s="204"/>
      <c r="P586" s="98"/>
      <c r="Q586" s="204"/>
      <c r="R586" s="98"/>
      <c r="S586" s="204"/>
      <c r="T586" s="98"/>
      <c r="U586" s="204"/>
      <c r="V586" s="98"/>
      <c r="W586" s="204"/>
      <c r="X586" s="98"/>
      <c r="Y586" s="204"/>
      <c r="Z586" s="98"/>
      <c r="AA586" s="204"/>
      <c r="AB586" s="98"/>
      <c r="AC586" s="204"/>
      <c r="AD586" s="98"/>
      <c r="AE586" s="204"/>
      <c r="AF586" s="98"/>
      <c r="AG586" s="204"/>
      <c r="AH586" s="98"/>
      <c r="AI586" s="204"/>
      <c r="AJ586" s="98"/>
      <c r="AK586" s="204"/>
      <c r="AL586" s="98"/>
      <c r="AM586" s="204"/>
      <c r="AN586" s="98"/>
      <c r="AO586" s="204"/>
      <c r="AP586" s="98"/>
      <c r="AQ586" s="204"/>
      <c r="AR586" s="98"/>
      <c r="AS586" s="204"/>
      <c r="AT586" s="98"/>
      <c r="AU586" s="309"/>
      <c r="AV586" s="98"/>
      <c r="AW586" s="309"/>
      <c r="AX586" s="98"/>
      <c r="AY586" s="309"/>
      <c r="AZ586" s="98"/>
      <c r="BA586" s="309"/>
      <c r="BB586" s="98"/>
      <c r="BC586" s="309"/>
      <c r="BD586" s="98"/>
      <c r="BE586" s="309"/>
      <c r="BF586" s="98"/>
      <c r="BG586" s="309"/>
      <c r="BH586" s="98"/>
      <c r="BI586" s="309"/>
      <c r="BJ586" s="98"/>
      <c r="BK586" s="309"/>
      <c r="BL586" s="98"/>
      <c r="BM586" s="309"/>
      <c r="BN586" s="98"/>
      <c r="BO586" s="309"/>
      <c r="BP586" s="98"/>
      <c r="BQ586" s="309"/>
      <c r="BR586" s="98"/>
      <c r="BS586" s="309"/>
      <c r="BT586" s="98"/>
      <c r="BU586" s="309"/>
      <c r="BV586" s="98"/>
      <c r="BW586" s="309"/>
      <c r="BX586" s="98"/>
      <c r="BY586" s="309"/>
      <c r="BZ586" s="98"/>
      <c r="CA586" s="309"/>
      <c r="CB586" s="98"/>
      <c r="CC586" s="309"/>
      <c r="CD586" s="98"/>
      <c r="CE586" s="309"/>
      <c r="CF586" s="98"/>
      <c r="CG586" s="309"/>
      <c r="CH586" s="98"/>
      <c r="CI586" s="309"/>
      <c r="CJ586" s="98"/>
      <c r="CK586" s="309"/>
      <c r="CL586" s="98"/>
      <c r="CM586" s="309"/>
      <c r="CN586" s="98"/>
      <c r="CO586" s="309"/>
      <c r="CP586" s="98"/>
      <c r="CQ586" s="563"/>
      <c r="CR586" s="98"/>
      <c r="CS586" s="309"/>
      <c r="CT586" s="98"/>
      <c r="CU586" s="309"/>
      <c r="CV586" s="98"/>
      <c r="CW586" s="309"/>
      <c r="CX586" s="98"/>
      <c r="CY586" s="309"/>
      <c r="CZ586" s="98"/>
      <c r="DA586" s="309"/>
      <c r="DB586" s="98"/>
      <c r="DC586" s="309"/>
      <c r="DD586" s="98"/>
      <c r="DE586" s="309"/>
      <c r="DF586" s="98"/>
      <c r="DG586" s="309"/>
      <c r="DH586" s="98"/>
      <c r="DI586" s="309"/>
      <c r="DJ586" s="98"/>
      <c r="DK586" s="309"/>
      <c r="DL586" s="98"/>
      <c r="DM586" s="309"/>
      <c r="DN586" s="98"/>
      <c r="DO586" s="309"/>
      <c r="DP586" s="98"/>
      <c r="DQ586" s="309"/>
      <c r="DR586" s="98"/>
      <c r="DS586" s="309"/>
      <c r="DT586" s="98"/>
      <c r="DU586" s="309"/>
      <c r="DV586" s="98"/>
      <c r="DW586" s="309"/>
      <c r="DX586" s="98"/>
      <c r="DY586" s="309"/>
      <c r="DZ586" s="98"/>
      <c r="EA586" s="309"/>
      <c r="EB586" s="98"/>
      <c r="EC586" s="309"/>
      <c r="ED586" s="98"/>
      <c r="EE586" s="309"/>
      <c r="EF586" s="860"/>
      <c r="EG586" s="309"/>
      <c r="EH586" s="860"/>
      <c r="EI586" s="309"/>
      <c r="EJ586" s="860"/>
      <c r="EK586" s="309"/>
      <c r="EL586" s="860"/>
      <c r="EM586" s="309"/>
      <c r="EN586" s="860"/>
      <c r="EO586" s="309"/>
      <c r="EP586" s="98"/>
      <c r="EQ586" s="1028"/>
      <c r="ER586" s="98"/>
      <c r="ES586" s="1028"/>
      <c r="ET586" s="98"/>
      <c r="EU586" s="1028"/>
      <c r="EV586" s="98"/>
      <c r="EW586" s="1028"/>
      <c r="EX586" s="98"/>
      <c r="EY586" s="204"/>
      <c r="EZ586" s="594"/>
      <c r="FA586" s="405"/>
      <c r="FB586" s="150"/>
      <c r="FC586" s="98"/>
      <c r="FD586" s="118"/>
      <c r="FE586" s="98"/>
      <c r="FF586" s="118"/>
      <c r="FG586" s="98"/>
      <c r="FH586" s="183"/>
      <c r="FI586" s="98"/>
      <c r="FJ586" s="183"/>
      <c r="FK586" s="98"/>
      <c r="FL586" s="183"/>
      <c r="FM586" s="98"/>
      <c r="FN586" s="183"/>
      <c r="FO586" s="98"/>
      <c r="FP586" s="118"/>
      <c r="FQ586" s="98"/>
      <c r="FR586" s="205"/>
      <c r="FS586" s="120"/>
      <c r="FT586" s="205"/>
      <c r="FU586" s="120"/>
      <c r="FV586" s="205"/>
      <c r="FW586" s="98"/>
      <c r="FX586" s="503"/>
      <c r="FY586" s="98"/>
      <c r="FZ586" s="205"/>
      <c r="GA586" s="98"/>
      <c r="GB586" s="503"/>
      <c r="GC586" s="98"/>
      <c r="GD586" s="205"/>
      <c r="GE586" s="98"/>
      <c r="GF586" s="205"/>
      <c r="GG586" s="98"/>
      <c r="GH586" s="205"/>
      <c r="GI586" s="98"/>
      <c r="GJ586" s="205"/>
      <c r="GK586" s="98"/>
      <c r="GL586" s="205"/>
      <c r="GM586" s="98"/>
      <c r="GN586" s="205"/>
      <c r="GO586" s="98"/>
      <c r="GP586" s="205"/>
      <c r="GQ586" s="98"/>
      <c r="GR586" s="204"/>
      <c r="GS586" s="98"/>
      <c r="GT586" s="204"/>
      <c r="GU586" s="98"/>
      <c r="GV586" s="204"/>
      <c r="GW586" s="98"/>
      <c r="GX586" s="204"/>
      <c r="GY586" s="98"/>
      <c r="GZ586" s="98"/>
      <c r="HA586" s="98"/>
      <c r="HC586"/>
      <c r="HD586"/>
      <c r="HE586"/>
      <c r="HF586"/>
      <c r="HG586"/>
      <c r="HH586"/>
    </row>
    <row r="587" spans="1:217" s="708" customFormat="1" ht="12.75" customHeight="1" collapsed="1" x14ac:dyDescent="0.2">
      <c r="B587" s="709" t="s">
        <v>699</v>
      </c>
      <c r="C587" s="710"/>
      <c r="D587" s="710"/>
      <c r="E587" s="710"/>
      <c r="F587" s="710"/>
      <c r="G587" s="710"/>
      <c r="H587" s="710"/>
      <c r="I587" s="710"/>
      <c r="J587" s="710"/>
      <c r="K587" s="710"/>
      <c r="L587" s="710"/>
      <c r="M587" s="710"/>
      <c r="N587" s="710"/>
      <c r="O587" s="710"/>
      <c r="P587" s="710"/>
      <c r="Q587" s="710"/>
      <c r="R587" s="710"/>
      <c r="S587" s="710"/>
      <c r="T587" s="710"/>
      <c r="U587" s="710"/>
      <c r="V587" s="710"/>
      <c r="W587" s="710"/>
      <c r="X587" s="710"/>
      <c r="Y587" s="710"/>
      <c r="Z587" s="710"/>
      <c r="AA587" s="710"/>
      <c r="AB587" s="710"/>
      <c r="AC587" s="710"/>
      <c r="AD587" s="710"/>
      <c r="AE587" s="710"/>
      <c r="AF587" s="710"/>
      <c r="AG587" s="710"/>
      <c r="AH587" s="710"/>
      <c r="AI587" s="710"/>
      <c r="AJ587" s="710"/>
      <c r="AK587" s="710"/>
      <c r="AL587" s="710"/>
      <c r="AM587" s="710"/>
      <c r="AN587" s="710"/>
      <c r="AO587" s="710"/>
      <c r="AP587" s="710"/>
      <c r="AQ587" s="710"/>
      <c r="AR587" s="710"/>
      <c r="AS587" s="710"/>
      <c r="AT587" s="710"/>
      <c r="AU587" s="710"/>
      <c r="AV587" s="710"/>
      <c r="AW587" s="710"/>
      <c r="AX587" s="710"/>
      <c r="AY587" s="710"/>
      <c r="AZ587" s="710"/>
      <c r="BA587" s="710"/>
      <c r="BB587" s="710"/>
      <c r="BC587" s="710"/>
      <c r="BD587" s="710"/>
      <c r="BE587" s="710"/>
      <c r="BF587" s="710"/>
      <c r="BG587" s="710"/>
      <c r="BH587" s="710"/>
      <c r="BI587" s="710"/>
      <c r="BJ587" s="710"/>
      <c r="BK587" s="710"/>
      <c r="BL587" s="710"/>
      <c r="BM587" s="710"/>
      <c r="BN587" s="710"/>
      <c r="BO587" s="710"/>
      <c r="BP587" s="710"/>
      <c r="BQ587" s="710"/>
      <c r="BR587" s="710"/>
      <c r="BS587" s="711"/>
      <c r="BT587" s="710"/>
      <c r="BU587" s="711"/>
      <c r="BV587" s="710"/>
      <c r="BW587" s="711"/>
      <c r="BX587" s="710"/>
      <c r="BY587" s="711"/>
      <c r="BZ587" s="710"/>
      <c r="CA587" s="711"/>
      <c r="CB587" s="710"/>
      <c r="CC587" s="711"/>
      <c r="CD587" s="710"/>
      <c r="CE587" s="711"/>
      <c r="CF587" s="710"/>
      <c r="CG587" s="711"/>
      <c r="CH587" s="710"/>
      <c r="CI587" s="711"/>
      <c r="CJ587" s="710"/>
      <c r="CK587" s="711"/>
      <c r="CL587" s="710"/>
      <c r="CM587" s="711"/>
      <c r="CN587" s="710"/>
      <c r="CO587" s="711"/>
      <c r="CP587" s="710"/>
      <c r="CQ587" s="711"/>
      <c r="CR587" s="710"/>
      <c r="CS587" s="711"/>
      <c r="CT587" s="710"/>
      <c r="CU587" s="711"/>
      <c r="CV587" s="710"/>
      <c r="CW587" s="711"/>
      <c r="CX587" s="710"/>
      <c r="CY587" s="711"/>
      <c r="CZ587" s="710"/>
      <c r="DA587" s="711"/>
      <c r="DB587" s="710"/>
      <c r="DC587" s="711"/>
      <c r="DD587" s="710"/>
      <c r="DE587" s="711"/>
      <c r="DF587" s="710"/>
      <c r="DG587" s="711"/>
      <c r="DH587" s="710"/>
      <c r="DI587" s="711"/>
      <c r="DJ587" s="710"/>
      <c r="DK587" s="711"/>
      <c r="DL587" s="710"/>
      <c r="DM587" s="711"/>
      <c r="DN587" s="710"/>
      <c r="DO587" s="711"/>
      <c r="DP587" s="710"/>
      <c r="DQ587" s="711"/>
      <c r="DR587" s="710"/>
      <c r="DS587" s="711"/>
      <c r="DT587" s="710"/>
      <c r="DU587" s="711"/>
      <c r="DV587" s="710"/>
      <c r="DW587" s="711"/>
      <c r="DX587" s="710"/>
      <c r="DY587" s="711"/>
      <c r="DZ587" s="710"/>
      <c r="EA587" s="711"/>
      <c r="EB587" s="710"/>
      <c r="EC587" s="711"/>
      <c r="ED587" s="711"/>
      <c r="EE587" s="711"/>
      <c r="EF587" s="711"/>
      <c r="EG587" s="711"/>
      <c r="EH587" s="711"/>
      <c r="EI587" s="711"/>
      <c r="EJ587" s="711"/>
      <c r="EK587" s="711"/>
      <c r="EL587" s="711"/>
      <c r="EM587" s="711"/>
      <c r="EN587" s="711"/>
      <c r="EO587" s="711"/>
      <c r="EP587" s="710"/>
      <c r="EQ587" s="711"/>
      <c r="ER587" s="710"/>
      <c r="ES587" s="711"/>
      <c r="ET587" s="710"/>
      <c r="EU587" s="711"/>
      <c r="EV587" s="710"/>
      <c r="EW587" s="711"/>
      <c r="EX587" s="710"/>
      <c r="EY587" s="712"/>
      <c r="EZ587" s="713"/>
      <c r="FA587" s="714"/>
      <c r="FB587" s="711"/>
      <c r="FC587" s="710"/>
      <c r="FD587" s="711"/>
      <c r="FE587" s="710"/>
      <c r="FF587" s="712"/>
      <c r="FG587" s="710"/>
      <c r="FH587" s="712"/>
      <c r="FI587" s="710"/>
      <c r="FJ587" s="712"/>
      <c r="FK587" s="710"/>
      <c r="FL587" s="712"/>
      <c r="FM587" s="710"/>
      <c r="FN587" s="712"/>
      <c r="FO587" s="710"/>
      <c r="FP587" s="712"/>
      <c r="FQ587" s="710"/>
      <c r="FR587" s="712"/>
      <c r="FS587" s="715"/>
      <c r="FT587" s="712"/>
      <c r="FU587" s="715"/>
      <c r="FV587" s="712"/>
      <c r="FW587" s="710"/>
      <c r="FX587" s="716"/>
      <c r="FY587" s="710"/>
      <c r="FZ587" s="712"/>
      <c r="GA587" s="710"/>
      <c r="GB587" s="716"/>
      <c r="GC587" s="710"/>
      <c r="GD587" s="712"/>
      <c r="GE587" s="710"/>
      <c r="GF587" s="712"/>
      <c r="GG587" s="710"/>
      <c r="GH587" s="712"/>
      <c r="GI587" s="710"/>
      <c r="GJ587" s="712"/>
      <c r="GK587" s="710"/>
      <c r="GL587" s="712"/>
      <c r="GM587" s="710"/>
      <c r="GN587" s="712"/>
      <c r="GO587" s="710"/>
      <c r="GP587" s="712"/>
      <c r="GQ587" s="710"/>
      <c r="GR587" s="712"/>
      <c r="GS587" s="710"/>
      <c r="GT587" s="712"/>
      <c r="GU587" s="710"/>
      <c r="GV587" s="712"/>
      <c r="GW587" s="710"/>
      <c r="GX587" s="712"/>
      <c r="GY587" s="710"/>
      <c r="GZ587" s="710"/>
      <c r="HA587" s="710"/>
      <c r="HC587"/>
      <c r="HD587"/>
      <c r="HE587"/>
      <c r="HF587"/>
      <c r="HG587"/>
      <c r="HH587"/>
    </row>
    <row r="588" spans="1:217" s="10" customFormat="1" ht="12.75" customHeight="1" x14ac:dyDescent="0.2">
      <c r="B588" s="310"/>
      <c r="C588" s="94"/>
      <c r="D588" s="92"/>
      <c r="E588" s="94"/>
      <c r="F588" s="92"/>
      <c r="G588" s="94"/>
      <c r="H588" s="92"/>
      <c r="I588" s="94"/>
      <c r="J588" s="92"/>
      <c r="K588" s="94"/>
      <c r="L588" s="92"/>
      <c r="M588" s="94"/>
      <c r="N588" s="92"/>
      <c r="O588" s="94"/>
      <c r="P588" s="92"/>
      <c r="Q588" s="94"/>
      <c r="R588" s="92"/>
      <c r="S588" s="94"/>
      <c r="T588" s="92"/>
      <c r="U588" s="94"/>
      <c r="V588" s="92"/>
      <c r="W588" s="94"/>
      <c r="X588" s="92"/>
      <c r="Y588" s="94"/>
      <c r="Z588" s="92"/>
      <c r="AA588" s="94"/>
      <c r="AB588" s="92"/>
      <c r="AC588" s="94"/>
      <c r="AD588" s="92"/>
      <c r="AE588" s="94"/>
      <c r="AF588" s="92"/>
      <c r="AG588" s="94"/>
      <c r="AH588" s="92"/>
      <c r="AI588" s="94"/>
      <c r="AJ588" s="92"/>
      <c r="AK588" s="94"/>
      <c r="AL588" s="92"/>
      <c r="AM588" s="94"/>
      <c r="AN588" s="92"/>
      <c r="AO588" s="94"/>
      <c r="AP588" s="92"/>
      <c r="AQ588" s="94"/>
      <c r="AR588" s="92"/>
      <c r="AS588" s="94"/>
      <c r="AT588" s="92"/>
      <c r="AU588" s="94"/>
      <c r="AV588" s="92"/>
      <c r="AW588" s="94"/>
      <c r="AX588" s="92"/>
      <c r="AY588" s="94"/>
      <c r="AZ588" s="92"/>
      <c r="BA588" s="94"/>
      <c r="BB588" s="92"/>
      <c r="BC588" s="94"/>
      <c r="BD588" s="92"/>
      <c r="BE588" s="94"/>
      <c r="BF588" s="92"/>
      <c r="BG588" s="94"/>
      <c r="BH588" s="92"/>
      <c r="BI588" s="94"/>
      <c r="BJ588" s="92"/>
      <c r="BK588" s="94"/>
      <c r="BL588" s="92"/>
      <c r="BM588" s="94"/>
      <c r="BN588" s="92"/>
      <c r="BO588" s="94"/>
      <c r="BP588" s="92"/>
      <c r="BQ588" s="94"/>
      <c r="BR588" s="92"/>
      <c r="BS588" s="94"/>
      <c r="BT588" s="92"/>
      <c r="BU588" s="94"/>
      <c r="BV588" s="92"/>
      <c r="BW588" s="94"/>
      <c r="BX588" s="92"/>
      <c r="BY588" s="94"/>
      <c r="BZ588" s="92"/>
      <c r="CA588" s="94"/>
      <c r="CB588" s="92"/>
      <c r="CC588" s="94"/>
      <c r="CD588" s="92"/>
      <c r="CE588" s="94"/>
      <c r="CF588" s="92"/>
      <c r="CG588" s="94"/>
      <c r="CH588" s="92"/>
      <c r="CI588" s="94"/>
      <c r="CJ588" s="92"/>
      <c r="CK588" s="94"/>
      <c r="CL588" s="92"/>
      <c r="CM588" s="94"/>
      <c r="CN588" s="92"/>
      <c r="CO588" s="94"/>
      <c r="CP588" s="92"/>
      <c r="CQ588" s="533"/>
      <c r="CR588" s="92"/>
      <c r="CS588" s="94"/>
      <c r="CT588" s="92"/>
      <c r="CU588" s="94"/>
      <c r="CV588" s="92"/>
      <c r="CW588" s="94"/>
      <c r="CX588" s="92"/>
      <c r="CY588" s="94"/>
      <c r="CZ588" s="92"/>
      <c r="DA588" s="94"/>
      <c r="DB588" s="92"/>
      <c r="DC588" s="94"/>
      <c r="DD588" s="92"/>
      <c r="DE588" s="94"/>
      <c r="DF588" s="92"/>
      <c r="DG588" s="94"/>
      <c r="DH588" s="92"/>
      <c r="DI588" s="94"/>
      <c r="DJ588" s="92"/>
      <c r="DK588" s="94"/>
      <c r="DL588" s="92"/>
      <c r="DM588" s="94"/>
      <c r="DN588" s="92"/>
      <c r="DO588" s="94"/>
      <c r="DP588" s="92"/>
      <c r="DQ588" s="94"/>
      <c r="DR588" s="92"/>
      <c r="DS588" s="94"/>
      <c r="DT588" s="92"/>
      <c r="DU588" s="94"/>
      <c r="DV588" s="92"/>
      <c r="DW588" s="94"/>
      <c r="DX588" s="92"/>
      <c r="DY588" s="94"/>
      <c r="DZ588" s="92"/>
      <c r="EA588" s="94"/>
      <c r="EB588" s="92"/>
      <c r="EC588" s="94"/>
      <c r="ED588" s="94"/>
      <c r="EE588" s="94"/>
      <c r="EF588" s="94"/>
      <c r="EG588" s="94"/>
      <c r="EH588" s="94"/>
      <c r="EI588" s="94"/>
      <c r="EJ588" s="94"/>
      <c r="EK588" s="94"/>
      <c r="EL588" s="94"/>
      <c r="EM588" s="94"/>
      <c r="EN588" s="94"/>
      <c r="EO588" s="94"/>
      <c r="EP588" s="92"/>
      <c r="EQ588" s="94"/>
      <c r="ER588" s="92"/>
      <c r="ES588" s="94"/>
      <c r="ET588" s="92"/>
      <c r="EU588" s="94"/>
      <c r="EV588" s="92"/>
      <c r="EW588" s="94"/>
      <c r="EX588" s="92"/>
      <c r="EY588" s="95"/>
      <c r="EZ588" s="594"/>
      <c r="FA588" s="405"/>
      <c r="FB588" s="95"/>
      <c r="FC588" s="92"/>
      <c r="FD588" s="94"/>
      <c r="FE588" s="92"/>
      <c r="FF588" s="114"/>
      <c r="FG588" s="92"/>
      <c r="FH588" s="114"/>
      <c r="FI588" s="92"/>
      <c r="FJ588" s="114"/>
      <c r="FK588" s="92"/>
      <c r="FL588" s="114"/>
      <c r="FM588" s="92"/>
      <c r="FN588" s="114"/>
      <c r="FO588" s="92"/>
      <c r="FP588" s="114"/>
      <c r="FQ588" s="92"/>
      <c r="FR588" s="96"/>
      <c r="FS588" s="97"/>
      <c r="FT588" s="96"/>
      <c r="FU588" s="97"/>
      <c r="FV588" s="96"/>
      <c r="FW588" s="92"/>
      <c r="FX588" s="480"/>
      <c r="FY588" s="92"/>
      <c r="FZ588" s="96"/>
      <c r="GA588" s="92"/>
      <c r="GB588" s="480"/>
      <c r="GC588" s="92"/>
      <c r="GD588" s="96"/>
      <c r="GE588" s="92"/>
      <c r="GF588" s="96"/>
      <c r="GG588" s="92"/>
      <c r="GH588" s="96"/>
      <c r="GI588" s="92"/>
      <c r="GJ588" s="96"/>
      <c r="GK588" s="92"/>
      <c r="GL588" s="96"/>
      <c r="GM588" s="92"/>
      <c r="GN588" s="96"/>
      <c r="GO588" s="92"/>
      <c r="GP588" s="96"/>
      <c r="GQ588" s="92"/>
      <c r="GR588" s="95"/>
      <c r="GS588" s="92"/>
      <c r="GT588" s="95"/>
      <c r="GU588" s="92"/>
      <c r="GV588" s="95"/>
      <c r="GW588" s="92"/>
      <c r="GX588" s="95"/>
      <c r="GY588" s="92"/>
      <c r="GZ588" s="92"/>
      <c r="HA588" s="92"/>
      <c r="HC588"/>
      <c r="HD588"/>
      <c r="HE588"/>
      <c r="HF588"/>
      <c r="HG588"/>
      <c r="HH588"/>
    </row>
    <row r="589" spans="1:217" s="10" customFormat="1" ht="12.75" customHeight="1" x14ac:dyDescent="0.2">
      <c r="B589" s="311" t="s">
        <v>198</v>
      </c>
      <c r="C589" s="94"/>
      <c r="D589" s="92"/>
      <c r="E589" s="94"/>
      <c r="F589" s="92"/>
      <c r="G589" s="94"/>
      <c r="H589" s="92"/>
      <c r="I589" s="94"/>
      <c r="J589" s="92"/>
      <c r="K589" s="94"/>
      <c r="L589" s="92"/>
      <c r="M589" s="94"/>
      <c r="N589" s="92"/>
      <c r="O589" s="94"/>
      <c r="P589" s="92"/>
      <c r="Q589" s="94"/>
      <c r="R589" s="92"/>
      <c r="S589" s="94"/>
      <c r="T589" s="92"/>
      <c r="U589" s="94"/>
      <c r="V589" s="92"/>
      <c r="W589" s="94"/>
      <c r="X589" s="92"/>
      <c r="Y589" s="94"/>
      <c r="Z589" s="92"/>
      <c r="AA589" s="94"/>
      <c r="AB589" s="92"/>
      <c r="AC589" s="99"/>
      <c r="AD589" s="92"/>
      <c r="AE589" s="99"/>
      <c r="AF589" s="92"/>
      <c r="AG589" s="99"/>
      <c r="AH589" s="92"/>
      <c r="AI589" s="99"/>
      <c r="AJ589" s="92"/>
      <c r="AK589" s="99"/>
      <c r="AL589" s="92"/>
      <c r="AM589" s="99"/>
      <c r="AN589" s="92"/>
      <c r="AO589" s="99"/>
      <c r="AP589" s="92"/>
      <c r="AQ589" s="99"/>
      <c r="AR589" s="92"/>
      <c r="AS589" s="99"/>
      <c r="AT589" s="92"/>
      <c r="AU589" s="99"/>
      <c r="AV589" s="92"/>
      <c r="AW589" s="99"/>
      <c r="AX589" s="92"/>
      <c r="AY589" s="99"/>
      <c r="AZ589" s="92"/>
      <c r="BA589" s="99"/>
      <c r="BB589" s="92"/>
      <c r="BC589" s="99"/>
      <c r="BD589" s="92"/>
      <c r="BE589" s="99"/>
      <c r="BF589" s="92"/>
      <c r="BG589" s="99"/>
      <c r="BH589" s="92"/>
      <c r="BI589" s="99"/>
      <c r="BJ589" s="92"/>
      <c r="BK589" s="99"/>
      <c r="BL589" s="92"/>
      <c r="BM589" s="99"/>
      <c r="BN589" s="92"/>
      <c r="BO589" s="99"/>
      <c r="BP589" s="92"/>
      <c r="BQ589" s="99"/>
      <c r="BR589" s="92"/>
      <c r="BS589" s="99"/>
      <c r="BT589" s="92"/>
      <c r="BU589" s="99"/>
      <c r="BV589" s="92"/>
      <c r="BW589" s="99"/>
      <c r="BX589" s="92"/>
      <c r="BY589" s="99"/>
      <c r="BZ589" s="92"/>
      <c r="CA589" s="304"/>
      <c r="CB589" s="92"/>
      <c r="CC589" s="304"/>
      <c r="CD589" s="92"/>
      <c r="CE589" s="304"/>
      <c r="CF589" s="92"/>
      <c r="CG589" s="304"/>
      <c r="CH589" s="92"/>
      <c r="CI589" s="304"/>
      <c r="CJ589" s="92"/>
      <c r="CK589" s="304"/>
      <c r="CL589" s="92"/>
      <c r="CM589" s="304"/>
      <c r="CN589" s="92"/>
      <c r="CO589" s="304"/>
      <c r="CP589" s="92"/>
      <c r="CQ589" s="482"/>
      <c r="CR589" s="92"/>
      <c r="CS589" s="304"/>
      <c r="CT589" s="92"/>
      <c r="CU589" s="304"/>
      <c r="CV589" s="92"/>
      <c r="CW589" s="304"/>
      <c r="CX589" s="92"/>
      <c r="CY589" s="304"/>
      <c r="CZ589" s="92"/>
      <c r="DA589" s="304"/>
      <c r="DB589" s="92"/>
      <c r="DC589" s="304"/>
      <c r="DD589" s="92"/>
      <c r="DE589" s="304"/>
      <c r="DF589" s="92"/>
      <c r="DG589" s="304"/>
      <c r="DH589" s="92"/>
      <c r="DI589" s="304"/>
      <c r="DJ589" s="92"/>
      <c r="DK589" s="304"/>
      <c r="DL589" s="92"/>
      <c r="DM589" s="304"/>
      <c r="DN589" s="92"/>
      <c r="DO589" s="304"/>
      <c r="DP589" s="92"/>
      <c r="DQ589" s="304"/>
      <c r="DR589" s="92"/>
      <c r="DS589" s="304"/>
      <c r="DT589" s="92"/>
      <c r="DU589" s="304"/>
      <c r="DV589" s="92"/>
      <c r="DW589" s="304"/>
      <c r="DX589" s="92"/>
      <c r="DY589" s="304"/>
      <c r="DZ589" s="92"/>
      <c r="EA589" s="304"/>
      <c r="EB589" s="92"/>
      <c r="EC589" s="304"/>
      <c r="ED589" s="92"/>
      <c r="EE589" s="304"/>
      <c r="EF589" s="1020"/>
      <c r="EG589" s="304"/>
      <c r="EH589" s="1020"/>
      <c r="EI589" s="304"/>
      <c r="EJ589" s="1020"/>
      <c r="EK589" s="304"/>
      <c r="EL589" s="1020"/>
      <c r="EM589" s="304"/>
      <c r="EN589" s="1020"/>
      <c r="EO589" s="304"/>
      <c r="EP589" s="92"/>
      <c r="EQ589" s="789"/>
      <c r="ER589" s="92"/>
      <c r="ES589" s="789"/>
      <c r="ET589" s="92"/>
      <c r="EU589" s="789"/>
      <c r="EV589" s="92"/>
      <c r="EW589" s="789"/>
      <c r="EX589" s="92"/>
      <c r="EY589" s="95"/>
      <c r="EZ589" s="594"/>
      <c r="FA589" s="405"/>
      <c r="FB589" s="95"/>
      <c r="FC589" s="92"/>
      <c r="FD589" s="94"/>
      <c r="FE589" s="92"/>
      <c r="FF589" s="114"/>
      <c r="FG589" s="92"/>
      <c r="FH589" s="114"/>
      <c r="FI589" s="92"/>
      <c r="FJ589" s="114"/>
      <c r="FK589" s="92"/>
      <c r="FL589" s="114"/>
      <c r="FM589" s="92"/>
      <c r="FN589" s="114"/>
      <c r="FO589" s="92"/>
      <c r="FP589" s="114"/>
      <c r="FQ589" s="92"/>
      <c r="FR589" s="96"/>
      <c r="FS589" s="97"/>
      <c r="FT589" s="96"/>
      <c r="FU589" s="97"/>
      <c r="FV589" s="96"/>
      <c r="FW589" s="92"/>
      <c r="FX589" s="480"/>
      <c r="FY589" s="92"/>
      <c r="FZ589" s="96"/>
      <c r="GA589" s="92"/>
      <c r="GB589" s="480"/>
      <c r="GC589" s="92"/>
      <c r="GD589" s="96"/>
      <c r="GE589" s="92"/>
      <c r="GF589" s="96"/>
      <c r="GG589" s="92"/>
      <c r="GH589" s="96"/>
      <c r="GI589" s="92"/>
      <c r="GJ589" s="96"/>
      <c r="GK589" s="92"/>
      <c r="GL589" s="96"/>
      <c r="GM589" s="92"/>
      <c r="GN589" s="96"/>
      <c r="GO589" s="92"/>
      <c r="GP589" s="96"/>
      <c r="GQ589" s="92"/>
      <c r="GR589" s="95"/>
      <c r="GS589" s="92"/>
      <c r="GT589" s="95"/>
      <c r="GU589" s="92"/>
      <c r="GV589" s="95"/>
      <c r="GW589" s="92"/>
      <c r="GX589" s="95"/>
      <c r="GY589" s="92"/>
      <c r="GZ589" s="92"/>
      <c r="HA589" s="92"/>
      <c r="HC589"/>
      <c r="HD589"/>
      <c r="HE589"/>
      <c r="HF589"/>
      <c r="HG589"/>
      <c r="HH589"/>
    </row>
    <row r="590" spans="1:217" s="10" customFormat="1" ht="12.75" customHeight="1" x14ac:dyDescent="0.2">
      <c r="B590" s="310" t="s">
        <v>171</v>
      </c>
      <c r="C590" s="94">
        <v>3861</v>
      </c>
      <c r="D590" s="94"/>
      <c r="E590" s="94">
        <v>4118</v>
      </c>
      <c r="F590" s="92"/>
      <c r="G590" s="94">
        <v>3962</v>
      </c>
      <c r="H590" s="92"/>
      <c r="I590" s="94">
        <v>4369</v>
      </c>
      <c r="J590" s="98"/>
      <c r="K590" s="94">
        <v>4234</v>
      </c>
      <c r="L590" s="98">
        <f>IF(ISERROR((K590/C590-1)*100),"NA",IF(((K590/C590-1)*100)&gt;100,"NM",IF(((K590/C590-1)*100)&lt;-50,"NM",(K590/C590-1)*100)))</f>
        <v>9.6607096607096654</v>
      </c>
      <c r="M590" s="94">
        <v>4119</v>
      </c>
      <c r="N590" s="98">
        <f>IF(ISERROR((M590/E590-1)*100),"NA",IF(((M590/E590-1)*100)&gt;100,"NM",IF(((M590/E590-1)*100)&lt;-50,"NM",(M590/E590-1)*100)))</f>
        <v>2.4283632831467727E-2</v>
      </c>
      <c r="O590" s="94">
        <v>4283</v>
      </c>
      <c r="P590" s="98">
        <f>IF(ISERROR((O590/G590-1)*100),"NA",IF(((O590/G590-1)*100)&gt;100,"NM",IF(((O590/G590-1)*100)&lt;-50,"NM",(O590/G590-1)*100)))</f>
        <v>8.1019687026754106</v>
      </c>
      <c r="Q590" s="94">
        <v>4575</v>
      </c>
      <c r="R590" s="98">
        <f>IF(ISERROR((Q590/I590-1)*100),"NA",IF(((Q590/I590-1)*100)&gt;100,"NM",IF(((Q590/I590-1)*100)&lt;-50,"NM",(Q590/I590-1)*100)))</f>
        <v>4.7150377660791998</v>
      </c>
      <c r="S590" s="94">
        <v>4481</v>
      </c>
      <c r="T590" s="98">
        <f>IF(ISERROR((S590/K590-1)*100),"NA",IF(((S590/K590-1)*100)&gt;100,"NM",IF(((S590/K590-1)*100)&lt;-50,"NM",(S590/K590-1)*100)))</f>
        <v>5.8337269721303819</v>
      </c>
      <c r="U590" s="94">
        <v>4701</v>
      </c>
      <c r="V590" s="98">
        <f>IF(ISERROR((U590/M590-1)*100),"NA",IF(((U590/M590-1)*100)&gt;100,"NM",IF(((U590/M590-1)*100)&lt;-50,"NM",(U590/M590-1)*100)))</f>
        <v>14.12964311726148</v>
      </c>
      <c r="W590" s="94">
        <v>4676</v>
      </c>
      <c r="X590" s="98">
        <f>IF(ISERROR((W590/O590-1)*100),"NA",IF(((W590/O590-1)*100)&gt;100,"NM",IF(((W590/O590-1)*100)&lt;-50,"NM",(W590/O590-1)*100)))</f>
        <v>9.1758113471865457</v>
      </c>
      <c r="Y590" s="94">
        <v>5228</v>
      </c>
      <c r="Z590" s="98">
        <f>IF(ISERROR((Y590/Q590-1)*100),"NA",IF(((Y590/Q590-1)*100)&gt;100,"NM",IF(((Y590/Q590-1)*100)&lt;-50,"NM",(Y590/Q590-1)*100)))</f>
        <v>14.27322404371585</v>
      </c>
      <c r="AA590" s="94">
        <v>4838</v>
      </c>
      <c r="AB590" s="98">
        <f>IF(ISERROR((AA590/S590-1)*100),"NA",IF(((AA590/S590-1)*100)&gt;100,"NM",IF(((AA590/S590-1)*100)&lt;-50,"NM",(AA590/S590-1)*100)))</f>
        <v>7.9669716581120209</v>
      </c>
      <c r="AC590" s="94">
        <v>5083</v>
      </c>
      <c r="AD590" s="98">
        <f>IF(ISERROR((AC590/U590-1)*100),"NA",IF(((AC590/U590-1)*100)&gt;100,"NM",IF(((AC590/U590-1)*100)&lt;-50,"NM",(AC590/U590-1)*100)))</f>
        <v>8.1259306530525386</v>
      </c>
      <c r="AE590" s="94">
        <v>5079</v>
      </c>
      <c r="AF590" s="98">
        <f>IF(ISERROR((AE590/W590-1)*100),"NA",IF(((AE590/W590-1)*100)&gt;100,"NM",IF(((AE590/W590-1)*100)&lt;-50,"NM",(AE590/W590-1)*100)))</f>
        <v>8.6184773310521869</v>
      </c>
      <c r="AG590" s="94">
        <v>5679</v>
      </c>
      <c r="AH590" s="98">
        <f>IF(ISERROR((AG590/Y590-1)*100),"NA",IF(((AG590/Y590-1)*100)&gt;100,"NM",IF(((AG590/Y590-1)*100)&lt;-50,"NM",(AG590/Y590-1)*100)))</f>
        <v>8.6266258607498045</v>
      </c>
      <c r="AI590" s="94">
        <v>5386</v>
      </c>
      <c r="AJ590" s="98">
        <f>IF(ISERROR((AI590/AA590-1)*100),"NA",IF(((AI590/AA590-1)*100)&gt;100,"NM",IF(((AI590/AA590-1)*100)&lt;-50,"NM",(AI590/AA590-1)*100)))</f>
        <v>11.326994625878473</v>
      </c>
      <c r="AK590" s="94">
        <v>5337</v>
      </c>
      <c r="AL590" s="98">
        <f>IF(ISERROR((AK590/AC590-1)*100),"NA",IF(((AK590/AC590-1)*100)&gt;100,"NM",IF(((AK590/AC590-1)*100)&lt;-50,"NM",(AK590/AC590-1)*100)))</f>
        <v>4.9970489868188084</v>
      </c>
      <c r="AM590" s="94">
        <v>5679</v>
      </c>
      <c r="AN590" s="98">
        <f>IF(ISERROR((AM590/AE590-1)*100),"NA",IF(((AM590/AE590-1)*100)&gt;100,"NM",IF(((AM590/AE590-1)*100)&lt;-50,"NM",(AM590/AE590-1)*100)))</f>
        <v>11.813349084465452</v>
      </c>
      <c r="AO590" s="94">
        <v>5800</v>
      </c>
      <c r="AP590" s="98">
        <f>IF(ISERROR((AO590/AG590-1)*100),"NA",IF(((AO590/AG590-1)*100)&gt;100,"NM",IF(((AO590/AG590-1)*100)&lt;-50,"NM",(AO590/AG590-1)*100)))</f>
        <v>2.1306568057756659</v>
      </c>
      <c r="AQ590" s="94">
        <v>5966</v>
      </c>
      <c r="AR590" s="98">
        <f>IF(ISERROR((AQ590/AI590-1)*100),"NA",IF(((AQ590/AI590-1)*100)&gt;100,"NM",IF(((AQ590/AI590-1)*100)&lt;-50,"NM",(AQ590/AI590-1)*100)))</f>
        <v>10.768659487560338</v>
      </c>
      <c r="AS590" s="94">
        <v>6034</v>
      </c>
      <c r="AT590" s="98">
        <f>IF(ISERROR((AS590/AK590-1)*100),"NA",IF(((AS590/AK590-1)*100)&gt;100,"NM",IF(((AS590/AK590-1)*100)&lt;-50,"NM",(AS590/AK590-1)*100)))</f>
        <v>13.059771407157573</v>
      </c>
      <c r="AU590" s="94">
        <v>6514</v>
      </c>
      <c r="AV590" s="98">
        <f>IF(ISERROR((AU590/AM590-1)*100),"NA",IF(((AU590/AM590-1)*100)&gt;100,"NM",IF(((AU590/AM590-1)*100)&lt;-50,"NM",(AU590/AM590-1)*100)))</f>
        <v>14.703292833245296</v>
      </c>
      <c r="AW590" s="94">
        <v>6346</v>
      </c>
      <c r="AX590" s="98">
        <f>IF(ISERROR((AW590/AO590-1)*100),"NA",IF(((AW590/AO590-1)*100)&gt;100,"NM",IF(((AW590/AO590-1)*100)&lt;-50,"NM",(AW590/AO590-1)*100)))</f>
        <v>9.4137931034482758</v>
      </c>
      <c r="AY590" s="94">
        <v>6428</v>
      </c>
      <c r="AZ590" s="98">
        <f>IF(ISERROR((AY590/AQ590-1)*100),"NA",IF(((AY590/AQ590-1)*100)&gt;100,"NM",IF(((AY590/AQ590-1)*100)&lt;-50,"NM",(AY590/AQ590-1)*100)))</f>
        <v>7.7438819979886109</v>
      </c>
      <c r="BA590" s="94">
        <v>6428</v>
      </c>
      <c r="BB590" s="98">
        <f>IF(ISERROR((BA590/AS590-1)*100),"NA",IF(((BA590/AS590-1)*100)&gt;100,"NM",IF(((BA590/AS590-1)*100)&lt;-50,"NM",(BA590/AS590-1)*100)))</f>
        <v>6.5296652303612923</v>
      </c>
      <c r="BC590" s="94">
        <v>6577</v>
      </c>
      <c r="BD590" s="98">
        <f>IF(ISERROR((BC590/AU590-1)*100),"NA",IF(((BC590/AU590-1)*100)&gt;100,"NM",IF(((BC590/AU590-1)*100)&lt;-50,"NM",(BC590/AU590-1)*100)))</f>
        <v>0.96714768191588085</v>
      </c>
      <c r="BE590" s="94">
        <v>6979</v>
      </c>
      <c r="BF590" s="98">
        <f>IF(ISERROR((BE590/AW590-1)*100),"NA",IF(((BE590/AW590-1)*100)&gt;100,"NM",IF(((BE590/AW590-1)*100)&lt;-50,"NM",(BE590/AW590-1)*100)))</f>
        <v>9.9747872675701288</v>
      </c>
      <c r="BG590" s="94">
        <v>6765</v>
      </c>
      <c r="BH590" s="98">
        <f>IF(ISERROR((BG590/AY590-1)*100),"NA",IF(((BG590/AY590-1)*100)&gt;100,"NM",IF(((BG590/AY590-1)*100)&lt;-50,"NM",(BG590/AY590-1)*100)))</f>
        <v>5.2426882389545737</v>
      </c>
      <c r="BI590" s="94">
        <v>6903</v>
      </c>
      <c r="BJ590" s="98">
        <f>IF(ISERROR((BI590/BA590-1)*100),"NA",IF(((BI590/BA590-1)*100)&gt;100,"NM",IF(((BI590/BA590-1)*100)&lt;-50,"NM",(BI590/BA590-1)*100)))</f>
        <v>7.3895457373988727</v>
      </c>
      <c r="BK590" s="94">
        <v>5717</v>
      </c>
      <c r="BL590" s="98">
        <f>IF(ISERROR((BK590/BC590-1)*100),"NA",IF(((BK590/BC590-1)*100)&gt;100,"NM",IF(((BK590/BC590-1)*100)&lt;-50,"NM",(BK590/BC590-1)*100)))</f>
        <v>-13.075870457655469</v>
      </c>
      <c r="BM590" s="94">
        <v>5935</v>
      </c>
      <c r="BN590" s="98">
        <f>IF(ISERROR((BM590/BE590-1)*100),"NA",IF(((BM590/BE590-1)*100)&gt;100,"NM",IF(((BM590/BE590-1)*100)&lt;-50,"NM",(BM590/BE590-1)*100)))</f>
        <v>-14.959163203897408</v>
      </c>
      <c r="BO590" s="94">
        <v>6291</v>
      </c>
      <c r="BP590" s="98">
        <f>IF(ISERROR((BO590/BG590-1)*100),"NA",IF(((BO590/BG590-1)*100)&gt;100,"NM",IF(((BO590/BG590-1)*100)&lt;-50,"NM",(BO590/BG590-1)*100)))</f>
        <v>-7.0066518847006654</v>
      </c>
      <c r="BQ590" s="94">
        <v>6340</v>
      </c>
      <c r="BR590" s="98">
        <f>IF(ISERROR((BQ590/BI590-1)*100),"NA",IF(((BQ590/BI590-1)*100)&gt;100,"NM",IF(((BQ590/BI590-1)*100)&lt;-50,"NM",(BQ590/BI590-1)*100)))</f>
        <v>-8.1558742575691738</v>
      </c>
      <c r="BS590" s="94">
        <v>6785</v>
      </c>
      <c r="BT590" s="98">
        <f>IF(ISERROR((BS590/BK590-1)*100),"NA",IF(((BS590/BK590-1)*100)&gt;100,"NM",IF(((BS590/BK590-1)*100)&lt;-50,"NM",(BS590/BK590-1)*100)))</f>
        <v>18.681126464929164</v>
      </c>
      <c r="BU590" s="94">
        <v>6498</v>
      </c>
      <c r="BV590" s="98">
        <f>IF(ISERROR((BU590/BM590-1)*100),"NA",IF(((BU590/BM590-1)*100)&gt;100,"NM",IF(((BU590/BM590-1)*100)&lt;-50,"NM",(BU590/BM590-1)*100)))</f>
        <v>9.4860994102780047</v>
      </c>
      <c r="BW590" s="94">
        <v>6122</v>
      </c>
      <c r="BX590" s="98">
        <f>IF(ISERROR((BW590/BO590-1)*100),"NA",IF(((BW590/BO590-1)*100)&gt;100,"NM",IF(((BW590/BO590-1)*100)&lt;-50,"NM",(BW590/BO590-1)*100)))</f>
        <v>-2.6863773644889566</v>
      </c>
      <c r="BY590" s="94">
        <v>6576</v>
      </c>
      <c r="BZ590" s="98">
        <f>IF(ISERROR((BY590/BQ590-1)*100),"NA",IF(((BY590/BQ590-1)*100)&gt;100,"NM",IF(((BY590/BQ590-1)*100)&lt;-50,"NM",(BY590/BQ590-1)*100)))</f>
        <v>3.7223974763406886</v>
      </c>
      <c r="CA590" s="94">
        <v>6601</v>
      </c>
      <c r="CB590" s="98">
        <f>IF(ISERROR((CA590/BS590-1)*100),"NA",IF(((CA590/BS590-1)*100)&gt;100,"NM",IF(((CA590/BS590-1)*100)&lt;-50,"NM",(CA590/BS590-1)*100)))</f>
        <v>-2.7118644067796627</v>
      </c>
      <c r="CC590" s="94">
        <v>7161</v>
      </c>
      <c r="CD590" s="98">
        <f>IF(ISERROR((CC590/BU590-1)*100),"NA",IF(((CC590/BU590-1)*100)&gt;100,"NM",IF(((CC590/BU590-1)*100)&lt;-50,"NM",(CC590/BU590-1)*100)))</f>
        <v>10.203139427516161</v>
      </c>
      <c r="CE590" s="94">
        <v>6788</v>
      </c>
      <c r="CF590" s="98">
        <f>IF(ISERROR((CE590/BW590-1)*100),"NA",IF(((CE590/BW590-1)*100)&gt;100,"NM",IF(((CE590/BW590-1)*100)&lt;-50,"NM",(CE590/BW590-1)*100)))</f>
        <v>10.878797778503756</v>
      </c>
      <c r="CG590" s="94">
        <v>6584</v>
      </c>
      <c r="CH590" s="98">
        <f>IF(ISERROR((CG590/BY590-1)*100),"NA",IF(((CG590/BY590-1)*100)&gt;100,"NM",IF(((CG590/BY590-1)*100)&lt;-50,"NM",(CG590/BY590-1)*100)))</f>
        <v>0.12165450121655041</v>
      </c>
      <c r="CI590" s="94">
        <v>6484</v>
      </c>
      <c r="CJ590" s="98">
        <f>IF(ISERROR((CI590/CA590-1)*100),"NA",IF(((CI590/CA590-1)*100)&gt;100,"NM",IF(((CI590/CA590-1)*100)&lt;-50,"NM",(CI590/CA590-1)*100)))</f>
        <v>-1.7724587183760021</v>
      </c>
      <c r="CK590" s="94">
        <v>7215</v>
      </c>
      <c r="CL590" s="98">
        <f>IF(ISERROR((CK590/CC590-1)*100),"NA",IF(((CK590/CC590-1)*100)&gt;100,"NM",IF(((CK590/CC590-1)*100)&lt;-50,"NM",(CK590/CC590-1)*100)))</f>
        <v>0.75408462505237583</v>
      </c>
      <c r="CM590" s="94">
        <v>8532</v>
      </c>
      <c r="CN590" s="98">
        <f>IF(ISERROR((CM590/CE590-1)*100),"NA",IF(((CM590/CE590-1)*100)&gt;100,"NM",IF(((CM590/CE590-1)*100)&lt;-50,"NM",(CM590/CE590-1)*100)))</f>
        <v>25.692398350029457</v>
      </c>
      <c r="CO590" s="94">
        <v>9270</v>
      </c>
      <c r="CP590" s="98">
        <f>IF(ISERROR((CO590/CG590-1)*100),"NA",IF(((CO590/CG590-1)*100)&gt;100,"NM",IF(((CO590/CG590-1)*100)&lt;-50,"NM",(CO590/CG590-1)*100)))</f>
        <v>40.795868772782498</v>
      </c>
      <c r="CQ590" s="533">
        <v>9319</v>
      </c>
      <c r="CR590" s="98">
        <f>IF(ISERROR((CQ590/CI590-1)*100),"NA",IF(((CQ590/CI590-1)*100)&gt;100,"NM",IF(((CQ590/CI590-1)*100)&lt;-50,"NM",(CQ590/CI590-1)*100)))</f>
        <v>43.723010487353477</v>
      </c>
      <c r="CS590" s="94">
        <v>9148</v>
      </c>
      <c r="CT590" s="98">
        <f>IF(ISERROR((CS590/CK590-1)*100),"NA",IF(((CS590/CK590-1)*100)&gt;100,"NM",IF(((CS590/CK590-1)*100)&lt;-50,"NM",(CS590/CK590-1)*100)))</f>
        <v>26.791406791406793</v>
      </c>
      <c r="CU590" s="94">
        <v>9107</v>
      </c>
      <c r="CV590" s="98">
        <f>IF(ISERROR((CU590/CM590-1)*100),"NA",IF(((CU590/CM590-1)*100)&gt;100,"NM",IF(((CU590/CM590-1)*100)&lt;-50,"NM",(CU590/CM590-1)*100)))</f>
        <v>6.7393342709798354</v>
      </c>
      <c r="CW590" s="94">
        <v>9139</v>
      </c>
      <c r="CX590" s="98">
        <f>IF(ISERROR((CW590/CO590-1)*100),"NA",IF(((CW590/CO590-1)*100)&gt;100,"NM",IF(((CW590/CO590-1)*100)&lt;-50,"NM",(CW590/CO590-1)*100)))</f>
        <v>-1.4131607335490792</v>
      </c>
      <c r="CY590" s="94">
        <v>9080</v>
      </c>
      <c r="CZ590" s="98">
        <f>IF(ISERROR((CY590/CQ590-1)*100),"NA",IF(((CY590/CQ590-1)*100)&gt;100,"NM",IF(((CY590/CQ590-1)*100)&lt;-50,"NM",(CY590/CQ590-1)*100)))</f>
        <v>-2.5646528597488949</v>
      </c>
      <c r="DA590" s="94">
        <v>10585</v>
      </c>
      <c r="DB590" s="98">
        <f>IF(ISERROR((DA590/CS590-1)*100),"NA",IF(((DA590/CS590-1)*100)&gt;100,"NM",IF(((DA590/CS590-1)*100)&lt;-50,"NM",(DA590/CS590-1)*100)))</f>
        <v>15.708351552251854</v>
      </c>
      <c r="DC590" s="94">
        <v>9103</v>
      </c>
      <c r="DD590" s="98">
        <f>IF(ISERROR((DC590/CU590-1)*100),"NA",IF(((DC590/CU590-1)*100)&gt;100,"NM",IF(((DC590/CU590-1)*100)&lt;-50,"NM",(DC590/CU590-1)*100)))</f>
        <v>-4.3922257604045445E-2</v>
      </c>
      <c r="DE590" s="94">
        <v>9157</v>
      </c>
      <c r="DF590" s="98">
        <f>IF(ISERROR((DE590/CW590-1)*100),"NA",IF(((DE590/CW590-1)*100)&gt;100,"NM",IF(((DE590/CW590-1)*100)&lt;-50,"NM",(DE590/CW590-1)*100)))</f>
        <v>0.19695809169493206</v>
      </c>
      <c r="DG590" s="94">
        <v>9054</v>
      </c>
      <c r="DH590" s="98">
        <f>IF(ISERROR((DG590/CY590-1)*100),"NA",IF(((DG590/CY590-1)*100)&gt;100,"NM",IF(((DG590/CY590-1)*100)&lt;-50,"NM",(DG590/CY590-1)*100)))</f>
        <v>-0.2863436123348051</v>
      </c>
      <c r="DI590" s="94">
        <v>10269</v>
      </c>
      <c r="DJ590" s="98">
        <f>IF(ISERROR((DI590/DA590-1)*100),"NA",IF(((DI590/DA590-1)*100)&gt;100,"NM",IF(((DI590/DA590-1)*100)&lt;-50,"NM",(DI590/DA590-1)*100)))</f>
        <v>-2.9853566367501139</v>
      </c>
      <c r="DK590" s="94">
        <v>9217</v>
      </c>
      <c r="DL590" s="98">
        <f>IF(ISERROR((DK590/DC590-1)*100),"NA",IF(((DK590/DC590-1)*100)&gt;100,"NM",IF(((DK590/DC590-1)*100)&lt;-50,"NM",(DK590/DC590-1)*100)))</f>
        <v>1.2523343952543176</v>
      </c>
      <c r="DM590" s="94">
        <v>9853</v>
      </c>
      <c r="DN590" s="98">
        <f>IF(ISERROR((DM590/DE590-1)*100),"NA",IF(((DM590/DE590-1)*100)&gt;100,"NM",IF(((DM590/DE590-1)*100)&lt;-50,"NM",(DM590/DE590-1)*100)))</f>
        <v>7.6007426012886237</v>
      </c>
      <c r="DO590" s="94">
        <v>9685</v>
      </c>
      <c r="DP590" s="98">
        <f>IF(ISERROR((DO590/DG590-1)*100),"NA",IF(((DO590/DG590-1)*100)&gt;100,"NM",IF(((DO590/DG590-1)*100)&lt;-50,"NM",(DO590/DG590-1)*100)))</f>
        <v>6.9692953390766421</v>
      </c>
      <c r="DQ590" s="94">
        <v>10267</v>
      </c>
      <c r="DR590" s="98">
        <f>IF(ISERROR((DQ590/DI590-1)*100),"NA",IF(((DQ590/DI590-1)*100)&gt;100,"NM",IF(((DQ590/DI590-1)*100)&lt;-50,"NM",(DQ590/DI590-1)*100)))</f>
        <v>-1.9476093095727176E-2</v>
      </c>
      <c r="DS590" s="1006">
        <f>DS469+DS550+DS61+DS158+DS313+DS280+DS349+DS251+DS519</f>
        <v>8885</v>
      </c>
      <c r="DT590" s="1108">
        <v>0.39058261907345404</v>
      </c>
      <c r="DU590" s="1006">
        <f>DU469+DU550+DU61+DU158+DU313+DU280+DU349+DU251+DU519</f>
        <v>8990</v>
      </c>
      <c r="DV590" s="1108">
        <v>-5.4805642951385352</v>
      </c>
      <c r="DW590" s="1006">
        <f>DW469+DW550+DW61+DW158+DW313+DW280+DW349+DW251+DW519</f>
        <v>9908</v>
      </c>
      <c r="DX590" s="1108">
        <v>7.1347444501806967</v>
      </c>
      <c r="DY590" s="1006">
        <f>DY469+DY550+DY61+DY158+DY313+DY280+DY349+DY251+DY519</f>
        <v>9090</v>
      </c>
      <c r="DZ590" s="1108">
        <v>-6.4381026590045742</v>
      </c>
      <c r="EA590" s="1006">
        <f>EA469+EA61+EA158+EA313+EA280+EA349+EA251+EA519</f>
        <v>8873</v>
      </c>
      <c r="EB590" s="1108">
        <v>0.15130228034150317</v>
      </c>
      <c r="EC590" s="1006">
        <f>EC469+EC61+EC158+EC313+EC280+EC349+EC251+EC519</f>
        <v>9136</v>
      </c>
      <c r="ED590" s="98">
        <f>IF(ISERROR((EC590/DU590-1)*100),"NA",IF(((EC590/DU590-1)*100)&gt;100,"NM",IF(((EC590/DU590-1)*100)&lt;-50,"NM",(EC590/DU590-1)*100)))</f>
        <v>1.6240266963292616</v>
      </c>
      <c r="EE590" s="1006">
        <f>EE469+EE61+EE158+EE313+EE280+EE349+EE251+EE519</f>
        <v>10045</v>
      </c>
      <c r="EF590" s="860">
        <f>IF(ISERROR((EE590/DW590-1)*100),"NA",IF(((EE590/DW590-1)*100)&gt;100,"NM",IF(((EE590/DW590-1)*100)&lt;-50,"NM",(EE590/DW590-1)*100)))</f>
        <v>1.3827210335082718</v>
      </c>
      <c r="EG590" s="1006">
        <f>EG469+EG61+EG158+EG313+EG280+EG349+EG251+EG519</f>
        <v>9451</v>
      </c>
      <c r="EH590" s="860">
        <f>IF(ISERROR((EG590/DY590-1)*100),"NA",IF(((EG590/DY590-1)*100)&gt;100,"NM",IF(((EG590/DY590-1)*100)&lt;-50,"NM",(EG590/DY590-1)*100)))</f>
        <v>3.9713971397139725</v>
      </c>
      <c r="EI590" s="1006">
        <f>EI469+EI61+EI158+EI313+EI280+EI349+EI251+EI519</f>
        <v>9139</v>
      </c>
      <c r="EJ590" s="860">
        <f t="shared" ref="EJ590:EJ594" si="3371">IF(ISERROR((EI590/EA590-1)*100),"NA",IF(((EI590/EA590-1)*100)&gt;100,"NM",IF(((EI590/EA590-1)*100)&lt;-50,"NM",(EI590/EA590-1)*100)))</f>
        <v>2.9978586723768741</v>
      </c>
      <c r="EK590" s="1006">
        <f>EK469+EK61+EK158+EK313+EK280+EK349+EK251+EK519</f>
        <v>9716</v>
      </c>
      <c r="EL590" s="860">
        <f t="shared" ref="EL590:EL594" si="3372">IF(ISERROR((EK590/EC590-1)*100),"NA",IF(((EK590/EC590-1)*100)&gt;100,"NM",IF(((EK590/EC590-1)*100)&lt;-50,"NM",(EK590/EC590-1)*100)))</f>
        <v>6.3485113835376472</v>
      </c>
      <c r="EM590" s="1006">
        <f>EM469+EM550+EM61+EM158+EM313+EM280+EM349+EM251+EM519</f>
        <v>10913</v>
      </c>
      <c r="EN590" s="860">
        <f t="shared" ref="EN590:EN594" si="3373">IF(ISERROR((EM590/EE590-1)*100),"NA",IF(((EM590/EE590-1)*100)&gt;100,"NM",IF(((EM590/EE590-1)*100)&lt;-50,"NM",(EM590/EE590-1)*100)))</f>
        <v>8.6411149825784008</v>
      </c>
      <c r="EO590" s="1006">
        <f>EO469+EO550+EO61+EO158+EO313+EO280+EO349+EO251+EO519</f>
        <v>9571</v>
      </c>
      <c r="EP590" s="98">
        <f t="shared" ref="EP590:EP594" si="3374">IF(ISERROR((EO590/EG590-1)*100),"NA",IF(((EO590/EG590-1)*100)&gt;100,"NM",IF(((EO590/EG590-1)*100)&lt;-50,"NM",(EO590/EG590-1)*100)))</f>
        <v>1.269706909321755</v>
      </c>
      <c r="EQ590" s="1006">
        <f>EQ469+(EQ550*19.9%)+EQ61+EQ158+EQ313+EQ280+EQ349+EQ251+EQ519</f>
        <v>9865.6548885512366</v>
      </c>
      <c r="ER590" s="98">
        <f t="shared" ref="ER590:ER594" si="3375">IF(ISERROR((EQ590/EI590-1)*100),"NA",IF(((EQ590/EI590-1)*100)&gt;100,"NM",IF(((EQ590/EI590-1)*100)&lt;-50,"NM",(EQ590/EI590-1)*100)))</f>
        <v>7.951142231658137</v>
      </c>
      <c r="ES590" s="1006">
        <f>ES469+(ES550*19.9%)+ES61+ES158+ES313+ES280+ES349+ES251+ES519</f>
        <v>9907.3318532634275</v>
      </c>
      <c r="ET590" s="98">
        <f t="shared" ref="ET590:ET594" si="3376">IF(ISERROR((ES590/EK590-1)*100),"NA",IF(((ES590/EK590-1)*100)&gt;100,"NM",IF(((ES590/EK590-1)*100)&lt;-50,"NM",(ES590/EK590-1)*100)))</f>
        <v>1.9692450932835337</v>
      </c>
      <c r="EU590" s="1006">
        <f>EU469+(EU550*19.9%)+EU61+EU158+EU313+EU280+EU349+EU251+EU519</f>
        <v>9953.6990949654137</v>
      </c>
      <c r="EV590" s="98">
        <f t="shared" ref="EV590:EV594" si="3377">IF(ISERROR((EU590/EM590-1)*100),"NA",IF(((EU590/EM590-1)*100)&gt;100,"NM",IF(((EU590/EM590-1)*100)&lt;-50,"NM",(EU590/EM590-1)*100)))</f>
        <v>-8.7904417212002812</v>
      </c>
      <c r="EW590" s="1006">
        <f>EW469+(EW550*19.9%)+EW61+EW158+EW313+EW280+EW349+EW251+EW519</f>
        <v>9995.2153404630717</v>
      </c>
      <c r="EX590" s="98">
        <f t="shared" ref="EX590:EX594" si="3378">IF(ISERROR((EW590/EO590-1)*100),"NA",IF(((EW590/EO590-1)*100)&gt;100,"NM",IF(((EW590/EO590-1)*100)&lt;-50,"NM",(EW590/EO590-1)*100)))</f>
        <v>4.4322990331529866</v>
      </c>
      <c r="EY590" s="99"/>
      <c r="EZ590" s="594"/>
      <c r="FA590" s="405"/>
      <c r="FB590" s="215"/>
      <c r="FC590" s="92"/>
      <c r="FD590" s="94"/>
      <c r="FE590" s="98" t="str">
        <f>IF(ISERROR((FD590/FB590-1)*100),"NA",IF(((FD590/FB590-1)*100)&gt;100,"NM",IF(((FD590/FB590-1)*100)&lt;-50,"NM",(FD590/FB590-1)*100)))</f>
        <v>NA</v>
      </c>
      <c r="FF590" s="99">
        <v>16310</v>
      </c>
      <c r="FG590" s="98" t="str">
        <f>IF(ISERROR((FF590/FD590-1)*100),"NA",IF(((FF590/FD590-1)*100)&gt;100,"NM",IF(((FF590/FD590-1)*100)&lt;-50,"NM",(FF590/FD590-1)*100)))</f>
        <v>NA</v>
      </c>
      <c r="FH590" s="99">
        <v>17211</v>
      </c>
      <c r="FI590" s="98">
        <f>IF(ISERROR((FH590/FF590-1)*100),"NA",IF(((FH590/FF590-1)*100)&gt;100,"NM",IF(((FH590/FF590-1)*100)&lt;-50,"NM",(FH590/FF590-1)*100)))</f>
        <v>5.5242182709993815</v>
      </c>
      <c r="FJ590" s="99">
        <f>SUM(S590,U590,W590,Y590)</f>
        <v>19086</v>
      </c>
      <c r="FK590" s="98">
        <f>IF(ISERROR((FJ590/FH590-1)*100),"NA",IF(((FJ590/FH590-1)*100)&gt;100,"NM",IF(((FJ590/FH590-1)*100)&lt;-50,"NM",(FJ590/FH590-1)*100)))</f>
        <v>10.894195572598919</v>
      </c>
      <c r="FL590" s="99">
        <f>SUM(AA590,AC590,AE590,AG590)</f>
        <v>20679</v>
      </c>
      <c r="FM590" s="98">
        <f>IF(ISERROR((FL590/FJ590-1)*100),"NA",IF(((FL590/FJ590-1)*100)&gt;100,"NM",IF(((FL590/FJ590-1)*100)&lt;-50,"NM",(FL590/FJ590-1)*100)))</f>
        <v>8.3464319396416187</v>
      </c>
      <c r="FN590" s="99">
        <f>SUM(AI590,AK590,AM590,AO590)</f>
        <v>22202</v>
      </c>
      <c r="FO590" s="98">
        <f>IF(ISERROR((FN590/FL590-1)*100),"NA",IF(((FN590/FL590-1)*100)&gt;100,"NM",IF(((FN590/FL590-1)*100)&lt;-50,"NM",(FN590/FL590-1)*100)))</f>
        <v>7.3649596208714252</v>
      </c>
      <c r="FP590" s="99">
        <f>SUM(AQ590,AS590,AU590,AW590)</f>
        <v>24860</v>
      </c>
      <c r="FQ590" s="98">
        <f>IF(ISERROR((FP590/FN590-1)*100),"NA",IF(((FP590/FN590-1)*100)&gt;100,"NM",IF(((FP590/FN590-1)*100)&lt;-50,"NM",(FP590/FN590-1)*100)))</f>
        <v>11.971894423925766</v>
      </c>
      <c r="FR590" s="99">
        <f>SUM(AY590,BA590,BC590,BE590)</f>
        <v>26412</v>
      </c>
      <c r="FS590" s="120">
        <f>IF(ISERROR((FR590/FP590-1)*100),"NA",IF(((FR590/FP590-1)*100)&gt;100,"NM",IF(((FR590/FP590-1)*100)&lt;-50,"NM",(FR590/FP590-1)*100)))</f>
        <v>6.2429605792437615</v>
      </c>
      <c r="FT590" s="99">
        <f>SUM(BG590,BI590,BK590,BM590)</f>
        <v>25320</v>
      </c>
      <c r="FU590" s="120">
        <f>IF(ISERROR((FT590/FR590-1)*100),"NA",IF(((FT590/FR590-1)*100)&gt;100,"NM",IF(((FT590/FR590-1)*100)&lt;-50,"NM",(FT590/FR590-1)*100)))</f>
        <v>-4.1344843253066754</v>
      </c>
      <c r="FV590" s="99">
        <f>+BO590+BQ590+BS590+BU590</f>
        <v>25914</v>
      </c>
      <c r="FW590" s="98">
        <f>IF(ISERROR((FV590/FT590-1)*100),"NA",IF(((FV590/FT590-1)*100)&gt;100,"NM",IF(((FV590/FT590-1)*100)&lt;-50,"NM",(FV590/FT590-1)*100)))</f>
        <v>2.3459715639810419</v>
      </c>
      <c r="FX590" s="482">
        <f>BW590+BY590+CA590+CC590</f>
        <v>26460</v>
      </c>
      <c r="FY590" s="98">
        <f>IF(ISERROR((FX590/FV590-1)*100),"NA",IF(((FX590/FV590-1)*100)&gt;100,"NM",IF(((FX590/FV590-1)*100)&lt;-50,"NM",(FX590/FV590-1)*100)))</f>
        <v>2.1069692058346856</v>
      </c>
      <c r="FZ590" s="99">
        <f>CE590+CG590+CI590+CK590</f>
        <v>27071</v>
      </c>
      <c r="GA590" s="98">
        <f>IF(ISERROR((FZ590/FX590-1)*100),"NA",IF(((FZ590/FX590-1)*100)&gt;100,"NM",IF(((FZ590/FX590-1)*100)&lt;-50,"NM",(FZ590/FX590-1)*100)))</f>
        <v>2.309145880574448</v>
      </c>
      <c r="GB590" s="485">
        <f>+CO590+CS590+CQ590+CM590</f>
        <v>36269</v>
      </c>
      <c r="GC590" s="98">
        <f>IF(ISERROR((GB590/FZ590-1)*100),"NA",IF(((GB590/FZ590-1)*100)&gt;100,"NM",IF(((GB590/FZ590-1)*100)&lt;-50,"NM",(GB590/FZ590-1)*100)))</f>
        <v>33.977318902146216</v>
      </c>
      <c r="GD590" s="99">
        <f>+CU590+CW590+CY590+DA590</f>
        <v>37911</v>
      </c>
      <c r="GE590" s="98">
        <f>IF(ISERROR((GD590/GB590-1)*100),"NA",IF(((GD590/GB590-1)*100)&gt;100,"NM",IF(((GD590/GB590-1)*100)&lt;-50,"NM",(GD590/GB590-1)*100)))</f>
        <v>4.5272822520609823</v>
      </c>
      <c r="GF590" s="99">
        <f>+DC590+DE590+DG590+DI590</f>
        <v>37583</v>
      </c>
      <c r="GG590" s="98">
        <f>IF(ISERROR((GF590/GD590-1)*100),"NA",IF(((GF590/GD590-1)*100)&gt;100,"NM",IF(((GF590/GD590-1)*100)&lt;-50,"NM",(GF590/GD590-1)*100)))</f>
        <v>-0.86518424731608645</v>
      </c>
      <c r="GH590" s="99">
        <f>+DK590+DM590+DO590+DQ590</f>
        <v>39022</v>
      </c>
      <c r="GI590" s="98">
        <f>IF(ISERROR((GH590/GF590-1)*100),"NA",IF(((GH590/GF590-1)*100)&gt;100,"NM",IF(((GH590/GF590-1)*100)&lt;-50,"NM",(GH590/GF590-1)*100)))</f>
        <v>3.8288587925391804</v>
      </c>
      <c r="GJ590" s="1006">
        <f>GJ469+GJ550+GJ61+GJ158+GJ313+GJ280+GJ349+GJ251+GJ519</f>
        <v>36873</v>
      </c>
      <c r="GK590" s="98">
        <f>IF(ISERROR((GJ590/GH590-1)*100),"NA",IF(((GJ590/GH590-1)*100)&gt;100,"NM",IF(((GJ590/GH590-1)*100)&lt;-50,"NM",(GJ590/GH590-1)*100)))</f>
        <v>-5.5071498129260377</v>
      </c>
      <c r="GL590" s="1006">
        <f>EA590+EC590+EE590+EG590</f>
        <v>37505</v>
      </c>
      <c r="GM590" s="98">
        <f>IF(ISERROR((GL590/GJ590-1)*100),"NA",IF(((GL590/GJ590-1)*100)&gt;100,"NM",IF(((GL590/GJ590-1)*100)&lt;-50,"NM",(GL590/GJ590-1)*100)))</f>
        <v>1.7139912673229674</v>
      </c>
      <c r="GN590" s="1006">
        <f>EI590+EK590+EM590+EO590</f>
        <v>39339</v>
      </c>
      <c r="GO590" s="98">
        <f>IF(ISERROR((GN590/GL590-1)*100),"NA",IF(((GN590/GL590-1)*100)&gt;100,"NM",IF(((GN590/GL590-1)*100)&lt;-50,"NM",(GN590/GL590-1)*100)))</f>
        <v>4.8900146647113729</v>
      </c>
      <c r="GP590" s="1006">
        <f>EQ590+ES590+EU590+EW590</f>
        <v>39721.901177243148</v>
      </c>
      <c r="GQ590" s="98">
        <f>IF(ISERROR((GP590/GN590-1)*100),"NA",IF(((GP590/GN590-1)*100)&gt;100,"NM",IF(((GP590/GN590-1)*100)&lt;-50,"NM",(GP590/GN590-1)*100)))</f>
        <v>0.97333734269591243</v>
      </c>
      <c r="GR590" s="1006">
        <f>GR469+(GR550*19.9%)+GR61+GR158+GR313+GR280+GR349+GR251+GR519</f>
        <v>40682.174147436082</v>
      </c>
      <c r="GS590" s="98">
        <f>IF(ISERROR((GR590/GP590-1)*100),"NA",IF(((GR590/GP590-1)*100)&gt;100,"NM",IF(((GR590/GP590-1)*100)&lt;-50,"NM",(GR590/GP590-1)*100)))</f>
        <v>2.4174899532328542</v>
      </c>
      <c r="GT590" s="1006">
        <f>GT469+(GT550*19.9%)+GT61+GT158+GT313+GT280+GT349+GT251+GT519</f>
        <v>41698.036157856484</v>
      </c>
      <c r="GU590" s="98">
        <f>IF(ISERROR((GT590/GR590-1)*100),"NA",IF(((GT590/GR590-1)*100)&gt;100,"NM",IF(((GT590/GR590-1)*100)&lt;-50,"NM",(GT590/GR590-1)*100)))</f>
        <v>2.4970691259980971</v>
      </c>
      <c r="GV590" s="1006">
        <f>GV469+(GV550*19.9%)+GV61+GV158+GV313+GV280+GV349+GV251+GV519</f>
        <v>42811.766753166958</v>
      </c>
      <c r="GW590" s="98">
        <f>IF(ISERROR((GV590/GT590-1)*100),"NA",IF(((GV590/GT590-1)*100)&gt;100,"NM",IF(((GV590/GT590-1)*100)&lt;-50,"NM",(GV590/GT590-1)*100)))</f>
        <v>2.6709425621250338</v>
      </c>
      <c r="GX590" s="1006">
        <f>GX469+(GX550*19.9%)+GX61+GX158+GX313+GX280+GX349+GX251+GX519</f>
        <v>44053.469116769687</v>
      </c>
      <c r="GY590" s="98">
        <f>IF(ISERROR((GX590/GV590-1)*100),"NA",IF(((GX590/GV590-1)*100)&gt;100,"NM",IF(((GX590/GV590-1)*100)&lt;-50,"NM",(GX590/GV590-1)*100)))</f>
        <v>2.9003763632597046</v>
      </c>
      <c r="GZ590" s="98">
        <f>IF(ISERROR(((GX590/GN590)^0.2-1)*100),"NA",IF((((GX590/GN590)^0.2-1)*100)&gt;100,"NM",IF((((GX590/GN590)^0.2-1)*100)&lt;-50,"NM",((GX590/GN590)^0.2-1)*100)))</f>
        <v>2.2895715639256409</v>
      </c>
      <c r="HA590" s="98"/>
      <c r="HC590"/>
      <c r="HD590"/>
      <c r="HE590"/>
      <c r="HF590"/>
      <c r="HG590"/>
      <c r="HH590"/>
    </row>
    <row r="591" spans="1:217" s="10" customFormat="1" ht="12.75" customHeight="1" x14ac:dyDescent="0.2">
      <c r="B591" s="310" t="s">
        <v>172</v>
      </c>
      <c r="C591" s="94">
        <v>469</v>
      </c>
      <c r="D591" s="94"/>
      <c r="E591" s="94">
        <v>448</v>
      </c>
      <c r="F591" s="92"/>
      <c r="G591" s="94">
        <v>458</v>
      </c>
      <c r="H591" s="92"/>
      <c r="I591" s="94">
        <v>456</v>
      </c>
      <c r="J591" s="98"/>
      <c r="K591" s="94">
        <v>474</v>
      </c>
      <c r="L591" s="98">
        <f>IF(ISERROR((K591/C591-1)*100),"NA",IF(((K591/C591-1)*100)&gt;100,"NM",IF(((K591/C591-1)*100)&lt;-50,"NM",(K591/C591-1)*100)))</f>
        <v>1.0660980810234477</v>
      </c>
      <c r="M591" s="94">
        <v>473</v>
      </c>
      <c r="N591" s="98">
        <f>IF(ISERROR((M591/E591-1)*100),"NA",IF(((M591/E591-1)*100)&gt;100,"NM",IF(((M591/E591-1)*100)&lt;-50,"NM",(M591/E591-1)*100)))</f>
        <v>5.5803571428571397</v>
      </c>
      <c r="O591" s="94">
        <v>466</v>
      </c>
      <c r="P591" s="98">
        <f>IF(ISERROR((O591/G591-1)*100),"NA",IF(((O591/G591-1)*100)&gt;100,"NM",IF(((O591/G591-1)*100)&lt;-50,"NM",(O591/G591-1)*100)))</f>
        <v>1.7467248908296984</v>
      </c>
      <c r="Q591" s="94">
        <v>480</v>
      </c>
      <c r="R591" s="98">
        <f>IF(ISERROR((Q591/I591-1)*100),"NA",IF(((Q591/I591-1)*100)&gt;100,"NM",IF(((Q591/I591-1)*100)&lt;-50,"NM",(Q591/I591-1)*100)))</f>
        <v>5.2631578947368363</v>
      </c>
      <c r="S591" s="94">
        <v>457</v>
      </c>
      <c r="T591" s="98">
        <f>IF(ISERROR((S591/K591-1)*100),"NA",IF(((S591/K591-1)*100)&gt;100,"NM",IF(((S591/K591-1)*100)&lt;-50,"NM",(S591/K591-1)*100)))</f>
        <v>-3.5864978902953593</v>
      </c>
      <c r="U591" s="94">
        <v>514</v>
      </c>
      <c r="V591" s="98">
        <f>IF(ISERROR((U591/M591-1)*100),"NA",IF(((U591/M591-1)*100)&gt;100,"NM",IF(((U591/M591-1)*100)&lt;-50,"NM",(U591/M591-1)*100)))</f>
        <v>8.6680761099365853</v>
      </c>
      <c r="W591" s="94">
        <v>587</v>
      </c>
      <c r="X591" s="98">
        <f>IF(ISERROR((W591/O591-1)*100),"NA",IF(((W591/O591-1)*100)&gt;100,"NM",IF(((W591/O591-1)*100)&lt;-50,"NM",(W591/O591-1)*100)))</f>
        <v>25.965665236051507</v>
      </c>
      <c r="Y591" s="94">
        <v>581</v>
      </c>
      <c r="Z591" s="98">
        <f>IF(ISERROR((Y591/Q591-1)*100),"NA",IF(((Y591/Q591-1)*100)&gt;100,"NM",IF(((Y591/Q591-1)*100)&lt;-50,"NM",(Y591/Q591-1)*100)))</f>
        <v>21.041666666666671</v>
      </c>
      <c r="AA591" s="94">
        <v>566</v>
      </c>
      <c r="AB591" s="98">
        <f>IF(ISERROR((AA591/S591-1)*100),"NA",IF(((AA591/S591-1)*100)&gt;100,"NM",IF(((AA591/S591-1)*100)&lt;-50,"NM",(AA591/S591-1)*100)))</f>
        <v>23.851203501094087</v>
      </c>
      <c r="AC591" s="94">
        <v>603</v>
      </c>
      <c r="AD591" s="98">
        <f>IF(ISERROR((AC591/U591-1)*100),"NA",IF(((AC591/U591-1)*100)&gt;100,"NM",IF(((AC591/U591-1)*100)&lt;-50,"NM",(AC591/U591-1)*100)))</f>
        <v>17.315175097276271</v>
      </c>
      <c r="AE591" s="94">
        <v>623</v>
      </c>
      <c r="AF591" s="98">
        <f>IF(ISERROR((AE591/W591-1)*100),"NA",IF(((AE591/W591-1)*100)&gt;100,"NM",IF(((AE591/W591-1)*100)&lt;-50,"NM",(AE591/W591-1)*100)))</f>
        <v>6.1328790459965976</v>
      </c>
      <c r="AG591" s="94">
        <v>698</v>
      </c>
      <c r="AH591" s="98">
        <f>IF(ISERROR((AG591/Y591-1)*100),"NA",IF(((AG591/Y591-1)*100)&gt;100,"NM",IF(((AG591/Y591-1)*100)&lt;-50,"NM",(AG591/Y591-1)*100)))</f>
        <v>20.137693631669528</v>
      </c>
      <c r="AI591" s="94">
        <v>663</v>
      </c>
      <c r="AJ591" s="98">
        <f>IF(ISERROR((AI591/AA591-1)*100),"NA",IF(((AI591/AA591-1)*100)&gt;100,"NM",IF(((AI591/AA591-1)*100)&lt;-50,"NM",(AI591/AA591-1)*100)))</f>
        <v>17.137809187279164</v>
      </c>
      <c r="AK591" s="94">
        <v>721</v>
      </c>
      <c r="AL591" s="98">
        <f>IF(ISERROR((AK591/AC591-1)*100),"NA",IF(((AK591/AC591-1)*100)&gt;100,"NM",IF(((AK591/AC591-1)*100)&lt;-50,"NM",(AK591/AC591-1)*100)))</f>
        <v>19.568822553897181</v>
      </c>
      <c r="AM591" s="94">
        <v>736</v>
      </c>
      <c r="AN591" s="98">
        <f>IF(ISERROR((AM591/AE591-1)*100),"NA",IF(((AM591/AE591-1)*100)&gt;100,"NM",IF(((AM591/AE591-1)*100)&lt;-50,"NM",(AM591/AE591-1)*100)))</f>
        <v>18.138041733547361</v>
      </c>
      <c r="AO591" s="94">
        <v>747</v>
      </c>
      <c r="AP591" s="98">
        <f>IF(ISERROR((AO591/AG591-1)*100),"NA",IF(((AO591/AG591-1)*100)&gt;100,"NM",IF(((AO591/AG591-1)*100)&lt;-50,"NM",(AO591/AG591-1)*100)))</f>
        <v>7.020057306590255</v>
      </c>
      <c r="AQ591" s="94">
        <v>791</v>
      </c>
      <c r="AR591" s="98">
        <f>IF(ISERROR((AQ591/AI591-1)*100),"NA",IF(((AQ591/AI591-1)*100)&gt;100,"NM",IF(((AQ591/AI591-1)*100)&lt;-50,"NM",(AQ591/AI591-1)*100)))</f>
        <v>19.306184012066364</v>
      </c>
      <c r="AS591" s="94">
        <v>813</v>
      </c>
      <c r="AT591" s="98">
        <f>IF(ISERROR((AS591/AK591-1)*100),"NA",IF(((AS591/AK591-1)*100)&gt;100,"NM",IF(((AS591/AK591-1)*100)&lt;-50,"NM",(AS591/AK591-1)*100)))</f>
        <v>12.760055478502075</v>
      </c>
      <c r="AU591" s="94">
        <v>1112</v>
      </c>
      <c r="AV591" s="98">
        <f>IF(ISERROR((AU591/AM591-1)*100),"NA",IF(((AU591/AM591-1)*100)&gt;100,"NM",IF(((AU591/AM591-1)*100)&lt;-50,"NM",(AU591/AM591-1)*100)))</f>
        <v>51.086956521739133</v>
      </c>
      <c r="AW591" s="94">
        <v>1112</v>
      </c>
      <c r="AX591" s="98">
        <f>IF(ISERROR((AW591/AO591-1)*100),"NA",IF(((AW591/AO591-1)*100)&gt;100,"NM",IF(((AW591/AO591-1)*100)&lt;-50,"NM",(AW591/AO591-1)*100)))</f>
        <v>48.862115127175379</v>
      </c>
      <c r="AY591" s="94">
        <v>1178</v>
      </c>
      <c r="AZ591" s="98">
        <f>IF(ISERROR((AY591/AQ591-1)*100),"NA",IF(((AY591/AQ591-1)*100)&gt;100,"NM",IF(((AY591/AQ591-1)*100)&lt;-50,"NM",(AY591/AQ591-1)*100)))</f>
        <v>48.92541087231352</v>
      </c>
      <c r="BA591" s="94">
        <v>1194</v>
      </c>
      <c r="BB591" s="98">
        <f>IF(ISERROR((BA591/AS591-1)*100),"NA",IF(((BA591/AS591-1)*100)&gt;100,"NM",IF(((BA591/AS591-1)*100)&lt;-50,"NM",(BA591/AS591-1)*100)))</f>
        <v>46.863468634686356</v>
      </c>
      <c r="BC591" s="94">
        <v>1185</v>
      </c>
      <c r="BD591" s="98">
        <f>IF(ISERROR((BC591/AU591-1)*100),"NA",IF(((BC591/AU591-1)*100)&gt;100,"NM",IF(((BC591/AU591-1)*100)&lt;-50,"NM",(BC591/AU591-1)*100)))</f>
        <v>6.5647482014388414</v>
      </c>
      <c r="BE591" s="94">
        <v>1229</v>
      </c>
      <c r="BF591" s="98">
        <f>IF(ISERROR((BE591/AW591-1)*100),"NA",IF(((BE591/AW591-1)*100)&gt;100,"NM",IF(((BE591/AW591-1)*100)&lt;-50,"NM",(BE591/AW591-1)*100)))</f>
        <v>10.52158273381294</v>
      </c>
      <c r="BG591" s="94">
        <v>1280</v>
      </c>
      <c r="BH591" s="98">
        <f>IF(ISERROR((BG591/AY591-1)*100),"NA",IF(((BG591/AY591-1)*100)&gt;100,"NM",IF(((BG591/AY591-1)*100)&lt;-50,"NM",(BG591/AY591-1)*100)))</f>
        <v>8.6587436332767442</v>
      </c>
      <c r="BI591" s="94">
        <v>1317</v>
      </c>
      <c r="BJ591" s="98">
        <f>IF(ISERROR((BI591/BA591-1)*100),"NA",IF(((BI591/BA591-1)*100)&gt;100,"NM",IF(((BI591/BA591-1)*100)&lt;-50,"NM",(BI591/BA591-1)*100)))</f>
        <v>10.301507537688437</v>
      </c>
      <c r="BK591" s="94">
        <v>1317</v>
      </c>
      <c r="BL591" s="98">
        <f>IF(ISERROR((BK591/BC591-1)*100),"NA",IF(((BK591/BC591-1)*100)&gt;100,"NM",IF(((BK591/BC591-1)*100)&lt;-50,"NM",(BK591/BC591-1)*100)))</f>
        <v>11.139240506329106</v>
      </c>
      <c r="BM591" s="94">
        <v>1407</v>
      </c>
      <c r="BN591" s="98">
        <f>IF(ISERROR((BM591/BE591-1)*100),"NA",IF(((BM591/BE591-1)*100)&gt;100,"NM",IF(((BM591/BE591-1)*100)&lt;-50,"NM",(BM591/BE591-1)*100)))</f>
        <v>14.483319772172498</v>
      </c>
      <c r="BO591" s="94">
        <v>1392</v>
      </c>
      <c r="BP591" s="98">
        <f>IF(ISERROR((BO591/BG591-1)*100),"NA",IF(((BO591/BG591-1)*100)&gt;100,"NM",IF(((BO591/BG591-1)*100)&lt;-50,"NM",(BO591/BG591-1)*100)))</f>
        <v>8.7499999999999911</v>
      </c>
      <c r="BQ591" s="94">
        <v>1399</v>
      </c>
      <c r="BR591" s="98">
        <f>IF(ISERROR((BQ591/BI591-1)*100),"NA",IF(((BQ591/BI591-1)*100)&gt;100,"NM",IF(((BQ591/BI591-1)*100)&lt;-50,"NM",(BQ591/BI591-1)*100)))</f>
        <v>6.2262718299164854</v>
      </c>
      <c r="BS591" s="94">
        <v>1352</v>
      </c>
      <c r="BT591" s="98">
        <f>IF(ISERROR((BS591/BK591-1)*100),"NA",IF(((BS591/BK591-1)*100)&gt;100,"NM",IF(((BS591/BK591-1)*100)&lt;-50,"NM",(BS591/BK591-1)*100)))</f>
        <v>2.6575550493545874</v>
      </c>
      <c r="BU591" s="94">
        <v>1220</v>
      </c>
      <c r="BV591" s="98">
        <f>IF(ISERROR((BU591/BM591-1)*100),"NA",IF(((BU591/BM591-1)*100)&gt;100,"NM",IF(((BU591/BM591-1)*100)&lt;-50,"NM",(BU591/BM591-1)*100)))</f>
        <v>-13.290689410092394</v>
      </c>
      <c r="BW591" s="94">
        <v>1189</v>
      </c>
      <c r="BX591" s="98">
        <f>IF(ISERROR((BW591/BO591-1)*100),"NA",IF(((BW591/BO591-1)*100)&gt;100,"NM",IF(((BW591/BO591-1)*100)&lt;-50,"NM",(BW591/BO591-1)*100)))</f>
        <v>-14.583333333333337</v>
      </c>
      <c r="BY591" s="94">
        <v>1227</v>
      </c>
      <c r="BZ591" s="98">
        <f>IF(ISERROR((BY591/BQ591-1)*100),"NA",IF(((BY591/BQ591-1)*100)&gt;100,"NM",IF(((BY591/BQ591-1)*100)&lt;-50,"NM",(BY591/BQ591-1)*100)))</f>
        <v>-12.294496068620441</v>
      </c>
      <c r="CA591" s="94">
        <v>1255</v>
      </c>
      <c r="CB591" s="98">
        <f>IF(ISERROR((CA591/BS591-1)*100),"NA",IF(((CA591/BS591-1)*100)&gt;100,"NM",IF(((CA591/BS591-1)*100)&lt;-50,"NM",(CA591/BS591-1)*100)))</f>
        <v>-7.1745562130177465</v>
      </c>
      <c r="CC591" s="94">
        <v>1559</v>
      </c>
      <c r="CD591" s="98">
        <f>IF(ISERROR((CC591/BU591-1)*100),"NA",IF(((CC591/BU591-1)*100)&gt;100,"NM",IF(((CC591/BU591-1)*100)&lt;-50,"NM",(CC591/BU591-1)*100)))</f>
        <v>27.786885245901651</v>
      </c>
      <c r="CE591" s="94">
        <v>1358</v>
      </c>
      <c r="CF591" s="98">
        <f>IF(ISERROR((CE591/BW591-1)*100),"NA",IF(((CE591/BW591-1)*100)&gt;100,"NM",IF(((CE591/BW591-1)*100)&lt;-50,"NM",(CE591/BW591-1)*100)))</f>
        <v>14.213624894869636</v>
      </c>
      <c r="CG591" s="94">
        <v>1423</v>
      </c>
      <c r="CH591" s="98">
        <f>IF(ISERROR((CG591/BY591-1)*100),"NA",IF(((CG591/BY591-1)*100)&gt;100,"NM",IF(((CG591/BY591-1)*100)&lt;-50,"NM",(CG591/BY591-1)*100)))</f>
        <v>15.973920130399355</v>
      </c>
      <c r="CI591" s="94">
        <v>1398</v>
      </c>
      <c r="CJ591" s="98">
        <f>IF(ISERROR((CI591/CA591-1)*100),"NA",IF(((CI591/CA591-1)*100)&gt;100,"NM",IF(((CI591/CA591-1)*100)&lt;-50,"NM",(CI591/CA591-1)*100)))</f>
        <v>11.39442231075698</v>
      </c>
      <c r="CK591" s="94">
        <v>1638</v>
      </c>
      <c r="CL591" s="98">
        <f>IF(ISERROR((CK591/CC591-1)*100),"NA",IF(((CK591/CC591-1)*100)&gt;100,"NM",IF(((CK591/CC591-1)*100)&lt;-50,"NM",(CK591/CC591-1)*100)))</f>
        <v>5.0673508659397015</v>
      </c>
      <c r="CM591" s="94">
        <v>1832</v>
      </c>
      <c r="CN591" s="98">
        <f>IF(ISERROR((CM591/CE591-1)*100),"NA",IF(((CM591/CE591-1)*100)&gt;100,"NM",IF(((CM591/CE591-1)*100)&lt;-50,"NM",(CM591/CE591-1)*100)))</f>
        <v>34.904270986745225</v>
      </c>
      <c r="CO591" s="94">
        <v>1908</v>
      </c>
      <c r="CP591" s="98">
        <f>IF(ISERROR((CO591/CG591-1)*100),"NA",IF(((CO591/CG591-1)*100)&gt;100,"NM",IF(((CO591/CG591-1)*100)&lt;-50,"NM",(CO591/CG591-1)*100)))</f>
        <v>34.082923401264928</v>
      </c>
      <c r="CQ591" s="533">
        <v>1906</v>
      </c>
      <c r="CR591" s="98">
        <f>IF(ISERROR((CQ591/CI591-1)*100),"NA",IF(((CQ591/CI591-1)*100)&gt;100,"NM",IF(((CQ591/CI591-1)*100)&lt;-50,"NM",(CQ591/CI591-1)*100)))</f>
        <v>36.337625178826904</v>
      </c>
      <c r="CS591" s="94">
        <v>1882</v>
      </c>
      <c r="CT591" s="98">
        <f>IF(ISERROR((CS591/CK591-1)*100),"NA",IF(((CS591/CK591-1)*100)&gt;100,"NM",IF(((CS591/CK591-1)*100)&lt;-50,"NM",(CS591/CK591-1)*100)))</f>
        <v>14.896214896214888</v>
      </c>
      <c r="CU591" s="94">
        <v>2009</v>
      </c>
      <c r="CV591" s="98">
        <f>IF(ISERROR((CU591/CM591-1)*100),"NA",IF(((CU591/CM591-1)*100)&gt;100,"NM",IF(((CU591/CM591-1)*100)&lt;-50,"NM",(CU591/CM591-1)*100)))</f>
        <v>9.6615720524017448</v>
      </c>
      <c r="CW591" s="94">
        <v>1999</v>
      </c>
      <c r="CX591" s="98">
        <f>IF(ISERROR((CW591/CO591-1)*100),"NA",IF(((CW591/CO591-1)*100)&gt;100,"NM",IF(((CW591/CO591-1)*100)&lt;-50,"NM",(CW591/CO591-1)*100)))</f>
        <v>4.7693920335429851</v>
      </c>
      <c r="CY591" s="94">
        <v>2048</v>
      </c>
      <c r="CZ591" s="98">
        <f>IF(ISERROR((CY591/CQ591-1)*100),"NA",IF(((CY591/CQ591-1)*100)&gt;100,"NM",IF(((CY591/CQ591-1)*100)&lt;-50,"NM",(CY591/CQ591-1)*100)))</f>
        <v>7.4501573976915036</v>
      </c>
      <c r="DA591" s="94">
        <v>2156</v>
      </c>
      <c r="DB591" s="98">
        <f>IF(ISERROR((DA591/CS591-1)*100),"NA",IF(((DA591/CS591-1)*100)&gt;100,"NM",IF(((DA591/CS591-1)*100)&lt;-50,"NM",(DA591/CS591-1)*100)))</f>
        <v>14.558979808714124</v>
      </c>
      <c r="DC591" s="94">
        <v>2211</v>
      </c>
      <c r="DD591" s="98">
        <f>IF(ISERROR((DC591/CU591-1)*100),"NA",IF(((DC591/CU591-1)*100)&gt;100,"NM",IF(((DC591/CU591-1)*100)&lt;-50,"NM",(DC591/CU591-1)*100)))</f>
        <v>10.054753608760581</v>
      </c>
      <c r="DE591" s="94">
        <v>2281</v>
      </c>
      <c r="DF591" s="98">
        <f>IF(ISERROR((DE591/CW591-1)*100),"NA",IF(((DE591/CW591-1)*100)&gt;100,"NM",IF(((DE591/CW591-1)*100)&lt;-50,"NM",(DE591/CW591-1)*100)))</f>
        <v>14.10705352676338</v>
      </c>
      <c r="DG591" s="94">
        <v>2276</v>
      </c>
      <c r="DH591" s="98">
        <f>IF(ISERROR((DG591/CY591-1)*100),"NA",IF(((DG591/CY591-1)*100)&gt;100,"NM",IF(((DG591/CY591-1)*100)&lt;-50,"NM",(DG591/CY591-1)*100)))</f>
        <v>11.1328125</v>
      </c>
      <c r="DI591" s="94">
        <v>2317</v>
      </c>
      <c r="DJ591" s="98">
        <f>IF(ISERROR((DI591/DA591-1)*100),"NA",IF(((DI591/DA591-1)*100)&gt;100,"NM",IF(((DI591/DA591-1)*100)&lt;-50,"NM",(DI591/DA591-1)*100)))</f>
        <v>7.4675324675324672</v>
      </c>
      <c r="DK591" s="94">
        <v>2323</v>
      </c>
      <c r="DL591" s="98">
        <f>IF(ISERROR((DK591/DC591-1)*100),"NA",IF(((DK591/DC591-1)*100)&gt;100,"NM",IF(((DK591/DC591-1)*100)&lt;-50,"NM",(DK591/DC591-1)*100)))</f>
        <v>5.0655811849841692</v>
      </c>
      <c r="DM591" s="94">
        <v>2360</v>
      </c>
      <c r="DN591" s="98">
        <f>IF(ISERROR((DM591/DE591-1)*100),"NA",IF(((DM591/DE591-1)*100)&gt;100,"NM",IF(((DM591/DE591-1)*100)&lt;-50,"NM",(DM591/DE591-1)*100)))</f>
        <v>3.4633932485751862</v>
      </c>
      <c r="DO591" s="94">
        <v>2522</v>
      </c>
      <c r="DP591" s="98">
        <f>IF(ISERROR((DO591/DG591-1)*100),"NA",IF(((DO591/DG591-1)*100)&gt;100,"NM",IF(((DO591/DG591-1)*100)&lt;-50,"NM",(DO591/DG591-1)*100)))</f>
        <v>10.80843585237259</v>
      </c>
      <c r="DQ591" s="94">
        <v>2336</v>
      </c>
      <c r="DR591" s="98">
        <f>IF(ISERROR((DQ591/DI591-1)*100),"NA",IF(((DQ591/DI591-1)*100)&gt;100,"NM",IF(((DQ591/DI591-1)*100)&lt;-50,"NM",(DQ591/DI591-1)*100)))</f>
        <v>0.82002589555458805</v>
      </c>
      <c r="DS591" s="1006">
        <f>DS470+DS551+DS62+DS159+DS314+DS281+DS350+DS520</f>
        <v>1364</v>
      </c>
      <c r="DT591" s="1108">
        <v>-1.248385708136035</v>
      </c>
      <c r="DU591" s="1006">
        <f>DU470+DU551+DU62+DU159+DU314+DU281+DU350+DU520</f>
        <v>1397</v>
      </c>
      <c r="DV591" s="1108">
        <v>-1.0593220338983023</v>
      </c>
      <c r="DW591" s="1006">
        <f>DW470+DW551+DW62+DW159+DW314+DW281+DW350+DW520</f>
        <v>1326</v>
      </c>
      <c r="DX591" s="1108">
        <v>-10.904044409199043</v>
      </c>
      <c r="DY591" s="1006">
        <f>DY470+DY551+DY62+DY159+DY314+DY281+DY350+DY520</f>
        <v>1308</v>
      </c>
      <c r="DZ591" s="1108">
        <v>-4.2380136986301391</v>
      </c>
      <c r="EA591" s="1006">
        <f>EA470+EA62+EA159+EA314+EA281+EA350+EA520</f>
        <v>1320</v>
      </c>
      <c r="EB591" s="1108">
        <v>-6.2336530078465513</v>
      </c>
      <c r="EC591" s="1006">
        <f>EC470+EC62+EC159+EC314+EC281+EC350+EC520</f>
        <v>1343</v>
      </c>
      <c r="ED591" s="98">
        <f>IF(ISERROR((EC591/DU591-1)*100),"NA",IF(((EC591/DU591-1)*100)&gt;100,"NM",IF(((EC591/DU591-1)*100)&lt;-50,"NM",(EC591/DU591-1)*100)))</f>
        <v>-3.8654259126700063</v>
      </c>
      <c r="EE591" s="1006">
        <f>EE470+EE62+EE159+EE314+EE281+EE350+EE520</f>
        <v>1327</v>
      </c>
      <c r="EF591" s="860">
        <f>IF(ISERROR((EE591/DW591-1)*100),"NA",IF(((EE591/DW591-1)*100)&gt;100,"NM",IF(((EE591/DW591-1)*100)&lt;-50,"NM",(EE591/DW591-1)*100)))</f>
        <v>7.541478129713397E-2</v>
      </c>
      <c r="EG591" s="1006">
        <f>EG470+EG62+EG159+EG314+EG281+EG350+EG520</f>
        <v>1340</v>
      </c>
      <c r="EH591" s="860">
        <f>IF(ISERROR((EG591/DY591-1)*100),"NA",IF(((EG591/DY591-1)*100)&gt;100,"NM",IF(((EG591/DY591-1)*100)&lt;-50,"NM",(EG591/DY591-1)*100)))</f>
        <v>2.4464831804281273</v>
      </c>
      <c r="EI591" s="1006">
        <f>EI470+EI62+EI159+EI314+EI281+EI350+EI520</f>
        <v>1348</v>
      </c>
      <c r="EJ591" s="860">
        <f t="shared" si="3371"/>
        <v>2.1212121212121238</v>
      </c>
      <c r="EK591" s="1006">
        <f>EK470+EK62+EK159+EK314+EK281+EK350+EK520</f>
        <v>1338</v>
      </c>
      <c r="EL591" s="860">
        <f t="shared" si="3372"/>
        <v>-0.37230081906179935</v>
      </c>
      <c r="EM591" s="1006">
        <f>EM470+EM551+EM62+EM159+EM314+EM281+EM350+EM520</f>
        <v>1392</v>
      </c>
      <c r="EN591" s="860">
        <f t="shared" si="3373"/>
        <v>4.8982667671439328</v>
      </c>
      <c r="EO591" s="1006">
        <f>EO470+EO551+EO62+EO159+EO314+EO281+EO350+EO520</f>
        <v>1329</v>
      </c>
      <c r="EP591" s="98">
        <f t="shared" si="3374"/>
        <v>-0.8208955223880543</v>
      </c>
      <c r="EQ591" s="1006">
        <f>EQ470+(EQ551*19.9%)+EQ62+EQ159+EQ314+EQ281+EQ350+EQ520</f>
        <v>1384.2596962993068</v>
      </c>
      <c r="ER591" s="98">
        <f t="shared" si="3375"/>
        <v>2.6898884495034636</v>
      </c>
      <c r="ES591" s="1006">
        <f>ES470+(ES551*19.9%)+ES62+ES159+ES314+ES281+ES350+ES520</f>
        <v>1382.7669921786789</v>
      </c>
      <c r="ET591" s="98">
        <f t="shared" si="3376"/>
        <v>3.3458140641763112</v>
      </c>
      <c r="EU591" s="1006">
        <f>EU470+(EU551*19.9%)+EU62+EU159+EU314+EU281+EU350+EU520</f>
        <v>1387.853666880703</v>
      </c>
      <c r="EV591" s="98">
        <f t="shared" si="3377"/>
        <v>-0.29786875857018558</v>
      </c>
      <c r="EW591" s="1006">
        <f>EW470+(EW551*19.9%)+EW62+EW159+EW314+EW281+EW350+EW520</f>
        <v>1392.7295518045739</v>
      </c>
      <c r="EX591" s="98">
        <f t="shared" si="3378"/>
        <v>4.7953011139634238</v>
      </c>
      <c r="EY591" s="99"/>
      <c r="EZ591" s="594"/>
      <c r="FA591" s="405"/>
      <c r="FB591" s="215"/>
      <c r="FC591" s="92"/>
      <c r="FD591" s="94"/>
      <c r="FE591" s="98" t="str">
        <f>IF(ISERROR((FD591/FB591-1)*100),"NA",IF(((FD591/FB591-1)*100)&gt;100,"NM",IF(((FD591/FB591-1)*100)&lt;-50,"NM",(FD591/FB591-1)*100)))</f>
        <v>NA</v>
      </c>
      <c r="FF591" s="99">
        <v>1831</v>
      </c>
      <c r="FG591" s="98" t="str">
        <f>IF(ISERROR((FF591/FD591-1)*100),"NA",IF(((FF591/FD591-1)*100)&gt;100,"NM",IF(((FF591/FD591-1)*100)&lt;-50,"NM",(FF591/FD591-1)*100)))</f>
        <v>NA</v>
      </c>
      <c r="FH591" s="99">
        <v>1893</v>
      </c>
      <c r="FI591" s="98">
        <f>IF(ISERROR((FH591/FF591-1)*100),"NA",IF(((FH591/FF591-1)*100)&gt;100,"NM",IF(((FH591/FF591-1)*100)&lt;-50,"NM",(FH591/FF591-1)*100)))</f>
        <v>3.3861277990169247</v>
      </c>
      <c r="FJ591" s="99">
        <f>SUM(S591,U591,W591,Y591)</f>
        <v>2139</v>
      </c>
      <c r="FK591" s="98">
        <f>IF(ISERROR((FJ591/FH591-1)*100),"NA",IF(((FJ591/FH591-1)*100)&gt;100,"NM",IF(((FJ591/FH591-1)*100)&lt;-50,"NM",(FJ591/FH591-1)*100)))</f>
        <v>12.995245641838359</v>
      </c>
      <c r="FL591" s="99">
        <f>SUM(AA591,AC591,AE591,AG591)</f>
        <v>2490</v>
      </c>
      <c r="FM591" s="98">
        <f>IF(ISERROR((FL591/FJ591-1)*100),"NA",IF(((FL591/FJ591-1)*100)&gt;100,"NM",IF(((FL591/FJ591-1)*100)&lt;-50,"NM",(FL591/FJ591-1)*100)))</f>
        <v>16.409537166900414</v>
      </c>
      <c r="FN591" s="99">
        <f>SUM(AI591,AK591,AM591,AO591)</f>
        <v>2867</v>
      </c>
      <c r="FO591" s="98">
        <f>IF(ISERROR((FN591/FL591-1)*100),"NA",IF(((FN591/FL591-1)*100)&gt;100,"NM",IF(((FN591/FL591-1)*100)&lt;-50,"NM",(FN591/FL591-1)*100)))</f>
        <v>15.14056224899598</v>
      </c>
      <c r="FP591" s="99">
        <f>SUM(AQ591,AS591,AU591,AW591)</f>
        <v>3828</v>
      </c>
      <c r="FQ591" s="98">
        <f>IF(ISERROR((FP591/FN591-1)*100),"NA",IF(((FP591/FN591-1)*100)&gt;100,"NM",IF(((FP591/FN591-1)*100)&lt;-50,"NM",(FP591/FN591-1)*100)))</f>
        <v>33.519358214161144</v>
      </c>
      <c r="FR591" s="99">
        <f>SUM(AY591,BA591,BC591,BE591)</f>
        <v>4786</v>
      </c>
      <c r="FS591" s="120">
        <f>IF(ISERROR((FR591/FP591-1)*100),"NA",IF(((FR591/FP591-1)*100)&gt;100,"NM",IF(((FR591/FP591-1)*100)&lt;-50,"NM",(FR591/FP591-1)*100)))</f>
        <v>25.026123301985372</v>
      </c>
      <c r="FT591" s="99">
        <f>SUM(BG591,BI591,BK591,BM591)</f>
        <v>5321</v>
      </c>
      <c r="FU591" s="120">
        <f>IF(ISERROR((FT591/FR591-1)*100),"NA",IF(((FT591/FR591-1)*100)&gt;100,"NM",IF(((FT591/FR591-1)*100)&lt;-50,"NM",(FT591/FR591-1)*100)))</f>
        <v>11.178437108232341</v>
      </c>
      <c r="FV591" s="99">
        <f>+BO591+BQ591+BS591+BU591</f>
        <v>5363</v>
      </c>
      <c r="FW591" s="98">
        <f>IF(ISERROR((FV591/FT591-1)*100),"NA",IF(((FV591/FT591-1)*100)&gt;100,"NM",IF(((FV591/FT591-1)*100)&lt;-50,"NM",(FV591/FT591-1)*100)))</f>
        <v>0.78932531479045664</v>
      </c>
      <c r="FX591" s="482">
        <f>BW591+BY591+CA591+CC591</f>
        <v>5230</v>
      </c>
      <c r="FY591" s="98">
        <f>IF(ISERROR((FX591/FV591-1)*100),"NA",IF(((FX591/FV591-1)*100)&gt;100,"NM",IF(((FX591/FV591-1)*100)&lt;-50,"NM",(FX591/FV591-1)*100)))</f>
        <v>-2.4799552489278343</v>
      </c>
      <c r="FZ591" s="99">
        <f>CE591+CG591+CI591+CK591</f>
        <v>5817</v>
      </c>
      <c r="GA591" s="98">
        <f>IF(ISERROR((FZ591/FX591-1)*100),"NA",IF(((FZ591/FX591-1)*100)&gt;100,"NM",IF(((FZ591/FX591-1)*100)&lt;-50,"NM",(FZ591/FX591-1)*100)))</f>
        <v>11.22370936902486</v>
      </c>
      <c r="GB591" s="485">
        <f>+CO591+CS591+CQ591+CM591</f>
        <v>7528</v>
      </c>
      <c r="GC591" s="98">
        <f>IF(ISERROR((GB591/FZ591-1)*100),"NA",IF(((GB591/FZ591-1)*100)&gt;100,"NM",IF(((GB591/FZ591-1)*100)&lt;-50,"NM",(GB591/FZ591-1)*100)))</f>
        <v>29.413787175520035</v>
      </c>
      <c r="GD591" s="99">
        <f>+CU591+CW591+CY591+DA591</f>
        <v>8212</v>
      </c>
      <c r="GE591" s="98">
        <f>IF(ISERROR((GD591/GB591-1)*100),"NA",IF(((GD591/GB591-1)*100)&gt;100,"NM",IF(((GD591/GB591-1)*100)&lt;-50,"NM",(GD591/GB591-1)*100)))</f>
        <v>9.0860786397449544</v>
      </c>
      <c r="GF591" s="99">
        <f>+DC591+DE591+DG591+DI591</f>
        <v>9085</v>
      </c>
      <c r="GG591" s="98">
        <f>IF(ISERROR((GF591/GD591-1)*100),"NA",IF(((GF591/GD591-1)*100)&gt;100,"NM",IF(((GF591/GD591-1)*100)&lt;-50,"NM",(GF591/GD591-1)*100)))</f>
        <v>10.630784218217237</v>
      </c>
      <c r="GH591" s="99">
        <f>+DK591+DM591+DO591+DQ591</f>
        <v>9541</v>
      </c>
      <c r="GI591" s="98">
        <f>IF(ISERROR((GH591/GF591-1)*100),"NA",IF(((GH591/GF591-1)*100)&gt;100,"NM",IF(((GH591/GF591-1)*100)&lt;-50,"NM",(GH591/GF591-1)*100)))</f>
        <v>5.0192625206384234</v>
      </c>
      <c r="GJ591" s="1006">
        <f>GJ470+GJ551+GJ62+GJ159+GJ314+GJ281+GJ350+GJ520</f>
        <v>5395</v>
      </c>
      <c r="GK591" s="98">
        <f>IF(ISERROR((GJ591/GH591-1)*100),"NA",IF(((GJ591/GH591-1)*100)&gt;100,"NM",IF(((GJ591/GH591-1)*100)&lt;-50,"NM",(GJ591/GH591-1)*100)))</f>
        <v>-43.454564511057534</v>
      </c>
      <c r="GL591" s="1006">
        <f>EA591+EC591+EE591+EG591</f>
        <v>5330</v>
      </c>
      <c r="GM591" s="98">
        <f>IF(ISERROR((GL591/GJ591-1)*100),"NA",IF(((GL591/GJ591-1)*100)&gt;100,"NM",IF(((GL591/GJ591-1)*100)&lt;-50,"NM",(GL591/GJ591-1)*100)))</f>
        <v>-1.2048192771084376</v>
      </c>
      <c r="GN591" s="1006">
        <f>EI591+EK591+EM591+EO591</f>
        <v>5407</v>
      </c>
      <c r="GO591" s="98">
        <f>IF(ISERROR((GN591/GL591-1)*100),"NA",IF(((GN591/GL591-1)*100)&gt;100,"NM",IF(((GN591/GL591-1)*100)&lt;-50,"NM",(GN591/GL591-1)*100)))</f>
        <v>1.4446529080675452</v>
      </c>
      <c r="GP591" s="1006">
        <f>EQ591+ES591+EU591+EW591</f>
        <v>5547.6099071632625</v>
      </c>
      <c r="GQ591" s="98">
        <f>IF(ISERROR((GP591/GN591-1)*100),"NA",IF(((GP591/GN591-1)*100)&gt;100,"NM",IF(((GP591/GN591-1)*100)&lt;-50,"NM",(GP591/GN591-1)*100)))</f>
        <v>2.6005161302619317</v>
      </c>
      <c r="GR591" s="1006">
        <f>GR470+(GR551*19.9%)+GR62+GR159+GR314+GR281+GR350+GR520</f>
        <v>5663.856127334041</v>
      </c>
      <c r="GS591" s="98">
        <f>IF(ISERROR((GR591/GP591-1)*100),"NA",IF(((GR591/GP591-1)*100)&gt;100,"NM",IF(((GR591/GP591-1)*100)&lt;-50,"NM",(GR591/GP591-1)*100)))</f>
        <v>2.0954288804747589</v>
      </c>
      <c r="GT591" s="1006">
        <f>GT470+(GT551*19.9%)+GT62+GT159+GT314+GT281+GT350+GT520</f>
        <v>5733.1987719864501</v>
      </c>
      <c r="GU591" s="98">
        <f>IF(ISERROR((GT591/GR591-1)*100),"NA",IF(((GT591/GR591-1)*100)&gt;100,"NM",IF(((GT591/GR591-1)*100)&lt;-50,"NM",(GT591/GR591-1)*100)))</f>
        <v>1.2243009549228967</v>
      </c>
      <c r="GV591" s="1006">
        <f>GV470+(GV551*19.9%)+GV62+GV159+GV314+GV281+GV350+GV520</f>
        <v>5824.5526033815277</v>
      </c>
      <c r="GW591" s="98">
        <f>IF(ISERROR((GV591/GT591-1)*100),"NA",IF(((GV591/GT591-1)*100)&gt;100,"NM",IF(((GV591/GT591-1)*100)&lt;-50,"NM",(GV591/GT591-1)*100)))</f>
        <v>1.5934181776750878</v>
      </c>
      <c r="GX591" s="1006">
        <f>GX470+(GX551*19.9%)+GX62+GX159+GX314+GX281+GX350+GX520</f>
        <v>5940.0691817374473</v>
      </c>
      <c r="GY591" s="98">
        <f>IF(ISERROR((GX591/GV591-1)*100),"NA",IF(((GX591/GV591-1)*100)&gt;100,"NM",IF(((GX591/GV591-1)*100)&lt;-50,"NM",(GX591/GV591-1)*100)))</f>
        <v>1.983269552563649</v>
      </c>
      <c r="GZ591" s="98">
        <f>IF(ISERROR(((GX591/GN591)^0.2-1)*100),"NA",IF((((GX591/GN591)^0.2-1)*100)&gt;100,"NM",IF((((GX591/GN591)^0.2-1)*100)&lt;-50,"NM",((GX591/GN591)^0.2-1)*100)))</f>
        <v>1.8983206704745736</v>
      </c>
      <c r="HA591" s="98"/>
      <c r="HC591"/>
      <c r="HD591"/>
      <c r="HE591"/>
      <c r="HF591"/>
      <c r="HG591"/>
      <c r="HH591"/>
    </row>
    <row r="592" spans="1:217" s="10" customFormat="1" ht="12.75" customHeight="1" x14ac:dyDescent="0.2">
      <c r="A592" s="10" t="s">
        <v>319</v>
      </c>
      <c r="B592" s="310" t="s">
        <v>173</v>
      </c>
      <c r="C592" s="94">
        <v>2717</v>
      </c>
      <c r="D592" s="94"/>
      <c r="E592" s="94">
        <v>2772</v>
      </c>
      <c r="F592" s="92"/>
      <c r="G592" s="94">
        <v>2830</v>
      </c>
      <c r="H592" s="92"/>
      <c r="I592" s="94">
        <v>3021</v>
      </c>
      <c r="J592" s="98"/>
      <c r="K592" s="94">
        <v>2908</v>
      </c>
      <c r="L592" s="98">
        <f>IF(ISERROR((K592/C592-1)*100),"NA",IF(((K592/C592-1)*100)&gt;100,"NM",IF(((K592/C592-1)*100)&lt;-50,"NM",(K592/C592-1)*100)))</f>
        <v>7.0298122929701945</v>
      </c>
      <c r="M592" s="94">
        <v>2886</v>
      </c>
      <c r="N592" s="98">
        <f>IF(ISERROR((M592/E592-1)*100),"NA",IF(((M592/E592-1)*100)&gt;100,"NM",IF(((M592/E592-1)*100)&lt;-50,"NM",(M592/E592-1)*100)))</f>
        <v>4.1125541125541121</v>
      </c>
      <c r="O592" s="94">
        <v>2885</v>
      </c>
      <c r="P592" s="98">
        <f>IF(ISERROR((O592/G592-1)*100),"NA",IF(((O592/G592-1)*100)&gt;100,"NM",IF(((O592/G592-1)*100)&lt;-50,"NM",(O592/G592-1)*100)))</f>
        <v>1.9434628975264934</v>
      </c>
      <c r="Q592" s="94">
        <v>3041.2222222222222</v>
      </c>
      <c r="R592" s="98">
        <f>IF(ISERROR((Q592/I592-1)*100),"NA",IF(((Q592/I592-1)*100)&gt;100,"NM",IF(((Q592/I592-1)*100)&lt;-50,"NM",(Q592/I592-1)*100)))</f>
        <v>0.66938835558498777</v>
      </c>
      <c r="S592" s="94">
        <v>2789</v>
      </c>
      <c r="T592" s="98">
        <f>IF(ISERROR((S592/K592-1)*100),"NA",IF(((S592/K592-1)*100)&gt;100,"NM",IF(((S592/K592-1)*100)&lt;-50,"NM",(S592/K592-1)*100)))</f>
        <v>-4.0921595598349398</v>
      </c>
      <c r="U592" s="94">
        <v>2861</v>
      </c>
      <c r="V592" s="98">
        <f>IF(ISERROR((U592/M592-1)*100),"NA",IF(((U592/M592-1)*100)&gt;100,"NM",IF(((U592/M592-1)*100)&lt;-50,"NM",(U592/M592-1)*100)))</f>
        <v>-0.86625086625086167</v>
      </c>
      <c r="W592" s="94">
        <v>2839</v>
      </c>
      <c r="X592" s="98">
        <f>IF(ISERROR((W592/O592-1)*100),"NA",IF(((W592/O592-1)*100)&gt;100,"NM",IF(((W592/O592-1)*100)&lt;-50,"NM",(W592/O592-1)*100)))</f>
        <v>-1.5944540727902967</v>
      </c>
      <c r="Y592" s="94">
        <v>2964</v>
      </c>
      <c r="Z592" s="98">
        <f>IF(ISERROR((Y592/Q592-1)*100),"NA",IF(((Y592/Q592-1)*100)&gt;100,"NM",IF(((Y592/Q592-1)*100)&lt;-50,"NM",(Y592/Q592-1)*100)))</f>
        <v>-2.5391838076796569</v>
      </c>
      <c r="AA592" s="94">
        <v>2899</v>
      </c>
      <c r="AB592" s="98">
        <f>IF(ISERROR((AA592/S592-1)*100),"NA",IF(((AA592/S592-1)*100)&gt;100,"NM",IF(((AA592/S592-1)*100)&lt;-50,"NM",(AA592/S592-1)*100)))</f>
        <v>3.9440659734671923</v>
      </c>
      <c r="AC592" s="94">
        <v>2889</v>
      </c>
      <c r="AD592" s="98">
        <f>IF(ISERROR((AC592/U592-1)*100),"NA",IF(((AC592/U592-1)*100)&gt;100,"NM",IF(((AC592/U592-1)*100)&lt;-50,"NM",(AC592/U592-1)*100)))</f>
        <v>0.97867878364208405</v>
      </c>
      <c r="AE592" s="94">
        <v>2914</v>
      </c>
      <c r="AF592" s="98">
        <f>IF(ISERROR((AE592/W592-1)*100),"NA",IF(((AE592/W592-1)*100)&gt;100,"NM",IF(((AE592/W592-1)*100)&lt;-50,"NM",(AE592/W592-1)*100)))</f>
        <v>2.6417752729834376</v>
      </c>
      <c r="AG592" s="94">
        <v>3070</v>
      </c>
      <c r="AH592" s="98">
        <f>IF(ISERROR((AG592/Y592-1)*100),"NA",IF(((AG592/Y592-1)*100)&gt;100,"NM",IF(((AG592/Y592-1)*100)&lt;-50,"NM",(AG592/Y592-1)*100)))</f>
        <v>3.5762483130904243</v>
      </c>
      <c r="AI592" s="94">
        <v>3000</v>
      </c>
      <c r="AJ592" s="98">
        <f>IF(ISERROR((AI592/AA592-1)*100),"NA",IF(((AI592/AA592-1)*100)&gt;100,"NM",IF(((AI592/AA592-1)*100)&lt;-50,"NM",(AI592/AA592-1)*100)))</f>
        <v>3.4839599862021453</v>
      </c>
      <c r="AK592" s="94">
        <v>3157</v>
      </c>
      <c r="AL592" s="98">
        <f>IF(ISERROR((AK592/AC592-1)*100),"NA",IF(((AK592/AC592-1)*100)&gt;100,"NM",IF(((AK592/AC592-1)*100)&lt;-50,"NM",(AK592/AC592-1)*100)))</f>
        <v>9.2765662859120912</v>
      </c>
      <c r="AM592" s="94">
        <v>3107</v>
      </c>
      <c r="AN592" s="98">
        <f>IF(ISERROR((AM592/AE592-1)*100),"NA",IF(((AM592/AE592-1)*100)&gt;100,"NM",IF(((AM592/AE592-1)*100)&lt;-50,"NM",(AM592/AE592-1)*100)))</f>
        <v>6.6231983527796912</v>
      </c>
      <c r="AO592" s="94">
        <v>3347</v>
      </c>
      <c r="AP592" s="98">
        <f>IF(ISERROR((AO592/AG592-1)*100),"NA",IF(((AO592/AG592-1)*100)&gt;100,"NM",IF(((AO592/AG592-1)*100)&lt;-50,"NM",(AO592/AG592-1)*100)))</f>
        <v>9.0228013029316045</v>
      </c>
      <c r="AQ592" s="94">
        <v>3279</v>
      </c>
      <c r="AR592" s="98">
        <f>IF(ISERROR((AQ592/AI592-1)*100),"NA",IF(((AQ592/AI592-1)*100)&gt;100,"NM",IF(((AQ592/AI592-1)*100)&lt;-50,"NM",(AQ592/AI592-1)*100)))</f>
        <v>9.2999999999999972</v>
      </c>
      <c r="AS592" s="94">
        <v>3508</v>
      </c>
      <c r="AT592" s="98">
        <f>IF(ISERROR((AS592/AK592-1)*100),"NA",IF(((AS592/AK592-1)*100)&gt;100,"NM",IF(((AS592/AK592-1)*100)&lt;-50,"NM",(AS592/AK592-1)*100)))</f>
        <v>11.118150142540383</v>
      </c>
      <c r="AU592" s="94">
        <v>4112</v>
      </c>
      <c r="AV592" s="98">
        <f>IF(ISERROR((AU592/AM592-1)*100),"NA",IF(((AU592/AM592-1)*100)&gt;100,"NM",IF(((AU592/AM592-1)*100)&lt;-50,"NM",(AU592/AM592-1)*100)))</f>
        <v>32.34631477309302</v>
      </c>
      <c r="AW592" s="94">
        <v>4167</v>
      </c>
      <c r="AX592" s="98">
        <f>IF(ISERROR((AW592/AO592-1)*100),"NA",IF(((AW592/AO592-1)*100)&gt;100,"NM",IF(((AW592/AO592-1)*100)&lt;-50,"NM",(AW592/AO592-1)*100)))</f>
        <v>24.499551837466392</v>
      </c>
      <c r="AY592" s="94">
        <v>4254</v>
      </c>
      <c r="AZ592" s="98">
        <f>IF(ISERROR((AY592/AQ592-1)*100),"NA",IF(((AY592/AQ592-1)*100)&gt;100,"NM",IF(((AY592/AQ592-1)*100)&lt;-50,"NM",(AY592/AQ592-1)*100)))</f>
        <v>29.734675205855442</v>
      </c>
      <c r="BA592" s="94">
        <v>4254</v>
      </c>
      <c r="BB592" s="98">
        <f>IF(ISERROR((BA592/AS592-1)*100),"NA",IF(((BA592/AS592-1)*100)&gt;100,"NM",IF(((BA592/AS592-1)*100)&lt;-50,"NM",(BA592/AS592-1)*100)))</f>
        <v>21.265678449258839</v>
      </c>
      <c r="BC592" s="94">
        <v>4283</v>
      </c>
      <c r="BD592" s="98">
        <f>IF(ISERROR((BC592/AU592-1)*100),"NA",IF(((BC592/AU592-1)*100)&gt;100,"NM",IF(((BC592/AU592-1)*100)&lt;-50,"NM",(BC592/AU592-1)*100)))</f>
        <v>4.1585603112840541</v>
      </c>
      <c r="BE592" s="94">
        <v>4675</v>
      </c>
      <c r="BF592" s="98">
        <f>IF(ISERROR((BE592/AW592-1)*100),"NA",IF(((BE592/AW592-1)*100)&gt;100,"NM",IF(((BE592/AW592-1)*100)&lt;-50,"NM",(BE592/AW592-1)*100)))</f>
        <v>12.191024718022557</v>
      </c>
      <c r="BG592" s="94">
        <v>4582</v>
      </c>
      <c r="BH592" s="98">
        <f>IF(ISERROR((BG592/AY592-1)*100),"NA",IF(((BG592/AY592-1)*100)&gt;100,"NM",IF(((BG592/AY592-1)*100)&lt;-50,"NM",(BG592/AY592-1)*100)))</f>
        <v>7.7103902209685105</v>
      </c>
      <c r="BI592" s="94">
        <v>4902</v>
      </c>
      <c r="BJ592" s="98">
        <f>IF(ISERROR((BI592/BA592-1)*100),"NA",IF(((BI592/BA592-1)*100)&gt;100,"NM",IF(((BI592/BA592-1)*100)&lt;-50,"NM",(BI592/BA592-1)*100)))</f>
        <v>15.232722143864596</v>
      </c>
      <c r="BK592" s="94">
        <v>4577</v>
      </c>
      <c r="BL592" s="98">
        <f>IF(ISERROR((BK592/BC592-1)*100),"NA",IF(((BK592/BC592-1)*100)&gt;100,"NM",IF(((BK592/BC592-1)*100)&lt;-50,"NM",(BK592/BC592-1)*100)))</f>
        <v>6.8643474200326793</v>
      </c>
      <c r="BM592" s="94">
        <v>4801</v>
      </c>
      <c r="BN592" s="98">
        <f>IF(ISERROR((BM592/BE592-1)*100),"NA",IF(((BM592/BE592-1)*100)&gt;100,"NM",IF(((BM592/BE592-1)*100)&lt;-50,"NM",(BM592/BE592-1)*100)))</f>
        <v>2.6951871657753923</v>
      </c>
      <c r="BO592" s="94">
        <v>4269</v>
      </c>
      <c r="BP592" s="98">
        <f>IF(ISERROR((BO592/BG592-1)*100),"NA",IF(((BO592/BG592-1)*100)&gt;100,"NM",IF(((BO592/BG592-1)*100)&lt;-50,"NM",(BO592/BG592-1)*100)))</f>
        <v>-6.831078131820167</v>
      </c>
      <c r="BQ592" s="94">
        <v>4297</v>
      </c>
      <c r="BR592" s="98">
        <f>IF(ISERROR((BQ592/BI592-1)*100),"NA",IF(((BQ592/BI592-1)*100)&gt;100,"NM",IF(((BQ592/BI592-1)*100)&lt;-50,"NM",(BQ592/BI592-1)*100)))</f>
        <v>-12.341901264789879</v>
      </c>
      <c r="BS592" s="94">
        <v>4013</v>
      </c>
      <c r="BT592" s="98">
        <f>IF(ISERROR((BS592/BK592-1)*100),"NA",IF(((BS592/BK592-1)*100)&gt;100,"NM",IF(((BS592/BK592-1)*100)&lt;-50,"NM",(BS592/BK592-1)*100)))</f>
        <v>-12.322481975092858</v>
      </c>
      <c r="BU592" s="94">
        <v>3621</v>
      </c>
      <c r="BV592" s="98">
        <f>IF(ISERROR((BU592/BM592-1)*100),"NA",IF(((BU592/BM592-1)*100)&gt;100,"NM",IF(((BU592/BM592-1)*100)&lt;-50,"NM",(BU592/BM592-1)*100)))</f>
        <v>-24.578212872318272</v>
      </c>
      <c r="BW592" s="94">
        <v>3274</v>
      </c>
      <c r="BX592" s="98">
        <f>IF(ISERROR((BW592/BO592-1)*100),"NA",IF(((BW592/BO592-1)*100)&gt;100,"NM",IF(((BW592/BO592-1)*100)&lt;-50,"NM",(BW592/BO592-1)*100)))</f>
        <v>-23.307566174748185</v>
      </c>
      <c r="BY592" s="94">
        <v>3859</v>
      </c>
      <c r="BZ592" s="98">
        <f>IF(ISERROR((BY592/BQ592-1)*100),"NA",IF(((BY592/BQ592-1)*100)&gt;100,"NM",IF(((BY592/BQ592-1)*100)&lt;-50,"NM",(BY592/BQ592-1)*100)))</f>
        <v>-10.193158017221315</v>
      </c>
      <c r="CA592" s="94">
        <v>3956</v>
      </c>
      <c r="CB592" s="98">
        <f>IF(ISERROR((CA592/BS592-1)*100),"NA",IF(((CA592/BS592-1)*100)&gt;100,"NM",IF(((CA592/BS592-1)*100)&lt;-50,"NM",(CA592/BS592-1)*100)))</f>
        <v>-1.4203837528033891</v>
      </c>
      <c r="CC592" s="94">
        <v>4000</v>
      </c>
      <c r="CD592" s="98">
        <f>IF(ISERROR((CC592/BU592-1)*100),"NA",IF(((CC592/BU592-1)*100)&gt;100,"NM",IF(((CC592/BU592-1)*100)&lt;-50,"NM",(CC592/BU592-1)*100)))</f>
        <v>10.46672190002762</v>
      </c>
      <c r="CE592" s="94">
        <v>4271</v>
      </c>
      <c r="CF592" s="98">
        <f>IF(ISERROR((CE592/BW592-1)*100),"NA",IF(((CE592/BW592-1)*100)&gt;100,"NM",IF(((CE592/BW592-1)*100)&lt;-50,"NM",(CE592/BW592-1)*100)))</f>
        <v>30.452046426389746</v>
      </c>
      <c r="CG592" s="94">
        <v>4120</v>
      </c>
      <c r="CH592" s="98">
        <f>IF(ISERROR((CG592/BY592-1)*100),"NA",IF(((CG592/BY592-1)*100)&gt;100,"NM",IF(((CG592/BY592-1)*100)&lt;-50,"NM",(CG592/BY592-1)*100)))</f>
        <v>6.7634102098989457</v>
      </c>
      <c r="CI592" s="94">
        <v>4314</v>
      </c>
      <c r="CJ592" s="98">
        <f>IF(ISERROR((CI592/CA592-1)*100),"NA",IF(((CI592/CA592-1)*100)&gt;100,"NM",IF(((CI592/CA592-1)*100)&lt;-50,"NM",(CI592/CA592-1)*100)))</f>
        <v>9.0495449949443909</v>
      </c>
      <c r="CK592" s="94">
        <v>4437</v>
      </c>
      <c r="CL592" s="98">
        <f>IF(ISERROR((CK592/CC592-1)*100),"NA",IF(((CK592/CC592-1)*100)&gt;100,"NM",IF(((CK592/CC592-1)*100)&lt;-50,"NM",(CK592/CC592-1)*100)))</f>
        <v>10.925000000000008</v>
      </c>
      <c r="CM592" s="94">
        <v>4783</v>
      </c>
      <c r="CN592" s="98">
        <f>IF(ISERROR((CM592/CE592-1)*100),"NA",IF(((CM592/CE592-1)*100)&gt;100,"NM",IF(((CM592/CE592-1)*100)&lt;-50,"NM",(CM592/CE592-1)*100)))</f>
        <v>11.98782486537111</v>
      </c>
      <c r="CO592" s="94">
        <v>5011</v>
      </c>
      <c r="CP592" s="98">
        <f>IF(ISERROR((CO592/CG592-1)*100),"NA",IF(((CO592/CG592-1)*100)&gt;100,"NM",IF(((CO592/CG592-1)*100)&lt;-50,"NM",(CO592/CG592-1)*100)))</f>
        <v>21.626213592233</v>
      </c>
      <c r="CQ592" s="533">
        <v>4961</v>
      </c>
      <c r="CR592" s="98">
        <f>IF(ISERROR((CQ592/CI592-1)*100),"NA",IF(((CQ592/CI592-1)*100)&gt;100,"NM",IF(((CQ592/CI592-1)*100)&lt;-50,"NM",(CQ592/CI592-1)*100)))</f>
        <v>14.997681965693088</v>
      </c>
      <c r="CS592" s="94">
        <v>4892</v>
      </c>
      <c r="CT592" s="98">
        <f>IF(ISERROR((CS592/CK592-1)*100),"NA",IF(((CS592/CK592-1)*100)&gt;100,"NM",IF(((CS592/CK592-1)*100)&lt;-50,"NM",(CS592/CK592-1)*100)))</f>
        <v>10.254676583276989</v>
      </c>
      <c r="CU592" s="94">
        <v>5077</v>
      </c>
      <c r="CV592" s="98">
        <f>IF(ISERROR((CU592/CM592-1)*100),"NA",IF(((CU592/CM592-1)*100)&gt;100,"NM",IF(((CU592/CM592-1)*100)&lt;-50,"NM",(CU592/CM592-1)*100)))</f>
        <v>6.1467698097428469</v>
      </c>
      <c r="CW592" s="94">
        <v>5172</v>
      </c>
      <c r="CX592" s="98">
        <f>IF(ISERROR((CW592/CO592-1)*100),"NA",IF(((CW592/CO592-1)*100)&gt;100,"NM",IF(((CW592/CO592-1)*100)&lt;-50,"NM",(CW592/CO592-1)*100)))</f>
        <v>3.2129315505887046</v>
      </c>
      <c r="CY592" s="94">
        <v>5048</v>
      </c>
      <c r="CZ592" s="98">
        <f>IF(ISERROR((CY592/CQ592-1)*100),"NA",IF(((CY592/CQ592-1)*100)&gt;100,"NM",IF(((CY592/CQ592-1)*100)&lt;-50,"NM",(CY592/CQ592-1)*100)))</f>
        <v>1.7536786938117332</v>
      </c>
      <c r="DA592" s="94">
        <v>5175</v>
      </c>
      <c r="DB592" s="98">
        <f>IF(ISERROR((DA592/CS592-1)*100),"NA",IF(((DA592/CS592-1)*100)&gt;100,"NM",IF(((DA592/CS592-1)*100)&lt;-50,"NM",(DA592/CS592-1)*100)))</f>
        <v>5.784955028618155</v>
      </c>
      <c r="DC592" s="94">
        <v>5082</v>
      </c>
      <c r="DD592" s="98">
        <f>IF(ISERROR((DC592/CU592-1)*100),"NA",IF(((DC592/CU592-1)*100)&gt;100,"NM",IF(((DC592/CU592-1)*100)&lt;-50,"NM",(DC592/CU592-1)*100)))</f>
        <v>9.8483356312772941E-2</v>
      </c>
      <c r="DE592" s="94">
        <v>5057</v>
      </c>
      <c r="DF592" s="98">
        <f>IF(ISERROR((DE592/CW592-1)*100),"NA",IF(((DE592/CW592-1)*100)&gt;100,"NM",IF(((DE592/CW592-1)*100)&lt;-50,"NM",(DE592/CW592-1)*100)))</f>
        <v>-2.2235112142304669</v>
      </c>
      <c r="DG592" s="94">
        <v>4998</v>
      </c>
      <c r="DH592" s="98">
        <f>IF(ISERROR((DG592/CY592-1)*100),"NA",IF(((DG592/CY592-1)*100)&gt;100,"NM",IF(((DG592/CY592-1)*100)&lt;-50,"NM",(DG592/CY592-1)*100)))</f>
        <v>-0.9904912836767088</v>
      </c>
      <c r="DI592" s="94">
        <v>5257</v>
      </c>
      <c r="DJ592" s="98">
        <f>IF(ISERROR((DI592/DA592-1)*100),"NA",IF(((DI592/DA592-1)*100)&gt;100,"NM",IF(((DI592/DA592-1)*100)&lt;-50,"NM",(DI592/DA592-1)*100)))</f>
        <v>1.5845410628019252</v>
      </c>
      <c r="DK592" s="94">
        <v>5085</v>
      </c>
      <c r="DL592" s="98">
        <f>IF(ISERROR((DK592/DC592-1)*100),"NA",IF(((DK592/DC592-1)*100)&gt;100,"NM",IF(((DK592/DC592-1)*100)&lt;-50,"NM",(DK592/DC592-1)*100)))</f>
        <v>5.9031877213699957E-2</v>
      </c>
      <c r="DM592" s="94">
        <v>5095</v>
      </c>
      <c r="DN592" s="98">
        <f>IF(ISERROR((DM592/DE592-1)*100),"NA",IF(((DM592/DE592-1)*100)&gt;100,"NM",IF(((DM592/DE592-1)*100)&lt;-50,"NM",(DM592/DE592-1)*100)))</f>
        <v>0.75143365631797909</v>
      </c>
      <c r="DO592" s="94">
        <v>5193</v>
      </c>
      <c r="DP592" s="98">
        <f>IF(ISERROR((DO592/DG592-1)*100),"NA",IF(((DO592/DG592-1)*100)&gt;100,"NM",IF(((DO592/DG592-1)*100)&lt;-50,"NM",(DO592/DG592-1)*100)))</f>
        <v>3.9015606242496892</v>
      </c>
      <c r="DQ592" s="94">
        <v>5111</v>
      </c>
      <c r="DR592" s="98">
        <f>IF(ISERROR((DQ592/DI592-1)*100),"NA",IF(((DQ592/DI592-1)*100)&gt;100,"NM",IF(((DQ592/DI592-1)*100)&lt;-50,"NM",(DQ592/DI592-1)*100)))</f>
        <v>-2.7772493817766808</v>
      </c>
      <c r="DS592" s="1006">
        <f>DS471+DS552+DS63+DS160+DS315+DS282+DS351+DS252+DS521</f>
        <v>4173</v>
      </c>
      <c r="DT592" s="1108">
        <v>-2.0255653883972435</v>
      </c>
      <c r="DU592" s="1006">
        <f>DU471+DU552+DU63+DU160+DU315+DU282+DU351+DU252+DU521</f>
        <v>4320</v>
      </c>
      <c r="DV592" s="1108">
        <v>1.7664376840039298</v>
      </c>
      <c r="DW592" s="1006">
        <f>DW471+DW552+DW63+DW160+DW315+DW282+DW351+DW252+DW521</f>
        <v>3987</v>
      </c>
      <c r="DX592" s="1108">
        <v>-6.6243019449258593</v>
      </c>
      <c r="DY592" s="1006">
        <f>DY471+DY552+DY63+DY160+DY315+DY282+DY351+DY252+DY521</f>
        <v>3982</v>
      </c>
      <c r="DZ592" s="1108">
        <v>-6.6131872432009349</v>
      </c>
      <c r="EA592" s="1006">
        <f>EA471+EA63+EA160+EA315+EA282+EA351+EA252+EA521</f>
        <v>3948</v>
      </c>
      <c r="EB592" s="1108">
        <v>-5.5399437976716204</v>
      </c>
      <c r="EC592" s="1006">
        <f>EC471+EC63+EC160+EC315+EC282+EC351+EC252+EC521</f>
        <v>4074</v>
      </c>
      <c r="ED592" s="98">
        <f>IF(ISERROR((EC592/DU592-1)*100),"NA",IF(((EC592/DU592-1)*100)&gt;100,"NM",IF(((EC592/DU592-1)*100)&lt;-50,"NM",(EC592/DU592-1)*100)))</f>
        <v>-5.6944444444444464</v>
      </c>
      <c r="EE592" s="1006">
        <f>EE471+EE63+EE160+EE315+EE282+EE351+EE252+EE521</f>
        <v>4279</v>
      </c>
      <c r="EF592" s="860">
        <f>IF(ISERROR((EE592/DW592-1)*100),"NA",IF(((EE592/DW592-1)*100)&gt;100,"NM",IF(((EE592/DW592-1)*100)&lt;-50,"NM",(EE592/DW592-1)*100)))</f>
        <v>7.3238023576624123</v>
      </c>
      <c r="EG592" s="1006">
        <f>EG471+EG63+EG160+EG315+EG282+EG351+EG252+EG521</f>
        <v>4136</v>
      </c>
      <c r="EH592" s="860">
        <f>IF(ISERROR((EG592/DY592-1)*100),"NA",IF(((EG592/DY592-1)*100)&gt;100,"NM",IF(((EG592/DY592-1)*100)&lt;-50,"NM",(EG592/DY592-1)*100)))</f>
        <v>3.8674033149171283</v>
      </c>
      <c r="EI592" s="1006">
        <f>EI471+EI63+EI160+EI315+EI282+EI351+EI252+EI521</f>
        <v>4172</v>
      </c>
      <c r="EJ592" s="860">
        <f t="shared" si="3371"/>
        <v>5.6737588652482351</v>
      </c>
      <c r="EK592" s="1006">
        <f>EK471+EK63+EK160+EK315+EK282+EK351+EK252+EK521</f>
        <v>4113</v>
      </c>
      <c r="EL592" s="860">
        <f t="shared" si="3372"/>
        <v>0.95729013254786111</v>
      </c>
      <c r="EM592" s="1006">
        <f>EM471+EM552+EM63+EM160+EM315+EM282+EM351+EM252+EM521</f>
        <v>4156</v>
      </c>
      <c r="EN592" s="860">
        <f t="shared" si="3373"/>
        <v>-2.8745033886422022</v>
      </c>
      <c r="EO592" s="1006">
        <f>EO471+EO552+EO63+EO160+EO315+EO282+EO351+EO252+EO521</f>
        <v>4103</v>
      </c>
      <c r="EP592" s="98">
        <f t="shared" si="3374"/>
        <v>-0.79787234042553168</v>
      </c>
      <c r="EQ592" s="1006">
        <f>EQ471+(EQ552*19.9%)+EQ63+EQ160+EQ315+EQ282+EQ351+EQ252+EQ521</f>
        <v>4149.7413766001828</v>
      </c>
      <c r="ER592" s="98">
        <f t="shared" si="3375"/>
        <v>-0.5335240508105743</v>
      </c>
      <c r="ES592" s="1006">
        <f>ES471+(ES552*19.9%)+ES63+ES160+ES315+ES282+ES351+ES252+ES521</f>
        <v>4167.9403029496252</v>
      </c>
      <c r="ET592" s="98">
        <f t="shared" si="3376"/>
        <v>1.3357720143356566</v>
      </c>
      <c r="EU592" s="1006">
        <f>EU471+(EU552*19.9%)+EU63+EU160+EU315+EU282+EU351+EU252+EU521</f>
        <v>4183.7837736369984</v>
      </c>
      <c r="EV592" s="98">
        <f t="shared" si="3377"/>
        <v>0.66852198356588399</v>
      </c>
      <c r="EW592" s="1006">
        <f>EW471+(EW552*19.9%)+EW63+EW160+EW315+EW282+EW351+EW252+EW521</f>
        <v>4194.9838457543701</v>
      </c>
      <c r="EX592" s="98">
        <f t="shared" si="3378"/>
        <v>2.2418680417833237</v>
      </c>
      <c r="EY592" s="99"/>
      <c r="EZ592" s="594"/>
      <c r="FA592" s="405"/>
      <c r="FB592" s="215"/>
      <c r="FC592" s="92"/>
      <c r="FD592" s="94"/>
      <c r="FE592" s="98" t="str">
        <f>IF(ISERROR((FD592/FB592-1)*100),"NA",IF(((FD592/FB592-1)*100)&gt;100,"NM",IF(((FD592/FB592-1)*100)&lt;-50,"NM",(FD592/FB592-1)*100)))</f>
        <v>NA</v>
      </c>
      <c r="FF592" s="99">
        <v>11340</v>
      </c>
      <c r="FG592" s="98" t="str">
        <f>IF(ISERROR((FF592/FD592-1)*100),"NA",IF(((FF592/FD592-1)*100)&gt;100,"NM",IF(((FF592/FD592-1)*100)&lt;-50,"NM",(FF592/FD592-1)*100)))</f>
        <v>NA</v>
      </c>
      <c r="FH592" s="99">
        <v>11720.222222222223</v>
      </c>
      <c r="FI592" s="98">
        <f>IF(ISERROR((FH592/FF592-1)*100),"NA",IF(((FH592/FF592-1)*100)&gt;100,"NM",IF(((FH592/FF592-1)*100)&lt;-50,"NM",(FH592/FF592-1)*100)))</f>
        <v>3.3529296492259553</v>
      </c>
      <c r="FJ592" s="99">
        <f>SUM(S592,U592,W592,Y592)</f>
        <v>11453</v>
      </c>
      <c r="FK592" s="98">
        <f>IF(ISERROR((FJ592/FH592-1)*100),"NA",IF(((FJ592/FH592-1)*100)&gt;100,"NM",IF(((FJ592/FH592-1)*100)&lt;-50,"NM",(FJ592/FH592-1)*100)))</f>
        <v>-2.2800098595020968</v>
      </c>
      <c r="FL592" s="99">
        <f>SUM(AA592,AC592,AE592,AG592)</f>
        <v>11772</v>
      </c>
      <c r="FM592" s="98">
        <f>IF(ISERROR((FL592/FJ592-1)*100),"NA",IF(((FL592/FJ592-1)*100)&gt;100,"NM",IF(((FL592/FJ592-1)*100)&lt;-50,"NM",(FL592/FJ592-1)*100)))</f>
        <v>2.7852964288832549</v>
      </c>
      <c r="FN592" s="99">
        <f>SUM(AI592,AK592,AM592,AO592)</f>
        <v>12611</v>
      </c>
      <c r="FO592" s="98">
        <f>IF(ISERROR((FN592/FL592-1)*100),"NA",IF(((FN592/FL592-1)*100)&gt;100,"NM",IF(((FN592/FL592-1)*100)&lt;-50,"NM",(FN592/FL592-1)*100)))</f>
        <v>7.1270812096500213</v>
      </c>
      <c r="FP592" s="99">
        <f>SUM(AQ592,AS592,AU592,AW592)</f>
        <v>15066</v>
      </c>
      <c r="FQ592" s="98">
        <f>IF(ISERROR((FP592/FN592-1)*100),"NA",IF(((FP592/FN592-1)*100)&gt;100,"NM",IF(((FP592/FN592-1)*100)&lt;-50,"NM",(FP592/FN592-1)*100)))</f>
        <v>19.467131869003239</v>
      </c>
      <c r="FR592" s="99">
        <f>SUM(AY592,BA592,BC592,BE592)</f>
        <v>17466</v>
      </c>
      <c r="FS592" s="120">
        <f>IF(ISERROR((FR592/FP592-1)*100),"NA",IF(((FR592/FP592-1)*100)&gt;100,"NM",IF(((FR592/FP592-1)*100)&lt;-50,"NM",(FR592/FP592-1)*100)))</f>
        <v>15.929908403026683</v>
      </c>
      <c r="FT592" s="99">
        <f>SUM(BG592,BI592,BK592,BM592)</f>
        <v>18862</v>
      </c>
      <c r="FU592" s="120">
        <f>IF(ISERROR((FT592/FR592-1)*100),"NA",IF(((FT592/FR592-1)*100)&gt;100,"NM",IF(((FT592/FR592-1)*100)&lt;-50,"NM",(FT592/FR592-1)*100)))</f>
        <v>7.9926714760105266</v>
      </c>
      <c r="FV592" s="99">
        <f>+BO592+BQ592+BS592+BU592</f>
        <v>16200</v>
      </c>
      <c r="FW592" s="98">
        <f>IF(ISERROR((FV592/FT592-1)*100),"NA",IF(((FV592/FT592-1)*100)&gt;100,"NM",IF(((FV592/FT592-1)*100)&lt;-50,"NM",(FV592/FT592-1)*100)))</f>
        <v>-14.113031491888449</v>
      </c>
      <c r="FX592" s="482">
        <f>BW592+BY592+CA592+CC592</f>
        <v>15089</v>
      </c>
      <c r="FY592" s="98">
        <f>IF(ISERROR((FX592/FV592-1)*100),"NA",IF(((FX592/FV592-1)*100)&gt;100,"NM",IF(((FX592/FV592-1)*100)&lt;-50,"NM",(FX592/FV592-1)*100)))</f>
        <v>-6.8580246913580218</v>
      </c>
      <c r="FZ592" s="99">
        <f>CE592+CG592+CI592+CK592</f>
        <v>17142</v>
      </c>
      <c r="GA592" s="98">
        <f>IF(ISERROR((FZ592/FX592-1)*100),"NA",IF(((FZ592/FX592-1)*100)&gt;100,"NM",IF(((FZ592/FX592-1)*100)&lt;-50,"NM",(FZ592/FX592-1)*100)))</f>
        <v>13.605938100603087</v>
      </c>
      <c r="GB592" s="533">
        <v>19638</v>
      </c>
      <c r="GC592" s="98">
        <f>IF(ISERROR((GB592/FZ592-1)*100),"NA",IF(((GB592/FZ592-1)*100)&gt;100,"NM",IF(((GB592/FZ592-1)*100)&lt;-50,"NM",(GB592/FZ592-1)*100)))</f>
        <v>14.560728036401827</v>
      </c>
      <c r="GD592" s="99">
        <f>+CU592+CW592+CY592+DA592</f>
        <v>20472</v>
      </c>
      <c r="GE592" s="98">
        <f>IF(ISERROR((GD592/GB592-1)*100),"NA",IF(((GD592/GB592-1)*100)&gt;100,"NM",IF(((GD592/GB592-1)*100)&lt;-50,"NM",(GD592/GB592-1)*100)))</f>
        <v>4.2468683165291843</v>
      </c>
      <c r="GF592" s="99">
        <f>+DC592+DE592+DG592+DI592</f>
        <v>20394</v>
      </c>
      <c r="GG592" s="98">
        <f>IF(ISERROR((GF592/GD592-1)*100),"NA",IF(((GF592/GD592-1)*100)&gt;100,"NM",IF(((GF592/GD592-1)*100)&lt;-50,"NM",(GF592/GD592-1)*100)))</f>
        <v>-0.38100820633060195</v>
      </c>
      <c r="GH592" s="99">
        <f>+DK592+DM592+DO592+DQ592</f>
        <v>20484</v>
      </c>
      <c r="GI592" s="98">
        <f>IF(ISERROR((GH592/GF592-1)*100),"NA",IF(((GH592/GF592-1)*100)&gt;100,"NM",IF(((GH592/GF592-1)*100)&lt;-50,"NM",(GH592/GF592-1)*100)))</f>
        <v>0.44130626654899086</v>
      </c>
      <c r="GJ592" s="1006">
        <f>GJ471+GJ552+GJ63+GJ160+GJ315+GJ282+GJ351+GJ252+GJ521</f>
        <v>16462</v>
      </c>
      <c r="GK592" s="98">
        <f>IF(ISERROR((GJ592/GH592-1)*100),"NA",IF(((GJ592/GH592-1)*100)&gt;100,"NM",IF(((GJ592/GH592-1)*100)&lt;-50,"NM",(GJ592/GH592-1)*100)))</f>
        <v>-19.634836945909008</v>
      </c>
      <c r="GL592" s="1006">
        <f>EA592+EC592+EE592+EG592</f>
        <v>16437</v>
      </c>
      <c r="GM592" s="98">
        <f>IF(ISERROR((GL592/GJ592-1)*100),"NA",IF(((GL592/GJ592-1)*100)&gt;100,"NM",IF(((GL592/GJ592-1)*100)&lt;-50,"NM",(GL592/GJ592-1)*100)))</f>
        <v>-0.15186490098408889</v>
      </c>
      <c r="GN592" s="1006">
        <f>EI592+EK592+EM592+EO592</f>
        <v>16544</v>
      </c>
      <c r="GO592" s="98">
        <f>IF(ISERROR((GN592/GL592-1)*100),"NA",IF(((GN592/GL592-1)*100)&gt;100,"NM",IF(((GN592/GL592-1)*100)&lt;-50,"NM",(GN592/GL592-1)*100)))</f>
        <v>0.65097037172232586</v>
      </c>
      <c r="GP592" s="1006">
        <f>EQ592+ES592+EU592+EW592</f>
        <v>16696.449298941177</v>
      </c>
      <c r="GQ592" s="98">
        <f>IF(ISERROR((GP592/GN592-1)*100),"NA",IF(((GP592/GN592-1)*100)&gt;100,"NM",IF(((GP592/GN592-1)*100)&lt;-50,"NM",(GP592/GN592-1)*100)))</f>
        <v>0.92147787077596632</v>
      </c>
      <c r="GR592" s="1006">
        <f>GR471+(GR552*19.9%)+GR63+GR160+GR315+GR282+GR351+GR252+GR521</f>
        <v>16887.907235514191</v>
      </c>
      <c r="GS592" s="98">
        <f>IF(ISERROR((GR592/GP592-1)*100),"NA",IF(((GR592/GP592-1)*100)&gt;100,"NM",IF(((GR592/GP592-1)*100)&lt;-50,"NM",(GR592/GP592-1)*100)))</f>
        <v>1.1466985174216404</v>
      </c>
      <c r="GT592" s="1006">
        <f>GT471+(GT552*19.9%)+GT63+GT160+GT315+GT282+GT351+GT252+GT521</f>
        <v>17131.220559191741</v>
      </c>
      <c r="GU592" s="98">
        <f>IF(ISERROR((GT592/GR592-1)*100),"NA",IF(((GT592/GR592-1)*100)&gt;100,"NM",IF(((GT592/GR592-1)*100)&lt;-50,"NM",(GT592/GR592-1)*100)))</f>
        <v>1.4407547381944275</v>
      </c>
      <c r="GV592" s="1006">
        <f>GV471+(GV552*19.9%)+GV63+GV160+GV315+GV282+GV351+GV252+GV521</f>
        <v>17376.338270888893</v>
      </c>
      <c r="GW592" s="98">
        <f>IF(ISERROR((GV592/GT592-1)*100),"NA",IF(((GV592/GT592-1)*100)&gt;100,"NM",IF(((GV592/GT592-1)*100)&lt;-50,"NM",(GV592/GT592-1)*100)))</f>
        <v>1.4308245629680805</v>
      </c>
      <c r="GX592" s="1006">
        <f>GX471+(GX552*19.9%)+GX63+GX160+GX315+GX282+GX351+GX252+GX521</f>
        <v>17619.543112645177</v>
      </c>
      <c r="GY592" s="98">
        <f>IF(ISERROR((GX592/GV592-1)*100),"NA",IF(((GX592/GV592-1)*100)&gt;100,"NM",IF(((GX592/GV592-1)*100)&lt;-50,"NM",(GX592/GV592-1)*100)))</f>
        <v>1.3996322928619076</v>
      </c>
      <c r="GZ592" s="98">
        <f>IF(ISERROR(((GX592/GN592)^0.2-1)*100),"NA",IF((((GX592/GN592)^0.2-1)*100)&gt;100,"NM",IF((((GX592/GN592)^0.2-1)*100)&lt;-50,"NM",((GX592/GN592)^0.2-1)*100)))</f>
        <v>1.2676715261145999</v>
      </c>
      <c r="HA592" s="98"/>
      <c r="HC592"/>
      <c r="HD592"/>
      <c r="HE592"/>
      <c r="HF592"/>
      <c r="HG592"/>
      <c r="HH592"/>
    </row>
    <row r="593" spans="1:216" s="10" customFormat="1" ht="12.75" customHeight="1" x14ac:dyDescent="0.2">
      <c r="B593" s="310" t="s">
        <v>174</v>
      </c>
      <c r="C593" s="94">
        <v>596</v>
      </c>
      <c r="D593" s="94"/>
      <c r="E593" s="94">
        <v>599</v>
      </c>
      <c r="F593" s="92"/>
      <c r="G593" s="94">
        <v>616</v>
      </c>
      <c r="H593" s="92"/>
      <c r="I593" s="94">
        <v>458</v>
      </c>
      <c r="J593" s="98"/>
      <c r="K593" s="94">
        <v>388</v>
      </c>
      <c r="L593" s="98">
        <f>IF(ISERROR((K593/C593-1)*100),"NA",IF(((K593/C593-1)*100)&gt;100,"NM",IF(((K593/C593-1)*100)&lt;-50,"NM",(K593/C593-1)*100)))</f>
        <v>-34.899328859060411</v>
      </c>
      <c r="M593" s="94">
        <v>353</v>
      </c>
      <c r="N593" s="98">
        <f>IF(ISERROR((M593/E593-1)*100),"NA",IF(((M593/E593-1)*100)&gt;100,"NM",IF(((M593/E593-1)*100)&lt;-50,"NM",(M593/E593-1)*100)))</f>
        <v>-41.068447412353926</v>
      </c>
      <c r="O593" s="94">
        <v>338</v>
      </c>
      <c r="P593" s="98">
        <f>IF(ISERROR((O593/G593-1)*100),"NA",IF(((O593/G593-1)*100)&gt;100,"NM",IF(((O593/G593-1)*100)&lt;-50,"NM",(O593/G593-1)*100)))</f>
        <v>-45.129870129870127</v>
      </c>
      <c r="Q593" s="94">
        <v>343</v>
      </c>
      <c r="R593" s="98">
        <f>IF(ISERROR((Q593/I593-1)*100),"NA",IF(((Q593/I593-1)*100)&gt;100,"NM",IF(((Q593/I593-1)*100)&lt;-50,"NM",(Q593/I593-1)*100)))</f>
        <v>-25.109170305676855</v>
      </c>
      <c r="S593" s="94">
        <v>367</v>
      </c>
      <c r="T593" s="98">
        <f>IF(ISERROR((S593/K593-1)*100),"NA",IF(((S593/K593-1)*100)&gt;100,"NM",IF(((S593/K593-1)*100)&lt;-50,"NM",(S593/K593-1)*100)))</f>
        <v>-5.4123711340206215</v>
      </c>
      <c r="U593" s="94">
        <v>389</v>
      </c>
      <c r="V593" s="98">
        <f>IF(ISERROR((U593/M593-1)*100),"NA",IF(((U593/M593-1)*100)&gt;100,"NM",IF(((U593/M593-1)*100)&lt;-50,"NM",(U593/M593-1)*100)))</f>
        <v>10.198300283286121</v>
      </c>
      <c r="W593" s="94">
        <v>320</v>
      </c>
      <c r="X593" s="98">
        <f>IF(ISERROR((W593/O593-1)*100),"NA",IF(((W593/O593-1)*100)&gt;100,"NM",IF(((W593/O593-1)*100)&lt;-50,"NM",(W593/O593-1)*100)))</f>
        <v>-5.3254437869822535</v>
      </c>
      <c r="Y593" s="94">
        <v>301</v>
      </c>
      <c r="Z593" s="98">
        <f>IF(ISERROR((Y593/Q593-1)*100),"NA",IF(((Y593/Q593-1)*100)&gt;100,"NM",IF(((Y593/Q593-1)*100)&lt;-50,"NM",(Y593/Q593-1)*100)))</f>
        <v>-12.244897959183676</v>
      </c>
      <c r="AA593" s="94">
        <v>298</v>
      </c>
      <c r="AB593" s="98">
        <f>IF(ISERROR((AA593/S593-1)*100),"NA",IF(((AA593/S593-1)*100)&gt;100,"NM",IF(((AA593/S593-1)*100)&lt;-50,"NM",(AA593/S593-1)*100)))</f>
        <v>-18.801089918256132</v>
      </c>
      <c r="AC593" s="94">
        <v>355</v>
      </c>
      <c r="AD593" s="98">
        <f>IF(ISERROR((AC593/U593-1)*100),"NA",IF(((AC593/U593-1)*100)&gt;100,"NM",IF(((AC593/U593-1)*100)&lt;-50,"NM",(AC593/U593-1)*100)))</f>
        <v>-8.7403598971722332</v>
      </c>
      <c r="AE593" s="94">
        <v>335</v>
      </c>
      <c r="AF593" s="98">
        <f>IF(ISERROR((AE593/W593-1)*100),"NA",IF(((AE593/W593-1)*100)&gt;100,"NM",IF(((AE593/W593-1)*100)&lt;-50,"NM",(AE593/W593-1)*100)))</f>
        <v>4.6875</v>
      </c>
      <c r="AG593" s="94">
        <v>354</v>
      </c>
      <c r="AH593" s="98">
        <f>IF(ISERROR((AG593/Y593-1)*100),"NA",IF(((AG593/Y593-1)*100)&gt;100,"NM",IF(((AG593/Y593-1)*100)&lt;-50,"NM",(AG593/Y593-1)*100)))</f>
        <v>17.607973421926904</v>
      </c>
      <c r="AI593" s="94">
        <v>313</v>
      </c>
      <c r="AJ593" s="98">
        <f>IF(ISERROR((AI593/AA593-1)*100),"NA",IF(((AI593/AA593-1)*100)&gt;100,"NM",IF(((AI593/AA593-1)*100)&lt;-50,"NM",(AI593/AA593-1)*100)))</f>
        <v>5.0335570469798752</v>
      </c>
      <c r="AK593" s="94">
        <v>283</v>
      </c>
      <c r="AL593" s="98">
        <f>IF(ISERROR((AK593/AC593-1)*100),"NA",IF(((AK593/AC593-1)*100)&gt;100,"NM",IF(((AK593/AC593-1)*100)&lt;-50,"NM",(AK593/AC593-1)*100)))</f>
        <v>-20.281690140845065</v>
      </c>
      <c r="AM593" s="94">
        <v>292</v>
      </c>
      <c r="AN593" s="98">
        <f>IF(ISERROR((AM593/AE593-1)*100),"NA",IF(((AM593/AE593-1)*100)&gt;100,"NM",IF(((AM593/AE593-1)*100)&lt;-50,"NM",(AM593/AE593-1)*100)))</f>
        <v>-12.835820895522387</v>
      </c>
      <c r="AO593" s="94">
        <v>310</v>
      </c>
      <c r="AP593" s="98">
        <f>IF(ISERROR((AO593/AG593-1)*100),"NA",IF(((AO593/AG593-1)*100)&gt;100,"NM",IF(((AO593/AG593-1)*100)&lt;-50,"NM",(AO593/AG593-1)*100)))</f>
        <v>-12.429378531073443</v>
      </c>
      <c r="AQ593" s="94">
        <v>299</v>
      </c>
      <c r="AR593" s="98">
        <f>IF(ISERROR((AQ593/AI593-1)*100),"NA",IF(((AQ593/AI593-1)*100)&gt;100,"NM",IF(((AQ593/AI593-1)*100)&lt;-50,"NM",(AQ593/AI593-1)*100)))</f>
        <v>-4.4728434504792354</v>
      </c>
      <c r="AS593" s="94">
        <v>301</v>
      </c>
      <c r="AT593" s="98">
        <f>IF(ISERROR((AS593/AK593-1)*100),"NA",IF(((AS593/AK593-1)*100)&gt;100,"NM",IF(((AS593/AK593-1)*100)&lt;-50,"NM",(AS593/AK593-1)*100)))</f>
        <v>6.360424028268552</v>
      </c>
      <c r="AU593" s="94">
        <v>348</v>
      </c>
      <c r="AV593" s="98">
        <f>IF(ISERROR((AU593/AM593-1)*100),"NA",IF(((AU593/AM593-1)*100)&gt;100,"NM",IF(((AU593/AM593-1)*100)&lt;-50,"NM",(AU593/AM593-1)*100)))</f>
        <v>19.178082191780831</v>
      </c>
      <c r="AW593" s="94">
        <v>323</v>
      </c>
      <c r="AX593" s="98">
        <f>IF(ISERROR((AW593/AO593-1)*100),"NA",IF(((AW593/AO593-1)*100)&gt;100,"NM",IF(((AW593/AO593-1)*100)&lt;-50,"NM",(AW593/AO593-1)*100)))</f>
        <v>4.1935483870967794</v>
      </c>
      <c r="AY593" s="94">
        <v>328</v>
      </c>
      <c r="AZ593" s="98">
        <f>IF(ISERROR((AY593/AQ593-1)*100),"NA",IF(((AY593/AQ593-1)*100)&gt;100,"NM",IF(((AY593/AQ593-1)*100)&lt;-50,"NM",(AY593/AQ593-1)*100)))</f>
        <v>9.6989966555183891</v>
      </c>
      <c r="BA593" s="94">
        <v>335</v>
      </c>
      <c r="BB593" s="98">
        <f>IF(ISERROR((BA593/AS593-1)*100),"NA",IF(((BA593/AS593-1)*100)&gt;100,"NM",IF(((BA593/AS593-1)*100)&lt;-50,"NM",(BA593/AS593-1)*100)))</f>
        <v>11.295681063122931</v>
      </c>
      <c r="BC593" s="94">
        <v>339</v>
      </c>
      <c r="BD593" s="98">
        <f>IF(ISERROR((BC593/AU593-1)*100),"NA",IF(((BC593/AU593-1)*100)&gt;100,"NM",IF(((BC593/AU593-1)*100)&lt;-50,"NM",(BC593/AU593-1)*100)))</f>
        <v>-2.5862068965517238</v>
      </c>
      <c r="BE593" s="94">
        <v>360</v>
      </c>
      <c r="BF593" s="98">
        <f>IF(ISERROR((BE593/AW593-1)*100),"NA",IF(((BE593/AW593-1)*100)&gt;100,"NM",IF(((BE593/AW593-1)*100)&lt;-50,"NM",(BE593/AW593-1)*100)))</f>
        <v>11.455108359133126</v>
      </c>
      <c r="BG593" s="94">
        <v>384</v>
      </c>
      <c r="BH593" s="98">
        <f>IF(ISERROR((BG593/AY593-1)*100),"NA",IF(((BG593/AY593-1)*100)&gt;100,"NM",IF(((BG593/AY593-1)*100)&lt;-50,"NM",(BG593/AY593-1)*100)))</f>
        <v>17.073170731707311</v>
      </c>
      <c r="BI593" s="94">
        <v>411</v>
      </c>
      <c r="BJ593" s="98">
        <f>IF(ISERROR((BI593/BA593-1)*100),"NA",IF(((BI593/BA593-1)*100)&gt;100,"NM",IF(((BI593/BA593-1)*100)&lt;-50,"NM",(BI593/BA593-1)*100)))</f>
        <v>22.686567164179095</v>
      </c>
      <c r="BK593" s="94">
        <v>345</v>
      </c>
      <c r="BL593" s="98">
        <f>IF(ISERROR((BK593/BC593-1)*100),"NA",IF(((BK593/BC593-1)*100)&gt;100,"NM",IF(((BK593/BC593-1)*100)&lt;-50,"NM",(BK593/BC593-1)*100)))</f>
        <v>1.7699115044247815</v>
      </c>
      <c r="BM593" s="94">
        <v>361</v>
      </c>
      <c r="BN593" s="98">
        <f>IF(ISERROR((BM593/BE593-1)*100),"NA",IF(((BM593/BE593-1)*100)&gt;100,"NM",IF(((BM593/BE593-1)*100)&lt;-50,"NM",(BM593/BE593-1)*100)))</f>
        <v>0.27777777777777679</v>
      </c>
      <c r="BO593" s="94">
        <v>369</v>
      </c>
      <c r="BP593" s="98">
        <f>IF(ISERROR((BO593/BG593-1)*100),"NA",IF(((BO593/BG593-1)*100)&gt;100,"NM",IF(((BO593/BG593-1)*100)&lt;-50,"NM",(BO593/BG593-1)*100)))</f>
        <v>-3.90625</v>
      </c>
      <c r="BQ593" s="94">
        <v>351</v>
      </c>
      <c r="BR593" s="98">
        <f>IF(ISERROR((BQ593/BI593-1)*100),"NA",IF(((BQ593/BI593-1)*100)&gt;100,"NM",IF(((BQ593/BI593-1)*100)&lt;-50,"NM",(BQ593/BI593-1)*100)))</f>
        <v>-14.598540145985407</v>
      </c>
      <c r="BS593" s="94">
        <v>421</v>
      </c>
      <c r="BT593" s="98">
        <f>IF(ISERROR((BS593/BK593-1)*100),"NA",IF(((BS593/BK593-1)*100)&gt;100,"NM",IF(((BS593/BK593-1)*100)&lt;-50,"NM",(BS593/BK593-1)*100)))</f>
        <v>22.028985507246368</v>
      </c>
      <c r="BU593" s="94">
        <v>445</v>
      </c>
      <c r="BV593" s="98">
        <f>IF(ISERROR((BU593/BM593-1)*100),"NA",IF(((BU593/BM593-1)*100)&gt;100,"NM",IF(((BU593/BM593-1)*100)&lt;-50,"NM",(BU593/BM593-1)*100)))</f>
        <v>23.26869806094183</v>
      </c>
      <c r="BW593" s="94">
        <v>554</v>
      </c>
      <c r="BX593" s="98">
        <f>IF(ISERROR((BW593/BO593-1)*100),"NA",IF(((BW593/BO593-1)*100)&gt;100,"NM",IF(((BW593/BO593-1)*100)&lt;-50,"NM",(BW593/BO593-1)*100)))</f>
        <v>50.135501355013545</v>
      </c>
      <c r="BY593" s="94">
        <v>572</v>
      </c>
      <c r="BZ593" s="98">
        <f>IF(ISERROR((BY593/BQ593-1)*100),"NA",IF(((BY593/BQ593-1)*100)&gt;100,"NM",IF(((BY593/BQ593-1)*100)&lt;-50,"NM",(BY593/BQ593-1)*100)))</f>
        <v>62.962962962962955</v>
      </c>
      <c r="CA593" s="94">
        <v>602</v>
      </c>
      <c r="CB593" s="98">
        <f>IF(ISERROR((CA593/BS593-1)*100),"NA",IF(((CA593/BS593-1)*100)&gt;100,"NM",IF(((CA593/BS593-1)*100)&lt;-50,"NM",(CA593/BS593-1)*100)))</f>
        <v>42.992874109263667</v>
      </c>
      <c r="CC593" s="94">
        <v>601</v>
      </c>
      <c r="CD593" s="98">
        <f>IF(ISERROR((CC593/BU593-1)*100),"NA",IF(((CC593/BU593-1)*100)&gt;100,"NM",IF(((CC593/BU593-1)*100)&lt;-50,"NM",(CC593/BU593-1)*100)))</f>
        <v>35.056179775280903</v>
      </c>
      <c r="CE593" s="94">
        <v>513</v>
      </c>
      <c r="CF593" s="98">
        <f>IF(ISERROR((CE593/BW593-1)*100),"NA",IF(((CE593/BW593-1)*100)&gt;100,"NM",IF(((CE593/BW593-1)*100)&lt;-50,"NM",(CE593/BW593-1)*100)))</f>
        <v>-7.4007220216606555</v>
      </c>
      <c r="CG593" s="94">
        <v>544</v>
      </c>
      <c r="CH593" s="98">
        <f>IF(ISERROR((CG593/BY593-1)*100),"NA",IF(((CG593/BY593-1)*100)&gt;100,"NM",IF(((CG593/BY593-1)*100)&lt;-50,"NM",(CG593/BY593-1)*100)))</f>
        <v>-4.8951048951048959</v>
      </c>
      <c r="CI593" s="94">
        <v>624</v>
      </c>
      <c r="CJ593" s="98">
        <f>IF(ISERROR((CI593/CA593-1)*100),"NA",IF(((CI593/CA593-1)*100)&gt;100,"NM",IF(((CI593/CA593-1)*100)&lt;-50,"NM",(CI593/CA593-1)*100)))</f>
        <v>3.6544850498338777</v>
      </c>
      <c r="CK593" s="94">
        <v>472</v>
      </c>
      <c r="CL593" s="98">
        <f>IF(ISERROR((CK593/CC593-1)*100),"NA",IF(((CK593/CC593-1)*100)&gt;100,"NM",IF(((CK593/CC593-1)*100)&lt;-50,"NM",(CK593/CC593-1)*100)))</f>
        <v>-21.464226289517473</v>
      </c>
      <c r="CM593" s="94">
        <v>468</v>
      </c>
      <c r="CN593" s="98">
        <f>IF(ISERROR((CM593/CE593-1)*100),"NA",IF(((CM593/CE593-1)*100)&gt;100,"NM",IF(((CM593/CE593-1)*100)&lt;-50,"NM",(CM593/CE593-1)*100)))</f>
        <v>-8.7719298245614077</v>
      </c>
      <c r="CO593" s="94">
        <v>458</v>
      </c>
      <c r="CP593" s="98">
        <f>IF(ISERROR((CO593/CG593-1)*100),"NA",IF(((CO593/CG593-1)*100)&gt;100,"NM",IF(((CO593/CG593-1)*100)&lt;-50,"NM",(CO593/CG593-1)*100)))</f>
        <v>-15.808823529411764</v>
      </c>
      <c r="CQ593" s="533">
        <v>418</v>
      </c>
      <c r="CR593" s="98">
        <f>IF(ISERROR((CQ593/CI593-1)*100),"NA",IF(((CQ593/CI593-1)*100)&gt;100,"NM",IF(((CQ593/CI593-1)*100)&lt;-50,"NM",(CQ593/CI593-1)*100)))</f>
        <v>-33.012820512820518</v>
      </c>
      <c r="CS593" s="94">
        <v>420</v>
      </c>
      <c r="CT593" s="98">
        <f>IF(ISERROR((CS593/CK593-1)*100),"NA",IF(((CS593/CK593-1)*100)&gt;100,"NM",IF(((CS593/CK593-1)*100)&lt;-50,"NM",(CS593/CK593-1)*100)))</f>
        <v>-11.016949152542377</v>
      </c>
      <c r="CU593" s="94">
        <v>452</v>
      </c>
      <c r="CV593" s="98">
        <f>IF(ISERROR((CU593/CM593-1)*100),"NA",IF(((CU593/CM593-1)*100)&gt;100,"NM",IF(((CU593/CM593-1)*100)&lt;-50,"NM",(CU593/CM593-1)*100)))</f>
        <v>-3.4188034188034178</v>
      </c>
      <c r="CW593" s="94">
        <v>426</v>
      </c>
      <c r="CX593" s="98">
        <f>IF(ISERROR((CW593/CO593-1)*100),"NA",IF(((CW593/CO593-1)*100)&gt;100,"NM",IF(((CW593/CO593-1)*100)&lt;-50,"NM",(CW593/CO593-1)*100)))</f>
        <v>-6.9868995633187829</v>
      </c>
      <c r="CY593" s="94">
        <v>435</v>
      </c>
      <c r="CZ593" s="98">
        <f>IF(ISERROR((CY593/CQ593-1)*100),"NA",IF(((CY593/CQ593-1)*100)&gt;100,"NM",IF(((CY593/CQ593-1)*100)&lt;-50,"NM",(CY593/CQ593-1)*100)))</f>
        <v>4.0669856459330189</v>
      </c>
      <c r="DA593" s="94">
        <v>443</v>
      </c>
      <c r="DB593" s="98">
        <f>IF(ISERROR((DA593/CS593-1)*100),"NA",IF(((DA593/CS593-1)*100)&gt;100,"NM",IF(((DA593/CS593-1)*100)&lt;-50,"NM",(DA593/CS593-1)*100)))</f>
        <v>5.4761904761904789</v>
      </c>
      <c r="DC593" s="94">
        <v>481</v>
      </c>
      <c r="DD593" s="98">
        <f>IF(ISERROR((DC593/CU593-1)*100),"NA",IF(((DC593/CU593-1)*100)&gt;100,"NM",IF(((DC593/CU593-1)*100)&lt;-50,"NM",(DC593/CU593-1)*100)))</f>
        <v>6.4159292035398163</v>
      </c>
      <c r="DE593" s="94">
        <v>500</v>
      </c>
      <c r="DF593" s="98">
        <f>IF(ISERROR((DE593/CW593-1)*100),"NA",IF(((DE593/CW593-1)*100)&gt;100,"NM",IF(((DE593/CW593-1)*100)&lt;-50,"NM",(DE593/CW593-1)*100)))</f>
        <v>17.370892018779351</v>
      </c>
      <c r="DG593" s="94">
        <v>486</v>
      </c>
      <c r="DH593" s="98">
        <f>IF(ISERROR((DG593/CY593-1)*100),"NA",IF(((DG593/CY593-1)*100)&gt;100,"NM",IF(((DG593/CY593-1)*100)&lt;-50,"NM",(DG593/CY593-1)*100)))</f>
        <v>11.724137931034484</v>
      </c>
      <c r="DI593" s="94">
        <v>487</v>
      </c>
      <c r="DJ593" s="98">
        <f>IF(ISERROR((DI593/DA593-1)*100),"NA",IF(((DI593/DA593-1)*100)&gt;100,"NM",IF(((DI593/DA593-1)*100)&lt;-50,"NM",(DI593/DA593-1)*100)))</f>
        <v>9.9322799097065548</v>
      </c>
      <c r="DK593" s="94">
        <v>491</v>
      </c>
      <c r="DL593" s="98">
        <f>IF(ISERROR((DK593/DC593-1)*100),"NA",IF(((DK593/DC593-1)*100)&gt;100,"NM",IF(((DK593/DC593-1)*100)&lt;-50,"NM",(DK593/DC593-1)*100)))</f>
        <v>2.079002079002068</v>
      </c>
      <c r="DM593" s="94">
        <v>493</v>
      </c>
      <c r="DN593" s="98">
        <f>IF(ISERROR((DM593/DE593-1)*100),"NA",IF(((DM593/DE593-1)*100)&gt;100,"NM",IF(((DM593/DE593-1)*100)&lt;-50,"NM",(DM593/DE593-1)*100)))</f>
        <v>-1.4000000000000012</v>
      </c>
      <c r="DO593" s="94">
        <v>518</v>
      </c>
      <c r="DP593" s="98">
        <f>IF(ISERROR((DO593/DG593-1)*100),"NA",IF(((DO593/DG593-1)*100)&gt;100,"NM",IF(((DO593/DG593-1)*100)&lt;-50,"NM",(DO593/DG593-1)*100)))</f>
        <v>6.5843621399176877</v>
      </c>
      <c r="DQ593" s="94">
        <v>531</v>
      </c>
      <c r="DR593" s="98">
        <f>IF(ISERROR((DQ593/DI593-1)*100),"NA",IF(((DQ593/DI593-1)*100)&gt;100,"NM",IF(((DQ593/DI593-1)*100)&lt;-50,"NM",(DQ593/DI593-1)*100)))</f>
        <v>9.0349075975359341</v>
      </c>
      <c r="DS593" s="1006">
        <f>DS474+DS555+DS66+DS163+DS316+DS283+DS352+DS253+DS522</f>
        <v>381</v>
      </c>
      <c r="DT593" s="1108">
        <v>2.4439918533604832</v>
      </c>
      <c r="DU593" s="1006">
        <f>DU474+DU555+DU66+DU163+DU316+DU283+DU352+DU253+DU522</f>
        <v>438</v>
      </c>
      <c r="DV593" s="1108">
        <v>6.8965517241379226</v>
      </c>
      <c r="DW593" s="1006">
        <f>DW474+DW555+DW66+DW163+DW316+DW283+DW352+DW253+DW522</f>
        <v>396</v>
      </c>
      <c r="DX593" s="1108">
        <v>-4.4401544401544424</v>
      </c>
      <c r="DY593" s="1006">
        <f>DY474+DY555+DY66+DY163+DY316+DY283+DY352+DY253+DY522</f>
        <v>383</v>
      </c>
      <c r="DZ593" s="1108">
        <v>-6.7796610169491567</v>
      </c>
      <c r="EA593" s="1006">
        <f>EA474+EA66+EA163+EA316+EA283+EA352+EA253+EA522</f>
        <v>478</v>
      </c>
      <c r="EB593" s="1108">
        <v>-3.1809145129224614</v>
      </c>
      <c r="EC593" s="1006">
        <f>EC474+EC66+EC163+EC316+EC283+EC352+EC253+EC522</f>
        <v>461</v>
      </c>
      <c r="ED593" s="98">
        <f>IF(ISERROR((EC593/DU593-1)*100),"NA",IF(((EC593/DU593-1)*100)&gt;100,"NM",IF(((EC593/DU593-1)*100)&lt;-50,"NM",(EC593/DU593-1)*100)))</f>
        <v>5.2511415525114069</v>
      </c>
      <c r="EE593" s="1006">
        <f>EE474+EE66+EE163+EE316+EE283+EE352+EE253+EE522</f>
        <v>359</v>
      </c>
      <c r="EF593" s="860">
        <f>IF(ISERROR((EE593/DW593-1)*100),"NA",IF(((EE593/DW593-1)*100)&gt;100,"NM",IF(((EE593/DW593-1)*100)&lt;-50,"NM",(EE593/DW593-1)*100)))</f>
        <v>-9.3434343434343425</v>
      </c>
      <c r="EG593" s="1006">
        <f>EG474+EG66+EG163+EG316+EG283+EG352+EG253+EG522</f>
        <v>345</v>
      </c>
      <c r="EH593" s="860">
        <f>IF(ISERROR((EG593/DY593-1)*100),"NA",IF(((EG593/DY593-1)*100)&gt;100,"NM",IF(((EG593/DY593-1)*100)&lt;-50,"NM",(EG593/DY593-1)*100)))</f>
        <v>-9.9216710182767685</v>
      </c>
      <c r="EI593" s="1006">
        <f>EI474+EI66+EI163+EI316+EI283+EI352+EI253+EI522</f>
        <v>395</v>
      </c>
      <c r="EJ593" s="860">
        <f t="shared" si="3371"/>
        <v>-17.364016736401677</v>
      </c>
      <c r="EK593" s="1006">
        <f>EK474+EK66+EK163+EK316+EK283+EK352+EK253+EK522</f>
        <v>344</v>
      </c>
      <c r="EL593" s="860">
        <f t="shared" si="3372"/>
        <v>-25.379609544468551</v>
      </c>
      <c r="EM593" s="1006">
        <f>EM474+EM555+EM66+EM163+EM316+EM283+EM352+EM253+EM522</f>
        <v>315</v>
      </c>
      <c r="EN593" s="860">
        <f t="shared" si="3373"/>
        <v>-12.256267409470755</v>
      </c>
      <c r="EO593" s="1006">
        <f>EO474+EO555+EO66+EO163+EO316+EO283+EO352+EO253+EO522</f>
        <v>400</v>
      </c>
      <c r="EP593" s="98">
        <f t="shared" si="3374"/>
        <v>15.94202898550725</v>
      </c>
      <c r="EQ593" s="1006">
        <f>EQ474+(EQ555*19.9%)+EQ66+EQ163+EQ316+EQ283+EQ352+EQ253+EQ522</f>
        <v>396.79500000000007</v>
      </c>
      <c r="ER593" s="98">
        <f t="shared" si="3375"/>
        <v>0.45443037974686185</v>
      </c>
      <c r="ES593" s="1006">
        <f>ES474+(ES555*19.9%)+ES66+ES163+ES316+ES283+ES352+ES253+ES522</f>
        <v>394.19687499999998</v>
      </c>
      <c r="ET593" s="98">
        <f t="shared" si="3376"/>
        <v>14.592114825581382</v>
      </c>
      <c r="EU593" s="1006">
        <f>EU474+(EU555*19.9%)+EU66+EU163+EU316+EU283+EU352+EU253+EU522</f>
        <v>393.68571962500005</v>
      </c>
      <c r="EV593" s="98">
        <f t="shared" si="3377"/>
        <v>24.979593531746037</v>
      </c>
      <c r="EW593" s="1006">
        <f>EW474+(EW555*19.9%)+EW66+EW163+EW316+EW283+EW352+EW253+EW522</f>
        <v>401.50162983437497</v>
      </c>
      <c r="EX593" s="98">
        <f t="shared" si="3378"/>
        <v>0.37540745859374614</v>
      </c>
      <c r="EY593" s="304"/>
      <c r="EZ593" s="594"/>
      <c r="FA593" s="405"/>
      <c r="FB593" s="215"/>
      <c r="FC593" s="92"/>
      <c r="FD593" s="94"/>
      <c r="FE593" s="98" t="str">
        <f>IF(ISERROR((FD593/FB593-1)*100),"NA",IF(((FD593/FB593-1)*100)&gt;100,"NM",IF(((FD593/FB593-1)*100)&lt;-50,"NM",(FD593/FB593-1)*100)))</f>
        <v>NA</v>
      </c>
      <c r="FF593" s="99">
        <v>2269</v>
      </c>
      <c r="FG593" s="98" t="str">
        <f>IF(ISERROR((FF593/FD593-1)*100),"NA",IF(((FF593/FD593-1)*100)&gt;100,"NM",IF(((FF593/FD593-1)*100)&lt;-50,"NM",(FF593/FD593-1)*100)))</f>
        <v>NA</v>
      </c>
      <c r="FH593" s="99">
        <v>1422</v>
      </c>
      <c r="FI593" s="98">
        <f>IF(ISERROR((FH593/FF593-1)*100),"NA",IF(((FH593/FF593-1)*100)&gt;100,"NM",IF(((FH593/FF593-1)*100)&lt;-50,"NM",(FH593/FF593-1)*100)))</f>
        <v>-37.3292199206699</v>
      </c>
      <c r="FJ593" s="99">
        <f>SUM(S593,U593,W593,Y593)</f>
        <v>1377</v>
      </c>
      <c r="FK593" s="98">
        <f>IF(ISERROR((FJ593/FH593-1)*100),"NA",IF(((FJ593/FH593-1)*100)&gt;100,"NM",IF(((FJ593/FH593-1)*100)&lt;-50,"NM",(FJ593/FH593-1)*100)))</f>
        <v>-3.1645569620253111</v>
      </c>
      <c r="FL593" s="99">
        <f>SUM(AA593,AC593,AE593,AG593)</f>
        <v>1342</v>
      </c>
      <c r="FM593" s="98">
        <f>IF(ISERROR((FL593/FJ593-1)*100),"NA",IF(((FL593/FJ593-1)*100)&gt;100,"NM",IF(((FL593/FJ593-1)*100)&lt;-50,"NM",(FL593/FJ593-1)*100)))</f>
        <v>-2.5417574437182289</v>
      </c>
      <c r="FN593" s="99">
        <f>SUM(AI593,AK593,AM593,AO593)</f>
        <v>1198</v>
      </c>
      <c r="FO593" s="98">
        <f>IF(ISERROR((FN593/FL593-1)*100),"NA",IF(((FN593/FL593-1)*100)&gt;100,"NM",IF(((FN593/FL593-1)*100)&lt;-50,"NM",(FN593/FL593-1)*100)))</f>
        <v>-10.730253353204178</v>
      </c>
      <c r="FP593" s="99">
        <f>SUM(AQ593,AS593,AU593,AW593)</f>
        <v>1271</v>
      </c>
      <c r="FQ593" s="98">
        <f>IF(ISERROR((FP593/FN593-1)*100),"NA",IF(((FP593/FN593-1)*100)&gt;100,"NM",IF(((FP593/FN593-1)*100)&lt;-50,"NM",(FP593/FN593-1)*100)))</f>
        <v>6.0934891485809661</v>
      </c>
      <c r="FR593" s="99">
        <f>SUM(AY593,BA593,BC593,BE593)</f>
        <v>1362</v>
      </c>
      <c r="FS593" s="120">
        <f>IF(ISERROR((FR593/FP593-1)*100),"NA",IF(((FR593/FP593-1)*100)&gt;100,"NM",IF(((FR593/FP593-1)*100)&lt;-50,"NM",(FR593/FP593-1)*100)))</f>
        <v>7.1597167584579013</v>
      </c>
      <c r="FT593" s="99">
        <f>SUM(BG593,BI593,BK593,BM593)</f>
        <v>1501</v>
      </c>
      <c r="FU593" s="120">
        <f>IF(ISERROR((FT593/FR593-1)*100),"NA",IF(((FT593/FR593-1)*100)&gt;100,"NM",IF(((FT593/FR593-1)*100)&lt;-50,"NM",(FT593/FR593-1)*100)))</f>
        <v>10.205580029368576</v>
      </c>
      <c r="FV593" s="99">
        <f>+BO593+BQ593+BS593+BU593</f>
        <v>1586</v>
      </c>
      <c r="FW593" s="98">
        <f>IF(ISERROR((FV593/FT593-1)*100),"NA",IF(((FV593/FT593-1)*100)&gt;100,"NM",IF(((FV593/FT593-1)*100)&lt;-50,"NM",(FV593/FT593-1)*100)))</f>
        <v>5.6628914057295088</v>
      </c>
      <c r="FX593" s="482">
        <f>BW593+BY593+CA593+CC593</f>
        <v>2329</v>
      </c>
      <c r="FY593" s="98">
        <f>IF(ISERROR((FX593/FV593-1)*100),"NA",IF(((FX593/FV593-1)*100)&gt;100,"NM",IF(((FX593/FV593-1)*100)&lt;-50,"NM",(FX593/FV593-1)*100)))</f>
        <v>46.847414880201768</v>
      </c>
      <c r="FZ593" s="99">
        <f>CE593+CG593+CI593+CK593</f>
        <v>2153</v>
      </c>
      <c r="GA593" s="98">
        <f>IF(ISERROR((FZ593/FX593-1)*100),"NA",IF(((FZ593/FX593-1)*100)&gt;100,"NM",IF(((FZ593/FX593-1)*100)&lt;-50,"NM",(FZ593/FX593-1)*100)))</f>
        <v>-7.5568913696865581</v>
      </c>
      <c r="GB593" s="533">
        <v>1652</v>
      </c>
      <c r="GC593" s="98">
        <f>IF(ISERROR((GB593/FZ593-1)*100),"NA",IF(((GB593/FZ593-1)*100)&gt;100,"NM",IF(((GB593/FZ593-1)*100)&lt;-50,"NM",(GB593/FZ593-1)*100)))</f>
        <v>-23.269856014862977</v>
      </c>
      <c r="GD593" s="99">
        <f>+CU593+CW593+CY593+DA593</f>
        <v>1756</v>
      </c>
      <c r="GE593" s="98">
        <f>IF(ISERROR((GD593/GB593-1)*100),"NA",IF(((GD593/GB593-1)*100)&gt;100,"NM",IF(((GD593/GB593-1)*100)&lt;-50,"NM",(GD593/GB593-1)*100)))</f>
        <v>6.2953995157384979</v>
      </c>
      <c r="GF593" s="99">
        <f>+DC593+DE593+DG593+DI593</f>
        <v>1954</v>
      </c>
      <c r="GG593" s="98">
        <f>IF(ISERROR((GF593/GD593-1)*100),"NA",IF(((GF593/GD593-1)*100)&gt;100,"NM",IF(((GF593/GD593-1)*100)&lt;-50,"NM",(GF593/GD593-1)*100)))</f>
        <v>11.275626423690198</v>
      </c>
      <c r="GH593" s="99">
        <f>+DK593+DM593+DO593+DQ593</f>
        <v>2033</v>
      </c>
      <c r="GI593" s="98">
        <f>IF(ISERROR((GH593/GF593-1)*100),"NA",IF(((GH593/GF593-1)*100)&gt;100,"NM",IF(((GH593/GF593-1)*100)&lt;-50,"NM",(GH593/GF593-1)*100)))</f>
        <v>4.0429887410440069</v>
      </c>
      <c r="GJ593" s="1006">
        <f>GJ474+GJ555+GJ66+GJ163+GJ316+GJ283+GJ352+GJ253+GJ522</f>
        <v>1598</v>
      </c>
      <c r="GK593" s="98">
        <f>IF(ISERROR((GJ593/GH593-1)*100),"NA",IF(((GJ593/GH593-1)*100)&gt;100,"NM",IF(((GJ593/GH593-1)*100)&lt;-50,"NM",(GJ593/GH593-1)*100)))</f>
        <v>-21.396950319724549</v>
      </c>
      <c r="GL593" s="1006">
        <f>EA593+EC593+EE593+EG593</f>
        <v>1643</v>
      </c>
      <c r="GM593" s="98">
        <f>IF(ISERROR((GL593/GJ593-1)*100),"NA",IF(((GL593/GJ593-1)*100)&gt;100,"NM",IF(((GL593/GJ593-1)*100)&lt;-50,"NM",(GL593/GJ593-1)*100)))</f>
        <v>2.8160200250312961</v>
      </c>
      <c r="GN593" s="1006">
        <f>EI593+EK593+EM593+EO593</f>
        <v>1454</v>
      </c>
      <c r="GO593" s="98">
        <f>IF(ISERROR((GN593/GL593-1)*100),"NA",IF(((GN593/GL593-1)*100)&gt;100,"NM",IF(((GN593/GL593-1)*100)&lt;-50,"NM",(GN593/GL593-1)*100)))</f>
        <v>-11.503347534996955</v>
      </c>
      <c r="GP593" s="1006">
        <f>EQ593+ES593+EU593+EW593</f>
        <v>1586.1792244593748</v>
      </c>
      <c r="GQ593" s="98">
        <f>IF(ISERROR((GP593/GN593-1)*100),"NA",IF(((GP593/GN593-1)*100)&gt;100,"NM",IF(((GP593/GN593-1)*100)&lt;-50,"NM",(GP593/GN593-1)*100)))</f>
        <v>9.0907307055966271</v>
      </c>
      <c r="GR593" s="1006">
        <f>GR474+(GR555*19.9%)+GR66+GR163+GR316+GR283+GR352+GR253+GR522</f>
        <v>1635.0416668911689</v>
      </c>
      <c r="GS593" s="98">
        <f>IF(ISERROR((GR593/GP593-1)*100),"NA",IF(((GR593/GP593-1)*100)&gt;100,"NM",IF(((GR593/GP593-1)*100)&lt;-50,"NM",(GR593/GP593-1)*100)))</f>
        <v>3.0805120681395959</v>
      </c>
      <c r="GT593" s="1006">
        <f>GT474+(GT555*19.9%)+GT66+GT163+GT316+GT283+GT352+GT253+GT522</f>
        <v>1686.6895423277547</v>
      </c>
      <c r="GU593" s="98">
        <f>IF(ISERROR((GT593/GR593-1)*100),"NA",IF(((GT593/GR593-1)*100)&gt;100,"NM",IF(((GT593/GR593-1)*100)&lt;-50,"NM",(GT593/GR593-1)*100)))</f>
        <v>3.1588109638079009</v>
      </c>
      <c r="GV593" s="1006">
        <f>GV474+(GV555*19.9%)+GV66+GV163+GV316+GV283+GV352+GV253+GV522</f>
        <v>1741.2662757930252</v>
      </c>
      <c r="GW593" s="98">
        <f>IF(ISERROR((GV593/GT593-1)*100),"NA",IF(((GV593/GT593-1)*100)&gt;100,"NM",IF(((GV593/GT593-1)*100)&lt;-50,"NM",(GV593/GT593-1)*100)))</f>
        <v>3.2357308263114337</v>
      </c>
      <c r="GX593" s="1006">
        <f>GX474+(GX555*19.9%)+GX66+GX163+GX316+GX283+GX352+GX253+GX522</f>
        <v>1798.9242341989332</v>
      </c>
      <c r="GY593" s="98">
        <f>IF(ISERROR((GX593/GV593-1)*100),"NA",IF(((GX593/GV593-1)*100)&gt;100,"NM",IF(((GX593/GV593-1)*100)&lt;-50,"NM",(GX593/GV593-1)*100)))</f>
        <v>3.3112660141338068</v>
      </c>
      <c r="GZ593" s="98">
        <f>IF(ISERROR(((GX593/GN593)^0.2-1)*100),"NA",IF((((GX593/GN593)^0.2-1)*100)&gt;100,"NM",IF((((GX593/GN593)^0.2-1)*100)&lt;-50,"NM",((GX593/GN593)^0.2-1)*100)))</f>
        <v>4.3493367907685432</v>
      </c>
      <c r="HA593" s="98"/>
      <c r="HC593"/>
      <c r="HD593"/>
      <c r="HE593"/>
      <c r="HF593"/>
      <c r="HG593"/>
      <c r="HH593"/>
    </row>
    <row r="594" spans="1:216" s="10" customFormat="1" ht="12.75" customHeight="1" x14ac:dyDescent="0.2">
      <c r="A594" s="10" t="s">
        <v>497</v>
      </c>
      <c r="B594" s="311" t="s">
        <v>538</v>
      </c>
      <c r="C594" s="132">
        <f>C590+C591+C592+C593</f>
        <v>7643</v>
      </c>
      <c r="D594" s="312"/>
      <c r="E594" s="132">
        <f>SUM(E590:E593)</f>
        <v>7937</v>
      </c>
      <c r="F594" s="92"/>
      <c r="G594" s="132">
        <f>SUM(G590:G593)</f>
        <v>7866</v>
      </c>
      <c r="H594" s="92"/>
      <c r="I594" s="132">
        <f>SUM(I590:I593)</f>
        <v>8304</v>
      </c>
      <c r="J594" s="98"/>
      <c r="K594" s="132">
        <f>SUM(K590:K593)</f>
        <v>8004</v>
      </c>
      <c r="L594" s="98">
        <f>IF(ISERROR((K594/C594-1)*100),"NA",IF(((K594/C594-1)*100)&gt;100,"NM",IF(((K594/C594-1)*100)&lt;-50,"NM",(K594/C594-1)*100)))</f>
        <v>4.7232762004448592</v>
      </c>
      <c r="M594" s="132">
        <f>SUM(M590:M593)</f>
        <v>7831</v>
      </c>
      <c r="N594" s="98">
        <f>IF(ISERROR((M594/E594-1)*100),"NA",IF(((M594/E594-1)*100)&gt;100,"NM",IF(((M594/E594-1)*100)&lt;-50,"NM",(M594/E594-1)*100)))</f>
        <v>-1.3355171979337332</v>
      </c>
      <c r="O594" s="132">
        <f>SUM(O590:O593)</f>
        <v>7972</v>
      </c>
      <c r="P594" s="98">
        <f>IF(ISERROR((O594/G594-1)*100),"NA",IF(((O594/G594-1)*100)&gt;100,"NM",IF(((O594/G594-1)*100)&lt;-50,"NM",(O594/G594-1)*100)))</f>
        <v>1.3475718281210192</v>
      </c>
      <c r="Q594" s="132">
        <f>SUM(Q590:Q593)</f>
        <v>8439.2222222222226</v>
      </c>
      <c r="R594" s="98">
        <f>IF(ISERROR((Q594/I594-1)*100),"NA",IF(((Q594/I594-1)*100)&gt;100,"NM",IF(((Q594/I594-1)*100)&lt;-50,"NM",(Q594/I594-1)*100)))</f>
        <v>1.6283986298437192</v>
      </c>
      <c r="S594" s="132">
        <f>SUM(S590:S593)</f>
        <v>8094</v>
      </c>
      <c r="T594" s="98">
        <f>IF(ISERROR((S594/K594-1)*100),"NA",IF(((S594/K594-1)*100)&gt;100,"NM",IF(((S594/K594-1)*100)&lt;-50,"NM",(S594/K594-1)*100)))</f>
        <v>1.1244377811094441</v>
      </c>
      <c r="U594" s="132">
        <f>SUM(U590:U593)</f>
        <v>8465</v>
      </c>
      <c r="V594" s="98">
        <f>IF(ISERROR((U594/M594-1)*100),"NA",IF(((U594/M594-1)*100)&gt;100,"NM",IF(((U594/M594-1)*100)&lt;-50,"NM",(U594/M594-1)*100)))</f>
        <v>8.0960286042651042</v>
      </c>
      <c r="W594" s="132">
        <f>SUM(W590:W593)</f>
        <v>8422</v>
      </c>
      <c r="X594" s="98">
        <f>IF(ISERROR((W594/O594-1)*100),"NA",IF(((W594/O594-1)*100)&gt;100,"NM",IF(((W594/O594-1)*100)&lt;-50,"NM",(W594/O594-1)*100)))</f>
        <v>5.6447566482689338</v>
      </c>
      <c r="Y594" s="132">
        <f>SUM(Y590:Y593)</f>
        <v>9074</v>
      </c>
      <c r="Z594" s="98">
        <f>IF(ISERROR((Y594/Q594-1)*100),"NA",IF(((Y594/Q594-1)*100)&gt;100,"NM",IF(((Y594/Q594-1)*100)&lt;-50,"NM",(Y594/Q594-1)*100)))</f>
        <v>7.5217568759627706</v>
      </c>
      <c r="AA594" s="132">
        <f>SUM(AA590:AA593)</f>
        <v>8601</v>
      </c>
      <c r="AB594" s="98">
        <f>IF(ISERROR((AA594/S594-1)*100),"NA",IF(((AA594/S594-1)*100)&gt;100,"NM",IF(((AA594/S594-1)*100)&lt;-50,"NM",(AA594/S594-1)*100)))</f>
        <v>6.2638991845811676</v>
      </c>
      <c r="AC594" s="132">
        <f>SUM(AC590:AC593)</f>
        <v>8930</v>
      </c>
      <c r="AD594" s="98">
        <f>IF(ISERROR((AC594/U594-1)*100),"NA",IF(((AC594/U594-1)*100)&gt;100,"NM",IF(((AC594/U594-1)*100)&lt;-50,"NM",(AC594/U594-1)*100)))</f>
        <v>5.4932073242764279</v>
      </c>
      <c r="AE594" s="132">
        <f>SUM(AE590:AE593)</f>
        <v>8951</v>
      </c>
      <c r="AF594" s="98">
        <f>IF(ISERROR((AE594/W594-1)*100),"NA",IF(((AE594/W594-1)*100)&gt;100,"NM",IF(((AE594/W594-1)*100)&lt;-50,"NM",(AE594/W594-1)*100)))</f>
        <v>6.2811683685585429</v>
      </c>
      <c r="AG594" s="132">
        <f>SUM(AG590:AG593)</f>
        <v>9801</v>
      </c>
      <c r="AH594" s="98">
        <f>IF(ISERROR((AG594/Y594-1)*100),"NA",IF(((AG594/Y594-1)*100)&gt;100,"NM",IF(((AG594/Y594-1)*100)&lt;-50,"NM",(AG594/Y594-1)*100)))</f>
        <v>8.0119021379766444</v>
      </c>
      <c r="AI594" s="132">
        <f>SUM(AI590:AI593)</f>
        <v>9362</v>
      </c>
      <c r="AJ594" s="98">
        <f>IF(ISERROR((AI594/AA594-1)*100),"NA",IF(((AI594/AA594-1)*100)&gt;100,"NM",IF(((AI594/AA594-1)*100)&lt;-50,"NM",(AI594/AA594-1)*100)))</f>
        <v>8.847808394372759</v>
      </c>
      <c r="AK594" s="132">
        <f>SUM(AK590:AK593)</f>
        <v>9498</v>
      </c>
      <c r="AL594" s="98">
        <f>IF(ISERROR((AK594/AC594-1)*100),"NA",IF(((AK594/AC594-1)*100)&gt;100,"NM",IF(((AK594/AC594-1)*100)&lt;-50,"NM",(AK594/AC594-1)*100)))</f>
        <v>6.3605823068308975</v>
      </c>
      <c r="AM594" s="132">
        <f>SUM(AM590:AM593)</f>
        <v>9814</v>
      </c>
      <c r="AN594" s="98">
        <f>IF(ISERROR((AM594/AE594-1)*100),"NA",IF(((AM594/AE594-1)*100)&gt;100,"NM",IF(((AM594/AE594-1)*100)&lt;-50,"NM",(AM594/AE594-1)*100)))</f>
        <v>9.6413808513015287</v>
      </c>
      <c r="AO594" s="132">
        <f>SUM(AO590:AO593)</f>
        <v>10204</v>
      </c>
      <c r="AP594" s="98">
        <f>IF(ISERROR((AO594/AG594-1)*100),"NA",IF(((AO594/AG594-1)*100)&gt;100,"NM",IF(((AO594/AG594-1)*100)&lt;-50,"NM",(AO594/AG594-1)*100)))</f>
        <v>4.1118253239465385</v>
      </c>
      <c r="AQ594" s="132">
        <f>SUM(AQ590:AQ593)</f>
        <v>10335</v>
      </c>
      <c r="AR594" s="98">
        <f>IF(ISERROR((AQ594/AI594-1)*100),"NA",IF(((AQ594/AI594-1)*100)&gt;100,"NM",IF(((AQ594/AI594-1)*100)&lt;-50,"NM",(AQ594/AI594-1)*100)))</f>
        <v>10.393078402050836</v>
      </c>
      <c r="AS594" s="132">
        <f>SUM(AS590:AS593)</f>
        <v>10656</v>
      </c>
      <c r="AT594" s="98">
        <f>IF(ISERROR((AS594/AK594-1)*100),"NA",IF(((AS594/AK594-1)*100)&gt;100,"NM",IF(((AS594/AK594-1)*100)&lt;-50,"NM",(AS594/AK594-1)*100)))</f>
        <v>12.192040429564122</v>
      </c>
      <c r="AU594" s="132">
        <f>SUM(AU590:AU593)</f>
        <v>12086</v>
      </c>
      <c r="AV594" s="98">
        <f>IF(ISERROR((AU594/AM594-1)*100),"NA",IF(((AU594/AM594-1)*100)&gt;100,"NM",IF(((AU594/AM594-1)*100)&lt;-50,"NM",(AU594/AM594-1)*100)))</f>
        <v>23.150601181984911</v>
      </c>
      <c r="AW594" s="132">
        <f>SUM(AW590:AW593)</f>
        <v>11948</v>
      </c>
      <c r="AX594" s="98">
        <f>IF(ISERROR((AW594/AO594-1)*100),"NA",IF(((AW594/AO594-1)*100)&gt;100,"NM",IF(((AW594/AO594-1)*100)&lt;-50,"NM",(AW594/AO594-1)*100)))</f>
        <v>17.09133673069385</v>
      </c>
      <c r="AY594" s="132">
        <f>SUM(AY590:AY593)</f>
        <v>12188</v>
      </c>
      <c r="AZ594" s="98">
        <f>IF(ISERROR((AY594/AQ594-1)*100),"NA",IF(((AY594/AQ594-1)*100)&gt;100,"NM",IF(((AY594/AQ594-1)*100)&lt;-50,"NM",(AY594/AQ594-1)*100)))</f>
        <v>17.929366231253031</v>
      </c>
      <c r="BA594" s="132">
        <f>SUM(BA590:BA593)</f>
        <v>12211</v>
      </c>
      <c r="BB594" s="98">
        <f>IF(ISERROR((BA594/AS594-1)*100),"NA",IF(((BA594/AS594-1)*100)&gt;100,"NM",IF(((BA594/AS594-1)*100)&lt;-50,"NM",(BA594/AS594-1)*100)))</f>
        <v>14.592717717717708</v>
      </c>
      <c r="BC594" s="132">
        <f>SUM(BC590:BC593)</f>
        <v>12384</v>
      </c>
      <c r="BD594" s="98">
        <f>IF(ISERROR((BC594/AU594-1)*100),"NA",IF(((BC594/AU594-1)*100)&gt;100,"NM",IF(((BC594/AU594-1)*100)&lt;-50,"NM",(BC594/AU594-1)*100)))</f>
        <v>2.4656627502895878</v>
      </c>
      <c r="BE594" s="132">
        <f>SUM(BE590:BE593)</f>
        <v>13243</v>
      </c>
      <c r="BF594" s="98">
        <f>IF(ISERROR((BE594/AW594-1)*100),"NA",IF(((BE594/AW594-1)*100)&gt;100,"NM",IF(((BE594/AW594-1)*100)&lt;-50,"NM",(BE594/AW594-1)*100)))</f>
        <v>10.838634081017751</v>
      </c>
      <c r="BG594" s="132">
        <f>SUM(BG590:BG593)</f>
        <v>13011</v>
      </c>
      <c r="BH594" s="98">
        <f>IF(ISERROR((BG594/AY594-1)*100),"NA",IF(((BG594/AY594-1)*100)&gt;100,"NM",IF(((BG594/AY594-1)*100)&lt;-50,"NM",(BG594/AY594-1)*100)))</f>
        <v>6.752543485395468</v>
      </c>
      <c r="BI594" s="132">
        <f>SUM(BI590:BI593)</f>
        <v>13533</v>
      </c>
      <c r="BJ594" s="98">
        <f>IF(ISERROR((BI594/BA594-1)*100),"NA",IF(((BI594/BA594-1)*100)&gt;100,"NM",IF(((BI594/BA594-1)*100)&lt;-50,"NM",(BI594/BA594-1)*100)))</f>
        <v>10.826304151994105</v>
      </c>
      <c r="BK594" s="132">
        <f>SUM(BK590:BK593)</f>
        <v>11956</v>
      </c>
      <c r="BL594" s="98">
        <f>IF(ISERROR((BK594/BC594-1)*100),"NA",IF(((BK594/BC594-1)*100)&gt;100,"NM",IF(((BK594/BC594-1)*100)&lt;-50,"NM",(BK594/BC594-1)*100)))</f>
        <v>-3.4560723514211911</v>
      </c>
      <c r="BM594" s="132">
        <f>SUM(BM590:BM593)</f>
        <v>12504</v>
      </c>
      <c r="BN594" s="98">
        <f>IF(ISERROR((BM594/BE594-1)*100),"NA",IF(((BM594/BE594-1)*100)&gt;100,"NM",IF(((BM594/BE594-1)*100)&lt;-50,"NM",(BM594/BE594-1)*100)))</f>
        <v>-5.580306577059579</v>
      </c>
      <c r="BO594" s="132">
        <f>SUM(BO590:BO593)</f>
        <v>12321</v>
      </c>
      <c r="BP594" s="98">
        <f>IF(ISERROR((BO594/BG594-1)*100),"NA",IF(((BO594/BG594-1)*100)&gt;100,"NM",IF(((BO594/BG594-1)*100)&lt;-50,"NM",(BO594/BG594-1)*100)))</f>
        <v>-5.3032049804011994</v>
      </c>
      <c r="BQ594" s="132">
        <f>SUM(BQ590:BQ593)</f>
        <v>12387</v>
      </c>
      <c r="BR594" s="98">
        <f>IF(ISERROR((BQ594/BI594-1)*100),"NA",IF(((BQ594/BI594-1)*100)&gt;100,"NM",IF(((BQ594/BI594-1)*100)&lt;-50,"NM",(BQ594/BI594-1)*100)))</f>
        <v>-8.4681888716470866</v>
      </c>
      <c r="BS594" s="132">
        <f>SUM(BS590:BS593)</f>
        <v>12571</v>
      </c>
      <c r="BT594" s="98">
        <f>IF(ISERROR((BS594/BK594-1)*100),"NA",IF(((BS594/BK594-1)*100)&gt;100,"NM",IF(((BS594/BK594-1)*100)&lt;-50,"NM",(BS594/BK594-1)*100)))</f>
        <v>5.1438608230177207</v>
      </c>
      <c r="BU594" s="132">
        <f>SUM(BU590:BU593)</f>
        <v>11784</v>
      </c>
      <c r="BV594" s="98">
        <f>IF(ISERROR((BU594/BM594-1)*100),"NA",IF(((BU594/BM594-1)*100)&gt;100,"NM",IF(((BU594/BM594-1)*100)&lt;-50,"NM",(BU594/BM594-1)*100)))</f>
        <v>-5.7581573896353211</v>
      </c>
      <c r="BW594" s="132">
        <f>SUM(BW590:BW593)</f>
        <v>11139</v>
      </c>
      <c r="BX594" s="98">
        <f>IF(ISERROR((BW594/BO594-1)*100),"NA",IF(((BW594/BO594-1)*100)&gt;100,"NM",IF(((BW594/BO594-1)*100)&lt;-50,"NM",(BW594/BO594-1)*100)))</f>
        <v>-9.5933771609447263</v>
      </c>
      <c r="BY594" s="132">
        <f>SUM(BY590:BY593)</f>
        <v>12234</v>
      </c>
      <c r="BZ594" s="98">
        <f>IF(ISERROR((BY594/BQ594-1)*100),"NA",IF(((BY594/BQ594-1)*100)&gt;100,"NM",IF(((BY594/BQ594-1)*100)&lt;-50,"NM",(BY594/BQ594-1)*100)))</f>
        <v>-1.2351658997335924</v>
      </c>
      <c r="CA594" s="132">
        <f>SUM(CA590:CA593)</f>
        <v>12414</v>
      </c>
      <c r="CB594" s="98">
        <f>IF(ISERROR((CA594/BS594-1)*100),"NA",IF(((CA594/BS594-1)*100)&gt;100,"NM",IF(((CA594/BS594-1)*100)&lt;-50,"NM",(CA594/BS594-1)*100)))</f>
        <v>-1.2489062127117978</v>
      </c>
      <c r="CC594" s="132">
        <f>SUM(CC590:CC593)</f>
        <v>13321</v>
      </c>
      <c r="CD594" s="98">
        <f>IF(ISERROR((CC594/BU594-1)*100),"NA",IF(((CC594/BU594-1)*100)&gt;100,"NM",IF(((CC594/BU594-1)*100)&lt;-50,"NM",(CC594/BU594-1)*100)))</f>
        <v>13.043109300746769</v>
      </c>
      <c r="CE594" s="132">
        <f>SUM(CE590:CE593)</f>
        <v>12930</v>
      </c>
      <c r="CF594" s="98">
        <f>IF(ISERROR((CE594/BW594-1)*100),"NA",IF(((CE594/BW594-1)*100)&gt;100,"NM",IF(((CE594/BW594-1)*100)&lt;-50,"NM",(CE594/BW594-1)*100)))</f>
        <v>16.078642607056292</v>
      </c>
      <c r="CG594" s="132">
        <f>SUM(CG590:CG593)</f>
        <v>12671</v>
      </c>
      <c r="CH594" s="98">
        <f>IF(ISERROR((CG594/BY594-1)*100),"NA",IF(((CG594/BY594-1)*100)&gt;100,"NM",IF(((CG594/BY594-1)*100)&lt;-50,"NM",(CG594/BY594-1)*100)))</f>
        <v>3.5720124243910467</v>
      </c>
      <c r="CI594" s="132">
        <f>SUM(CI590:CI593)</f>
        <v>12820</v>
      </c>
      <c r="CJ594" s="98">
        <f>IF(ISERROR((CI594/CA594-1)*100),"NA",IF(((CI594/CA594-1)*100)&gt;100,"NM",IF(((CI594/CA594-1)*100)&lt;-50,"NM",(CI594/CA594-1)*100)))</f>
        <v>3.2705010472047658</v>
      </c>
      <c r="CK594" s="132">
        <f>SUM(CK590:CK593)</f>
        <v>13762</v>
      </c>
      <c r="CL594" s="98">
        <f>IF(ISERROR((CK594/CC594-1)*100),"NA",IF(((CK594/CC594-1)*100)&gt;100,"NM",IF(((CK594/CC594-1)*100)&lt;-50,"NM",(CK594/CC594-1)*100)))</f>
        <v>3.3105622700998483</v>
      </c>
      <c r="CM594" s="132">
        <f>SUM(CM590:CM593)</f>
        <v>15615</v>
      </c>
      <c r="CN594" s="98">
        <f>IF(ISERROR((CM594/CE594-1)*100),"NA",IF(((CM594/CE594-1)*100)&gt;100,"NM",IF(((CM594/CE594-1)*100)&lt;-50,"NM",(CM594/CE594-1)*100)))</f>
        <v>20.765661252900223</v>
      </c>
      <c r="CO594" s="132">
        <f>SUM(CO590:CO593)</f>
        <v>16647</v>
      </c>
      <c r="CP594" s="98">
        <f>IF(ISERROR((CO594/CG594-1)*100),"NA",IF(((CO594/CG594-1)*100)&gt;100,"NM",IF(((CO594/CG594-1)*100)&lt;-50,"NM",(CO594/CG594-1)*100)))</f>
        <v>31.378738852497822</v>
      </c>
      <c r="CQ594" s="488">
        <f>SUM(CQ590:CQ593)</f>
        <v>16604</v>
      </c>
      <c r="CR594" s="98">
        <f>IF(ISERROR((CQ594/CI594-1)*100),"NA",IF(((CQ594/CI594-1)*100)&gt;100,"NM",IF(((CQ594/CI594-1)*100)&lt;-50,"NM",(CQ594/CI594-1)*100)))</f>
        <v>29.516380655226214</v>
      </c>
      <c r="CS594" s="132">
        <f>SUM(CS590:CS593)</f>
        <v>16342</v>
      </c>
      <c r="CT594" s="98">
        <f>IF(ISERROR((CS594/CK594-1)*100),"NA",IF(((CS594/CK594-1)*100)&gt;100,"NM",IF(((CS594/CK594-1)*100)&lt;-50,"NM",(CS594/CK594-1)*100)))</f>
        <v>18.747275105362583</v>
      </c>
      <c r="CU594" s="132">
        <f>SUM(CU590:CU593)</f>
        <v>16645</v>
      </c>
      <c r="CV594" s="98">
        <f>IF(ISERROR((CU594/CM594-1)*100),"NA",IF(((CU594/CM594-1)*100)&gt;100,"NM",IF(((CU594/CM594-1)*100)&lt;-50,"NM",(CU594/CM594-1)*100)))</f>
        <v>6.5962215818123671</v>
      </c>
      <c r="CW594" s="132">
        <f>SUM(CW590:CW593)</f>
        <v>16736</v>
      </c>
      <c r="CX594" s="98">
        <f>IF(ISERROR((CW594/CO594-1)*100),"NA",IF(((CW594/CO594-1)*100)&gt;100,"NM",IF(((CW594/CO594-1)*100)&lt;-50,"NM",(CW594/CO594-1)*100)))</f>
        <v>0.53463086442000485</v>
      </c>
      <c r="CY594" s="132">
        <f>SUM(CY590:CY593)</f>
        <v>16611</v>
      </c>
      <c r="CZ594" s="98">
        <f>IF(ISERROR((CY594/CQ594-1)*100),"NA",IF(((CY594/CQ594-1)*100)&gt;100,"NM",IF(((CY594/CQ594-1)*100)&lt;-50,"NM",(CY594/CQ594-1)*100)))</f>
        <v>4.2158516020229797E-2</v>
      </c>
      <c r="DA594" s="132">
        <f>SUM(DA590:DA593)</f>
        <v>18359</v>
      </c>
      <c r="DB594" s="98">
        <f>IF(ISERROR((DA594/CS594-1)*100),"NA",IF(((DA594/CS594-1)*100)&gt;100,"NM",IF(((DA594/CS594-1)*100)&lt;-50,"NM",(DA594/CS594-1)*100)))</f>
        <v>12.34243054705666</v>
      </c>
      <c r="DC594" s="132">
        <f>SUM(DC590:DC593)</f>
        <v>16877</v>
      </c>
      <c r="DD594" s="98">
        <f>IF(ISERROR((DC594/CU594-1)*100),"NA",IF(((DC594/CU594-1)*100)&gt;100,"NM",IF(((DC594/CU594-1)*100)&lt;-50,"NM",(DC594/CU594-1)*100)))</f>
        <v>1.3938119555422013</v>
      </c>
      <c r="DE594" s="132">
        <f>SUM(DE590:DE593)</f>
        <v>16995</v>
      </c>
      <c r="DF594" s="98">
        <f>IF(ISERROR((DE594/CW594-1)*100),"NA",IF(((DE594/CW594-1)*100)&gt;100,"NM",IF(((DE594/CW594-1)*100)&lt;-50,"NM",(DE594/CW594-1)*100)))</f>
        <v>1.5475621414913876</v>
      </c>
      <c r="DG594" s="132">
        <f>SUM(DG590:DG593)</f>
        <v>16814</v>
      </c>
      <c r="DH594" s="98">
        <f>IF(ISERROR((DG594/CY594-1)*100),"NA",IF(((DG594/CY594-1)*100)&gt;100,"NM",IF(((DG594/CY594-1)*100)&lt;-50,"NM",(DG594/CY594-1)*100)))</f>
        <v>1.2220817530552042</v>
      </c>
      <c r="DI594" s="132">
        <f>SUM(DI590:DI593)</f>
        <v>18330</v>
      </c>
      <c r="DJ594" s="98">
        <f>IF(ISERROR((DI594/DA594-1)*100),"NA",IF(((DI594/DA594-1)*100)&gt;100,"NM",IF(((DI594/DA594-1)*100)&lt;-50,"NM",(DI594/DA594-1)*100)))</f>
        <v>-0.15796067323928797</v>
      </c>
      <c r="DK594" s="132">
        <f>SUM(DK590:DK593)</f>
        <v>17116</v>
      </c>
      <c r="DL594" s="98">
        <f>IF(ISERROR((DK594/DC594-1)*100),"NA",IF(((DK594/DC594-1)*100)&gt;100,"NM",IF(((DK594/DC594-1)*100)&lt;-50,"NM",(DK594/DC594-1)*100)))</f>
        <v>1.4161284588493306</v>
      </c>
      <c r="DM594" s="132">
        <f>SUM(DM590:DM593)</f>
        <v>17801</v>
      </c>
      <c r="DN594" s="98">
        <f>IF(ISERROR((DM594/DE594-1)*100),"NA",IF(((DM594/DE594-1)*100)&gt;100,"NM",IF(((DM594/DE594-1)*100)&lt;-50,"NM",(DM594/DE594-1)*100)))</f>
        <v>4.7425713445131024</v>
      </c>
      <c r="DO594" s="132">
        <f>SUM(DO590:DO593)</f>
        <v>17918</v>
      </c>
      <c r="DP594" s="98">
        <f>IF(ISERROR((DO594/DG594-1)*100),"NA",IF(((DO594/DG594-1)*100)&gt;100,"NM",IF(((DO594/DG594-1)*100)&lt;-50,"NM",(DO594/DG594-1)*100)))</f>
        <v>6.5659569406447016</v>
      </c>
      <c r="DQ594" s="132">
        <f>SUM(DQ590:DQ593)</f>
        <v>18245</v>
      </c>
      <c r="DR594" s="98">
        <f>IF(ISERROR((DQ594/DI594-1)*100),"NA",IF(((DQ594/DI594-1)*100)&gt;100,"NM",IF(((DQ594/DI594-1)*100)&lt;-50,"NM",(DQ594/DI594-1)*100)))</f>
        <v>-0.46372067648663418</v>
      </c>
      <c r="DS594" s="132">
        <f>SUM(DS590:DS593)</f>
        <v>14803</v>
      </c>
      <c r="DT594" s="98">
        <f>IF(ISERROR((DS594/DK594-1)*100),"NA",IF(((DS594/DK594-1)*100)&gt;100,"NM",IF(((DS594/DK594-1)*100)&lt;-50,"NM",(DS594/DK594-1)*100)))</f>
        <v>-13.51367141855574</v>
      </c>
      <c r="DU594" s="132">
        <f>SUM(DU590:DU593)</f>
        <v>15145</v>
      </c>
      <c r="DV594" s="98">
        <f>IF(ISERROR((DU594/DM594-1)*100),"NA",IF(((DU594/DM594-1)*100)&gt;100,"NM",IF(((DU594/DM594-1)*100)&lt;-50,"NM",(DU594/DM594-1)*100)))</f>
        <v>-14.920510083703164</v>
      </c>
      <c r="DW594" s="132">
        <f>SUM(DW590:DW593)</f>
        <v>15617</v>
      </c>
      <c r="DX594" s="98">
        <f>IF(ISERROR((DW594/DO594-1)*100),"NA",IF(((DW594/DO594-1)*100)&gt;100,"NM",IF(((DW594/DO594-1)*100)&lt;-50,"NM",(DW594/DO594-1)*100)))</f>
        <v>-12.841835026230608</v>
      </c>
      <c r="DY594" s="132">
        <f>SUM(DY590:DY593)</f>
        <v>14763</v>
      </c>
      <c r="DZ594" s="98">
        <f>IF(ISERROR((DY594/DQ594-1)*100),"NA",IF(((DY594/DQ594-1)*100)&gt;100,"NM",IF(((DY594/DQ594-1)*100)&lt;-50,"NM",(DY594/DQ594-1)*100)))</f>
        <v>-19.08468073444779</v>
      </c>
      <c r="EA594" s="132">
        <f>SUM(EA590:EA593)</f>
        <v>14619</v>
      </c>
      <c r="EB594" s="98">
        <f>IF(ISERROR((EA594/DS594-1)*100),"NA",IF(((EA594/DS594-1)*100)&gt;100,"NM",IF(((EA594/DS594-1)*100)&lt;-50,"NM",(EA594/DS594-1)*100)))</f>
        <v>-1.2429912855502212</v>
      </c>
      <c r="EC594" s="132">
        <f>SUM(EC590:EC593)</f>
        <v>15014</v>
      </c>
      <c r="ED594" s="98">
        <f>IF(ISERROR((EC594/DU594-1)*100),"NA",IF(((EC594/DU594-1)*100)&gt;100,"NM",IF(((EC594/DU594-1)*100)&lt;-50,"NM",(EC594/DU594-1)*100)))</f>
        <v>-0.86497193793331206</v>
      </c>
      <c r="EE594" s="132">
        <f>SUM(EE590:EE593)</f>
        <v>16010</v>
      </c>
      <c r="EF594" s="860">
        <f>IF(ISERROR((EE594/DW594-1)*100),"NA",IF(((EE594/DW594-1)*100)&gt;100,"NM",IF(((EE594/DW594-1)*100)&lt;-50,"NM",(EE594/DW594-1)*100)))</f>
        <v>2.516488442082343</v>
      </c>
      <c r="EG594" s="132">
        <f>SUM(EG590:EG593)</f>
        <v>15272</v>
      </c>
      <c r="EH594" s="860">
        <f>IF(ISERROR((EG594/DY594-1)*100),"NA",IF(((EG594/DY594-1)*100)&gt;100,"NM",IF(((EG594/DY594-1)*100)&lt;-50,"NM",(EG594/DY594-1)*100)))</f>
        <v>3.4478087109666156</v>
      </c>
      <c r="EI594" s="132">
        <f>SUM(EI590:EI593)</f>
        <v>15054</v>
      </c>
      <c r="EJ594" s="860">
        <f t="shared" si="3371"/>
        <v>2.975579725015387</v>
      </c>
      <c r="EK594" s="132">
        <f>SUM(EK590:EK593)</f>
        <v>15511</v>
      </c>
      <c r="EL594" s="860">
        <f t="shared" si="3372"/>
        <v>3.3102437724790157</v>
      </c>
      <c r="EM594" s="132">
        <f>SUM(EM590:EM593)</f>
        <v>16776</v>
      </c>
      <c r="EN594" s="860">
        <f t="shared" si="3373"/>
        <v>4.7845096814491006</v>
      </c>
      <c r="EO594" s="132">
        <f>SUM(EO590:EO593)</f>
        <v>15403</v>
      </c>
      <c r="EP594" s="98">
        <f t="shared" si="3374"/>
        <v>0.8577789418543702</v>
      </c>
      <c r="EQ594" s="132">
        <f>SUM(EQ590:EQ593)</f>
        <v>15796.450961450726</v>
      </c>
      <c r="ER594" s="98">
        <f t="shared" si="3375"/>
        <v>4.9319181709228443</v>
      </c>
      <c r="ES594" s="132">
        <f t="shared" ref="ES594" si="3379">SUM(ES590:ES593)</f>
        <v>15852.23602339173</v>
      </c>
      <c r="ET594" s="98">
        <f t="shared" si="3376"/>
        <v>2.1999614685818347</v>
      </c>
      <c r="EU594" s="132">
        <f t="shared" ref="EU594" si="3380">SUM(EU590:EU593)</f>
        <v>15919.022255108115</v>
      </c>
      <c r="EV594" s="98">
        <f t="shared" si="3377"/>
        <v>-5.1083556562463333</v>
      </c>
      <c r="EW594" s="132">
        <f t="shared" ref="EW594" si="3381">SUM(EW590:EW593)</f>
        <v>15984.43036785639</v>
      </c>
      <c r="EX594" s="98">
        <f t="shared" si="3378"/>
        <v>3.7747865211737341</v>
      </c>
      <c r="EY594" s="132"/>
      <c r="EZ594" s="594"/>
      <c r="FA594" s="405"/>
      <c r="FB594" s="95"/>
      <c r="FC594" s="92"/>
      <c r="FD594" s="94"/>
      <c r="FE594" s="98" t="str">
        <f>IF(ISERROR((FD594/FB594-1)*100),"NA",IF(((FD594/FB594-1)*100)&gt;100,"NM",IF(((FD594/FB594-1)*100)&lt;-50,"NM",(FD594/FB594-1)*100)))</f>
        <v>NA</v>
      </c>
      <c r="FF594" s="132">
        <f>SUM(FF590:FF593)</f>
        <v>31750</v>
      </c>
      <c r="FG594" s="98" t="str">
        <f>IF(ISERROR((FF594/FD594-1)*100),"NA",IF(((FF594/FD594-1)*100)&gt;100,"NM",IF(((FF594/FD594-1)*100)&lt;-50,"NM",(FF594/FD594-1)*100)))</f>
        <v>NA</v>
      </c>
      <c r="FH594" s="132">
        <f>SUM(FH590:FH593)</f>
        <v>32246.222222222223</v>
      </c>
      <c r="FI594" s="98">
        <f>IF(ISERROR((FH594/FF594-1)*100),"NA",IF(((FH594/FF594-1)*100)&gt;100,"NM",IF(((FH594/FF594-1)*100)&lt;-50,"NM",(FH594/FF594-1)*100)))</f>
        <v>1.5629046369203925</v>
      </c>
      <c r="FJ594" s="132">
        <f>SUM(FJ590:FJ593)</f>
        <v>34055</v>
      </c>
      <c r="FK594" s="98">
        <f>IF(ISERROR((FJ594/FH594-1)*100),"NA",IF(((FJ594/FH594-1)*100)&gt;100,"NM",IF(((FJ594/FH594-1)*100)&lt;-50,"NM",(FJ594/FH594-1)*100)))</f>
        <v>5.6092703365768992</v>
      </c>
      <c r="FL594" s="132">
        <f>SUM(FL590:FL593)</f>
        <v>36283</v>
      </c>
      <c r="FM594" s="98">
        <f>IF(ISERROR((FL594/FJ594-1)*100),"NA",IF(((FL594/FJ594-1)*100)&gt;100,"NM",IF(((FL594/FJ594-1)*100)&lt;-50,"NM",(FL594/FJ594-1)*100)))</f>
        <v>6.5423579503743889</v>
      </c>
      <c r="FN594" s="132">
        <f>SUM(FN590:FN593)</f>
        <v>38878</v>
      </c>
      <c r="FO594" s="98">
        <f>IF(ISERROR((FN594/FL594-1)*100),"NA",IF(((FN594/FL594-1)*100)&gt;100,"NM",IF(((FN594/FL594-1)*100)&lt;-50,"NM",(FN594/FL594-1)*100)))</f>
        <v>7.1521098034892372</v>
      </c>
      <c r="FP594" s="132">
        <f>SUM(FP590:FP593)</f>
        <v>45025</v>
      </c>
      <c r="FQ594" s="98">
        <f>IF(ISERROR((FP594/FN594-1)*100),"NA",IF(((FP594/FN594-1)*100)&gt;100,"NM",IF(((FP594/FN594-1)*100)&lt;-50,"NM",(FP594/FN594-1)*100)))</f>
        <v>15.810998508153705</v>
      </c>
      <c r="FR594" s="132">
        <f>SUM(FR590:FR593)</f>
        <v>50026</v>
      </c>
      <c r="FS594" s="120">
        <f>IF(ISERROR((FR594/FP594-1)*100),"NA",IF(((FR594/FP594-1)*100)&gt;100,"NM",IF(((FR594/FP594-1)*100)&lt;-50,"NM",(FR594/FP594-1)*100)))</f>
        <v>11.107162687395888</v>
      </c>
      <c r="FT594" s="132">
        <f>SUM(FT590:FT593)</f>
        <v>51004</v>
      </c>
      <c r="FU594" s="120">
        <f>IF(ISERROR((FT594/FR594-1)*100),"NA",IF(((FT594/FR594-1)*100)&gt;100,"NM",IF(((FT594/FR594-1)*100)&lt;-50,"NM",(FT594/FR594-1)*100)))</f>
        <v>1.9549834086275197</v>
      </c>
      <c r="FV594" s="132">
        <f>SUM(FV590:FV593)</f>
        <v>49063</v>
      </c>
      <c r="FW594" s="98">
        <f>IF(ISERROR((FV594/FT594-1)*100),"NA",IF(((FV594/FT594-1)*100)&gt;100,"NM",IF(((FV594/FT594-1)*100)&lt;-50,"NM",(FV594/FT594-1)*100)))</f>
        <v>-3.8055838757744542</v>
      </c>
      <c r="FX594" s="488">
        <f>SUM(FX590:FX593)</f>
        <v>49108</v>
      </c>
      <c r="FY594" s="98">
        <f>IF(ISERROR((FX594/FV594-1)*100),"NA",IF(((FX594/FV594-1)*100)&gt;100,"NM",IF(((FX594/FV594-1)*100)&lt;-50,"NM",(FX594/FV594-1)*100)))</f>
        <v>9.1718810508933934E-2</v>
      </c>
      <c r="FZ594" s="132">
        <f>SUM(FZ590:FZ593)</f>
        <v>52183</v>
      </c>
      <c r="GA594" s="98">
        <f>IF(ISERROR((FZ594/FX594-1)*100),"NA",IF(((FZ594/FX594-1)*100)&gt;100,"NM",IF(((FZ594/FX594-1)*100)&lt;-50,"NM",(FZ594/FX594-1)*100)))</f>
        <v>6.2617088865357884</v>
      </c>
      <c r="GB594" s="488">
        <f>SUM(GB590:GB593)</f>
        <v>65087</v>
      </c>
      <c r="GC594" s="98">
        <f>IF(ISERROR((GB594/FZ594-1)*100),"NA",IF(((GB594/FZ594-1)*100)&gt;100,"NM",IF(((GB594/FZ594-1)*100)&lt;-50,"NM",(GB594/FZ594-1)*100)))</f>
        <v>24.728359810666301</v>
      </c>
      <c r="GD594" s="132">
        <f>SUM(GD590:GD593)</f>
        <v>68351</v>
      </c>
      <c r="GE594" s="98">
        <f>IF(ISERROR((GD594/GB594-1)*100),"NA",IF(((GD594/GB594-1)*100)&gt;100,"NM",IF(((GD594/GB594-1)*100)&lt;-50,"NM",(GD594/GB594-1)*100)))</f>
        <v>5.0148263094012657</v>
      </c>
      <c r="GF594" s="132">
        <f>SUM(GF590:GF593)</f>
        <v>69016</v>
      </c>
      <c r="GG594" s="98">
        <f>IF(ISERROR((GF594/GD594-1)*100),"NA",IF(((GF594/GD594-1)*100)&gt;100,"NM",IF(((GF594/GD594-1)*100)&lt;-50,"NM",(GF594/GD594-1)*100)))</f>
        <v>0.97291919650042136</v>
      </c>
      <c r="GH594" s="132">
        <f>SUM(GH590:GH593)</f>
        <v>71080</v>
      </c>
      <c r="GI594" s="98">
        <f>IF(ISERROR((GH594/GF594-1)*100),"NA",IF(((GH594/GF594-1)*100)&gt;100,"NM",IF(((GH594/GF594-1)*100)&lt;-50,"NM",(GH594/GF594-1)*100)))</f>
        <v>2.9906108728410707</v>
      </c>
      <c r="GJ594" s="132">
        <f>SUM(GJ590:GJ593)</f>
        <v>60328</v>
      </c>
      <c r="GK594" s="98">
        <f>IF(ISERROR((GJ594/GH594-1)*100),"NA",IF(((GJ594/GH594-1)*100)&gt;100,"NM",IF(((GJ594/GH594-1)*100)&lt;-50,"NM",(GJ594/GH594-1)*100)))</f>
        <v>-15.126617895329208</v>
      </c>
      <c r="GL594" s="132">
        <f>SUM(GL590:GL593)</f>
        <v>60915</v>
      </c>
      <c r="GM594" s="98">
        <f>IF(ISERROR((GL594/GJ594-1)*100),"NA",IF(((GL594/GJ594-1)*100)&gt;100,"NM",IF(((GL594/GJ594-1)*100)&lt;-50,"NM",(GL594/GJ594-1)*100)))</f>
        <v>0.97301418909958581</v>
      </c>
      <c r="GN594" s="132">
        <f>SUM(GN590:GN593)</f>
        <v>62744</v>
      </c>
      <c r="GO594" s="98">
        <f>IF(ISERROR((GN594/GL594-1)*100),"NA",IF(((GN594/GL594-1)*100)&gt;100,"NM",IF(((GN594/GL594-1)*100)&lt;-50,"NM",(GN594/GL594-1)*100)))</f>
        <v>3.0025445292620967</v>
      </c>
      <c r="GP594" s="132">
        <f>SUM(GP590:GP593)</f>
        <v>63552.139607806959</v>
      </c>
      <c r="GQ594" s="98">
        <f>IF(ISERROR((GP594/GN594-1)*100),"NA",IF(((GP594/GN594-1)*100)&gt;100,"NM",IF(((GP594/GN594-1)*100)&lt;-50,"NM",(GP594/GN594-1)*100)))</f>
        <v>1.2879950398555495</v>
      </c>
      <c r="GR594" s="132">
        <f>SUM(GR590:GR593)</f>
        <v>64868.979177175483</v>
      </c>
      <c r="GS594" s="98">
        <f>IF(ISERROR((GR594/GP594-1)*100),"NA",IF(((GR594/GP594-1)*100)&gt;100,"NM",IF(((GR594/GP594-1)*100)&lt;-50,"NM",(GR594/GP594-1)*100)))</f>
        <v>2.0720617393765295</v>
      </c>
      <c r="GT594" s="132">
        <f>SUM(GT590:GT593)</f>
        <v>66249.145031362437</v>
      </c>
      <c r="GU594" s="98">
        <f>IF(ISERROR((GT594/GR594-1)*100),"NA",IF(((GT594/GR594-1)*100)&gt;100,"NM",IF(((GT594/GR594-1)*100)&lt;-50,"NM",(GT594/GR594-1)*100)))</f>
        <v>2.1276207390551471</v>
      </c>
      <c r="GV594" s="132">
        <f>SUM(GV590:GV593)</f>
        <v>67753.923903230403</v>
      </c>
      <c r="GW594" s="98">
        <f>IF(ISERROR((GV594/GT594-1)*100),"NA",IF(((GV594/GT594-1)*100)&gt;100,"NM",IF(((GV594/GT594-1)*100)&lt;-50,"NM",(GV594/GT594-1)*100)))</f>
        <v>2.2713936476547847</v>
      </c>
      <c r="GX594" s="132">
        <f>SUM(GX590:GX593)</f>
        <v>69412.005645351237</v>
      </c>
      <c r="GY594" s="98">
        <f>IF(ISERROR((GX594/GV594-1)*100),"NA",IF(((GX594/GV594-1)*100)&gt;100,"NM",IF(((GX594/GV594-1)*100)&lt;-50,"NM",(GX594/GV594-1)*100)))</f>
        <v>2.4472113888030833</v>
      </c>
      <c r="GZ594" s="98">
        <f>IF(ISERROR(((GX594/GN594)^0.2-1)*100),"NA",IF((((GX594/GN594)^0.2-1)*100)&gt;100,"NM",IF((((GX594/GN594)^0.2-1)*100)&lt;-50,"NM",((GX594/GN594)^0.2-1)*100)))</f>
        <v>2.0404765732461749</v>
      </c>
      <c r="HA594" s="98"/>
      <c r="HC594"/>
      <c r="HD594"/>
      <c r="HE594"/>
      <c r="HF594"/>
      <c r="HG594"/>
      <c r="HH594"/>
    </row>
    <row r="595" spans="1:216" s="10" customFormat="1" ht="12.75" customHeight="1" x14ac:dyDescent="0.2">
      <c r="B595" s="310"/>
      <c r="C595" s="94"/>
      <c r="D595" s="94"/>
      <c r="E595" s="94"/>
      <c r="F595" s="92"/>
      <c r="G595" s="94"/>
      <c r="H595" s="92"/>
      <c r="I595" s="94"/>
      <c r="J595" s="92"/>
      <c r="K595" s="94"/>
      <c r="L595" s="92"/>
      <c r="M595" s="94"/>
      <c r="N595" s="92"/>
      <c r="O595" s="94"/>
      <c r="P595" s="92"/>
      <c r="Q595" s="94"/>
      <c r="R595" s="92"/>
      <c r="S595" s="99"/>
      <c r="T595" s="92"/>
      <c r="U595" s="99"/>
      <c r="V595" s="92"/>
      <c r="W595" s="99"/>
      <c r="X595" s="92"/>
      <c r="Y595" s="99"/>
      <c r="Z595" s="92"/>
      <c r="AA595" s="99"/>
      <c r="AB595" s="92"/>
      <c r="AC595" s="99"/>
      <c r="AD595" s="92"/>
      <c r="AE595" s="99"/>
      <c r="AF595" s="92"/>
      <c r="AG595" s="99"/>
      <c r="AH595" s="92"/>
      <c r="AI595" s="99"/>
      <c r="AJ595" s="92"/>
      <c r="AK595" s="99"/>
      <c r="AL595" s="92"/>
      <c r="AM595" s="99"/>
      <c r="AN595" s="92"/>
      <c r="AO595" s="99"/>
      <c r="AP595" s="92"/>
      <c r="AQ595" s="99"/>
      <c r="AR595" s="92"/>
      <c r="AS595" s="99"/>
      <c r="AT595" s="92"/>
      <c r="AU595" s="99"/>
      <c r="AV595" s="92"/>
      <c r="AW595" s="99"/>
      <c r="AX595" s="92"/>
      <c r="AY595" s="99"/>
      <c r="AZ595" s="92"/>
      <c r="BA595" s="99"/>
      <c r="BB595" s="92"/>
      <c r="BC595" s="99"/>
      <c r="BD595" s="92"/>
      <c r="BE595" s="99"/>
      <c r="BF595" s="92"/>
      <c r="BG595" s="99"/>
      <c r="BH595" s="92"/>
      <c r="BI595" s="99"/>
      <c r="BJ595" s="92"/>
      <c r="BK595" s="99"/>
      <c r="BL595" s="92"/>
      <c r="BM595" s="99"/>
      <c r="BN595" s="92"/>
      <c r="BO595" s="99"/>
      <c r="BP595" s="92"/>
      <c r="BQ595" s="99"/>
      <c r="BR595" s="92"/>
      <c r="BS595" s="99"/>
      <c r="BT595" s="92"/>
      <c r="BU595" s="99"/>
      <c r="BV595" s="92"/>
      <c r="BW595" s="99"/>
      <c r="BX595" s="92"/>
      <c r="BY595" s="99"/>
      <c r="BZ595" s="92"/>
      <c r="CA595" s="99"/>
      <c r="CB595" s="92"/>
      <c r="CC595" s="99"/>
      <c r="CD595" s="92"/>
      <c r="CE595" s="99"/>
      <c r="CF595" s="92"/>
      <c r="CG595" s="99"/>
      <c r="CH595" s="92"/>
      <c r="CI595" s="99"/>
      <c r="CJ595" s="92"/>
      <c r="CK595" s="99"/>
      <c r="CL595" s="92"/>
      <c r="CM595" s="99"/>
      <c r="CN595" s="92"/>
      <c r="CO595" s="99"/>
      <c r="CP595" s="92"/>
      <c r="CQ595" s="482"/>
      <c r="CR595" s="92"/>
      <c r="CS595" s="99"/>
      <c r="CT595" s="92"/>
      <c r="CU595" s="99"/>
      <c r="CV595" s="92"/>
      <c r="CW595" s="99"/>
      <c r="CX595" s="92"/>
      <c r="CY595" s="99"/>
      <c r="CZ595" s="92"/>
      <c r="DA595" s="99"/>
      <c r="DB595" s="92"/>
      <c r="DC595" s="99"/>
      <c r="DD595" s="92"/>
      <c r="DE595" s="99"/>
      <c r="DF595" s="92"/>
      <c r="DG595" s="99"/>
      <c r="DH595" s="92"/>
      <c r="DI595" s="99"/>
      <c r="DJ595" s="92"/>
      <c r="DK595" s="99"/>
      <c r="DL595" s="92"/>
      <c r="DM595" s="99"/>
      <c r="DN595" s="92"/>
      <c r="DO595" s="99"/>
      <c r="DP595" s="92"/>
      <c r="DQ595" s="99"/>
      <c r="DR595" s="92"/>
      <c r="DS595" s="99"/>
      <c r="DT595" s="92"/>
      <c r="DU595" s="99"/>
      <c r="DV595" s="92"/>
      <c r="DW595" s="99"/>
      <c r="DX595" s="92"/>
      <c r="DY595" s="99"/>
      <c r="DZ595" s="92"/>
      <c r="EA595" s="99"/>
      <c r="EB595" s="92"/>
      <c r="EC595" s="99"/>
      <c r="ED595" s="92"/>
      <c r="EE595" s="99"/>
      <c r="EF595" s="1020"/>
      <c r="EG595" s="99"/>
      <c r="EH595" s="1020"/>
      <c r="EI595" s="99"/>
      <c r="EJ595" s="1020"/>
      <c r="EK595" s="99"/>
      <c r="EL595" s="1020"/>
      <c r="EM595" s="99"/>
      <c r="EN595" s="1020"/>
      <c r="EO595" s="99"/>
      <c r="EP595" s="92"/>
      <c r="EQ595" s="99"/>
      <c r="ER595" s="92"/>
      <c r="ES595" s="99"/>
      <c r="ET595" s="92"/>
      <c r="EU595" s="99"/>
      <c r="EV595" s="92"/>
      <c r="EW595" s="99"/>
      <c r="EX595" s="92"/>
      <c r="EY595" s="99"/>
      <c r="EZ595" s="594"/>
      <c r="FA595" s="405"/>
      <c r="FB595" s="313"/>
      <c r="FC595" s="92"/>
      <c r="FD595" s="94"/>
      <c r="FE595" s="92"/>
      <c r="FF595" s="114"/>
      <c r="FG595" s="92"/>
      <c r="FH595" s="114"/>
      <c r="FI595" s="92"/>
      <c r="FJ595" s="114"/>
      <c r="FK595" s="92"/>
      <c r="FL595" s="99"/>
      <c r="FM595" s="92"/>
      <c r="FN595" s="99"/>
      <c r="FO595" s="92"/>
      <c r="FP595" s="99"/>
      <c r="FQ595" s="92"/>
      <c r="FR595" s="99"/>
      <c r="FS595" s="97"/>
      <c r="FT595" s="99"/>
      <c r="FU595" s="97"/>
      <c r="FV595" s="99"/>
      <c r="FW595" s="92"/>
      <c r="FX595" s="482"/>
      <c r="FY595" s="92"/>
      <c r="FZ595" s="99"/>
      <c r="GA595" s="92"/>
      <c r="GB595" s="482"/>
      <c r="GC595" s="98"/>
      <c r="GD595" s="99"/>
      <c r="GE595" s="98"/>
      <c r="GF595" s="99"/>
      <c r="GG595" s="98"/>
      <c r="GH595" s="99"/>
      <c r="GI595" s="98"/>
      <c r="GJ595" s="99"/>
      <c r="GK595" s="98"/>
      <c r="GL595" s="99"/>
      <c r="GM595" s="98"/>
      <c r="GN595" s="99"/>
      <c r="GO595" s="98"/>
      <c r="GP595" s="99"/>
      <c r="GQ595" s="98"/>
      <c r="GR595" s="99"/>
      <c r="GS595" s="98"/>
      <c r="GT595" s="99"/>
      <c r="GU595" s="98"/>
      <c r="GV595" s="99"/>
      <c r="GW595" s="98"/>
      <c r="GX595" s="99"/>
      <c r="GY595" s="98"/>
      <c r="GZ595" s="98"/>
      <c r="HA595" s="98"/>
      <c r="HC595"/>
      <c r="HD595"/>
      <c r="HE595"/>
      <c r="HF595"/>
      <c r="HG595"/>
      <c r="HH595"/>
    </row>
    <row r="596" spans="1:216" s="10" customFormat="1" ht="12.75" customHeight="1" x14ac:dyDescent="0.2">
      <c r="B596" s="311" t="s">
        <v>58</v>
      </c>
      <c r="C596" s="94"/>
      <c r="D596" s="94"/>
      <c r="E596" s="94"/>
      <c r="F596" s="92"/>
      <c r="G596" s="94"/>
      <c r="H596" s="92"/>
      <c r="I596" s="94"/>
      <c r="J596" s="92"/>
      <c r="K596" s="94"/>
      <c r="L596" s="92"/>
      <c r="M596" s="94"/>
      <c r="N596" s="92"/>
      <c r="O596" s="94"/>
      <c r="P596" s="92"/>
      <c r="Q596" s="94"/>
      <c r="R596" s="92"/>
      <c r="S596" s="99"/>
      <c r="T596" s="92"/>
      <c r="U596" s="99"/>
      <c r="V596" s="92"/>
      <c r="W596" s="99"/>
      <c r="X596" s="92"/>
      <c r="Y596" s="99"/>
      <c r="Z596" s="92"/>
      <c r="AA596" s="99"/>
      <c r="AB596" s="92"/>
      <c r="AC596" s="99"/>
      <c r="AD596" s="92"/>
      <c r="AE596" s="99"/>
      <c r="AF596" s="92"/>
      <c r="AG596" s="99"/>
      <c r="AH596" s="92"/>
      <c r="AI596" s="99"/>
      <c r="AJ596" s="92"/>
      <c r="AK596" s="99"/>
      <c r="AL596" s="92"/>
      <c r="AM596" s="99"/>
      <c r="AN596" s="92"/>
      <c r="AO596" s="99"/>
      <c r="AP596" s="92"/>
      <c r="AQ596" s="99"/>
      <c r="AR596" s="92"/>
      <c r="AS596" s="99"/>
      <c r="AT596" s="92"/>
      <c r="AU596" s="99"/>
      <c r="AV596" s="92"/>
      <c r="AW596" s="99"/>
      <c r="AX596" s="92"/>
      <c r="AY596" s="99"/>
      <c r="AZ596" s="92"/>
      <c r="BA596" s="99"/>
      <c r="BB596" s="92"/>
      <c r="BC596" s="99"/>
      <c r="BD596" s="92"/>
      <c r="BE596" s="99"/>
      <c r="BF596" s="92"/>
      <c r="BG596" s="99"/>
      <c r="BH596" s="92"/>
      <c r="BI596" s="99"/>
      <c r="BJ596" s="92"/>
      <c r="BK596" s="99"/>
      <c r="BL596" s="92"/>
      <c r="BM596" s="99"/>
      <c r="BN596" s="92"/>
      <c r="BO596" s="99"/>
      <c r="BP596" s="92"/>
      <c r="BQ596" s="99"/>
      <c r="BR596" s="92"/>
      <c r="BS596" s="99"/>
      <c r="BT596" s="92"/>
      <c r="BU596" s="99"/>
      <c r="BV596" s="92"/>
      <c r="BW596" s="99"/>
      <c r="BX596" s="92"/>
      <c r="BY596" s="99"/>
      <c r="BZ596" s="92"/>
      <c r="CA596" s="99"/>
      <c r="CB596" s="92"/>
      <c r="CC596" s="99"/>
      <c r="CD596" s="92"/>
      <c r="CE596" s="99"/>
      <c r="CF596" s="92"/>
      <c r="CG596" s="99"/>
      <c r="CH596" s="92"/>
      <c r="CI596" s="99"/>
      <c r="CJ596" s="92"/>
      <c r="CK596" s="99"/>
      <c r="CL596" s="92"/>
      <c r="CM596" s="99"/>
      <c r="CN596" s="92"/>
      <c r="CO596" s="99"/>
      <c r="CP596" s="92"/>
      <c r="CQ596" s="482"/>
      <c r="CR596" s="92"/>
      <c r="CS596" s="99"/>
      <c r="CT596" s="92"/>
      <c r="CU596" s="99"/>
      <c r="CV596" s="92"/>
      <c r="CW596" s="99"/>
      <c r="CX596" s="92"/>
      <c r="CY596" s="99"/>
      <c r="CZ596" s="92"/>
      <c r="DA596" s="99"/>
      <c r="DB596" s="92"/>
      <c r="DC596" s="99"/>
      <c r="DD596" s="92"/>
      <c r="DE596" s="99"/>
      <c r="DF596" s="92"/>
      <c r="DG596" s="99"/>
      <c r="DH596" s="92"/>
      <c r="DI596" s="99"/>
      <c r="DJ596" s="92"/>
      <c r="DK596" s="99"/>
      <c r="DL596" s="92"/>
      <c r="DM596" s="99"/>
      <c r="DN596" s="92"/>
      <c r="DO596" s="99"/>
      <c r="DP596" s="92"/>
      <c r="DQ596" s="99"/>
      <c r="DR596" s="92"/>
      <c r="DS596" s="99"/>
      <c r="DT596" s="92"/>
      <c r="DU596" s="99"/>
      <c r="DV596" s="92"/>
      <c r="DW596" s="99"/>
      <c r="DX596" s="92"/>
      <c r="DY596" s="99"/>
      <c r="DZ596" s="92"/>
      <c r="EA596" s="99"/>
      <c r="EB596" s="92"/>
      <c r="EC596" s="99"/>
      <c r="ED596" s="92"/>
      <c r="EE596" s="99"/>
      <c r="EF596" s="1020"/>
      <c r="EG596" s="99"/>
      <c r="EH596" s="1020"/>
      <c r="EI596" s="99"/>
      <c r="EJ596" s="1020"/>
      <c r="EK596" s="99"/>
      <c r="EL596" s="1020"/>
      <c r="EM596" s="99"/>
      <c r="EN596" s="1020"/>
      <c r="EO596" s="99"/>
      <c r="EP596" s="92"/>
      <c r="EQ596" s="99"/>
      <c r="ER596" s="92"/>
      <c r="ES596" s="99"/>
      <c r="ET596" s="92"/>
      <c r="EU596" s="99"/>
      <c r="EV596" s="92"/>
      <c r="EW596" s="99"/>
      <c r="EX596" s="92"/>
      <c r="EY596" s="99"/>
      <c r="EZ596" s="594"/>
      <c r="FA596" s="405"/>
      <c r="FB596" s="95"/>
      <c r="FC596" s="92"/>
      <c r="FD596" s="94"/>
      <c r="FE596" s="92"/>
      <c r="FF596" s="114"/>
      <c r="FG596" s="92"/>
      <c r="FH596" s="114"/>
      <c r="FI596" s="92"/>
      <c r="FJ596" s="114"/>
      <c r="FK596" s="92"/>
      <c r="FL596" s="99"/>
      <c r="FM596" s="92"/>
      <c r="FN596" s="99"/>
      <c r="FO596" s="92"/>
      <c r="FP596" s="99"/>
      <c r="FQ596" s="92"/>
      <c r="FR596" s="99"/>
      <c r="FS596" s="97"/>
      <c r="FT596" s="99"/>
      <c r="FU596" s="97"/>
      <c r="FV596" s="99"/>
      <c r="FW596" s="92"/>
      <c r="FX596" s="482"/>
      <c r="FY596" s="92"/>
      <c r="FZ596" s="99"/>
      <c r="GA596" s="92"/>
      <c r="GB596" s="482"/>
      <c r="GC596" s="98"/>
      <c r="GD596" s="99"/>
      <c r="GE596" s="98"/>
      <c r="GF596" s="99"/>
      <c r="GG596" s="98"/>
      <c r="GH596" s="99"/>
      <c r="GI596" s="98"/>
      <c r="GJ596" s="99"/>
      <c r="GK596" s="98"/>
      <c r="GL596" s="99"/>
      <c r="GM596" s="98"/>
      <c r="GN596" s="99"/>
      <c r="GO596" s="98"/>
      <c r="GP596" s="99"/>
      <c r="GQ596" s="98"/>
      <c r="GR596" s="99"/>
      <c r="GS596" s="98"/>
      <c r="GT596" s="99"/>
      <c r="GU596" s="98"/>
      <c r="GV596" s="99"/>
      <c r="GW596" s="98"/>
      <c r="GX596" s="99"/>
      <c r="GY596" s="98"/>
      <c r="GZ596" s="98"/>
      <c r="HA596" s="98"/>
      <c r="HC596"/>
      <c r="HD596"/>
      <c r="HE596"/>
      <c r="HF596"/>
      <c r="HG596"/>
      <c r="HH596"/>
    </row>
    <row r="597" spans="1:216" s="10" customFormat="1" ht="12.75" customHeight="1" x14ac:dyDescent="0.2">
      <c r="B597" s="310" t="s">
        <v>88</v>
      </c>
      <c r="C597" s="94">
        <v>4520</v>
      </c>
      <c r="D597" s="94"/>
      <c r="E597" s="94">
        <v>4747</v>
      </c>
      <c r="F597" s="92"/>
      <c r="G597" s="94">
        <v>4585</v>
      </c>
      <c r="H597" s="92"/>
      <c r="I597" s="94">
        <v>4969</v>
      </c>
      <c r="J597" s="98"/>
      <c r="K597" s="94">
        <v>4951</v>
      </c>
      <c r="L597" s="98">
        <f t="shared" ref="L597:L602" si="3382">IF(ISERROR((K597/C597-1)*100),"NA",IF(((K597/C597-1)*100)&gt;100,"NM",IF(((K597/C597-1)*100)&lt;-50,"NM",(K597/C597-1)*100)))</f>
        <v>9.5353982300884876</v>
      </c>
      <c r="M597" s="94">
        <v>4793</v>
      </c>
      <c r="N597" s="98">
        <f t="shared" ref="N597:N602" si="3383">IF(ISERROR((M597/E597-1)*100),"NA",IF(((M597/E597-1)*100)&gt;100,"NM",IF(((M597/E597-1)*100)&lt;-50,"NM",(M597/E597-1)*100)))</f>
        <v>0.96903307352012025</v>
      </c>
      <c r="O597" s="94">
        <v>4976.8452380952376</v>
      </c>
      <c r="P597" s="98">
        <f t="shared" ref="P597:P602" si="3384">IF(ISERROR((O597/G597-1)*100),"NA",IF(((O597/G597-1)*100)&gt;100,"NM",IF(((O597/G597-1)*100)&lt;-50,"NM",(O597/G597-1)*100)))</f>
        <v>8.546242924650759</v>
      </c>
      <c r="Q597" s="94">
        <v>5308</v>
      </c>
      <c r="R597" s="98">
        <f t="shared" ref="R597:R602" si="3385">IF(ISERROR((Q597/I597-1)*100),"NA",IF(((Q597/I597-1)*100)&gt;100,"NM",IF(((Q597/I597-1)*100)&lt;-50,"NM",(Q597/I597-1)*100)))</f>
        <v>6.8222982491446871</v>
      </c>
      <c r="S597" s="94">
        <v>5115</v>
      </c>
      <c r="T597" s="98">
        <f t="shared" ref="T597:T602" si="3386">IF(ISERROR((S597/K597-1)*100),"NA",IF(((S597/K597-1)*100)&gt;100,"NM",IF(((S597/K597-1)*100)&lt;-50,"NM",(S597/K597-1)*100)))</f>
        <v>3.3124621288628475</v>
      </c>
      <c r="U597" s="94">
        <v>5370</v>
      </c>
      <c r="V597" s="98">
        <f t="shared" ref="V597:V602" si="3387">IF(ISERROR((U597/M597-1)*100),"NA",IF(((U597/M597-1)*100)&gt;100,"NM",IF(((U597/M597-1)*100)&lt;-50,"NM",(U597/M597-1)*100)))</f>
        <v>12.038389317755049</v>
      </c>
      <c r="W597" s="94">
        <v>5243</v>
      </c>
      <c r="X597" s="98">
        <f t="shared" ref="X597:X602" si="3388">IF(ISERROR((W597/O597-1)*100),"NA",IF(((W597/O597-1)*100)&gt;100,"NM",IF(((W597/O597-1)*100)&lt;-50,"NM",(W597/O597-1)*100)))</f>
        <v>5.3478609273899469</v>
      </c>
      <c r="Y597" s="94">
        <v>5737</v>
      </c>
      <c r="Z597" s="98">
        <f t="shared" ref="Z597:Z602" si="3389">IF(ISERROR((Y597/Q597-1)*100),"NA",IF(((Y597/Q597-1)*100)&gt;100,"NM",IF(((Y597/Q597-1)*100)&lt;-50,"NM",(Y597/Q597-1)*100)))</f>
        <v>8.0821401657875001</v>
      </c>
      <c r="AA597" s="94">
        <v>5456</v>
      </c>
      <c r="AB597" s="98">
        <f t="shared" ref="AB597:AB602" si="3390">IF(ISERROR((AA597/S597-1)*100),"NA",IF(((AA597/S597-1)*100)&gt;100,"NM",IF(((AA597/S597-1)*100)&lt;-50,"NM",(AA597/S597-1)*100)))</f>
        <v>6.6666666666666652</v>
      </c>
      <c r="AC597" s="94">
        <v>5472</v>
      </c>
      <c r="AD597" s="98">
        <f t="shared" ref="AD597:AD602" si="3391">IF(ISERROR((AC597/U597-1)*100),"NA",IF(((AC597/U597-1)*100)&gt;100,"NM",IF(((AC597/U597-1)*100)&lt;-50,"NM",(AC597/U597-1)*100)))</f>
        <v>1.8994413407821265</v>
      </c>
      <c r="AE597" s="94">
        <v>5651</v>
      </c>
      <c r="AF597" s="98">
        <f t="shared" ref="AF597:AF602" si="3392">IF(ISERROR((AE597/W597-1)*100),"NA",IF(((AE597/W597-1)*100)&gt;100,"NM",IF(((AE597/W597-1)*100)&lt;-50,"NM",(AE597/W597-1)*100)))</f>
        <v>7.7818043105092549</v>
      </c>
      <c r="AG597" s="94">
        <v>6244</v>
      </c>
      <c r="AH597" s="98">
        <f t="shared" ref="AH597:AH602" si="3393">IF(ISERROR((AG597/Y597-1)*100),"NA",IF(((AG597/Y597-1)*100)&gt;100,"NM",IF(((AG597/Y597-1)*100)&lt;-50,"NM",(AG597/Y597-1)*100)))</f>
        <v>8.8373714484922381</v>
      </c>
      <c r="AI597" s="94">
        <v>5931</v>
      </c>
      <c r="AJ597" s="98">
        <f t="shared" ref="AJ597:AJ602" si="3394">IF(ISERROR((AI597/AA597-1)*100),"NA",IF(((AI597/AA597-1)*100)&gt;100,"NM",IF(((AI597/AA597-1)*100)&lt;-50,"NM",(AI597/AA597-1)*100)))</f>
        <v>8.7060117302052866</v>
      </c>
      <c r="AK597" s="94">
        <v>5914</v>
      </c>
      <c r="AL597" s="98">
        <f t="shared" ref="AL597:AL602" si="3395">IF(ISERROR((AK597/AC597-1)*100),"NA",IF(((AK597/AC597-1)*100)&gt;100,"NM",IF(((AK597/AC597-1)*100)&lt;-50,"NM",(AK597/AC597-1)*100)))</f>
        <v>8.0774853801169666</v>
      </c>
      <c r="AM597" s="94">
        <v>6260</v>
      </c>
      <c r="AN597" s="98">
        <f t="shared" ref="AN597:AN602" si="3396">IF(ISERROR((AM597/AE597-1)*100),"NA",IF(((AM597/AE597-1)*100)&gt;100,"NM",IF(((AM597/AE597-1)*100)&lt;-50,"NM",(AM597/AE597-1)*100)))</f>
        <v>10.776853654220497</v>
      </c>
      <c r="AO597" s="94">
        <v>6289</v>
      </c>
      <c r="AP597" s="98">
        <f t="shared" ref="AP597:AP602" si="3397">IF(ISERROR((AO597/AG597-1)*100),"NA",IF(((AO597/AG597-1)*100)&gt;100,"NM",IF(((AO597/AG597-1)*100)&lt;-50,"NM",(AO597/AG597-1)*100)))</f>
        <v>0.72069186418961539</v>
      </c>
      <c r="AQ597" s="94">
        <v>6411</v>
      </c>
      <c r="AR597" s="98">
        <f t="shared" ref="AR597:AR602" si="3398">IF(ISERROR((AQ597/AI597-1)*100),"NA",IF(((AQ597/AI597-1)*100)&gt;100,"NM",IF(((AQ597/AI597-1)*100)&lt;-50,"NM",(AQ597/AI597-1)*100)))</f>
        <v>8.0930703085483113</v>
      </c>
      <c r="AS597" s="94">
        <v>6589</v>
      </c>
      <c r="AT597" s="98">
        <f t="shared" ref="AT597:AT602" si="3399">IF(ISERROR((AS597/AK597-1)*100),"NA",IF(((AS597/AK597-1)*100)&gt;100,"NM",IF(((AS597/AK597-1)*100)&lt;-50,"NM",(AS597/AK597-1)*100)))</f>
        <v>11.413594859655053</v>
      </c>
      <c r="AU597" s="94">
        <v>7208</v>
      </c>
      <c r="AV597" s="98">
        <f t="shared" ref="AV597:AV602" si="3400">IF(ISERROR((AU597/AM597-1)*100),"NA",IF(((AU597/AM597-1)*100)&gt;100,"NM",IF(((AU597/AM597-1)*100)&lt;-50,"NM",(AU597/AM597-1)*100)))</f>
        <v>15.143769968051114</v>
      </c>
      <c r="AW597" s="94">
        <v>6897</v>
      </c>
      <c r="AX597" s="98">
        <f t="shared" ref="AX597:AX602" si="3401">IF(ISERROR((AW597/AO597-1)*100),"NA",IF(((AW597/AO597-1)*100)&gt;100,"NM",IF(((AW597/AO597-1)*100)&lt;-50,"NM",(AW597/AO597-1)*100)))</f>
        <v>9.6676737160120929</v>
      </c>
      <c r="AY597" s="94">
        <v>6934</v>
      </c>
      <c r="AZ597" s="98">
        <f t="shared" ref="AZ597:AZ602" si="3402">IF(ISERROR((AY597/AQ597-1)*100),"NA",IF(((AY597/AQ597-1)*100)&gt;100,"NM",IF(((AY597/AQ597-1)*100)&lt;-50,"NM",(AY597/AQ597-1)*100)))</f>
        <v>8.1578536889720823</v>
      </c>
      <c r="BA597" s="94">
        <v>6840</v>
      </c>
      <c r="BB597" s="98">
        <f t="shared" ref="BB597:BB602" si="3403">IF(ISERROR((BA597/AS597-1)*100),"NA",IF(((BA597/AS597-1)*100)&gt;100,"NM",IF(((BA597/AS597-1)*100)&lt;-50,"NM",(BA597/AS597-1)*100)))</f>
        <v>3.809379268477775</v>
      </c>
      <c r="BC597" s="94">
        <v>6930</v>
      </c>
      <c r="BD597" s="98">
        <f t="shared" ref="BD597:BD602" si="3404">IF(ISERROR((BC597/AU597-1)*100),"NA",IF(((BC597/AU597-1)*100)&gt;100,"NM",IF(((BC597/AU597-1)*100)&lt;-50,"NM",(BC597/AU597-1)*100)))</f>
        <v>-3.8568257491675917</v>
      </c>
      <c r="BE597" s="94">
        <v>7318</v>
      </c>
      <c r="BF597" s="98">
        <f t="shared" ref="BF597:BF602" si="3405">IF(ISERROR((BE597/AW597-1)*100),"NA",IF(((BE597/AW597-1)*100)&gt;100,"NM",IF(((BE597/AW597-1)*100)&lt;-50,"NM",(BE597/AW597-1)*100)))</f>
        <v>6.104103233289826</v>
      </c>
      <c r="BG597" s="94">
        <v>7132</v>
      </c>
      <c r="BH597" s="98">
        <f t="shared" ref="BH597:BH602" si="3406">IF(ISERROR((BG597/AY597-1)*100),"NA",IF(((BG597/AY597-1)*100)&gt;100,"NM",IF(((BG597/AY597-1)*100)&lt;-50,"NM",(BG597/AY597-1)*100)))</f>
        <v>2.8554946639746115</v>
      </c>
      <c r="BI597" s="94">
        <v>7253</v>
      </c>
      <c r="BJ597" s="98">
        <f t="shared" ref="BJ597:BJ602" si="3407">IF(ISERROR((BI597/BA597-1)*100),"NA",IF(((BI597/BA597-1)*100)&gt;100,"NM",IF(((BI597/BA597-1)*100)&lt;-50,"NM",(BI597/BA597-1)*100)))</f>
        <v>6.0380116959064312</v>
      </c>
      <c r="BK597" s="94">
        <v>7387</v>
      </c>
      <c r="BL597" s="98">
        <f t="shared" ref="BL597:BL602" si="3408">IF(ISERROR((BK597/BC597-1)*100),"NA",IF(((BK597/BC597-1)*100)&gt;100,"NM",IF(((BK597/BC597-1)*100)&lt;-50,"NM",(BK597/BC597-1)*100)))</f>
        <v>6.5945165945165973</v>
      </c>
      <c r="BM597" s="94">
        <v>7628</v>
      </c>
      <c r="BN597" s="98">
        <f t="shared" ref="BN597:BN602" si="3409">IF(ISERROR((BM597/BE597-1)*100),"NA",IF(((BM597/BE597-1)*100)&gt;100,"NM",IF(((BM597/BE597-1)*100)&lt;-50,"NM",(BM597/BE597-1)*100)))</f>
        <v>4.2361300901885723</v>
      </c>
      <c r="BO597" s="94">
        <v>6885</v>
      </c>
      <c r="BP597" s="98">
        <f t="shared" ref="BP597:BP602" si="3410">IF(ISERROR((BO597/BG597-1)*100),"NA",IF(((BO597/BG597-1)*100)&gt;100,"NM",IF(((BO597/BG597-1)*100)&lt;-50,"NM",(BO597/BG597-1)*100)))</f>
        <v>-3.4632641615255144</v>
      </c>
      <c r="BQ597" s="94">
        <v>7190</v>
      </c>
      <c r="BR597" s="98">
        <f t="shared" ref="BR597:BR602" si="3411">IF(ISERROR((BQ597/BI597-1)*100),"NA",IF(((BQ597/BI597-1)*100)&gt;100,"NM",IF(((BQ597/BI597-1)*100)&lt;-50,"NM",(BQ597/BI597-1)*100)))</f>
        <v>-0.86860609403005551</v>
      </c>
      <c r="BS597" s="94">
        <v>7616</v>
      </c>
      <c r="BT597" s="98">
        <f t="shared" ref="BT597:BT602" si="3412">IF(ISERROR((BS597/BK597-1)*100),"NA",IF(((BS597/BK597-1)*100)&gt;100,"NM",IF(((BS597/BK597-1)*100)&lt;-50,"NM",(BS597/BK597-1)*100)))</f>
        <v>3.1000406118857349</v>
      </c>
      <c r="BU597" s="94">
        <v>7316</v>
      </c>
      <c r="BV597" s="98">
        <f t="shared" ref="BV597:BV602" si="3413">IF(ISERROR((BU597/BM597-1)*100),"NA",IF(((BU597/BM597-1)*100)&gt;100,"NM",IF(((BU597/BM597-1)*100)&lt;-50,"NM",(BU597/BM597-1)*100)))</f>
        <v>-4.090194022024118</v>
      </c>
      <c r="BW597" s="94">
        <v>6979</v>
      </c>
      <c r="BX597" s="98">
        <f t="shared" ref="BX597:BX602" si="3414">IF(ISERROR((BW597/BO597-1)*100),"NA",IF(((BW597/BO597-1)*100)&gt;100,"NM",IF(((BW597/BO597-1)*100)&lt;-50,"NM",(BW597/BO597-1)*100)))</f>
        <v>1.3652868554829389</v>
      </c>
      <c r="BY597" s="94">
        <v>7388</v>
      </c>
      <c r="BZ597" s="98">
        <f t="shared" ref="BZ597:BZ602" si="3415">IF(ISERROR((BY597/BQ597-1)*100),"NA",IF(((BY597/BQ597-1)*100)&gt;100,"NM",IF(((BY597/BQ597-1)*100)&lt;-50,"NM",(BY597/BQ597-1)*100)))</f>
        <v>2.7538247566063934</v>
      </c>
      <c r="CA597" s="94">
        <v>7549</v>
      </c>
      <c r="CB597" s="98">
        <f t="shared" ref="CB597:CB602" si="3416">IF(ISERROR((CA597/BS597-1)*100),"NA",IF(((CA597/BS597-1)*100)&gt;100,"NM",IF(((CA597/BS597-1)*100)&lt;-50,"NM",(CA597/BS597-1)*100)))</f>
        <v>-0.87972689075630495</v>
      </c>
      <c r="CC597" s="94">
        <v>7986</v>
      </c>
      <c r="CD597" s="98">
        <f t="shared" ref="CD597:CD602" si="3417">IF(ISERROR((CC597/BU597-1)*100),"NA",IF(((CC597/BU597-1)*100)&gt;100,"NM",IF(((CC597/BU597-1)*100)&lt;-50,"NM",(CC597/BU597-1)*100)))</f>
        <v>9.1580098414434161</v>
      </c>
      <c r="CE597" s="94">
        <v>7681</v>
      </c>
      <c r="CF597" s="98">
        <f t="shared" ref="CF597:CF602" si="3418">IF(ISERROR((CE597/BW597-1)*100),"NA",IF(((CE597/BW597-1)*100)&gt;100,"NM",IF(((CE597/BW597-1)*100)&lt;-50,"NM",(CE597/BW597-1)*100)))</f>
        <v>10.058747671586188</v>
      </c>
      <c r="CG597" s="94">
        <v>7377</v>
      </c>
      <c r="CH597" s="98">
        <f t="shared" ref="CH597:CH602" si="3419">IF(ISERROR((CG597/BY597-1)*100),"NA",IF(((CG597/BY597-1)*100)&gt;100,"NM",IF(((CG597/BY597-1)*100)&lt;-50,"NM",(CG597/BY597-1)*100)))</f>
        <v>-0.1488900920411429</v>
      </c>
      <c r="CI597" s="94">
        <v>7291</v>
      </c>
      <c r="CJ597" s="98">
        <f t="shared" ref="CJ597:CJ602" si="3420">IF(ISERROR((CI597/CA597-1)*100),"NA",IF(((CI597/CA597-1)*100)&gt;100,"NM",IF(((CI597/CA597-1)*100)&lt;-50,"NM",(CI597/CA597-1)*100)))</f>
        <v>-3.4176712147304333</v>
      </c>
      <c r="CK597" s="94">
        <v>7623</v>
      </c>
      <c r="CL597" s="98">
        <f t="shared" ref="CL597:CL602" si="3421">IF(ISERROR((CK597/CC597-1)*100),"NA",IF(((CK597/CC597-1)*100)&gt;100,"NM",IF(((CK597/CC597-1)*100)&lt;-50,"NM",(CK597/CC597-1)*100)))</f>
        <v>-4.5454545454545414</v>
      </c>
      <c r="CM597" s="94">
        <v>8439</v>
      </c>
      <c r="CN597" s="98">
        <f t="shared" ref="CN597:CN602" si="3422">IF(ISERROR((CM597/CE597-1)*100),"NA",IF(((CM597/CE597-1)*100)&gt;100,"NM",IF(((CM597/CE597-1)*100)&lt;-50,"NM",(CM597/CE597-1)*100)))</f>
        <v>9.8685067048561272</v>
      </c>
      <c r="CO597" s="94">
        <v>9272</v>
      </c>
      <c r="CP597" s="98">
        <f t="shared" ref="CP597:CT602" si="3423">IF(ISERROR((CO597/CG597-1)*100),"NA",IF(((CO597/CG597-1)*100)&gt;100,"NM",IF(((CO597/CG597-1)*100)&lt;-50,"NM",(CO597/CG597-1)*100)))</f>
        <v>25.687949030771318</v>
      </c>
      <c r="CQ597" s="533">
        <v>9604</v>
      </c>
      <c r="CR597" s="98">
        <f t="shared" si="3423"/>
        <v>31.724043341105478</v>
      </c>
      <c r="CS597" s="94">
        <v>8926</v>
      </c>
      <c r="CT597" s="98">
        <f t="shared" si="3423"/>
        <v>17.093008002098919</v>
      </c>
      <c r="CU597" s="94">
        <v>8939</v>
      </c>
      <c r="CV597" s="98">
        <f t="shared" ref="CV597:CV602" si="3424">IF(ISERROR((CU597/CM597-1)*100),"NA",IF(((CU597/CM597-1)*100)&gt;100,"NM",IF(((CU597/CM597-1)*100)&lt;-50,"NM",(CU597/CM597-1)*100)))</f>
        <v>5.9248726152387743</v>
      </c>
      <c r="CW597" s="94">
        <v>9132</v>
      </c>
      <c r="CX597" s="98">
        <f t="shared" ref="CX597:CX602" si="3425">IF(ISERROR((CW597/CO597-1)*100),"NA",IF(((CW597/CO597-1)*100)&gt;100,"NM",IF(((CW597/CO597-1)*100)&lt;-50,"NM",(CW597/CO597-1)*100)))</f>
        <v>-1.5099223468507339</v>
      </c>
      <c r="CY597" s="94">
        <v>8995</v>
      </c>
      <c r="CZ597" s="98">
        <f t="shared" ref="CZ597:CZ602" si="3426">IF(ISERROR((CY597/CQ597-1)*100),"NA",IF(((CY597/CQ597-1)*100)&gt;100,"NM",IF(((CY597/CQ597-1)*100)&lt;-50,"NM",(CY597/CQ597-1)*100)))</f>
        <v>-6.3411078717201192</v>
      </c>
      <c r="DA597" s="94">
        <v>10704</v>
      </c>
      <c r="DB597" s="98">
        <f t="shared" ref="DB597:DB602" si="3427">IF(ISERROR((DA597/CS597-1)*100),"NA",IF(((DA597/CS597-1)*100)&gt;100,"NM",IF(((DA597/CS597-1)*100)&lt;-50,"NM",(DA597/CS597-1)*100)))</f>
        <v>19.919336768989471</v>
      </c>
      <c r="DC597" s="94">
        <v>9025</v>
      </c>
      <c r="DD597" s="98">
        <f t="shared" ref="DD597:DD602" si="3428">IF(ISERROR((DC597/CU597-1)*100),"NA",IF(((DC597/CU597-1)*100)&gt;100,"NM",IF(((DC597/CU597-1)*100)&lt;-50,"NM",(DC597/CU597-1)*100)))</f>
        <v>0.96207629488758162</v>
      </c>
      <c r="DE597" s="94">
        <v>9174</v>
      </c>
      <c r="DF597" s="98">
        <f t="shared" ref="DF597:DF602" si="3429">IF(ISERROR((DE597/CW597-1)*100),"NA",IF(((DE597/CW597-1)*100)&gt;100,"NM",IF(((DE597/CW597-1)*100)&lt;-50,"NM",(DE597/CW597-1)*100)))</f>
        <v>0.45992115637318864</v>
      </c>
      <c r="DG597" s="94">
        <v>9243</v>
      </c>
      <c r="DH597" s="98">
        <f t="shared" ref="DH597:DH602" si="3430">IF(ISERROR((DG597/CY597-1)*100),"NA",IF(((DG597/CY597-1)*100)&gt;100,"NM",IF(((DG597/CY597-1)*100)&lt;-50,"NM",(DG597/CY597-1)*100)))</f>
        <v>2.757087270705938</v>
      </c>
      <c r="DI597" s="94">
        <v>10304</v>
      </c>
      <c r="DJ597" s="98">
        <f t="shared" ref="DJ597:DJ602" si="3431">IF(ISERROR((DI597/DA597-1)*100),"NA",IF(((DI597/DA597-1)*100)&gt;100,"NM",IF(((DI597/DA597-1)*100)&lt;-50,"NM",(DI597/DA597-1)*100)))</f>
        <v>-3.7369207772795177</v>
      </c>
      <c r="DK597" s="94">
        <v>9373</v>
      </c>
      <c r="DL597" s="98">
        <f t="shared" ref="DL597:DL602" si="3432">IF(ISERROR((DK597/DC597-1)*100),"NA",IF(((DK597/DC597-1)*100)&gt;100,"NM",IF(((DK597/DC597-1)*100)&lt;-50,"NM",(DK597/DC597-1)*100)))</f>
        <v>3.8559556786703642</v>
      </c>
      <c r="DM597" s="94">
        <v>9964</v>
      </c>
      <c r="DN597" s="98">
        <f t="shared" ref="DN597:DZ602" si="3433">IF(ISERROR((DM597/DE597-1)*100),"NA",IF(((DM597/DE597-1)*100)&gt;100,"NM",IF(((DM597/DE597-1)*100)&lt;-50,"NM",(DM597/DE597-1)*100)))</f>
        <v>8.6112927839546494</v>
      </c>
      <c r="DO597" s="94">
        <v>9854</v>
      </c>
      <c r="DP597" s="98">
        <f t="shared" si="3433"/>
        <v>6.6104078762306617</v>
      </c>
      <c r="DQ597" s="94">
        <v>10287</v>
      </c>
      <c r="DR597" s="98">
        <f t="shared" si="3433"/>
        <v>-0.16498447204968958</v>
      </c>
      <c r="DS597" s="1006">
        <f>DS560+DS526+DS487+DS356+DS320+DS287+DS257+DS174+DS100</f>
        <v>8813</v>
      </c>
      <c r="DT597" s="1109">
        <v>0.78950176037555497</v>
      </c>
      <c r="DU597" s="1006">
        <f>DU560+DU526+DU487+DU356+DU320+DU287+DU257+DU174+DU100</f>
        <v>8880</v>
      </c>
      <c r="DV597" s="1109">
        <v>-4.6266559614612568</v>
      </c>
      <c r="DW597" s="1006">
        <f>DW560+DW526+DW487+DW356+DW320+DW287+DW257+DW174+DW100</f>
        <v>9934</v>
      </c>
      <c r="DX597" s="1109">
        <v>9.3971991069616401</v>
      </c>
      <c r="DY597" s="1006">
        <f>DY560+DY526+DY487+DY356+DY320+DY287+DY257+DY174+DY100</f>
        <v>9063</v>
      </c>
      <c r="DZ597" s="1109">
        <v>-4.3938952075434967</v>
      </c>
      <c r="EA597" s="1006">
        <f>EA526+EA487+EA356+EA320+EA287+EA257+EA174+EA100</f>
        <v>8902</v>
      </c>
      <c r="EB597" s="1109">
        <v>1.5454641685191062</v>
      </c>
      <c r="EC597" s="1006">
        <f>EC526+EC487+EC356+EC320+EC287+EC257+EC174+EC100</f>
        <v>9393</v>
      </c>
      <c r="ED597" s="98">
        <f t="shared" ref="ED597:ED602" si="3434">IF(ISERROR((EC597/DU597-1)*100),"NA",IF(((EC597/DU597-1)*100)&gt;100,"NM",IF(((EC597/DU597-1)*100)&lt;-50,"NM",(EC597/DU597-1)*100)))</f>
        <v>5.7770270270270263</v>
      </c>
      <c r="EE597" s="1006">
        <f>EE526+EE487+EE356+EE320+EE287+EE257+EE174+EE100</f>
        <v>10079</v>
      </c>
      <c r="EF597" s="860">
        <f t="shared" ref="EF597:EF602" si="3435">IF(ISERROR((EE597/DW597-1)*100),"NA",IF(((EE597/DW597-1)*100)&gt;100,"NM",IF(((EE597/DW597-1)*100)&lt;-50,"NM",(EE597/DW597-1)*100)))</f>
        <v>1.4596335816388084</v>
      </c>
      <c r="EG597" s="1006">
        <f>EG526+EG487+EG356+EG320+EG287+EG257+EG174+EG100</f>
        <v>9466</v>
      </c>
      <c r="EH597" s="860">
        <f t="shared" ref="EH597:EH602" si="3436">IF(ISERROR((EG597/DY597-1)*100),"NA",IF(((EG597/DY597-1)*100)&gt;100,"NM",IF(((EG597/DY597-1)*100)&lt;-50,"NM",(EG597/DY597-1)*100)))</f>
        <v>4.4466512192430807</v>
      </c>
      <c r="EI597" s="1006">
        <f>EI526+EI487+EI356+EI320+EI287+EI257+EI174+EI100</f>
        <v>9219</v>
      </c>
      <c r="EJ597" s="860">
        <f t="shared" ref="EJ597:EJ602" si="3437">IF(ISERROR((EI597/EA597-1)*100),"NA",IF(((EI597/EA597-1)*100)&gt;100,"NM",IF(((EI597/EA597-1)*100)&lt;-50,"NM",(EI597/EA597-1)*100)))</f>
        <v>3.5609975286452489</v>
      </c>
      <c r="EK597" s="1006">
        <f>EK526+EK487+EK356+EK320+EK287+EK257+EK174+EK100</f>
        <v>9718</v>
      </c>
      <c r="EL597" s="860">
        <f t="shared" ref="EL597:EL602" si="3438">IF(ISERROR((EK597/EC597-1)*100),"NA",IF(((EK597/EC597-1)*100)&gt;100,"NM",IF(((EK597/EC597-1)*100)&lt;-50,"NM",(EK597/EC597-1)*100)))</f>
        <v>3.4600234216970005</v>
      </c>
      <c r="EM597" s="1006">
        <f>EM560+EM526+EM487+EM356+EM320+EM287+EM257+EM174+EM100</f>
        <v>10800</v>
      </c>
      <c r="EN597" s="860">
        <f t="shared" ref="EN597:EN602" si="3439">IF(ISERROR((EM597/EE597-1)*100),"NA",IF(((EM597/EE597-1)*100)&gt;100,"NM",IF(((EM597/EE597-1)*100)&lt;-50,"NM",(EM597/EE597-1)*100)))</f>
        <v>7.1534874491516964</v>
      </c>
      <c r="EO597" s="1006">
        <f>EO560+EO526+EO487+EO356+EO320+EO287+EO257+EO174+EO100</f>
        <v>9603</v>
      </c>
      <c r="EP597" s="98">
        <f t="shared" ref="EP597:EP602" si="3440">IF(ISERROR((EO597/EG597-1)*100),"NA",IF(((EO597/EG597-1)*100)&gt;100,"NM",IF(((EO597/EG597-1)*100)&lt;-50,"NM",(EO597/EG597-1)*100)))</f>
        <v>1.4472850200718312</v>
      </c>
      <c r="EQ597" s="1006">
        <f>(EQ560*19.9%)+EQ526+EQ487+EQ356+EQ320+EQ287+EQ257+EQ174+EQ100</f>
        <v>9831.9819337912631</v>
      </c>
      <c r="ER597" s="98">
        <f t="shared" ref="ER597:ER602" si="3441">IF(ISERROR((EQ597/EI597-1)*100),"NA",IF(((EQ597/EI597-1)*100)&gt;100,"NM",IF(((EQ597/EI597-1)*100)&lt;-50,"NM",(EQ597/EI597-1)*100)))</f>
        <v>6.6491152380004692</v>
      </c>
      <c r="ES597" s="1006">
        <f>(ES560*19.9%)+ES526+ES487+ES356+ES320+ES287+ES257+ES174+ES100</f>
        <v>9858.3199703658502</v>
      </c>
      <c r="ET597" s="98">
        <f t="shared" ref="ET597:ET602" si="3442">IF(ISERROR((ES597/EK597-1)*100),"NA",IF(((ES597/EK597-1)*100)&gt;100,"NM",IF(((ES597/EK597-1)*100)&lt;-50,"NM",(ES597/EK597-1)*100)))</f>
        <v>1.4439181968084913</v>
      </c>
      <c r="EU597" s="1006">
        <f>(EU560*19.9%)+EU526+EU487+EU356+EU320+EU287+EU257+EU174+EU100</f>
        <v>9876.8479838170279</v>
      </c>
      <c r="EV597" s="98">
        <f t="shared" ref="EV597:EV602" si="3443">IF(ISERROR((EU597/EM597-1)*100),"NA",IF(((EU597/EM597-1)*100)&gt;100,"NM",IF(((EU597/EM597-1)*100)&lt;-50,"NM",(EU597/EM597-1)*100)))</f>
        <v>-8.5477038535460395</v>
      </c>
      <c r="EW597" s="1006">
        <f>(EW560*19.9%)+EW526+EW487+EW356+EW320+EW287+EW257+EW174+EW100</f>
        <v>9878.4092952851224</v>
      </c>
      <c r="EX597" s="98">
        <f t="shared" ref="EX597:EX602" si="3444">IF(ISERROR((EW597/EO597-1)*100),"NA",IF(((EW597/EO597-1)*100)&gt;100,"NM",IF(((EW597/EO597-1)*100)&lt;-50,"NM",(EW597/EO597-1)*100)))</f>
        <v>2.8679505913268954</v>
      </c>
      <c r="EY597" s="99"/>
      <c r="EZ597" s="594"/>
      <c r="FA597" s="405"/>
      <c r="FB597" s="313"/>
      <c r="FC597" s="92"/>
      <c r="FD597" s="94"/>
      <c r="FE597" s="98" t="str">
        <f t="shared" ref="FE597:FE602" si="3445">IF(ISERROR((FD597/FB597-1)*100),"NA",IF(((FD597/FB597-1)*100)&gt;100,"NM",IF(((FD597/FB597-1)*100)&lt;-50,"NM",(FD597/FB597-1)*100)))</f>
        <v>NA</v>
      </c>
      <c r="FF597" s="99">
        <v>18821</v>
      </c>
      <c r="FG597" s="98" t="str">
        <f t="shared" ref="FG597:FG602" si="3446">IF(ISERROR((FF597/FD597-1)*100),"NA",IF(((FF597/FD597-1)*100)&gt;100,"NM",IF(((FF597/FD597-1)*100)&lt;-50,"NM",(FF597/FD597-1)*100)))</f>
        <v>NA</v>
      </c>
      <c r="FH597" s="99">
        <v>20028.845238095237</v>
      </c>
      <c r="FI597" s="98">
        <f t="shared" ref="FI597:FI602" si="3447">IF(ISERROR((FH597/FF597-1)*100),"NA",IF(((FH597/FF597-1)*100)&gt;100,"NM",IF(((FH597/FF597-1)*100)&lt;-50,"NM",(FH597/FF597-1)*100)))</f>
        <v>6.4175401843432178</v>
      </c>
      <c r="FJ597" s="99">
        <f>SUM(S597,U597,W597,Y597)</f>
        <v>21465</v>
      </c>
      <c r="FK597" s="98">
        <f>IF(ISERROR((FJ597/FH597-1)*100),"NA",IF(((FJ597/FH597-1)*100)&gt;100,"NM",IF(((FJ597/FH597-1)*100)&lt;-50,"NM",(FJ597/FH597-1)*100)))</f>
        <v>7.1704321683667027</v>
      </c>
      <c r="FL597" s="99">
        <f>SUM(AA597,AC597,AE597,AG597)</f>
        <v>22823</v>
      </c>
      <c r="FM597" s="98">
        <f>IF(ISERROR((FL597/FJ597-1)*100),"NA",IF(((FL597/FJ597-1)*100)&gt;100,"NM",IF(((FL597/FJ597-1)*100)&lt;-50,"NM",(FL597/FJ597-1)*100)))</f>
        <v>6.3265781504775243</v>
      </c>
      <c r="FN597" s="99">
        <f>SUM(AI597,AK597,AM597,AO597)</f>
        <v>24394</v>
      </c>
      <c r="FO597" s="98">
        <f t="shared" ref="FO597:FO602" si="3448">IF(ISERROR((FN597/FL597-1)*100),"NA",IF(((FN597/FL597-1)*100)&gt;100,"NM",IF(((FN597/FL597-1)*100)&lt;-50,"NM",(FN597/FL597-1)*100)))</f>
        <v>6.8834070893396992</v>
      </c>
      <c r="FP597" s="99">
        <f>SUM(AQ597,AS597,AU597,AW597)</f>
        <v>27105</v>
      </c>
      <c r="FQ597" s="98">
        <f t="shared" ref="FQ597:FQ602" si="3449">IF(ISERROR((FP597/FN597-1)*100),"NA",IF(((FP597/FN597-1)*100)&gt;100,"NM",IF(((FP597/FN597-1)*100)&lt;-50,"NM",(FP597/FN597-1)*100)))</f>
        <v>11.113388538165125</v>
      </c>
      <c r="FR597" s="99">
        <f>SUM(AY597,BA597,BC597,BE597)</f>
        <v>28022</v>
      </c>
      <c r="FS597" s="120">
        <f t="shared" ref="FS597:FS602" si="3450">IF(ISERROR((FR597/FP597-1)*100),"NA",IF(((FR597/FP597-1)*100)&gt;100,"NM",IF(((FR597/FP597-1)*100)&lt;-50,"NM",(FR597/FP597-1)*100)))</f>
        <v>3.3831396421324378</v>
      </c>
      <c r="FT597" s="99">
        <f>SUM(BG597,BI597,BK597,BM597)</f>
        <v>29400</v>
      </c>
      <c r="FU597" s="120">
        <f t="shared" ref="FU597:FU602" si="3451">IF(ISERROR((FT597/FR597-1)*100),"NA",IF(((FT597/FR597-1)*100)&gt;100,"NM",IF(((FT597/FR597-1)*100)&lt;-50,"NM",(FT597/FR597-1)*100)))</f>
        <v>4.9175647705374415</v>
      </c>
      <c r="FV597" s="99">
        <f>+BO597+BQ597+BS597+BU597</f>
        <v>29007</v>
      </c>
      <c r="FW597" s="98">
        <f t="shared" ref="FW597:FW602" si="3452">IF(ISERROR((FV597/FT597-1)*100),"NA",IF(((FV597/FT597-1)*100)&gt;100,"NM",IF(((FV597/FT597-1)*100)&lt;-50,"NM",(FV597/FT597-1)*100)))</f>
        <v>-1.3367346938775504</v>
      </c>
      <c r="FX597" s="482">
        <f>SUM(BW597,BY597,CA597,CC597)</f>
        <v>29902</v>
      </c>
      <c r="FY597" s="98">
        <f t="shared" ref="FY597:FY602" si="3453">IF(ISERROR((FX597/FV597-1)*100),"NA",IF(((FX597/FV597-1)*100)&gt;100,"NM",IF(((FX597/FV597-1)*100)&lt;-50,"NM",(FX597/FV597-1)*100)))</f>
        <v>3.0854621298307405</v>
      </c>
      <c r="FZ597" s="99">
        <f>CE597+CG597+CI597+CK597</f>
        <v>29972</v>
      </c>
      <c r="GA597" s="98">
        <f t="shared" ref="GA597:GA602" si="3454">IF(ISERROR((FZ597/FX597-1)*100),"NA",IF(((FZ597/FX597-1)*100)&gt;100,"NM",IF(((FZ597/FX597-1)*100)&lt;-50,"NM",(FZ597/FX597-1)*100)))</f>
        <v>0.23409805364189573</v>
      </c>
      <c r="GB597" s="485">
        <f>+CO597+CS597+CQ597+CM597</f>
        <v>36241</v>
      </c>
      <c r="GC597" s="98">
        <f t="shared" ref="GC597:GC602" si="3455">IF(ISERROR((GB597/FZ597-1)*100),"NA",IF(((GB597/FZ597-1)*100)&gt;100,"NM",IF(((GB597/FZ597-1)*100)&lt;-50,"NM",(GB597/FZ597-1)*100)))</f>
        <v>20.916188442546368</v>
      </c>
      <c r="GD597" s="99">
        <f>+CU597+CW597+CY597+DA597</f>
        <v>37770</v>
      </c>
      <c r="GE597" s="98">
        <f t="shared" ref="GE597:GW602" si="3456">IF(ISERROR((GD597/GB597-1)*100),"NA",IF(((GD597/GB597-1)*100)&gt;100,"NM",IF(((GD597/GB597-1)*100)&lt;-50,"NM",(GD597/GB597-1)*100)))</f>
        <v>4.2189785050081419</v>
      </c>
      <c r="GF597" s="99">
        <f>+DC597+DE597+DG597+DI597</f>
        <v>37746</v>
      </c>
      <c r="GG597" s="98">
        <f t="shared" si="3456"/>
        <v>-6.3542494042889697E-2</v>
      </c>
      <c r="GH597" s="99">
        <f>+DK597+DM597+DO597+DQ597</f>
        <v>39478</v>
      </c>
      <c r="GI597" s="98">
        <f t="shared" si="3456"/>
        <v>4.5885656758332116</v>
      </c>
      <c r="GJ597" s="1006">
        <f>GJ560+GJ526+GJ487+GJ356+GJ320+GJ287+GJ257+GJ174+GJ100</f>
        <v>36690</v>
      </c>
      <c r="GK597" s="98">
        <f t="shared" ref="GK597:GU602" si="3457">IF(ISERROR((GJ597/GH597-1)*100),"NA",IF(((GJ597/GH597-1)*100)&gt;100,"NM",IF(((GJ597/GH597-1)*100)&lt;-50,"NM",(GJ597/GH597-1)*100)))</f>
        <v>-7.0621612037083947</v>
      </c>
      <c r="GL597" s="1006">
        <f>GL560+GL526+GL487+GL356+GL320+GL287+GL257+GL174+GL100</f>
        <v>37840</v>
      </c>
      <c r="GM597" s="98">
        <f t="shared" si="3457"/>
        <v>3.1343690378849764</v>
      </c>
      <c r="GN597" s="1006">
        <f>EI597+EK597+EM597+EO597</f>
        <v>39340</v>
      </c>
      <c r="GO597" s="98">
        <f t="shared" si="3457"/>
        <v>3.9640591966173311</v>
      </c>
      <c r="GP597" s="1006">
        <f>EQ597+ES597+EU597+EW597</f>
        <v>39445.559183259262</v>
      </c>
      <c r="GQ597" s="98">
        <f t="shared" si="3457"/>
        <v>0.2683253260276075</v>
      </c>
      <c r="GR597" s="1006">
        <f>(GR560*19.9%)+GR526+GR487+GR356+GR320+GR287+GR257+GR174+GR100</f>
        <v>40036.30172282875</v>
      </c>
      <c r="GS597" s="98">
        <f t="shared" si="3457"/>
        <v>1.4976148185020577</v>
      </c>
      <c r="GT597" s="1006">
        <f>(GT560*19.9%)+GT526+GT487+GT356+GT320+GT287+GT257+GT174+GT100</f>
        <v>40708.006089619426</v>
      </c>
      <c r="GU597" s="98">
        <f t="shared" si="3457"/>
        <v>1.6777382972105848</v>
      </c>
      <c r="GV597" s="1006">
        <f>(GV560*19.9%)+GV526+GV487+GV356+GV320+GV287+GV257+GV174+GV100</f>
        <v>41443.962186713106</v>
      </c>
      <c r="GW597" s="98">
        <f t="shared" si="3456"/>
        <v>1.8078903090302578</v>
      </c>
      <c r="GX597" s="1006">
        <f>(GX560*19.9%)+GX526+GX487+GX356+GX320+GX287+GX257+GX174+GX100</f>
        <v>42357.374721012442</v>
      </c>
      <c r="GY597" s="98">
        <f t="shared" ref="GY597:GY602" si="3458">IF(ISERROR((GX597/GV597-1)*100),"NA",IF(((GX597/GV597-1)*100)&gt;100,"NM",IF(((GX597/GV597-1)*100)&lt;-50,"NM",(GX597/GV597-1)*100)))</f>
        <v>2.2039700986701938</v>
      </c>
      <c r="GZ597" s="98">
        <f t="shared" ref="GZ597:GZ602" si="3459">IF(ISERROR(((GX597/GN597)^0.2-1)*100),"NA",IF((((GX597/GN597)^0.2-1)*100)&gt;100,"NM",IF((((GX597/GN597)^0.2-1)*100)&lt;-50,"NM",((GX597/GN597)^0.2-1)*100)))</f>
        <v>1.4889912566046881</v>
      </c>
      <c r="HA597" s="98"/>
      <c r="HC597"/>
      <c r="HD597"/>
      <c r="HE597"/>
      <c r="HF597"/>
      <c r="HG597"/>
      <c r="HH597"/>
    </row>
    <row r="598" spans="1:216" s="10" customFormat="1" ht="12.75" customHeight="1" x14ac:dyDescent="0.2">
      <c r="B598" s="310" t="s">
        <v>74</v>
      </c>
      <c r="C598" s="94">
        <v>692</v>
      </c>
      <c r="D598" s="94"/>
      <c r="E598" s="94">
        <v>725</v>
      </c>
      <c r="F598" s="92"/>
      <c r="G598" s="94">
        <v>754</v>
      </c>
      <c r="H598" s="92"/>
      <c r="I598" s="94">
        <v>758</v>
      </c>
      <c r="J598" s="98"/>
      <c r="K598" s="94">
        <v>758</v>
      </c>
      <c r="L598" s="98">
        <f t="shared" si="3382"/>
        <v>9.5375722543352701</v>
      </c>
      <c r="M598" s="94">
        <v>723</v>
      </c>
      <c r="N598" s="98">
        <f t="shared" si="3383"/>
        <v>-0.27586206896551557</v>
      </c>
      <c r="O598" s="94">
        <v>745</v>
      </c>
      <c r="P598" s="98">
        <f t="shared" si="3384"/>
        <v>-1.1936339522546469</v>
      </c>
      <c r="Q598" s="94">
        <v>858</v>
      </c>
      <c r="R598" s="98">
        <f t="shared" si="3385"/>
        <v>13.192612137203174</v>
      </c>
      <c r="S598" s="94">
        <v>714</v>
      </c>
      <c r="T598" s="98">
        <f t="shared" si="3386"/>
        <v>-5.8047493403693977</v>
      </c>
      <c r="U598" s="94">
        <v>727</v>
      </c>
      <c r="V598" s="98">
        <f t="shared" si="3387"/>
        <v>0.55325034578146415</v>
      </c>
      <c r="W598" s="94">
        <v>736</v>
      </c>
      <c r="X598" s="98">
        <f t="shared" si="3388"/>
        <v>-1.2080536912751683</v>
      </c>
      <c r="Y598" s="94">
        <v>773</v>
      </c>
      <c r="Z598" s="98">
        <f t="shared" si="3389"/>
        <v>-9.906759906759909</v>
      </c>
      <c r="AA598" s="94">
        <v>747</v>
      </c>
      <c r="AB598" s="98">
        <f t="shared" si="3390"/>
        <v>4.6218487394958041</v>
      </c>
      <c r="AC598" s="94">
        <v>761</v>
      </c>
      <c r="AD598" s="98">
        <f t="shared" si="3391"/>
        <v>4.6767537826684968</v>
      </c>
      <c r="AE598" s="94">
        <v>767</v>
      </c>
      <c r="AF598" s="98">
        <f t="shared" si="3392"/>
        <v>4.2119565217391353</v>
      </c>
      <c r="AG598" s="94">
        <v>760</v>
      </c>
      <c r="AH598" s="98">
        <f t="shared" si="3393"/>
        <v>-1.681759379042691</v>
      </c>
      <c r="AI598" s="94">
        <v>738</v>
      </c>
      <c r="AJ598" s="98">
        <f t="shared" si="3394"/>
        <v>-1.2048192771084376</v>
      </c>
      <c r="AK598" s="94">
        <v>743</v>
      </c>
      <c r="AL598" s="98">
        <f t="shared" si="3395"/>
        <v>-2.3653088042049908</v>
      </c>
      <c r="AM598" s="94">
        <f>739+11</f>
        <v>750</v>
      </c>
      <c r="AN598" s="98">
        <f t="shared" si="3396"/>
        <v>-2.2164276401564487</v>
      </c>
      <c r="AO598" s="94">
        <f>777+14</f>
        <v>791</v>
      </c>
      <c r="AP598" s="98">
        <f t="shared" si="3397"/>
        <v>4.0789473684210487</v>
      </c>
      <c r="AQ598" s="94">
        <f>795+17</f>
        <v>812</v>
      </c>
      <c r="AR598" s="98">
        <f t="shared" si="3398"/>
        <v>10.027100271002709</v>
      </c>
      <c r="AS598" s="94">
        <f>820+25</f>
        <v>845</v>
      </c>
      <c r="AT598" s="98">
        <f t="shared" si="3399"/>
        <v>13.728129205921945</v>
      </c>
      <c r="AU598" s="94">
        <f>1156+30</f>
        <v>1186</v>
      </c>
      <c r="AV598" s="98">
        <f t="shared" si="3400"/>
        <v>58.133333333333326</v>
      </c>
      <c r="AW598" s="94">
        <v>1167</v>
      </c>
      <c r="AX598" s="98">
        <f t="shared" si="3401"/>
        <v>47.534766118836913</v>
      </c>
      <c r="AY598" s="94">
        <f>1202+43</f>
        <v>1245</v>
      </c>
      <c r="AZ598" s="98">
        <f t="shared" si="3402"/>
        <v>53.325123152709367</v>
      </c>
      <c r="BA598" s="94">
        <f>1251+48</f>
        <v>1299</v>
      </c>
      <c r="BB598" s="98">
        <f t="shared" si="3403"/>
        <v>53.727810650887562</v>
      </c>
      <c r="BC598" s="94">
        <f>1331+51</f>
        <v>1382</v>
      </c>
      <c r="BD598" s="98">
        <f t="shared" si="3404"/>
        <v>16.526138279932546</v>
      </c>
      <c r="BE598" s="94">
        <f>1381+52</f>
        <v>1433</v>
      </c>
      <c r="BF598" s="98">
        <f t="shared" si="3405"/>
        <v>22.793487574978588</v>
      </c>
      <c r="BG598" s="94">
        <f>1372+51</f>
        <v>1423</v>
      </c>
      <c r="BH598" s="98">
        <f t="shared" si="3406"/>
        <v>14.297188755020084</v>
      </c>
      <c r="BI598" s="94">
        <f>1460+49</f>
        <v>1509</v>
      </c>
      <c r="BJ598" s="98">
        <f t="shared" si="3407"/>
        <v>16.166281755196298</v>
      </c>
      <c r="BK598" s="94">
        <f>1453+50</f>
        <v>1503</v>
      </c>
      <c r="BL598" s="98">
        <f t="shared" si="3408"/>
        <v>8.7554269175108566</v>
      </c>
      <c r="BM598" s="94">
        <f>1430+49</f>
        <v>1479</v>
      </c>
      <c r="BN598" s="98">
        <f t="shared" si="3409"/>
        <v>3.2100488485694356</v>
      </c>
      <c r="BO598" s="94">
        <f>1218+44</f>
        <v>1262</v>
      </c>
      <c r="BP598" s="98">
        <f t="shared" si="3410"/>
        <v>-11.314125087842585</v>
      </c>
      <c r="BQ598" s="94">
        <f>1184+39</f>
        <v>1223</v>
      </c>
      <c r="BR598" s="98">
        <f t="shared" si="3411"/>
        <v>-18.952948972829688</v>
      </c>
      <c r="BS598" s="94">
        <f>1121+40</f>
        <v>1161</v>
      </c>
      <c r="BT598" s="98">
        <f t="shared" si="3412"/>
        <v>-22.754491017964074</v>
      </c>
      <c r="BU598" s="94">
        <f>1220+43</f>
        <v>1263</v>
      </c>
      <c r="BV598" s="98">
        <f t="shared" si="3413"/>
        <v>-14.604462474645031</v>
      </c>
      <c r="BW598" s="94">
        <f>1170+43</f>
        <v>1213</v>
      </c>
      <c r="BX598" s="98">
        <f t="shared" si="3414"/>
        <v>-3.882725832012679</v>
      </c>
      <c r="BY598" s="94">
        <f>1229+40</f>
        <v>1269</v>
      </c>
      <c r="BZ598" s="98">
        <f t="shared" si="3415"/>
        <v>3.7612428454619762</v>
      </c>
      <c r="CA598" s="94">
        <f>1259+37</f>
        <v>1296</v>
      </c>
      <c r="CB598" s="98">
        <f t="shared" si="3416"/>
        <v>11.627906976744185</v>
      </c>
      <c r="CC598" s="94">
        <f>1195</f>
        <v>1195</v>
      </c>
      <c r="CD598" s="98">
        <f t="shared" si="3417"/>
        <v>-5.3840063341251021</v>
      </c>
      <c r="CE598" s="94">
        <f>1145+39</f>
        <v>1184</v>
      </c>
      <c r="CF598" s="98">
        <f t="shared" si="3418"/>
        <v>-2.3907666941467398</v>
      </c>
      <c r="CG598" s="94">
        <f>1047+36</f>
        <v>1083</v>
      </c>
      <c r="CH598" s="98">
        <f t="shared" si="3419"/>
        <v>-14.657210401891252</v>
      </c>
      <c r="CI598" s="94">
        <f>1259+33</f>
        <v>1292</v>
      </c>
      <c r="CJ598" s="98">
        <f t="shared" si="3420"/>
        <v>-0.30864197530864335</v>
      </c>
      <c r="CK598" s="94">
        <f>1246</f>
        <v>1246</v>
      </c>
      <c r="CL598" s="98">
        <f t="shared" si="3421"/>
        <v>4.2677824267782327</v>
      </c>
      <c r="CM598" s="94">
        <v>1479</v>
      </c>
      <c r="CN598" s="98">
        <f t="shared" si="3422"/>
        <v>24.915540540540547</v>
      </c>
      <c r="CO598" s="94">
        <v>1508</v>
      </c>
      <c r="CP598" s="98">
        <f t="shared" si="3423"/>
        <v>39.242843951985229</v>
      </c>
      <c r="CQ598" s="533">
        <v>1534</v>
      </c>
      <c r="CR598" s="98">
        <f t="shared" si="3423"/>
        <v>18.730650154798756</v>
      </c>
      <c r="CS598" s="94">
        <v>1536</v>
      </c>
      <c r="CT598" s="98">
        <f t="shared" si="3423"/>
        <v>23.274478330658098</v>
      </c>
      <c r="CU598" s="94">
        <v>1539</v>
      </c>
      <c r="CV598" s="98">
        <f t="shared" si="3424"/>
        <v>4.0567951318458473</v>
      </c>
      <c r="CW598" s="94">
        <v>1525</v>
      </c>
      <c r="CX598" s="98">
        <f t="shared" si="3425"/>
        <v>1.1273209549071517</v>
      </c>
      <c r="CY598" s="94">
        <v>1589</v>
      </c>
      <c r="CZ598" s="98">
        <f t="shared" si="3426"/>
        <v>3.5853976531942555</v>
      </c>
      <c r="DA598" s="94">
        <v>1589</v>
      </c>
      <c r="DB598" s="98">
        <f t="shared" si="3427"/>
        <v>3.4505208333333259</v>
      </c>
      <c r="DC598" s="94">
        <v>1554</v>
      </c>
      <c r="DD598" s="98">
        <f t="shared" si="3428"/>
        <v>0.974658869395717</v>
      </c>
      <c r="DE598" s="94">
        <v>1521</v>
      </c>
      <c r="DF598" s="98">
        <f t="shared" si="3429"/>
        <v>-0.26229508196721207</v>
      </c>
      <c r="DG598" s="94">
        <v>1472</v>
      </c>
      <c r="DH598" s="98">
        <f t="shared" si="3430"/>
        <v>-7.3631214600377586</v>
      </c>
      <c r="DI598" s="94">
        <v>1468</v>
      </c>
      <c r="DJ598" s="98">
        <f t="shared" si="3431"/>
        <v>-7.6148521082441745</v>
      </c>
      <c r="DK598" s="94">
        <v>1401</v>
      </c>
      <c r="DL598" s="98">
        <f t="shared" si="3432"/>
        <v>-9.8455598455598476</v>
      </c>
      <c r="DM598" s="94">
        <v>1425</v>
      </c>
      <c r="DN598" s="98">
        <f t="shared" si="3433"/>
        <v>-6.3116370808678486</v>
      </c>
      <c r="DO598" s="94">
        <v>1426</v>
      </c>
      <c r="DP598" s="98">
        <f t="shared" si="3433"/>
        <v>-3.125</v>
      </c>
      <c r="DQ598" s="94">
        <v>1409</v>
      </c>
      <c r="DR598" s="98">
        <f t="shared" si="3433"/>
        <v>-4.0190735694822894</v>
      </c>
      <c r="DS598" s="1006">
        <f>DS527+DS357+DS321+DS288+DS175+DS553+DS472+DS64</f>
        <v>1020</v>
      </c>
      <c r="DT598" s="1109">
        <v>-4.9964311206281202</v>
      </c>
      <c r="DU598" s="1006">
        <f>DU527+DU357+DU321+DU288+DU175+DU553+DU472+DU64</f>
        <v>1026</v>
      </c>
      <c r="DV598" s="1109">
        <v>-5.8245614035087767</v>
      </c>
      <c r="DW598" s="1006">
        <f>DW527+DW357+DW321+DW288+DW175+DW553+DW472+DW64</f>
        <v>1018</v>
      </c>
      <c r="DX598" s="1109">
        <v>-6.6619915848527338</v>
      </c>
      <c r="DY598" s="1006">
        <f>DY527+DY357+DY321+DY288+DY175+DY553+DY472+DY64</f>
        <v>1015</v>
      </c>
      <c r="DZ598" s="1109">
        <v>-5.6068133427963129</v>
      </c>
      <c r="EA598" s="1006">
        <f>EA527+EA357+EA321+EA288+EA175+EA472+EA64</f>
        <v>1011</v>
      </c>
      <c r="EB598" s="1109">
        <v>-2.2539444027047328</v>
      </c>
      <c r="EC598" s="1006">
        <f>EC527+EC357+EC321+EC288+EC175+EC472+EC64</f>
        <v>1025</v>
      </c>
      <c r="ED598" s="98">
        <f t="shared" si="3434"/>
        <v>-9.746588693957392E-2</v>
      </c>
      <c r="EE598" s="1006">
        <f>EE527+EE357+EE321+EE288+EE175+EE472+EE64</f>
        <v>1026</v>
      </c>
      <c r="EF598" s="860">
        <f t="shared" si="3435"/>
        <v>0.78585461689586467</v>
      </c>
      <c r="EG598" s="1006">
        <f>EG527+EG357+EG321+EG288+EG175+EG472+EG64</f>
        <v>1026</v>
      </c>
      <c r="EH598" s="860">
        <f t="shared" si="3436"/>
        <v>1.0837438423645374</v>
      </c>
      <c r="EI598" s="1006">
        <f>EI527+EI357+EI321+EI288+EI175+EI472+EI64</f>
        <v>1036</v>
      </c>
      <c r="EJ598" s="860">
        <f t="shared" si="3437"/>
        <v>2.4727992087042461</v>
      </c>
      <c r="EK598" s="1006">
        <f>EK527+EK357+EK321+EK288+EK175+EK472+EK64</f>
        <v>1066</v>
      </c>
      <c r="EL598" s="860">
        <f t="shared" si="3438"/>
        <v>4.0000000000000036</v>
      </c>
      <c r="EM598" s="1006">
        <f>EM527+EM357+EM321+EM288+EM175+EM553+EM472+EM64</f>
        <v>1105</v>
      </c>
      <c r="EN598" s="860">
        <f t="shared" si="3439"/>
        <v>7.6998050682261177</v>
      </c>
      <c r="EO598" s="1006">
        <f>EO527+EO357+EO321+EO288+EO175+EO553+EO472+EO64</f>
        <v>1106</v>
      </c>
      <c r="EP598" s="98">
        <f t="shared" si="3440"/>
        <v>7.7972709551656916</v>
      </c>
      <c r="EQ598" s="1006">
        <f>EQ527+EQ357+EQ321+EQ288+EQ175+(EQ553*19.9%)+EQ472+EQ64</f>
        <v>1080.6572648623253</v>
      </c>
      <c r="ER598" s="98">
        <f t="shared" si="3441"/>
        <v>4.3105468013827419</v>
      </c>
      <c r="ES598" s="1006">
        <f>ES527+ES357+ES321+ES288+ES175+(ES553*19.9%)+ES472+ES64</f>
        <v>1087.5483922613614</v>
      </c>
      <c r="ET598" s="98">
        <f t="shared" si="3442"/>
        <v>2.0214251652308945</v>
      </c>
      <c r="EU598" s="1006">
        <f>EU527+EU357+EU321+EU288+EU175+(EU553*19.9%)+EU472+EU64</f>
        <v>1093.9686731512063</v>
      </c>
      <c r="EV598" s="98">
        <f t="shared" si="3443"/>
        <v>-0.99831012206277325</v>
      </c>
      <c r="EW598" s="1006">
        <f>EW527+EW357+EW321+EW288+EW175+(EW553*19.9%)+EW472+EW64</f>
        <v>1099.9804309431627</v>
      </c>
      <c r="EX598" s="98">
        <f t="shared" si="3444"/>
        <v>-0.54426483334876208</v>
      </c>
      <c r="EY598" s="99"/>
      <c r="EZ598" s="594"/>
      <c r="FA598" s="405"/>
      <c r="FB598" s="95"/>
      <c r="FC598" s="92"/>
      <c r="FD598" s="94"/>
      <c r="FE598" s="98" t="str">
        <f t="shared" si="3445"/>
        <v>NA</v>
      </c>
      <c r="FF598" s="99">
        <v>2929</v>
      </c>
      <c r="FG598" s="98" t="str">
        <f t="shared" si="3446"/>
        <v>NA</v>
      </c>
      <c r="FH598" s="99">
        <v>3084</v>
      </c>
      <c r="FI598" s="98">
        <f t="shared" si="3447"/>
        <v>5.2919085011949418</v>
      </c>
      <c r="FJ598" s="99">
        <f>SUM(S598,U598,W598,Y598)</f>
        <v>2950</v>
      </c>
      <c r="FK598" s="98">
        <f>IF(ISERROR((FJ598/FH598-1)*100),"NA",IF(((FJ598/FH598-1)*100)&gt;100,"NM",IF(((FJ598/FH598-1)*100)&lt;-50,"NM",(FJ598/FH598-1)*100)))</f>
        <v>-4.3450064850843013</v>
      </c>
      <c r="FL598" s="99">
        <f>SUM(AA598,AC598,AE598,AG598)</f>
        <v>3035</v>
      </c>
      <c r="FM598" s="98">
        <f>IF(ISERROR((FL598/FJ598-1)*100),"NA",IF(((FL598/FJ598-1)*100)&gt;100,"NM",IF(((FL598/FJ598-1)*100)&lt;-50,"NM",(FL598/FJ598-1)*100)))</f>
        <v>2.8813559322033999</v>
      </c>
      <c r="FN598" s="99">
        <f>SUM(AI598,AK598,AM598,AO598)</f>
        <v>3022</v>
      </c>
      <c r="FO598" s="98">
        <f t="shared" si="3448"/>
        <v>-0.42833607907742932</v>
      </c>
      <c r="FP598" s="99">
        <f>SUM(AQ598,AS598,AU598,AW598)</f>
        <v>4010</v>
      </c>
      <c r="FQ598" s="98">
        <f t="shared" si="3449"/>
        <v>32.693580410324287</v>
      </c>
      <c r="FR598" s="99">
        <f>SUM(AY598,BA598,BC598,BE598)</f>
        <v>5359</v>
      </c>
      <c r="FS598" s="120">
        <f t="shared" si="3450"/>
        <v>33.640897755610965</v>
      </c>
      <c r="FT598" s="99">
        <f>SUM(BG598,BI598,BK598,BM598)</f>
        <v>5914</v>
      </c>
      <c r="FU598" s="120">
        <f t="shared" si="3451"/>
        <v>10.356409777943654</v>
      </c>
      <c r="FV598" s="99">
        <f>+BO598+BQ598+BS598+BU598</f>
        <v>4909</v>
      </c>
      <c r="FW598" s="98">
        <f t="shared" si="3452"/>
        <v>-16.993574568819746</v>
      </c>
      <c r="FX598" s="482">
        <f>SUM(BW598,BY598,CA598,CC598)</f>
        <v>4973</v>
      </c>
      <c r="FY598" s="98">
        <f t="shared" si="3453"/>
        <v>1.3037278468119862</v>
      </c>
      <c r="FZ598" s="99">
        <f>CE598+CG598+CI598+CK598</f>
        <v>4805</v>
      </c>
      <c r="GA598" s="98">
        <f t="shared" si="3454"/>
        <v>-3.3782425095515767</v>
      </c>
      <c r="GB598" s="485">
        <f>+CO598+CS598+CQ598+CM598</f>
        <v>6057</v>
      </c>
      <c r="GC598" s="98">
        <f t="shared" si="3455"/>
        <v>26.056191467221645</v>
      </c>
      <c r="GD598" s="99">
        <f>+CU598+CW598+CY598+DA598</f>
        <v>6242</v>
      </c>
      <c r="GE598" s="98">
        <f t="shared" si="3456"/>
        <v>3.0543173188046779</v>
      </c>
      <c r="GF598" s="99">
        <f>+DC598+DE598+DG598+DI598</f>
        <v>6015</v>
      </c>
      <c r="GG598" s="98">
        <f t="shared" si="3456"/>
        <v>-3.6366549182954233</v>
      </c>
      <c r="GH598" s="99">
        <f>+DK598+DM598+DO598+DQ598</f>
        <v>5661</v>
      </c>
      <c r="GI598" s="98">
        <f t="shared" si="3456"/>
        <v>-5.8852867830423978</v>
      </c>
      <c r="GJ598" s="1006">
        <f>GJ527+GJ357+GJ321+GJ288+GJ175+GJ553+GJ472+GJ64</f>
        <v>4079</v>
      </c>
      <c r="GK598" s="98">
        <f t="shared" si="3457"/>
        <v>-27.945592651475003</v>
      </c>
      <c r="GL598" s="1006">
        <f>GL527+GL357+GL321+GL288+GL175+GL553+GL472+GL64</f>
        <v>4088</v>
      </c>
      <c r="GM598" s="98">
        <f t="shared" si="3457"/>
        <v>0.2206423142927294</v>
      </c>
      <c r="GN598" s="1006">
        <f>EI598+EK598+EM598+EO598</f>
        <v>4313</v>
      </c>
      <c r="GO598" s="98">
        <f t="shared" si="3457"/>
        <v>5.5039138943248522</v>
      </c>
      <c r="GP598" s="1006">
        <f>EQ598+ES598+EU598+EW598</f>
        <v>4362.1547612180557</v>
      </c>
      <c r="GQ598" s="98">
        <f t="shared" si="3457"/>
        <v>1.1396884121969819</v>
      </c>
      <c r="GR598" s="1006">
        <f>GR527+GR357+GR321+GR288+GR175+(GR553*19.9%)+GR472+GR64</f>
        <v>4468.9509658563911</v>
      </c>
      <c r="GS598" s="98">
        <f t="shared" si="3457"/>
        <v>2.4482442848615227</v>
      </c>
      <c r="GT598" s="1006">
        <f>GT527+GT357+GT321+GT288+GT175+(GT553*19.9%)+GT472+GT64</f>
        <v>4595.8832103308741</v>
      </c>
      <c r="GU598" s="98">
        <f t="shared" si="3457"/>
        <v>2.8403141015479694</v>
      </c>
      <c r="GV598" s="1006">
        <f>GV527+GV357+GV321+GV288+GV175+(GV553*19.9%)+GV472+GV64</f>
        <v>4728.7580083789881</v>
      </c>
      <c r="GW598" s="98">
        <f t="shared" si="3456"/>
        <v>2.8911700312451494</v>
      </c>
      <c r="GX598" s="1006">
        <f>GX527+GX357+GX321+GX288+GX175+(GX553*19.9%)+GX472+GX64</f>
        <v>4865.2064147410938</v>
      </c>
      <c r="GY598" s="98">
        <f t="shared" si="3458"/>
        <v>2.8855019884783673</v>
      </c>
      <c r="GZ598" s="98">
        <f t="shared" si="3459"/>
        <v>2.4387717286991295</v>
      </c>
      <c r="HA598" s="98"/>
      <c r="HC598"/>
      <c r="HD598"/>
      <c r="HE598"/>
      <c r="HF598"/>
      <c r="HG598"/>
      <c r="HH598"/>
    </row>
    <row r="599" spans="1:216" s="10" customFormat="1" ht="12.75" customHeight="1" x14ac:dyDescent="0.2">
      <c r="B599" s="310" t="s">
        <v>89</v>
      </c>
      <c r="C599" s="94">
        <v>1843</v>
      </c>
      <c r="D599" s="94"/>
      <c r="E599" s="94">
        <v>1891</v>
      </c>
      <c r="F599" s="94"/>
      <c r="G599" s="94">
        <v>1942</v>
      </c>
      <c r="H599" s="92"/>
      <c r="I599" s="94">
        <v>1960</v>
      </c>
      <c r="J599" s="98"/>
      <c r="K599" s="94">
        <v>1723</v>
      </c>
      <c r="L599" s="98">
        <f t="shared" si="3382"/>
        <v>-6.5111231687466127</v>
      </c>
      <c r="M599" s="94">
        <v>1938</v>
      </c>
      <c r="N599" s="98">
        <f t="shared" si="3383"/>
        <v>2.4854574299312482</v>
      </c>
      <c r="O599" s="94">
        <v>1883.1547213673489</v>
      </c>
      <c r="P599" s="98">
        <f t="shared" si="3384"/>
        <v>-3.0301379316504229</v>
      </c>
      <c r="Q599" s="94">
        <v>2042.9278256101616</v>
      </c>
      <c r="R599" s="98">
        <f t="shared" si="3385"/>
        <v>4.2310115107225377</v>
      </c>
      <c r="S599" s="94">
        <f>1560-S601</f>
        <v>1829</v>
      </c>
      <c r="T599" s="98">
        <f t="shared" si="3386"/>
        <v>6.1520603598374857</v>
      </c>
      <c r="U599" s="94">
        <f>1529-U601</f>
        <v>1867</v>
      </c>
      <c r="V599" s="98">
        <f t="shared" si="3387"/>
        <v>-3.6635706914344701</v>
      </c>
      <c r="W599" s="94">
        <f>1611-W601</f>
        <v>1390</v>
      </c>
      <c r="X599" s="98">
        <f t="shared" si="3388"/>
        <v>-26.187690037984336</v>
      </c>
      <c r="Y599" s="94">
        <f>1987-Y601</f>
        <v>2161</v>
      </c>
      <c r="Z599" s="98">
        <f t="shared" si="3389"/>
        <v>5.7795568159425104</v>
      </c>
      <c r="AA599" s="94">
        <f>1637-AA601</f>
        <v>1799</v>
      </c>
      <c r="AB599" s="98">
        <f t="shared" si="3390"/>
        <v>-1.6402405686167354</v>
      </c>
      <c r="AC599" s="94">
        <f>1732-AC601</f>
        <v>1785</v>
      </c>
      <c r="AD599" s="98">
        <f t="shared" si="3391"/>
        <v>-4.3920728441349759</v>
      </c>
      <c r="AE599" s="94">
        <f>1585-AE601</f>
        <v>2010</v>
      </c>
      <c r="AF599" s="98">
        <f t="shared" si="3392"/>
        <v>44.604316546762576</v>
      </c>
      <c r="AG599" s="94">
        <f>1897-AG601</f>
        <v>2473</v>
      </c>
      <c r="AH599" s="98">
        <f t="shared" si="3393"/>
        <v>14.437760296159198</v>
      </c>
      <c r="AI599" s="94">
        <f>1728-AI601</f>
        <v>1805</v>
      </c>
      <c r="AJ599" s="98">
        <f t="shared" si="3394"/>
        <v>0.33351862145636346</v>
      </c>
      <c r="AK599" s="94">
        <f>1754-AK601</f>
        <v>2619</v>
      </c>
      <c r="AL599" s="98">
        <f t="shared" si="3395"/>
        <v>46.722689075630242</v>
      </c>
      <c r="AM599" s="94">
        <f>1815-AM601</f>
        <v>1843</v>
      </c>
      <c r="AN599" s="98">
        <f t="shared" si="3396"/>
        <v>-8.3084577114427844</v>
      </c>
      <c r="AO599" s="94">
        <f>2052-AO601</f>
        <v>2466</v>
      </c>
      <c r="AP599" s="98">
        <f t="shared" si="3397"/>
        <v>-0.28305701577031606</v>
      </c>
      <c r="AQ599" s="94">
        <f>1811-AQ601</f>
        <v>2273</v>
      </c>
      <c r="AR599" s="98">
        <f t="shared" si="3398"/>
        <v>25.927977839335181</v>
      </c>
      <c r="AS599" s="94">
        <f>1844-AS601</f>
        <v>1920</v>
      </c>
      <c r="AT599" s="98">
        <f t="shared" si="3399"/>
        <v>-26.689576174112261</v>
      </c>
      <c r="AU599" s="94">
        <f>2408-AU601</f>
        <v>6754</v>
      </c>
      <c r="AV599" s="98" t="str">
        <f t="shared" si="3400"/>
        <v>NM</v>
      </c>
      <c r="AW599" s="94">
        <f>2487-AW601</f>
        <v>2929</v>
      </c>
      <c r="AX599" s="98">
        <f t="shared" si="3401"/>
        <v>18.775344687753439</v>
      </c>
      <c r="AY599" s="94">
        <f>2294-AY601</f>
        <v>2886</v>
      </c>
      <c r="AZ599" s="98">
        <f t="shared" si="3402"/>
        <v>26.968763748350199</v>
      </c>
      <c r="BA599" s="94">
        <f>2423-BA601</f>
        <v>2992</v>
      </c>
      <c r="BB599" s="98">
        <f t="shared" si="3403"/>
        <v>55.833333333333336</v>
      </c>
      <c r="BC599" s="94">
        <f>2473-BC601</f>
        <v>2224</v>
      </c>
      <c r="BD599" s="98" t="str">
        <f t="shared" si="3404"/>
        <v>NM</v>
      </c>
      <c r="BE599" s="94">
        <f>2778-BE601</f>
        <v>3064</v>
      </c>
      <c r="BF599" s="98">
        <f t="shared" si="3405"/>
        <v>4.6090815978149458</v>
      </c>
      <c r="BG599" s="94">
        <f>+BG602-BG601-BG600-BG598-BG597</f>
        <v>2170</v>
      </c>
      <c r="BH599" s="98">
        <f t="shared" si="3406"/>
        <v>-24.809424809424808</v>
      </c>
      <c r="BI599" s="94">
        <f>+BI602-BI601-BI600-BI598-BI597</f>
        <v>3293</v>
      </c>
      <c r="BJ599" s="98">
        <f t="shared" si="3407"/>
        <v>10.060160427807485</v>
      </c>
      <c r="BK599" s="94">
        <f>+BK602-BK601-BK600-BK598-BK597</f>
        <v>1400</v>
      </c>
      <c r="BL599" s="98">
        <f t="shared" si="3408"/>
        <v>-37.050359712230218</v>
      </c>
      <c r="BM599" s="94">
        <f>+BM602-BM601-BM600-BM598-BM597</f>
        <v>1555</v>
      </c>
      <c r="BN599" s="98">
        <f t="shared" si="3409"/>
        <v>-49.249347258485642</v>
      </c>
      <c r="BO599" s="94" t="e">
        <f>+BO602-BO601-BO600-BO598-BO597</f>
        <v>#REF!</v>
      </c>
      <c r="BP599" s="98" t="str">
        <f t="shared" si="3410"/>
        <v>NA</v>
      </c>
      <c r="BQ599" s="94" t="e">
        <f>+BQ602-BQ601-BQ600-BQ598-BQ597</f>
        <v>#REF!</v>
      </c>
      <c r="BR599" s="98" t="str">
        <f t="shared" si="3411"/>
        <v>NA</v>
      </c>
      <c r="BS599" s="94" t="e">
        <f>2629-BS601</f>
        <v>#REF!</v>
      </c>
      <c r="BT599" s="98" t="str">
        <f t="shared" si="3412"/>
        <v>NA</v>
      </c>
      <c r="BU599" s="94">
        <v>2616</v>
      </c>
      <c r="BV599" s="98">
        <f t="shared" si="3413"/>
        <v>68.231511254019296</v>
      </c>
      <c r="BW599" s="94">
        <v>2557</v>
      </c>
      <c r="BX599" s="98" t="str">
        <f t="shared" si="3414"/>
        <v>NA</v>
      </c>
      <c r="BY599" s="94">
        <v>2765</v>
      </c>
      <c r="BZ599" s="98" t="str">
        <f t="shared" si="3415"/>
        <v>NA</v>
      </c>
      <c r="CA599" s="94">
        <v>2723</v>
      </c>
      <c r="CB599" s="98" t="str">
        <f t="shared" si="3416"/>
        <v>NA</v>
      </c>
      <c r="CC599" s="94">
        <f>2947</f>
        <v>2947</v>
      </c>
      <c r="CD599" s="98">
        <f t="shared" si="3417"/>
        <v>12.652905198776754</v>
      </c>
      <c r="CE599" s="94">
        <v>2629</v>
      </c>
      <c r="CF599" s="98">
        <f t="shared" si="3418"/>
        <v>2.8157997653500244</v>
      </c>
      <c r="CG599" s="94">
        <v>2698</v>
      </c>
      <c r="CH599" s="98">
        <f t="shared" si="3419"/>
        <v>-2.4231464737793806</v>
      </c>
      <c r="CI599" s="94">
        <v>2710</v>
      </c>
      <c r="CJ599" s="98">
        <f t="shared" si="3420"/>
        <v>-0.47741461623209691</v>
      </c>
      <c r="CK599" s="94">
        <v>3124</v>
      </c>
      <c r="CL599" s="98">
        <f t="shared" si="3421"/>
        <v>6.006107906345437</v>
      </c>
      <c r="CM599" s="94">
        <v>3890</v>
      </c>
      <c r="CN599" s="98">
        <f t="shared" si="3422"/>
        <v>47.96500570559148</v>
      </c>
      <c r="CO599" s="94">
        <v>4172</v>
      </c>
      <c r="CP599" s="98">
        <f t="shared" si="3423"/>
        <v>54.633061527057066</v>
      </c>
      <c r="CQ599" s="533">
        <v>4332</v>
      </c>
      <c r="CR599" s="98">
        <f t="shared" si="3423"/>
        <v>59.852398523985251</v>
      </c>
      <c r="CS599" s="94">
        <v>4257</v>
      </c>
      <c r="CT599" s="98">
        <f t="shared" si="3423"/>
        <v>36.267605633802823</v>
      </c>
      <c r="CU599" s="94">
        <v>4243</v>
      </c>
      <c r="CV599" s="98">
        <f t="shared" si="3424"/>
        <v>9.0745501285347085</v>
      </c>
      <c r="CW599" s="94">
        <v>4051</v>
      </c>
      <c r="CX599" s="98">
        <f t="shared" si="3425"/>
        <v>-2.9002876318312554</v>
      </c>
      <c r="CY599" s="94">
        <v>4120</v>
      </c>
      <c r="CZ599" s="98">
        <f t="shared" si="3426"/>
        <v>-4.8938134810710965</v>
      </c>
      <c r="DA599" s="94">
        <v>4266</v>
      </c>
      <c r="DB599" s="98">
        <f t="shared" si="3427"/>
        <v>0.21141649048626032</v>
      </c>
      <c r="DC599" s="94">
        <v>4083</v>
      </c>
      <c r="DD599" s="98">
        <f t="shared" si="3428"/>
        <v>-3.7709168041480057</v>
      </c>
      <c r="DE599" s="94">
        <v>4009</v>
      </c>
      <c r="DF599" s="98">
        <f t="shared" si="3429"/>
        <v>-1.0367810417180934</v>
      </c>
      <c r="DG599" s="94">
        <v>4026</v>
      </c>
      <c r="DH599" s="98">
        <f t="shared" si="3430"/>
        <v>-2.2815533980582559</v>
      </c>
      <c r="DI599" s="94">
        <v>4478</v>
      </c>
      <c r="DJ599" s="98">
        <f t="shared" si="3431"/>
        <v>4.9695264885138313</v>
      </c>
      <c r="DK599" s="94">
        <v>3951</v>
      </c>
      <c r="DL599" s="98">
        <f t="shared" si="3432"/>
        <v>-3.2329169728141038</v>
      </c>
      <c r="DM599" s="94">
        <v>3979</v>
      </c>
      <c r="DN599" s="98">
        <f t="shared" si="3433"/>
        <v>-0.748316288351214</v>
      </c>
      <c r="DO599" s="94">
        <v>4003</v>
      </c>
      <c r="DP599" s="98">
        <f t="shared" si="3433"/>
        <v>-0.57128663686040193</v>
      </c>
      <c r="DQ599" s="94">
        <v>4321</v>
      </c>
      <c r="DR599" s="98">
        <f t="shared" si="3433"/>
        <v>-3.5060294774452827</v>
      </c>
      <c r="DS599" s="1006">
        <f>DS528+DS488+DS359+DS323+DS290+DS258+DS177+DS101+DS538</f>
        <v>3156</v>
      </c>
      <c r="DT599" s="1109">
        <v>-3.8218172614527979</v>
      </c>
      <c r="DU599" s="1006">
        <f>DU528+DU488+DU359+DU323+DU290+DU258+DU177+DU101+DU538</f>
        <v>3310</v>
      </c>
      <c r="DV599" s="1109">
        <v>-2.4377984418195497</v>
      </c>
      <c r="DW599" s="1006">
        <f>DW528+DW488+DW359+DW323+DW290+DW258+DW177+DW101+DW538</f>
        <v>3512</v>
      </c>
      <c r="DX599" s="1109">
        <v>3.0726954783911964</v>
      </c>
      <c r="DY599" s="1006">
        <f>DY528+DY488+DY359+DY323+DY290+DY258+DY177+DY101+DY538</f>
        <v>3344</v>
      </c>
      <c r="DZ599" s="1109">
        <v>-7.4751214996528592</v>
      </c>
      <c r="EA599" s="1006">
        <f>EA528+EA488+EA359+EA323+EA290+EA258+EA177+EA101+EA538</f>
        <v>3198</v>
      </c>
      <c r="EB599" s="1109">
        <v>-2.3684210526315752</v>
      </c>
      <c r="EC599" s="1006">
        <f>EC528+EC488+EC359+EC323+EC290+EC258+EC177+EC101+EC538</f>
        <v>3468</v>
      </c>
      <c r="ED599" s="98">
        <f t="shared" si="3434"/>
        <v>4.7734138972809648</v>
      </c>
      <c r="EE599" s="1006">
        <f>EE528+EE488+EE359+EE323+EE290+EE258+EE177+EE101+EE538</f>
        <v>2995</v>
      </c>
      <c r="EF599" s="860">
        <f t="shared" si="3435"/>
        <v>-14.720956719817767</v>
      </c>
      <c r="EG599" s="1006">
        <f>EG528+EG488+EG359+EG323+EG290+EG258+EG177+EG101+EG538</f>
        <v>3340</v>
      </c>
      <c r="EH599" s="860">
        <f t="shared" si="3436"/>
        <v>-0.11961722488038617</v>
      </c>
      <c r="EI599" s="1006">
        <f>EI528+EI488+EI359+EI323+EI290+EI258+EI177+EI101+EI538</f>
        <v>2962</v>
      </c>
      <c r="EJ599" s="860">
        <f t="shared" si="3437"/>
        <v>-7.379612257661039</v>
      </c>
      <c r="EK599" s="1006">
        <f>EK528+EK488+EK359+EK323+EK290+EK258+EK177+EK101+EK538</f>
        <v>3093</v>
      </c>
      <c r="EL599" s="860">
        <f t="shared" si="3438"/>
        <v>-10.813148788927339</v>
      </c>
      <c r="EM599" s="1006">
        <f>EM528+EM488+EM359+EM323+EM290+EM258+EM177+EM101+EM538</f>
        <v>3138</v>
      </c>
      <c r="EN599" s="860">
        <f t="shared" si="3439"/>
        <v>4.774624373956593</v>
      </c>
      <c r="EO599" s="1006">
        <f>EO528+EO488+EO359+EO323+EO290+EO258+EO177+EO101+EO538</f>
        <v>3320</v>
      </c>
      <c r="EP599" s="98">
        <f t="shared" si="3440"/>
        <v>-0.59880239520958556</v>
      </c>
      <c r="EQ599" s="1006">
        <f>EQ528+EQ488+EQ359+EQ323+EQ290+EQ258+EQ177+EQ101+EQ538</f>
        <v>3164.1981080526784</v>
      </c>
      <c r="ER599" s="98">
        <f t="shared" si="3441"/>
        <v>6.8264047283145945</v>
      </c>
      <c r="ES599" s="1006">
        <f>ES528+ES488+ES359+ES323+ES290+ES258+ES177+ES101+ES538</f>
        <v>3189.5907495705032</v>
      </c>
      <c r="ET599" s="98">
        <f t="shared" si="3442"/>
        <v>3.1228823010185369</v>
      </c>
      <c r="EU599" s="1006">
        <f>EU528+EU488+EU359+EU323+EU290+EU258+EU177+EU101+EU538</f>
        <v>3216.4896978587713</v>
      </c>
      <c r="EV599" s="98">
        <f t="shared" si="3443"/>
        <v>2.5012650687944893</v>
      </c>
      <c r="EW599" s="1006">
        <f>EW528+EW488+EW359+EW323+EW290+EW258+EW177+EW101+EW538</f>
        <v>3263.5812734554024</v>
      </c>
      <c r="EX599" s="98">
        <f t="shared" si="3444"/>
        <v>-1.6993592332710139</v>
      </c>
      <c r="EY599" s="99"/>
      <c r="EZ599" s="594"/>
      <c r="FA599" s="405"/>
      <c r="FB599" s="95"/>
      <c r="FC599" s="92"/>
      <c r="FD599" s="94"/>
      <c r="FE599" s="98" t="str">
        <f t="shared" si="3445"/>
        <v>NA</v>
      </c>
      <c r="FF599" s="99">
        <v>7636</v>
      </c>
      <c r="FG599" s="98" t="str">
        <f t="shared" si="3446"/>
        <v>NA</v>
      </c>
      <c r="FH599" s="99">
        <v>6921.0825469775109</v>
      </c>
      <c r="FI599" s="98">
        <f t="shared" si="3447"/>
        <v>-9.3624600972038952</v>
      </c>
      <c r="FJ599" s="99">
        <f>SUM(S599,U599,W599,Y599)</f>
        <v>7247</v>
      </c>
      <c r="FK599" s="98">
        <f>IF(ISERROR((FJ599/FH599-1)*100),"NA",IF(((FJ599/FH599-1)*100)&gt;100,"NM",IF(((FJ599/FH599-1)*100)&lt;-50,"NM",(FJ599/FH599-1)*100)))</f>
        <v>4.709053111421424</v>
      </c>
      <c r="FL599" s="99">
        <f>SUM(AA599,AC599,AE599,AG599)</f>
        <v>8067</v>
      </c>
      <c r="FM599" s="98">
        <f>IF(ISERROR((FL599/FJ599-1)*100),"NA",IF(((FL599/FJ599-1)*100)&gt;100,"NM",IF(((FL599/FJ599-1)*100)&lt;-50,"NM",(FL599/FJ599-1)*100)))</f>
        <v>11.315026907685933</v>
      </c>
      <c r="FN599" s="99">
        <f>SUM(AI599,AK599,AM599,AO599)</f>
        <v>8733</v>
      </c>
      <c r="FO599" s="98">
        <f t="shared" si="3448"/>
        <v>8.25585719598363</v>
      </c>
      <c r="FP599" s="99">
        <f>SUM(AQ599,AS599,AU599,AW599)</f>
        <v>13876</v>
      </c>
      <c r="FQ599" s="98">
        <f t="shared" si="3449"/>
        <v>58.891560746593385</v>
      </c>
      <c r="FR599" s="99">
        <f>SUM(AY599,BA599,BC599,BE599)</f>
        <v>11166</v>
      </c>
      <c r="FS599" s="120">
        <f t="shared" si="3450"/>
        <v>-19.530123955030266</v>
      </c>
      <c r="FT599" s="99">
        <f>SUM(BG599,BI599,BK599,BM599)</f>
        <v>8418</v>
      </c>
      <c r="FU599" s="120">
        <f t="shared" si="3451"/>
        <v>-24.610424502955397</v>
      </c>
      <c r="FV599" s="99" t="e">
        <f>+BO599+BQ599+BS599+BU599</f>
        <v>#REF!</v>
      </c>
      <c r="FW599" s="98" t="str">
        <f t="shared" si="3452"/>
        <v>NA</v>
      </c>
      <c r="FX599" s="482">
        <f>SUM(BW599,BY599,CA599,CC599)</f>
        <v>10992</v>
      </c>
      <c r="FY599" s="98" t="str">
        <f t="shared" si="3453"/>
        <v>NA</v>
      </c>
      <c r="FZ599" s="99">
        <f>CE599+CG599+CI599+CK599</f>
        <v>11161</v>
      </c>
      <c r="GA599" s="98">
        <f t="shared" si="3454"/>
        <v>1.5374818049490591</v>
      </c>
      <c r="GB599" s="533">
        <v>16620</v>
      </c>
      <c r="GC599" s="98">
        <f t="shared" si="3455"/>
        <v>48.911387868470555</v>
      </c>
      <c r="GD599" s="99">
        <f>+CU599+CW599+CY599+DA599</f>
        <v>16680</v>
      </c>
      <c r="GE599" s="98">
        <f t="shared" si="3456"/>
        <v>0.36101083032491488</v>
      </c>
      <c r="GF599" s="99">
        <f>+DC599+DE599+DG599+DI599</f>
        <v>16596</v>
      </c>
      <c r="GG599" s="98">
        <f t="shared" si="3456"/>
        <v>-0.50359712230215736</v>
      </c>
      <c r="GH599" s="99">
        <f>+DK599+DM599+DO599+DQ599</f>
        <v>16254</v>
      </c>
      <c r="GI599" s="98">
        <f t="shared" si="3456"/>
        <v>-2.0607375271149642</v>
      </c>
      <c r="GJ599" s="1006">
        <f>GJ528+GJ488+GJ359+GJ323+GJ290+GJ258+GJ177+GJ101+GJ538</f>
        <v>13322</v>
      </c>
      <c r="GK599" s="98">
        <f t="shared" si="3457"/>
        <v>-18.038636643287809</v>
      </c>
      <c r="GL599" s="1006">
        <f>GL528+GL488+GL359+GL323+GL290+GL258+GL177+GL101+GL538</f>
        <v>13001</v>
      </c>
      <c r="GM599" s="98">
        <f t="shared" si="3457"/>
        <v>-2.4095481158985188</v>
      </c>
      <c r="GN599" s="1006">
        <f>EI599+EK599+EM599+EO599</f>
        <v>12513</v>
      </c>
      <c r="GO599" s="98">
        <f t="shared" si="3457"/>
        <v>-3.7535574186601028</v>
      </c>
      <c r="GP599" s="1006">
        <f>EQ599+ES599+EU599+EW599</f>
        <v>12833.859828937355</v>
      </c>
      <c r="GQ599" s="98">
        <f t="shared" si="3457"/>
        <v>2.5642118511736145</v>
      </c>
      <c r="GR599" s="1006">
        <f>+GR528+GR488+GR359+GR323+GR290+GR258+GR177+GR101+GR538+GR491</f>
        <v>13436.940864612219</v>
      </c>
      <c r="GS599" s="98">
        <f t="shared" si="3457"/>
        <v>4.6991399603341311</v>
      </c>
      <c r="GT599" s="1006">
        <f>+GT528+GT488+GT359+GT323+GT290+GT258+GT177+GT101+GT538+GT491</f>
        <v>13765.941834675066</v>
      </c>
      <c r="GU599" s="98">
        <f t="shared" si="3457"/>
        <v>2.4484811935826079</v>
      </c>
      <c r="GV599" s="1006">
        <f>+GV528+GV488+GV359+GV323+GV290+GV258+GV177+GV101+GV538+GV491</f>
        <v>14239.864758007607</v>
      </c>
      <c r="GW599" s="98">
        <f t="shared" si="3456"/>
        <v>3.4427206581592262</v>
      </c>
      <c r="GX599" s="1006">
        <f>+GX528+GX488+GX359+GX323+GX290+GX258+GX177+GX101+GX538+GX491</f>
        <v>14749.897374507989</v>
      </c>
      <c r="GY599" s="98">
        <f t="shared" si="3458"/>
        <v>3.5817237394306867</v>
      </c>
      <c r="GZ599" s="98">
        <f t="shared" si="3459"/>
        <v>3.3440579699671069</v>
      </c>
      <c r="HA599" s="98"/>
      <c r="HC599"/>
      <c r="HD599"/>
      <c r="HE599"/>
      <c r="HF599"/>
      <c r="HG599"/>
      <c r="HH599"/>
    </row>
    <row r="600" spans="1:216" s="10" customFormat="1" ht="12.75" customHeight="1" x14ac:dyDescent="0.2">
      <c r="B600" s="310" t="s">
        <v>291</v>
      </c>
      <c r="C600" s="94"/>
      <c r="D600" s="94"/>
      <c r="E600" s="94"/>
      <c r="F600" s="94"/>
      <c r="G600" s="94"/>
      <c r="H600" s="92"/>
      <c r="I600" s="94"/>
      <c r="J600" s="98"/>
      <c r="K600" s="94">
        <v>86</v>
      </c>
      <c r="L600" s="98" t="str">
        <f t="shared" si="3382"/>
        <v>NA</v>
      </c>
      <c r="M600" s="94">
        <v>86</v>
      </c>
      <c r="N600" s="98" t="str">
        <f t="shared" si="3383"/>
        <v>NA</v>
      </c>
      <c r="O600" s="94">
        <v>86</v>
      </c>
      <c r="P600" s="98" t="str">
        <f t="shared" si="3384"/>
        <v>NA</v>
      </c>
      <c r="Q600" s="94">
        <v>85</v>
      </c>
      <c r="R600" s="98" t="str">
        <f t="shared" si="3385"/>
        <v>NA</v>
      </c>
      <c r="S600" s="94">
        <v>94</v>
      </c>
      <c r="T600" s="98">
        <f t="shared" si="3386"/>
        <v>9.302325581395344</v>
      </c>
      <c r="U600" s="94">
        <v>93</v>
      </c>
      <c r="V600" s="98">
        <f t="shared" si="3387"/>
        <v>8.1395348837209234</v>
      </c>
      <c r="W600" s="94">
        <v>95</v>
      </c>
      <c r="X600" s="98">
        <f t="shared" si="3388"/>
        <v>10.465116279069765</v>
      </c>
      <c r="Y600" s="94">
        <v>98</v>
      </c>
      <c r="Z600" s="98">
        <f t="shared" si="3389"/>
        <v>15.294117647058814</v>
      </c>
      <c r="AA600" s="94">
        <v>116</v>
      </c>
      <c r="AB600" s="98">
        <f t="shared" si="3390"/>
        <v>23.404255319148938</v>
      </c>
      <c r="AC600" s="94">
        <v>112</v>
      </c>
      <c r="AD600" s="98">
        <f t="shared" si="3391"/>
        <v>20.430107526881724</v>
      </c>
      <c r="AE600" s="94">
        <v>104</v>
      </c>
      <c r="AF600" s="98">
        <f t="shared" si="3392"/>
        <v>9.4736842105263221</v>
      </c>
      <c r="AG600" s="94">
        <v>109</v>
      </c>
      <c r="AH600" s="98">
        <f t="shared" si="3393"/>
        <v>11.22448979591837</v>
      </c>
      <c r="AI600" s="94">
        <v>99</v>
      </c>
      <c r="AJ600" s="98">
        <f t="shared" si="3394"/>
        <v>-14.655172413793105</v>
      </c>
      <c r="AK600" s="94">
        <v>108</v>
      </c>
      <c r="AL600" s="98">
        <f t="shared" si="3395"/>
        <v>-3.5714285714285698</v>
      </c>
      <c r="AM600" s="94">
        <v>113</v>
      </c>
      <c r="AN600" s="98">
        <f t="shared" si="3396"/>
        <v>8.6538461538461462</v>
      </c>
      <c r="AO600" s="94">
        <v>116</v>
      </c>
      <c r="AP600" s="98">
        <f t="shared" si="3397"/>
        <v>6.4220183486238591</v>
      </c>
      <c r="AQ600" s="94">
        <v>119</v>
      </c>
      <c r="AR600" s="98">
        <f t="shared" si="3398"/>
        <v>20.202020202020201</v>
      </c>
      <c r="AS600" s="94">
        <v>125</v>
      </c>
      <c r="AT600" s="98">
        <f t="shared" si="3399"/>
        <v>15.740740740740744</v>
      </c>
      <c r="AU600" s="94">
        <v>183</v>
      </c>
      <c r="AV600" s="98">
        <f t="shared" si="3400"/>
        <v>61.946902654867266</v>
      </c>
      <c r="AW600" s="94">
        <v>185</v>
      </c>
      <c r="AX600" s="98">
        <f t="shared" si="3401"/>
        <v>59.482758620689658</v>
      </c>
      <c r="AY600" s="94">
        <v>198</v>
      </c>
      <c r="AZ600" s="98">
        <f t="shared" si="3402"/>
        <v>66.386554621848745</v>
      </c>
      <c r="BA600" s="94">
        <v>202</v>
      </c>
      <c r="BB600" s="98">
        <f t="shared" si="3403"/>
        <v>61.600000000000009</v>
      </c>
      <c r="BC600" s="94">
        <v>234</v>
      </c>
      <c r="BD600" s="98">
        <f t="shared" si="3404"/>
        <v>27.868852459016402</v>
      </c>
      <c r="BE600" s="94">
        <v>218</v>
      </c>
      <c r="BF600" s="98">
        <f t="shared" si="3405"/>
        <v>17.837837837837832</v>
      </c>
      <c r="BG600" s="94">
        <v>224</v>
      </c>
      <c r="BH600" s="98">
        <f t="shared" si="3406"/>
        <v>13.131313131313128</v>
      </c>
      <c r="BI600" s="94">
        <v>241</v>
      </c>
      <c r="BJ600" s="98">
        <f t="shared" si="3407"/>
        <v>19.306930693069301</v>
      </c>
      <c r="BK600" s="94">
        <v>274</v>
      </c>
      <c r="BL600" s="98">
        <f t="shared" si="3408"/>
        <v>17.094017094017101</v>
      </c>
      <c r="BM600" s="94">
        <v>284</v>
      </c>
      <c r="BN600" s="98">
        <f t="shared" si="3409"/>
        <v>30.27522935779816</v>
      </c>
      <c r="BO600" s="94">
        <v>269</v>
      </c>
      <c r="BP600" s="98">
        <f t="shared" si="3410"/>
        <v>20.089285714285722</v>
      </c>
      <c r="BQ600" s="94">
        <v>253</v>
      </c>
      <c r="BR600" s="98">
        <f t="shared" si="3411"/>
        <v>4.9792531120331995</v>
      </c>
      <c r="BS600" s="94">
        <v>253</v>
      </c>
      <c r="BT600" s="98">
        <f t="shared" si="3412"/>
        <v>-7.6642335766423315</v>
      </c>
      <c r="BU600" s="94">
        <v>276</v>
      </c>
      <c r="BV600" s="98">
        <f t="shared" si="3413"/>
        <v>-2.8169014084507005</v>
      </c>
      <c r="BW600" s="94">
        <v>245</v>
      </c>
      <c r="BX600" s="98">
        <f t="shared" si="3414"/>
        <v>-8.9219330855018537</v>
      </c>
      <c r="BY600" s="94">
        <v>256</v>
      </c>
      <c r="BZ600" s="98">
        <f t="shared" si="3415"/>
        <v>1.1857707509881354</v>
      </c>
      <c r="CA600" s="94">
        <v>274</v>
      </c>
      <c r="CB600" s="98">
        <f t="shared" si="3416"/>
        <v>8.3003952569169925</v>
      </c>
      <c r="CC600" s="94">
        <f>269+43</f>
        <v>312</v>
      </c>
      <c r="CD600" s="98">
        <f t="shared" si="3417"/>
        <v>13.043478260869556</v>
      </c>
      <c r="CE600" s="94">
        <v>264</v>
      </c>
      <c r="CF600" s="98">
        <f t="shared" si="3418"/>
        <v>7.7551020408163307</v>
      </c>
      <c r="CG600" s="94">
        <v>266</v>
      </c>
      <c r="CH600" s="98">
        <f t="shared" si="3419"/>
        <v>3.90625</v>
      </c>
      <c r="CI600" s="94">
        <v>294</v>
      </c>
      <c r="CJ600" s="98">
        <f t="shared" si="3420"/>
        <v>7.2992700729926918</v>
      </c>
      <c r="CK600" s="94">
        <v>315</v>
      </c>
      <c r="CL600" s="98">
        <f t="shared" si="3421"/>
        <v>0.96153846153845812</v>
      </c>
      <c r="CM600" s="94">
        <v>323</v>
      </c>
      <c r="CN600" s="98">
        <f t="shared" si="3422"/>
        <v>22.348484848484841</v>
      </c>
      <c r="CO600" s="94">
        <v>328</v>
      </c>
      <c r="CP600" s="98">
        <f t="shared" si="3423"/>
        <v>23.308270676691723</v>
      </c>
      <c r="CQ600" s="533">
        <v>327</v>
      </c>
      <c r="CR600" s="98">
        <f t="shared" si="3423"/>
        <v>11.22448979591837</v>
      </c>
      <c r="CS600" s="94">
        <v>326</v>
      </c>
      <c r="CT600" s="98">
        <f t="shared" si="3423"/>
        <v>3.4920634920635019</v>
      </c>
      <c r="CU600" s="94">
        <v>315</v>
      </c>
      <c r="CV600" s="98">
        <f t="shared" si="3424"/>
        <v>-2.4767801857585092</v>
      </c>
      <c r="CW600" s="94">
        <v>297</v>
      </c>
      <c r="CX600" s="98">
        <f t="shared" si="3425"/>
        <v>-9.4512195121951201</v>
      </c>
      <c r="CY600" s="94">
        <v>286</v>
      </c>
      <c r="CZ600" s="98">
        <f t="shared" si="3426"/>
        <v>-12.538226299694188</v>
      </c>
      <c r="DA600" s="94">
        <v>292</v>
      </c>
      <c r="DB600" s="98">
        <f t="shared" si="3427"/>
        <v>-10.429447852760731</v>
      </c>
      <c r="DC600" s="94">
        <v>288</v>
      </c>
      <c r="DD600" s="98">
        <f t="shared" si="3428"/>
        <v>-8.5714285714285747</v>
      </c>
      <c r="DE600" s="94">
        <v>287</v>
      </c>
      <c r="DF600" s="98">
        <f t="shared" si="3429"/>
        <v>-3.3670033670033628</v>
      </c>
      <c r="DG600" s="94">
        <v>288</v>
      </c>
      <c r="DH600" s="98">
        <f t="shared" si="3430"/>
        <v>0.69930069930070893</v>
      </c>
      <c r="DI600" s="94">
        <v>296</v>
      </c>
      <c r="DJ600" s="98">
        <f t="shared" si="3431"/>
        <v>1.3698630136986356</v>
      </c>
      <c r="DK600" s="94">
        <v>294</v>
      </c>
      <c r="DL600" s="98">
        <f t="shared" si="3432"/>
        <v>2.0833333333333259</v>
      </c>
      <c r="DM600" s="94">
        <v>299</v>
      </c>
      <c r="DN600" s="98">
        <f t="shared" si="3433"/>
        <v>4.1811846689895571</v>
      </c>
      <c r="DO600" s="94">
        <v>292</v>
      </c>
      <c r="DP600" s="98">
        <f t="shared" si="3433"/>
        <v>1.388888888888884</v>
      </c>
      <c r="DQ600" s="94">
        <v>293</v>
      </c>
      <c r="DR600" s="98">
        <f t="shared" si="3433"/>
        <v>-1.0135135135135087</v>
      </c>
      <c r="DS600" s="1131">
        <f>DS563+DS529+DS490+DS178</f>
        <v>265</v>
      </c>
      <c r="DT600" s="1109">
        <v>1.0204081632652962</v>
      </c>
      <c r="DU600" s="1131">
        <f>DU563+DU529+DU490+DU178</f>
        <v>275</v>
      </c>
      <c r="DV600" s="1109">
        <v>2.6755852842809347</v>
      </c>
      <c r="DW600" s="1131">
        <f>DW563+DW529+DW490+DW178</f>
        <v>262</v>
      </c>
      <c r="DX600" s="1109">
        <v>0.68493150684931781</v>
      </c>
      <c r="DY600" s="1131">
        <f>DY563+DY529+DY490+DY178</f>
        <v>270</v>
      </c>
      <c r="DZ600" s="1109">
        <v>3.0716723549488067</v>
      </c>
      <c r="EA600" s="1131">
        <f>EA529+EA490+EA178</f>
        <v>315</v>
      </c>
      <c r="EB600" s="1109">
        <v>5.0505050505050608</v>
      </c>
      <c r="EC600" s="1131">
        <f>EC529+EC490+EC178</f>
        <v>304</v>
      </c>
      <c r="ED600" s="98">
        <f t="shared" si="3434"/>
        <v>10.545454545454547</v>
      </c>
      <c r="EE600" s="1131">
        <f>EE529+EE490+EE178</f>
        <v>292</v>
      </c>
      <c r="EF600" s="860">
        <f t="shared" si="3435"/>
        <v>11.45038167938932</v>
      </c>
      <c r="EG600" s="1131">
        <f>EG529+EG490+EG178</f>
        <v>293</v>
      </c>
      <c r="EH600" s="860">
        <f t="shared" si="3436"/>
        <v>8.5185185185185262</v>
      </c>
      <c r="EI600" s="1131">
        <f>EI529+EI490+EI178</f>
        <v>294</v>
      </c>
      <c r="EJ600" s="860">
        <f t="shared" si="3437"/>
        <v>-6.6666666666666652</v>
      </c>
      <c r="EK600" s="1131">
        <f>EK529+EK490+EK178</f>
        <v>285</v>
      </c>
      <c r="EL600" s="860">
        <f t="shared" si="3438"/>
        <v>-6.25</v>
      </c>
      <c r="EM600" s="1131">
        <f>EM563+EM529+EM490+EM178</f>
        <v>283</v>
      </c>
      <c r="EN600" s="860">
        <f t="shared" si="3439"/>
        <v>-3.082191780821919</v>
      </c>
      <c r="EO600" s="1131">
        <f>EO563+EO529+EO490+EO178</f>
        <v>276</v>
      </c>
      <c r="EP600" s="98">
        <f t="shared" si="3440"/>
        <v>-5.8020477815699634</v>
      </c>
      <c r="EQ600" s="1131">
        <f>(EQ563*19.9%)+EQ529+EQ490+EQ178</f>
        <v>276</v>
      </c>
      <c r="ER600" s="98">
        <f t="shared" si="3441"/>
        <v>-6.122448979591832</v>
      </c>
      <c r="ES600" s="1131">
        <f>(ES563*19.9%)+ES529+ES490+ES178</f>
        <v>276</v>
      </c>
      <c r="ET600" s="98">
        <f t="shared" si="3442"/>
        <v>-3.157894736842104</v>
      </c>
      <c r="EU600" s="1131">
        <f>(EU563*19.9%)+EU529+EU490+EU178</f>
        <v>276</v>
      </c>
      <c r="EV600" s="98">
        <f t="shared" si="3443"/>
        <v>-2.4734982332155431</v>
      </c>
      <c r="EW600" s="1131">
        <f>(EW563*19.9%)+EW529+EW490+EW178</f>
        <v>276</v>
      </c>
      <c r="EX600" s="98">
        <f t="shared" si="3444"/>
        <v>0</v>
      </c>
      <c r="EY600" s="99"/>
      <c r="EZ600" s="594"/>
      <c r="FA600" s="405"/>
      <c r="FB600" s="95"/>
      <c r="FC600" s="92"/>
      <c r="FD600" s="94"/>
      <c r="FE600" s="98" t="str">
        <f t="shared" si="3445"/>
        <v>NA</v>
      </c>
      <c r="FF600" s="95" t="s">
        <v>481</v>
      </c>
      <c r="FG600" s="98" t="str">
        <f t="shared" si="3446"/>
        <v>NA</v>
      </c>
      <c r="FH600" s="95" t="s">
        <v>481</v>
      </c>
      <c r="FI600" s="98" t="str">
        <f t="shared" si="3447"/>
        <v>NA</v>
      </c>
      <c r="FJ600" s="99">
        <f>SUM(S600,U600,W600,Y600)</f>
        <v>380</v>
      </c>
      <c r="FK600" s="98" t="str">
        <f>IF(ISERROR((FJ600/FB600-1)*100),"NA",IF(((FJ600/FB600-1)*100)&gt;100,"NM",IF(((FJ600/FB600-1)*100)&lt;-50,"NM",(FJ600/FB600-1)*100)))</f>
        <v>NA</v>
      </c>
      <c r="FL600" s="99">
        <f>SUM(AA600,AC600,AE600,AG600)</f>
        <v>441</v>
      </c>
      <c r="FM600" s="98" t="str">
        <f>IF(ISERROR((FL600/FD600-1)*100),"NA",IF(((FL600/FD600-1)*100)&gt;100,"NM",IF(((FL600/FD600-1)*100)&lt;-50,"NM",(FL600/FD600-1)*100)))</f>
        <v>NA</v>
      </c>
      <c r="FN600" s="99">
        <f>SUM(AI600,AK600,AM600,AO600)</f>
        <v>436</v>
      </c>
      <c r="FO600" s="98">
        <f t="shared" si="3448"/>
        <v>-1.1337868480725599</v>
      </c>
      <c r="FP600" s="99">
        <f>SUM(AQ600,AS600,AU600,AW600)</f>
        <v>612</v>
      </c>
      <c r="FQ600" s="98">
        <f t="shared" si="3449"/>
        <v>40.366972477064223</v>
      </c>
      <c r="FR600" s="99">
        <f>SUM(AY600,BA600,BC600,BE600)</f>
        <v>852</v>
      </c>
      <c r="FS600" s="120">
        <f t="shared" si="3450"/>
        <v>39.2156862745098</v>
      </c>
      <c r="FT600" s="99">
        <f>SUM(BG600,BI600,BK600,BM600)</f>
        <v>1023</v>
      </c>
      <c r="FU600" s="120">
        <f t="shared" si="3451"/>
        <v>20.070422535211275</v>
      </c>
      <c r="FV600" s="99">
        <f>+BO600+BQ600+BS600+BU600</f>
        <v>1051</v>
      </c>
      <c r="FW600" s="98">
        <f t="shared" si="3452"/>
        <v>2.7370478983382185</v>
      </c>
      <c r="FX600" s="482">
        <f>SUM(BW600,BY600,CA600,CC600)</f>
        <v>1087</v>
      </c>
      <c r="FY600" s="98">
        <f t="shared" si="3453"/>
        <v>3.4253092293054177</v>
      </c>
      <c r="FZ600" s="99">
        <f>CE600+CG600+CI600+CK600</f>
        <v>1139</v>
      </c>
      <c r="GA600" s="98">
        <f t="shared" si="3454"/>
        <v>4.7838086476540864</v>
      </c>
      <c r="GB600" s="533">
        <v>1304</v>
      </c>
      <c r="GC600" s="98">
        <f t="shared" si="3455"/>
        <v>14.486391571554002</v>
      </c>
      <c r="GD600" s="99">
        <f>+CU600+CW600+CY600+DA600</f>
        <v>1190</v>
      </c>
      <c r="GE600" s="98">
        <f t="shared" si="3456"/>
        <v>-8.7423312883435642</v>
      </c>
      <c r="GF600" s="99">
        <f>+DC600+DE600+DG600+DI600</f>
        <v>1159</v>
      </c>
      <c r="GG600" s="98">
        <f t="shared" si="3456"/>
        <v>-2.6050420168067245</v>
      </c>
      <c r="GH600" s="99">
        <f>+DK600+DM600+DO600+DQ600</f>
        <v>1178</v>
      </c>
      <c r="GI600" s="98">
        <f t="shared" si="3456"/>
        <v>1.6393442622950838</v>
      </c>
      <c r="GJ600" s="1131">
        <f>GJ563+GJ529+GJ490+GJ178</f>
        <v>1072</v>
      </c>
      <c r="GK600" s="98">
        <f t="shared" si="3457"/>
        <v>-8.9983022071307257</v>
      </c>
      <c r="GL600" s="1131">
        <f>GL563+GL529+GL490+GL178</f>
        <v>1204</v>
      </c>
      <c r="GM600" s="98">
        <f t="shared" si="3457"/>
        <v>12.313432835820892</v>
      </c>
      <c r="GN600" s="1131">
        <f>EI600+EK600+EM600+EO600</f>
        <v>1138</v>
      </c>
      <c r="GO600" s="98">
        <f t="shared" si="3457"/>
        <v>-5.4817275747508276</v>
      </c>
      <c r="GP600" s="1131">
        <f>EQ600+ES600+EU600+EW600</f>
        <v>1104</v>
      </c>
      <c r="GQ600" s="98">
        <f t="shared" si="3457"/>
        <v>-2.9876977152899831</v>
      </c>
      <c r="GR600" s="1131">
        <f>(GR563*19.9%)+GR529+GR490+GR178</f>
        <v>1104</v>
      </c>
      <c r="GS600" s="98">
        <f t="shared" si="3457"/>
        <v>0</v>
      </c>
      <c r="GT600" s="1131">
        <f>(GT563*19.9%)+GT529+GT490+GT178</f>
        <v>979</v>
      </c>
      <c r="GU600" s="98">
        <f t="shared" si="3457"/>
        <v>-11.322463768115941</v>
      </c>
      <c r="GV600" s="1131">
        <f>(GV563*19.9%)+GV529+GV490+GV178</f>
        <v>979</v>
      </c>
      <c r="GW600" s="98">
        <f t="shared" si="3456"/>
        <v>0</v>
      </c>
      <c r="GX600" s="1131">
        <f>(GX563*19.9%)+GX529+GX490+GX178</f>
        <v>979</v>
      </c>
      <c r="GY600" s="98">
        <f t="shared" si="3458"/>
        <v>0</v>
      </c>
      <c r="GZ600" s="98">
        <f t="shared" si="3459"/>
        <v>-2.9650724469948653</v>
      </c>
      <c r="HA600" s="98"/>
      <c r="HC600"/>
      <c r="HD600"/>
      <c r="HE600"/>
      <c r="HF600"/>
      <c r="HG600"/>
      <c r="HH600"/>
    </row>
    <row r="601" spans="1:216" s="10" customFormat="1" ht="12.75" customHeight="1" x14ac:dyDescent="0.2">
      <c r="B601" s="310" t="s">
        <v>358</v>
      </c>
      <c r="C601" s="94"/>
      <c r="D601" s="94"/>
      <c r="E601" s="94"/>
      <c r="F601" s="94"/>
      <c r="G601" s="94"/>
      <c r="H601" s="92"/>
      <c r="I601" s="94"/>
      <c r="J601" s="224"/>
      <c r="K601" s="95" t="s">
        <v>481</v>
      </c>
      <c r="L601" s="224" t="str">
        <f t="shared" si="3382"/>
        <v>NA</v>
      </c>
      <c r="M601" s="95">
        <v>252</v>
      </c>
      <c r="N601" s="224" t="str">
        <f t="shared" si="3383"/>
        <v>NA</v>
      </c>
      <c r="O601" s="95">
        <v>-29</v>
      </c>
      <c r="P601" s="224" t="str">
        <f t="shared" si="3384"/>
        <v>NA</v>
      </c>
      <c r="Q601" s="95">
        <v>443</v>
      </c>
      <c r="R601" s="224" t="str">
        <f t="shared" si="3385"/>
        <v>NA</v>
      </c>
      <c r="S601" s="96">
        <f>-S701+Q701</f>
        <v>-269</v>
      </c>
      <c r="T601" s="224" t="str">
        <f t="shared" si="3386"/>
        <v>NA</v>
      </c>
      <c r="U601" s="96">
        <f>-U701+S701</f>
        <v>-338</v>
      </c>
      <c r="V601" s="224" t="str">
        <f t="shared" si="3387"/>
        <v>NM</v>
      </c>
      <c r="W601" s="96">
        <f>-W701+U701</f>
        <v>221</v>
      </c>
      <c r="X601" s="224" t="str">
        <f t="shared" si="3388"/>
        <v>NM</v>
      </c>
      <c r="Y601" s="96">
        <f>-Y701+W701</f>
        <v>-174</v>
      </c>
      <c r="Z601" s="224" t="str">
        <f t="shared" si="3389"/>
        <v>NM</v>
      </c>
      <c r="AA601" s="96">
        <f>-AA701+Y701</f>
        <v>-162</v>
      </c>
      <c r="AB601" s="224">
        <f t="shared" si="3390"/>
        <v>-39.776951672862445</v>
      </c>
      <c r="AC601" s="96">
        <f>-AC701+AA701</f>
        <v>-53</v>
      </c>
      <c r="AD601" s="224" t="str">
        <f t="shared" si="3391"/>
        <v>NM</v>
      </c>
      <c r="AE601" s="96">
        <f>-AE701+AC701</f>
        <v>-425</v>
      </c>
      <c r="AF601" s="224" t="str">
        <f t="shared" si="3392"/>
        <v>NM</v>
      </c>
      <c r="AG601" s="96">
        <f>-AG701+AE701</f>
        <v>-576</v>
      </c>
      <c r="AH601" s="224" t="str">
        <f t="shared" si="3393"/>
        <v>NM</v>
      </c>
      <c r="AI601" s="96">
        <f>-AI701+AG701</f>
        <v>-77</v>
      </c>
      <c r="AJ601" s="224" t="str">
        <f t="shared" si="3394"/>
        <v>NM</v>
      </c>
      <c r="AK601" s="96">
        <f>-AK701+AI701</f>
        <v>-865</v>
      </c>
      <c r="AL601" s="224" t="str">
        <f t="shared" si="3395"/>
        <v>NM</v>
      </c>
      <c r="AM601" s="96">
        <f>-AM701+AK701</f>
        <v>-28</v>
      </c>
      <c r="AN601" s="224" t="str">
        <f t="shared" si="3396"/>
        <v>NM</v>
      </c>
      <c r="AO601" s="96">
        <f>-AO701+AM701</f>
        <v>-414</v>
      </c>
      <c r="AP601" s="224">
        <f t="shared" si="3397"/>
        <v>-28.125</v>
      </c>
      <c r="AQ601" s="96">
        <f>-AQ701+AO701</f>
        <v>-462</v>
      </c>
      <c r="AR601" s="224" t="str">
        <f t="shared" si="3398"/>
        <v>NM</v>
      </c>
      <c r="AS601" s="96">
        <f>-AS701+AQ701</f>
        <v>-76</v>
      </c>
      <c r="AT601" s="224" t="str">
        <f t="shared" si="3399"/>
        <v>NM</v>
      </c>
      <c r="AU601" s="96">
        <f>-AU701+AS701</f>
        <v>-4346</v>
      </c>
      <c r="AV601" s="224" t="str">
        <f t="shared" si="3400"/>
        <v>NM</v>
      </c>
      <c r="AW601" s="96">
        <f>-AW701+AU701</f>
        <v>-442</v>
      </c>
      <c r="AX601" s="224">
        <f t="shared" si="3401"/>
        <v>6.7632850241545972</v>
      </c>
      <c r="AY601" s="119">
        <f>-AY701+AW701</f>
        <v>-592</v>
      </c>
      <c r="AZ601" s="224">
        <f t="shared" si="3402"/>
        <v>28.13852813852813</v>
      </c>
      <c r="BA601" s="119">
        <f>-BA701+AY701</f>
        <v>-569</v>
      </c>
      <c r="BB601" s="224" t="str">
        <f t="shared" si="3403"/>
        <v>NM</v>
      </c>
      <c r="BC601" s="119">
        <f>-BC701+BA701</f>
        <v>249</v>
      </c>
      <c r="BD601" s="224" t="str">
        <f t="shared" si="3404"/>
        <v>NM</v>
      </c>
      <c r="BE601" s="119">
        <f>-BE701+BC701</f>
        <v>-286</v>
      </c>
      <c r="BF601" s="224">
        <f t="shared" si="3405"/>
        <v>-35.294117647058819</v>
      </c>
      <c r="BG601" s="119">
        <f>-BG701+BE701</f>
        <v>480</v>
      </c>
      <c r="BH601" s="224" t="str">
        <f t="shared" si="3406"/>
        <v>NM</v>
      </c>
      <c r="BI601" s="119">
        <f>-BI701+BG701</f>
        <v>-696</v>
      </c>
      <c r="BJ601" s="224">
        <f t="shared" si="3407"/>
        <v>22.319859402460462</v>
      </c>
      <c r="BK601" s="119">
        <f>-BK701+BI701</f>
        <v>-243</v>
      </c>
      <c r="BL601" s="224" t="str">
        <f t="shared" si="3408"/>
        <v>NM</v>
      </c>
      <c r="BM601" s="119">
        <f>-18008+17886</f>
        <v>-122</v>
      </c>
      <c r="BN601" s="224" t="str">
        <f t="shared" si="3409"/>
        <v>NM</v>
      </c>
      <c r="BO601" s="119" t="e">
        <f>+BO358+BO179+BO562+#REF!+#REF!</f>
        <v>#REF!</v>
      </c>
      <c r="BP601" s="224" t="str">
        <f t="shared" si="3410"/>
        <v>NA</v>
      </c>
      <c r="BQ601" s="119" t="e">
        <f>+BQ358+BQ179+BQ562+#REF!+#REF!</f>
        <v>#REF!</v>
      </c>
      <c r="BR601" s="224" t="str">
        <f t="shared" si="3411"/>
        <v>NA</v>
      </c>
      <c r="BS601" s="119" t="e">
        <f>+BS358+BS179+BS562+#REF!+#REF!</f>
        <v>#REF!</v>
      </c>
      <c r="BT601" s="224" t="str">
        <f t="shared" si="3412"/>
        <v>NA</v>
      </c>
      <c r="BU601" s="121">
        <f>-787+929</f>
        <v>142</v>
      </c>
      <c r="BV601" s="224" t="str">
        <f t="shared" si="3413"/>
        <v>NM</v>
      </c>
      <c r="BW601" s="121">
        <f>-786+745</f>
        <v>-41</v>
      </c>
      <c r="BX601" s="224" t="str">
        <f t="shared" si="3414"/>
        <v>NA</v>
      </c>
      <c r="BY601" s="121">
        <f>-757+332</f>
        <v>-425</v>
      </c>
      <c r="BZ601" s="224" t="str">
        <f t="shared" si="3415"/>
        <v>NA</v>
      </c>
      <c r="CA601" s="121">
        <f>-722+376</f>
        <v>-346</v>
      </c>
      <c r="CB601" s="224" t="str">
        <f t="shared" si="3416"/>
        <v>NA</v>
      </c>
      <c r="CC601" s="121">
        <f>-754+564</f>
        <v>-190</v>
      </c>
      <c r="CD601" s="224" t="str">
        <f t="shared" si="3417"/>
        <v>NM</v>
      </c>
      <c r="CE601" s="121">
        <f>-733+619</f>
        <v>-114</v>
      </c>
      <c r="CF601" s="224" t="str">
        <f t="shared" si="3418"/>
        <v>NM</v>
      </c>
      <c r="CG601" s="121">
        <f>-756+702</f>
        <v>-54</v>
      </c>
      <c r="CH601" s="224" t="str">
        <f t="shared" si="3419"/>
        <v>NM</v>
      </c>
      <c r="CI601" s="121">
        <f>-766+591</f>
        <v>-175</v>
      </c>
      <c r="CJ601" s="224">
        <f t="shared" si="3420"/>
        <v>-49.421965317919067</v>
      </c>
      <c r="CK601" s="121">
        <f>-1044+890-57</f>
        <v>-211</v>
      </c>
      <c r="CL601" s="224">
        <f t="shared" si="3421"/>
        <v>11.052631578947359</v>
      </c>
      <c r="CM601" s="121">
        <f>-1262+997-163</f>
        <v>-428</v>
      </c>
      <c r="CN601" s="224" t="str">
        <f t="shared" si="3422"/>
        <v>NM</v>
      </c>
      <c r="CO601" s="121">
        <f>-1365+1136-163</f>
        <v>-392</v>
      </c>
      <c r="CP601" s="224" t="str">
        <f t="shared" si="3423"/>
        <v>NM</v>
      </c>
      <c r="CQ601" s="557">
        <f>-1524+1162-150</f>
        <v>-512</v>
      </c>
      <c r="CR601" s="224" t="str">
        <f t="shared" si="3423"/>
        <v>NM</v>
      </c>
      <c r="CS601" s="121">
        <f>-1398+1060-143</f>
        <v>-481</v>
      </c>
      <c r="CT601" s="224" t="str">
        <f t="shared" si="3423"/>
        <v>NM</v>
      </c>
      <c r="CU601" s="121">
        <f>-1362+1018-137</f>
        <v>-481</v>
      </c>
      <c r="CV601" s="224">
        <f t="shared" si="3424"/>
        <v>12.383177570093462</v>
      </c>
      <c r="CW601" s="121">
        <f>-1313+1162-164</f>
        <v>-315</v>
      </c>
      <c r="CX601" s="224">
        <f t="shared" si="3425"/>
        <v>-19.642857142857139</v>
      </c>
      <c r="CY601" s="121">
        <f>-1301+1051-155</f>
        <v>-405</v>
      </c>
      <c r="CZ601" s="224">
        <f t="shared" si="3426"/>
        <v>-20.8984375</v>
      </c>
      <c r="DA601" s="121">
        <f>-1308+946-99</f>
        <v>-461</v>
      </c>
      <c r="DB601" s="224">
        <f t="shared" si="3427"/>
        <v>-4.1580041580041582</v>
      </c>
      <c r="DC601" s="121">
        <f>-1256+1016-131</f>
        <v>-371</v>
      </c>
      <c r="DD601" s="224">
        <f t="shared" si="3428"/>
        <v>-22.869022869022871</v>
      </c>
      <c r="DE601" s="121">
        <f>-1212+1105-124</f>
        <v>-231</v>
      </c>
      <c r="DF601" s="224">
        <f t="shared" si="3429"/>
        <v>-26.666666666666671</v>
      </c>
      <c r="DG601" s="121">
        <f>-1153+979-113</f>
        <v>-287</v>
      </c>
      <c r="DH601" s="224">
        <f t="shared" si="3430"/>
        <v>-29.135802469135808</v>
      </c>
      <c r="DI601" s="121">
        <f>-1165+983-156</f>
        <v>-338</v>
      </c>
      <c r="DJ601" s="224">
        <f t="shared" si="3431"/>
        <v>-26.681127982646423</v>
      </c>
      <c r="DK601" s="121">
        <f>-1046+1050-103</f>
        <v>-99</v>
      </c>
      <c r="DL601" s="224" t="str">
        <f t="shared" si="3432"/>
        <v>NM</v>
      </c>
      <c r="DM601" s="121">
        <f>-1031+1025-99</f>
        <v>-105</v>
      </c>
      <c r="DN601" s="224" t="str">
        <f t="shared" si="3433"/>
        <v>NM</v>
      </c>
      <c r="DO601" s="121">
        <f>-1071+999+-96</f>
        <v>-168</v>
      </c>
      <c r="DP601" s="224">
        <f t="shared" si="3433"/>
        <v>-41.463414634146346</v>
      </c>
      <c r="DQ601" s="121">
        <f>-1034+953-98</f>
        <v>-179</v>
      </c>
      <c r="DR601" s="224">
        <f t="shared" si="3433"/>
        <v>-47.04142011834319</v>
      </c>
      <c r="DS601" s="1132">
        <f>DS562+DS530+DS489+DS358+DS322+DS289+DS259+DS179+DS102</f>
        <v>-197</v>
      </c>
      <c r="DT601" s="1110">
        <v>6.0606060606060552</v>
      </c>
      <c r="DU601" s="1132">
        <f>DU562+DU530+DU489+DU358+DU322+DU289+DU259+DU179+DU102</f>
        <v>-112</v>
      </c>
      <c r="DV601" s="1110" t="s">
        <v>621</v>
      </c>
      <c r="DW601" s="1132">
        <f>DW562+DW530+DW489+DW358+DW322+DW289+DW259+DW179+DW102</f>
        <v>-161</v>
      </c>
      <c r="DX601" s="1110" t="s">
        <v>621</v>
      </c>
      <c r="DY601" s="1132">
        <f>DY562+DY530+DY489+DY358+DY322+DY289+DY259+DY179+DY102</f>
        <v>-223</v>
      </c>
      <c r="DZ601" s="1110">
        <v>1.1173184357541999</v>
      </c>
      <c r="EA601" s="1132">
        <f>EA530+EA489+EA358+EA322+EA289+EA259+EA179+EA102</f>
        <v>-122</v>
      </c>
      <c r="EB601" s="1110">
        <v>-40.952380952380949</v>
      </c>
      <c r="EC601" s="1132">
        <f>EC530+EC489+EC358+EC322+EC289+EC259+EC179+EC102</f>
        <v>-29</v>
      </c>
      <c r="ED601" s="224" t="str">
        <f t="shared" si="3434"/>
        <v>NM</v>
      </c>
      <c r="EE601" s="1132">
        <f>EE530+EE489+EE358+EE322+EE289+EE259+EE179+EE102</f>
        <v>-70</v>
      </c>
      <c r="EF601" s="1055" t="str">
        <f t="shared" si="3435"/>
        <v>NM</v>
      </c>
      <c r="EG601" s="1132">
        <f>EG530+EG489+EG358+EG322+EG289+EG259+EG179+EG102</f>
        <v>-118</v>
      </c>
      <c r="EH601" s="1055">
        <f t="shared" si="3436"/>
        <v>-47.085201793721978</v>
      </c>
      <c r="EI601" s="1132">
        <f>EI530+EI489+EI358+EI322+EI289+EI259+EI179+EI102</f>
        <v>-123</v>
      </c>
      <c r="EJ601" s="1055">
        <f t="shared" si="3437"/>
        <v>0.81967213114753079</v>
      </c>
      <c r="EK601" s="1132">
        <f>EK530+EK489+EK358+EK322+EK289+EK259+EK179+EK102</f>
        <v>-84</v>
      </c>
      <c r="EL601" s="1055" t="str">
        <f t="shared" si="3438"/>
        <v>NM</v>
      </c>
      <c r="EM601" s="1132">
        <f>EM562+EM530+EM489+EM358+EM322+EM289+EM259+EM179+EM102</f>
        <v>-241</v>
      </c>
      <c r="EN601" s="1055" t="str">
        <f t="shared" si="3439"/>
        <v>NM</v>
      </c>
      <c r="EO601" s="1132">
        <f>EO562+EO530+EO489+EO358+EO322+EO289+EO259+EO179+EO102</f>
        <v>-66</v>
      </c>
      <c r="EP601" s="224">
        <f t="shared" si="3440"/>
        <v>-44.067796610169495</v>
      </c>
      <c r="EQ601" s="1132">
        <f>(EQ562*19.9%)+EQ530+EQ489+EQ358+EQ322+EQ289+EQ259+EQ179+EQ102</f>
        <v>-90.734999999999985</v>
      </c>
      <c r="ER601" s="224">
        <f t="shared" si="3441"/>
        <v>-26.231707317073184</v>
      </c>
      <c r="ES601" s="1132">
        <f>(ES562*19.9%)+ES530+ES489+ES358+ES322+ES289+ES259+ES179+ES102</f>
        <v>-93.408624999999986</v>
      </c>
      <c r="ET601" s="224">
        <f t="shared" si="3442"/>
        <v>11.200744047619038</v>
      </c>
      <c r="EU601" s="1132">
        <f>(EU562*19.9%)+EU530+EU489+EU358+EU322+EU289+EU259+EU179+EU102</f>
        <v>-96.121546124999966</v>
      </c>
      <c r="EV601" s="224" t="str">
        <f t="shared" si="3443"/>
        <v>NM</v>
      </c>
      <c r="EW601" s="1132">
        <f>(EW562*19.9%)+EW530+EW489+EW358+EW322+EW289+EW259+EW179+EW102</f>
        <v>-98.87444789312498</v>
      </c>
      <c r="EX601" s="224">
        <f t="shared" si="3444"/>
        <v>49.809769535037837</v>
      </c>
      <c r="EY601" s="119"/>
      <c r="EZ601" s="594"/>
      <c r="FA601" s="410"/>
      <c r="FB601" s="121"/>
      <c r="FC601" s="314"/>
      <c r="FD601" s="101"/>
      <c r="FE601" s="224" t="str">
        <f t="shared" si="3445"/>
        <v>NA</v>
      </c>
      <c r="FF601" s="121" t="s">
        <v>481</v>
      </c>
      <c r="FG601" s="224" t="str">
        <f t="shared" si="3446"/>
        <v>NA</v>
      </c>
      <c r="FH601" s="121" t="s">
        <v>481</v>
      </c>
      <c r="FI601" s="224" t="str">
        <f t="shared" si="3447"/>
        <v>NA</v>
      </c>
      <c r="FJ601" s="100">
        <f>SUM(S601,U601,W601,Y601)</f>
        <v>-560</v>
      </c>
      <c r="FK601" s="224" t="str">
        <f>IF(ISERROR((FJ601/FH601-1)*100),"NA",IF(((FJ601/FH601-1)*100)&gt;100,"NM",IF(((FJ601/FH601-1)*100)&lt;-50,"NM",(FJ601/FH601-1)*100)))</f>
        <v>NA</v>
      </c>
      <c r="FL601" s="100">
        <f>SUM(AA601,AC601,AE601,AG601)</f>
        <v>-1216</v>
      </c>
      <c r="FM601" s="224" t="str">
        <f>IF(ISERROR((FL601/FJ601-1)*100),"NA",IF(((FL601/FJ601-1)*100)&gt;100,"NM",IF(((FL601/FJ601-1)*100)&lt;-50,"NM",(FL601/FJ601-1)*100)))</f>
        <v>NM</v>
      </c>
      <c r="FN601" s="100">
        <f>SUM(AI601,AK601,AM601,AO601)</f>
        <v>-1384</v>
      </c>
      <c r="FO601" s="224">
        <f t="shared" si="3448"/>
        <v>13.815789473684204</v>
      </c>
      <c r="FP601" s="100">
        <f>SUM(AQ601,AS601,AU601,AW601)</f>
        <v>-5326</v>
      </c>
      <c r="FQ601" s="224" t="str">
        <f t="shared" si="3449"/>
        <v>NM</v>
      </c>
      <c r="FR601" s="119">
        <f>SUM(AY601,BA601,BC601,BE601)</f>
        <v>-1198</v>
      </c>
      <c r="FS601" s="120" t="str">
        <f t="shared" si="3450"/>
        <v>NM</v>
      </c>
      <c r="FT601" s="119">
        <f>SUM(BG601,BI601,BK601,BM601)</f>
        <v>-581</v>
      </c>
      <c r="FU601" s="120" t="str">
        <f t="shared" si="3451"/>
        <v>NM</v>
      </c>
      <c r="FV601" s="99" t="e">
        <f>+BO601+BQ601+BS601+BU601</f>
        <v>#REF!</v>
      </c>
      <c r="FW601" s="224" t="str">
        <f t="shared" si="3452"/>
        <v>NA</v>
      </c>
      <c r="FX601" s="485">
        <f>SUM(BW601,BY601,CA601,CC601)</f>
        <v>-1002</v>
      </c>
      <c r="FY601" s="224" t="str">
        <f t="shared" si="3453"/>
        <v>NA</v>
      </c>
      <c r="FZ601" s="119">
        <f>CE601+CG601+CI601+CK601</f>
        <v>-554</v>
      </c>
      <c r="GA601" s="98">
        <f t="shared" si="3454"/>
        <v>-44.710578842315371</v>
      </c>
      <c r="GB601" s="485">
        <f>+CO601+CS601+CQ601+CM601</f>
        <v>-1813</v>
      </c>
      <c r="GC601" s="98" t="str">
        <f t="shared" si="3455"/>
        <v>NM</v>
      </c>
      <c r="GD601" s="119">
        <f>+CU601+CW601+CY601+DA601</f>
        <v>-1662</v>
      </c>
      <c r="GE601" s="98">
        <f t="shared" si="3456"/>
        <v>-8.3287369001654667</v>
      </c>
      <c r="GF601" s="119">
        <f>+DC601+DE601+DG601+DI601</f>
        <v>-1227</v>
      </c>
      <c r="GG601" s="98">
        <f t="shared" si="3456"/>
        <v>-26.173285198555952</v>
      </c>
      <c r="GH601" s="119">
        <f>+DK601+DM601+DO601+DQ601</f>
        <v>-551</v>
      </c>
      <c r="GI601" s="98" t="str">
        <f t="shared" si="3456"/>
        <v>NM</v>
      </c>
      <c r="GJ601" s="1132">
        <f>GJ562+GJ530+GJ489+GJ358+GJ322+GJ289+GJ259+GJ179+GJ102</f>
        <v>-693</v>
      </c>
      <c r="GK601" s="98">
        <f t="shared" si="3457"/>
        <v>25.771324863883848</v>
      </c>
      <c r="GL601" s="1132">
        <f>GL562+GL530+GL489+GL358+GL322+GL289+GL259+GL179+GL102</f>
        <v>-339</v>
      </c>
      <c r="GM601" s="98" t="str">
        <f t="shared" si="3457"/>
        <v>NM</v>
      </c>
      <c r="GN601" s="1132">
        <f>EI601+EK601+EM601+EO601</f>
        <v>-514</v>
      </c>
      <c r="GO601" s="98">
        <f t="shared" si="3457"/>
        <v>51.622418879056056</v>
      </c>
      <c r="GP601" s="1132">
        <f>EQ601+ES601+EU601+EW601</f>
        <v>-379.1396190181249</v>
      </c>
      <c r="GQ601" s="98">
        <f t="shared" si="3457"/>
        <v>-26.237428206590486</v>
      </c>
      <c r="GR601" s="1132">
        <f>(GR562*19.9%)+GR530+GR489+GR358+GR322+GR289+GR259+GR179+GR102</f>
        <v>-431.68598429811249</v>
      </c>
      <c r="GS601" s="98">
        <f t="shared" si="3457"/>
        <v>13.859370702557893</v>
      </c>
      <c r="GT601" s="1132">
        <f>(GT562*19.9%)+GT530+GT489+GT358+GT322+GT289+GT259+GT179+GT102</f>
        <v>-486.96089756206823</v>
      </c>
      <c r="GU601" s="98">
        <f t="shared" si="3457"/>
        <v>12.804426197396324</v>
      </c>
      <c r="GV601" s="1132">
        <f>(GV562*19.9%)+GV530+GV489+GV358+GV322+GV289+GV259+GV179+GV102</f>
        <v>-545.13673999180901</v>
      </c>
      <c r="GW601" s="98">
        <f t="shared" si="3456"/>
        <v>11.946717430699994</v>
      </c>
      <c r="GX601" s="1132">
        <f>(GX562*19.9%)+GX530+GX489+GX358+GX322+GX289+GX259+GX179+GX102</f>
        <v>-606.39736913514696</v>
      </c>
      <c r="GY601" s="98">
        <f t="shared" si="3458"/>
        <v>11.237662892480603</v>
      </c>
      <c r="GZ601" s="98">
        <f t="shared" si="3459"/>
        <v>3.3615082429176324</v>
      </c>
      <c r="HA601" s="98"/>
      <c r="HC601"/>
      <c r="HD601"/>
      <c r="HE601"/>
      <c r="HF601"/>
      <c r="HG601"/>
      <c r="HH601"/>
    </row>
    <row r="602" spans="1:216" s="10" customFormat="1" ht="12.75" customHeight="1" x14ac:dyDescent="0.2">
      <c r="B602" s="311" t="s">
        <v>244</v>
      </c>
      <c r="C602" s="132">
        <f>SUM(C597:C601)</f>
        <v>7055</v>
      </c>
      <c r="D602" s="312"/>
      <c r="E602" s="132">
        <f>SUM(E597:E601)</f>
        <v>7363</v>
      </c>
      <c r="F602" s="92"/>
      <c r="G602" s="132">
        <f>SUM(G597:G601)</f>
        <v>7281</v>
      </c>
      <c r="H602" s="92"/>
      <c r="I602" s="132">
        <f>SUM(I597:I601)</f>
        <v>7687</v>
      </c>
      <c r="J602" s="98"/>
      <c r="K602" s="459">
        <f>+K594-K604</f>
        <v>7432</v>
      </c>
      <c r="L602" s="98">
        <f t="shared" si="3382"/>
        <v>5.3437278525868104</v>
      </c>
      <c r="M602" s="459">
        <f>+M594-M604</f>
        <v>7202</v>
      </c>
      <c r="N602" s="98">
        <f t="shared" si="3383"/>
        <v>-2.1866087192720318</v>
      </c>
      <c r="O602" s="459">
        <f>+O594-O604</f>
        <v>7633.999959462587</v>
      </c>
      <c r="P602" s="98">
        <f t="shared" si="3384"/>
        <v>4.84823457578063</v>
      </c>
      <c r="Q602" s="459">
        <f>+Q594-Q604</f>
        <v>7765.9278256101616</v>
      </c>
      <c r="R602" s="98">
        <f t="shared" si="3385"/>
        <v>1.0267702043731175</v>
      </c>
      <c r="S602" s="132">
        <f>SUM(S597:S601)</f>
        <v>7483</v>
      </c>
      <c r="T602" s="98">
        <f t="shared" si="3386"/>
        <v>0.68622174381054446</v>
      </c>
      <c r="U602" s="132">
        <f>SUM(U597:U601)</f>
        <v>7719</v>
      </c>
      <c r="V602" s="98">
        <f t="shared" si="3387"/>
        <v>7.1785615106914724</v>
      </c>
      <c r="W602" s="132">
        <f>SUM(W597:W601)</f>
        <v>7685</v>
      </c>
      <c r="X602" s="98">
        <f t="shared" si="3388"/>
        <v>0.66806445910700951</v>
      </c>
      <c r="Y602" s="132">
        <f>+Y594-Y604</f>
        <v>8632.1699346405221</v>
      </c>
      <c r="Z602" s="98">
        <f t="shared" si="3389"/>
        <v>11.15439299054135</v>
      </c>
      <c r="AA602" s="132">
        <f>SUM(AA597:AA601)</f>
        <v>7956</v>
      </c>
      <c r="AB602" s="98">
        <f t="shared" si="3390"/>
        <v>6.3209942536415875</v>
      </c>
      <c r="AC602" s="132">
        <f>SUM(AC597:AC601)</f>
        <v>8077</v>
      </c>
      <c r="AD602" s="98">
        <f t="shared" si="3391"/>
        <v>4.6379064645679424</v>
      </c>
      <c r="AE602" s="132">
        <f>SUM(AE597:AE601)</f>
        <v>8107</v>
      </c>
      <c r="AF602" s="98">
        <f t="shared" si="3392"/>
        <v>5.4912166558230391</v>
      </c>
      <c r="AG602" s="132">
        <f>SUM(AG597:AG601)</f>
        <v>9010</v>
      </c>
      <c r="AH602" s="98">
        <f t="shared" si="3393"/>
        <v>4.3769998531106635</v>
      </c>
      <c r="AI602" s="132">
        <f>SUM(AI597:AI601)</f>
        <v>8496</v>
      </c>
      <c r="AJ602" s="98">
        <f t="shared" si="3394"/>
        <v>6.7873303167420795</v>
      </c>
      <c r="AK602" s="132">
        <f>SUM(AK597:AK601)</f>
        <v>8519</v>
      </c>
      <c r="AL602" s="98">
        <f t="shared" si="3395"/>
        <v>5.4723288349634691</v>
      </c>
      <c r="AM602" s="132">
        <f>SUM(AM597:AM601)</f>
        <v>8938</v>
      </c>
      <c r="AN602" s="98">
        <f t="shared" si="3396"/>
        <v>10.250400888121369</v>
      </c>
      <c r="AO602" s="132">
        <f>SUM(AO597:AO601)</f>
        <v>9248</v>
      </c>
      <c r="AP602" s="98">
        <f t="shared" si="3397"/>
        <v>2.6415094339622636</v>
      </c>
      <c r="AQ602" s="132">
        <f>SUM(AQ597:AQ601)</f>
        <v>9153</v>
      </c>
      <c r="AR602" s="98">
        <f t="shared" si="3398"/>
        <v>7.7330508474576343</v>
      </c>
      <c r="AS602" s="132">
        <f>SUM(AS597:AS601)</f>
        <v>9403</v>
      </c>
      <c r="AT602" s="98">
        <f t="shared" si="3399"/>
        <v>10.376804789294525</v>
      </c>
      <c r="AU602" s="132">
        <f>SUM(AU597:AU601)</f>
        <v>10985</v>
      </c>
      <c r="AV602" s="98">
        <f t="shared" si="3400"/>
        <v>22.90221526068472</v>
      </c>
      <c r="AW602" s="132">
        <f>SUM(AW597:AW601)</f>
        <v>10736</v>
      </c>
      <c r="AX602" s="98">
        <f t="shared" si="3401"/>
        <v>16.089965397923866</v>
      </c>
      <c r="AY602" s="132">
        <f>SUM(AY597:AY601)</f>
        <v>10671</v>
      </c>
      <c r="AZ602" s="98">
        <f t="shared" si="3402"/>
        <v>16.584726319239596</v>
      </c>
      <c r="BA602" s="132">
        <f>SUM(BA597:BA601)</f>
        <v>10764</v>
      </c>
      <c r="BB602" s="98">
        <f t="shared" si="3403"/>
        <v>14.474104009358712</v>
      </c>
      <c r="BC602" s="132">
        <f>SUM(BC597:BC601)</f>
        <v>11019</v>
      </c>
      <c r="BD602" s="98">
        <f t="shared" si="3404"/>
        <v>0.30951297223487106</v>
      </c>
      <c r="BE602" s="132">
        <f>SUM(BE597:BE601)</f>
        <v>11747</v>
      </c>
      <c r="BF602" s="98">
        <f t="shared" si="3405"/>
        <v>9.4169150521609559</v>
      </c>
      <c r="BG602" s="132">
        <v>11429</v>
      </c>
      <c r="BH602" s="98">
        <f t="shared" si="3406"/>
        <v>7.1033642582700729</v>
      </c>
      <c r="BI602" s="132">
        <v>11600</v>
      </c>
      <c r="BJ602" s="98">
        <f t="shared" si="3407"/>
        <v>7.7666295057599477</v>
      </c>
      <c r="BK602" s="132">
        <v>10321</v>
      </c>
      <c r="BL602" s="98">
        <f t="shared" si="3408"/>
        <v>-6.3345131137126813</v>
      </c>
      <c r="BM602" s="132">
        <v>10824</v>
      </c>
      <c r="BN602" s="98">
        <f t="shared" si="3409"/>
        <v>-7.8573252745381854</v>
      </c>
      <c r="BO602" s="132">
        <v>10760</v>
      </c>
      <c r="BP602" s="98">
        <f t="shared" si="3410"/>
        <v>-5.853530492606529</v>
      </c>
      <c r="BQ602" s="132">
        <v>11121</v>
      </c>
      <c r="BR602" s="98">
        <f t="shared" si="3411"/>
        <v>-4.1293103448275854</v>
      </c>
      <c r="BS602" s="132">
        <v>11659</v>
      </c>
      <c r="BT602" s="98">
        <f t="shared" si="3412"/>
        <v>12.963860091076441</v>
      </c>
      <c r="BU602" s="132">
        <f>SUM(BU597:BU601)</f>
        <v>11613</v>
      </c>
      <c r="BV602" s="98">
        <f t="shared" si="3413"/>
        <v>7.2893569844789452</v>
      </c>
      <c r="BW602" s="132">
        <f>SUM(BW597:BW601)</f>
        <v>10953</v>
      </c>
      <c r="BX602" s="98">
        <f t="shared" si="3414"/>
        <v>1.7936802973977706</v>
      </c>
      <c r="BY602" s="132">
        <f>SUM(BY597:BY601)</f>
        <v>11253</v>
      </c>
      <c r="BZ602" s="98">
        <f t="shared" si="3415"/>
        <v>1.1869436201780381</v>
      </c>
      <c r="CA602" s="132">
        <f>SUM(CA597:CA601)</f>
        <v>11496</v>
      </c>
      <c r="CB602" s="98">
        <f t="shared" si="3416"/>
        <v>-1.3980615833261822</v>
      </c>
      <c r="CC602" s="132">
        <f>SUM(CC597:CC601)</f>
        <v>12250</v>
      </c>
      <c r="CD602" s="98">
        <f t="shared" si="3417"/>
        <v>5.4852320675105481</v>
      </c>
      <c r="CE602" s="132">
        <f>SUM(CE597:CE601)</f>
        <v>11644</v>
      </c>
      <c r="CF602" s="98">
        <f t="shared" si="3418"/>
        <v>6.3087738519127079</v>
      </c>
      <c r="CG602" s="132">
        <f>SUM(CG597:CG601)</f>
        <v>11370</v>
      </c>
      <c r="CH602" s="98">
        <f t="shared" si="3419"/>
        <v>1.0397227406025111</v>
      </c>
      <c r="CI602" s="132">
        <f>SUM(CI597:CI601)</f>
        <v>11412</v>
      </c>
      <c r="CJ602" s="98">
        <f t="shared" si="3420"/>
        <v>-0.73068893528184242</v>
      </c>
      <c r="CK602" s="132">
        <f>SUM(CK597:CK601)</f>
        <v>12097</v>
      </c>
      <c r="CL602" s="98">
        <f t="shared" si="3421"/>
        <v>-1.2489795918367297</v>
      </c>
      <c r="CM602" s="132">
        <f>SUM(CM597:CM601)</f>
        <v>13703</v>
      </c>
      <c r="CN602" s="98">
        <f t="shared" si="3422"/>
        <v>17.682926829268286</v>
      </c>
      <c r="CO602" s="132">
        <f>SUM(CO597:CO601)</f>
        <v>14888</v>
      </c>
      <c r="CP602" s="98">
        <f t="shared" si="3423"/>
        <v>30.9410729991205</v>
      </c>
      <c r="CQ602" s="488">
        <f>SUM(CQ597:CQ601)</f>
        <v>15285</v>
      </c>
      <c r="CR602" s="98">
        <f t="shared" si="3423"/>
        <v>33.937960042061</v>
      </c>
      <c r="CS602" s="132">
        <f>SUM(CS597:CS601)</f>
        <v>14564</v>
      </c>
      <c r="CT602" s="98">
        <f t="shared" si="3423"/>
        <v>20.39348598826156</v>
      </c>
      <c r="CU602" s="132">
        <f>SUM(CU597:CU601)</f>
        <v>14555</v>
      </c>
      <c r="CV602" s="98">
        <f t="shared" si="3424"/>
        <v>6.2176165803108807</v>
      </c>
      <c r="CW602" s="132">
        <f>SUM(CW597:CW601)</f>
        <v>14690</v>
      </c>
      <c r="CX602" s="98">
        <f t="shared" si="3425"/>
        <v>-1.3299301450832912</v>
      </c>
      <c r="CY602" s="132">
        <f>SUM(CY597:CY601)</f>
        <v>14585</v>
      </c>
      <c r="CZ602" s="98">
        <f t="shared" si="3426"/>
        <v>-4.5796532548249891</v>
      </c>
      <c r="DA602" s="132">
        <f>SUM(DA597:DA601)</f>
        <v>16390</v>
      </c>
      <c r="DB602" s="98">
        <f t="shared" si="3427"/>
        <v>12.537764350453173</v>
      </c>
      <c r="DC602" s="132">
        <f>SUM(DC597:DC601)</f>
        <v>14579</v>
      </c>
      <c r="DD602" s="98">
        <f t="shared" si="3428"/>
        <v>0.16489178976297758</v>
      </c>
      <c r="DE602" s="132">
        <f>SUM(DE597:DE601)</f>
        <v>14760</v>
      </c>
      <c r="DF602" s="98">
        <f t="shared" si="3429"/>
        <v>0.47651463580666853</v>
      </c>
      <c r="DG602" s="132">
        <f>SUM(DG597:DG601)</f>
        <v>14742</v>
      </c>
      <c r="DH602" s="98">
        <f t="shared" si="3430"/>
        <v>1.0764484058964685</v>
      </c>
      <c r="DI602" s="132">
        <f>SUM(DI597:DI601)</f>
        <v>16208</v>
      </c>
      <c r="DJ602" s="98">
        <f t="shared" si="3431"/>
        <v>-1.110433190970106</v>
      </c>
      <c r="DK602" s="132">
        <f>SUM(DK597:DK601)</f>
        <v>14920</v>
      </c>
      <c r="DL602" s="98">
        <f t="shared" si="3432"/>
        <v>2.3389807257013562</v>
      </c>
      <c r="DM602" s="132">
        <f>SUM(DM597:DM601)</f>
        <v>15562</v>
      </c>
      <c r="DN602" s="98">
        <f t="shared" si="3433"/>
        <v>5.4336043360433628</v>
      </c>
      <c r="DO602" s="132">
        <f>SUM(DO597:DO601)</f>
        <v>15407</v>
      </c>
      <c r="DP602" s="98">
        <f t="shared" si="3433"/>
        <v>4.5109211775878455</v>
      </c>
      <c r="DQ602" s="132">
        <f>SUM(DQ597:DQ601)</f>
        <v>16131</v>
      </c>
      <c r="DR602" s="98">
        <f t="shared" si="3433"/>
        <v>-0.47507403751233523</v>
      </c>
      <c r="DS602" s="132">
        <f>SUM(DS597:DS601)</f>
        <v>13057</v>
      </c>
      <c r="DT602" s="98">
        <f t="shared" si="3433"/>
        <v>-12.486595174262739</v>
      </c>
      <c r="DU602" s="132">
        <f>SUM(DU597:DU601)</f>
        <v>13379</v>
      </c>
      <c r="DV602" s="98">
        <f t="shared" si="3433"/>
        <v>-14.027759928029814</v>
      </c>
      <c r="DW602" s="132">
        <f>SUM(DW597:DW601)</f>
        <v>14565</v>
      </c>
      <c r="DX602" s="98">
        <f t="shared" si="3433"/>
        <v>-5.4650483546439972</v>
      </c>
      <c r="DY602" s="132">
        <f>SUM(DY597:DY601)</f>
        <v>13469</v>
      </c>
      <c r="DZ602" s="98">
        <f t="shared" si="3433"/>
        <v>-16.502386708821525</v>
      </c>
      <c r="EA602" s="132">
        <f>SUM(EA597:EA601)</f>
        <v>13304</v>
      </c>
      <c r="EB602" s="98">
        <f t="shared" ref="EB602" si="3460">IF(ISERROR((EA602/DS602-1)*100),"NA",IF(((EA602/DS602-1)*100)&gt;100,"NM",IF(((EA602/DS602-1)*100)&lt;-50,"NM",(EA602/DS602-1)*100)))</f>
        <v>1.8917055985295139</v>
      </c>
      <c r="EC602" s="132">
        <f>SUM(EC597:EC601)</f>
        <v>14161</v>
      </c>
      <c r="ED602" s="98">
        <f t="shared" si="3434"/>
        <v>5.8449809402795427</v>
      </c>
      <c r="EE602" s="132">
        <f>SUM(EE597:EE601)</f>
        <v>14322</v>
      </c>
      <c r="EF602" s="860">
        <f t="shared" si="3435"/>
        <v>-1.6683831101956703</v>
      </c>
      <c r="EG602" s="132">
        <f>SUM(EG597:EG601)</f>
        <v>14007</v>
      </c>
      <c r="EH602" s="860">
        <f t="shared" si="3436"/>
        <v>3.9943574133194826</v>
      </c>
      <c r="EI602" s="132">
        <f>SUM(EI597:EI601)</f>
        <v>13388</v>
      </c>
      <c r="EJ602" s="860">
        <f t="shared" si="3437"/>
        <v>0.63138905592303729</v>
      </c>
      <c r="EK602" s="132">
        <f>SUM(EK597:EK601)</f>
        <v>14078</v>
      </c>
      <c r="EL602" s="860">
        <f t="shared" si="3438"/>
        <v>-0.58611679966104058</v>
      </c>
      <c r="EM602" s="132">
        <f>SUM(EM597:EM601)</f>
        <v>15085</v>
      </c>
      <c r="EN602" s="860">
        <f t="shared" si="3439"/>
        <v>5.3274682306940324</v>
      </c>
      <c r="EO602" s="132">
        <f>SUM(EO597:EO601)</f>
        <v>14239</v>
      </c>
      <c r="EP602" s="98">
        <f t="shared" si="3440"/>
        <v>1.6563146997929712</v>
      </c>
      <c r="EQ602" s="132">
        <f>SUM(EQ597:EQ601)</f>
        <v>14262.102306706267</v>
      </c>
      <c r="ER602" s="98">
        <f t="shared" si="3441"/>
        <v>6.5289984068290119</v>
      </c>
      <c r="ES602" s="132">
        <f t="shared" ref="ES602" si="3461">SUM(ES597:ES601)</f>
        <v>14318.050487197715</v>
      </c>
      <c r="ET602" s="98">
        <f t="shared" si="3442"/>
        <v>1.7051462366651116</v>
      </c>
      <c r="EU602" s="132">
        <f t="shared" ref="EU602" si="3462">SUM(EU597:EU601)</f>
        <v>14367.184808702006</v>
      </c>
      <c r="EV602" s="98">
        <f t="shared" si="3443"/>
        <v>-4.7584699456280628</v>
      </c>
      <c r="EW602" s="132">
        <f t="shared" ref="EW602" si="3463">SUM(EW597:EW601)</f>
        <v>14419.096551790561</v>
      </c>
      <c r="EX602" s="98">
        <f t="shared" si="3444"/>
        <v>1.2648117971104655</v>
      </c>
      <c r="EY602" s="132"/>
      <c r="EZ602" s="594"/>
      <c r="FA602" s="405"/>
      <c r="FB602" s="95"/>
      <c r="FC602" s="92"/>
      <c r="FD602" s="94"/>
      <c r="FE602" s="98" t="str">
        <f t="shared" si="3445"/>
        <v>NA</v>
      </c>
      <c r="FF602" s="132">
        <f>SUM(FF597:FF601)</f>
        <v>29386</v>
      </c>
      <c r="FG602" s="98" t="str">
        <f t="shared" si="3446"/>
        <v>NA</v>
      </c>
      <c r="FH602" s="132">
        <f>SUM(FH597:FH601)</f>
        <v>30033.927785072749</v>
      </c>
      <c r="FI602" s="98">
        <f t="shared" si="3447"/>
        <v>2.2048859493389639</v>
      </c>
      <c r="FJ602" s="132">
        <f>SUM(FJ597:FJ601)</f>
        <v>31482</v>
      </c>
      <c r="FK602" s="98">
        <f>IF(ISERROR((FJ602/FH602-1)*100),"NA",IF(((FJ602/FH602-1)*100)&gt;100,"NM",IF(((FJ602/FH602-1)*100)&lt;-50,"NM",(FJ602/FH602-1)*100)))</f>
        <v>4.821454673827108</v>
      </c>
      <c r="FL602" s="132">
        <f>SUM(FL597:FL601)</f>
        <v>33150</v>
      </c>
      <c r="FM602" s="98">
        <f>IF(ISERROR((FL602/FJ602-1)*100),"NA",IF(((FL602/FJ602-1)*100)&gt;100,"NM",IF(((FL602/FJ602-1)*100)&lt;-50,"NM",(FL602/FJ602-1)*100)))</f>
        <v>5.2982656756241697</v>
      </c>
      <c r="FN602" s="132">
        <f>SUM(FN597:FN601)</f>
        <v>35201</v>
      </c>
      <c r="FO602" s="98">
        <f t="shared" si="3448"/>
        <v>6.1870286576168887</v>
      </c>
      <c r="FP602" s="132">
        <f>SUM(FP597:FP601)</f>
        <v>40277</v>
      </c>
      <c r="FQ602" s="98">
        <f t="shared" si="3449"/>
        <v>14.420044885088501</v>
      </c>
      <c r="FR602" s="132">
        <f>SUM(FR597:FR601)</f>
        <v>44201</v>
      </c>
      <c r="FS602" s="120">
        <f t="shared" si="3450"/>
        <v>9.7425329592571543</v>
      </c>
      <c r="FT602" s="132">
        <f>SUM(FT597:FT601)</f>
        <v>44174</v>
      </c>
      <c r="FU602" s="120">
        <f t="shared" si="3451"/>
        <v>-6.1084590846360864E-2</v>
      </c>
      <c r="FV602" s="132" t="e">
        <f>SUM(FV597:FV601)</f>
        <v>#REF!</v>
      </c>
      <c r="FW602" s="98" t="str">
        <f t="shared" si="3452"/>
        <v>NA</v>
      </c>
      <c r="FX602" s="488">
        <f>SUM(FX597:FX601)</f>
        <v>45952</v>
      </c>
      <c r="FY602" s="98" t="str">
        <f t="shared" si="3453"/>
        <v>NA</v>
      </c>
      <c r="FZ602" s="132">
        <f>SUM(FZ597:FZ601)</f>
        <v>46523</v>
      </c>
      <c r="GA602" s="98">
        <f t="shared" si="3454"/>
        <v>1.2426009749303635</v>
      </c>
      <c r="GB602" s="488">
        <f>SUM(GB597:GB601)</f>
        <v>58409</v>
      </c>
      <c r="GC602" s="98">
        <f t="shared" si="3455"/>
        <v>25.548653354254892</v>
      </c>
      <c r="GD602" s="132">
        <f>SUM(GD597:GD601)</f>
        <v>60220</v>
      </c>
      <c r="GE602" s="98">
        <f t="shared" si="3456"/>
        <v>3.1005495728398058</v>
      </c>
      <c r="GF602" s="132">
        <f>SUM(GF597:GF601)</f>
        <v>60289</v>
      </c>
      <c r="GG602" s="98">
        <f t="shared" si="3456"/>
        <v>0.11457987379608348</v>
      </c>
      <c r="GH602" s="132">
        <f>SUM(GH597:GH601)</f>
        <v>62020</v>
      </c>
      <c r="GI602" s="98">
        <f t="shared" si="3456"/>
        <v>2.8711705286204703</v>
      </c>
      <c r="GJ602" s="132">
        <f>SUM(GJ597:GJ601)</f>
        <v>54470</v>
      </c>
      <c r="GK602" s="98">
        <f t="shared" si="3457"/>
        <v>-12.173492421799414</v>
      </c>
      <c r="GL602" s="132">
        <f>SUM(GL597:GL601)</f>
        <v>55794</v>
      </c>
      <c r="GM602" s="98">
        <f t="shared" si="3457"/>
        <v>2.4306957958509345</v>
      </c>
      <c r="GN602" s="132">
        <f>SUM(GN597:GN601)</f>
        <v>56790</v>
      </c>
      <c r="GO602" s="98">
        <f t="shared" si="3457"/>
        <v>1.7851381869018246</v>
      </c>
      <c r="GP602" s="132">
        <f>SUM(GP597:GP601)</f>
        <v>57366.434154396549</v>
      </c>
      <c r="GQ602" s="98">
        <f t="shared" si="3457"/>
        <v>1.0150275654103647</v>
      </c>
      <c r="GR602" s="132">
        <f>SUM(GR597:GR601)</f>
        <v>58614.507568999245</v>
      </c>
      <c r="GS602" s="98">
        <f t="shared" si="3457"/>
        <v>2.1756161647482175</v>
      </c>
      <c r="GT602" s="132">
        <f>SUM(GT597:GT601)</f>
        <v>59561.870237063304</v>
      </c>
      <c r="GU602" s="98">
        <f t="shared" si="3457"/>
        <v>1.6162597066073703</v>
      </c>
      <c r="GV602" s="132">
        <f>SUM(GV597:GV601)</f>
        <v>60846.448213107891</v>
      </c>
      <c r="GW602" s="98">
        <f t="shared" si="3456"/>
        <v>2.1567119550340186</v>
      </c>
      <c r="GX602" s="132">
        <f>SUM(GX597:GX601)</f>
        <v>62345.081141126378</v>
      </c>
      <c r="GY602" s="98">
        <f t="shared" si="3458"/>
        <v>2.4629751974506231</v>
      </c>
      <c r="GZ602" s="98">
        <f t="shared" si="3459"/>
        <v>1.8840182962955421</v>
      </c>
      <c r="HA602" s="98"/>
      <c r="HC602"/>
      <c r="HD602"/>
      <c r="HE602"/>
      <c r="HF602"/>
      <c r="HG602"/>
      <c r="HH602"/>
    </row>
    <row r="603" spans="1:216" s="10" customFormat="1" ht="12.75" customHeight="1" x14ac:dyDescent="0.2">
      <c r="B603" s="311"/>
      <c r="C603" s="132"/>
      <c r="D603" s="312"/>
      <c r="E603" s="132"/>
      <c r="F603" s="92"/>
      <c r="G603" s="132"/>
      <c r="H603" s="92"/>
      <c r="I603" s="132"/>
      <c r="J603" s="98"/>
      <c r="K603" s="459"/>
      <c r="L603" s="98"/>
      <c r="M603" s="459"/>
      <c r="N603" s="98"/>
      <c r="O603" s="459"/>
      <c r="P603" s="98"/>
      <c r="Q603" s="459"/>
      <c r="R603" s="98"/>
      <c r="S603" s="132"/>
      <c r="T603" s="98"/>
      <c r="U603" s="132"/>
      <c r="V603" s="98"/>
      <c r="W603" s="132"/>
      <c r="X603" s="98"/>
      <c r="Y603" s="132"/>
      <c r="Z603" s="98"/>
      <c r="AA603" s="132"/>
      <c r="AB603" s="98"/>
      <c r="AC603" s="132"/>
      <c r="AD603" s="98"/>
      <c r="AE603" s="132"/>
      <c r="AF603" s="98"/>
      <c r="AG603" s="132"/>
      <c r="AH603" s="98"/>
      <c r="AI603" s="132"/>
      <c r="AJ603" s="98"/>
      <c r="AK603" s="132"/>
      <c r="AL603" s="98"/>
      <c r="AM603" s="132"/>
      <c r="AN603" s="98"/>
      <c r="AO603" s="132"/>
      <c r="AP603" s="98"/>
      <c r="AQ603" s="132"/>
      <c r="AR603" s="98"/>
      <c r="AS603" s="132"/>
      <c r="AT603" s="98"/>
      <c r="AU603" s="132"/>
      <c r="AV603" s="98"/>
      <c r="AW603" s="132"/>
      <c r="AX603" s="98"/>
      <c r="AY603" s="132"/>
      <c r="AZ603" s="98"/>
      <c r="BA603" s="132"/>
      <c r="BB603" s="98"/>
      <c r="BC603" s="132"/>
      <c r="BD603" s="98"/>
      <c r="BE603" s="132"/>
      <c r="BF603" s="98"/>
      <c r="BG603" s="132"/>
      <c r="BH603" s="98"/>
      <c r="BI603" s="132"/>
      <c r="BJ603" s="98"/>
      <c r="BK603" s="132"/>
      <c r="BL603" s="98"/>
      <c r="BM603" s="132"/>
      <c r="BN603" s="98"/>
      <c r="BO603" s="132"/>
      <c r="BP603" s="98"/>
      <c r="BQ603" s="132"/>
      <c r="BR603" s="98"/>
      <c r="BS603" s="132"/>
      <c r="BT603" s="98"/>
      <c r="BU603" s="132"/>
      <c r="BV603" s="98"/>
      <c r="BW603" s="132"/>
      <c r="BX603" s="98"/>
      <c r="BY603" s="132"/>
      <c r="BZ603" s="98"/>
      <c r="CA603" s="132"/>
      <c r="CB603" s="98"/>
      <c r="CC603" s="132"/>
      <c r="CD603" s="98"/>
      <c r="CE603" s="132"/>
      <c r="CF603" s="98"/>
      <c r="CG603" s="132"/>
      <c r="CH603" s="98"/>
      <c r="CI603" s="132"/>
      <c r="CJ603" s="98"/>
      <c r="CK603" s="132"/>
      <c r="CL603" s="98"/>
      <c r="CM603" s="132"/>
      <c r="CN603" s="98"/>
      <c r="CO603" s="132"/>
      <c r="CP603" s="98"/>
      <c r="CQ603" s="488"/>
      <c r="CR603" s="98"/>
      <c r="CS603" s="132"/>
      <c r="CT603" s="98"/>
      <c r="CU603" s="132"/>
      <c r="CV603" s="98"/>
      <c r="CW603" s="132"/>
      <c r="CX603" s="98"/>
      <c r="CY603" s="132"/>
      <c r="CZ603" s="98"/>
      <c r="DA603" s="132"/>
      <c r="DB603" s="98"/>
      <c r="DC603" s="132"/>
      <c r="DD603" s="98"/>
      <c r="DE603" s="132"/>
      <c r="DF603" s="98"/>
      <c r="DG603" s="132"/>
      <c r="DH603" s="98"/>
      <c r="DI603" s="132"/>
      <c r="DJ603" s="98"/>
      <c r="DK603" s="132"/>
      <c r="DL603" s="98"/>
      <c r="DM603" s="132"/>
      <c r="DN603" s="98"/>
      <c r="DO603" s="132"/>
      <c r="DP603" s="98"/>
      <c r="DQ603" s="132"/>
      <c r="DR603" s="98"/>
      <c r="DS603" s="132"/>
      <c r="DT603" s="98"/>
      <c r="DU603" s="132"/>
      <c r="DV603" s="98"/>
      <c r="DW603" s="132"/>
      <c r="DX603" s="98"/>
      <c r="DY603" s="132"/>
      <c r="DZ603" s="98"/>
      <c r="EA603" s="132"/>
      <c r="EB603" s="98"/>
      <c r="EC603" s="132"/>
      <c r="ED603" s="98"/>
      <c r="EE603" s="132"/>
      <c r="EF603" s="860"/>
      <c r="EG603" s="132"/>
      <c r="EH603" s="860"/>
      <c r="EI603" s="132"/>
      <c r="EJ603" s="860"/>
      <c r="EK603" s="132"/>
      <c r="EL603" s="860"/>
      <c r="EM603" s="132"/>
      <c r="EN603" s="860"/>
      <c r="EO603" s="132"/>
      <c r="EP603" s="98"/>
      <c r="EQ603" s="132"/>
      <c r="ER603" s="98"/>
      <c r="ES603" s="132"/>
      <c r="ET603" s="98"/>
      <c r="EU603" s="132"/>
      <c r="EV603" s="98"/>
      <c r="EW603" s="132"/>
      <c r="EX603" s="98"/>
      <c r="EY603" s="132"/>
      <c r="EZ603" s="594"/>
      <c r="FA603" s="405"/>
      <c r="FB603" s="95"/>
      <c r="FC603" s="92"/>
      <c r="FD603" s="94"/>
      <c r="FE603" s="98"/>
      <c r="FF603" s="132"/>
      <c r="FG603" s="98"/>
      <c r="FH603" s="132"/>
      <c r="FI603" s="98"/>
      <c r="FJ603" s="132"/>
      <c r="FK603" s="98"/>
      <c r="FL603" s="132"/>
      <c r="FM603" s="98"/>
      <c r="FN603" s="132"/>
      <c r="FO603" s="98"/>
      <c r="FP603" s="132"/>
      <c r="FQ603" s="98"/>
      <c r="FR603" s="132"/>
      <c r="FS603" s="120"/>
      <c r="FT603" s="132"/>
      <c r="FU603" s="120"/>
      <c r="FV603" s="132"/>
      <c r="FW603" s="98"/>
      <c r="FX603" s="488"/>
      <c r="FY603" s="98"/>
      <c r="FZ603" s="132"/>
      <c r="GA603" s="98"/>
      <c r="GB603" s="488"/>
      <c r="GC603" s="98"/>
      <c r="GD603" s="132"/>
      <c r="GE603" s="98"/>
      <c r="GF603" s="132"/>
      <c r="GG603" s="98"/>
      <c r="GH603" s="132"/>
      <c r="GI603" s="98"/>
      <c r="GJ603" s="132"/>
      <c r="GK603" s="98"/>
      <c r="GL603" s="132"/>
      <c r="GM603" s="98"/>
      <c r="GN603" s="132"/>
      <c r="GO603" s="98"/>
      <c r="GP603" s="132"/>
      <c r="GQ603" s="98"/>
      <c r="GR603" s="132"/>
      <c r="GS603" s="98"/>
      <c r="GT603" s="132"/>
      <c r="GU603" s="98"/>
      <c r="GV603" s="132"/>
      <c r="GW603" s="98"/>
      <c r="GX603" s="132"/>
      <c r="GY603" s="98"/>
      <c r="GZ603" s="98"/>
      <c r="HA603" s="98"/>
      <c r="HC603"/>
      <c r="HD603"/>
      <c r="HE603"/>
      <c r="HF603"/>
      <c r="HG603"/>
      <c r="HH603"/>
    </row>
    <row r="604" spans="1:216" s="10" customFormat="1" ht="12.75" customHeight="1" x14ac:dyDescent="0.2">
      <c r="A604" s="10" t="s">
        <v>374</v>
      </c>
      <c r="B604" s="311" t="s">
        <v>460</v>
      </c>
      <c r="C604" s="132">
        <f>C594-C602</f>
        <v>588</v>
      </c>
      <c r="D604" s="312"/>
      <c r="E604" s="132">
        <f>E594-E602</f>
        <v>574</v>
      </c>
      <c r="F604" s="92"/>
      <c r="G604" s="132">
        <f>G594-G602</f>
        <v>585</v>
      </c>
      <c r="H604" s="92"/>
      <c r="I604" s="132">
        <f>I594-I602</f>
        <v>617</v>
      </c>
      <c r="J604" s="98"/>
      <c r="K604" s="459">
        <f>+K608/(1-(K606/100))</f>
        <v>572</v>
      </c>
      <c r="L604" s="98">
        <f>IF(ISERROR((K604/C604-1)*100),"NA",IF(((K604/C604-1)*100)&gt;100,"NM",IF(((K604/C604-1)*100)&lt;-50,"NM",(K604/C604-1)*100)))</f>
        <v>-2.7210884353741527</v>
      </c>
      <c r="M604" s="459">
        <f>+M608/(1-(M606/100))</f>
        <v>629</v>
      </c>
      <c r="N604" s="98">
        <f>IF(ISERROR((M604/E604-1)*100),"NA",IF(((M604/E604-1)*100)&gt;100,"NM",IF(((M604/E604-1)*100)&lt;-50,"NM",(M604/E604-1)*100)))</f>
        <v>9.5818815331010434</v>
      </c>
      <c r="O604" s="460">
        <v>338.00004053741304</v>
      </c>
      <c r="P604" s="98">
        <f>IF(ISERROR((O604/G604-1)*100),"NA",IF(((O604/G604-1)*100)&gt;100,"NM",IF(((O604/G604-1)*100)&lt;-50,"NM",(O604/G604-1)*100)))</f>
        <v>-42.222215292749908</v>
      </c>
      <c r="Q604" s="459">
        <f>+Q608/(1-(Q606/100))</f>
        <v>673.29439661206084</v>
      </c>
      <c r="R604" s="98">
        <f>IF(ISERROR((Q604/I604-1)*100),"NA",IF(((Q604/I604-1)*100)&gt;100,"NM",IF(((Q604/I604-1)*100)&lt;-50,"NM",(Q604/I604-1)*100)))</f>
        <v>9.1238892402043525</v>
      </c>
      <c r="S604" s="132">
        <f>S594-S602</f>
        <v>611</v>
      </c>
      <c r="T604" s="98">
        <f>IF(ISERROR((S604/K604-1)*100),"NA",IF(((S604/K604-1)*100)&gt;100,"NM",IF(((S604/K604-1)*100)&lt;-50,"NM",(S604/K604-1)*100)))</f>
        <v>6.8181818181818121</v>
      </c>
      <c r="U604" s="132">
        <f>U594-U602</f>
        <v>746</v>
      </c>
      <c r="V604" s="98">
        <f>IF(ISERROR((U604/M604-1)*100),"NA",IF(((U604/M604-1)*100)&gt;100,"NM",IF(((U604/M604-1)*100)&lt;-50,"NM",(U604/M604-1)*100)))</f>
        <v>18.600953895071548</v>
      </c>
      <c r="W604" s="132">
        <f>W594-W602</f>
        <v>737</v>
      </c>
      <c r="X604" s="98" t="str">
        <f>IF(ISERROR((W604/O604-1)*100),"NA",IF(((W604/O604-1)*100)&gt;100,"NM",IF(((W604/O604-1)*100)&lt;-50,"NM",(W604/O604-1)*100)))</f>
        <v>NM</v>
      </c>
      <c r="Y604" s="132">
        <f>+Y608/(1-(Y606/100))</f>
        <v>441.83006535947709</v>
      </c>
      <c r="Z604" s="98">
        <f>IF(ISERROR((Y604/Q604-1)*100),"NA",IF(((Y604/Q604-1)*100)&gt;100,"NM",IF(((Y604/Q604-1)*100)&lt;-50,"NM",(Y604/Q604-1)*100)))</f>
        <v>-34.377878743278622</v>
      </c>
      <c r="AA604" s="132">
        <f>AA594-AA602</f>
        <v>645</v>
      </c>
      <c r="AB604" s="98">
        <f>IF(ISERROR((AA604/S604-1)*100),"NA",IF(((AA604/S604-1)*100)&gt;100,"NM",IF(((AA604/S604-1)*100)&lt;-50,"NM",(AA604/S604-1)*100)))</f>
        <v>5.5646481178396101</v>
      </c>
      <c r="AC604" s="132">
        <f>AC594-AC602</f>
        <v>853</v>
      </c>
      <c r="AD604" s="98">
        <f>IF(ISERROR((AC604/U604-1)*100),"NA",IF(((AC604/U604-1)*100)&gt;100,"NM",IF(((AC604/U604-1)*100)&lt;-50,"NM",(AC604/U604-1)*100)))</f>
        <v>14.343163538873993</v>
      </c>
      <c r="AE604" s="132">
        <f>AE594-AE602</f>
        <v>844</v>
      </c>
      <c r="AF604" s="98">
        <f>IF(ISERROR((AE604/W604-1)*100),"NA",IF(((AE604/W604-1)*100)&gt;100,"NM",IF(((AE604/W604-1)*100)&lt;-50,"NM",(AE604/W604-1)*100)))</f>
        <v>14.518317503392119</v>
      </c>
      <c r="AG604" s="132">
        <f>AG594-AG602</f>
        <v>791</v>
      </c>
      <c r="AH604" s="98">
        <f>IF(ISERROR((AG604/Y604-1)*100),"NA",IF(((AG604/Y604-1)*100)&gt;100,"NM",IF(((AG604/Y604-1)*100)&lt;-50,"NM",(AG604/Y604-1)*100)))</f>
        <v>79.028106508875752</v>
      </c>
      <c r="AI604" s="132">
        <f>AI594-AI602</f>
        <v>866</v>
      </c>
      <c r="AJ604" s="98">
        <f>IF(ISERROR((AI604/AA604-1)*100),"NA",IF(((AI604/AA604-1)*100)&gt;100,"NM",IF(((AI604/AA604-1)*100)&lt;-50,"NM",(AI604/AA604-1)*100)))</f>
        <v>34.263565891472858</v>
      </c>
      <c r="AK604" s="132">
        <f>AK594-AK602</f>
        <v>979</v>
      </c>
      <c r="AL604" s="98">
        <f>IF(ISERROR((AK604/AC604-1)*100),"NA",IF(((AK604/AC604-1)*100)&gt;100,"NM",IF(((AK604/AC604-1)*100)&lt;-50,"NM",(AK604/AC604-1)*100)))</f>
        <v>14.771395076201642</v>
      </c>
      <c r="AM604" s="132">
        <f>AM594-AM602</f>
        <v>876</v>
      </c>
      <c r="AN604" s="98">
        <f>IF(ISERROR((AM604/AE604-1)*100),"NA",IF(((AM604/AE604-1)*100)&gt;100,"NM",IF(((AM604/AE604-1)*100)&lt;-50,"NM",(AM604/AE604-1)*100)))</f>
        <v>3.7914691943127909</v>
      </c>
      <c r="AO604" s="132">
        <f>AO594-AO602</f>
        <v>956</v>
      </c>
      <c r="AP604" s="98">
        <f>IF(ISERROR((AO604/AG604-1)*100),"NA",IF(((AO604/AG604-1)*100)&gt;100,"NM",IF(((AO604/AG604-1)*100)&lt;-50,"NM",(AO604/AG604-1)*100)))</f>
        <v>20.859671302149184</v>
      </c>
      <c r="AQ604" s="132">
        <f>AQ594-AQ602</f>
        <v>1182</v>
      </c>
      <c r="AR604" s="98">
        <f>IF(ISERROR((AQ604/AI604-1)*100),"NA",IF(((AQ604/AI604-1)*100)&gt;100,"NM",IF(((AQ604/AI604-1)*100)&lt;-50,"NM",(AQ604/AI604-1)*100)))</f>
        <v>36.489607390300229</v>
      </c>
      <c r="AS604" s="132">
        <f>AS594-AS602</f>
        <v>1253</v>
      </c>
      <c r="AT604" s="98">
        <f>IF(ISERROR((AS604/AK604-1)*100),"NA",IF(((AS604/AK604-1)*100)&gt;100,"NM",IF(((AS604/AK604-1)*100)&lt;-50,"NM",(AS604/AK604-1)*100)))</f>
        <v>27.987742594484178</v>
      </c>
      <c r="AU604" s="132">
        <f>AU594-AU602</f>
        <v>1101</v>
      </c>
      <c r="AV604" s="98">
        <f>IF(ISERROR((AU604/AM604-1)*100),"NA",IF(((AU604/AM604-1)*100)&gt;100,"NM",IF(((AU604/AM604-1)*100)&lt;-50,"NM",(AU604/AM604-1)*100)))</f>
        <v>25.684931506849317</v>
      </c>
      <c r="AW604" s="132">
        <f>AW594-AW602</f>
        <v>1212</v>
      </c>
      <c r="AX604" s="98">
        <f>IF(ISERROR((AW604/AO604-1)*100),"NA",IF(((AW604/AO604-1)*100)&gt;100,"NM",IF(((AW604/AO604-1)*100)&lt;-50,"NM",(AW604/AO604-1)*100)))</f>
        <v>26.77824267782427</v>
      </c>
      <c r="AY604" s="132">
        <f>AY594-AY602</f>
        <v>1517</v>
      </c>
      <c r="AZ604" s="98">
        <f>IF(ISERROR((AY604/AQ604-1)*100),"NA",IF(((AY604/AQ604-1)*100)&gt;100,"NM",IF(((AY604/AQ604-1)*100)&lt;-50,"NM",(AY604/AQ604-1)*100)))</f>
        <v>28.341793570219977</v>
      </c>
      <c r="BA604" s="132">
        <f>BA594-BA602</f>
        <v>1447</v>
      </c>
      <c r="BB604" s="98">
        <f>IF(ISERROR((BA604/AS604-1)*100),"NA",IF(((BA604/AS604-1)*100)&gt;100,"NM",IF(((BA604/AS604-1)*100)&lt;-50,"NM",(BA604/AS604-1)*100)))</f>
        <v>15.482841181165208</v>
      </c>
      <c r="BC604" s="132">
        <f>BC594-BC602</f>
        <v>1365</v>
      </c>
      <c r="BD604" s="98">
        <f>IF(ISERROR((BC604/AU604-1)*100),"NA",IF(((BC604/AU604-1)*100)&gt;100,"NM",IF(((BC604/AU604-1)*100)&lt;-50,"NM",(BC604/AU604-1)*100)))</f>
        <v>23.978201634877383</v>
      </c>
      <c r="BE604" s="132">
        <f>BE594-BE602</f>
        <v>1496</v>
      </c>
      <c r="BF604" s="98">
        <f>IF(ISERROR((BE604/AW604-1)*100),"NA",IF(((BE604/AW604-1)*100)&gt;100,"NM",IF(((BE604/AW604-1)*100)&lt;-50,"NM",(BE604/AW604-1)*100)))</f>
        <v>23.43234323432344</v>
      </c>
      <c r="BG604" s="132">
        <f>BG594-BG602</f>
        <v>1582</v>
      </c>
      <c r="BH604" s="98">
        <f>IF(ISERROR((BG604/AY604-1)*100),"NA",IF(((BG604/AY604-1)*100)&gt;100,"NM",IF(((BG604/AY604-1)*100)&lt;-50,"NM",(BG604/AY604-1)*100)))</f>
        <v>4.2847725774554979</v>
      </c>
      <c r="BI604" s="132">
        <f>BI594-BI602</f>
        <v>1933</v>
      </c>
      <c r="BJ604" s="98">
        <f>IF(ISERROR((BI604/BA604-1)*100),"NA",IF(((BI604/BA604-1)*100)&gt;100,"NM",IF(((BI604/BA604-1)*100)&lt;-50,"NM",(BI604/BA604-1)*100)))</f>
        <v>33.58673116793365</v>
      </c>
      <c r="BK604" s="132">
        <f>BK594-BK602</f>
        <v>1635</v>
      </c>
      <c r="BL604" s="98">
        <f>IF(ISERROR((BK604/BC604-1)*100),"NA",IF(((BK604/BC604-1)*100)&gt;100,"NM",IF(((BK604/BC604-1)*100)&lt;-50,"NM",(BK604/BC604-1)*100)))</f>
        <v>19.780219780219777</v>
      </c>
      <c r="BM604" s="132">
        <f>BM594-BM602</f>
        <v>1680</v>
      </c>
      <c r="BN604" s="98">
        <f>IF(ISERROR((BM604/BE604-1)*100),"NA",IF(((BM604/BE604-1)*100)&gt;100,"NM",IF(((BM604/BE604-1)*100)&lt;-50,"NM",(BM604/BE604-1)*100)))</f>
        <v>12.299465240641716</v>
      </c>
      <c r="BO604" s="132">
        <f>BO594-BO602</f>
        <v>1561</v>
      </c>
      <c r="BP604" s="98">
        <f>IF(ISERROR((BO604/BG604-1)*100),"NA",IF(((BO604/BG604-1)*100)&gt;100,"NM",IF(((BO604/BG604-1)*100)&lt;-50,"NM",(BO604/BG604-1)*100)))</f>
        <v>-1.3274336283185861</v>
      </c>
      <c r="BQ604" s="132">
        <f>BQ594-BQ602</f>
        <v>1266</v>
      </c>
      <c r="BR604" s="98">
        <f>IF(ISERROR((BQ604/BI604-1)*100),"NA",IF(((BQ604/BI604-1)*100)&gt;100,"NM",IF(((BQ604/BI604-1)*100)&lt;-50,"NM",(BQ604/BI604-1)*100)))</f>
        <v>-34.505949301603721</v>
      </c>
      <c r="BS604" s="132">
        <f>BS594-BS602</f>
        <v>912</v>
      </c>
      <c r="BT604" s="98">
        <f>IF(ISERROR((BS604/BK604-1)*100),"NA",IF(((BS604/BK604-1)*100)&gt;100,"NM",IF(((BS604/BK604-1)*100)&lt;-50,"NM",(BS604/BK604-1)*100)))</f>
        <v>-44.220183486238525</v>
      </c>
      <c r="BU604" s="132">
        <f>BU594-BU602</f>
        <v>171</v>
      </c>
      <c r="BV604" s="98" t="str">
        <f>IF(ISERROR((BU604/BM604-1)*100),"NA",IF(((BU604/BM604-1)*100)&gt;100,"NM",IF(((BU604/BM604-1)*100)&lt;-50,"NM",(BU604/BM604-1)*100)))</f>
        <v>NM</v>
      </c>
      <c r="BW604" s="132">
        <f>BW594-BW602</f>
        <v>186</v>
      </c>
      <c r="BX604" s="98" t="str">
        <f>IF(ISERROR((BW604/BO604-1)*100),"NA",IF(((BW604/BO604-1)*100)&gt;100,"NM",IF(((BW604/BO604-1)*100)&lt;-50,"NM",(BW604/BO604-1)*100)))</f>
        <v>NM</v>
      </c>
      <c r="BY604" s="132">
        <f>BY594-BY602</f>
        <v>981</v>
      </c>
      <c r="BZ604" s="98">
        <f>IF(ISERROR((BY604/BQ604-1)*100),"NA",IF(((BY604/BQ604-1)*100)&gt;100,"NM",IF(((BY604/BQ604-1)*100)&lt;-50,"NM",(BY604/BQ604-1)*100)))</f>
        <v>-22.511848341232231</v>
      </c>
      <c r="CA604" s="132">
        <f>CA594-CA602</f>
        <v>918</v>
      </c>
      <c r="CB604" s="98">
        <f>IF(ISERROR((CA604/BS604-1)*100),"NA",IF(((CA604/BS604-1)*100)&gt;100,"NM",IF(((CA604/BS604-1)*100)&lt;-50,"NM",(CA604/BS604-1)*100)))</f>
        <v>0.65789473684210176</v>
      </c>
      <c r="CC604" s="132">
        <f>CC594-CC602</f>
        <v>1071</v>
      </c>
      <c r="CD604" s="98" t="str">
        <f>IF(ISERROR((CC604/BU604-1)*100),"NA",IF(((CC604/BU604-1)*100)&gt;100,"NM",IF(((CC604/BU604-1)*100)&lt;-50,"NM",(CC604/BU604-1)*100)))</f>
        <v>NM</v>
      </c>
      <c r="CE604" s="132">
        <f>CE594-CE602</f>
        <v>1286</v>
      </c>
      <c r="CF604" s="98" t="str">
        <f>IF(ISERROR((CE604/BW604-1)*100),"NA",IF(((CE604/BW604-1)*100)&gt;100,"NM",IF(((CE604/BW604-1)*100)&lt;-50,"NM",(CE604/BW604-1)*100)))</f>
        <v>NM</v>
      </c>
      <c r="CG604" s="132">
        <f>CG594-CG602</f>
        <v>1301</v>
      </c>
      <c r="CH604" s="98">
        <f>IF(ISERROR((CG604/BY604-1)*100),"NA",IF(((CG604/BY604-1)*100)&gt;100,"NM",IF(((CG604/BY604-1)*100)&lt;-50,"NM",(CG604/BY604-1)*100)))</f>
        <v>32.619775739041799</v>
      </c>
      <c r="CI604" s="132">
        <f>CI594-CI602</f>
        <v>1408</v>
      </c>
      <c r="CJ604" s="98">
        <f>IF(ISERROR((CI604/CA604-1)*100),"NA",IF(((CI604/CA604-1)*100)&gt;100,"NM",IF(((CI604/CA604-1)*100)&lt;-50,"NM",(CI604/CA604-1)*100)))</f>
        <v>53.376906318082781</v>
      </c>
      <c r="CK604" s="132">
        <f>CK594-CK602</f>
        <v>1665</v>
      </c>
      <c r="CL604" s="98">
        <f>IF(ISERROR((CK604/CC604-1)*100),"NA",IF(((CK604/CC604-1)*100)&gt;100,"NM",IF(((CK604/CC604-1)*100)&lt;-50,"NM",(CK604/CC604-1)*100)))</f>
        <v>55.462184873949582</v>
      </c>
      <c r="CM604" s="132">
        <f>CM594-CM602</f>
        <v>1912</v>
      </c>
      <c r="CN604" s="98">
        <f>IF(ISERROR((CM604/CE604-1)*100),"NA",IF(((CM604/CE604-1)*100)&gt;100,"NM",IF(((CM604/CE604-1)*100)&lt;-50,"NM",(CM604/CE604-1)*100)))</f>
        <v>48.678071539657864</v>
      </c>
      <c r="CO604" s="132">
        <f>CO594-CO602</f>
        <v>1759</v>
      </c>
      <c r="CP604" s="98">
        <f>IF(ISERROR((CO604/CG604-1)*100),"NA",IF(((CO604/CG604-1)*100)&gt;100,"NM",IF(((CO604/CG604-1)*100)&lt;-50,"NM",(CO604/CG604-1)*100)))</f>
        <v>35.203689469638746</v>
      </c>
      <c r="CQ604" s="488">
        <f>CQ594-CQ602</f>
        <v>1319</v>
      </c>
      <c r="CR604" s="98">
        <f>IF(ISERROR((CQ604/CI604-1)*100),"NA",IF(((CQ604/CI604-1)*100)&gt;100,"NM",IF(((CQ604/CI604-1)*100)&lt;-50,"NM",(CQ604/CI604-1)*100)))</f>
        <v>-6.3210227272727293</v>
      </c>
      <c r="CS604" s="132">
        <f>CS594-CS602</f>
        <v>1778</v>
      </c>
      <c r="CT604" s="98">
        <f>IF(ISERROR((CS604/CK604-1)*100),"NA",IF(((CS604/CK604-1)*100)&gt;100,"NM",IF(((CS604/CK604-1)*100)&lt;-50,"NM",(CS604/CK604-1)*100)))</f>
        <v>6.7867867867867915</v>
      </c>
      <c r="CU604" s="132">
        <f>CU594-CU602</f>
        <v>2090</v>
      </c>
      <c r="CV604" s="98">
        <f>IF(ISERROR((CU604/CM604-1)*100),"NA",IF(((CU604/CM604-1)*100)&gt;100,"NM",IF(((CU604/CM604-1)*100)&lt;-50,"NM",(CU604/CM604-1)*100)))</f>
        <v>9.3096234309623327</v>
      </c>
      <c r="CW604" s="132">
        <f>CW594-CW602</f>
        <v>2046</v>
      </c>
      <c r="CX604" s="98">
        <f>IF(ISERROR((CW604/CO604-1)*100),"NA",IF(((CW604/CO604-1)*100)&gt;100,"NM",IF(((CW604/CO604-1)*100)&lt;-50,"NM",(CW604/CO604-1)*100)))</f>
        <v>16.316088686753826</v>
      </c>
      <c r="CY604" s="132">
        <f>CY594-CY602</f>
        <v>2026</v>
      </c>
      <c r="CZ604" s="98">
        <f>IF(ISERROR((CY604/CQ604-1)*100),"NA",IF(((CY604/CQ604-1)*100)&gt;100,"NM",IF(((CY604/CQ604-1)*100)&lt;-50,"NM",(CY604/CQ604-1)*100)))</f>
        <v>53.601213040181946</v>
      </c>
      <c r="DA604" s="132">
        <f>DA594-DA602</f>
        <v>1969</v>
      </c>
      <c r="DB604" s="98">
        <f>IF(ISERROR((DA604/CS604-1)*100),"NA",IF(((DA604/CS604-1)*100)&gt;100,"NM",IF(((DA604/CS604-1)*100)&lt;-50,"NM",(DA604/CS604-1)*100)))</f>
        <v>10.742407199100112</v>
      </c>
      <c r="DC604" s="132">
        <f>DC594-DC602</f>
        <v>2298</v>
      </c>
      <c r="DD604" s="98">
        <f>IF(ISERROR((DC604/CU604-1)*100),"NA",IF(((DC604/CU604-1)*100)&gt;100,"NM",IF(((DC604/CU604-1)*100)&lt;-50,"NM",(DC604/CU604-1)*100)))</f>
        <v>9.9521531100478455</v>
      </c>
      <c r="DE604" s="132">
        <f>DE594-DE602</f>
        <v>2235</v>
      </c>
      <c r="DF604" s="98">
        <f>IF(ISERROR((DE604/CW604-1)*100),"NA",IF(((DE604/CW604-1)*100)&gt;100,"NM",IF(((DE604/CW604-1)*100)&lt;-50,"NM",(DE604/CW604-1)*100)))</f>
        <v>9.2375366568914874</v>
      </c>
      <c r="DG604" s="132">
        <f>DG594-DG602</f>
        <v>2072</v>
      </c>
      <c r="DH604" s="98">
        <f>IF(ISERROR((DG604/CY604-1)*100),"NA",IF(((DG604/CY604-1)*100)&gt;100,"NM",IF(((DG604/CY604-1)*100)&lt;-50,"NM",(DG604/CY604-1)*100)))</f>
        <v>2.2704837117472954</v>
      </c>
      <c r="DI604" s="132">
        <f>DI594-DI602</f>
        <v>2122</v>
      </c>
      <c r="DJ604" s="98">
        <f>IF(ISERROR((DI604/DA604-1)*100),"NA",IF(((DI604/DA604-1)*100)&gt;100,"NM",IF(((DI604/DA604-1)*100)&lt;-50,"NM",(DI604/DA604-1)*100)))</f>
        <v>7.7704418486541416</v>
      </c>
      <c r="DK604" s="132">
        <f>DK594-DK602</f>
        <v>2196</v>
      </c>
      <c r="DL604" s="98">
        <f>IF(ISERROR((DK604/DC604-1)*100),"NA",IF(((DK604/DC604-1)*100)&gt;100,"NM",IF(((DK604/DC604-1)*100)&lt;-50,"NM",(DK604/DC604-1)*100)))</f>
        <v>-4.4386422976501301</v>
      </c>
      <c r="DM604" s="132">
        <f>DM594-DM602</f>
        <v>2239</v>
      </c>
      <c r="DN604" s="98">
        <f>IF(ISERROR((DM604/DE604-1)*100),"NA",IF(((DM604/DE604-1)*100)&gt;100,"NM",IF(((DM604/DE604-1)*100)&lt;-50,"NM",(DM604/DE604-1)*100)))</f>
        <v>0.17897091722594016</v>
      </c>
      <c r="DO604" s="132">
        <f>DO594-DO602</f>
        <v>2511</v>
      </c>
      <c r="DP604" s="98">
        <f>IF(ISERROR((DO604/DG604-1)*100),"NA",IF(((DO604/DG604-1)*100)&gt;100,"NM",IF(((DO604/DG604-1)*100)&lt;-50,"NM",(DO604/DG604-1)*100)))</f>
        <v>21.18725868725868</v>
      </c>
      <c r="DQ604" s="132">
        <f>DQ594-DQ602</f>
        <v>2114</v>
      </c>
      <c r="DR604" s="98">
        <f>IF(ISERROR((DQ604/DI604-1)*100),"NA",IF(((DQ604/DI604-1)*100)&gt;100,"NM",IF(((DQ604/DI604-1)*100)&lt;-50,"NM",(DQ604/DI604-1)*100)))</f>
        <v>-0.37700282752121117</v>
      </c>
      <c r="DS604" s="1112">
        <f>DS594-DS602</f>
        <v>1746</v>
      </c>
      <c r="DT604" s="1111">
        <v>3.0054644808743092</v>
      </c>
      <c r="DU604" s="1112">
        <f>DU594-DU602</f>
        <v>1766</v>
      </c>
      <c r="DV604" s="1111">
        <v>4.2876284055381797</v>
      </c>
      <c r="DW604" s="1112">
        <f>DW594-DW602</f>
        <v>1052</v>
      </c>
      <c r="DX604" s="1111">
        <v>-40.183193946634809</v>
      </c>
      <c r="DY604" s="1112">
        <f>DY594-DY602</f>
        <v>1294</v>
      </c>
      <c r="DZ604" s="1111">
        <v>-13.576158940397354</v>
      </c>
      <c r="EA604" s="1112">
        <f>EA594-EA602</f>
        <v>1315</v>
      </c>
      <c r="EB604" s="1111">
        <v>-22.325375773651636</v>
      </c>
      <c r="EC604" s="1112">
        <f>EC594-EC602</f>
        <v>853</v>
      </c>
      <c r="ED604" s="98" t="str">
        <f>IF(ISERROR((EC604/DU604-1)*100),"NA",IF(((EC604/DU604-1)*100)&gt;100,"NM",IF(((EC604/DU604-1)*100)&lt;-50,"NM",(EC604/DU604-1)*100)))</f>
        <v>NM</v>
      </c>
      <c r="EE604" s="1112">
        <f>EE594-EE602</f>
        <v>1688</v>
      </c>
      <c r="EF604" s="860">
        <f>IF(ISERROR((EE604/DW604-1)*100),"NA",IF(((EE604/DW604-1)*100)&gt;100,"NM",IF(((EE604/DW604-1)*100)&lt;-50,"NM",(EE604/DW604-1)*100)))</f>
        <v>60.456273764258547</v>
      </c>
      <c r="EG604" s="1112">
        <f>EG594-EG602</f>
        <v>1265</v>
      </c>
      <c r="EH604" s="860">
        <f>IF(ISERROR((EG604/DY604-1)*100),"NA",IF(((EG604/DY604-1)*100)&gt;100,"NM",IF(((EG604/DY604-1)*100)&lt;-50,"NM",(EG604/DY604-1)*100)))</f>
        <v>-2.2411128284389514</v>
      </c>
      <c r="EI604" s="1112">
        <f>EI594-EI602</f>
        <v>1666</v>
      </c>
      <c r="EJ604" s="860">
        <f t="shared" ref="EJ604:EJ608" si="3464">IF(ISERROR((EI604/EA604-1)*100),"NA",IF(((EI604/EA604-1)*100)&gt;100,"NM",IF(((EI604/EA604-1)*100)&lt;-50,"NM",(EI604/EA604-1)*100)))</f>
        <v>26.692015209125476</v>
      </c>
      <c r="EK604" s="1112">
        <f>EK594-EK602</f>
        <v>1433</v>
      </c>
      <c r="EL604" s="860">
        <f t="shared" ref="EL604:EL608" si="3465">IF(ISERROR((EK604/EC604-1)*100),"NA",IF(((EK604/EC604-1)*100)&gt;100,"NM",IF(((EK604/EC604-1)*100)&lt;-50,"NM",(EK604/EC604-1)*100)))</f>
        <v>67.995310668229763</v>
      </c>
      <c r="EM604" s="1112">
        <f>EM594-EM602</f>
        <v>1691</v>
      </c>
      <c r="EN604" s="860">
        <f t="shared" ref="EN604:EN608" si="3466">IF(ISERROR((EM604/EE604-1)*100),"NA",IF(((EM604/EE604-1)*100)&gt;100,"NM",IF(((EM604/EE604-1)*100)&lt;-50,"NM",(EM604/EE604-1)*100)))</f>
        <v>0.17772511848341832</v>
      </c>
      <c r="EO604" s="1112">
        <f>EO594-EO602</f>
        <v>1164</v>
      </c>
      <c r="EP604" s="98">
        <f t="shared" ref="EP604:EP608" si="3467">IF(ISERROR((EO604/EG604-1)*100),"NA",IF(((EO604/EG604-1)*100)&gt;100,"NM",IF(((EO604/EG604-1)*100)&lt;-50,"NM",(EO604/EG604-1)*100)))</f>
        <v>-7.9841897233201564</v>
      </c>
      <c r="EQ604" s="1112">
        <f>EQ594-EQ602</f>
        <v>1534.3486547444591</v>
      </c>
      <c r="ER604" s="98">
        <f t="shared" ref="ER604:ER608" si="3468">IF(ISERROR((EQ604/EI604-1)*100),"NA",IF(((EQ604/EI604-1)*100)&gt;100,"NM",IF(((EQ604/EI604-1)*100)&lt;-50,"NM",(EQ604/EI604-1)*100)))</f>
        <v>-7.9022416119772458</v>
      </c>
      <c r="ES604" s="1112">
        <f t="shared" ref="ES604" si="3469">ES594-ES602</f>
        <v>1534.1855361940143</v>
      </c>
      <c r="ET604" s="98">
        <f t="shared" ref="ET604:ET608" si="3470">IF(ISERROR((ES604/EK604-1)*100),"NA",IF(((ES604/EK604-1)*100)&gt;100,"NM",IF(((ES604/EK604-1)*100)&lt;-50,"NM",(ES604/EK604-1)*100)))</f>
        <v>7.0610981293799169</v>
      </c>
      <c r="EU604" s="1112">
        <f t="shared" ref="EU604" si="3471">EU594-EU602</f>
        <v>1551.8374464061089</v>
      </c>
      <c r="EV604" s="98">
        <f t="shared" ref="EV604:EV608" si="3472">IF(ISERROR((EU604/EM604-1)*100),"NA",IF(((EU604/EM604-1)*100)&gt;100,"NM",IF(((EU604/EM604-1)*100)&lt;-50,"NM",(EU604/EM604-1)*100)))</f>
        <v>-8.22960104044299</v>
      </c>
      <c r="EW604" s="1112">
        <f t="shared" ref="EW604" si="3473">EW594-EW602</f>
        <v>1565.3338160658295</v>
      </c>
      <c r="EX604" s="98">
        <f t="shared" ref="EX604:EX608" si="3474">IF(ISERROR((EW604/EO604-1)*100),"NA",IF(((EW604/EO604-1)*100)&gt;100,"NM",IF(((EW604/EO604-1)*100)&lt;-50,"NM",(EW604/EO604-1)*100)))</f>
        <v>34.478850177476758</v>
      </c>
      <c r="EY604" s="132"/>
      <c r="EZ604" s="594"/>
      <c r="FA604" s="405"/>
      <c r="FB604" s="95"/>
      <c r="FC604" s="92"/>
      <c r="FD604" s="94"/>
      <c r="FE604" s="98" t="str">
        <f>IF(ISERROR((FD604/FB604-1)*100),"NA",IF(((FD604/FB604-1)*100)&gt;100,"NM",IF(((FD604/FB604-1)*100)&lt;-50,"NM",(FD604/FB604-1)*100)))</f>
        <v>NA</v>
      </c>
      <c r="FF604" s="132">
        <v>2364</v>
      </c>
      <c r="FG604" s="98" t="str">
        <f>IF(ISERROR((FF604/FD604-1)*100),"NA",IF(((FF604/FD604-1)*100)&gt;100,"NM",IF(((FF604/FD604-1)*100)&lt;-50,"NM",(FF604/FD604-1)*100)))</f>
        <v>NA</v>
      </c>
      <c r="FH604" s="132">
        <v>2212.2944371494737</v>
      </c>
      <c r="FI604" s="98">
        <f>IF(ISERROR((FH604/FF604-1)*100),"NA",IF(((FH604/FF604-1)*100)&gt;100,"NM",IF(((FH604/FF604-1)*100)&lt;-50,"NM",(FH604/FF604-1)*100)))</f>
        <v>-6.4173249936770871</v>
      </c>
      <c r="FJ604" s="132">
        <f>+FJ608/(1-(FJ606/100))</f>
        <v>2520.2312138728325</v>
      </c>
      <c r="FK604" s="98">
        <f>IF(ISERROR((FJ604/FH604-1)*100),"NA",IF(((FJ604/FH604-1)*100)&gt;100,"NM",IF(((FJ604/FH604-1)*100)&lt;-50,"NM",(FJ604/FH604-1)*100)))</f>
        <v>13.919339648122664</v>
      </c>
      <c r="FL604" s="132">
        <f>AA604+AC604+AE604+AG604</f>
        <v>3133</v>
      </c>
      <c r="FM604" s="98">
        <f>IF(ISERROR((FL604/FJ604-1)*100),"NA",IF(((FL604/FJ604-1)*100)&gt;100,"NM",IF(((FL604/FJ604-1)*100)&lt;-50,"NM",(FL604/FJ604-1)*100)))</f>
        <v>24.313990825688059</v>
      </c>
      <c r="FN604" s="132">
        <f>AI604+AK604+AM604+AO604</f>
        <v>3677</v>
      </c>
      <c r="FO604" s="98">
        <f>IF(ISERROR((FN604/FL604-1)*100),"NA",IF(((FN604/FL604-1)*100)&gt;100,"NM",IF(((FN604/FL604-1)*100)&lt;-50,"NM",(FN604/FL604-1)*100)))</f>
        <v>17.363549313756788</v>
      </c>
      <c r="FP604" s="132">
        <f>AQ604+AS604+AU604+AW604</f>
        <v>4748</v>
      </c>
      <c r="FQ604" s="98">
        <f>IF(ISERROR((FP604/FN604-1)*100),"NA",IF(((FP604/FN604-1)*100)&gt;100,"NM",IF(((FP604/FN604-1)*100)&lt;-50,"NM",(FP604/FN604-1)*100)))</f>
        <v>29.127005711177588</v>
      </c>
      <c r="FR604" s="132">
        <f>AY604+BA604+BC604+BE604</f>
        <v>5825</v>
      </c>
      <c r="FS604" s="120">
        <f>IF(ISERROR((FR604/FP604-1)*100),"NA",IF(((FR604/FP604-1)*100)&gt;100,"NM",IF(((FR604/FP604-1)*100)&lt;-50,"NM",(FR604/FP604-1)*100)))</f>
        <v>22.683235046335291</v>
      </c>
      <c r="FT604" s="132">
        <f>BG604+BI604+BK604+BM604</f>
        <v>6830</v>
      </c>
      <c r="FU604" s="120">
        <f>IF(ISERROR((FT604/FR604-1)*100),"NA",IF(((FT604/FR604-1)*100)&gt;100,"NM",IF(((FT604/FR604-1)*100)&lt;-50,"NM",(FT604/FR604-1)*100)))</f>
        <v>17.253218884120169</v>
      </c>
      <c r="FV604" s="132">
        <f>SUM(BO604,BQ604,BS604,BU604)</f>
        <v>3910</v>
      </c>
      <c r="FW604" s="98">
        <f>IF(ISERROR((FV604/FT604-1)*100),"NA",IF(((FV604/FT604-1)*100)&gt;100,"NM",IF(((FV604/FT604-1)*100)&lt;-50,"NM",(FV604/FT604-1)*100)))</f>
        <v>-42.752562225475842</v>
      </c>
      <c r="FX604" s="488">
        <f>FX594-FX602</f>
        <v>3156</v>
      </c>
      <c r="FY604" s="98">
        <f>IF(ISERROR((FX604/FV604-1)*100),"NA",IF(((FX604/FV604-1)*100)&gt;100,"NM",IF(((FX604/FV604-1)*100)&lt;-50,"NM",(FX604/FV604-1)*100)))</f>
        <v>-19.283887468030692</v>
      </c>
      <c r="FZ604" s="132">
        <f>FZ594-FZ602</f>
        <v>5660</v>
      </c>
      <c r="GA604" s="98">
        <f>IF(ISERROR((FZ604/FX604-1)*100),"NA",IF(((FZ604/FX604-1)*100)&gt;100,"NM",IF(((FZ604/FX604-1)*100)&lt;-50,"NM",(FZ604/FX604-1)*100)))</f>
        <v>79.340937896070969</v>
      </c>
      <c r="GB604" s="488">
        <f>GB594-GB602</f>
        <v>6678</v>
      </c>
      <c r="GC604" s="98">
        <f>IF(ISERROR((GB604/FZ604-1)*100),"NA",IF(((GB604/FZ604-1)*100)&gt;100,"NM",IF(((GB604/FZ604-1)*100)&lt;-50,"NM",(GB604/FZ604-1)*100)))</f>
        <v>17.985865724381632</v>
      </c>
      <c r="GD604" s="132">
        <f>GD594-GD602</f>
        <v>8131</v>
      </c>
      <c r="GE604" s="98">
        <f>IF(ISERROR((GD604/GB604-1)*100),"NA",IF(((GD604/GB604-1)*100)&gt;100,"NM",IF(((GD604/GB604-1)*100)&lt;-50,"NM",(GD604/GB604-1)*100)))</f>
        <v>21.758011380652896</v>
      </c>
      <c r="GF604" s="132">
        <f>GF594-GF602</f>
        <v>8727</v>
      </c>
      <c r="GG604" s="98">
        <f>IF(ISERROR((GF604/GD604-1)*100),"NA",IF(((GF604/GD604-1)*100)&gt;100,"NM",IF(((GF604/GD604-1)*100)&lt;-50,"NM",(GF604/GD604-1)*100)))</f>
        <v>7.3299717131964037</v>
      </c>
      <c r="GH604" s="132">
        <f>GH594-GH602</f>
        <v>9060</v>
      </c>
      <c r="GI604" s="98">
        <f>IF(ISERROR((GH604/GF604-1)*100),"NA",IF(((GH604/GF604-1)*100)&gt;100,"NM",IF(((GH604/GF604-1)*100)&lt;-50,"NM",(GH604/GF604-1)*100)))</f>
        <v>3.8157442420075682</v>
      </c>
      <c r="GJ604" s="1112">
        <f>GJ594-GJ602</f>
        <v>5858</v>
      </c>
      <c r="GK604" s="98">
        <f>IF(ISERROR((GJ604/GH604-1)*100),"NA",IF(((GJ604/GH604-1)*100)&gt;100,"NM",IF(((GJ604/GH604-1)*100)&lt;-50,"NM",(GJ604/GH604-1)*100)))</f>
        <v>-35.342163355408388</v>
      </c>
      <c r="GL604" s="1112">
        <f>GL594-GL602</f>
        <v>5121</v>
      </c>
      <c r="GM604" s="98">
        <f>IF(ISERROR((GL604/GJ604-1)*100),"NA",IF(((GL604/GJ604-1)*100)&gt;100,"NM",IF(((GL604/GJ604-1)*100)&lt;-50,"NM",(GL604/GJ604-1)*100)))</f>
        <v>-12.581085694776373</v>
      </c>
      <c r="GN604" s="1112">
        <f>GN594-GN602</f>
        <v>5954</v>
      </c>
      <c r="GO604" s="98">
        <f>IF(ISERROR((GN604/GL604-1)*100),"NA",IF(((GN604/GL604-1)*100)&gt;100,"NM",IF(((GN604/GL604-1)*100)&lt;-50,"NM",(GN604/GL604-1)*100)))</f>
        <v>16.266354227689895</v>
      </c>
      <c r="GP604" s="1112">
        <f>GP594-GP602</f>
        <v>6185.70545341041</v>
      </c>
      <c r="GQ604" s="98">
        <f>IF(ISERROR((GP604/GN604-1)*100),"NA",IF(((GP604/GN604-1)*100)&gt;100,"NM",IF(((GP604/GN604-1)*100)&lt;-50,"NM",(GP604/GN604-1)*100)))</f>
        <v>3.8915931039706031</v>
      </c>
      <c r="GR604" s="1112">
        <f>GR594-GR602</f>
        <v>6254.4716081762381</v>
      </c>
      <c r="GS604" s="98">
        <f>IF(ISERROR((GR604/GP604-1)*100),"NA",IF(((GR604/GP604-1)*100)&gt;100,"NM",IF(((GR604/GP604-1)*100)&lt;-50,"NM",(GR604/GP604-1)*100)))</f>
        <v>1.1116946205046885</v>
      </c>
      <c r="GT604" s="1112">
        <f>GT594-GT602</f>
        <v>6687.2747942991336</v>
      </c>
      <c r="GU604" s="98">
        <f>IF(ISERROR((GT604/GR604-1)*100),"NA",IF(((GT604/GR604-1)*100)&gt;100,"NM",IF(((GT604/GR604-1)*100)&lt;-50,"NM",(GT604/GR604-1)*100)))</f>
        <v>6.9199000848785941</v>
      </c>
      <c r="GV604" s="1112">
        <f>GV594-GV602</f>
        <v>6907.4756901225119</v>
      </c>
      <c r="GW604" s="98">
        <f>IF(ISERROR((GV604/GT604-1)*100),"NA",IF(((GV604/GT604-1)*100)&gt;100,"NM",IF(((GV604/GT604-1)*100)&lt;-50,"NM",(GV604/GT604-1)*100)))</f>
        <v>3.2928345641052292</v>
      </c>
      <c r="GX604" s="1112">
        <f>GX594-GX602</f>
        <v>7066.9245042248585</v>
      </c>
      <c r="GY604" s="98">
        <f>IF(ISERROR((GX604/GV604-1)*100),"NA",IF(((GX604/GV604-1)*100)&gt;100,"NM",IF(((GX604/GV604-1)*100)&lt;-50,"NM",(GX604/GV604-1)*100)))</f>
        <v>2.3083514333659405</v>
      </c>
      <c r="GZ604" s="98">
        <f>IF(ISERROR(((GX604/GN604)^0.2-1)*100),"NA",IF((((GX604/GN604)^0.2-1)*100)&gt;100,"NM",IF((((GX604/GN604)^0.2-1)*100)&lt;-50,"NM",((GX604/GN604)^0.2-1)*100)))</f>
        <v>3.4866490012269935</v>
      </c>
      <c r="HA604" s="98"/>
      <c r="HC604"/>
      <c r="HD604"/>
      <c r="HE604"/>
      <c r="HF604"/>
      <c r="HG604"/>
      <c r="HH604"/>
    </row>
    <row r="605" spans="1:216" s="10" customFormat="1" ht="12.75" customHeight="1" x14ac:dyDescent="0.2">
      <c r="B605" s="310" t="s">
        <v>461</v>
      </c>
      <c r="C605" s="99">
        <f>+C604-C608</f>
        <v>204</v>
      </c>
      <c r="D605" s="94"/>
      <c r="E605" s="99">
        <f>+E604-E608</f>
        <v>200</v>
      </c>
      <c r="F605" s="92"/>
      <c r="G605" s="99">
        <f>+G604-G608</f>
        <v>201</v>
      </c>
      <c r="H605" s="92"/>
      <c r="I605" s="99">
        <f>+I604-I608</f>
        <v>213</v>
      </c>
      <c r="J605" s="98"/>
      <c r="K605" s="461">
        <f>+K604-K608</f>
        <v>188</v>
      </c>
      <c r="L605" s="98">
        <f>IF(ISERROR((K605/C605-1)*100),"NA",IF(((K605/C605-1)*100)&gt;100,"NM",IF(((K605/C605-1)*100)&lt;-50,"NM",(K605/C605-1)*100)))</f>
        <v>-7.8431372549019667</v>
      </c>
      <c r="M605" s="461">
        <f>+M604-M608</f>
        <v>210</v>
      </c>
      <c r="N605" s="98">
        <f>IF(ISERROR((M605/E605-1)*100),"NA",IF(((M605/E605-1)*100)&gt;100,"NM",IF(((M605/E605-1)*100)&lt;-50,"NM",(M605/E605-1)*100)))</f>
        <v>5.0000000000000044</v>
      </c>
      <c r="O605" s="462">
        <v>117.67711170428467</v>
      </c>
      <c r="P605" s="98">
        <f>IF(ISERROR((O605/G605-1)*100),"NA",IF(((O605/G605-1)*100)&gt;100,"NM",IF(((O605/G605-1)*100)&lt;-50,"NM",(O605/G605-1)*100)))</f>
        <v>-41.454173281450416</v>
      </c>
      <c r="Q605" s="461">
        <f>+Q604-Q608</f>
        <v>234.09204028527427</v>
      </c>
      <c r="R605" s="98">
        <f>IF(ISERROR((Q605/I605-1)*100),"NA",IF(((Q605/I605-1)*100)&gt;100,"NM",IF(((Q605/I605-1)*100)&lt;-50,"NM",(Q605/I605-1)*100)))</f>
        <v>9.9023663311146759</v>
      </c>
      <c r="S605" s="99">
        <f>+S604-S608</f>
        <v>211</v>
      </c>
      <c r="T605" s="98">
        <f>IF(ISERROR((S605/K605-1)*100),"NA",IF(((S605/K605-1)*100)&gt;100,"NM",IF(((S605/K605-1)*100)&lt;-50,"NM",(S605/K605-1)*100)))</f>
        <v>12.234042553191493</v>
      </c>
      <c r="U605" s="99">
        <f>+U604-U608</f>
        <v>242</v>
      </c>
      <c r="V605" s="98">
        <f>IF(ISERROR((U605/M605-1)*100),"NA",IF(((U605/M605-1)*100)&gt;100,"NM",IF(((U605/M605-1)*100)&lt;-50,"NM",(U605/M605-1)*100)))</f>
        <v>15.238095238095228</v>
      </c>
      <c r="W605" s="99">
        <f>+W604-W608</f>
        <v>235</v>
      </c>
      <c r="X605" s="98">
        <f>IF(ISERROR((W605/O605-1)*100),"NA",IF(((W605/O605-1)*100)&gt;100,"NM",IF(((W605/O605-1)*100)&lt;-50,"NM",(W605/O605-1)*100)))</f>
        <v>99.698986996333261</v>
      </c>
      <c r="Y605" s="99">
        <f>+Y604-Y608</f>
        <v>103.83006535947709</v>
      </c>
      <c r="Z605" s="98" t="str">
        <f>IF(ISERROR((Y605/Q605-1)*100),"NA",IF(((Y605/Q605-1)*100)&gt;100,"NM",IF(((Y605/Q605-1)*100)&lt;-50,"NM",(Y605/Q605-1)*100)))</f>
        <v>NM</v>
      </c>
      <c r="AA605" s="99">
        <f>+AA604-AA608</f>
        <v>199</v>
      </c>
      <c r="AB605" s="98">
        <f>IF(ISERROR((AA605/S605-1)*100),"NA",IF(((AA605/S605-1)*100)&gt;100,"NM",IF(((AA605/S605-1)*100)&lt;-50,"NM",(AA605/S605-1)*100)))</f>
        <v>-5.687203791469198</v>
      </c>
      <c r="AC605" s="99">
        <f>+AC604-AC608</f>
        <v>233</v>
      </c>
      <c r="AD605" s="98">
        <f>IF(ISERROR((AC605/U605-1)*100),"NA",IF(((AC605/U605-1)*100)&gt;100,"NM",IF(((AC605/U605-1)*100)&lt;-50,"NM",(AC605/U605-1)*100)))</f>
        <v>-3.7190082644628086</v>
      </c>
      <c r="AE605" s="99">
        <f>+AE604-AE608</f>
        <v>228</v>
      </c>
      <c r="AF605" s="98">
        <f>IF(ISERROR((AE605/W605-1)*100),"NA",IF(((AE605/W605-1)*100)&gt;100,"NM",IF(((AE605/W605-1)*100)&lt;-50,"NM",(AE605/W605-1)*100)))</f>
        <v>-2.9787234042553234</v>
      </c>
      <c r="AG605" s="99">
        <f>+AG604-AG608</f>
        <v>226</v>
      </c>
      <c r="AH605" s="98" t="str">
        <f>IF(ISERROR((AG605/Y605-1)*100),"NA",IF(((AG605/Y605-1)*100)&gt;100,"NM",IF(((AG605/Y605-1)*100)&lt;-50,"NM",(AG605/Y605-1)*100)))</f>
        <v>NM</v>
      </c>
      <c r="AI605" s="99">
        <f>+AI604-AI608</f>
        <v>271</v>
      </c>
      <c r="AJ605" s="98">
        <f>IF(ISERROR((AI605/AA605-1)*100),"NA",IF(((AI605/AA605-1)*100)&gt;100,"NM",IF(((AI605/AA605-1)*100)&lt;-50,"NM",(AI605/AA605-1)*100)))</f>
        <v>36.180904522613069</v>
      </c>
      <c r="AK605" s="99">
        <f>+AK604-AK608</f>
        <v>213</v>
      </c>
      <c r="AL605" s="98">
        <f>IF(ISERROR((AK605/AC605-1)*100),"NA",IF(((AK605/AC605-1)*100)&gt;100,"NM",IF(((AK605/AC605-1)*100)&lt;-50,"NM",(AK605/AC605-1)*100)))</f>
        <v>-8.5836909871244593</v>
      </c>
      <c r="AM605" s="99">
        <f>+AM604-AM608</f>
        <v>258</v>
      </c>
      <c r="AN605" s="98">
        <f>IF(ISERROR((AM605/AE605-1)*100),"NA",IF(((AM605/AE605-1)*100)&gt;100,"NM",IF(((AM605/AE605-1)*100)&lt;-50,"NM",(AM605/AE605-1)*100)))</f>
        <v>13.157894736842103</v>
      </c>
      <c r="AO605" s="99">
        <f>+AO604-AO608</f>
        <v>296</v>
      </c>
      <c r="AP605" s="98">
        <f>IF(ISERROR((AO605/AG605-1)*100),"NA",IF(((AO605/AG605-1)*100)&gt;100,"NM",IF(((AO605/AG605-1)*100)&lt;-50,"NM",(AO605/AG605-1)*100)))</f>
        <v>30.973451327433633</v>
      </c>
      <c r="AQ605" s="99">
        <f>+AQ604-AQ608</f>
        <v>360</v>
      </c>
      <c r="AR605" s="98">
        <f>IF(ISERROR((AQ605/AI605-1)*100),"NA",IF(((AQ605/AI605-1)*100)&gt;100,"NM",IF(((AQ605/AI605-1)*100)&lt;-50,"NM",(AQ605/AI605-1)*100)))</f>
        <v>32.841328413284131</v>
      </c>
      <c r="AS605" s="99">
        <f>+AS604-AS608</f>
        <v>383</v>
      </c>
      <c r="AT605" s="98">
        <f>IF(ISERROR((AS605/AK605-1)*100),"NA",IF(((AS605/AK605-1)*100)&gt;100,"NM",IF(((AS605/AK605-1)*100)&lt;-50,"NM",(AS605/AK605-1)*100)))</f>
        <v>79.812206572769952</v>
      </c>
      <c r="AU605" s="99">
        <f>+AU604-AU608</f>
        <v>321</v>
      </c>
      <c r="AV605" s="98">
        <f>IF(ISERROR((AU605/AM605-1)*100),"NA",IF(((AU605/AM605-1)*100)&gt;100,"NM",IF(((AU605/AM605-1)*100)&lt;-50,"NM",(AU605/AM605-1)*100)))</f>
        <v>24.418604651162788</v>
      </c>
      <c r="AW605" s="99">
        <f>+AW604-AW608</f>
        <v>413</v>
      </c>
      <c r="AX605" s="98">
        <f>IF(ISERROR((AW605/AO605-1)*100),"NA",IF(((AW605/AO605-1)*100)&gt;100,"NM",IF(((AW605/AO605-1)*100)&lt;-50,"NM",(AW605/AO605-1)*100)))</f>
        <v>39.527027027027017</v>
      </c>
      <c r="AY605" s="99">
        <f>+AY604-AY608</f>
        <v>491</v>
      </c>
      <c r="AZ605" s="98">
        <f>IF(ISERROR((AY605/AQ605-1)*100),"NA",IF(((AY605/AQ605-1)*100)&gt;100,"NM",IF(((AY605/AQ605-1)*100)&lt;-50,"NM",(AY605/AQ605-1)*100)))</f>
        <v>36.388888888888893</v>
      </c>
      <c r="BA605" s="99">
        <f>+BA604-BA608</f>
        <v>463</v>
      </c>
      <c r="BB605" s="98">
        <f>IF(ISERROR((BA605/AS605-1)*100),"NA",IF(((BA605/AS605-1)*100)&gt;100,"NM",IF(((BA605/AS605-1)*100)&lt;-50,"NM",(BA605/AS605-1)*100)))</f>
        <v>20.88772845953002</v>
      </c>
      <c r="BC605" s="99">
        <f>+BC604-BC608</f>
        <v>407</v>
      </c>
      <c r="BD605" s="98">
        <f>IF(ISERROR((BC605/AU605-1)*100),"NA",IF(((BC605/AU605-1)*100)&gt;100,"NM",IF(((BC605/AU605-1)*100)&lt;-50,"NM",(BC605/AU605-1)*100)))</f>
        <v>26.791277258566982</v>
      </c>
      <c r="BE605" s="99">
        <f>+BE604-BE608</f>
        <v>442</v>
      </c>
      <c r="BF605" s="98">
        <f>IF(ISERROR((BE605/AW605-1)*100),"NA",IF(((BE605/AW605-1)*100)&gt;100,"NM",IF(((BE605/AW605-1)*100)&lt;-50,"NM",(BE605/AW605-1)*100)))</f>
        <v>7.0217917675544861</v>
      </c>
      <c r="BG605" s="99">
        <f>+BG604-BG608</f>
        <v>500</v>
      </c>
      <c r="BH605" s="98">
        <f>IF(ISERROR((BG605/AY605-1)*100),"NA",IF(((BG605/AY605-1)*100)&gt;100,"NM",IF(((BG605/AY605-1)*100)&lt;-50,"NM",(BG605/AY605-1)*100)))</f>
        <v>1.8329938900203624</v>
      </c>
      <c r="BI605" s="99">
        <f>+BI604-BI608</f>
        <v>622</v>
      </c>
      <c r="BJ605" s="98">
        <f>IF(ISERROR((BI605/BA605-1)*100),"NA",IF(((BI605/BA605-1)*100)&gt;100,"NM",IF(((BI605/BA605-1)*100)&lt;-50,"NM",(BI605/BA605-1)*100)))</f>
        <v>34.341252699784008</v>
      </c>
      <c r="BK605" s="99">
        <f>+BK604-BK608</f>
        <v>522</v>
      </c>
      <c r="BL605" s="98">
        <f>IF(ISERROR((BK605/BC605-1)*100),"NA",IF(((BK605/BC605-1)*100)&gt;100,"NM",IF(((BK605/BC605-1)*100)&lt;-50,"NM",(BK605/BC605-1)*100)))</f>
        <v>28.255528255528262</v>
      </c>
      <c r="BM605" s="99">
        <f>+BM604-BM608</f>
        <v>519</v>
      </c>
      <c r="BN605" s="98">
        <f>IF(ISERROR((BM605/BE605-1)*100),"NA",IF(((BM605/BE605-1)*100)&gt;100,"NM",IF(((BM605/BE605-1)*100)&lt;-50,"NM",(BM605/BE605-1)*100)))</f>
        <v>17.420814479638015</v>
      </c>
      <c r="BO605" s="119">
        <f>+BO604-BO608</f>
        <v>489</v>
      </c>
      <c r="BP605" s="98">
        <f>IF(ISERROR((BO605/BG605-1)*100),"NA",IF(((BO605/BG605-1)*100)&gt;100,"NM",IF(((BO605/BG605-1)*100)&lt;-50,"NM",(BO605/BG605-1)*100)))</f>
        <v>-2.200000000000002</v>
      </c>
      <c r="BQ605" s="119">
        <f>+BQ604-BQ608</f>
        <v>379</v>
      </c>
      <c r="BR605" s="98">
        <f>IF(ISERROR((BQ605/BI605-1)*100),"NA",IF(((BQ605/BI605-1)*100)&gt;100,"NM",IF(((BQ605/BI605-1)*100)&lt;-50,"NM",(BQ605/BI605-1)*100)))</f>
        <v>-39.067524115755624</v>
      </c>
      <c r="BS605" s="119">
        <f>+BS604-BS608</f>
        <v>304</v>
      </c>
      <c r="BT605" s="98">
        <f>IF(ISERROR((BS605/BK605-1)*100),"NA",IF(((BS605/BK605-1)*100)&gt;100,"NM",IF(((BS605/BK605-1)*100)&lt;-50,"NM",(BS605/BK605-1)*100)))</f>
        <v>-41.762452107279692</v>
      </c>
      <c r="BU605" s="119">
        <f>+BU604-BU608</f>
        <v>218</v>
      </c>
      <c r="BV605" s="98" t="str">
        <f>IF(ISERROR((BU605/BM605-1)*100),"NA",IF(((BU605/BM605-1)*100)&gt;100,"NM",IF(((BU605/BM605-1)*100)&lt;-50,"NM",(BU605/BM605-1)*100)))</f>
        <v>NM</v>
      </c>
      <c r="BW605" s="119">
        <f>+BW604-BW608</f>
        <v>245</v>
      </c>
      <c r="BX605" s="98">
        <f>IF(ISERROR((BW605/BO605-1)*100),"NA",IF(((BW605/BO605-1)*100)&gt;100,"NM",IF(((BW605/BO605-1)*100)&lt;-50,"NM",(BW605/BO605-1)*100)))</f>
        <v>-49.897750511247438</v>
      </c>
      <c r="BY605" s="119">
        <f>+BY604-BY608</f>
        <v>838</v>
      </c>
      <c r="BZ605" s="98" t="str">
        <f>IF(ISERROR((BY605/BQ605-1)*100),"NA",IF(((BY605/BQ605-1)*100)&gt;100,"NM",IF(((BY605/BQ605-1)*100)&lt;-50,"NM",(BY605/BQ605-1)*100)))</f>
        <v>NM</v>
      </c>
      <c r="CA605" s="119">
        <f>+CA604-CA608</f>
        <v>773</v>
      </c>
      <c r="CB605" s="98" t="str">
        <f>IF(ISERROR((CA605/BS605-1)*100),"NA",IF(((CA605/BS605-1)*100)&gt;100,"NM",IF(((CA605/BS605-1)*100)&lt;-50,"NM",(CA605/BS605-1)*100)))</f>
        <v>NM</v>
      </c>
      <c r="CC605" s="121">
        <v>247</v>
      </c>
      <c r="CD605" s="98">
        <f>IF(ISERROR((CC605/BU605-1)*100),"NA",IF(((CC605/BU605-1)*100)&gt;100,"NM",IF(((CC605/BU605-1)*100)&lt;-50,"NM",(CC605/BU605-1)*100)))</f>
        <v>13.30275229357798</v>
      </c>
      <c r="CE605" s="121">
        <v>392</v>
      </c>
      <c r="CF605" s="98">
        <f>IF(ISERROR((CE605/BW605-1)*100),"NA",IF(((CE605/BW605-1)*100)&gt;100,"NM",IF(((CE605/BW605-1)*100)&lt;-50,"NM",(CE605/BW605-1)*100)))</f>
        <v>60.000000000000007</v>
      </c>
      <c r="CG605" s="121">
        <v>356</v>
      </c>
      <c r="CH605" s="98" t="str">
        <f>IF(ISERROR((CG605/BY605-1)*100),"NA",IF(((CG605/BY605-1)*100)&gt;100,"NM",IF(((CG605/BY605-1)*100)&lt;-50,"NM",(CG605/BY605-1)*100)))</f>
        <v>NM</v>
      </c>
      <c r="CI605" s="121">
        <v>420</v>
      </c>
      <c r="CJ605" s="98">
        <f>IF(ISERROR((CI605/CA605-1)*100),"NA",IF(((CI605/CA605-1)*100)&gt;100,"NM",IF(((CI605/CA605-1)*100)&lt;-50,"NM",(CI605/CA605-1)*100)))</f>
        <v>-45.666235446313067</v>
      </c>
      <c r="CK605" s="121">
        <v>440</v>
      </c>
      <c r="CL605" s="98">
        <f>IF(ISERROR((CK605/CC605-1)*100),"NA",IF(((CK605/CC605-1)*100)&gt;100,"NM",IF(((CK605/CC605-1)*100)&lt;-50,"NM",(CK605/CC605-1)*100)))</f>
        <v>78.137651821862335</v>
      </c>
      <c r="CM605" s="121">
        <v>564</v>
      </c>
      <c r="CN605" s="98">
        <f>IF(ISERROR((CM605/CE605-1)*100),"NA",IF(((CM605/CE605-1)*100)&gt;100,"NM",IF(((CM605/CE605-1)*100)&lt;-50,"NM",(CM605/CE605-1)*100)))</f>
        <v>43.877551020408156</v>
      </c>
      <c r="CO605" s="121">
        <v>521</v>
      </c>
      <c r="CP605" s="98">
        <f>IF(ISERROR((CO605/CG605-1)*100),"NA",IF(((CO605/CG605-1)*100)&gt;100,"NM",IF(((CO605/CG605-1)*100)&lt;-50,"NM",(CO605/CG605-1)*100)))</f>
        <v>46.348314606741582</v>
      </c>
      <c r="CQ605" s="557">
        <v>324</v>
      </c>
      <c r="CR605" s="98">
        <f>IF(ISERROR((CQ605/CI605-1)*100),"NA",IF(((CQ605/CI605-1)*100)&gt;100,"NM",IF(((CQ605/CI605-1)*100)&lt;-50,"NM",(CQ605/CI605-1)*100)))</f>
        <v>-22.857142857142854</v>
      </c>
      <c r="CS605" s="121">
        <v>503</v>
      </c>
      <c r="CT605" s="98">
        <f>IF(ISERROR((CS605/CK605-1)*100),"NA",IF(((CS605/CK605-1)*100)&gt;100,"NM",IF(((CS605/CK605-1)*100)&lt;-50,"NM",(CS605/CK605-1)*100)))</f>
        <v>14.318181818181808</v>
      </c>
      <c r="CU605" s="121">
        <v>596</v>
      </c>
      <c r="CV605" s="98">
        <f>IF(ISERROR((CU605/CM605-1)*100),"NA",IF(((CU605/CM605-1)*100)&gt;100,"NM",IF(((CU605/CM605-1)*100)&lt;-50,"NM",(CU605/CM605-1)*100)))</f>
        <v>5.6737588652482351</v>
      </c>
      <c r="CW605" s="121">
        <v>583</v>
      </c>
      <c r="CX605" s="98">
        <f>IF(ISERROR((CW605/CO605-1)*100),"NA",IF(((CW605/CO605-1)*100)&gt;100,"NM",IF(((CW605/CO605-1)*100)&lt;-50,"NM",(CW605/CO605-1)*100)))</f>
        <v>11.900191938579653</v>
      </c>
      <c r="CY605" s="121">
        <v>579</v>
      </c>
      <c r="CZ605" s="98">
        <f>IF(ISERROR((CY605/CQ605-1)*100),"NA",IF(((CY605/CQ605-1)*100)&gt;100,"NM",IF(((CY605/CQ605-1)*100)&lt;-50,"NM",(CY605/CQ605-1)*100)))</f>
        <v>78.703703703703695</v>
      </c>
      <c r="DA605" s="121">
        <v>565</v>
      </c>
      <c r="DB605" s="98">
        <f>IF(ISERROR((DA605/CS605-1)*100),"NA",IF(((DA605/CS605-1)*100)&gt;100,"NM",IF(((DA605/CS605-1)*100)&lt;-50,"NM",(DA605/CS605-1)*100)))</f>
        <v>12.326043737574555</v>
      </c>
      <c r="DC605" s="121">
        <v>641</v>
      </c>
      <c r="DD605" s="98">
        <f>IF(ISERROR((DC605/CU605-1)*100),"NA",IF(((DC605/CU605-1)*100)&gt;100,"NM",IF(((DC605/CU605-1)*100)&lt;-50,"NM",(DC605/CU605-1)*100)))</f>
        <v>7.5503355704698016</v>
      </c>
      <c r="DE605" s="121">
        <v>619</v>
      </c>
      <c r="DF605" s="98">
        <f>IF(ISERROR((DE605/CW605-1)*100),"NA",IF(((DE605/CW605-1)*100)&gt;100,"NM",IF(((DE605/CW605-1)*100)&lt;-50,"NM",(DE605/CW605-1)*100)))</f>
        <v>6.1749571183533414</v>
      </c>
      <c r="DG605" s="121">
        <v>547</v>
      </c>
      <c r="DH605" s="98">
        <f>IF(ISERROR((DG605/CY605-1)*100),"NA",IF(((DG605/CY605-1)*100)&gt;100,"NM",IF(((DG605/CY605-1)*100)&lt;-50,"NM",(DG605/CY605-1)*100)))</f>
        <v>-5.5267702936096725</v>
      </c>
      <c r="DI605" s="121">
        <v>537</v>
      </c>
      <c r="DJ605" s="98">
        <f>IF(ISERROR((DI605/DA605-1)*100),"NA",IF(((DI605/DA605-1)*100)&gt;100,"NM",IF(((DI605/DA605-1)*100)&lt;-50,"NM",(DI605/DA605-1)*100)))</f>
        <v>-4.9557522123893865</v>
      </c>
      <c r="DK605" s="121">
        <v>604</v>
      </c>
      <c r="DL605" s="98">
        <f>IF(ISERROR((DK605/DC605-1)*100),"NA",IF(((DK605/DC605-1)*100)&gt;100,"NM",IF(((DK605/DC605-1)*100)&lt;-50,"NM",(DK605/DC605-1)*100)))</f>
        <v>-5.7722308892355745</v>
      </c>
      <c r="DM605" s="121">
        <v>618</v>
      </c>
      <c r="DN605" s="98">
        <f>IF(ISERROR((DM605/DE605-1)*100),"NA",IF(((DM605/DE605-1)*100)&gt;100,"NM",IF(((DM605/DE605-1)*100)&lt;-50,"NM",(DM605/DE605-1)*100)))</f>
        <v>-0.1615508885298822</v>
      </c>
      <c r="DO605" s="121">
        <v>656</v>
      </c>
      <c r="DP605" s="98">
        <f>IF(ISERROR((DO605/DG605-1)*100),"NA",IF(((DO605/DG605-1)*100)&gt;100,"NM",IF(((DO605/DG605-1)*100)&lt;-50,"NM",(DO605/DG605-1)*100)))</f>
        <v>19.926873857404015</v>
      </c>
      <c r="DQ605" s="121">
        <v>500</v>
      </c>
      <c r="DR605" s="98">
        <f>IF(ISERROR((DQ605/DI605-1)*100),"NA",IF(((DQ605/DI605-1)*100)&gt;100,"NM",IF(((DQ605/DI605-1)*100)&lt;-50,"NM",(DQ605/DI605-1)*100)))</f>
        <v>-6.8901303538175025</v>
      </c>
      <c r="DS605" s="1131">
        <f>DS575+DS534+DS501+DS368+DS332+DS299+DS267+DS188+DS113</f>
        <v>450</v>
      </c>
      <c r="DT605" s="1111">
        <v>-1.655629139072845</v>
      </c>
      <c r="DU605" s="1131">
        <f>DU575+DU534+DU501+DU368+DU332+DU299+DU267+DU188+DU113</f>
        <v>376</v>
      </c>
      <c r="DV605" s="1111">
        <v>-12.783171521035596</v>
      </c>
      <c r="DW605" s="1131">
        <f>DW575+DW534+DW501+DW368+DW332+DW299+DW267+DW188+DW113</f>
        <v>688</v>
      </c>
      <c r="DX605" s="1111">
        <v>20.579268292682929</v>
      </c>
      <c r="DY605" s="1131">
        <f>DY575+DY534+DY501+DY368+DY332+DY299+DY267+DY188+DY113</f>
        <v>257</v>
      </c>
      <c r="DZ605" s="1111">
        <v>-19.599999999999994</v>
      </c>
      <c r="EA605" s="1131">
        <f>EA534+EA501+EA368+EA332+EA299+EA267+EA188+EA113</f>
        <v>307</v>
      </c>
      <c r="EB605" s="1111">
        <v>-28.956228956228959</v>
      </c>
      <c r="EC605" s="1131">
        <f>EC534+EC501+EC368+EC332+EC299+EC267+EC188+EC113</f>
        <v>181</v>
      </c>
      <c r="ED605" s="98" t="str">
        <f>IF(ISERROR((EC605/DU605-1)*100),"NA",IF(((EC605/DU605-1)*100)&gt;100,"NM",IF(((EC605/DU605-1)*100)&lt;-50,"NM",(EC605/DU605-1)*100)))</f>
        <v>NM</v>
      </c>
      <c r="EE605" s="1131">
        <f>EE534+EE501+EE368+EE332+EE299+EE267+EE188+EE113</f>
        <v>327</v>
      </c>
      <c r="EF605" s="860" t="str">
        <f>IF(ISERROR((EE605/DW605-1)*100),"NA",IF(((EE605/DW605-1)*100)&gt;100,"NM",IF(((EE605/DW605-1)*100)&lt;-50,"NM",(EE605/DW605-1)*100)))</f>
        <v>NM</v>
      </c>
      <c r="EG605" s="1131">
        <f>EG534+EG501+EG368+EG332+EG299+EG267+EG188+EG113</f>
        <v>191</v>
      </c>
      <c r="EH605" s="860">
        <f>IF(ISERROR((EG605/DY605-1)*100),"NA",IF(((EG605/DY605-1)*100)&gt;100,"NM",IF(((EG605/DY605-1)*100)&lt;-50,"NM",(EG605/DY605-1)*100)))</f>
        <v>-25.680933852140075</v>
      </c>
      <c r="EI605" s="1131">
        <f>EI534+EI501+EI368+EI332+EI299+EI267+EI188+EI113</f>
        <v>360</v>
      </c>
      <c r="EJ605" s="860">
        <f t="shared" si="3464"/>
        <v>17.263843648208478</v>
      </c>
      <c r="EK605" s="1131">
        <f>EK534+EK501+EK368+EK332+EK299+EK267+EK188+EK113</f>
        <v>288</v>
      </c>
      <c r="EL605" s="860">
        <f t="shared" si="3465"/>
        <v>59.116022099447505</v>
      </c>
      <c r="EM605" s="1131">
        <f>EM575+EM534+EM501+EM368+EM332+EM299+EM267+EM188+EM113</f>
        <v>587</v>
      </c>
      <c r="EN605" s="860">
        <f t="shared" si="3466"/>
        <v>79.510703363914374</v>
      </c>
      <c r="EO605" s="1131">
        <f>EO575+EO534+EO501+EO368+EO332+EO299+EO267+EO188+EO113</f>
        <v>483</v>
      </c>
      <c r="EP605" s="98" t="str">
        <f t="shared" si="3467"/>
        <v>NM</v>
      </c>
      <c r="EQ605" s="1131">
        <f>+EQ534+EQ501+EQ368+EQ332+EQ299+EQ267+EQ188+EQ113</f>
        <v>280.47274941684378</v>
      </c>
      <c r="ER605" s="98">
        <f t="shared" si="3468"/>
        <v>-22.090902939765613</v>
      </c>
      <c r="ES605" s="1131">
        <f>+ES534+ES501+ES368+ES332+ES299+ES267+ES188+ES113</f>
        <v>281.13357394231082</v>
      </c>
      <c r="ET605" s="98">
        <f t="shared" si="3470"/>
        <v>-2.3841757144754117</v>
      </c>
      <c r="EU605" s="1131">
        <f>+EU534+EU501+EU368+EU332+EU299+EU267+EU188+EU113</f>
        <v>285.16205086706964</v>
      </c>
      <c r="EV605" s="98" t="str">
        <f t="shared" si="3472"/>
        <v>NM</v>
      </c>
      <c r="EW605" s="1131">
        <f>+EW534+EW501+EW368+EW332+EW299+EW267+EW188+EW113</f>
        <v>285.62278099558949</v>
      </c>
      <c r="EX605" s="98">
        <f t="shared" si="3474"/>
        <v>-40.864848655157459</v>
      </c>
      <c r="EY605" s="99"/>
      <c r="EZ605" s="594"/>
      <c r="FA605" s="405"/>
      <c r="FB605" s="95"/>
      <c r="FC605" s="92"/>
      <c r="FD605" s="94"/>
      <c r="FE605" s="98" t="str">
        <f>IF(ISERROR((FD605/FB605-1)*100),"NA",IF(((FD605/FB605-1)*100)&gt;100,"NM",IF(((FD605/FB605-1)*100)&lt;-50,"NM",(FD605/FB605-1)*100)))</f>
        <v>NA</v>
      </c>
      <c r="FF605" s="99">
        <v>818</v>
      </c>
      <c r="FG605" s="98" t="str">
        <f>IF(ISERROR((FF605/FD605-1)*100),"NA",IF(((FF605/FD605-1)*100)&gt;100,"NM",IF(((FF605/FD605-1)*100)&lt;-50,"NM",(FF605/FD605-1)*100)))</f>
        <v>NA</v>
      </c>
      <c r="FH605" s="99">
        <v>749.76915198955885</v>
      </c>
      <c r="FI605" s="98">
        <f>IF(ISERROR((FH605/FF605-1)*100),"NA",IF(((FH605/FF605-1)*100)&gt;100,"NM",IF(((FH605/FF605-1)*100)&lt;-50,"NM",(FH605/FF605-1)*100)))</f>
        <v>-8.3411794633791114</v>
      </c>
      <c r="FJ605" s="99">
        <f>SUM(S605,U605,W605,Y605)</f>
        <v>791.83006535947709</v>
      </c>
      <c r="FK605" s="98">
        <f>IF(ISERROR((FJ605/FH605-1)*100),"NA",IF(((FJ605/FH605-1)*100)&gt;100,"NM",IF(((FJ605/FH605-1)*100)&lt;-50,"NM",(FJ605/FH605-1)*100)))</f>
        <v>5.609848479136148</v>
      </c>
      <c r="FL605" s="99">
        <f>SUM(AA605,AC605,AE605,AG605)</f>
        <v>886</v>
      </c>
      <c r="FM605" s="98">
        <f>IF(ISERROR((FL605/FJ605-1)*100),"NA",IF(((FL605/FJ605-1)*100)&gt;100,"NM",IF(((FL605/FJ605-1)*100)&lt;-50,"NM",(FL605/FJ605-1)*100)))</f>
        <v>11.892695006190678</v>
      </c>
      <c r="FN605" s="99">
        <f>SUM(AI605,AK605,AM605,AO605)</f>
        <v>1038</v>
      </c>
      <c r="FO605" s="98">
        <f>IF(ISERROR((FN605/FL605-1)*100),"NA",IF(((FN605/FL605-1)*100)&gt;100,"NM",IF(((FN605/FL605-1)*100)&lt;-50,"NM",(FN605/FL605-1)*100)))</f>
        <v>17.155756207674933</v>
      </c>
      <c r="FP605" s="99">
        <f>SUM(AQ605,AS605,AU605,AW605)</f>
        <v>1477</v>
      </c>
      <c r="FQ605" s="98">
        <f>IF(ISERROR((FP605/FN605-1)*100),"NA",IF(((FP605/FN605-1)*100)&gt;100,"NM",IF(((FP605/FN605-1)*100)&lt;-50,"NM",(FP605/FN605-1)*100)))</f>
        <v>42.292870905587662</v>
      </c>
      <c r="FR605" s="99">
        <f>SUM(AY605,BA605,BC605,BE605)</f>
        <v>1803</v>
      </c>
      <c r="FS605" s="120">
        <f>IF(ISERROR((FR605/FP605-1)*100),"NA",IF(((FR605/FP605-1)*100)&gt;100,"NM",IF(((FR605/FP605-1)*100)&lt;-50,"NM",(FR605/FP605-1)*100)))</f>
        <v>22.07176709546377</v>
      </c>
      <c r="FT605" s="99">
        <f>SUM(BG605,BI605,BK605,BM605)</f>
        <v>2163</v>
      </c>
      <c r="FU605" s="120">
        <f>IF(ISERROR((FT605/FR605-1)*100),"NA",IF(((FT605/FR605-1)*100)&gt;100,"NM",IF(((FT605/FR605-1)*100)&lt;-50,"NM",(FT605/FR605-1)*100)))</f>
        <v>19.966722129783697</v>
      </c>
      <c r="FV605" s="119">
        <f>+FV604-FV608-FV607</f>
        <v>1390</v>
      </c>
      <c r="FW605" s="98">
        <f>IF(ISERROR((FV605/FT605-1)*100),"NA",IF(((FV605/FT605-1)*100)&gt;100,"NM",IF(((FV605/FT605-1)*100)&lt;-50,"NM",(FV605/FT605-1)*100)))</f>
        <v>-35.737401756819231</v>
      </c>
      <c r="FX605" s="485">
        <f>SUM(BW605,BY605,CA605,CC605)</f>
        <v>2103</v>
      </c>
      <c r="FY605" s="98">
        <f>IF(ISERROR((FX605/FV605-1)*100),"NA",IF(((FX605/FV605-1)*100)&gt;100,"NM",IF(((FX605/FV605-1)*100)&lt;-50,"NM",(FX605/FV605-1)*100)))</f>
        <v>51.294964028776981</v>
      </c>
      <c r="FZ605" s="119">
        <f>CE605+CG605+CI605+CK605</f>
        <v>1608</v>
      </c>
      <c r="GA605" s="98">
        <f>IF(ISERROR((FZ605/FX605-1)*100),"NA",IF(((FZ605/FX605-1)*100)&gt;100,"NM",IF(((FZ605/FX605-1)*100)&lt;-50,"NM",(FZ605/FX605-1)*100)))</f>
        <v>-23.537803138373746</v>
      </c>
      <c r="GB605" s="533">
        <v>1879</v>
      </c>
      <c r="GC605" s="98">
        <f>IF(ISERROR((GB605/FZ605-1)*100),"NA",IF(((GB605/FZ605-1)*100)&gt;100,"NM",IF(((GB605/FZ605-1)*100)&lt;-50,"NM",(GB605/FZ605-1)*100)))</f>
        <v>16.853233830845781</v>
      </c>
      <c r="GD605" s="99">
        <f>+CU605+CW605+CY605+DA605</f>
        <v>2323</v>
      </c>
      <c r="GE605" s="98">
        <f>IF(ISERROR((GD605/GB605-1)*100),"NA",IF(((GD605/GB605-1)*100)&gt;100,"NM",IF(((GD605/GB605-1)*100)&lt;-50,"NM",(GD605/GB605-1)*100)))</f>
        <v>23.629590207557214</v>
      </c>
      <c r="GF605" s="99">
        <f>+DC605+DE605+DG605+DI605</f>
        <v>2344</v>
      </c>
      <c r="GG605" s="98">
        <f>IF(ISERROR((GF605/GD605-1)*100),"NA",IF(((GF605/GD605-1)*100)&gt;100,"NM",IF(((GF605/GD605-1)*100)&lt;-50,"NM",(GF605/GD605-1)*100)))</f>
        <v>0.90400344382264297</v>
      </c>
      <c r="GH605" s="99">
        <f>+DK605+DM605+DO605+DQ605</f>
        <v>2378</v>
      </c>
      <c r="GI605" s="98">
        <f>IF(ISERROR((GH605/GF605-1)*100),"NA",IF(((GH605/GF605-1)*100)&gt;100,"NM",IF(((GH605/GF605-1)*100)&lt;-50,"NM",(GH605/GF605-1)*100)))</f>
        <v>1.4505119453924964</v>
      </c>
      <c r="GJ605" s="1131">
        <f>GJ575+GJ534+GJ501+GJ368+GJ332+GJ299+GJ267+GJ188+GJ113</f>
        <v>1771</v>
      </c>
      <c r="GK605" s="98">
        <f>IF(ISERROR((GJ605/GH605-1)*100),"NA",IF(((GJ605/GH605-1)*100)&gt;100,"NM",IF(((GJ605/GH605-1)*100)&lt;-50,"NM",(GJ605/GH605-1)*100)))</f>
        <v>-25.525651808242223</v>
      </c>
      <c r="GL605" s="1131">
        <f>GL575+GL534+GL501+GL368+GL332+GL299+GL267+GL188+GL113</f>
        <v>1006</v>
      </c>
      <c r="GM605" s="98">
        <f>IF(ISERROR((GL605/GJ605-1)*100),"NA",IF(((GL605/GJ605-1)*100)&gt;100,"NM",IF(((GL605/GJ605-1)*100)&lt;-50,"NM",(GL605/GJ605-1)*100)))</f>
        <v>-43.195934500282327</v>
      </c>
      <c r="GN605" s="1131">
        <f>EI605+EK605+EM605+EO605</f>
        <v>1718</v>
      </c>
      <c r="GO605" s="98">
        <f>IF(ISERROR((GN605/GL605-1)*100),"NA",IF(((GN605/GL605-1)*100)&gt;100,"NM",IF(((GN605/GL605-1)*100)&lt;-50,"NM",(GN605/GL605-1)*100)))</f>
        <v>70.77534791252485</v>
      </c>
      <c r="GP605" s="1131">
        <f>EQ605+ES605+EU605+EW605</f>
        <v>1132.3911552218137</v>
      </c>
      <c r="GQ605" s="98">
        <f>IF(ISERROR((GP605/GN605-1)*100),"NA",IF(((GP605/GN605-1)*100)&gt;100,"NM",IF(((GP605/GN605-1)*100)&lt;-50,"NM",(GP605/GN605-1)*100)))</f>
        <v>-34.086661512117942</v>
      </c>
      <c r="GR605" s="1131">
        <f>+GR534+GR501+GR368+GR332+GR299+GR267+GR188+GR113</f>
        <v>1218.6951959284397</v>
      </c>
      <c r="GS605" s="98">
        <f>IF(ISERROR((GR605/GP605-1)*100),"NA",IF(((GR605/GP605-1)*100)&gt;100,"NM",IF(((GR605/GP605-1)*100)&lt;-50,"NM",(GR605/GP605-1)*100)))</f>
        <v>7.6213983400215346</v>
      </c>
      <c r="GT605" s="1131">
        <f>+GT534+GT501+GT368+GT332+GT299+GT267+GT188+GT113</f>
        <v>1325.5634504805553</v>
      </c>
      <c r="GU605" s="98">
        <f>IF(ISERROR((GT605/GR605-1)*100),"NA",IF(((GT605/GR605-1)*100)&gt;100,"NM",IF(((GT605/GR605-1)*100)&lt;-50,"NM",(GT605/GR605-1)*100)))</f>
        <v>8.7690716193149498</v>
      </c>
      <c r="GV605" s="1131">
        <f>+GV534+GV501+GV368+GV332+GV299+GV267+GV188+GV113</f>
        <v>1387.4753979080062</v>
      </c>
      <c r="GW605" s="98">
        <f>IF(ISERROR((GV605/GT605-1)*100),"NA",IF(((GV605/GT605-1)*100)&gt;100,"NM",IF(((GV605/GT605-1)*100)&lt;-50,"NM",(GV605/GT605-1)*100)))</f>
        <v>4.670613647728894</v>
      </c>
      <c r="GX605" s="1131">
        <f>+GX534+GX501+GX368+GX332+GX299+GX267+GX188+GX113</f>
        <v>1436.2475047999749</v>
      </c>
      <c r="GY605" s="98">
        <f>IF(ISERROR((GX605/GV605-1)*100),"NA",IF(((GX605/GV605-1)*100)&gt;100,"NM",IF(((GX605/GV605-1)*100)&lt;-50,"NM",(GX605/GV605-1)*100)))</f>
        <v>3.5151691313233924</v>
      </c>
      <c r="GZ605" s="98">
        <f>IF(ISERROR(((GX605/GN605)^0.2-1)*100),"NA",IF((((GX605/GN605)^0.2-1)*100)&gt;100,"NM",IF((((GX605/GN605)^0.2-1)*100)&lt;-50,"NM",((GX605/GN605)^0.2-1)*100)))</f>
        <v>-3.5191267678922777</v>
      </c>
      <c r="HA605" s="98"/>
      <c r="HC605"/>
      <c r="HD605"/>
      <c r="HE605"/>
      <c r="HF605"/>
      <c r="HG605"/>
      <c r="HH605"/>
    </row>
    <row r="606" spans="1:216" s="10" customFormat="1" ht="12.75" customHeight="1" x14ac:dyDescent="0.2">
      <c r="A606" s="10" t="s">
        <v>296</v>
      </c>
      <c r="B606" s="310" t="s">
        <v>462</v>
      </c>
      <c r="C606" s="316">
        <f>C605/C604*100</f>
        <v>34.693877551020407</v>
      </c>
      <c r="D606" s="92"/>
      <c r="E606" s="316">
        <f>E605/E604*100</f>
        <v>34.843205574912893</v>
      </c>
      <c r="F606" s="92"/>
      <c r="G606" s="316">
        <f>G605/G604*100</f>
        <v>34.358974358974358</v>
      </c>
      <c r="H606" s="92"/>
      <c r="I606" s="316">
        <f>I605/I604*100</f>
        <v>34.521880064829823</v>
      </c>
      <c r="J606" s="315"/>
      <c r="K606" s="462">
        <v>32.867132867132867</v>
      </c>
      <c r="L606" s="315">
        <f>IF(ISERROR((K606/C606-1)*100),"NA",IF(((K606/C606-1)*100)&gt;100,"NM",IF(((K606/C606-1)*100)&lt;-50,"NM",(K606/C606-1)*100)))</f>
        <v>-5.2653229123817313</v>
      </c>
      <c r="M606" s="462">
        <v>33.386327503974563</v>
      </c>
      <c r="N606" s="315">
        <f>IF(ISERROR((M606/E606-1)*100),"NA",IF(((M606/E606-1)*100)&gt;100,"NM",IF(((M606/E606-1)*100)&lt;-50,"NM",(M606/E606-1)*100)))</f>
        <v>-4.1812400635930054</v>
      </c>
      <c r="O606" s="462">
        <v>34.815709346419162</v>
      </c>
      <c r="P606" s="315">
        <f>IF(ISERROR((O606/G606-1)*100),"NA",IF(((O606/G606-1)*100)&gt;100,"NM",IF(((O606/G606-1)*100)&lt;-50,"NM",(O606/G606-1)*100)))</f>
        <v>1.3293033216677186</v>
      </c>
      <c r="Q606" s="462">
        <v>34.76815512845468</v>
      </c>
      <c r="R606" s="315">
        <f>IF(ISERROR((Q606/I606-1)*100),"NA",IF(((Q606/I606-1)*100)&gt;100,"NM",IF(((Q606/I606-1)*100)&lt;-50,"NM",(Q606/I606-1)*100)))</f>
        <v>0.71338832984289002</v>
      </c>
      <c r="S606" s="316">
        <f>S605/S604*100</f>
        <v>34.533551554828151</v>
      </c>
      <c r="T606" s="315">
        <f>IF(ISERROR((S606/K606-1)*100),"NA",IF(((S606/K606-1)*100)&gt;100,"NM",IF(((S606/K606-1)*100)&lt;-50,"NM",(S606/K606-1)*100)))</f>
        <v>5.0701674966048049</v>
      </c>
      <c r="U606" s="316">
        <f>U605/U604*100</f>
        <v>32.439678284182307</v>
      </c>
      <c r="V606" s="315">
        <f>IF(ISERROR((U606/M606-1)*100),"NA",IF(((U606/M606-1)*100)&gt;100,"NM",IF(((U606/M606-1)*100)&lt;-50,"NM",(U606/M606-1)*100)))</f>
        <v>-2.8354398059491914</v>
      </c>
      <c r="W606" s="316">
        <f>W605/W604*100</f>
        <v>31.886024423337854</v>
      </c>
      <c r="X606" s="315">
        <f>IF(ISERROR((W606/O606-1)*100),"NA",IF(((W606/O606-1)*100)&gt;100,"NM",IF(((W606/O606-1)*100)&lt;-50,"NM",(W606/O606-1)*100)))</f>
        <v>-8.4148362278955844</v>
      </c>
      <c r="Y606" s="94">
        <v>23.5</v>
      </c>
      <c r="Z606" s="315">
        <f>IF(ISERROR((Y606/Q606-1)*100),"NA",IF(((Y606/Q606-1)*100)&gt;100,"NM",IF(((Y606/Q606-1)*100)&lt;-50,"NM",(Y606/Q606-1)*100)))</f>
        <v>-32.409413403798013</v>
      </c>
      <c r="AA606" s="316">
        <f>AA605/AA604*100</f>
        <v>30.852713178294572</v>
      </c>
      <c r="AB606" s="315">
        <f>IF(ISERROR((AA606/S606-1)*100),"NA",IF(((AA606/S606-1)*100)&gt;100,"NM",IF(((AA606/S606-1)*100)&lt;-50,"NM",(AA606/S606-1)*100)))</f>
        <v>-10.658731033469271</v>
      </c>
      <c r="AC606" s="316">
        <f>AC605/AC604*100</f>
        <v>27.315357561547483</v>
      </c>
      <c r="AD606" s="315">
        <f>IF(ISERROR((AC606/U606-1)*100),"NA",IF(((AC606/U606-1)*100)&gt;100,"NM",IF(((AC606/U606-1)*100)&lt;-50,"NM",(AC606/U606-1)*100)))</f>
        <v>-15.796459748287518</v>
      </c>
      <c r="AE606" s="316">
        <f>AE605/AE604*100</f>
        <v>27.014218009478675</v>
      </c>
      <c r="AF606" s="315">
        <f>IF(ISERROR((AE606/W606-1)*100),"NA",IF(((AE606/W606-1)*100)&gt;100,"NM",IF(((AE606/W606-1)*100)&lt;-50,"NM",(AE606/W606-1)*100)))</f>
        <v>-15.278814157507304</v>
      </c>
      <c r="AG606" s="316">
        <f>AG605/AG604*100</f>
        <v>28.571428571428569</v>
      </c>
      <c r="AH606" s="315">
        <f>IF(ISERROR((AG606/Y606-1)*100),"NA",IF(((AG606/Y606-1)*100)&gt;100,"NM",IF(((AG606/Y606-1)*100)&lt;-50,"NM",(AG606/Y606-1)*100)))</f>
        <v>21.580547112462</v>
      </c>
      <c r="AI606" s="316">
        <f>AI605/AI604*100</f>
        <v>31.293302540415702</v>
      </c>
      <c r="AJ606" s="315">
        <f>IF(ISERROR((AI606/AA606-1)*100),"NA",IF(((AI606/AA606-1)*100)&gt;100,"NM",IF(((AI606/AA606-1)*100)&lt;-50,"NM",(AI606/AA606-1)*100)))</f>
        <v>1.4280408973272873</v>
      </c>
      <c r="AK606" s="316">
        <f>AK605/AK604*100</f>
        <v>21.756894790602654</v>
      </c>
      <c r="AL606" s="315">
        <f>IF(ISERROR((AK606/AC606-1)*100),"NA",IF(((AK606/AC606-1)*100)&gt;100,"NM",IF(((AK606/AC606-1)*100)&lt;-50,"NM",(AK606/AC606-1)*100)))</f>
        <v>-20.349222075604889</v>
      </c>
      <c r="AM606" s="316">
        <f>AM605/AM604*100</f>
        <v>29.452054794520549</v>
      </c>
      <c r="AN606" s="315">
        <f>IF(ISERROR((AM606/AE606-1)*100),"NA",IF(((AM606/AE606-1)*100)&gt;100,"NM",IF(((AM606/AE606-1)*100)&lt;-50,"NM",(AM606/AE606-1)*100)))</f>
        <v>9.0242730112953584</v>
      </c>
      <c r="AO606" s="316">
        <f>AO605/AO604*100</f>
        <v>30.962343096234306</v>
      </c>
      <c r="AP606" s="315">
        <f>IF(ISERROR((AO606/AG606-1)*100),"NA",IF(((AO606/AG606-1)*100)&gt;100,"NM",IF(((AO606/AG606-1)*100)&lt;-50,"NM",(AO606/AG606-1)*100)))</f>
        <v>8.3682008368200833</v>
      </c>
      <c r="AQ606" s="316">
        <f>AQ605/AQ604*100</f>
        <v>30.456852791878177</v>
      </c>
      <c r="AR606" s="315">
        <f>IF(ISERROR((AQ606/AI606-1)*100),"NA",IF(((AQ606/AI606-1)*100)&gt;100,"NM",IF(((AQ606/AI606-1)*100)&lt;-50,"NM",(AQ606/AI606-1)*100)))</f>
        <v>-2.6729353587951921</v>
      </c>
      <c r="AS606" s="316">
        <f>AS605/AS604*100</f>
        <v>30.566640063846766</v>
      </c>
      <c r="AT606" s="315">
        <f>IF(ISERROR((AS606/AK606-1)*100),"NA",IF(((AS606/AK606-1)*100)&gt;100,"NM",IF(((AS606/AK606-1)*100)&lt;-50,"NM",(AS606/AK606-1)*100)))</f>
        <v>40.491740011765188</v>
      </c>
      <c r="AU606" s="316">
        <f>AU605/AU604*100</f>
        <v>29.155313351498634</v>
      </c>
      <c r="AV606" s="315">
        <f>IF(ISERROR((AU606/AM606-1)*100),"NA",IF(((AU606/AM606-1)*100)&gt;100,"NM",IF(((AU606/AM606-1)*100)&lt;-50,"NM",(AU606/AM606-1)*100)))</f>
        <v>-1.0075407135162751</v>
      </c>
      <c r="AW606" s="316">
        <f>AW605/AW604*100</f>
        <v>34.075907590759073</v>
      </c>
      <c r="AX606" s="315">
        <f>IF(ISERROR((AW606/AO606-1)*100),"NA",IF(((AW606/AO606-1)*100)&gt;100,"NM",IF(((AW606/AO606-1)*100)&lt;-50,"NM",(AW606/AO606-1)*100)))</f>
        <v>10.055971813397546</v>
      </c>
      <c r="AY606" s="318">
        <f>AY605/AY604*100</f>
        <v>32.366512854317733</v>
      </c>
      <c r="AZ606" s="315">
        <f>IF(ISERROR((AY606/AQ606-1)*100),"NA",IF(((AY606/AQ606-1)*100)&gt;100,"NM",IF(((AY606/AQ606-1)*100)&lt;-50,"NM",(AY606/AQ606-1)*100)))</f>
        <v>6.2700505383432192</v>
      </c>
      <c r="BA606" s="318">
        <f>BA605/BA604*100</f>
        <v>31.997235659986178</v>
      </c>
      <c r="BB606" s="315">
        <f>IF(ISERROR((BA606/AS606-1)*100),"NA",IF(((BA606/AS606-1)*100)&gt;100,"NM",IF(((BA606/AS606-1)*100)&lt;-50,"NM",(BA606/AS606-1)*100)))</f>
        <v>4.6802513889365072</v>
      </c>
      <c r="BC606" s="318">
        <f>BC605/BC604*100</f>
        <v>29.816849816849818</v>
      </c>
      <c r="BD606" s="315">
        <f>IF(ISERROR((BC606/AU606-1)*100),"NA",IF(((BC606/AU606-1)*100)&gt;100,"NM",IF(((BC606/AU606-1)*100)&lt;-50,"NM",(BC606/AU606-1)*100)))</f>
        <v>2.2690082503166842</v>
      </c>
      <c r="BE606" s="318">
        <f>BE605/BE604*100</f>
        <v>29.545454545454547</v>
      </c>
      <c r="BF606" s="315">
        <f>IF(ISERROR((BE606/AW606-1)*100),"NA",IF(((BE606/AW606-1)*100)&gt;100,"NM",IF(((BE606/AW606-1)*100)&lt;-50,"NM",(BE606/AW606-1)*100)))</f>
        <v>-13.295179396874302</v>
      </c>
      <c r="BG606" s="318">
        <f>BG605/BG604*100</f>
        <v>31.605562579013906</v>
      </c>
      <c r="BH606" s="315">
        <f>IF(ISERROR((BG606/AY606-1)*100),"NA",IF(((BG606/AY606-1)*100)&gt;100,"NM",IF(((BG606/AY606-1)*100)&lt;-50,"NM",(BG606/AY606-1)*100)))</f>
        <v>-2.3510418892788265</v>
      </c>
      <c r="BI606" s="318">
        <f>BI605/BI604*100</f>
        <v>32.177961717537507</v>
      </c>
      <c r="BJ606" s="315">
        <f>IF(ISERROR((BI606/BA606-1)*100),"NA",IF(((BI606/BA606-1)*100)&gt;100,"NM",IF(((BI606/BA606-1)*100)&lt;-50,"NM",(BI606/BA606-1)*100)))</f>
        <v>0.56481772198007096</v>
      </c>
      <c r="BK606" s="318">
        <f>BK605/BK604*100</f>
        <v>31.926605504587158</v>
      </c>
      <c r="BL606" s="315">
        <f>IF(ISERROR((BK606/BC606-1)*100),"NA",IF(((BK606/BC606-1)*100)&gt;100,"NM",IF(((BK606/BC606-1)*100)&lt;-50,"NM",(BK606/BC606-1)*100)))</f>
        <v>7.0757162500281856</v>
      </c>
      <c r="BM606" s="318">
        <f>BM605/BM604*100</f>
        <v>30.892857142857146</v>
      </c>
      <c r="BN606" s="315">
        <f>IF(ISERROR((BM606/BE606-1)*100),"NA",IF(((BM606/BE606-1)*100)&gt;100,"NM",IF(((BM606/BE606-1)*100)&lt;-50,"NM",(BM606/BE606-1)*100)))</f>
        <v>4.5604395604395664</v>
      </c>
      <c r="BO606" s="130">
        <f>BO605/BO604*100</f>
        <v>31.326073030108901</v>
      </c>
      <c r="BP606" s="315">
        <f>IF(ISERROR((BO606/BG606-1)*100),"NA",IF(((BO606/BG606-1)*100)&gt;100,"NM",IF(((BO606/BG606-1)*100)&lt;-50,"NM",(BO606/BG606-1)*100)))</f>
        <v>-0.88430493273543576</v>
      </c>
      <c r="BQ606" s="130">
        <f>BQ605/BQ604*100</f>
        <v>29.936808846761455</v>
      </c>
      <c r="BR606" s="315">
        <f>IF(ISERROR((BQ606/BI606-1)*100),"NA",IF(((BQ606/BI606-1)*100)&gt;100,"NM",IF(((BQ606/BI606-1)*100)&lt;-50,"NM",(BQ606/BI606-1)*100)))</f>
        <v>-6.964868969791171</v>
      </c>
      <c r="BS606" s="130">
        <f>BS605/BS604*100</f>
        <v>33.333333333333329</v>
      </c>
      <c r="BT606" s="315">
        <f>IF(ISERROR((BS606/BK606-1)*100),"NA",IF(((BS606/BK606-1)*100)&gt;100,"NM",IF(((BS606/BK606-1)*100)&lt;-50,"NM",(BS606/BK606-1)*100)))</f>
        <v>4.4061302681992043</v>
      </c>
      <c r="BU606" s="130">
        <f>BU605/BU604*100</f>
        <v>127.48538011695906</v>
      </c>
      <c r="BV606" s="315" t="str">
        <f>IF(ISERROR((BU606/BM606-1)*100),"NA",IF(((BU606/BM606-1)*100)&gt;100,"NM",IF(((BU606/BM606-1)*100)&lt;-50,"NM",(BU606/BM606-1)*100)))</f>
        <v>NM</v>
      </c>
      <c r="BW606" s="130">
        <f>BW605/BW604*100</f>
        <v>131.72043010752688</v>
      </c>
      <c r="BX606" s="315" t="str">
        <f>IF(ISERROR((BW606/BO606-1)*100),"NA",IF(((BW606/BO606-1)*100)&gt;100,"NM",IF(((BW606/BO606-1)*100)&lt;-50,"NM",(BW606/BO606-1)*100)))</f>
        <v>NM</v>
      </c>
      <c r="BY606" s="130">
        <f>BY605/BY604*100</f>
        <v>85.423037716615696</v>
      </c>
      <c r="BZ606" s="315" t="str">
        <f>IF(ISERROR((BY606/BQ606-1)*100),"NA",IF(((BY606/BQ606-1)*100)&gt;100,"NM",IF(((BY606/BQ606-1)*100)&lt;-50,"NM",(BY606/BQ606-1)*100)))</f>
        <v>NM</v>
      </c>
      <c r="CA606" s="130">
        <f>CA605/CA604*100</f>
        <v>84.204793028322442</v>
      </c>
      <c r="CB606" s="315" t="str">
        <f>IF(ISERROR((CA606/BS606-1)*100),"NA",IF(((CA606/BS606-1)*100)&gt;100,"NM",IF(((CA606/BS606-1)*100)&lt;-50,"NM",(CA606/BS606-1)*100)))</f>
        <v>NM</v>
      </c>
      <c r="CC606" s="130">
        <f>CC605/CC604*100</f>
        <v>23.062558356676004</v>
      </c>
      <c r="CD606" s="315" t="str">
        <f>IF(ISERROR((CC606/BU606-1)*100),"NA",IF(((CC606/BU606-1)*100)&gt;100,"NM",IF(((CC606/BU606-1)*100)&lt;-50,"NM",(CC606/BU606-1)*100)))</f>
        <v>NM</v>
      </c>
      <c r="CE606" s="130">
        <f>CE605/CE604*100</f>
        <v>30.482115085536549</v>
      </c>
      <c r="CF606" s="98" t="str">
        <f>IF(ISERROR((CE606/BW606-1)*100),"NA",IF(((CE606/BW606-1)*100)&gt;100,"NM",IF(((CE606/BW606-1)*100)&lt;-50,"NM",(CE606/BW606-1)*100)))</f>
        <v>NM</v>
      </c>
      <c r="CG606" s="130">
        <f>CG605/CG604*100</f>
        <v>27.363566487317449</v>
      </c>
      <c r="CH606" s="98" t="str">
        <f>IF(ISERROR((CG606/BY606-1)*100),"NA",IF(((CG606/BY606-1)*100)&gt;100,"NM",IF(((CG606/BY606-1)*100)&lt;-50,"NM",(CG606/BY606-1)*100)))</f>
        <v>NM</v>
      </c>
      <c r="CI606" s="130">
        <f>CI605/CI604*100</f>
        <v>29.829545454545453</v>
      </c>
      <c r="CJ606" s="98" t="str">
        <f>IF(ISERROR((CI606/CA606-1)*100),"NA",IF(((CI606/CA606-1)*100)&gt;100,"NM",IF(((CI606/CA606-1)*100)&lt;-50,"NM",(CI606/CA606-1)*100)))</f>
        <v>NM</v>
      </c>
      <c r="CK606" s="130">
        <f>CK605/CK604*100</f>
        <v>26.426426426426424</v>
      </c>
      <c r="CL606" s="98">
        <f>IF(ISERROR((CK606/CC606-1)*100),"NA",IF(((CK606/CC606-1)*100)&gt;100,"NM",IF(((CK606/CC606-1)*100)&lt;-50,"NM",(CK606/CC606-1)*100)))</f>
        <v>14.585840901630377</v>
      </c>
      <c r="CM606" s="130">
        <f>CM605/CM604*100</f>
        <v>29.497907949790797</v>
      </c>
      <c r="CN606" s="98">
        <f>IF(ISERROR((CM606/CE606-1)*100),"NA",IF(((CM606/CE606-1)*100)&gt;100,"NM",IF(((CM606/CE606-1)*100)&lt;-50,"NM",(CM606/CE606-1)*100)))</f>
        <v>-3.2288019810434609</v>
      </c>
      <c r="CO606" s="130">
        <f>CO605/CO604*100</f>
        <v>29.619101762364981</v>
      </c>
      <c r="CP606" s="98">
        <f>IF(ISERROR((CO606/CG606-1)*100),"NA",IF(((CO606/CG606-1)*100)&gt;100,"NM",IF(((CO606/CG606-1)*100)&lt;-50,"NM",(CO606/CG606-1)*100)))</f>
        <v>8.2428409911147185</v>
      </c>
      <c r="CQ606" s="487">
        <f>CQ605/CQ604*100</f>
        <v>24.564063684609554</v>
      </c>
      <c r="CR606" s="98">
        <f>IF(ISERROR((CQ606/CI606-1)*100),"NA",IF(((CQ606/CI606-1)*100)&gt;100,"NM",IF(((CQ606/CI606-1)*100)&lt;-50,"NM",(CQ606/CI606-1)*100)))</f>
        <v>-17.651900790642252</v>
      </c>
      <c r="CS606" s="130">
        <f>CS605/CS604*100</f>
        <v>28.290213723284591</v>
      </c>
      <c r="CT606" s="98">
        <f>IF(ISERROR((CS606/CK606-1)*100),"NA",IF(((CS606/CK606-1)*100)&gt;100,"NM",IF(((CS606/CK606-1)*100)&lt;-50,"NM",(CS606/CK606-1)*100)))</f>
        <v>7.0527405665200993</v>
      </c>
      <c r="CU606" s="130">
        <f>CU605/CU604*100</f>
        <v>28.516746411483251</v>
      </c>
      <c r="CV606" s="98">
        <f>IF(ISERROR((CU606/CM606-1)*100),"NA",IF(((CU606/CM606-1)*100)&gt;100,"NM",IF(((CU606/CM606-1)*100)&lt;-50,"NM",(CU606/CM606-1)*100)))</f>
        <v>-3.3262072007872789</v>
      </c>
      <c r="CW606" s="130">
        <f>CW605/CW604*100</f>
        <v>28.49462365591398</v>
      </c>
      <c r="CX606" s="98">
        <f>IF(ISERROR((CW606/CO606-1)*100),"NA",IF(((CW606/CO606-1)*100)&gt;100,"NM",IF(((CW606/CO606-1)*100)&lt;-50,"NM",(CW606/CO606-1)*100)))</f>
        <v>-3.7964625513384087</v>
      </c>
      <c r="CY606" s="130">
        <f>CY605/CY604*100</f>
        <v>28.578479763079962</v>
      </c>
      <c r="CZ606" s="98">
        <f>IF(ISERROR((CY606/CQ606-1)*100),"NA",IF(((CY606/CQ606-1)*100)&gt;100,"NM",IF(((CY606/CQ606-1)*100)&lt;-50,"NM",(CY606/CQ606-1)*100)))</f>
        <v>16.342638294760704</v>
      </c>
      <c r="DA606" s="130">
        <f>DA605/DA604*100</f>
        <v>28.694768918232604</v>
      </c>
      <c r="DB606" s="98">
        <f>IF(ISERROR((DA606/CS606-1)*100),"NA",IF(((DA606/CS606-1)*100)&gt;100,"NM",IF(((DA606/CS606-1)*100)&lt;-50,"NM",(DA606/CS606-1)*100)))</f>
        <v>1.4300181642496357</v>
      </c>
      <c r="DC606" s="130">
        <f>DC605/DC604*100</f>
        <v>27.893820713664059</v>
      </c>
      <c r="DD606" s="98">
        <f>IF(ISERROR((DC606/CU606-1)*100),"NA",IF(((DC606/CU606-1)*100)&gt;100,"NM",IF(((DC606/CU606-1)*100)&lt;-50,"NM",(DC606/CU606-1)*100)))</f>
        <v>-2.1844206517485087</v>
      </c>
      <c r="DE606" s="130">
        <f>DE605/DE604*100</f>
        <v>27.695749440715883</v>
      </c>
      <c r="DF606" s="98">
        <f>IF(ISERROR((DE606/CW606-1)*100),"NA",IF(((DE606/CW606-1)*100)&gt;100,"NM",IF(((DE606/CW606-1)*100)&lt;-50,"NM",(DE606/CW606-1)*100)))</f>
        <v>-2.8035963023933186</v>
      </c>
      <c r="DG606" s="130">
        <f>DG605/DG604*100</f>
        <v>26.3996138996139</v>
      </c>
      <c r="DH606" s="98">
        <f>IF(ISERROR((DG606/CY606-1)*100),"NA",IF(((DG606/CY606-1)*100)&gt;100,"NM",IF(((DG606/CY606-1)*100)&lt;-50,"NM",(DG606/CY606-1)*100)))</f>
        <v>-7.6241489453924727</v>
      </c>
      <c r="DI606" s="130">
        <f>DI605/DI604*100</f>
        <v>25.306314797360979</v>
      </c>
      <c r="DJ606" s="98">
        <f>IF(ISERROR((DI606/DA606-1)*100),"NA",IF(((DI606/DA606-1)*100)&gt;100,"NM",IF(((DI606/DA606-1)*100)&lt;-50,"NM",(DI606/DA606-1)*100)))</f>
        <v>-11.80861267963934</v>
      </c>
      <c r="DK606" s="130">
        <f>DK605/DK604*100</f>
        <v>27.504553734061933</v>
      </c>
      <c r="DL606" s="98">
        <f>IF(ISERROR((DK606/DC606-1)*100),"NA",IF(((DK606/DC606-1)*100)&gt;100,"NM",IF(((DK606/DC606-1)*100)&lt;-50,"NM",(DK606/DC606-1)*100)))</f>
        <v>-1.3955312310853119</v>
      </c>
      <c r="DM606" s="130">
        <f>DM605/DM604*100</f>
        <v>27.601607860652077</v>
      </c>
      <c r="DN606" s="98">
        <f>IF(ISERROR((DM606/DE606-1)*100),"NA",IF(((DM606/DE606-1)*100)&gt;100,"NM",IF(((DM606/DE606-1)*100)&lt;-50,"NM",(DM606/DE606-1)*100)))</f>
        <v>-0.33991345951955854</v>
      </c>
      <c r="DO606" s="130">
        <f>DO605/DO604*100</f>
        <v>26.12504978096376</v>
      </c>
      <c r="DP606" s="98">
        <f>IF(ISERROR((DO606/DG606-1)*100),"NA",IF(((DO606/DG606-1)*100)&gt;100,"NM",IF(((DO606/DG606-1)*100)&lt;-50,"NM",(DO606/DG606-1)*100)))</f>
        <v>-1.0400308114133283</v>
      </c>
      <c r="DQ606" s="130">
        <f>DQ605/DQ604*100</f>
        <v>23.651844843897823</v>
      </c>
      <c r="DR606" s="98">
        <f>IF(ISERROR((DQ606/DI606-1)*100),"NA",IF(((DQ606/DI606-1)*100)&gt;100,"NM",IF(((DQ606/DI606-1)*100)&lt;-50,"NM",(DQ606/DI606-1)*100)))</f>
        <v>-6.5377751233683723</v>
      </c>
      <c r="DS606" s="130">
        <f>DS605/DS604*100</f>
        <v>25.773195876288657</v>
      </c>
      <c r="DT606" s="98">
        <f>IF(ISERROR((DS606/DK606-1)*100),"NA",IF(((DS606/DK606-1)*100)&gt;100,"NM",IF(((DS606/DK606-1)*100)&lt;-50,"NM",(DS606/DK606-1)*100)))</f>
        <v>-6.2948043968048211</v>
      </c>
      <c r="DU606" s="130">
        <f>DU605/DU604*100</f>
        <v>21.291053227633068</v>
      </c>
      <c r="DV606" s="98">
        <f>IF(ISERROR((DU606/DM606-1)*100),"NA",IF(((DU606/DM606-1)*100)&gt;100,"NM",IF(((DU606/DM606-1)*100)&lt;-50,"NM",(DU606/DM606-1)*100)))</f>
        <v>-22.862996477879548</v>
      </c>
      <c r="DW606" s="130">
        <f>DW605/DW604*100</f>
        <v>65.399239543726239</v>
      </c>
      <c r="DX606" s="98" t="str">
        <f>IF(ISERROR((DW606/DO606-1)*100),"NA",IF(((DW606/DO606-1)*100)&gt;100,"NM",IF(((DW606/DO606-1)*100)&lt;-50,"NM",(DW606/DO606-1)*100)))</f>
        <v>NM</v>
      </c>
      <c r="DY606" s="130">
        <f>DY605/DY604*100</f>
        <v>19.860896445131377</v>
      </c>
      <c r="DZ606" s="98">
        <f>IF(ISERROR((DY606/DQ606-1)*100),"NA",IF(((DY606/DQ606-1)*100)&gt;100,"NM",IF(((DY606/DQ606-1)*100)&lt;-50,"NM",(DY606/DQ606-1)*100)))</f>
        <v>-16.02812982998454</v>
      </c>
      <c r="EA606" s="130">
        <f>EA605/EA604*100</f>
        <v>23.34600760456274</v>
      </c>
      <c r="EB606" s="98">
        <f>IF(ISERROR((EA606/DS606-1)*100),"NA",IF(((EA606/DS606-1)*100)&gt;100,"NM",IF(((EA606/DS606-1)*100)&lt;-50,"NM",(EA606/DS606-1)*100)))</f>
        <v>-9.4174904942965654</v>
      </c>
      <c r="EC606" s="130">
        <f>EC605/EC604*100</f>
        <v>21.219226260257916</v>
      </c>
      <c r="ED606" s="98">
        <f>IF(ISERROR((EC606/DU606-1)*100),"NA",IF(((EC606/DU606-1)*100)&gt;100,"NM",IF(((EC606/DU606-1)*100)&lt;-50,"NM",(EC606/DU606-1)*100)))</f>
        <v>-0.33735751166095174</v>
      </c>
      <c r="EE606" s="130">
        <f>EE605/EE604*100</f>
        <v>19.372037914691941</v>
      </c>
      <c r="EF606" s="860" t="str">
        <f>IF(ISERROR((EE606/DW606-1)*100),"NA",IF(((EE606/DW606-1)*100)&gt;100,"NM",IF(((EE606/DW606-1)*100)&lt;-50,"NM",(EE606/DW606-1)*100)))</f>
        <v>NM</v>
      </c>
      <c r="EG606" s="130">
        <f>EG605/EG604*100</f>
        <v>15.09881422924901</v>
      </c>
      <c r="EH606" s="860">
        <f>IF(ISERROR((EG606/DY606-1)*100),"NA",IF(((EG606/DY606-1)*100)&gt;100,"NM",IF(((EG606/DY606-1)*100)&lt;-50,"NM",(EG606/DY606-1)*100)))</f>
        <v>-23.977176604481642</v>
      </c>
      <c r="EI606" s="130">
        <f>EI605/EI604*100</f>
        <v>21.608643457382954</v>
      </c>
      <c r="EJ606" s="860">
        <f t="shared" si="3464"/>
        <v>-7.4418040831968018</v>
      </c>
      <c r="EK606" s="130">
        <f>EK605/EK604*100</f>
        <v>20.097697138869506</v>
      </c>
      <c r="EL606" s="860">
        <f t="shared" si="3465"/>
        <v>-5.2854383455486875</v>
      </c>
      <c r="EM606" s="130">
        <f>EM605/EM604*100</f>
        <v>34.713187463039624</v>
      </c>
      <c r="EN606" s="860">
        <f t="shared" si="3466"/>
        <v>79.192233754161762</v>
      </c>
      <c r="EO606" s="130">
        <f>EO605/EO604*100</f>
        <v>41.494845360824748</v>
      </c>
      <c r="EP606" s="98" t="str">
        <f t="shared" si="3467"/>
        <v>NM</v>
      </c>
      <c r="EQ606" s="130">
        <f>EQ605/EQ604*100</f>
        <v>18.279596918834308</v>
      </c>
      <c r="ER606" s="98">
        <f t="shared" si="3468"/>
        <v>-15.406087592283457</v>
      </c>
      <c r="ES606" s="130">
        <f t="shared" ref="ES606" si="3475">ES605/ES604*100</f>
        <v>18.324613764756446</v>
      </c>
      <c r="ET606" s="98">
        <f t="shared" si="3470"/>
        <v>-8.8223210941111638</v>
      </c>
      <c r="EU606" s="130">
        <f t="shared" ref="EU606" si="3476">EU605/EU604*100</f>
        <v>18.375768127484921</v>
      </c>
      <c r="EV606" s="98">
        <f t="shared" si="3472"/>
        <v>-47.064013792884161</v>
      </c>
      <c r="EW606" s="130">
        <f t="shared" ref="EW606" si="3477">EW605/EW604*100</f>
        <v>18.246764879420311</v>
      </c>
      <c r="EX606" s="98" t="str">
        <f t="shared" si="3474"/>
        <v>NM</v>
      </c>
      <c r="EY606" s="136"/>
      <c r="EZ606" s="594"/>
      <c r="FA606" s="413"/>
      <c r="FB606" s="135"/>
      <c r="FC606" s="317"/>
      <c r="FD606" s="136"/>
      <c r="FE606" s="315" t="str">
        <f>IF(ISERROR((FD606/FB606-1)*100),"NA",IF(((FD606/FB606-1)*100)&gt;100,"NM",IF(((FD606/FB606-1)*100)&lt;-50,"NM",(FD606/FB606-1)*100)))</f>
        <v>NA</v>
      </c>
      <c r="FF606" s="134">
        <v>34.602368866328263</v>
      </c>
      <c r="FG606" s="315" t="str">
        <f>IF(ISERROR((FF606/FD606-1)*100),"NA",IF(((FF606/FD606-1)*100)&gt;100,"NM",IF(((FF606/FD606-1)*100)&lt;-50,"NM",(FF606/FD606-1)*100)))</f>
        <v>NA</v>
      </c>
      <c r="FH606" s="134">
        <v>33.891020083006282</v>
      </c>
      <c r="FI606" s="315">
        <f>IF(ISERROR((FH606/FF606-1)*100),"NA",IF(((FH606/FF606-1)*100)&gt;100,"NM",IF(((FH606/FF606-1)*100)&lt;-50,"NM",(FH606/FF606-1)*100)))</f>
        <v>-2.0557805914097282</v>
      </c>
      <c r="FJ606" s="136">
        <v>30.8</v>
      </c>
      <c r="FK606" s="315">
        <f>IF(ISERROR((FJ606/FH606-1)*100),"NA",IF(((FJ606/FH606-1)*100)&gt;100,"NM",IF(((FJ606/FH606-1)*100)&lt;-50,"NM",(FJ606/FH606-1)*100)))</f>
        <v>-9.1204693025931931</v>
      </c>
      <c r="FL606" s="318">
        <f>FL605/FL604*100</f>
        <v>28.279604213214171</v>
      </c>
      <c r="FM606" s="315">
        <f>IF(ISERROR((FL606/FJ606-1)*100),"NA",IF(((FL606/FJ606-1)*100)&gt;100,"NM",IF(((FL606/FJ606-1)*100)&lt;-50,"NM",(FL606/FJ606-1)*100)))</f>
        <v>-8.183103203850095</v>
      </c>
      <c r="FN606" s="318">
        <f>FN605/FN604*100</f>
        <v>28.22953494696764</v>
      </c>
      <c r="FO606" s="315">
        <f>IF(ISERROR((FN606/FL606-1)*100),"NA",IF(((FN606/FL606-1)*100)&gt;100,"NM",IF(((FN606/FL606-1)*100)&lt;-50,"NM",(FN606/FL606-1)*100)))</f>
        <v>-0.1770508026528006</v>
      </c>
      <c r="FP606" s="318">
        <f>FP605/FP604*100</f>
        <v>31.107834877843306</v>
      </c>
      <c r="FQ606" s="315">
        <f>IF(ISERROR((FP606/FN606-1)*100),"NA",IF(((FP606/FN606-1)*100)&gt;100,"NM",IF(((FP606/FN606-1)*100)&lt;-50,"NM",(FP606/FN606-1)*100)))</f>
        <v>10.19605861833317</v>
      </c>
      <c r="FR606" s="134">
        <f>FR605/FR604*100</f>
        <v>30.952789699570815</v>
      </c>
      <c r="FS606" s="120">
        <f>IF(ISERROR((FR606/FP606-1)*100),"NA",IF(((FR606/FP606-1)*100)&gt;100,"NM",IF(((FR606/FP606-1)*100)&lt;-50,"NM",(FR606/FP606-1)*100)))</f>
        <v>-0.49841198810953724</v>
      </c>
      <c r="FT606" s="134">
        <f>FT605/FT604*100</f>
        <v>31.669106881405561</v>
      </c>
      <c r="FU606" s="120">
        <f>IF(ISERROR((FT606/FR606-1)*100),"NA",IF(((FT606/FR606-1)*100)&gt;100,"NM",IF(((FT606/FR606-1)*100)&lt;-50,"NM",(FT606/FR606-1)*100)))</f>
        <v>2.3142249496324929</v>
      </c>
      <c r="FV606" s="130">
        <f>FV605/FV604*100</f>
        <v>35.549872122762153</v>
      </c>
      <c r="FW606" s="315">
        <f>IF(ISERROR((FV606/FT606-1)*100),"NA",IF(((FV606/FT606-1)*100)&gt;100,"NM",IF(((FV606/FT606-1)*100)&lt;-50,"NM",(FV606/FT606-1)*100)))</f>
        <v>12.254103836553632</v>
      </c>
      <c r="FX606" s="487">
        <f>FX605/FX604*100</f>
        <v>66.634980988593156</v>
      </c>
      <c r="FY606" s="315">
        <f>IF(ISERROR((FX606/FV606-1)*100),"NA",IF(((FX606/FV606-1)*100)&gt;100,"NM",IF(((FX606/FV606-1)*100)&lt;-50,"NM",(FX606/FV606-1)*100)))</f>
        <v>87.440845802445466</v>
      </c>
      <c r="FZ606" s="130">
        <f>FZ605/FZ604*100</f>
        <v>28.409893992932862</v>
      </c>
      <c r="GA606" s="98" t="str">
        <f>IF(ISERROR((FZ606/FX606-1)*100),"NA",IF(((FZ606/FX606-1)*100)&gt;100,"NM",IF(((FZ606/FX606-1)*100)&lt;-50,"NM",(FZ606/FX606-1)*100)))</f>
        <v>NM</v>
      </c>
      <c r="GB606" s="487">
        <f>GB605/GB604*100</f>
        <v>28.137166816412101</v>
      </c>
      <c r="GC606" s="98">
        <f>IF(ISERROR((GB606/FZ606-1)*100),"NA",IF(((GB606/FZ606-1)*100)&gt;100,"NM",IF(((GB606/FZ606-1)*100)&lt;-50,"NM",(GB606/FZ606-1)*100)))</f>
        <v>-0.95997252432058477</v>
      </c>
      <c r="GD606" s="130">
        <f>GD605/GD604*100</f>
        <v>28.569671627106136</v>
      </c>
      <c r="GE606" s="98">
        <f>IF(ISERROR((GD606/GB606-1)*100),"NA",IF(((GD606/GB606-1)*100)&gt;100,"NM",IF(((GD606/GB606-1)*100)&lt;-50,"NM",(GD606/GB606-1)*100)))</f>
        <v>1.5371299232649127</v>
      </c>
      <c r="GF606" s="130">
        <f>GF605/GF604*100</f>
        <v>26.859172682479659</v>
      </c>
      <c r="GG606" s="98">
        <f>IF(ISERROR((GF606/GD606-1)*100),"NA",IF(((GF606/GD606-1)*100)&gt;100,"NM",IF(((GF606/GD606-1)*100)&lt;-50,"NM",(GF606/GD606-1)*100)))</f>
        <v>-5.9871144721299512</v>
      </c>
      <c r="GH606" s="130">
        <f>GH605/GH604*100</f>
        <v>26.247240618101547</v>
      </c>
      <c r="GI606" s="98">
        <f>IF(ISERROR((GH606/GF606-1)*100),"NA",IF(((GH606/GF606-1)*100)&gt;100,"NM",IF(((GH606/GF606-1)*100)&lt;-50,"NM",(GH606/GF606-1)*100)))</f>
        <v>-2.278298261871925</v>
      </c>
      <c r="GJ606" s="130">
        <f>GJ605/GJ604*100</f>
        <v>30.232161147149199</v>
      </c>
      <c r="GK606" s="98">
        <f>IF(ISERROR((GJ606/GH606-1)*100),"NA",IF(((GJ606/GH606-1)*100)&gt;100,"NM",IF(((GJ606/GH606-1)*100)&lt;-50,"NM",(GJ606/GH606-1)*100)))</f>
        <v>15.182245581653376</v>
      </c>
      <c r="GL606" s="130">
        <f>GL605/GL604*100</f>
        <v>19.644600663932827</v>
      </c>
      <c r="GM606" s="98">
        <f>IF(ISERROR((GL606/GJ606-1)*100),"NA",IF(((GL606/GJ606-1)*100)&gt;100,"NM",IF(((GL606/GJ606-1)*100)&lt;-50,"NM",(GL606/GJ606-1)*100)))</f>
        <v>-35.020852236409659</v>
      </c>
      <c r="GN606" s="130">
        <f>GN605/GN604*100</f>
        <v>28.854551561975146</v>
      </c>
      <c r="GO606" s="98">
        <f>IF(ISERROR((GN606/GL606-1)*100),"NA",IF(((GN606/GL606-1)*100)&gt;100,"NM",IF(((GN606/GL606-1)*100)&lt;-50,"NM",(GN606/GL606-1)*100)))</f>
        <v>46.882861380591166</v>
      </c>
      <c r="GP606" s="130">
        <f>GP605/GP604*100</f>
        <v>18.306580611553112</v>
      </c>
      <c r="GQ606" s="98">
        <f>IF(ISERROR((GP606/GN606-1)*100),"NA",IF(((GP606/GN606-1)*100)&gt;100,"NM",IF(((GP606/GN606-1)*100)&lt;-50,"NM",(GP606/GN606-1)*100)))</f>
        <v>-36.555657182079614</v>
      </c>
      <c r="GR606" s="130">
        <f>GR605/GR604*100</f>
        <v>19.485182318763503</v>
      </c>
      <c r="GS606" s="98">
        <f>IF(ISERROR((GR606/GP606-1)*100),"NA",IF(((GR606/GP606-1)*100)&gt;100,"NM",IF(((GR606/GP606-1)*100)&lt;-50,"NM",(GR606/GP606-1)*100)))</f>
        <v>6.4381313595319067</v>
      </c>
      <c r="GT606" s="130">
        <f>GT605/GT604*100</f>
        <v>19.822177063975165</v>
      </c>
      <c r="GU606" s="98">
        <f>IF(ISERROR((GT606/GR606-1)*100),"NA",IF(((GT606/GR606-1)*100)&gt;100,"NM",IF(((GT606/GR606-1)*100)&lt;-50,"NM",(GT606/GR606-1)*100)))</f>
        <v>1.7294923891327807</v>
      </c>
      <c r="GV606" s="130">
        <f>GV605/GV604*100</f>
        <v>20.086576633082554</v>
      </c>
      <c r="GW606" s="98">
        <f>IF(ISERROR((GV606/GT606-1)*100),"NA",IF(((GV606/GT606-1)*100)&gt;100,"NM",IF(((GV606/GT606-1)*100)&lt;-50,"NM",(GV606/GT606-1)*100)))</f>
        <v>1.3338573672006415</v>
      </c>
      <c r="GX606" s="130">
        <f>GX605/GX604*100</f>
        <v>20.323515610522445</v>
      </c>
      <c r="GY606" s="98">
        <f>IF(ISERROR((GX606/GV606-1)*100),"NA",IF(((GX606/GV606-1)*100)&gt;100,"NM",IF(((GX606/GV606-1)*100)&lt;-50,"NM",(GX606/GV606-1)*100)))</f>
        <v>1.1795886465275185</v>
      </c>
      <c r="GZ606" s="98">
        <f>IF(ISERROR(((GX606/GN606)^0.2-1)*100),"NA",IF((((GX606/GN606)^0.2-1)*100)&gt;100,"NM",IF((((GX606/GN606)^0.2-1)*100)&lt;-50,"NM",((GX606/GN606)^0.2-1)*100)))</f>
        <v>-6.7697387409232039</v>
      </c>
      <c r="HA606" s="98"/>
      <c r="HC606"/>
      <c r="HD606"/>
      <c r="HE606"/>
      <c r="HF606"/>
      <c r="HG606"/>
      <c r="HH606"/>
    </row>
    <row r="607" spans="1:216" s="10" customFormat="1" ht="12.75" customHeight="1" x14ac:dyDescent="0.2">
      <c r="B607" s="310" t="s">
        <v>247</v>
      </c>
      <c r="C607" s="94"/>
      <c r="D607" s="92"/>
      <c r="E607" s="94"/>
      <c r="F607" s="92"/>
      <c r="G607" s="94"/>
      <c r="H607" s="92"/>
      <c r="I607" s="94"/>
      <c r="J607" s="315"/>
      <c r="K607" s="94"/>
      <c r="L607" s="315"/>
      <c r="M607" s="94"/>
      <c r="N607" s="315"/>
      <c r="O607" s="94"/>
      <c r="P607" s="315"/>
      <c r="Q607" s="94"/>
      <c r="R607" s="315"/>
      <c r="S607" s="94"/>
      <c r="T607" s="315"/>
      <c r="U607" s="94"/>
      <c r="V607" s="315"/>
      <c r="W607" s="94"/>
      <c r="X607" s="315"/>
      <c r="Y607" s="94"/>
      <c r="Z607" s="315"/>
      <c r="AA607" s="94"/>
      <c r="AB607" s="315"/>
      <c r="AC607" s="94"/>
      <c r="AD607" s="315"/>
      <c r="AE607" s="94"/>
      <c r="AF607" s="315"/>
      <c r="AG607" s="94"/>
      <c r="AH607" s="315"/>
      <c r="AI607" s="316"/>
      <c r="AJ607" s="315"/>
      <c r="AK607" s="316"/>
      <c r="AL607" s="315"/>
      <c r="AM607" s="316"/>
      <c r="AN607" s="315"/>
      <c r="AO607" s="316"/>
      <c r="AP607" s="315"/>
      <c r="AQ607" s="316"/>
      <c r="AR607" s="315"/>
      <c r="AS607" s="316"/>
      <c r="AT607" s="315"/>
      <c r="AU607" s="316"/>
      <c r="AV607" s="315"/>
      <c r="AW607" s="316"/>
      <c r="AX607" s="315"/>
      <c r="AY607" s="318"/>
      <c r="AZ607" s="315"/>
      <c r="BA607" s="318"/>
      <c r="BB607" s="315"/>
      <c r="BC607" s="318"/>
      <c r="BD607" s="315"/>
      <c r="BE607" s="318"/>
      <c r="BF607" s="315"/>
      <c r="BG607" s="318"/>
      <c r="BH607" s="315"/>
      <c r="BI607" s="318"/>
      <c r="BJ607" s="315"/>
      <c r="BK607" s="318"/>
      <c r="BL607" s="315"/>
      <c r="BM607" s="318"/>
      <c r="BN607" s="315"/>
      <c r="BO607" s="130"/>
      <c r="BP607" s="315"/>
      <c r="BQ607" s="130"/>
      <c r="BR607" s="315"/>
      <c r="BS607" s="130"/>
      <c r="BT607" s="315"/>
      <c r="BU607" s="130"/>
      <c r="BV607" s="315"/>
      <c r="BW607" s="130"/>
      <c r="BX607" s="315"/>
      <c r="BY607" s="130"/>
      <c r="BZ607" s="315"/>
      <c r="CA607" s="130"/>
      <c r="CB607" s="315"/>
      <c r="CC607" s="121">
        <v>31</v>
      </c>
      <c r="CD607" s="315"/>
      <c r="CE607" s="121">
        <v>30</v>
      </c>
      <c r="CF607" s="98"/>
      <c r="CG607" s="121">
        <v>31</v>
      </c>
      <c r="CH607" s="98"/>
      <c r="CI607" s="121">
        <v>30</v>
      </c>
      <c r="CJ607" s="98"/>
      <c r="CK607" s="121">
        <v>31</v>
      </c>
      <c r="CL607" s="98"/>
      <c r="CM607" s="121">
        <v>30</v>
      </c>
      <c r="CN607" s="98"/>
      <c r="CO607" s="121">
        <v>31</v>
      </c>
      <c r="CP607" s="98"/>
      <c r="CQ607" s="557">
        <v>30</v>
      </c>
      <c r="CR607" s="98"/>
      <c r="CS607" s="121">
        <v>31</v>
      </c>
      <c r="CT607" s="98"/>
      <c r="CU607" s="121">
        <v>30</v>
      </c>
      <c r="CV607" s="98"/>
      <c r="CW607" s="121">
        <v>31</v>
      </c>
      <c r="CX607" s="98"/>
      <c r="CY607" s="121">
        <v>30</v>
      </c>
      <c r="CZ607" s="98"/>
      <c r="DA607" s="121">
        <v>31</v>
      </c>
      <c r="DB607" s="98"/>
      <c r="DC607" s="121">
        <v>30</v>
      </c>
      <c r="DD607" s="98"/>
      <c r="DE607" s="121">
        <v>31</v>
      </c>
      <c r="DF607" s="98"/>
      <c r="DG607" s="121">
        <v>30</v>
      </c>
      <c r="DH607" s="98"/>
      <c r="DI607" s="121">
        <v>31</v>
      </c>
      <c r="DJ607" s="98"/>
      <c r="DK607" s="121">
        <v>30</v>
      </c>
      <c r="DL607" s="98"/>
      <c r="DM607" s="121">
        <v>31</v>
      </c>
      <c r="DN607" s="98">
        <f t="shared" ref="DN607:DZ607" si="3478">IF(ISERROR((DM607/DE607-1)*100),"NA",IF(((DM607/DE607-1)*100)&gt;100,"NM",IF(((DM607/DE607-1)*100)&lt;-50,"NM",(DM607/DE607-1)*100)))</f>
        <v>0</v>
      </c>
      <c r="DO607" s="121">
        <v>30</v>
      </c>
      <c r="DP607" s="98">
        <f t="shared" si="3478"/>
        <v>0</v>
      </c>
      <c r="DQ607" s="121">
        <v>31</v>
      </c>
      <c r="DR607" s="98">
        <f t="shared" si="3478"/>
        <v>0</v>
      </c>
      <c r="DS607" s="1131">
        <f>DS536</f>
        <v>30</v>
      </c>
      <c r="DT607" s="98">
        <f t="shared" si="3478"/>
        <v>0</v>
      </c>
      <c r="DU607" s="1131">
        <f>DU536</f>
        <v>31</v>
      </c>
      <c r="DV607" s="98">
        <f t="shared" si="3478"/>
        <v>0</v>
      </c>
      <c r="DW607" s="1131">
        <f>DW536</f>
        <v>6</v>
      </c>
      <c r="DX607" s="98" t="str">
        <f t="shared" si="3478"/>
        <v>NM</v>
      </c>
      <c r="DY607" s="1131">
        <f>DY536</f>
        <v>49</v>
      </c>
      <c r="DZ607" s="98">
        <f t="shared" si="3478"/>
        <v>58.064516129032249</v>
      </c>
      <c r="EA607" s="1131">
        <f>EA536</f>
        <v>6</v>
      </c>
      <c r="EB607" s="98" t="str">
        <f t="shared" ref="EB607" si="3479">IF(ISERROR((EA607/DS607-1)*100),"NA",IF(((EA607/DS607-1)*100)&gt;100,"NM",IF(((EA607/DS607-1)*100)&lt;-50,"NM",(EA607/DS607-1)*100)))</f>
        <v>NM</v>
      </c>
      <c r="EC607" s="1131">
        <f>EC536</f>
        <v>46</v>
      </c>
      <c r="ED607" s="98">
        <f t="shared" ref="ED607" si="3480">IF(ISERROR((EC607/DU607-1)*100),"NA",IF(((EC607/DU607-1)*100)&gt;100,"NM",IF(((EC607/DU607-1)*100)&lt;-50,"NM",(EC607/DU607-1)*100)))</f>
        <v>48.387096774193552</v>
      </c>
      <c r="EE607" s="1131">
        <f>EE536</f>
        <v>6</v>
      </c>
      <c r="EF607" s="860">
        <f t="shared" ref="EF607" si="3481">IF(ISERROR((EE607/DW607-1)*100),"NA",IF(((EE607/DW607-1)*100)&gt;100,"NM",IF(((EE607/DW607-1)*100)&lt;-50,"NM",(EE607/DW607-1)*100)))</f>
        <v>0</v>
      </c>
      <c r="EG607" s="1131">
        <f>EG536</f>
        <v>45</v>
      </c>
      <c r="EH607" s="860">
        <f t="shared" ref="EH607" si="3482">IF(ISERROR((EG607/DY607-1)*100),"NA",IF(((EG607/DY607-1)*100)&gt;100,"NM",IF(((EG607/DY607-1)*100)&lt;-50,"NM",(EG607/DY607-1)*100)))</f>
        <v>-8.1632653061224474</v>
      </c>
      <c r="EI607" s="1131">
        <f>EI536</f>
        <v>6</v>
      </c>
      <c r="EJ607" s="860">
        <f t="shared" si="3464"/>
        <v>0</v>
      </c>
      <c r="EK607" s="1131">
        <f>EK536</f>
        <v>46</v>
      </c>
      <c r="EL607" s="860">
        <f t="shared" si="3465"/>
        <v>0</v>
      </c>
      <c r="EM607" s="1131">
        <f>EM536</f>
        <v>6</v>
      </c>
      <c r="EN607" s="860">
        <f t="shared" si="3466"/>
        <v>0</v>
      </c>
      <c r="EO607" s="1131">
        <f>EO536</f>
        <v>45</v>
      </c>
      <c r="EP607" s="98">
        <f t="shared" si="3467"/>
        <v>0</v>
      </c>
      <c r="EQ607" s="1131">
        <f>EQ536</f>
        <v>6</v>
      </c>
      <c r="ER607" s="98">
        <f t="shared" si="3468"/>
        <v>0</v>
      </c>
      <c r="ES607" s="1131">
        <f>ES536</f>
        <v>6</v>
      </c>
      <c r="ET607" s="98" t="str">
        <f t="shared" si="3470"/>
        <v>NM</v>
      </c>
      <c r="EU607" s="1131">
        <f>EU536</f>
        <v>6</v>
      </c>
      <c r="EV607" s="98">
        <f t="shared" si="3472"/>
        <v>0</v>
      </c>
      <c r="EW607" s="1131">
        <f>EW536</f>
        <v>6</v>
      </c>
      <c r="EX607" s="98" t="str">
        <f t="shared" si="3474"/>
        <v>NM</v>
      </c>
      <c r="EY607" s="136"/>
      <c r="EZ607" s="594"/>
      <c r="FA607" s="413"/>
      <c r="FB607" s="135"/>
      <c r="FC607" s="317"/>
      <c r="FD607" s="136"/>
      <c r="FE607" s="315"/>
      <c r="FF607" s="134"/>
      <c r="FG607" s="315"/>
      <c r="FH607" s="134"/>
      <c r="FI607" s="315"/>
      <c r="FJ607" s="136"/>
      <c r="FK607" s="315"/>
      <c r="FL607" s="318"/>
      <c r="FM607" s="315"/>
      <c r="FN607" s="318"/>
      <c r="FO607" s="315"/>
      <c r="FP607" s="318"/>
      <c r="FQ607" s="315"/>
      <c r="FR607" s="134"/>
      <c r="FS607" s="120"/>
      <c r="FT607" s="134"/>
      <c r="FU607" s="120"/>
      <c r="FV607" s="99"/>
      <c r="FW607" s="98"/>
      <c r="FX607" s="485">
        <f>SUM(BW607,BY607,CA607,CC607)</f>
        <v>31</v>
      </c>
      <c r="FY607" s="315" t="str">
        <f>IF(ISERROR((FX607/FV607-1)*100),"NA",IF(((FX607/FV607-1)*100)&gt;100,"NM",IF(((FX607/FV607-1)*100)&lt;-50,"NM",(FX607/FV607-1)*100)))</f>
        <v>NA</v>
      </c>
      <c r="FZ607" s="119">
        <f>+CE607+CG607+CI607+CK607</f>
        <v>122</v>
      </c>
      <c r="GA607" s="98" t="str">
        <f>IF(ISERROR((FZ607/FX607-1)*100),"NA",IF(((FZ607/FX607-1)*100)&gt;100,"NM",IF(((FZ607/FX607-1)*100)&lt;-50,"NM",(FZ607/FX607-1)*100)))</f>
        <v>NM</v>
      </c>
      <c r="GB607" s="485">
        <f>+CM607+CO607+CQ607+CS607</f>
        <v>122</v>
      </c>
      <c r="GC607" s="98"/>
      <c r="GD607" s="99">
        <f>+CU607+CW607+CY607+DA607</f>
        <v>122</v>
      </c>
      <c r="GE607" s="98"/>
      <c r="GF607" s="99">
        <f>+DC607+DE607+DG607+DI607</f>
        <v>122</v>
      </c>
      <c r="GG607" s="98"/>
      <c r="GH607" s="99">
        <f>+DK607+DM607+DO607+DQ607</f>
        <v>122</v>
      </c>
      <c r="GI607" s="98"/>
      <c r="GJ607" s="1131">
        <f>GJ536</f>
        <v>116</v>
      </c>
      <c r="GK607" s="98"/>
      <c r="GL607" s="1131">
        <f>GL536</f>
        <v>103</v>
      </c>
      <c r="GM607" s="98"/>
      <c r="GN607" s="1131">
        <f>EI607+EK607+EM607+EO607</f>
        <v>103</v>
      </c>
      <c r="GO607" s="98"/>
      <c r="GP607" s="1131">
        <f>EQ607+ES607+EU607+EW607</f>
        <v>24</v>
      </c>
      <c r="GQ607" s="98"/>
      <c r="GR607" s="1131">
        <f>GR536</f>
        <v>24</v>
      </c>
      <c r="GS607" s="98"/>
      <c r="GT607" s="1131">
        <f>GT536</f>
        <v>24</v>
      </c>
      <c r="GU607" s="98"/>
      <c r="GV607" s="1131">
        <f>GV536</f>
        <v>24</v>
      </c>
      <c r="GW607" s="98"/>
      <c r="GX607" s="1131">
        <f>GX536</f>
        <v>24</v>
      </c>
      <c r="GY607" s="98"/>
      <c r="GZ607" s="98">
        <f>IF(ISERROR(((GX607/GN607)^0.2-1)*100),"NA",IF((((GX607/GN607)^0.2-1)*100)&gt;100,"NM",IF((((GX607/GN607)^0.2-1)*100)&lt;-50,"NM",((GX607/GN607)^0.2-1)*100)))</f>
        <v>-25.273472138965648</v>
      </c>
      <c r="HA607" s="98"/>
      <c r="HC607"/>
      <c r="HD607"/>
      <c r="HE607"/>
      <c r="HF607"/>
      <c r="HG607"/>
      <c r="HH607"/>
    </row>
    <row r="608" spans="1:216" s="10" customFormat="1" ht="12.75" customHeight="1" x14ac:dyDescent="0.2">
      <c r="B608" s="311" t="s">
        <v>463</v>
      </c>
      <c r="C608" s="312">
        <v>384</v>
      </c>
      <c r="D608" s="312"/>
      <c r="E608" s="312">
        <v>374</v>
      </c>
      <c r="F608" s="319"/>
      <c r="G608" s="312">
        <v>384</v>
      </c>
      <c r="H608" s="319"/>
      <c r="I608" s="132">
        <f>I626</f>
        <v>404</v>
      </c>
      <c r="J608" s="33"/>
      <c r="K608" s="132">
        <f>K626</f>
        <v>384</v>
      </c>
      <c r="L608" s="98">
        <f>IF(ISERROR((K608/C608-1)*100),"NA",IF(((K608/C608-1)*100)&gt;100,"NM",IF(((K608/C608-1)*100)&lt;-50,"NM",(K608/C608-1)*100)))</f>
        <v>0</v>
      </c>
      <c r="M608" s="132">
        <f>M626</f>
        <v>419</v>
      </c>
      <c r="N608" s="98">
        <f>IF(ISERROR((M608/E608-1)*100),"NA",IF(((M608/E608-1)*100)&gt;100,"NM",IF(((M608/E608-1)*100)&lt;-50,"NM",(M608/E608-1)*100)))</f>
        <v>12.032085561497329</v>
      </c>
      <c r="O608" s="132">
        <f>O626</f>
        <v>227</v>
      </c>
      <c r="P608" s="98">
        <f>IF(ISERROR((O608/G608-1)*100),"NA",IF(((O608/G608-1)*100)&gt;100,"NM",IF(((O608/G608-1)*100)&lt;-50,"NM",(O608/G608-1)*100)))</f>
        <v>-40.885416666666664</v>
      </c>
      <c r="Q608" s="312">
        <v>439.20235632678657</v>
      </c>
      <c r="R608" s="98">
        <f>IF(ISERROR((Q608/I608-1)*100),"NA",IF(((Q608/I608-1)*100)&gt;100,"NM",IF(((Q608/I608-1)*100)&lt;-50,"NM",(Q608/I608-1)*100)))</f>
        <v>8.7134545363333196</v>
      </c>
      <c r="S608" s="132">
        <f>+S626</f>
        <v>400</v>
      </c>
      <c r="T608" s="98">
        <f>IF(ISERROR((S608/K608-1)*100),"NA",IF(((S608/K608-1)*100)&gt;100,"NM",IF(((S608/K608-1)*100)&lt;-50,"NM",(S608/K608-1)*100)))</f>
        <v>4.1666666666666741</v>
      </c>
      <c r="U608" s="132">
        <f>+U626</f>
        <v>504</v>
      </c>
      <c r="V608" s="98">
        <f>IF(ISERROR((U608/M608-1)*100),"NA",IF(((U608/M608-1)*100)&gt;100,"NM",IF(((U608/M608-1)*100)&lt;-50,"NM",(U608/M608-1)*100)))</f>
        <v>20.286396181384259</v>
      </c>
      <c r="W608" s="132">
        <f>+W626</f>
        <v>502</v>
      </c>
      <c r="X608" s="98" t="str">
        <f>IF(ISERROR((W608/O608-1)*100),"NA",IF(((W608/O608-1)*100)&gt;100,"NM",IF(((W608/O608-1)*100)&lt;-50,"NM",(W608/O608-1)*100)))</f>
        <v>NM</v>
      </c>
      <c r="Y608" s="132">
        <f>+Y626</f>
        <v>338</v>
      </c>
      <c r="Z608" s="98">
        <f>IF(ISERROR((Y608/Q608-1)*100),"NA",IF(((Y608/Q608-1)*100)&gt;100,"NM",IF(((Y608/Q608-1)*100)&lt;-50,"NM",(Y608/Q608-1)*100)))</f>
        <v>-23.042307234683278</v>
      </c>
      <c r="AA608" s="132">
        <f>+AA626</f>
        <v>446</v>
      </c>
      <c r="AB608" s="98">
        <f>IF(ISERROR((AA608/S608-1)*100),"NA",IF(((AA608/S608-1)*100)&gt;100,"NM",IF(((AA608/S608-1)*100)&lt;-50,"NM",(AA608/S608-1)*100)))</f>
        <v>11.5</v>
      </c>
      <c r="AC608" s="132">
        <f>+AC626</f>
        <v>620</v>
      </c>
      <c r="AD608" s="98">
        <f>IF(ISERROR((AC608/U608-1)*100),"NA",IF(((AC608/U608-1)*100)&gt;100,"NM",IF(((AC608/U608-1)*100)&lt;-50,"NM",(AC608/U608-1)*100)))</f>
        <v>23.015873015873023</v>
      </c>
      <c r="AE608" s="132">
        <f>+AE626</f>
        <v>616</v>
      </c>
      <c r="AF608" s="98">
        <f>IF(ISERROR((AE608/W608-1)*100),"NA",IF(((AE608/W608-1)*100)&gt;100,"NM",IF(((AE608/W608-1)*100)&lt;-50,"NM",(AE608/W608-1)*100)))</f>
        <v>22.709163346613547</v>
      </c>
      <c r="AG608" s="132">
        <f>+AG626</f>
        <v>565</v>
      </c>
      <c r="AH608" s="98">
        <f>IF(ISERROR((AG608/Y608-1)*100),"NA",IF(((AG608/Y608-1)*100)&gt;100,"NM",IF(((AG608/Y608-1)*100)&lt;-50,"NM",(AG608/Y608-1)*100)))</f>
        <v>67.15976331360946</v>
      </c>
      <c r="AI608" s="132">
        <f>+AI626</f>
        <v>595</v>
      </c>
      <c r="AJ608" s="98">
        <f>IF(ISERROR((AI608/AA608-1)*100),"NA",IF(((AI608/AA608-1)*100)&gt;100,"NM",IF(((AI608/AA608-1)*100)&lt;-50,"NM",(AI608/AA608-1)*100)))</f>
        <v>33.408071748878918</v>
      </c>
      <c r="AK608" s="132">
        <f>+AK626</f>
        <v>766</v>
      </c>
      <c r="AL608" s="98">
        <f>IF(ISERROR((AK608/AC608-1)*100),"NA",IF(((AK608/AC608-1)*100)&gt;100,"NM",IF(((AK608/AC608-1)*100)&lt;-50,"NM",(AK608/AC608-1)*100)))</f>
        <v>23.548387096774203</v>
      </c>
      <c r="AM608" s="132">
        <f>+AM626</f>
        <v>618</v>
      </c>
      <c r="AN608" s="98">
        <f>IF(ISERROR((AM608/AE608-1)*100),"NA",IF(((AM608/AE608-1)*100)&gt;100,"NM",IF(((AM608/AE608-1)*100)&lt;-50,"NM",(AM608/AE608-1)*100)))</f>
        <v>0.32467532467532756</v>
      </c>
      <c r="AO608" s="132">
        <f>+AO626</f>
        <v>660</v>
      </c>
      <c r="AP608" s="98">
        <f>IF(ISERROR((AO608/AG608-1)*100),"NA",IF(((AO608/AG608-1)*100)&gt;100,"NM",IF(((AO608/AG608-1)*100)&lt;-50,"NM",(AO608/AG608-1)*100)))</f>
        <v>16.814159292035402</v>
      </c>
      <c r="AQ608" s="132">
        <f>+AQ626</f>
        <v>822</v>
      </c>
      <c r="AR608" s="98">
        <f>IF(ISERROR((AQ608/AI608-1)*100),"NA",IF(((AQ608/AI608-1)*100)&gt;100,"NM",IF(((AQ608/AI608-1)*100)&lt;-50,"NM",(AQ608/AI608-1)*100)))</f>
        <v>38.15126050420168</v>
      </c>
      <c r="AS608" s="132">
        <f>+AS626</f>
        <v>870</v>
      </c>
      <c r="AT608" s="98">
        <f>IF(ISERROR((AS608/AK608-1)*100),"NA",IF(((AS608/AK608-1)*100)&gt;100,"NM",IF(((AS608/AK608-1)*100)&lt;-50,"NM",(AS608/AK608-1)*100)))</f>
        <v>13.577023498694519</v>
      </c>
      <c r="AU608" s="132">
        <f>+AU626</f>
        <v>780</v>
      </c>
      <c r="AV608" s="98">
        <f>IF(ISERROR((AU608/AM608-1)*100),"NA",IF(((AU608/AM608-1)*100)&gt;100,"NM",IF(((AU608/AM608-1)*100)&lt;-50,"NM",(AU608/AM608-1)*100)))</f>
        <v>26.21359223300972</v>
      </c>
      <c r="AW608" s="132">
        <f>+AW626</f>
        <v>799</v>
      </c>
      <c r="AX608" s="98">
        <f>IF(ISERROR((AW608/AO608-1)*100),"NA",IF(((AW608/AO608-1)*100)&gt;100,"NM",IF(((AW608/AO608-1)*100)&lt;-50,"NM",(AW608/AO608-1)*100)))</f>
        <v>21.060606060606069</v>
      </c>
      <c r="AY608" s="132">
        <f>+AY626</f>
        <v>1026</v>
      </c>
      <c r="AZ608" s="98">
        <f>IF(ISERROR((AY608/AQ608-1)*100),"NA",IF(((AY608/AQ608-1)*100)&gt;100,"NM",IF(((AY608/AQ608-1)*100)&lt;-50,"NM",(AY608/AQ608-1)*100)))</f>
        <v>24.817518248175176</v>
      </c>
      <c r="BA608" s="132">
        <f>+BA626</f>
        <v>984</v>
      </c>
      <c r="BB608" s="98">
        <f>IF(ISERROR((BA608/AS608-1)*100),"NA",IF(((BA608/AS608-1)*100)&gt;100,"NM",IF(((BA608/AS608-1)*100)&lt;-50,"NM",(BA608/AS608-1)*100)))</f>
        <v>13.103448275862073</v>
      </c>
      <c r="BC608" s="132">
        <f>+BC626</f>
        <v>958</v>
      </c>
      <c r="BD608" s="98">
        <f>IF(ISERROR((BC608/AU608-1)*100),"NA",IF(((BC608/AU608-1)*100)&gt;100,"NM",IF(((BC608/AU608-1)*100)&lt;-50,"NM",(BC608/AU608-1)*100)))</f>
        <v>22.820512820512828</v>
      </c>
      <c r="BE608" s="132">
        <f>+BE626</f>
        <v>1054</v>
      </c>
      <c r="BF608" s="98">
        <f>IF(ISERROR((BE608/AW608-1)*100),"NA",IF(((BE608/AW608-1)*100)&gt;100,"NM",IF(((BE608/AW608-1)*100)&lt;-50,"NM",(BE608/AW608-1)*100)))</f>
        <v>31.914893617021267</v>
      </c>
      <c r="BG608" s="132">
        <f>+BG626</f>
        <v>1082</v>
      </c>
      <c r="BH608" s="98">
        <f>IF(ISERROR((BG608/AY608-1)*100),"NA",IF(((BG608/AY608-1)*100)&gt;100,"NM",IF(((BG608/AY608-1)*100)&lt;-50,"NM",(BG608/AY608-1)*100)))</f>
        <v>5.4580896686159841</v>
      </c>
      <c r="BI608" s="132">
        <f>+BI626</f>
        <v>1311</v>
      </c>
      <c r="BJ608" s="98">
        <f>IF(ISERROR((BI608/BA608-1)*100),"NA",IF(((BI608/BA608-1)*100)&gt;100,"NM",IF(((BI608/BA608-1)*100)&lt;-50,"NM",(BI608/BA608-1)*100)))</f>
        <v>33.231707317073166</v>
      </c>
      <c r="BK608" s="132">
        <f>+BK626</f>
        <v>1113</v>
      </c>
      <c r="BL608" s="98">
        <f>IF(ISERROR((BK608/BC608-1)*100),"NA",IF(((BK608/BC608-1)*100)&gt;100,"NM",IF(((BK608/BC608-1)*100)&lt;-50,"NM",(BK608/BC608-1)*100)))</f>
        <v>16.179540709812112</v>
      </c>
      <c r="BM608" s="132">
        <f>+BM626</f>
        <v>1161</v>
      </c>
      <c r="BN608" s="98">
        <f>IF(ISERROR((BM608/BE608-1)*100),"NA",IF(((BM608/BE608-1)*100)&gt;100,"NM",IF(((BM608/BE608-1)*100)&lt;-50,"NM",(BM608/BE608-1)*100)))</f>
        <v>10.151802656546494</v>
      </c>
      <c r="BO608" s="132">
        <f>+BO626</f>
        <v>1072</v>
      </c>
      <c r="BP608" s="98">
        <f>IF(ISERROR((BO608/BG608-1)*100),"NA",IF(((BO608/BG608-1)*100)&gt;100,"NM",IF(((BO608/BG608-1)*100)&lt;-50,"NM",(BO608/BG608-1)*100)))</f>
        <v>-0.92421441774491742</v>
      </c>
      <c r="BQ608" s="132">
        <f>+BQ626</f>
        <v>887</v>
      </c>
      <c r="BR608" s="98">
        <f>IF(ISERROR((BQ608/BI608-1)*100),"NA",IF(((BQ608/BI608-1)*100)&gt;100,"NM",IF(((BQ608/BI608-1)*100)&lt;-50,"NM",(BQ608/BI608-1)*100)))</f>
        <v>-32.341723874904652</v>
      </c>
      <c r="BS608" s="132">
        <f>+BS626</f>
        <v>608</v>
      </c>
      <c r="BT608" s="98">
        <f>IF(ISERROR((BS608/BK608-1)*100),"NA",IF(((BS608/BK608-1)*100)&gt;100,"NM",IF(((BS608/BK608-1)*100)&lt;-50,"NM",(BS608/BK608-1)*100)))</f>
        <v>-45.372866127583109</v>
      </c>
      <c r="BU608" s="132">
        <f>+BU626</f>
        <v>-47</v>
      </c>
      <c r="BV608" s="98" t="str">
        <f>IF(ISERROR((BU608/BM608-1)*100),"NA",IF(((BU608/BM608-1)*100)&gt;100,"NM",IF(((BU608/BM608-1)*100)&lt;-50,"NM",(BU608/BM608-1)*100)))</f>
        <v>NM</v>
      </c>
      <c r="BW608" s="132">
        <f>+BW626</f>
        <v>-59</v>
      </c>
      <c r="BX608" s="98" t="str">
        <f>IF(ISERROR((BW608/BO608-1)*100),"NA",IF(((BW608/BO608-1)*100)&gt;100,"NM",IF(((BW608/BO608-1)*100)&lt;-50,"NM",(BW608/BO608-1)*100)))</f>
        <v>NM</v>
      </c>
      <c r="BY608" s="132">
        <f>+BY626</f>
        <v>143</v>
      </c>
      <c r="BZ608" s="98" t="str">
        <f>IF(ISERROR((BY608/BQ608-1)*100),"NA",IF(((BY608/BQ608-1)*100)&gt;100,"NM",IF(((BY608/BQ608-1)*100)&lt;-50,"NM",(BY608/BQ608-1)*100)))</f>
        <v>NM</v>
      </c>
      <c r="CA608" s="132">
        <f>+CA626</f>
        <v>145</v>
      </c>
      <c r="CB608" s="98" t="str">
        <f>IF(ISERROR((CA608/BS608-1)*100),"NA",IF(((CA608/BS608-1)*100)&gt;100,"NM",IF(((CA608/BS608-1)*100)&lt;-50,"NM",(CA608/BS608-1)*100)))</f>
        <v>NM</v>
      </c>
      <c r="CC608" s="132">
        <f>CC604-CC605-CC607</f>
        <v>793</v>
      </c>
      <c r="CD608" s="98" t="str">
        <f>IF(ISERROR((CC608/BU608-1)*100),"NA",IF(((CC608/BU608-1)*100)&gt;100,"NM",IF(((CC608/BU608-1)*100)&lt;-50,"NM",(CC608/BU608-1)*100)))</f>
        <v>NM</v>
      </c>
      <c r="CE608" s="132">
        <f>CE604-CE605-CE607</f>
        <v>864</v>
      </c>
      <c r="CF608" s="98" t="str">
        <f>IF(ISERROR((CE608/BW608-1)*100),"NA",IF(((CE608/BW608-1)*100)&gt;100,"NM",IF(((CE608/BW608-1)*100)&lt;-50,"NM",(CE608/BW608-1)*100)))</f>
        <v>NM</v>
      </c>
      <c r="CG608" s="132">
        <f>CG604-CG605-CG607</f>
        <v>914</v>
      </c>
      <c r="CH608" s="98" t="str">
        <f>IF(ISERROR((CG608/BY608-1)*100),"NA",IF(((CG608/BY608-1)*100)&gt;100,"NM",IF(((CG608/BY608-1)*100)&lt;-50,"NM",(CG608/BY608-1)*100)))</f>
        <v>NM</v>
      </c>
      <c r="CI608" s="132">
        <f>CI604-CI605-CI607</f>
        <v>958</v>
      </c>
      <c r="CJ608" s="98" t="str">
        <f>IF(ISERROR((CI608/CA608-1)*100),"NA",IF(((CI608/CA608-1)*100)&gt;100,"NM",IF(((CI608/CA608-1)*100)&lt;-50,"NM",(CI608/CA608-1)*100)))</f>
        <v>NM</v>
      </c>
      <c r="CK608" s="132">
        <f>CK604-CK605-CK607</f>
        <v>1194</v>
      </c>
      <c r="CL608" s="98">
        <f>IF(ISERROR((CK608/CC608-1)*100),"NA",IF(((CK608/CC608-1)*100)&gt;100,"NM",IF(((CK608/CC608-1)*100)&lt;-50,"NM",(CK608/CC608-1)*100)))</f>
        <v>50.567465321563688</v>
      </c>
      <c r="CM608" s="132">
        <f>CM604-CM605-CM607</f>
        <v>1318</v>
      </c>
      <c r="CN608" s="98">
        <f>IF(ISERROR((CM608/CE608-1)*100),"NA",IF(((CM608/CE608-1)*100)&gt;100,"NM",IF(((CM608/CE608-1)*100)&lt;-50,"NM",(CM608/CE608-1)*100)))</f>
        <v>52.546296296296305</v>
      </c>
      <c r="CO608" s="132">
        <f>CO604-CO605-CO607</f>
        <v>1207</v>
      </c>
      <c r="CP608" s="98">
        <f>IF(ISERROR((CO608/CG608-1)*100),"NA",IF(((CO608/CG608-1)*100)&gt;100,"NM",IF(((CO608/CG608-1)*100)&lt;-50,"NM",(CO608/CG608-1)*100)))</f>
        <v>32.056892778993443</v>
      </c>
      <c r="CQ608" s="488">
        <f>CQ604-CQ605-CQ607</f>
        <v>965</v>
      </c>
      <c r="CR608" s="98">
        <f>IF(ISERROR((CQ608/CI608-1)*100),"NA",IF(((CQ608/CI608-1)*100)&gt;100,"NM",IF(((CQ608/CI608-1)*100)&lt;-50,"NM",(CQ608/CI608-1)*100)))</f>
        <v>0.73068893528183132</v>
      </c>
      <c r="CS608" s="132">
        <f>CS604-CS605-CS607</f>
        <v>1244</v>
      </c>
      <c r="CT608" s="98">
        <f>IF(ISERROR((CS608/CK608-1)*100),"NA",IF(((CS608/CK608-1)*100)&gt;100,"NM",IF(((CS608/CK608-1)*100)&lt;-50,"NM",(CS608/CK608-1)*100)))</f>
        <v>4.1876046901172526</v>
      </c>
      <c r="CU608" s="132">
        <f>CU604-CU605-CU607</f>
        <v>1464</v>
      </c>
      <c r="CV608" s="98">
        <f>IF(ISERROR((CU608/CM608-1)*100),"NA",IF(((CU608/CM608-1)*100)&gt;100,"NM",IF(((CU608/CM608-1)*100)&lt;-50,"NM",(CU608/CM608-1)*100)))</f>
        <v>11.077389984825503</v>
      </c>
      <c r="CW608" s="132">
        <f>CW604-CW605-CW607</f>
        <v>1432</v>
      </c>
      <c r="CX608" s="98">
        <f>IF(ISERROR((CW608/CO608-1)*100),"NA",IF(((CW608/CO608-1)*100)&gt;100,"NM",IF(((CW608/CO608-1)*100)&lt;-50,"NM",(CW608/CO608-1)*100)))</f>
        <v>18.641259320629654</v>
      </c>
      <c r="CY608" s="132">
        <f>CY604-CY605-CY607</f>
        <v>1417</v>
      </c>
      <c r="CZ608" s="98">
        <f>IF(ISERROR((CY608/CQ608-1)*100),"NA",IF(((CY608/CQ608-1)*100)&gt;100,"NM",IF(((CY608/CQ608-1)*100)&lt;-50,"NM",(CY608/CQ608-1)*100)))</f>
        <v>46.839378238341965</v>
      </c>
      <c r="DA608" s="132">
        <f>DA604-DA605-DA607</f>
        <v>1373</v>
      </c>
      <c r="DB608" s="98">
        <f>IF(ISERROR((DA608/CS608-1)*100),"NA",IF(((DA608/CS608-1)*100)&gt;100,"NM",IF(((DA608/CS608-1)*100)&lt;-50,"NM",(DA608/CS608-1)*100)))</f>
        <v>10.36977491961415</v>
      </c>
      <c r="DC608" s="132">
        <f>DC604-DC605-DC607</f>
        <v>1627</v>
      </c>
      <c r="DD608" s="98">
        <f>IF(ISERROR((DC608/CU608-1)*100),"NA",IF(((DC608/CU608-1)*100)&gt;100,"NM",IF(((DC608/CU608-1)*100)&lt;-50,"NM",(DC608/CU608-1)*100)))</f>
        <v>11.133879781420774</v>
      </c>
      <c r="DE608" s="132">
        <f>DE604-DE605-DE607</f>
        <v>1585</v>
      </c>
      <c r="DF608" s="98">
        <f>IF(ISERROR((DE608/CW608-1)*100),"NA",IF(((DE608/CW608-1)*100)&gt;100,"NM",IF(((DE608/CW608-1)*100)&lt;-50,"NM",(DE608/CW608-1)*100)))</f>
        <v>10.684357541899448</v>
      </c>
      <c r="DG608" s="132">
        <f>DG604-DG605-DG607</f>
        <v>1495</v>
      </c>
      <c r="DH608" s="98">
        <f>IF(ISERROR((DG608/CY608-1)*100),"NA",IF(((DG608/CY608-1)*100)&gt;100,"NM",IF(((DG608/CY608-1)*100)&lt;-50,"NM",(DG608/CY608-1)*100)))</f>
        <v>5.504587155963292</v>
      </c>
      <c r="DI608" s="132">
        <f>DI604-DI605-DI607</f>
        <v>1554</v>
      </c>
      <c r="DJ608" s="98">
        <f>IF(ISERROR((DI608/DA608-1)*100),"NA",IF(((DI608/DA608-1)*100)&gt;100,"NM",IF(((DI608/DA608-1)*100)&lt;-50,"NM",(DI608/DA608-1)*100)))</f>
        <v>13.182811361981074</v>
      </c>
      <c r="DK608" s="132">
        <f>DK604-DK605-DK607</f>
        <v>1562</v>
      </c>
      <c r="DL608" s="98">
        <f>IF(ISERROR((DK608/DC608-1)*100),"NA",IF(((DK608/DC608-1)*100)&gt;100,"NM",IF(((DK608/DC608-1)*100)&lt;-50,"NM",(DK608/DC608-1)*100)))</f>
        <v>-3.9950829748002459</v>
      </c>
      <c r="DM608" s="132">
        <f>DM604-DM605-DM607</f>
        <v>1590</v>
      </c>
      <c r="DN608" s="98">
        <f>IF(ISERROR((DM608/DE608-1)*100),"NA",IF(((DM608/DE608-1)*100)&gt;100,"NM",IF(((DM608/DE608-1)*100)&lt;-50,"NM",(DM608/DE608-1)*100)))</f>
        <v>0.3154574132492094</v>
      </c>
      <c r="DO608" s="132">
        <f>DO604-DO605-DO607</f>
        <v>1825</v>
      </c>
      <c r="DP608" s="98">
        <f>IF(ISERROR((DO608/DG608-1)*100),"NA",IF(((DO608/DG608-1)*100)&gt;100,"NM",IF(((DO608/DG608-1)*100)&lt;-50,"NM",(DO608/DG608-1)*100)))</f>
        <v>22.073578595317734</v>
      </c>
      <c r="DQ608" s="132">
        <f>DQ604-DQ605-DQ607</f>
        <v>1583</v>
      </c>
      <c r="DR608" s="98">
        <f>IF(ISERROR((DQ608/DI608-1)*100),"NA",IF(((DQ608/DI608-1)*100)&gt;100,"NM",IF(((DQ608/DI608-1)*100)&lt;-50,"NM",(DQ608/DI608-1)*100)))</f>
        <v>1.8661518661518661</v>
      </c>
      <c r="DS608" s="132">
        <f>DS604-DS605-DS607</f>
        <v>1266</v>
      </c>
      <c r="DT608" s="98">
        <f>IF(ISERROR((DS608/DK608-1)*100),"NA",IF(((DS608/DK608-1)*100)&gt;100,"NM",IF(((DS608/DK608-1)*100)&lt;-50,"NM",(DS608/DK608-1)*100)))</f>
        <v>-18.950064020486558</v>
      </c>
      <c r="DU608" s="132">
        <f>DU604-DU605-DU607</f>
        <v>1359</v>
      </c>
      <c r="DV608" s="98">
        <f>IF(ISERROR((DU608/DM608-1)*100),"NA",IF(((DU608/DM608-1)*100)&gt;100,"NM",IF(((DU608/DM608-1)*100)&lt;-50,"NM",(DU608/DM608-1)*100)))</f>
        <v>-14.52830188679245</v>
      </c>
      <c r="DW608" s="132">
        <f>DW604-DW605-DW607</f>
        <v>358</v>
      </c>
      <c r="DX608" s="98" t="str">
        <f>IF(ISERROR((DW608/DO608-1)*100),"NA",IF(((DW608/DO608-1)*100)&gt;100,"NM",IF(((DW608/DO608-1)*100)&lt;-50,"NM",(DW608/DO608-1)*100)))</f>
        <v>NM</v>
      </c>
      <c r="DY608" s="132">
        <f>DY604-DY605-DY607</f>
        <v>988</v>
      </c>
      <c r="DZ608" s="98">
        <f>IF(ISERROR((DY608/DQ608-1)*100),"NA",IF(((DY608/DQ608-1)*100)&gt;100,"NM",IF(((DY608/DQ608-1)*100)&lt;-50,"NM",(DY608/DQ608-1)*100)))</f>
        <v>-37.586860391661403</v>
      </c>
      <c r="EA608" s="132">
        <f>EA604-EA605-EA607</f>
        <v>1002</v>
      </c>
      <c r="EB608" s="98">
        <f>IF(ISERROR((EA608/DS608-1)*100),"NA",IF(((EA608/DS608-1)*100)&gt;100,"NM",IF(((EA608/DS608-1)*100)&lt;-50,"NM",(EA608/DS608-1)*100)))</f>
        <v>-20.853080568720383</v>
      </c>
      <c r="EC608" s="132">
        <f>EC604-EC605-EC607</f>
        <v>626</v>
      </c>
      <c r="ED608" s="98" t="str">
        <f>IF(ISERROR((EC608/DU608-1)*100),"NA",IF(((EC608/DU608-1)*100)&gt;100,"NM",IF(((EC608/DU608-1)*100)&lt;-50,"NM",(EC608/DU608-1)*100)))</f>
        <v>NM</v>
      </c>
      <c r="EE608" s="132">
        <f>EE604-EE605-EE607</f>
        <v>1355</v>
      </c>
      <c r="EF608" s="860" t="str">
        <f>IF(ISERROR((EE608/DW608-1)*100),"NA",IF(((EE608/DW608-1)*100)&gt;100,"NM",IF(((EE608/DW608-1)*100)&lt;-50,"NM",(EE608/DW608-1)*100)))</f>
        <v>NM</v>
      </c>
      <c r="EG608" s="132">
        <f>EG604-EG605-EG607</f>
        <v>1029</v>
      </c>
      <c r="EH608" s="860">
        <f>IF(ISERROR((EG608/DY608-1)*100),"NA",IF(((EG608/DY608-1)*100)&gt;100,"NM",IF(((EG608/DY608-1)*100)&lt;-50,"NM",(EG608/DY608-1)*100)))</f>
        <v>4.1497975708502111</v>
      </c>
      <c r="EI608" s="132">
        <f>EI604-EI605-EI607</f>
        <v>1300</v>
      </c>
      <c r="EJ608" s="860">
        <f t="shared" si="3464"/>
        <v>29.740518962075857</v>
      </c>
      <c r="EK608" s="132">
        <f>EK604-EK605-EK607</f>
        <v>1099</v>
      </c>
      <c r="EL608" s="860">
        <f t="shared" si="3465"/>
        <v>75.559105431309902</v>
      </c>
      <c r="EM608" s="132">
        <f>EM604-EM605-EM607</f>
        <v>1098</v>
      </c>
      <c r="EN608" s="860">
        <f t="shared" si="3466"/>
        <v>-18.966789667896677</v>
      </c>
      <c r="EO608" s="132">
        <f>EO604-EO605-EO607</f>
        <v>636</v>
      </c>
      <c r="EP608" s="98">
        <f t="shared" si="3467"/>
        <v>-38.192419825072889</v>
      </c>
      <c r="EQ608" s="132">
        <f>EQ604-EQ605-EQ607</f>
        <v>1247.8759053276153</v>
      </c>
      <c r="ER608" s="98">
        <f t="shared" si="3468"/>
        <v>-4.0095457440295856</v>
      </c>
      <c r="ES608" s="132">
        <f t="shared" ref="ES608" si="3483">ES604-ES605-ES607</f>
        <v>1247.0519622517036</v>
      </c>
      <c r="ET608" s="98">
        <f t="shared" si="3470"/>
        <v>13.471516128453453</v>
      </c>
      <c r="EU608" s="132">
        <f t="shared" ref="EU608" si="3484">EU604-EU605-EU607</f>
        <v>1260.6753955390393</v>
      </c>
      <c r="EV608" s="98">
        <f t="shared" si="3472"/>
        <v>14.815609794083716</v>
      </c>
      <c r="EW608" s="132">
        <f t="shared" ref="EW608" si="3485">EW604-EW605-EW607</f>
        <v>1273.7110350702401</v>
      </c>
      <c r="EX608" s="98" t="str">
        <f t="shared" si="3474"/>
        <v>NM</v>
      </c>
      <c r="EY608" s="132"/>
      <c r="EZ608" s="594"/>
      <c r="FA608" s="405"/>
      <c r="FB608" s="320"/>
      <c r="FC608" s="319"/>
      <c r="FD608" s="312"/>
      <c r="FE608" s="98" t="str">
        <f>IF(ISERROR((FD608/FB608-1)*100),"NA",IF(((FD608/FB608-1)*100)&gt;100,"NM",IF(((FD608/FB608-1)*100)&lt;-50,"NM",(FD608/FB608-1)*100)))</f>
        <v>NA</v>
      </c>
      <c r="FF608" s="132">
        <v>1546</v>
      </c>
      <c r="FG608" s="98" t="str">
        <f>IF(ISERROR((FF608/FD608-1)*100),"NA",IF(((FF608/FD608-1)*100)&gt;100,"NM",IF(((FF608/FD608-1)*100)&lt;-50,"NM",(FF608/FD608-1)*100)))</f>
        <v>NA</v>
      </c>
      <c r="FH608" s="132">
        <v>1462.5252851599148</v>
      </c>
      <c r="FI608" s="98">
        <f>IF(ISERROR((FH608/FF608-1)*100),"NA",IF(((FH608/FF608-1)*100)&gt;100,"NM",IF(((FH608/FF608-1)*100)&lt;-50,"NM",(FH608/FF608-1)*100)))</f>
        <v>-5.3993994075087421</v>
      </c>
      <c r="FJ608" s="132">
        <f>+FJ626</f>
        <v>1744</v>
      </c>
      <c r="FK608" s="98">
        <f>IF(ISERROR((FJ608/FH608-1)*100),"NA",IF(((FJ608/FH608-1)*100)&gt;100,"NM",IF(((FJ608/FH608-1)*100)&lt;-50,"NM",(FJ608/FH608-1)*100)))</f>
        <v>19.245801607410051</v>
      </c>
      <c r="FL608" s="132">
        <f>+FL626</f>
        <v>2247</v>
      </c>
      <c r="FM608" s="98">
        <f>IF(ISERROR((FL608/FJ608-1)*100),"NA",IF(((FL608/FJ608-1)*100)&gt;100,"NM",IF(((FL608/FJ608-1)*100)&lt;-50,"NM",(FL608/FJ608-1)*100)))</f>
        <v>28.841743119266063</v>
      </c>
      <c r="FN608" s="132">
        <f>+FN626</f>
        <v>2639</v>
      </c>
      <c r="FO608" s="98">
        <f>IF(ISERROR((FN608/FL608-1)*100),"NA",IF(((FN608/FL608-1)*100)&gt;100,"NM",IF(((FN608/FL608-1)*100)&lt;-50,"NM",(FN608/FL608-1)*100)))</f>
        <v>17.445482866043616</v>
      </c>
      <c r="FP608" s="132">
        <f>+FP626</f>
        <v>3271</v>
      </c>
      <c r="FQ608" s="98">
        <f>IF(ISERROR((FP608/FN608-1)*100),"NA",IF(((FP608/FN608-1)*100)&gt;100,"NM",IF(((FP608/FN608-1)*100)&lt;-50,"NM",(FP608/FN608-1)*100)))</f>
        <v>23.948465327775679</v>
      </c>
      <c r="FR608" s="132">
        <f>+FR626</f>
        <v>4022</v>
      </c>
      <c r="FS608" s="120">
        <f>IF(ISERROR((FR608/FP608-1)*100),"NA",IF(((FR608/FP608-1)*100)&gt;100,"NM",IF(((FR608/FP608-1)*100)&lt;-50,"NM",(FR608/FP608-1)*100)))</f>
        <v>22.959339651482736</v>
      </c>
      <c r="FT608" s="132">
        <f>+FT626</f>
        <v>4667</v>
      </c>
      <c r="FU608" s="120">
        <f>IF(ISERROR((FT608/FR608-1)*100),"NA",IF(((FT608/FR608-1)*100)&gt;100,"NM",IF(((FT608/FR608-1)*100)&lt;-50,"NM",(FT608/FR608-1)*100)))</f>
        <v>16.036797613127796</v>
      </c>
      <c r="FV608" s="132">
        <f>+FV626</f>
        <v>2520</v>
      </c>
      <c r="FW608" s="98">
        <f>IF(ISERROR((FV608/FT608-1)*100),"NA",IF(((FV608/FT608-1)*100)&gt;100,"NM",IF(((FV608/FT608-1)*100)&lt;-50,"NM",(FV608/FT608-1)*100)))</f>
        <v>-46.003856867366622</v>
      </c>
      <c r="FX608" s="488">
        <f>+FX626</f>
        <v>262</v>
      </c>
      <c r="FY608" s="98" t="str">
        <f>IF(ISERROR((FX608/FV608-1)*100),"NA",IF(((FX608/FV608-1)*100)&gt;100,"NM",IF(((FX608/FV608-1)*100)&lt;-50,"NM",(FX608/FV608-1)*100)))</f>
        <v>NM</v>
      </c>
      <c r="FZ608" s="132">
        <f>FZ604-FZ605-FZ607</f>
        <v>3930</v>
      </c>
      <c r="GA608" s="98" t="str">
        <f>IF(ISERROR((FZ608/FX608-1)*100),"NA",IF(((FZ608/FX608-1)*100)&gt;100,"NM",IF(((FZ608/FX608-1)*100)&lt;-50,"NM",(FZ608/FX608-1)*100)))</f>
        <v>NM</v>
      </c>
      <c r="GB608" s="488">
        <f>GB604-GB605-GB607</f>
        <v>4677</v>
      </c>
      <c r="GC608" s="98">
        <f>IF(ISERROR((GB608/FZ608-1)*100),"NA",IF(((GB608/FZ608-1)*100)&gt;100,"NM",IF(((GB608/FZ608-1)*100)&lt;-50,"NM",(GB608/FZ608-1)*100)))</f>
        <v>19.007633587786255</v>
      </c>
      <c r="GD608" s="132">
        <f>GD604-GD605-GD607</f>
        <v>5686</v>
      </c>
      <c r="GE608" s="98">
        <f>IF(ISERROR((GD608/GB608-1)*100),"NA",IF(((GD608/GB608-1)*100)&gt;100,"NM",IF(((GD608/GB608-1)*100)&lt;-50,"NM",(GD608/GB608-1)*100)))</f>
        <v>21.573658327988031</v>
      </c>
      <c r="GF608" s="132">
        <f>GF604-GF605-GF607</f>
        <v>6261</v>
      </c>
      <c r="GG608" s="98">
        <f>IF(ISERROR((GF608/GD608-1)*100),"NA",IF(((GF608/GD608-1)*100)&gt;100,"NM",IF(((GF608/GD608-1)*100)&lt;-50,"NM",(GF608/GD608-1)*100)))</f>
        <v>10.112557157931757</v>
      </c>
      <c r="GH608" s="132">
        <f>GH604-GH605-GH607</f>
        <v>6560</v>
      </c>
      <c r="GI608" s="98">
        <f>IF(ISERROR((GH608/GF608-1)*100),"NA",IF(((GH608/GF608-1)*100)&gt;100,"NM",IF(((GH608/GF608-1)*100)&lt;-50,"NM",(GH608/GF608-1)*100)))</f>
        <v>4.7755949528829333</v>
      </c>
      <c r="GJ608" s="132">
        <f>GJ604-GJ605-GJ607</f>
        <v>3971</v>
      </c>
      <c r="GK608" s="98">
        <f>IF(ISERROR((GJ608/GH608-1)*100),"NA",IF(((GJ608/GH608-1)*100)&gt;100,"NM",IF(((GJ608/GH608-1)*100)&lt;-50,"NM",(GJ608/GH608-1)*100)))</f>
        <v>-39.466463414634148</v>
      </c>
      <c r="GL608" s="132">
        <f>GL604-GL605-GL607</f>
        <v>4012</v>
      </c>
      <c r="GM608" s="98">
        <f>IF(ISERROR((GL608/GJ608-1)*100),"NA",IF(((GL608/GJ608-1)*100)&gt;100,"NM",IF(((GL608/GJ608-1)*100)&lt;-50,"NM",(GL608/GJ608-1)*100)))</f>
        <v>1.0324855200201544</v>
      </c>
      <c r="GN608" s="132">
        <f>GN604-GN605-GN607</f>
        <v>4133</v>
      </c>
      <c r="GO608" s="98">
        <f>IF(ISERROR((GN608/GL608-1)*100),"NA",IF(((GN608/GL608-1)*100)&gt;100,"NM",IF(((GN608/GL608-1)*100)&lt;-50,"NM",(GN608/GL608-1)*100)))</f>
        <v>3.0159521435692893</v>
      </c>
      <c r="GP608" s="132">
        <f>GP604-GP605-GP607</f>
        <v>5029.3142981885958</v>
      </c>
      <c r="GQ608" s="98">
        <f>IF(ISERROR((GP608/GN608-1)*100),"NA",IF(((GP608/GN608-1)*100)&gt;100,"NM",IF(((GP608/GN608-1)*100)&lt;-50,"NM",(GP608/GN608-1)*100)))</f>
        <v>21.686772276520582</v>
      </c>
      <c r="GR608" s="132">
        <f>GR604-GR605-GR607</f>
        <v>5011.7764122477984</v>
      </c>
      <c r="GS608" s="98">
        <f>IF(ISERROR((GR608/GP608-1)*100),"NA",IF(((GR608/GP608-1)*100)&gt;100,"NM",IF(((GR608/GP608-1)*100)&lt;-50,"NM",(GR608/GP608-1)*100)))</f>
        <v>-0.3487132619075739</v>
      </c>
      <c r="GT608" s="132">
        <f>GT604-GT605-GT607</f>
        <v>5337.7113438185788</v>
      </c>
      <c r="GU608" s="98">
        <f>IF(ISERROR((GT608/GR608-1)*100),"NA",IF(((GT608/GR608-1)*100)&gt;100,"NM",IF(((GT608/GR608-1)*100)&lt;-50,"NM",(GT608/GR608-1)*100)))</f>
        <v>6.5033813315027222</v>
      </c>
      <c r="GV608" s="132">
        <f>GV604-GV605-GV607</f>
        <v>5496.0002922145059</v>
      </c>
      <c r="GW608" s="98">
        <f>IF(ISERROR((GV608/GT608-1)*100),"NA",IF(((GV608/GT608-1)*100)&gt;100,"NM",IF(((GV608/GT608-1)*100)&lt;-50,"NM",(GV608/GT608-1)*100)))</f>
        <v>2.9654834853375167</v>
      </c>
      <c r="GX608" s="132">
        <f>GX604-GX605-GX607</f>
        <v>5606.6769994248834</v>
      </c>
      <c r="GY608" s="98">
        <f>IF(ISERROR((GX608/GV608-1)*100),"NA",IF(((GX608/GV608-1)*100)&gt;100,"NM",IF(((GX608/GV608-1)*100)&lt;-50,"NM",(GX608/GV608-1)*100)))</f>
        <v>2.0137682191749384</v>
      </c>
      <c r="GZ608" s="98">
        <f>IF(ISERROR(((GX608/GN608)^0.2-1)*100),"NA",IF((((GX608/GN608)^0.2-1)*100)&gt;100,"NM",IF((((GX608/GN608)^0.2-1)*100)&lt;-50,"NM",((GX608/GN608)^0.2-1)*100)))</f>
        <v>6.288927868802463</v>
      </c>
      <c r="HA608" s="98"/>
      <c r="HB608" s="15"/>
      <c r="HC608"/>
      <c r="HD608"/>
      <c r="HE608"/>
      <c r="HF608"/>
      <c r="HG608"/>
      <c r="HH608"/>
    </row>
    <row r="609" spans="2:217" s="1134" customFormat="1" ht="12.75" customHeight="1" x14ac:dyDescent="0.2">
      <c r="B609" s="1135"/>
      <c r="C609" s="1136"/>
      <c r="D609" s="1136"/>
      <c r="E609" s="1136"/>
      <c r="F609" s="1137"/>
      <c r="G609" s="1136"/>
      <c r="H609" s="1137"/>
      <c r="I609" s="1136"/>
      <c r="J609" s="1137"/>
      <c r="K609" s="1136"/>
      <c r="L609" s="1137"/>
      <c r="M609" s="1136"/>
      <c r="N609" s="1137"/>
      <c r="O609" s="1136"/>
      <c r="P609" s="1137"/>
      <c r="Q609" s="1136"/>
      <c r="R609" s="1137"/>
      <c r="S609" s="1136"/>
      <c r="T609" s="1137"/>
      <c r="U609" s="1136"/>
      <c r="V609" s="1137"/>
      <c r="W609" s="1136"/>
      <c r="X609" s="1137"/>
      <c r="Y609" s="1136"/>
      <c r="Z609" s="1137"/>
      <c r="AA609" s="1136"/>
      <c r="AB609" s="1137"/>
      <c r="AC609" s="1136"/>
      <c r="AD609" s="1137"/>
      <c r="AE609" s="1136"/>
      <c r="AF609" s="1137"/>
      <c r="AG609" s="1136"/>
      <c r="AH609" s="1137"/>
      <c r="AI609" s="1136"/>
      <c r="AJ609" s="1137"/>
      <c r="AK609" s="1136"/>
      <c r="AL609" s="1137"/>
      <c r="AM609" s="1136"/>
      <c r="AN609" s="1137"/>
      <c r="AO609" s="1136"/>
      <c r="AP609" s="1137"/>
      <c r="AQ609" s="1136"/>
      <c r="AR609" s="1137"/>
      <c r="AS609" s="1136"/>
      <c r="AT609" s="1137"/>
      <c r="AU609" s="1136"/>
      <c r="AV609" s="1137"/>
      <c r="AW609" s="1136"/>
      <c r="AX609" s="1137"/>
      <c r="AY609" s="1136"/>
      <c r="AZ609" s="1137"/>
      <c r="BA609" s="1136"/>
      <c r="BB609" s="1137"/>
      <c r="BC609" s="1136"/>
      <c r="BD609" s="1137"/>
      <c r="BE609" s="1136"/>
      <c r="BF609" s="1137"/>
      <c r="BG609" s="1136"/>
      <c r="BH609" s="1137"/>
      <c r="BI609" s="1136"/>
      <c r="BJ609" s="1137"/>
      <c r="BK609" s="1136"/>
      <c r="BL609" s="1137"/>
      <c r="BM609" s="1136"/>
      <c r="BN609" s="1137"/>
      <c r="BO609" s="1136"/>
      <c r="BP609" s="1137"/>
      <c r="BQ609" s="1136"/>
      <c r="BR609" s="1137"/>
      <c r="BS609" s="1136"/>
      <c r="BT609" s="1137"/>
      <c r="BU609" s="1136"/>
      <c r="BV609" s="1137"/>
      <c r="BW609" s="1136"/>
      <c r="BX609" s="1137"/>
      <c r="BY609" s="1136"/>
      <c r="BZ609" s="1137"/>
      <c r="CA609" s="1136"/>
      <c r="CB609" s="1137"/>
      <c r="CC609" s="1136"/>
      <c r="CD609" s="1137"/>
      <c r="CE609" s="1136"/>
      <c r="CF609" s="1137"/>
      <c r="CG609" s="1136"/>
      <c r="CH609" s="1137"/>
      <c r="CI609" s="1136"/>
      <c r="CJ609" s="1137"/>
      <c r="CK609" s="1136"/>
      <c r="CL609" s="1137"/>
      <c r="CM609" s="1136"/>
      <c r="CN609" s="1137"/>
      <c r="CO609" s="1136"/>
      <c r="CP609" s="1137"/>
      <c r="CQ609" s="1138"/>
      <c r="CR609" s="1137"/>
      <c r="CS609" s="1139"/>
      <c r="CT609" s="1137"/>
      <c r="CU609" s="1136"/>
      <c r="CV609" s="1137"/>
      <c r="CW609" s="1136"/>
      <c r="CX609" s="1137"/>
      <c r="CY609" s="1136"/>
      <c r="CZ609" s="1137"/>
      <c r="DA609" s="1136"/>
      <c r="DB609" s="1137"/>
      <c r="DC609" s="1136"/>
      <c r="DD609" s="1137"/>
      <c r="DE609" s="1136"/>
      <c r="DF609" s="1137"/>
      <c r="DG609" s="1136"/>
      <c r="DH609" s="1137"/>
      <c r="DI609" s="1136"/>
      <c r="DJ609" s="1137"/>
      <c r="DK609" s="1136"/>
      <c r="DL609" s="1137"/>
      <c r="DM609" s="1136"/>
      <c r="DN609" s="1137"/>
      <c r="DO609" s="1136"/>
      <c r="DP609" s="1137"/>
      <c r="DQ609" s="1136"/>
      <c r="DR609" s="1137"/>
      <c r="DS609" s="1136"/>
      <c r="DT609" s="1137"/>
      <c r="DU609" s="1136"/>
      <c r="DV609" s="1137"/>
      <c r="DW609" s="1136"/>
      <c r="DX609" s="1137"/>
      <c r="DY609" s="1136"/>
      <c r="DZ609" s="1137"/>
      <c r="EA609" s="1136"/>
      <c r="EB609" s="1137"/>
      <c r="EC609" s="1136"/>
      <c r="ED609" s="1137"/>
      <c r="EE609" s="1140"/>
      <c r="EF609" s="1141"/>
      <c r="EG609" s="1140"/>
      <c r="EH609" s="1141"/>
      <c r="EI609" s="1140"/>
      <c r="EJ609" s="1141"/>
      <c r="EK609" s="1140"/>
      <c r="EL609" s="1141"/>
      <c r="EM609" s="1140"/>
      <c r="EN609" s="1141"/>
      <c r="EO609" s="1140"/>
      <c r="EP609" s="1137"/>
      <c r="EQ609" s="1140"/>
      <c r="ER609" s="1137"/>
      <c r="ES609" s="1140"/>
      <c r="ET609" s="1137"/>
      <c r="EU609" s="1140"/>
      <c r="EV609" s="1137"/>
      <c r="EW609" s="1140"/>
      <c r="EX609" s="1137"/>
      <c r="EY609" s="1136"/>
      <c r="EZ609" s="1142"/>
      <c r="FA609" s="1143"/>
      <c r="FB609" s="1144"/>
      <c r="FC609" s="1137"/>
      <c r="FD609" s="1136"/>
      <c r="FE609" s="1137"/>
      <c r="FF609" s="1145"/>
      <c r="FG609" s="1137"/>
      <c r="FH609" s="1145"/>
      <c r="FI609" s="1137"/>
      <c r="FJ609" s="1136"/>
      <c r="FK609" s="1137"/>
      <c r="FL609" s="1136"/>
      <c r="FM609" s="1137"/>
      <c r="FN609" s="1136"/>
      <c r="FO609" s="1137"/>
      <c r="FP609" s="1136"/>
      <c r="FQ609" s="1137"/>
      <c r="FR609" s="1136"/>
      <c r="FS609" s="1137"/>
      <c r="FT609" s="1136"/>
      <c r="FU609" s="1137"/>
      <c r="FV609" s="1136"/>
      <c r="FW609" s="1137"/>
      <c r="FX609" s="1138"/>
      <c r="FY609" s="1137"/>
      <c r="FZ609" s="1136"/>
      <c r="GA609" s="1137"/>
      <c r="GB609" s="1146"/>
      <c r="GC609" s="1137"/>
      <c r="GD609" s="1136"/>
      <c r="GE609" s="1137"/>
      <c r="GF609" s="1136"/>
      <c r="GG609" s="1137"/>
      <c r="GH609" s="1136"/>
      <c r="GI609" s="1137"/>
      <c r="GJ609" s="1140"/>
      <c r="GK609" s="1137"/>
      <c r="GL609" s="1140"/>
      <c r="GM609" s="1137"/>
      <c r="GN609" s="1140"/>
      <c r="GO609" s="1137"/>
      <c r="GP609" s="1140"/>
      <c r="GQ609" s="1137"/>
      <c r="GR609" s="1140"/>
      <c r="GS609" s="1137"/>
      <c r="GT609" s="1140"/>
      <c r="GU609" s="1137"/>
      <c r="GV609" s="1140"/>
      <c r="GW609" s="1137"/>
      <c r="GX609" s="1140"/>
      <c r="GY609" s="1137"/>
      <c r="GZ609" s="1137"/>
      <c r="HA609" s="1137"/>
      <c r="HC609"/>
      <c r="HD609"/>
      <c r="HE609"/>
      <c r="HF609"/>
      <c r="HG609"/>
      <c r="HH609"/>
    </row>
    <row r="610" spans="2:217" s="708" customFormat="1" ht="12.75" customHeight="1" collapsed="1" x14ac:dyDescent="0.2">
      <c r="B610" s="709" t="s">
        <v>700</v>
      </c>
      <c r="C610" s="710"/>
      <c r="D610" s="710"/>
      <c r="E610" s="710"/>
      <c r="F610" s="710"/>
      <c r="G610" s="710"/>
      <c r="H610" s="710"/>
      <c r="I610" s="710"/>
      <c r="J610" s="710"/>
      <c r="K610" s="710"/>
      <c r="L610" s="710"/>
      <c r="M610" s="710"/>
      <c r="N610" s="710"/>
      <c r="O610" s="710"/>
      <c r="P610" s="710"/>
      <c r="Q610" s="710"/>
      <c r="R610" s="710"/>
      <c r="S610" s="710"/>
      <c r="T610" s="710"/>
      <c r="U610" s="710"/>
      <c r="V610" s="710"/>
      <c r="W610" s="710"/>
      <c r="X610" s="710"/>
      <c r="Y610" s="710"/>
      <c r="Z610" s="710"/>
      <c r="AA610" s="710"/>
      <c r="AB610" s="710"/>
      <c r="AC610" s="710"/>
      <c r="AD610" s="710"/>
      <c r="AE610" s="710"/>
      <c r="AF610" s="710"/>
      <c r="AG610" s="710"/>
      <c r="AH610" s="710"/>
      <c r="AI610" s="710"/>
      <c r="AJ610" s="710"/>
      <c r="AK610" s="710"/>
      <c r="AL610" s="710"/>
      <c r="AM610" s="710"/>
      <c r="AN610" s="710"/>
      <c r="AO610" s="710"/>
      <c r="AP610" s="710"/>
      <c r="AQ610" s="710"/>
      <c r="AR610" s="710"/>
      <c r="AS610" s="710"/>
      <c r="AT610" s="710"/>
      <c r="AU610" s="710"/>
      <c r="AV610" s="710"/>
      <c r="AW610" s="710"/>
      <c r="AX610" s="710"/>
      <c r="AY610" s="710"/>
      <c r="AZ610" s="710"/>
      <c r="BA610" s="710"/>
      <c r="BB610" s="710"/>
      <c r="BC610" s="710"/>
      <c r="BD610" s="710"/>
      <c r="BE610" s="710"/>
      <c r="BF610" s="710"/>
      <c r="BG610" s="710"/>
      <c r="BH610" s="710"/>
      <c r="BI610" s="710"/>
      <c r="BJ610" s="710"/>
      <c r="BK610" s="710"/>
      <c r="BL610" s="710"/>
      <c r="BM610" s="710"/>
      <c r="BN610" s="710"/>
      <c r="BO610" s="710"/>
      <c r="BP610" s="710"/>
      <c r="BQ610" s="710"/>
      <c r="BR610" s="710"/>
      <c r="BS610" s="711"/>
      <c r="BT610" s="710"/>
      <c r="BU610" s="711"/>
      <c r="BV610" s="710"/>
      <c r="BW610" s="711"/>
      <c r="BX610" s="710"/>
      <c r="BY610" s="711"/>
      <c r="BZ610" s="710"/>
      <c r="CA610" s="711"/>
      <c r="CB610" s="710"/>
      <c r="CC610" s="711"/>
      <c r="CD610" s="710"/>
      <c r="CE610" s="711"/>
      <c r="CF610" s="710"/>
      <c r="CG610" s="711"/>
      <c r="CH610" s="710"/>
      <c r="CI610" s="711"/>
      <c r="CJ610" s="710"/>
      <c r="CK610" s="711"/>
      <c r="CL610" s="710"/>
      <c r="CM610" s="711"/>
      <c r="CN610" s="710"/>
      <c r="CO610" s="711"/>
      <c r="CP610" s="710"/>
      <c r="CQ610" s="711"/>
      <c r="CR610" s="710"/>
      <c r="CS610" s="711"/>
      <c r="CT610" s="710"/>
      <c r="CU610" s="711"/>
      <c r="CV610" s="710"/>
      <c r="CW610" s="711"/>
      <c r="CX610" s="710"/>
      <c r="CY610" s="711"/>
      <c r="CZ610" s="710"/>
      <c r="DA610" s="711"/>
      <c r="DB610" s="710"/>
      <c r="DC610" s="711"/>
      <c r="DD610" s="710"/>
      <c r="DE610" s="711"/>
      <c r="DF610" s="710"/>
      <c r="DG610" s="711"/>
      <c r="DH610" s="710"/>
      <c r="DI610" s="711"/>
      <c r="DJ610" s="710"/>
      <c r="DK610" s="711"/>
      <c r="DL610" s="710"/>
      <c r="DM610" s="711"/>
      <c r="DN610" s="710"/>
      <c r="DO610" s="711"/>
      <c r="DP610" s="710"/>
      <c r="DQ610" s="711"/>
      <c r="DR610" s="710"/>
      <c r="DS610" s="711"/>
      <c r="DT610" s="710"/>
      <c r="DU610" s="711"/>
      <c r="DV610" s="710"/>
      <c r="DW610" s="711"/>
      <c r="DX610" s="710"/>
      <c r="DY610" s="711"/>
      <c r="DZ610" s="710"/>
      <c r="EA610" s="711"/>
      <c r="EB610" s="710"/>
      <c r="EC610" s="711"/>
      <c r="ED610" s="711"/>
      <c r="EE610" s="711"/>
      <c r="EF610" s="711"/>
      <c r="EG610" s="711"/>
      <c r="EH610" s="711"/>
      <c r="EI610" s="711"/>
      <c r="EJ610" s="711"/>
      <c r="EK610" s="711"/>
      <c r="EL610" s="711"/>
      <c r="EM610" s="711"/>
      <c r="EN610" s="711"/>
      <c r="EO610" s="711"/>
      <c r="EP610" s="710"/>
      <c r="EQ610" s="711"/>
      <c r="ER610" s="710"/>
      <c r="ES610" s="711"/>
      <c r="ET610" s="710"/>
      <c r="EU610" s="711"/>
      <c r="EV610" s="710"/>
      <c r="EW610" s="711"/>
      <c r="EX610" s="710"/>
      <c r="EY610" s="712"/>
      <c r="EZ610" s="713"/>
      <c r="FA610" s="714"/>
      <c r="FB610" s="711"/>
      <c r="FC610" s="710"/>
      <c r="FD610" s="711"/>
      <c r="FE610" s="710"/>
      <c r="FF610" s="712"/>
      <c r="FG610" s="710"/>
      <c r="FH610" s="712"/>
      <c r="FI610" s="710"/>
      <c r="FJ610" s="712"/>
      <c r="FK610" s="710"/>
      <c r="FL610" s="712"/>
      <c r="FM610" s="710"/>
      <c r="FN610" s="712"/>
      <c r="FO610" s="710"/>
      <c r="FP610" s="712"/>
      <c r="FQ610" s="710"/>
      <c r="FR610" s="712"/>
      <c r="FS610" s="715"/>
      <c r="FT610" s="712"/>
      <c r="FU610" s="715"/>
      <c r="FV610" s="712"/>
      <c r="FW610" s="710"/>
      <c r="FX610" s="716"/>
      <c r="FY610" s="710"/>
      <c r="FZ610" s="712"/>
      <c r="GA610" s="710"/>
      <c r="GB610" s="716"/>
      <c r="GC610" s="710"/>
      <c r="GD610" s="712"/>
      <c r="GE610" s="710"/>
      <c r="GF610" s="712"/>
      <c r="GG610" s="710"/>
      <c r="GH610" s="712"/>
      <c r="GI610" s="710"/>
      <c r="GJ610" s="712"/>
      <c r="GK610" s="710"/>
      <c r="GL610" s="712"/>
      <c r="GM610" s="710"/>
      <c r="GN610" s="712"/>
      <c r="GO610" s="710"/>
      <c r="GP610" s="712"/>
      <c r="GQ610" s="710"/>
      <c r="GR610" s="712"/>
      <c r="GS610" s="710"/>
      <c r="GT610" s="712"/>
      <c r="GU610" s="710"/>
      <c r="GV610" s="712"/>
      <c r="GW610" s="710"/>
      <c r="GX610" s="712"/>
      <c r="GY610" s="710"/>
      <c r="GZ610" s="710"/>
      <c r="HA610" s="710"/>
      <c r="HC610"/>
      <c r="HD610"/>
      <c r="HE610"/>
      <c r="HF610"/>
      <c r="HG610"/>
      <c r="HH610"/>
    </row>
    <row r="611" spans="2:217" s="2" customFormat="1" ht="12.75" customHeight="1" x14ac:dyDescent="0.2">
      <c r="B611" s="10"/>
      <c r="C611" s="243"/>
      <c r="D611" s="302"/>
      <c r="E611" s="243"/>
      <c r="F611" s="302"/>
      <c r="G611" s="243"/>
      <c r="H611" s="302"/>
      <c r="I611" s="243"/>
      <c r="J611" s="302"/>
      <c r="K611" s="243"/>
      <c r="L611" s="302"/>
      <c r="M611" s="243"/>
      <c r="N611" s="302"/>
      <c r="O611" s="243"/>
      <c r="P611" s="302"/>
      <c r="Q611" s="243"/>
      <c r="R611" s="302"/>
      <c r="S611" s="243"/>
      <c r="T611" s="302"/>
      <c r="U611" s="243"/>
      <c r="V611" s="302"/>
      <c r="W611" s="243"/>
      <c r="X611" s="302"/>
      <c r="Y611" s="243"/>
      <c r="Z611" s="302"/>
      <c r="AA611" s="322"/>
      <c r="AB611" s="302"/>
      <c r="AC611" s="322"/>
      <c r="AD611" s="302"/>
      <c r="AE611" s="322"/>
      <c r="AF611" s="302"/>
      <c r="AG611" s="322"/>
      <c r="AH611" s="302"/>
      <c r="AI611" s="322"/>
      <c r="AJ611" s="302"/>
      <c r="AK611" s="322"/>
      <c r="AL611" s="302"/>
      <c r="AM611" s="322"/>
      <c r="AN611" s="302"/>
      <c r="AO611" s="322"/>
      <c r="AP611" s="302"/>
      <c r="AQ611" s="322"/>
      <c r="AR611" s="302"/>
      <c r="AS611" s="322"/>
      <c r="AT611" s="302"/>
      <c r="AU611" s="322"/>
      <c r="AV611" s="302"/>
      <c r="AW611" s="322"/>
      <c r="AX611" s="302"/>
      <c r="AY611" s="322"/>
      <c r="AZ611" s="302"/>
      <c r="BA611" s="322"/>
      <c r="BB611" s="302"/>
      <c r="BC611" s="322"/>
      <c r="BD611" s="302"/>
      <c r="BE611" s="322"/>
      <c r="BF611" s="302"/>
      <c r="BG611" s="322"/>
      <c r="BH611" s="302"/>
      <c r="BI611" s="322"/>
      <c r="BJ611" s="302"/>
      <c r="BK611" s="322"/>
      <c r="BL611" s="302"/>
      <c r="BM611" s="322"/>
      <c r="BN611" s="302"/>
      <c r="BO611" s="322"/>
      <c r="BP611" s="302"/>
      <c r="BQ611" s="322"/>
      <c r="BR611" s="302"/>
      <c r="BS611" s="322"/>
      <c r="BT611" s="302"/>
      <c r="BU611" s="322"/>
      <c r="BV611" s="302"/>
      <c r="BW611" s="322"/>
      <c r="BX611" s="302"/>
      <c r="BY611" s="322"/>
      <c r="BZ611" s="302"/>
      <c r="CA611" s="322"/>
      <c r="CB611" s="302"/>
      <c r="CC611" s="322"/>
      <c r="CD611" s="302"/>
      <c r="CE611" s="322"/>
      <c r="CF611" s="302"/>
      <c r="CG611" s="322"/>
      <c r="CH611" s="302"/>
      <c r="CI611" s="322"/>
      <c r="CJ611" s="302"/>
      <c r="CK611" s="322"/>
      <c r="CL611" s="302"/>
      <c r="CM611" s="322"/>
      <c r="CN611" s="302"/>
      <c r="CO611" s="322"/>
      <c r="CP611" s="302"/>
      <c r="CQ611" s="564"/>
      <c r="CR611" s="302"/>
      <c r="CS611" s="322"/>
      <c r="CT611" s="302"/>
      <c r="CU611" s="322"/>
      <c r="CV611" s="302"/>
      <c r="CW611" s="322"/>
      <c r="CX611" s="302"/>
      <c r="CY611" s="322"/>
      <c r="CZ611" s="302"/>
      <c r="DA611" s="322"/>
      <c r="DB611" s="302"/>
      <c r="DC611" s="322"/>
      <c r="DD611" s="302"/>
      <c r="DE611" s="322"/>
      <c r="DF611" s="302"/>
      <c r="DG611" s="322"/>
      <c r="DH611" s="302"/>
      <c r="DI611" s="322"/>
      <c r="DJ611" s="302"/>
      <c r="DK611" s="322"/>
      <c r="DL611" s="302"/>
      <c r="DM611" s="322"/>
      <c r="DN611" s="302"/>
      <c r="DO611" s="322"/>
      <c r="DP611" s="302"/>
      <c r="DQ611" s="322"/>
      <c r="DR611" s="302"/>
      <c r="DS611" s="322"/>
      <c r="DT611" s="302"/>
      <c r="DU611" s="322"/>
      <c r="DV611" s="302"/>
      <c r="DW611" s="322"/>
      <c r="DX611" s="302"/>
      <c r="DY611" s="322"/>
      <c r="DZ611" s="302"/>
      <c r="EA611" s="322"/>
      <c r="EB611" s="302"/>
      <c r="EC611" s="322"/>
      <c r="ED611" s="322"/>
      <c r="EE611" s="322"/>
      <c r="EF611" s="322"/>
      <c r="EG611" s="322"/>
      <c r="EH611" s="322"/>
      <c r="EI611" s="322"/>
      <c r="EJ611" s="322"/>
      <c r="EK611" s="322"/>
      <c r="EL611" s="322"/>
      <c r="EM611" s="322"/>
      <c r="EN611" s="322"/>
      <c r="EO611" s="322"/>
      <c r="EP611" s="302"/>
      <c r="EQ611" s="322"/>
      <c r="ER611" s="302"/>
      <c r="ES611" s="322"/>
      <c r="ET611" s="302"/>
      <c r="EU611" s="322"/>
      <c r="EV611" s="302"/>
      <c r="EW611" s="322"/>
      <c r="EX611" s="302"/>
      <c r="EY611" s="244"/>
      <c r="EZ611" s="594"/>
      <c r="FA611" s="405"/>
      <c r="FB611" s="244"/>
      <c r="FC611" s="302"/>
      <c r="FD611" s="243"/>
      <c r="FE611" s="302"/>
      <c r="FF611" s="95"/>
      <c r="FG611" s="302"/>
      <c r="FH611" s="95"/>
      <c r="FI611" s="302"/>
      <c r="FJ611" s="322"/>
      <c r="FK611" s="302"/>
      <c r="FL611" s="322"/>
      <c r="FM611" s="302"/>
      <c r="FN611" s="322"/>
      <c r="FO611" s="302"/>
      <c r="FP611" s="322"/>
      <c r="FQ611" s="302"/>
      <c r="FR611" s="245"/>
      <c r="FS611" s="303"/>
      <c r="FT611" s="245"/>
      <c r="FU611" s="303"/>
      <c r="FV611" s="245"/>
      <c r="FW611" s="302"/>
      <c r="FX611" s="480"/>
      <c r="FY611" s="302"/>
      <c r="FZ611" s="245"/>
      <c r="GA611" s="302"/>
      <c r="GB611" s="480"/>
      <c r="GC611" s="302"/>
      <c r="GD611" s="245"/>
      <c r="GE611" s="302"/>
      <c r="GF611" s="245"/>
      <c r="GG611" s="302"/>
      <c r="GH611" s="245"/>
      <c r="GI611" s="302"/>
      <c r="GJ611" s="245"/>
      <c r="GK611" s="302"/>
      <c r="GL611" s="245"/>
      <c r="GM611" s="302"/>
      <c r="GN611" s="245"/>
      <c r="GO611" s="302"/>
      <c r="GP611" s="245"/>
      <c r="GQ611" s="302"/>
      <c r="GR611" s="244"/>
      <c r="GS611" s="302"/>
      <c r="GT611" s="244"/>
      <c r="GU611" s="302"/>
      <c r="GV611" s="244"/>
      <c r="GW611" s="302"/>
      <c r="GX611" s="244"/>
      <c r="GY611" s="302"/>
      <c r="GZ611" s="302"/>
      <c r="HA611" s="302"/>
      <c r="HB611" s="10"/>
      <c r="HC611"/>
      <c r="HD611"/>
      <c r="HE611"/>
      <c r="HF611"/>
      <c r="HG611"/>
      <c r="HH611"/>
      <c r="HI611" s="10"/>
    </row>
    <row r="612" spans="2:217" s="2" customFormat="1" ht="12.75" customHeight="1" x14ac:dyDescent="0.2">
      <c r="B612" s="15" t="s">
        <v>28</v>
      </c>
      <c r="C612" s="243"/>
      <c r="D612" s="302"/>
      <c r="E612" s="243"/>
      <c r="F612" s="302"/>
      <c r="G612" s="243"/>
      <c r="H612" s="302"/>
      <c r="I612" s="243"/>
      <c r="J612" s="302"/>
      <c r="K612" s="243"/>
      <c r="L612" s="302"/>
      <c r="M612" s="243"/>
      <c r="N612" s="302"/>
      <c r="O612" s="323"/>
      <c r="P612" s="302"/>
      <c r="Q612" s="243"/>
      <c r="R612" s="302"/>
      <c r="S612" s="243"/>
      <c r="T612" s="302"/>
      <c r="U612" s="243"/>
      <c r="V612" s="302"/>
      <c r="W612" s="243"/>
      <c r="X612" s="302"/>
      <c r="Y612" s="243"/>
      <c r="Z612" s="302"/>
      <c r="AA612" s="243"/>
      <c r="AB612" s="302"/>
      <c r="AC612" s="243"/>
      <c r="AD612" s="302"/>
      <c r="AE612" s="243"/>
      <c r="AF612" s="302"/>
      <c r="AG612" s="94"/>
      <c r="AH612" s="302"/>
      <c r="AI612" s="302"/>
      <c r="AJ612" s="302"/>
      <c r="AK612" s="302"/>
      <c r="AL612" s="302"/>
      <c r="AM612" s="302"/>
      <c r="AN612" s="302"/>
      <c r="AO612" s="302"/>
      <c r="AP612" s="302"/>
      <c r="AQ612" s="302"/>
      <c r="AR612" s="302"/>
      <c r="AS612" s="302"/>
      <c r="AT612" s="302"/>
      <c r="AU612" s="302"/>
      <c r="AV612" s="302"/>
      <c r="AW612" s="302"/>
      <c r="AX612" s="302"/>
      <c r="AY612" s="302"/>
      <c r="AZ612" s="302"/>
      <c r="BA612" s="302"/>
      <c r="BB612" s="302"/>
      <c r="BC612" s="302"/>
      <c r="BD612" s="302"/>
      <c r="BE612" s="302"/>
      <c r="BF612" s="302"/>
      <c r="BG612" s="302"/>
      <c r="BH612" s="302"/>
      <c r="BI612" s="302"/>
      <c r="BJ612" s="302"/>
      <c r="BK612" s="302"/>
      <c r="BL612" s="302"/>
      <c r="BM612" s="302"/>
      <c r="BN612" s="302"/>
      <c r="BO612" s="302"/>
      <c r="BP612" s="302"/>
      <c r="BQ612" s="302"/>
      <c r="BR612" s="302"/>
      <c r="BS612" s="302"/>
      <c r="BT612" s="302"/>
      <c r="BU612" s="302"/>
      <c r="BV612" s="302"/>
      <c r="BW612" s="302"/>
      <c r="BX612" s="302"/>
      <c r="BY612" s="302"/>
      <c r="BZ612" s="302"/>
      <c r="CA612" s="302"/>
      <c r="CB612" s="302"/>
      <c r="CC612" s="302"/>
      <c r="CD612" s="302"/>
      <c r="CE612" s="302"/>
      <c r="CF612" s="302"/>
      <c r="CG612" s="302"/>
      <c r="CH612" s="302"/>
      <c r="CI612" s="302"/>
      <c r="CJ612" s="302"/>
      <c r="CK612" s="302"/>
      <c r="CL612" s="302"/>
      <c r="CM612" s="302"/>
      <c r="CN612" s="302"/>
      <c r="CO612" s="302"/>
      <c r="CP612" s="302"/>
      <c r="CQ612" s="479"/>
      <c r="CR612" s="302"/>
      <c r="CS612" s="302"/>
      <c r="CT612" s="302"/>
      <c r="CU612" s="302"/>
      <c r="CV612" s="302"/>
      <c r="CW612" s="302"/>
      <c r="CX612" s="302"/>
      <c r="CY612" s="302"/>
      <c r="CZ612" s="302"/>
      <c r="DA612" s="302"/>
      <c r="DB612" s="302"/>
      <c r="DC612" s="302"/>
      <c r="DD612" s="302"/>
      <c r="DE612" s="302"/>
      <c r="DF612" s="302"/>
      <c r="DG612" s="302"/>
      <c r="DH612" s="302"/>
      <c r="DI612" s="302"/>
      <c r="DJ612" s="302"/>
      <c r="DK612" s="302"/>
      <c r="DL612" s="302"/>
      <c r="DM612" s="302"/>
      <c r="DN612" s="302"/>
      <c r="DO612" s="302"/>
      <c r="DP612" s="302"/>
      <c r="DQ612" s="302"/>
      <c r="DR612" s="302"/>
      <c r="DS612" s="302"/>
      <c r="DT612" s="302"/>
      <c r="DU612" s="302"/>
      <c r="DV612" s="302"/>
      <c r="DW612" s="302"/>
      <c r="DX612" s="302"/>
      <c r="DY612" s="302"/>
      <c r="DZ612" s="302"/>
      <c r="EA612" s="302"/>
      <c r="EB612" s="302"/>
      <c r="EC612" s="302"/>
      <c r="ED612" s="302"/>
      <c r="EE612" s="302"/>
      <c r="EF612" s="1047"/>
      <c r="EG612" s="302"/>
      <c r="EH612" s="1047"/>
      <c r="EI612" s="302"/>
      <c r="EJ612" s="1047"/>
      <c r="EK612" s="302"/>
      <c r="EL612" s="1047"/>
      <c r="EM612" s="302"/>
      <c r="EN612" s="1047"/>
      <c r="EO612" s="302"/>
      <c r="EP612" s="302"/>
      <c r="EQ612" s="823"/>
      <c r="ER612" s="302"/>
      <c r="ES612" s="823"/>
      <c r="ET612" s="302"/>
      <c r="EU612" s="823"/>
      <c r="EV612" s="302"/>
      <c r="EW612" s="823"/>
      <c r="EX612" s="302"/>
      <c r="EY612" s="244"/>
      <c r="EZ612" s="594"/>
      <c r="FA612" s="405"/>
      <c r="FB612" s="244"/>
      <c r="FC612" s="302"/>
      <c r="FD612" s="243"/>
      <c r="FE612" s="302"/>
      <c r="FF612" s="95"/>
      <c r="FG612" s="302"/>
      <c r="FH612" s="95"/>
      <c r="FI612" s="302"/>
      <c r="FJ612" s="95"/>
      <c r="FK612" s="302"/>
      <c r="FL612" s="95"/>
      <c r="FM612" s="302"/>
      <c r="FN612" s="95"/>
      <c r="FO612" s="302"/>
      <c r="FP612" s="95"/>
      <c r="FQ612" s="302"/>
      <c r="FR612" s="245"/>
      <c r="FS612" s="303"/>
      <c r="FT612" s="245"/>
      <c r="FU612" s="303"/>
      <c r="FV612" s="245"/>
      <c r="FW612" s="302"/>
      <c r="FX612" s="480"/>
      <c r="FY612" s="302"/>
      <c r="FZ612" s="245"/>
      <c r="GA612" s="302"/>
      <c r="GB612" s="480"/>
      <c r="GC612" s="302"/>
      <c r="GD612" s="245"/>
      <c r="GE612" s="302"/>
      <c r="GF612" s="245"/>
      <c r="GG612" s="302"/>
      <c r="GH612" s="245"/>
      <c r="GI612" s="302"/>
      <c r="GJ612" s="245"/>
      <c r="GK612" s="302"/>
      <c r="GL612" s="245"/>
      <c r="GM612" s="302"/>
      <c r="GN612" s="245"/>
      <c r="GO612" s="302"/>
      <c r="GP612" s="245"/>
      <c r="GQ612" s="302"/>
      <c r="GR612" s="244"/>
      <c r="GS612" s="302"/>
      <c r="GT612" s="244"/>
      <c r="GU612" s="302"/>
      <c r="GV612" s="244"/>
      <c r="GW612" s="302"/>
      <c r="GX612" s="244"/>
      <c r="GY612" s="302"/>
      <c r="GZ612" s="302"/>
      <c r="HA612" s="302"/>
      <c r="HB612" s="10"/>
      <c r="HC612"/>
      <c r="HD612"/>
      <c r="HE612"/>
      <c r="HF612"/>
      <c r="HG612"/>
      <c r="HH612"/>
      <c r="HI612" s="10"/>
    </row>
    <row r="613" spans="2:217" s="2" customFormat="1" ht="12.75" customHeight="1" x14ac:dyDescent="0.2">
      <c r="B613" s="18" t="s">
        <v>707</v>
      </c>
      <c r="C613" s="117"/>
      <c r="D613" s="98"/>
      <c r="E613" s="117"/>
      <c r="F613" s="98"/>
      <c r="G613" s="117"/>
      <c r="H613" s="98"/>
      <c r="I613" s="117"/>
      <c r="J613" s="98"/>
      <c r="K613" s="117"/>
      <c r="L613" s="98"/>
      <c r="M613" s="117"/>
      <c r="N613" s="98"/>
      <c r="O613" s="117"/>
      <c r="P613" s="98"/>
      <c r="Q613" s="117"/>
      <c r="R613" s="98"/>
      <c r="S613" s="117"/>
      <c r="T613" s="98"/>
      <c r="U613" s="117"/>
      <c r="V613" s="98"/>
      <c r="W613" s="117"/>
      <c r="X613" s="98"/>
      <c r="Y613" s="117"/>
      <c r="Z613" s="98"/>
      <c r="AA613" s="117"/>
      <c r="AB613" s="98"/>
      <c r="AC613" s="117"/>
      <c r="AD613" s="98"/>
      <c r="AE613" s="117"/>
      <c r="AF613" s="98"/>
      <c r="AG613" s="117"/>
      <c r="AH613" s="98"/>
      <c r="AI613" s="117"/>
      <c r="AJ613" s="98"/>
      <c r="AK613" s="117"/>
      <c r="AL613" s="98"/>
      <c r="AM613" s="117"/>
      <c r="AN613" s="98"/>
      <c r="AO613" s="117"/>
      <c r="AP613" s="98"/>
      <c r="AQ613" s="117"/>
      <c r="AR613" s="98"/>
      <c r="AS613" s="117"/>
      <c r="AT613" s="98"/>
      <c r="AU613" s="117"/>
      <c r="AV613" s="98"/>
      <c r="AW613" s="117"/>
      <c r="AX613" s="98"/>
      <c r="AY613" s="117">
        <f>AY115</f>
        <v>0</v>
      </c>
      <c r="AZ613" s="98" t="str">
        <f t="shared" ref="AZ613:AZ614" si="3486">IF(ISERROR((AY613/AQ613-1)*100),"NA",IF(((AY613/AQ613-1)*100)&gt;100,"NM",IF(((AY613/AQ613-1)*100)&lt;-50,"NM",(AY613/AQ613-1)*100)))</f>
        <v>NA</v>
      </c>
      <c r="BA613" s="117">
        <f>BA115</f>
        <v>0</v>
      </c>
      <c r="BB613" s="98" t="str">
        <f t="shared" ref="BB613:BB614" si="3487">IF(ISERROR((BA613/AS613-1)*100),"NA",IF(((BA613/AS613-1)*100)&gt;100,"NM",IF(((BA613/AS613-1)*100)&lt;-50,"NM",(BA613/AS613-1)*100)))</f>
        <v>NA</v>
      </c>
      <c r="BC613" s="117">
        <f>BC115</f>
        <v>0</v>
      </c>
      <c r="BD613" s="98" t="str">
        <f t="shared" ref="BD613:BD614" si="3488">IF(ISERROR((BC613/AU613-1)*100),"NA",IF(((BC613/AU613-1)*100)&gt;100,"NM",IF(((BC613/AU613-1)*100)&lt;-50,"NM",(BC613/AU613-1)*100)))</f>
        <v>NA</v>
      </c>
      <c r="BE613" s="117">
        <f>BE115</f>
        <v>0</v>
      </c>
      <c r="BF613" s="98" t="str">
        <f t="shared" ref="BF613:BF614" si="3489">IF(ISERROR((BE613/AW613-1)*100),"NA",IF(((BE613/AW613-1)*100)&gt;100,"NM",IF(((BE613/AW613-1)*100)&lt;-50,"NM",(BE613/AW613-1)*100)))</f>
        <v>NA</v>
      </c>
      <c r="BG613" s="117">
        <f>BG115</f>
        <v>0</v>
      </c>
      <c r="BH613" s="98" t="str">
        <f t="shared" ref="BH613:BH614" si="3490">IF(ISERROR((BG613/AY613-1)*100),"NA",IF(((BG613/AY613-1)*100)&gt;100,"NM",IF(((BG613/AY613-1)*100)&lt;-50,"NM",(BG613/AY613-1)*100)))</f>
        <v>NA</v>
      </c>
      <c r="BI613" s="117">
        <f>BI115</f>
        <v>0</v>
      </c>
      <c r="BJ613" s="98" t="str">
        <f t="shared" ref="BJ613:BJ614" si="3491">IF(ISERROR((BI613/BA613-1)*100),"NA",IF(((BI613/BA613-1)*100)&gt;100,"NM",IF(((BI613/BA613-1)*100)&lt;-50,"NM",(BI613/BA613-1)*100)))</f>
        <v>NA</v>
      </c>
      <c r="BK613" s="117">
        <f>BK115</f>
        <v>0</v>
      </c>
      <c r="BL613" s="98" t="str">
        <f t="shared" ref="BL613:BL614" si="3492">IF(ISERROR((BK613/BC613-1)*100),"NA",IF(((BK613/BC613-1)*100)&gt;100,"NM",IF(((BK613/BC613-1)*100)&lt;-50,"NM",(BK613/BC613-1)*100)))</f>
        <v>NA</v>
      </c>
      <c r="BM613" s="117">
        <f>BM115</f>
        <v>0</v>
      </c>
      <c r="BN613" s="98" t="str">
        <f t="shared" ref="BN613:BN614" si="3493">IF(ISERROR((BM613/BE613-1)*100),"NA",IF(((BM613/BE613-1)*100)&gt;100,"NM",IF(((BM613/BE613-1)*100)&lt;-50,"NM",(BM613/BE613-1)*100)))</f>
        <v>NA</v>
      </c>
      <c r="BO613" s="117">
        <f>BO115</f>
        <v>0</v>
      </c>
      <c r="BP613" s="98" t="str">
        <f t="shared" ref="BP613:BP614" si="3494">IF(ISERROR((BO613/BG613-1)*100),"NA",IF(((BO613/BG613-1)*100)&gt;100,"NM",IF(((BO613/BG613-1)*100)&lt;-50,"NM",(BO613/BG613-1)*100)))</f>
        <v>NA</v>
      </c>
      <c r="BQ613" s="117">
        <f>BQ115</f>
        <v>0</v>
      </c>
      <c r="BR613" s="98" t="str">
        <f t="shared" ref="BR613:BR614" si="3495">IF(ISERROR((BQ613/BI613-1)*100),"NA",IF(((BQ613/BI613-1)*100)&gt;100,"NM",IF(((BQ613/BI613-1)*100)&lt;-50,"NM",(BQ613/BI613-1)*100)))</f>
        <v>NA</v>
      </c>
      <c r="BS613" s="117">
        <f>BS115</f>
        <v>0</v>
      </c>
      <c r="BT613" s="98" t="str">
        <f t="shared" ref="BT613:BT614" si="3496">IF(ISERROR((BS613/BK613-1)*100),"NA",IF(((BS613/BK613-1)*100)&gt;100,"NM",IF(((BS613/BK613-1)*100)&lt;-50,"NM",(BS613/BK613-1)*100)))</f>
        <v>NA</v>
      </c>
      <c r="BU613" s="117">
        <f>BU115</f>
        <v>0</v>
      </c>
      <c r="BV613" s="98" t="str">
        <f t="shared" ref="BV613:BV614" si="3497">IF(ISERROR((BU613/BM613-1)*100),"NA",IF(((BU613/BM613-1)*100)&gt;100,"NM",IF(((BU613/BM613-1)*100)&lt;-50,"NM",(BU613/BM613-1)*100)))</f>
        <v>NA</v>
      </c>
      <c r="BW613" s="117">
        <f>BW115</f>
        <v>0</v>
      </c>
      <c r="BX613" s="98" t="str">
        <f t="shared" ref="BX613:BX614" si="3498">IF(ISERROR((BW613/BO613-1)*100),"NA",IF(((BW613/BO613-1)*100)&gt;100,"NM",IF(((BW613/BO613-1)*100)&lt;-50,"NM",(BW613/BO613-1)*100)))</f>
        <v>NA</v>
      </c>
      <c r="BY613" s="117">
        <f>BY115</f>
        <v>0</v>
      </c>
      <c r="BZ613" s="98" t="str">
        <f t="shared" ref="BZ613:BZ614" si="3499">IF(ISERROR((BY613/BQ613-1)*100),"NA",IF(((BY613/BQ613-1)*100)&gt;100,"NM",IF(((BY613/BQ613-1)*100)&lt;-50,"NM",(BY613/BQ613-1)*100)))</f>
        <v>NA</v>
      </c>
      <c r="CA613" s="117">
        <f>CA115</f>
        <v>0</v>
      </c>
      <c r="CB613" s="98" t="str">
        <f t="shared" ref="CB613:CB614" si="3500">IF(ISERROR((CA613/BS613-1)*100),"NA",IF(((CA613/BS613-1)*100)&gt;100,"NM",IF(((CA613/BS613-1)*100)&lt;-50,"NM",(CA613/BS613-1)*100)))</f>
        <v>NA</v>
      </c>
      <c r="CC613" s="117">
        <f>CC115</f>
        <v>0</v>
      </c>
      <c r="CD613" s="98" t="str">
        <f t="shared" ref="CD613:CD614" si="3501">IF(ISERROR((CC613/BU613-1)*100),"NA",IF(((CC613/BU613-1)*100)&gt;100,"NM",IF(((CC613/BU613-1)*100)&lt;-50,"NM",(CC613/BU613-1)*100)))</f>
        <v>NA</v>
      </c>
      <c r="CE613" s="117">
        <f>CE115</f>
        <v>0</v>
      </c>
      <c r="CF613" s="98" t="str">
        <f t="shared" ref="CF613:CF614" si="3502">IF(ISERROR((CE613/BW613-1)*100),"NA",IF(((CE613/BW613-1)*100)&gt;100,"NM",IF(((CE613/BW613-1)*100)&lt;-50,"NM",(CE613/BW613-1)*100)))</f>
        <v>NA</v>
      </c>
      <c r="CG613" s="117">
        <f>CG115</f>
        <v>0</v>
      </c>
      <c r="CH613" s="98" t="str">
        <f t="shared" ref="CH613:CH616" si="3503">IF(ISERROR((CG613/BY613-1)*100),"NA",IF(((CG613/BY613-1)*100)&gt;100,"NM",IF(((CG613/BY613-1)*100)&lt;-50,"NM",(CG613/BY613-1)*100)))</f>
        <v>NA</v>
      </c>
      <c r="CI613" s="117">
        <f>CI115</f>
        <v>0</v>
      </c>
      <c r="CJ613" s="98" t="str">
        <f t="shared" ref="CJ613:CJ616" si="3504">IF(ISERROR((CI613/CA613-1)*100),"NA",IF(((CI613/CA613-1)*100)&gt;100,"NM",IF(((CI613/CA613-1)*100)&lt;-50,"NM",(CI613/CA613-1)*100)))</f>
        <v>NA</v>
      </c>
      <c r="CK613" s="117">
        <f>CK115</f>
        <v>0</v>
      </c>
      <c r="CL613" s="98" t="str">
        <f t="shared" ref="CL613:CL616" si="3505">IF(ISERROR((CK613/CC613-1)*100),"NA",IF(((CK613/CC613-1)*100)&gt;100,"NM",IF(((CK613/CC613-1)*100)&lt;-50,"NM",(CK613/CC613-1)*100)))</f>
        <v>NA</v>
      </c>
      <c r="CM613" s="117">
        <f>CM115</f>
        <v>0</v>
      </c>
      <c r="CN613" s="98" t="str">
        <f t="shared" ref="CN613:CN616" si="3506">IF(ISERROR((CM613/CE613-1)*100),"NA",IF(((CM613/CE613-1)*100)&gt;100,"NM",IF(((CM613/CE613-1)*100)&lt;-50,"NM",(CM613/CE613-1)*100)))</f>
        <v>NA</v>
      </c>
      <c r="CO613" s="117">
        <f>CO115</f>
        <v>0</v>
      </c>
      <c r="CP613" s="98" t="str">
        <f t="shared" ref="CP613" si="3507">IF(ISERROR((CO613/CG613-1)*100),"NA",IF(((CO613/CG613-1)*100)&gt;100,"NM",IF(((CO613/CG613-1)*100)&lt;-50,"NM",(CO613/CG613-1)*100)))</f>
        <v>NA</v>
      </c>
      <c r="CQ613" s="486">
        <f>CQ115</f>
        <v>153</v>
      </c>
      <c r="CR613" s="98" t="str">
        <f t="shared" ref="CR613" si="3508">IF(ISERROR((CQ613/CI613-1)*100),"NA",IF(((CQ613/CI613-1)*100)&gt;100,"NM",IF(((CQ613/CI613-1)*100)&lt;-50,"NM",(CQ613/CI613-1)*100)))</f>
        <v>NA</v>
      </c>
      <c r="CS613" s="117">
        <f>CS115</f>
        <v>240</v>
      </c>
      <c r="CT613" s="574" t="str">
        <f t="shared" ref="CT613" si="3509">IF(ISERROR((CS613/CK613-1)*100),"NA",IF(((CS613/CK613-1)*100)&gt;100,"NM",IF(((CS613/CK613-1)*100)&lt;-50,"NM",(CS613/CK613-1)*100)))</f>
        <v>NA</v>
      </c>
      <c r="CU613" s="117">
        <f>CU115</f>
        <v>243</v>
      </c>
      <c r="CV613" s="574" t="str">
        <f t="shared" ref="CV613:CV616" si="3510">IF(ISERROR((CU613/CM613-1)*100),"NA",IF(((CU613/CM613-1)*100)&gt;100,"NM",IF(((CU613/CM613-1)*100)&lt;-50,"NM",(CU613/CM613-1)*100)))</f>
        <v>NA</v>
      </c>
      <c r="CW613" s="117">
        <f>CW115</f>
        <v>267</v>
      </c>
      <c r="CX613" s="574" t="str">
        <f t="shared" ref="CX613:CX616" si="3511">IF(ISERROR((CW613/CO613-1)*100),"NA",IF(((CW613/CO613-1)*100)&gt;100,"NM",IF(((CW613/CO613-1)*100)&lt;-50,"NM",(CW613/CO613-1)*100)))</f>
        <v>NA</v>
      </c>
      <c r="CY613" s="117">
        <f>CY115</f>
        <v>283</v>
      </c>
      <c r="CZ613" s="574">
        <f t="shared" ref="CZ613:CZ616" si="3512">IF(ISERROR((CY613/CQ613-1)*100),"NA",IF(((CY613/CQ613-1)*100)&gt;100,"NM",IF(((CY613/CQ613-1)*100)&lt;-50,"NM",(CY613/CQ613-1)*100)))</f>
        <v>84.967320261437919</v>
      </c>
      <c r="DA613" s="117">
        <f>DA115</f>
        <v>167</v>
      </c>
      <c r="DB613" s="574">
        <f t="shared" ref="DB613:DB616" si="3513">IF(ISERROR((DA613/CS613-1)*100),"NA",IF(((DA613/CS613-1)*100)&gt;100,"NM",IF(((DA613/CS613-1)*100)&lt;-50,"NM",(DA613/CS613-1)*100)))</f>
        <v>-30.416666666666671</v>
      </c>
      <c r="DC613" s="117">
        <f>DC115</f>
        <v>230</v>
      </c>
      <c r="DD613" s="574">
        <f t="shared" ref="DD613:DD616" si="3514">IF(ISERROR((DC613/CU613-1)*100),"NA",IF(((DC613/CU613-1)*100)&gt;100,"NM",IF(((DC613/CU613-1)*100)&lt;-50,"NM",(DC613/CU613-1)*100)))</f>
        <v>-5.3497942386831259</v>
      </c>
      <c r="DE613" s="117">
        <f>DE115</f>
        <v>275</v>
      </c>
      <c r="DF613" s="574">
        <f t="shared" ref="DF613:DF616" si="3515">IF(ISERROR((DE613/CW613-1)*100),"NA",IF(((DE613/CW613-1)*100)&gt;100,"NM",IF(((DE613/CW613-1)*100)&lt;-50,"NM",(DE613/CW613-1)*100)))</f>
        <v>2.9962546816479474</v>
      </c>
      <c r="DG613" s="117">
        <f>DG115</f>
        <v>226</v>
      </c>
      <c r="DH613" s="574">
        <f t="shared" ref="DH613:DH616" si="3516">IF(ISERROR((DG613/CY613-1)*100),"NA",IF(((DG613/CY613-1)*100)&gt;100,"NM",IF(((DG613/CY613-1)*100)&lt;-50,"NM",(DG613/CY613-1)*100)))</f>
        <v>-20.141342756183743</v>
      </c>
      <c r="DI613" s="117">
        <f>DI115</f>
        <v>231</v>
      </c>
      <c r="DJ613" s="98">
        <f t="shared" ref="DJ613:DJ616" si="3517">IF(ISERROR((DI613/DA613-1)*100),"NA",IF(((DI613/DA613-1)*100)&gt;100,"NM",IF(((DI613/DA613-1)*100)&lt;-50,"NM",(DI613/DA613-1)*100)))</f>
        <v>38.323353293413163</v>
      </c>
      <c r="DK613" s="117">
        <f>DK115</f>
        <v>190</v>
      </c>
      <c r="DL613" s="98">
        <f t="shared" ref="DL613:DL616" si="3518">IF(ISERROR((DK613/DC613-1)*100),"NA",IF(((DK613/DC613-1)*100)&gt;100,"NM",IF(((DK613/DC613-1)*100)&lt;-50,"NM",(DK613/DC613-1)*100)))</f>
        <v>-17.391304347826086</v>
      </c>
      <c r="DM613" s="117">
        <f>DM115</f>
        <v>209</v>
      </c>
      <c r="DN613" s="98">
        <f t="shared" ref="DN613:DZ616" si="3519">IF(ISERROR((DM613/DE613-1)*100),"NA",IF(((DM613/DE613-1)*100)&gt;100,"NM",IF(((DM613/DE613-1)*100)&lt;-50,"NM",(DM613/DE613-1)*100)))</f>
        <v>-24</v>
      </c>
      <c r="DO613" s="117">
        <f>DO115</f>
        <v>241</v>
      </c>
      <c r="DP613" s="98">
        <f t="shared" si="3519"/>
        <v>6.6371681415929196</v>
      </c>
      <c r="DQ613" s="117">
        <f>DQ115</f>
        <v>238</v>
      </c>
      <c r="DR613" s="98">
        <f t="shared" si="3519"/>
        <v>3.0303030303030276</v>
      </c>
      <c r="DS613" s="117">
        <f>DS115</f>
        <v>138</v>
      </c>
      <c r="DT613" s="98">
        <f t="shared" si="3519"/>
        <v>-27.368421052631575</v>
      </c>
      <c r="DU613" s="117">
        <f>DU115</f>
        <v>166</v>
      </c>
      <c r="DV613" s="98">
        <f t="shared" si="3519"/>
        <v>-20.574162679425832</v>
      </c>
      <c r="DW613" s="117">
        <f>DW115</f>
        <v>177</v>
      </c>
      <c r="DX613" s="98">
        <f t="shared" si="3519"/>
        <v>-26.556016597510368</v>
      </c>
      <c r="DY613" s="117">
        <f>DY115</f>
        <v>153</v>
      </c>
      <c r="DZ613" s="98">
        <f t="shared" si="3519"/>
        <v>-35.714285714285708</v>
      </c>
      <c r="EA613" s="117">
        <f>EA115</f>
        <v>142</v>
      </c>
      <c r="EB613" s="98">
        <f t="shared" ref="EB613:EB616" si="3520">IF(ISERROR((EA613/DS613-1)*100),"NA",IF(((EA613/DS613-1)*100)&gt;100,"NM",IF(((EA613/DS613-1)*100)&lt;-50,"NM",(EA613/DS613-1)*100)))</f>
        <v>2.8985507246376718</v>
      </c>
      <c r="EC613" s="117">
        <f>EC115</f>
        <v>185</v>
      </c>
      <c r="ED613" s="98">
        <f t="shared" ref="ED613:ED616" si="3521">IF(ISERROR((EC613/DU613-1)*100),"NA",IF(((EC613/DU613-1)*100)&gt;100,"NM",IF(((EC613/DU613-1)*100)&lt;-50,"NM",(EC613/DU613-1)*100)))</f>
        <v>11.44578313253013</v>
      </c>
      <c r="EE613" s="117">
        <f>EE115</f>
        <v>186</v>
      </c>
      <c r="EF613" s="860">
        <f t="shared" ref="EF613:EF616" si="3522">IF(ISERROR((EE613/DW613-1)*100),"NA",IF(((EE613/DW613-1)*100)&gt;100,"NM",IF(((EE613/DW613-1)*100)&lt;-50,"NM",(EE613/DW613-1)*100)))</f>
        <v>5.0847457627118731</v>
      </c>
      <c r="EG613" s="117">
        <f>EG115</f>
        <v>174</v>
      </c>
      <c r="EH613" s="860">
        <f t="shared" ref="EH613:EH616" si="3523">IF(ISERROR((EG613/DY613-1)*100),"NA",IF(((EG613/DY613-1)*100)&gt;100,"NM",IF(((EG613/DY613-1)*100)&lt;-50,"NM",(EG613/DY613-1)*100)))</f>
        <v>13.725490196078427</v>
      </c>
      <c r="EI613" s="117">
        <f>EI115</f>
        <v>194</v>
      </c>
      <c r="EJ613" s="860">
        <f t="shared" ref="EJ613:EJ616" si="3524">IF(ISERROR((EI613/EA613-1)*100),"NA",IF(((EI613/EA613-1)*100)&gt;100,"NM",IF(((EI613/EA613-1)*100)&lt;-50,"NM",(EI613/EA613-1)*100)))</f>
        <v>36.619718309859152</v>
      </c>
      <c r="EK613" s="117">
        <f>EK115</f>
        <v>203</v>
      </c>
      <c r="EL613" s="860">
        <f t="shared" ref="EL613:EL616" si="3525">IF(ISERROR((EK613/EC613-1)*100),"NA",IF(((EK613/EC613-1)*100)&gt;100,"NM",IF(((EK613/EC613-1)*100)&lt;-50,"NM",(EK613/EC613-1)*100)))</f>
        <v>9.7297297297297192</v>
      </c>
      <c r="EM613" s="117">
        <f>EM115</f>
        <v>241</v>
      </c>
      <c r="EN613" s="860">
        <f t="shared" ref="EN613:EN616" si="3526">IF(ISERROR((EM613/EE613-1)*100),"NA",IF(((EM613/EE613-1)*100)&gt;100,"NM",IF(((EM613/EE613-1)*100)&lt;-50,"NM",(EM613/EE613-1)*100)))</f>
        <v>29.569892473118276</v>
      </c>
      <c r="EO613" s="117">
        <f>EO115</f>
        <v>230</v>
      </c>
      <c r="EP613" s="98">
        <f t="shared" ref="EP613:EP616" si="3527">IF(ISERROR((EO613/EG613-1)*100),"NA",IF(((EO613/EG613-1)*100)&gt;100,"NM",IF(((EO613/EG613-1)*100)&lt;-50,"NM",(EO613/EG613-1)*100)))</f>
        <v>32.18390804597702</v>
      </c>
      <c r="EQ613" s="1031">
        <f>EQ115</f>
        <v>269.4829126818604</v>
      </c>
      <c r="ER613" s="98">
        <f t="shared" ref="ER613:ER616" si="3528">IF(ISERROR((EQ613/EI613-1)*100),"NA",IF(((EQ613/EI613-1)*100)&gt;100,"NM",IF(((EQ613/EI613-1)*100)&lt;-50,"NM",(EQ613/EI613-1)*100)))</f>
        <v>38.908717877247632</v>
      </c>
      <c r="ES613" s="1031">
        <f>ES115</f>
        <v>279.21890097846847</v>
      </c>
      <c r="ET613" s="98">
        <f t="shared" ref="ET613:ET616" si="3529">IF(ISERROR((ES613/EK613-1)*100),"NA",IF(((ES613/EK613-1)*100)&gt;100,"NM",IF(((ES613/EK613-1)*100)&lt;-50,"NM",(ES613/EK613-1)*100)))</f>
        <v>37.546256639639644</v>
      </c>
      <c r="EU613" s="1031">
        <f>EU115</f>
        <v>288.74141177748498</v>
      </c>
      <c r="EV613" s="98">
        <f t="shared" ref="EV613:EV616" si="3530">IF(ISERROR((EU613/EM613-1)*100),"NA",IF(((EU613/EM613-1)*100)&gt;100,"NM",IF(((EU613/EM613-1)*100)&lt;-50,"NM",(EU613/EM613-1)*100)))</f>
        <v>19.809714430491688</v>
      </c>
      <c r="EW613" s="1031">
        <f>EW115</f>
        <v>298.57441754230206</v>
      </c>
      <c r="EX613" s="98">
        <f t="shared" ref="EX613:EX616" si="3531">IF(ISERROR((EW613/EO613-1)*100),"NA",IF(((EW613/EO613-1)*100)&gt;100,"NM",IF(((EW613/EO613-1)*100)&lt;-50,"NM",(EW613/EO613-1)*100)))</f>
        <v>29.814964148826984</v>
      </c>
      <c r="EY613" s="117"/>
      <c r="EZ613" s="594"/>
      <c r="FA613" s="410"/>
      <c r="FB613" s="325"/>
      <c r="FC613" s="224"/>
      <c r="FD613" s="117"/>
      <c r="FE613" s="98"/>
      <c r="FF613" s="117"/>
      <c r="FG613" s="98"/>
      <c r="FH613" s="117"/>
      <c r="FI613" s="98"/>
      <c r="FJ613" s="117"/>
      <c r="FK613" s="98"/>
      <c r="FL613" s="117"/>
      <c r="FM613" s="98"/>
      <c r="FN613" s="117"/>
      <c r="FO613" s="98"/>
      <c r="FP613" s="117"/>
      <c r="FQ613" s="98"/>
      <c r="FR613" s="117"/>
      <c r="FS613" s="98" t="str">
        <f t="shared" ref="FS613:FS616" si="3532">IF(ISERROR((FR613/FP613-1)*100),"NA",IF(((FR613/FP613-1)*100)&gt;100,"NM",IF(((FR613/FP613-1)*100)&lt;-50,"NM",(FR613/FP613-1)*100)))</f>
        <v>NA</v>
      </c>
      <c r="FT613" s="117"/>
      <c r="FU613" s="98" t="str">
        <f t="shared" ref="FU613:FU616" si="3533">IF(ISERROR((FT613/FR613-1)*100),"NA",IF(((FT613/FR613-1)*100)&gt;100,"NM",IF(((FT613/FR613-1)*100)&lt;-50,"NM",(FT613/FR613-1)*100)))</f>
        <v>NA</v>
      </c>
      <c r="FV613" s="117"/>
      <c r="FW613" s="98" t="str">
        <f t="shared" ref="FW613:FY616" si="3534">IF(ISERROR((FV613/FT613-1)*100),"NA",IF(((FV613/FT613-1)*100)&gt;100,"NM",IF(((FV613/FT613-1)*100)&lt;-50,"NM",(FV613/FT613-1)*100)))</f>
        <v>NA</v>
      </c>
      <c r="FX613" s="486"/>
      <c r="FY613" s="98" t="str">
        <f t="shared" si="3534"/>
        <v>NA</v>
      </c>
      <c r="FZ613" s="486"/>
      <c r="GA613" s="98" t="str">
        <f t="shared" ref="GA613:GA616" si="3535">IF(ISERROR((FZ613/FX613-1)*100),"NA",IF(((FZ613/FX613-1)*100)&gt;100,"NM",IF(((FZ613/FX613-1)*100)&lt;-50,"NM",(FZ613/FX613-1)*100)))</f>
        <v>NA</v>
      </c>
      <c r="GB613" s="486">
        <f>GB115</f>
        <v>891</v>
      </c>
      <c r="GC613" s="98" t="str">
        <f t="shared" ref="GC613:GC616" si="3536">IF(ISERROR((GB613/FZ613-1)*100),"NA",IF(((GB613/FZ613-1)*100)&gt;100,"NM",IF(((GB613/FZ613-1)*100)&lt;-50,"NM",(GB613/FZ613-1)*100)))</f>
        <v>NA</v>
      </c>
      <c r="GD613" s="117">
        <f>GD115</f>
        <v>960</v>
      </c>
      <c r="GE613" s="98">
        <f t="shared" ref="GE613:GW616" si="3537">IF(ISERROR((GD613/GB613-1)*100),"NA",IF(((GD613/GB613-1)*100)&gt;100,"NM",IF(((GD613/GB613-1)*100)&lt;-50,"NM",(GD613/GB613-1)*100)))</f>
        <v>7.7441077441077422</v>
      </c>
      <c r="GF613" s="117">
        <f>GF115</f>
        <v>962</v>
      </c>
      <c r="GG613" s="98">
        <f t="shared" si="3537"/>
        <v>0.2083333333333437</v>
      </c>
      <c r="GH613" s="117">
        <f>GH115</f>
        <v>878</v>
      </c>
      <c r="GI613" s="98">
        <f t="shared" si="3537"/>
        <v>-8.7318087318087318</v>
      </c>
      <c r="GJ613" s="117">
        <f>GJ115</f>
        <v>634</v>
      </c>
      <c r="GK613" s="98">
        <f t="shared" si="3537"/>
        <v>-27.79043280182233</v>
      </c>
      <c r="GL613" s="117">
        <f>GL115</f>
        <v>687</v>
      </c>
      <c r="GM613" s="98">
        <f t="shared" si="3537"/>
        <v>8.3596214511040934</v>
      </c>
      <c r="GN613" s="117">
        <f>GN115</f>
        <v>868</v>
      </c>
      <c r="GO613" s="98">
        <f t="shared" si="3537"/>
        <v>26.346433770014556</v>
      </c>
      <c r="GP613" s="117">
        <f>GP115</f>
        <v>1136.0176429801172</v>
      </c>
      <c r="GQ613" s="98">
        <f t="shared" si="3537"/>
        <v>30.877608638262345</v>
      </c>
      <c r="GR613" s="117">
        <f>GR115</f>
        <v>1189.243718302029</v>
      </c>
      <c r="GS613" s="98">
        <f t="shared" si="3537"/>
        <v>4.6853211876431544</v>
      </c>
      <c r="GT613" s="117">
        <f>GT115</f>
        <v>1208.1936316817391</v>
      </c>
      <c r="GU613" s="98">
        <f t="shared" si="3537"/>
        <v>1.5934423775444628</v>
      </c>
      <c r="GV613" s="117">
        <f>GV115</f>
        <v>1229.5493105467267</v>
      </c>
      <c r="GW613" s="98">
        <f t="shared" si="3537"/>
        <v>1.7675708847481264</v>
      </c>
      <c r="GX613" s="117">
        <f>GX115</f>
        <v>1253.1023517910103</v>
      </c>
      <c r="GY613" s="98">
        <f t="shared" ref="GY613:GY616" si="3538">IF(ISERROR((GX613/GV613-1)*100),"NA",IF(((GX613/GV613-1)*100)&gt;100,"NM",IF(((GX613/GV613-1)*100)&lt;-50,"NM",(GX613/GV613-1)*100)))</f>
        <v>1.9155832988764443</v>
      </c>
      <c r="GZ613" s="98">
        <f>IF(ISERROR(((GX613/GN613)^0.2-1)*100),"NA",IF((((GX613/GN613)^0.2-1)*100)&gt;100,"NM",IF((((GX613/GN613)^0.2-1)*100)&lt;-50,"NM",((GX613/GN613)^0.2-1)*100)))</f>
        <v>7.620093240321224</v>
      </c>
      <c r="HA613" s="98"/>
      <c r="HB613" s="10"/>
      <c r="HC613"/>
      <c r="HD613"/>
      <c r="HE613"/>
      <c r="HF613"/>
      <c r="HG613"/>
      <c r="HH613"/>
      <c r="HI613" s="10"/>
    </row>
    <row r="614" spans="2:217" s="2" customFormat="1" ht="12.75" customHeight="1" x14ac:dyDescent="0.2">
      <c r="B614" s="18" t="s">
        <v>694</v>
      </c>
      <c r="C614" s="117"/>
      <c r="D614" s="98"/>
      <c r="E614" s="117"/>
      <c r="F614" s="98"/>
      <c r="G614" s="117"/>
      <c r="H614" s="98"/>
      <c r="I614" s="117"/>
      <c r="J614" s="98"/>
      <c r="K614" s="117"/>
      <c r="L614" s="98"/>
      <c r="M614" s="117"/>
      <c r="N614" s="98"/>
      <c r="O614" s="117"/>
      <c r="P614" s="98"/>
      <c r="Q614" s="117"/>
      <c r="R614" s="98"/>
      <c r="S614" s="117"/>
      <c r="T614" s="98"/>
      <c r="U614" s="117"/>
      <c r="V614" s="98"/>
      <c r="W614" s="117"/>
      <c r="X614" s="98"/>
      <c r="Y614" s="117"/>
      <c r="Z614" s="98"/>
      <c r="AA614" s="117"/>
      <c r="AB614" s="98"/>
      <c r="AC614" s="117"/>
      <c r="AD614" s="98"/>
      <c r="AE614" s="117"/>
      <c r="AF614" s="98"/>
      <c r="AG614" s="117"/>
      <c r="AH614" s="98"/>
      <c r="AI614" s="117"/>
      <c r="AJ614" s="98"/>
      <c r="AK614" s="117"/>
      <c r="AL614" s="98"/>
      <c r="AM614" s="117"/>
      <c r="AN614" s="98"/>
      <c r="AO614" s="117"/>
      <c r="AP614" s="98"/>
      <c r="AQ614" s="117"/>
      <c r="AR614" s="98"/>
      <c r="AS614" s="117"/>
      <c r="AT614" s="98"/>
      <c r="AU614" s="117"/>
      <c r="AV614" s="98"/>
      <c r="AW614" s="117"/>
      <c r="AX614" s="98"/>
      <c r="AY614" s="117">
        <f>+AY190</f>
        <v>261</v>
      </c>
      <c r="AZ614" s="98" t="str">
        <f t="shared" si="3486"/>
        <v>NA</v>
      </c>
      <c r="BA614" s="117">
        <f>+BA190</f>
        <v>221</v>
      </c>
      <c r="BB614" s="98" t="str">
        <f t="shared" si="3487"/>
        <v>NA</v>
      </c>
      <c r="BC614" s="117">
        <f>+BC190</f>
        <v>201</v>
      </c>
      <c r="BD614" s="98" t="str">
        <f t="shared" si="3488"/>
        <v>NA</v>
      </c>
      <c r="BE614" s="117">
        <f>+BE190</f>
        <v>272</v>
      </c>
      <c r="BF614" s="98" t="str">
        <f t="shared" si="3489"/>
        <v>NA</v>
      </c>
      <c r="BG614" s="117">
        <f>+BG190</f>
        <v>266</v>
      </c>
      <c r="BH614" s="98">
        <f t="shared" si="3490"/>
        <v>1.9157088122605304</v>
      </c>
      <c r="BI614" s="117">
        <f>+BI190</f>
        <v>299</v>
      </c>
      <c r="BJ614" s="98">
        <f t="shared" si="3491"/>
        <v>35.294117647058833</v>
      </c>
      <c r="BK614" s="117">
        <f>+BK190</f>
        <v>240</v>
      </c>
      <c r="BL614" s="98">
        <f t="shared" si="3492"/>
        <v>19.402985074626855</v>
      </c>
      <c r="BM614" s="117">
        <f>+BM190</f>
        <v>336</v>
      </c>
      <c r="BN614" s="98">
        <f t="shared" si="3493"/>
        <v>23.529411764705888</v>
      </c>
      <c r="BO614" s="117">
        <f>+BO190</f>
        <v>321</v>
      </c>
      <c r="BP614" s="98">
        <f t="shared" si="3494"/>
        <v>20.676691729323316</v>
      </c>
      <c r="BQ614" s="117">
        <f>+BQ190</f>
        <v>219</v>
      </c>
      <c r="BR614" s="98">
        <f t="shared" si="3495"/>
        <v>-26.755852842809368</v>
      </c>
      <c r="BS614" s="117">
        <f>+BS190</f>
        <v>195</v>
      </c>
      <c r="BT614" s="98">
        <f t="shared" si="3496"/>
        <v>-18.75</v>
      </c>
      <c r="BU614" s="117">
        <f>+BU190</f>
        <v>111</v>
      </c>
      <c r="BV614" s="98" t="str">
        <f t="shared" si="3497"/>
        <v>NM</v>
      </c>
      <c r="BW614" s="117">
        <f>+BW190</f>
        <v>65</v>
      </c>
      <c r="BX614" s="98" t="str">
        <f t="shared" si="3498"/>
        <v>NM</v>
      </c>
      <c r="BY614" s="117">
        <f>+BY190</f>
        <v>155</v>
      </c>
      <c r="BZ614" s="98">
        <f t="shared" si="3499"/>
        <v>-29.223744292237441</v>
      </c>
      <c r="CA614" s="117">
        <f>+CA190</f>
        <v>140</v>
      </c>
      <c r="CB614" s="98">
        <f t="shared" si="3500"/>
        <v>-28.205128205128204</v>
      </c>
      <c r="CC614" s="117">
        <f>+CC190</f>
        <v>187</v>
      </c>
      <c r="CD614" s="98">
        <f t="shared" si="3501"/>
        <v>68.468468468468458</v>
      </c>
      <c r="CE614" s="117">
        <f>+CE190</f>
        <v>220</v>
      </c>
      <c r="CF614" s="98" t="str">
        <f t="shared" si="3502"/>
        <v>NM</v>
      </c>
      <c r="CG614" s="117">
        <f>+CG190</f>
        <v>235</v>
      </c>
      <c r="CH614" s="98">
        <f t="shared" si="3503"/>
        <v>51.612903225806448</v>
      </c>
      <c r="CI614" s="117">
        <f>+CI190</f>
        <v>182</v>
      </c>
      <c r="CJ614" s="98">
        <f t="shared" si="3504"/>
        <v>30.000000000000004</v>
      </c>
      <c r="CK614" s="117">
        <f>+CK190</f>
        <v>283</v>
      </c>
      <c r="CL614" s="98">
        <f t="shared" si="3505"/>
        <v>51.336898395721931</v>
      </c>
      <c r="CM614" s="117">
        <f>+CM190</f>
        <v>289</v>
      </c>
      <c r="CN614" s="98">
        <f t="shared" si="3506"/>
        <v>31.36363636363637</v>
      </c>
      <c r="CO614" s="117">
        <f>+CO190</f>
        <v>325</v>
      </c>
      <c r="CP614" s="98">
        <f>IF(ISERROR((CO614/CG614-1)*100),"NA",IF(((CO614/CG614-1)*100)&gt;100,"NM",IF(((CO614/CG614-1)*100)&lt;-50,"NM",(CO614/CG614-1)*100)))</f>
        <v>38.297872340425542</v>
      </c>
      <c r="CQ614" s="486">
        <f>+CQ190</f>
        <v>272</v>
      </c>
      <c r="CR614" s="98">
        <f>IF(ISERROR((CQ614/CI614-1)*100),"NA",IF(((CQ614/CI614-1)*100)&gt;100,"NM",IF(((CQ614/CI614-1)*100)&lt;-50,"NM",(CQ614/CI614-1)*100)))</f>
        <v>49.450549450549453</v>
      </c>
      <c r="CS614" s="117">
        <f>+CS190</f>
        <v>226</v>
      </c>
      <c r="CT614" s="574">
        <f>IF(ISERROR((CS614/CK614-1)*100),"NA",IF(((CS614/CK614-1)*100)&gt;100,"NM",IF(((CS614/CK614-1)*100)&lt;-50,"NM",(CS614/CK614-1)*100)))</f>
        <v>-20.141342756183743</v>
      </c>
      <c r="CU614" s="117">
        <f>+CU190</f>
        <v>298</v>
      </c>
      <c r="CV614" s="574">
        <f t="shared" si="3510"/>
        <v>3.114186851211076</v>
      </c>
      <c r="CW614" s="117">
        <f>+CW190</f>
        <v>318</v>
      </c>
      <c r="CX614" s="574">
        <f t="shared" si="3511"/>
        <v>-2.1538461538461506</v>
      </c>
      <c r="CY614" s="117">
        <f>+CY190</f>
        <v>303</v>
      </c>
      <c r="CZ614" s="574">
        <f t="shared" si="3512"/>
        <v>11.397058823529417</v>
      </c>
      <c r="DA614" s="117">
        <f>+DA190</f>
        <v>305</v>
      </c>
      <c r="DB614" s="574">
        <f t="shared" si="3513"/>
        <v>34.955752212389378</v>
      </c>
      <c r="DC614" s="117">
        <f>+DC190</f>
        <v>294</v>
      </c>
      <c r="DD614" s="574">
        <f t="shared" si="3514"/>
        <v>-1.3422818791946289</v>
      </c>
      <c r="DE614" s="117">
        <f>+DE190</f>
        <v>346</v>
      </c>
      <c r="DF614" s="574">
        <f t="shared" si="3515"/>
        <v>8.8050314465408785</v>
      </c>
      <c r="DG614" s="117">
        <f>+DG190</f>
        <v>298</v>
      </c>
      <c r="DH614" s="574">
        <f t="shared" si="3516"/>
        <v>-1.6501650165016479</v>
      </c>
      <c r="DI614" s="117">
        <f>+DI190</f>
        <v>357</v>
      </c>
      <c r="DJ614" s="98">
        <f t="shared" si="3517"/>
        <v>17.049180327868861</v>
      </c>
      <c r="DK614" s="117">
        <f>+DK190</f>
        <v>340</v>
      </c>
      <c r="DL614" s="98">
        <f t="shared" si="3518"/>
        <v>15.646258503401356</v>
      </c>
      <c r="DM614" s="117">
        <f>+DM190</f>
        <v>363</v>
      </c>
      <c r="DN614" s="98">
        <f t="shared" si="3519"/>
        <v>4.9132947976878505</v>
      </c>
      <c r="DO614" s="117">
        <f>+DO190</f>
        <v>395</v>
      </c>
      <c r="DP614" s="98">
        <f t="shared" si="3519"/>
        <v>32.550335570469798</v>
      </c>
      <c r="DQ614" s="117">
        <f>+DQ190</f>
        <v>360</v>
      </c>
      <c r="DR614" s="98">
        <f t="shared" si="3519"/>
        <v>0.84033613445377853</v>
      </c>
      <c r="DS614" s="117">
        <f>+DS190</f>
        <v>307</v>
      </c>
      <c r="DT614" s="98">
        <f t="shared" si="3519"/>
        <v>-9.7058823529411757</v>
      </c>
      <c r="DU614" s="117">
        <f>+DU190</f>
        <v>338</v>
      </c>
      <c r="DV614" s="98">
        <f t="shared" si="3519"/>
        <v>-6.8870523415977996</v>
      </c>
      <c r="DW614" s="117">
        <f>+DW190</f>
        <v>267</v>
      </c>
      <c r="DX614" s="98">
        <f t="shared" si="3519"/>
        <v>-32.405063291139236</v>
      </c>
      <c r="DY614" s="117">
        <f>+DY190</f>
        <v>235</v>
      </c>
      <c r="DZ614" s="98">
        <f t="shared" si="3519"/>
        <v>-34.722222222222221</v>
      </c>
      <c r="EA614" s="117">
        <f>+EA190</f>
        <v>242</v>
      </c>
      <c r="EB614" s="98">
        <f t="shared" si="3520"/>
        <v>-21.172638436482082</v>
      </c>
      <c r="EC614" s="117">
        <f>+EC190</f>
        <v>260</v>
      </c>
      <c r="ED614" s="98">
        <f t="shared" si="3521"/>
        <v>-23.076923076923073</v>
      </c>
      <c r="EE614" s="117">
        <f>+EE190</f>
        <v>308</v>
      </c>
      <c r="EF614" s="860">
        <f t="shared" si="3522"/>
        <v>15.355805243445687</v>
      </c>
      <c r="EG614" s="117">
        <f>+EG190</f>
        <v>294</v>
      </c>
      <c r="EH614" s="860">
        <f t="shared" si="3523"/>
        <v>25.106382978723406</v>
      </c>
      <c r="EI614" s="117">
        <f>+EI190</f>
        <v>274</v>
      </c>
      <c r="EJ614" s="860">
        <f t="shared" si="3524"/>
        <v>13.223140495867769</v>
      </c>
      <c r="EK614" s="117">
        <f>+EK190</f>
        <v>262</v>
      </c>
      <c r="EL614" s="860">
        <f t="shared" si="3525"/>
        <v>0.7692307692307665</v>
      </c>
      <c r="EM614" s="117">
        <f>+EM190</f>
        <v>247</v>
      </c>
      <c r="EN614" s="860">
        <f t="shared" si="3526"/>
        <v>-19.805194805194802</v>
      </c>
      <c r="EO614" s="117">
        <f>+EO190</f>
        <v>173</v>
      </c>
      <c r="EP614" s="98">
        <f t="shared" si="3527"/>
        <v>-41.156462585034014</v>
      </c>
      <c r="EQ614" s="1031">
        <f>+EQ190</f>
        <v>292.37849486517337</v>
      </c>
      <c r="ER614" s="98">
        <f t="shared" si="3528"/>
        <v>6.7074798778004929</v>
      </c>
      <c r="ES614" s="1031">
        <f>+ES190</f>
        <v>279.15752943126427</v>
      </c>
      <c r="ET614" s="98">
        <f t="shared" si="3529"/>
        <v>6.5486753554443666</v>
      </c>
      <c r="EU614" s="1031">
        <f>+EU190</f>
        <v>266.38797130291749</v>
      </c>
      <c r="EV614" s="98">
        <f t="shared" si="3530"/>
        <v>7.8493810942985798</v>
      </c>
      <c r="EW614" s="1031">
        <f>+EW190</f>
        <v>253.51588914517234</v>
      </c>
      <c r="EX614" s="98">
        <f t="shared" si="3531"/>
        <v>46.54097638449268</v>
      </c>
      <c r="EY614" s="117"/>
      <c r="EZ614" s="594"/>
      <c r="FA614" s="410"/>
      <c r="FB614" s="325"/>
      <c r="FC614" s="224"/>
      <c r="FD614" s="117"/>
      <c r="FE614" s="98"/>
      <c r="FF614" s="117"/>
      <c r="FG614" s="98"/>
      <c r="FH614" s="117"/>
      <c r="FI614" s="98"/>
      <c r="FJ614" s="117"/>
      <c r="FK614" s="98"/>
      <c r="FL614" s="117"/>
      <c r="FM614" s="98"/>
      <c r="FN614" s="117"/>
      <c r="FO614" s="98"/>
      <c r="FP614" s="117"/>
      <c r="FQ614" s="98"/>
      <c r="FR614" s="117">
        <f>+FR190</f>
        <v>955</v>
      </c>
      <c r="FS614" s="98" t="str">
        <f t="shared" si="3532"/>
        <v>NA</v>
      </c>
      <c r="FT614" s="117">
        <f>+FT190</f>
        <v>1141</v>
      </c>
      <c r="FU614" s="98">
        <f t="shared" si="3533"/>
        <v>19.476439790575917</v>
      </c>
      <c r="FV614" s="117">
        <f>+FV190</f>
        <v>913</v>
      </c>
      <c r="FW614" s="98">
        <f t="shared" si="3534"/>
        <v>-19.982471516213852</v>
      </c>
      <c r="FX614" s="486">
        <f>+FX190</f>
        <v>547</v>
      </c>
      <c r="FY614" s="98">
        <f t="shared" si="3534"/>
        <v>-40.087623220153347</v>
      </c>
      <c r="FZ614" s="117">
        <f>+FZ190</f>
        <v>920</v>
      </c>
      <c r="GA614" s="98">
        <f t="shared" si="3535"/>
        <v>68.190127970749543</v>
      </c>
      <c r="GB614" s="486">
        <f>+GB190</f>
        <v>1112</v>
      </c>
      <c r="GC614" s="98">
        <f t="shared" si="3536"/>
        <v>20.869565217391294</v>
      </c>
      <c r="GD614" s="117">
        <f>+GD190</f>
        <v>1224</v>
      </c>
      <c r="GE614" s="98">
        <f t="shared" si="3537"/>
        <v>10.07194244604317</v>
      </c>
      <c r="GF614" s="117">
        <f>+GF190</f>
        <v>1295</v>
      </c>
      <c r="GG614" s="98">
        <f t="shared" si="3537"/>
        <v>5.8006535947712434</v>
      </c>
      <c r="GH614" s="117">
        <f>+GH190</f>
        <v>1458</v>
      </c>
      <c r="GI614" s="98">
        <f t="shared" si="3537"/>
        <v>12.586872586872587</v>
      </c>
      <c r="GJ614" s="117">
        <f>+GJ190</f>
        <v>1147</v>
      </c>
      <c r="GK614" s="98">
        <f t="shared" si="3537"/>
        <v>-21.330589849108371</v>
      </c>
      <c r="GL614" s="117">
        <f>+GL190</f>
        <v>1104</v>
      </c>
      <c r="GM614" s="98">
        <f t="shared" si="3537"/>
        <v>-3.7489102005231034</v>
      </c>
      <c r="GN614" s="117">
        <f>+GN190</f>
        <v>956</v>
      </c>
      <c r="GO614" s="98">
        <f t="shared" si="3537"/>
        <v>-13.405797101449279</v>
      </c>
      <c r="GP614" s="117">
        <f>+GP190</f>
        <v>1091.4398847445261</v>
      </c>
      <c r="GQ614" s="98">
        <f t="shared" si="3537"/>
        <v>14.167351960724496</v>
      </c>
      <c r="GR614" s="117">
        <f>+GR190</f>
        <v>1089.1686832500591</v>
      </c>
      <c r="GS614" s="98">
        <f t="shared" si="3537"/>
        <v>-0.2080922207638336</v>
      </c>
      <c r="GT614" s="117">
        <f>+GT190</f>
        <v>1107.3301829045593</v>
      </c>
      <c r="GU614" s="98">
        <f t="shared" si="3537"/>
        <v>1.6674643637665465</v>
      </c>
      <c r="GV614" s="117">
        <f>+GV190</f>
        <v>1126.4400037600963</v>
      </c>
      <c r="GW614" s="98">
        <f t="shared" si="3537"/>
        <v>1.7257563417454547</v>
      </c>
      <c r="GX614" s="117">
        <f>+GX190</f>
        <v>1152.9255001176859</v>
      </c>
      <c r="GY614" s="98">
        <f t="shared" si="3538"/>
        <v>2.351256726428419</v>
      </c>
      <c r="GZ614" s="98">
        <f>IF(ISERROR(((GX614/GN614)^0.2-1)*100),"NA",IF((((GX614/GN614)^0.2-1)*100)&gt;100,"NM",IF((((GX614/GN614)^0.2-1)*100)&lt;-50,"NM",((GX614/GN614)^0.2-1)*100)))</f>
        <v>3.8170467601552183</v>
      </c>
      <c r="HA614" s="98"/>
      <c r="HB614" s="10"/>
      <c r="HC614"/>
      <c r="HD614"/>
      <c r="HE614"/>
      <c r="HF614"/>
      <c r="HG614"/>
      <c r="HH614"/>
      <c r="HI614" s="10"/>
    </row>
    <row r="615" spans="2:217" s="2" customFormat="1" ht="12.75" customHeight="1" x14ac:dyDescent="0.2">
      <c r="B615" s="18" t="s">
        <v>708</v>
      </c>
      <c r="C615" s="117"/>
      <c r="D615" s="98"/>
      <c r="E615" s="117"/>
      <c r="F615" s="98"/>
      <c r="G615" s="117"/>
      <c r="H615" s="98"/>
      <c r="I615" s="117"/>
      <c r="J615" s="98"/>
      <c r="K615" s="117"/>
      <c r="L615" s="98"/>
      <c r="M615" s="117"/>
      <c r="N615" s="98"/>
      <c r="O615" s="117"/>
      <c r="P615" s="98"/>
      <c r="Q615" s="117"/>
      <c r="R615" s="98"/>
      <c r="S615" s="117"/>
      <c r="T615" s="98"/>
      <c r="U615" s="117"/>
      <c r="V615" s="98"/>
      <c r="W615" s="117"/>
      <c r="X615" s="98"/>
      <c r="Y615" s="117"/>
      <c r="Z615" s="98"/>
      <c r="AA615" s="117"/>
      <c r="AB615" s="98"/>
      <c r="AC615" s="117"/>
      <c r="AD615" s="98"/>
      <c r="AE615" s="117"/>
      <c r="AF615" s="98"/>
      <c r="AG615" s="117"/>
      <c r="AH615" s="98"/>
      <c r="AI615" s="117"/>
      <c r="AJ615" s="98"/>
      <c r="AK615" s="117"/>
      <c r="AL615" s="98"/>
      <c r="AM615" s="117"/>
      <c r="AN615" s="98"/>
      <c r="AO615" s="117"/>
      <c r="AP615" s="98"/>
      <c r="AQ615" s="117"/>
      <c r="AR615" s="98"/>
      <c r="AS615" s="117"/>
      <c r="AT615" s="98"/>
      <c r="AU615" s="117"/>
      <c r="AV615" s="98"/>
      <c r="AW615" s="117"/>
      <c r="AX615" s="98"/>
      <c r="AY615" s="117"/>
      <c r="AZ615" s="98"/>
      <c r="BA615" s="117"/>
      <c r="BB615" s="98"/>
      <c r="BC615" s="117"/>
      <c r="BD615" s="98"/>
      <c r="BE615" s="117"/>
      <c r="BF615" s="98"/>
      <c r="BG615" s="117"/>
      <c r="BH615" s="98"/>
      <c r="BI615" s="117"/>
      <c r="BJ615" s="98"/>
      <c r="BK615" s="117"/>
      <c r="BL615" s="98"/>
      <c r="BM615" s="117"/>
      <c r="BN615" s="98"/>
      <c r="BO615" s="117"/>
      <c r="BP615" s="98"/>
      <c r="BQ615" s="117"/>
      <c r="BR615" s="98"/>
      <c r="BS615" s="117"/>
      <c r="BT615" s="98"/>
      <c r="BU615" s="117"/>
      <c r="BV615" s="98"/>
      <c r="BW615" s="117"/>
      <c r="BX615" s="98"/>
      <c r="BY615" s="117"/>
      <c r="BZ615" s="98"/>
      <c r="CA615" s="117"/>
      <c r="CB615" s="98"/>
      <c r="CC615" s="117"/>
      <c r="CD615" s="98"/>
      <c r="CE615" s="117"/>
      <c r="CF615" s="98"/>
      <c r="CG615" s="117"/>
      <c r="CH615" s="98"/>
      <c r="CI615" s="117"/>
      <c r="CJ615" s="98"/>
      <c r="CK615" s="117"/>
      <c r="CL615" s="98"/>
      <c r="CM615" s="117"/>
      <c r="CN615" s="98"/>
      <c r="CO615" s="117"/>
      <c r="CP615" s="98"/>
      <c r="CQ615" s="486"/>
      <c r="CR615" s="98"/>
      <c r="CS615" s="117"/>
      <c r="CT615" s="574"/>
      <c r="CU615" s="117"/>
      <c r="CV615" s="574"/>
      <c r="CW615" s="117"/>
      <c r="CX615" s="574"/>
      <c r="CY615" s="117"/>
      <c r="CZ615" s="574"/>
      <c r="DA615" s="117"/>
      <c r="DB615" s="574"/>
      <c r="DC615" s="117"/>
      <c r="DD615" s="574"/>
      <c r="DE615" s="117"/>
      <c r="DF615" s="574"/>
      <c r="DG615" s="117"/>
      <c r="DH615" s="574"/>
      <c r="DI615" s="117"/>
      <c r="DJ615" s="98"/>
      <c r="DK615" s="117"/>
      <c r="DL615" s="98"/>
      <c r="DM615" s="117"/>
      <c r="DN615" s="98"/>
      <c r="DO615" s="117"/>
      <c r="DP615" s="98"/>
      <c r="DQ615" s="117">
        <f>+DQ269</f>
        <v>0</v>
      </c>
      <c r="DR615" s="98" t="str">
        <f t="shared" ref="DR615" si="3539">IF(ISERROR((DQ615/DI615-1)*100),"NA",IF(((DQ615/DI615-1)*100)&gt;100,"NM",IF(((DQ615/DI615-1)*100)&lt;-50,"NM",(DQ615/DI615-1)*100)))</f>
        <v>NA</v>
      </c>
      <c r="DS615" s="117">
        <f>+DS269</f>
        <v>65</v>
      </c>
      <c r="DT615" s="98" t="str">
        <f t="shared" ref="DT615" si="3540">IF(ISERROR((DS615/DK615-1)*100),"NA",IF(((DS615/DK615-1)*100)&gt;100,"NM",IF(((DS615/DK615-1)*100)&lt;-50,"NM",(DS615/DK615-1)*100)))</f>
        <v>NA</v>
      </c>
      <c r="DU615" s="117">
        <f>+DU269</f>
        <v>47</v>
      </c>
      <c r="DV615" s="98" t="str">
        <f t="shared" ref="DV615" si="3541">IF(ISERROR((DU615/DM615-1)*100),"NA",IF(((DU615/DM615-1)*100)&gt;100,"NM",IF(((DU615/DM615-1)*100)&lt;-50,"NM",(DU615/DM615-1)*100)))</f>
        <v>NA</v>
      </c>
      <c r="DW615" s="117">
        <f>+DW269</f>
        <v>67</v>
      </c>
      <c r="DX615" s="98" t="str">
        <f t="shared" ref="DX615" si="3542">IF(ISERROR((DW615/DO615-1)*100),"NA",IF(((DW615/DO615-1)*100)&gt;100,"NM",IF(((DW615/DO615-1)*100)&lt;-50,"NM",(DW615/DO615-1)*100)))</f>
        <v>NA</v>
      </c>
      <c r="DY615" s="117">
        <f>+DY269</f>
        <v>44</v>
      </c>
      <c r="DZ615" s="98" t="str">
        <f t="shared" ref="DZ615" si="3543">IF(ISERROR((DY615/DQ615-1)*100),"NA",IF(((DY615/DQ615-1)*100)&gt;100,"NM",IF(((DY615/DQ615-1)*100)&lt;-50,"NM",(DY615/DQ615-1)*100)))</f>
        <v>NA</v>
      </c>
      <c r="EA615" s="117">
        <f>+EA269</f>
        <v>22</v>
      </c>
      <c r="EB615" s="98" t="str">
        <f t="shared" ref="EB615" si="3544">IF(ISERROR((EA615/DS615-1)*100),"NA",IF(((EA615/DS615-1)*100)&gt;100,"NM",IF(((EA615/DS615-1)*100)&lt;-50,"NM",(EA615/DS615-1)*100)))</f>
        <v>NM</v>
      </c>
      <c r="EC615" s="117">
        <f>+EC269</f>
        <v>-2</v>
      </c>
      <c r="ED615" s="98" t="str">
        <f t="shared" ref="ED615" si="3545">IF(ISERROR((EC615/DU615-1)*100),"NA",IF(((EC615/DU615-1)*100)&gt;100,"NM",IF(((EC615/DU615-1)*100)&lt;-50,"NM",(EC615/DU615-1)*100)))</f>
        <v>NM</v>
      </c>
      <c r="EE615" s="117">
        <f>+EE269</f>
        <v>58</v>
      </c>
      <c r="EF615" s="860">
        <f t="shared" ref="EF615" si="3546">IF(ISERROR((EE615/DW615-1)*100),"NA",IF(((EE615/DW615-1)*100)&gt;100,"NM",IF(((EE615/DW615-1)*100)&lt;-50,"NM",(EE615/DW615-1)*100)))</f>
        <v>-13.432835820895528</v>
      </c>
      <c r="EG615" s="117">
        <f>+EG269</f>
        <v>43</v>
      </c>
      <c r="EH615" s="860">
        <f t="shared" ref="EH615" si="3547">IF(ISERROR((EG615/DY615-1)*100),"NA",IF(((EG615/DY615-1)*100)&gt;100,"NM",IF(((EG615/DY615-1)*100)&lt;-50,"NM",(EG615/DY615-1)*100)))</f>
        <v>-2.2727272727272707</v>
      </c>
      <c r="EI615" s="117">
        <f>+EI269</f>
        <v>29</v>
      </c>
      <c r="EJ615" s="860">
        <f t="shared" ref="EJ615" si="3548">IF(ISERROR((EI615/EA615-1)*100),"NA",IF(((EI615/EA615-1)*100)&gt;100,"NM",IF(((EI615/EA615-1)*100)&lt;-50,"NM",(EI615/EA615-1)*100)))</f>
        <v>31.818181818181813</v>
      </c>
      <c r="EK615" s="117">
        <f>+EK269</f>
        <v>28</v>
      </c>
      <c r="EL615" s="860" t="str">
        <f t="shared" ref="EL615" si="3549">IF(ISERROR((EK615/EC615-1)*100),"NA",IF(((EK615/EC615-1)*100)&gt;100,"NM",IF(((EK615/EC615-1)*100)&lt;-50,"NM",(EK615/EC615-1)*100)))</f>
        <v>NM</v>
      </c>
      <c r="EM615" s="117">
        <f>+EM269</f>
        <v>51</v>
      </c>
      <c r="EN615" s="860">
        <f t="shared" ref="EN615" si="3550">IF(ISERROR((EM615/EE615-1)*100),"NA",IF(((EM615/EE615-1)*100)&gt;100,"NM",IF(((EM615/EE615-1)*100)&lt;-50,"NM",(EM615/EE615-1)*100)))</f>
        <v>-12.068965517241381</v>
      </c>
      <c r="EO615" s="117">
        <f>+EO269</f>
        <v>95</v>
      </c>
      <c r="EP615" s="98" t="str">
        <f t="shared" ref="EP615" si="3551">IF(ISERROR((EO615/EG615-1)*100),"NA",IF(((EO615/EG615-1)*100)&gt;100,"NM",IF(((EO615/EG615-1)*100)&lt;-50,"NM",(EO615/EG615-1)*100)))</f>
        <v>NM</v>
      </c>
      <c r="EQ615" s="1031">
        <f>+EQ269</f>
        <v>55.516450700000007</v>
      </c>
      <c r="ER615" s="98">
        <f t="shared" si="3528"/>
        <v>91.436036896551755</v>
      </c>
      <c r="ES615" s="1031">
        <f>+ES269</f>
        <v>51.577121032325117</v>
      </c>
      <c r="ET615" s="98">
        <f t="shared" si="3529"/>
        <v>84.20400368687541</v>
      </c>
      <c r="EU615" s="1031">
        <f>+EU269</f>
        <v>55.969680318939638</v>
      </c>
      <c r="EV615" s="98">
        <f t="shared" si="3530"/>
        <v>9.744471213607131</v>
      </c>
      <c r="EW615" s="1031">
        <f>+EW269</f>
        <v>101.56161385684511</v>
      </c>
      <c r="EX615" s="98">
        <f t="shared" si="3531"/>
        <v>6.9069619545738092</v>
      </c>
      <c r="EY615" s="117"/>
      <c r="EZ615" s="594"/>
      <c r="FA615" s="410"/>
      <c r="FB615" s="325"/>
      <c r="FC615" s="224"/>
      <c r="FD615" s="117"/>
      <c r="FE615" s="98"/>
      <c r="FF615" s="117"/>
      <c r="FG615" s="98"/>
      <c r="FH615" s="117"/>
      <c r="FI615" s="98"/>
      <c r="FJ615" s="117"/>
      <c r="FK615" s="98"/>
      <c r="FL615" s="117"/>
      <c r="FM615" s="98"/>
      <c r="FN615" s="117"/>
      <c r="FO615" s="98"/>
      <c r="FP615" s="117"/>
      <c r="FQ615" s="98"/>
      <c r="FR615" s="117">
        <f>+FR269</f>
        <v>0</v>
      </c>
      <c r="FS615" s="98" t="str">
        <f t="shared" ref="FS615" si="3552">IF(ISERROR((FR615/FP615-1)*100),"NA",IF(((FR615/FP615-1)*100)&gt;100,"NM",IF(((FR615/FP615-1)*100)&lt;-50,"NM",(FR615/FP615-1)*100)))</f>
        <v>NA</v>
      </c>
      <c r="FT615" s="117">
        <f>+FT269</f>
        <v>0</v>
      </c>
      <c r="FU615" s="98" t="str">
        <f t="shared" ref="FU615" si="3553">IF(ISERROR((FT615/FR615-1)*100),"NA",IF(((FT615/FR615-1)*100)&gt;100,"NM",IF(((FT615/FR615-1)*100)&lt;-50,"NM",(FT615/FR615-1)*100)))</f>
        <v>NA</v>
      </c>
      <c r="FV615" s="117">
        <f>+FV269</f>
        <v>2984</v>
      </c>
      <c r="FW615" s="98" t="str">
        <f t="shared" ref="FW615" si="3554">IF(ISERROR((FV615/FT615-1)*100),"NA",IF(((FV615/FT615-1)*100)&gt;100,"NM",IF(((FV615/FT615-1)*100)&lt;-50,"NM",(FV615/FT615-1)*100)))</f>
        <v>NA</v>
      </c>
      <c r="FX615" s="486">
        <f>+FX269</f>
        <v>0</v>
      </c>
      <c r="FY615" s="98" t="str">
        <f t="shared" ref="FY615" si="3555">IF(ISERROR((FX615/FV615-1)*100),"NA",IF(((FX615/FV615-1)*100)&gt;100,"NM",IF(((FX615/FV615-1)*100)&lt;-50,"NM",(FX615/FV615-1)*100)))</f>
        <v>NM</v>
      </c>
      <c r="FZ615" s="117">
        <f>+FZ269</f>
        <v>0</v>
      </c>
      <c r="GA615" s="98" t="str">
        <f t="shared" ref="GA615" si="3556">IF(ISERROR((FZ615/FX615-1)*100),"NA",IF(((FZ615/FX615-1)*100)&gt;100,"NM",IF(((FZ615/FX615-1)*100)&lt;-50,"NM",(FZ615/FX615-1)*100)))</f>
        <v>NA</v>
      </c>
      <c r="GB615" s="486">
        <f>+GB269</f>
        <v>0</v>
      </c>
      <c r="GC615" s="98" t="str">
        <f t="shared" ref="GC615" si="3557">IF(ISERROR((GB615/FZ615-1)*100),"NA",IF(((GB615/FZ615-1)*100)&gt;100,"NM",IF(((GB615/FZ615-1)*100)&lt;-50,"NM",(GB615/FZ615-1)*100)))</f>
        <v>NA</v>
      </c>
      <c r="GD615" s="117">
        <f>+GD269</f>
        <v>0</v>
      </c>
      <c r="GE615" s="98" t="str">
        <f t="shared" ref="GE615" si="3558">IF(ISERROR((GD615/GB615-1)*100),"NA",IF(((GD615/GB615-1)*100)&gt;100,"NM",IF(((GD615/GB615-1)*100)&lt;-50,"NM",(GD615/GB615-1)*100)))</f>
        <v>NA</v>
      </c>
      <c r="GF615" s="117">
        <f>+GF269</f>
        <v>14.529339167508134</v>
      </c>
      <c r="GG615" s="98" t="str">
        <f t="shared" ref="GG615" si="3559">IF(ISERROR((GF615/GD615-1)*100),"NA",IF(((GF615/GD615-1)*100)&gt;100,"NM",IF(((GF615/GD615-1)*100)&lt;-50,"NM",(GF615/GD615-1)*100)))</f>
        <v>NA</v>
      </c>
      <c r="GH615" s="117">
        <f>+GH269</f>
        <v>16.265060240963855</v>
      </c>
      <c r="GI615" s="98">
        <f t="shared" ref="GI615" si="3560">IF(ISERROR((GH615/GF615-1)*100),"NA",IF(((GH615/GF615-1)*100)&gt;100,"NM",IF(((GH615/GF615-1)*100)&lt;-50,"NM",(GH615/GF615-1)*100)))</f>
        <v>11.946318090896412</v>
      </c>
      <c r="GJ615" s="117">
        <f>+GJ269</f>
        <v>223</v>
      </c>
      <c r="GK615" s="98" t="str">
        <f t="shared" ref="GK615" si="3561">IF(ISERROR((GJ615/GH615-1)*100),"NA",IF(((GJ615/GH615-1)*100)&gt;100,"NM",IF(((GJ615/GH615-1)*100)&lt;-50,"NM",(GJ615/GH615-1)*100)))</f>
        <v>NM</v>
      </c>
      <c r="GL615" s="117">
        <f>+GL269</f>
        <v>121</v>
      </c>
      <c r="GM615" s="98">
        <f t="shared" ref="GM615:GS615" si="3562">IF(ISERROR((GL615/GJ615-1)*100),"NA",IF(((GL615/GJ615-1)*100)&gt;100,"NM",IF(((GL615/GJ615-1)*100)&lt;-50,"NM",(GL615/GJ615-1)*100)))</f>
        <v>-45.739910313901348</v>
      </c>
      <c r="GN615" s="117">
        <f>+GN269</f>
        <v>203</v>
      </c>
      <c r="GO615" s="98">
        <f t="shared" si="3562"/>
        <v>67.768595041322314</v>
      </c>
      <c r="GP615" s="117">
        <f>+GP269</f>
        <v>264.62486590810988</v>
      </c>
      <c r="GQ615" s="98">
        <f t="shared" si="3562"/>
        <v>30.357076802024572</v>
      </c>
      <c r="GR615" s="117">
        <f>+GR269</f>
        <v>301.1523759579602</v>
      </c>
      <c r="GS615" s="98">
        <f t="shared" si="3562"/>
        <v>13.803506304858892</v>
      </c>
      <c r="GT615" s="117">
        <f>+GT269</f>
        <v>323.85011480374055</v>
      </c>
      <c r="GU615" s="98">
        <f t="shared" ref="GU615" si="3563">IF(ISERROR((GT615/GR615-1)*100),"NA",IF(((GT615/GR615-1)*100)&gt;100,"NM",IF(((GT615/GR615-1)*100)&lt;-50,"NM",(GT615/GR615-1)*100)))</f>
        <v>7.5369615708922311</v>
      </c>
      <c r="GV615" s="117">
        <f>+GV269</f>
        <v>345.37315680898166</v>
      </c>
      <c r="GW615" s="98">
        <f t="shared" ref="GW615" si="3564">IF(ISERROR((GV615/GT615-1)*100),"NA",IF(((GV615/GT615-1)*100)&gt;100,"NM",IF(((GV615/GT615-1)*100)&lt;-50,"NM",(GV615/GT615-1)*100)))</f>
        <v>6.6459886908746268</v>
      </c>
      <c r="GX615" s="117">
        <f>+GX269</f>
        <v>362.37725109919432</v>
      </c>
      <c r="GY615" s="98">
        <f t="shared" si="3538"/>
        <v>4.9233977670179119</v>
      </c>
      <c r="GZ615" s="98">
        <f>IF(ISERROR(((GX615/GN615)^0.2-1)*100),"NA",IF((((GX615/GN615)^0.2-1)*100)&gt;100,"NM",IF((((GX615/GN615)^0.2-1)*100)&lt;-50,"NM",((GX615/GN615)^0.2-1)*100)))</f>
        <v>12.287904626837044</v>
      </c>
      <c r="HA615" s="98"/>
      <c r="HB615" s="10"/>
      <c r="HC615"/>
      <c r="HD615"/>
      <c r="HE615"/>
      <c r="HF615"/>
      <c r="HG615"/>
      <c r="HH615"/>
      <c r="HI615" s="10"/>
    </row>
    <row r="616" spans="2:217" s="5" customFormat="1" ht="12.75" customHeight="1" x14ac:dyDescent="0.2">
      <c r="B616" s="463" t="s">
        <v>703</v>
      </c>
      <c r="C616" s="182"/>
      <c r="D616" s="98"/>
      <c r="E616" s="182"/>
      <c r="F616" s="98"/>
      <c r="G616" s="182"/>
      <c r="H616" s="98"/>
      <c r="I616" s="182"/>
      <c r="J616" s="98"/>
      <c r="K616" s="182"/>
      <c r="L616" s="98"/>
      <c r="M616" s="182"/>
      <c r="N616" s="98"/>
      <c r="O616" s="182"/>
      <c r="P616" s="98"/>
      <c r="Q616" s="182"/>
      <c r="R616" s="98"/>
      <c r="S616" s="182"/>
      <c r="T616" s="98"/>
      <c r="U616" s="182"/>
      <c r="V616" s="98"/>
      <c r="W616" s="182"/>
      <c r="X616" s="98"/>
      <c r="Y616" s="182"/>
      <c r="Z616" s="98"/>
      <c r="AA616" s="182"/>
      <c r="AB616" s="98"/>
      <c r="AC616" s="182"/>
      <c r="AD616" s="98"/>
      <c r="AE616" s="182"/>
      <c r="AF616" s="98"/>
      <c r="AG616" s="182"/>
      <c r="AH616" s="98"/>
      <c r="AI616" s="182"/>
      <c r="AJ616" s="98"/>
      <c r="AK616" s="182"/>
      <c r="AL616" s="98"/>
      <c r="AM616" s="182"/>
      <c r="AN616" s="98"/>
      <c r="AO616" s="182"/>
      <c r="AP616" s="98"/>
      <c r="AQ616" s="182"/>
      <c r="AR616" s="98"/>
      <c r="AS616" s="182"/>
      <c r="AT616" s="98"/>
      <c r="AU616" s="182"/>
      <c r="AV616" s="98"/>
      <c r="AW616" s="182"/>
      <c r="AX616" s="98"/>
      <c r="AY616" s="182">
        <f>AY613+AY614</f>
        <v>261</v>
      </c>
      <c r="AZ616" s="98" t="str">
        <f>IF(ISERROR((AY616/AQ616-1)*100),"NA",IF(((AY616/AQ616-1)*100)&gt;100,"NM",IF(((AY616/AQ616-1)*100)&lt;-50,"NM",(AY616/AQ616-1)*100)))</f>
        <v>NA</v>
      </c>
      <c r="BA616" s="182">
        <f>BA613+BA614</f>
        <v>221</v>
      </c>
      <c r="BB616" s="98" t="str">
        <f>IF(ISERROR((BA616/AS616-1)*100),"NA",IF(((BA616/AS616-1)*100)&gt;100,"NM",IF(((BA616/AS616-1)*100)&lt;-50,"NM",(BA616/AS616-1)*100)))</f>
        <v>NA</v>
      </c>
      <c r="BC616" s="182">
        <f>BC613+BC614</f>
        <v>201</v>
      </c>
      <c r="BD616" s="98" t="str">
        <f>IF(ISERROR((BC616/AU616-1)*100),"NA",IF(((BC616/AU616-1)*100)&gt;100,"NM",IF(((BC616/AU616-1)*100)&lt;-50,"NM",(BC616/AU616-1)*100)))</f>
        <v>NA</v>
      </c>
      <c r="BE616" s="182">
        <f>BE613+BE614</f>
        <v>272</v>
      </c>
      <c r="BF616" s="98" t="str">
        <f>IF(ISERROR((BE616/AW616-1)*100),"NA",IF(((BE616/AW616-1)*100)&gt;100,"NM",IF(((BE616/AW616-1)*100)&lt;-50,"NM",(BE616/AW616-1)*100)))</f>
        <v>NA</v>
      </c>
      <c r="BG616" s="182">
        <f>BG613+BG614</f>
        <v>266</v>
      </c>
      <c r="BH616" s="98">
        <f>IF(ISERROR((BG616/AY616-1)*100),"NA",IF(((BG616/AY616-1)*100)&gt;100,"NM",IF(((BG616/AY616-1)*100)&lt;-50,"NM",(BG616/AY616-1)*100)))</f>
        <v>1.9157088122605304</v>
      </c>
      <c r="BI616" s="182">
        <f>BI613+BI614</f>
        <v>299</v>
      </c>
      <c r="BJ616" s="98">
        <f>IF(ISERROR((BI616/BA616-1)*100),"NA",IF(((BI616/BA616-1)*100)&gt;100,"NM",IF(((BI616/BA616-1)*100)&lt;-50,"NM",(BI616/BA616-1)*100)))</f>
        <v>35.294117647058833</v>
      </c>
      <c r="BK616" s="182">
        <f>BK613+BK614</f>
        <v>240</v>
      </c>
      <c r="BL616" s="98">
        <f>IF(ISERROR((BK616/BC616-1)*100),"NA",IF(((BK616/BC616-1)*100)&gt;100,"NM",IF(((BK616/BC616-1)*100)&lt;-50,"NM",(BK616/BC616-1)*100)))</f>
        <v>19.402985074626855</v>
      </c>
      <c r="BM616" s="182">
        <f>BM613+BM614</f>
        <v>336</v>
      </c>
      <c r="BN616" s="98">
        <f>IF(ISERROR((BM616/BE616-1)*100),"NA",IF(((BM616/BE616-1)*100)&gt;100,"NM",IF(((BM616/BE616-1)*100)&lt;-50,"NM",(BM616/BE616-1)*100)))</f>
        <v>23.529411764705888</v>
      </c>
      <c r="BO616" s="182">
        <f>BO613+BO614</f>
        <v>321</v>
      </c>
      <c r="BP616" s="98">
        <f>IF(ISERROR((BO616/BG616-1)*100),"NA",IF(((BO616/BG616-1)*100)&gt;100,"NM",IF(((BO616/BG616-1)*100)&lt;-50,"NM",(BO616/BG616-1)*100)))</f>
        <v>20.676691729323316</v>
      </c>
      <c r="BQ616" s="182">
        <f>BQ613+BQ614</f>
        <v>219</v>
      </c>
      <c r="BR616" s="98">
        <f>IF(ISERROR((BQ616/BI616-1)*100),"NA",IF(((BQ616/BI616-1)*100)&gt;100,"NM",IF(((BQ616/BI616-1)*100)&lt;-50,"NM",(BQ616/BI616-1)*100)))</f>
        <v>-26.755852842809368</v>
      </c>
      <c r="BS616" s="182">
        <f>BS613+BS614</f>
        <v>195</v>
      </c>
      <c r="BT616" s="98">
        <f>IF(ISERROR((BS616/BK616-1)*100),"NA",IF(((BS616/BK616-1)*100)&gt;100,"NM",IF(((BS616/BK616-1)*100)&lt;-50,"NM",(BS616/BK616-1)*100)))</f>
        <v>-18.75</v>
      </c>
      <c r="BU616" s="182">
        <f>BU613+BU614</f>
        <v>111</v>
      </c>
      <c r="BV616" s="98" t="str">
        <f>IF(ISERROR((BU616/BM616-1)*100),"NA",IF(((BU616/BM616-1)*100)&gt;100,"NM",IF(((BU616/BM616-1)*100)&lt;-50,"NM",(BU616/BM616-1)*100)))</f>
        <v>NM</v>
      </c>
      <c r="BW616" s="182">
        <f>BW613+BW614</f>
        <v>65</v>
      </c>
      <c r="BX616" s="98" t="str">
        <f>IF(ISERROR((BW616/BO616-1)*100),"NA",IF(((BW616/BO616-1)*100)&gt;100,"NM",IF(((BW616/BO616-1)*100)&lt;-50,"NM",(BW616/BO616-1)*100)))</f>
        <v>NM</v>
      </c>
      <c r="BY616" s="182">
        <f>BY613+BY614</f>
        <v>155</v>
      </c>
      <c r="BZ616" s="98">
        <f>IF(ISERROR((BY616/BQ616-1)*100),"NA",IF(((BY616/BQ616-1)*100)&gt;100,"NM",IF(((BY616/BQ616-1)*100)&lt;-50,"NM",(BY616/BQ616-1)*100)))</f>
        <v>-29.223744292237441</v>
      </c>
      <c r="CA616" s="182">
        <f>CA613+CA614</f>
        <v>140</v>
      </c>
      <c r="CB616" s="98">
        <f>IF(ISERROR((CA616/BS616-1)*100),"NA",IF(((CA616/BS616-1)*100)&gt;100,"NM",IF(((CA616/BS616-1)*100)&lt;-50,"NM",(CA616/BS616-1)*100)))</f>
        <v>-28.205128205128204</v>
      </c>
      <c r="CC616" s="182">
        <f>CC613+CC614</f>
        <v>187</v>
      </c>
      <c r="CD616" s="98">
        <f>IF(ISERROR((CC616/BU616-1)*100),"NA",IF(((CC616/BU616-1)*100)&gt;100,"NM",IF(((CC616/BU616-1)*100)&lt;-50,"NM",(CC616/BU616-1)*100)))</f>
        <v>68.468468468468458</v>
      </c>
      <c r="CE616" s="182">
        <f>CE613+CE614</f>
        <v>220</v>
      </c>
      <c r="CF616" s="98" t="str">
        <f>IF(ISERROR((CE616/BW616-1)*100),"NA",IF(((CE616/BW616-1)*100)&gt;100,"NM",IF(((CE616/BW616-1)*100)&lt;-50,"NM",(CE616/BW616-1)*100)))</f>
        <v>NM</v>
      </c>
      <c r="CG616" s="182">
        <f>CG613+CG614</f>
        <v>235</v>
      </c>
      <c r="CH616" s="98">
        <f t="shared" si="3503"/>
        <v>51.612903225806448</v>
      </c>
      <c r="CI616" s="182">
        <f>CI613+CI614</f>
        <v>182</v>
      </c>
      <c r="CJ616" s="98">
        <f t="shared" si="3504"/>
        <v>30.000000000000004</v>
      </c>
      <c r="CK616" s="182">
        <f>CK613+CK614</f>
        <v>283</v>
      </c>
      <c r="CL616" s="98">
        <f t="shared" si="3505"/>
        <v>51.336898395721931</v>
      </c>
      <c r="CM616" s="182">
        <f>CM613+CM614</f>
        <v>289</v>
      </c>
      <c r="CN616" s="98">
        <f t="shared" si="3506"/>
        <v>31.36363636363637</v>
      </c>
      <c r="CO616" s="182">
        <f>CO613+CO614</f>
        <v>325</v>
      </c>
      <c r="CP616" s="98">
        <f>IF(ISERROR((CO616/CG616-1)*100),"NA",IF(((CO616/CG616-1)*100)&gt;100,"NM",IF(((CO616/CG616-1)*100)&lt;-50,"NM",(CO616/CG616-1)*100)))</f>
        <v>38.297872340425542</v>
      </c>
      <c r="CQ616" s="512">
        <f>CQ613+CQ614</f>
        <v>425</v>
      </c>
      <c r="CR616" s="98" t="str">
        <f>IF(ISERROR((CQ616/CI616-1)*100),"NA",IF(((CQ616/CI616-1)*100)&gt;100,"NM",IF(((CQ616/CI616-1)*100)&lt;-50,"NM",(CQ616/CI616-1)*100)))</f>
        <v>NM</v>
      </c>
      <c r="CS616" s="182">
        <f>CS613+CS614</f>
        <v>466</v>
      </c>
      <c r="CT616" s="574">
        <f>IF(ISERROR((CS616/CK616-1)*100),"NA",IF(((CS616/CK616-1)*100)&gt;100,"NM",IF(((CS616/CK616-1)*100)&lt;-50,"NM",(CS616/CK616-1)*100)))</f>
        <v>64.664310954063595</v>
      </c>
      <c r="CU616" s="182">
        <f>CU613+CU614</f>
        <v>541</v>
      </c>
      <c r="CV616" s="574">
        <f t="shared" si="3510"/>
        <v>87.197231833910038</v>
      </c>
      <c r="CW616" s="182">
        <f>CW613+CW614</f>
        <v>585</v>
      </c>
      <c r="CX616" s="574">
        <f t="shared" si="3511"/>
        <v>80</v>
      </c>
      <c r="CY616" s="182">
        <f>CY613+CY614</f>
        <v>586</v>
      </c>
      <c r="CZ616" s="574">
        <f t="shared" si="3512"/>
        <v>37.882352941176478</v>
      </c>
      <c r="DA616" s="182">
        <f>DA613+DA614</f>
        <v>472</v>
      </c>
      <c r="DB616" s="574">
        <f t="shared" si="3513"/>
        <v>1.2875536480686733</v>
      </c>
      <c r="DC616" s="182">
        <f>DC614+DC613</f>
        <v>524</v>
      </c>
      <c r="DD616" s="574">
        <f t="shared" si="3514"/>
        <v>-3.1423290203327126</v>
      </c>
      <c r="DE616" s="182">
        <f>DE614+DE613</f>
        <v>621</v>
      </c>
      <c r="DF616" s="574">
        <f t="shared" si="3515"/>
        <v>6.1538461538461542</v>
      </c>
      <c r="DG616" s="182">
        <f>DG614+DG613</f>
        <v>524</v>
      </c>
      <c r="DH616" s="574">
        <f t="shared" si="3516"/>
        <v>-10.580204778156999</v>
      </c>
      <c r="DI616" s="182">
        <f>DI614+DI613</f>
        <v>588</v>
      </c>
      <c r="DJ616" s="98">
        <f t="shared" si="3517"/>
        <v>24.576271186440678</v>
      </c>
      <c r="DK616" s="182">
        <f>DK614+DK613</f>
        <v>530</v>
      </c>
      <c r="DL616" s="98">
        <f t="shared" si="3518"/>
        <v>1.1450381679389388</v>
      </c>
      <c r="DM616" s="182">
        <f>DM614+DM613</f>
        <v>572</v>
      </c>
      <c r="DN616" s="98">
        <f t="shared" si="3519"/>
        <v>-7.8904991948470222</v>
      </c>
      <c r="DO616" s="182">
        <f>DO614+DO613</f>
        <v>636</v>
      </c>
      <c r="DP616" s="98">
        <f t="shared" si="3519"/>
        <v>21.374045801526709</v>
      </c>
      <c r="DQ616" s="182">
        <f>DQ614+DQ613</f>
        <v>598</v>
      </c>
      <c r="DR616" s="98">
        <f t="shared" si="3519"/>
        <v>1.7006802721088343</v>
      </c>
      <c r="DS616" s="182">
        <f>DS614+DS613+DS615</f>
        <v>510</v>
      </c>
      <c r="DT616" s="98">
        <f t="shared" si="3519"/>
        <v>-3.7735849056603765</v>
      </c>
      <c r="DU616" s="182">
        <f>DU614+DU613+DU615</f>
        <v>551</v>
      </c>
      <c r="DV616" s="98">
        <f t="shared" si="3519"/>
        <v>-3.6713286713286664</v>
      </c>
      <c r="DW616" s="182">
        <f>DW614+DW613+DW615</f>
        <v>511</v>
      </c>
      <c r="DX616" s="98">
        <f t="shared" si="3519"/>
        <v>-19.654088050314467</v>
      </c>
      <c r="DY616" s="182">
        <f>DY614+DY613+DY615</f>
        <v>432</v>
      </c>
      <c r="DZ616" s="98">
        <f t="shared" si="3519"/>
        <v>-27.759197324414721</v>
      </c>
      <c r="EA616" s="182">
        <f>EA614+EA613+EA615</f>
        <v>406</v>
      </c>
      <c r="EB616" s="98">
        <f t="shared" si="3520"/>
        <v>-20.392156862745104</v>
      </c>
      <c r="EC616" s="182">
        <f>EC614+EC613+EC615</f>
        <v>443</v>
      </c>
      <c r="ED616" s="98">
        <f t="shared" si="3521"/>
        <v>-19.600725952813068</v>
      </c>
      <c r="EE616" s="182">
        <f>EE614+EE613+EE615</f>
        <v>552</v>
      </c>
      <c r="EF616" s="860">
        <f t="shared" si="3522"/>
        <v>8.0234833659491134</v>
      </c>
      <c r="EG616" s="182">
        <f>EG614+EG613+EG615</f>
        <v>511</v>
      </c>
      <c r="EH616" s="860">
        <f t="shared" si="3523"/>
        <v>18.287037037037045</v>
      </c>
      <c r="EI616" s="182">
        <f>EI614+EI613+EI615</f>
        <v>497</v>
      </c>
      <c r="EJ616" s="860">
        <f t="shared" si="3524"/>
        <v>22.413793103448263</v>
      </c>
      <c r="EK616" s="182">
        <f>EK614+EK613+EK615</f>
        <v>493</v>
      </c>
      <c r="EL616" s="860">
        <f t="shared" si="3525"/>
        <v>11.28668171557563</v>
      </c>
      <c r="EM616" s="182">
        <f>EM614+EM613+EM615</f>
        <v>539</v>
      </c>
      <c r="EN616" s="860">
        <f t="shared" si="3526"/>
        <v>-2.3550724637681153</v>
      </c>
      <c r="EO616" s="182">
        <f>EO614+EO613+EO615</f>
        <v>498</v>
      </c>
      <c r="EP616" s="98">
        <f t="shared" si="3527"/>
        <v>-2.5440313111546042</v>
      </c>
      <c r="EQ616" s="1021">
        <f>EQ614+EQ613+EQ615</f>
        <v>617.37785824703383</v>
      </c>
      <c r="ER616" s="98">
        <f t="shared" si="3528"/>
        <v>24.220897031596333</v>
      </c>
      <c r="ES616" s="1021">
        <f t="shared" ref="ES616" si="3565">ES614+ES613+ES615</f>
        <v>609.9535514420578</v>
      </c>
      <c r="ET616" s="98">
        <f t="shared" si="3529"/>
        <v>23.722829907111119</v>
      </c>
      <c r="EU616" s="1021">
        <f t="shared" ref="EU616" si="3566">EU614+EU613+EU615</f>
        <v>611.09906339934207</v>
      </c>
      <c r="EV616" s="98">
        <f t="shared" si="3530"/>
        <v>13.376449610267539</v>
      </c>
      <c r="EW616" s="1021">
        <f t="shared" ref="EW616" si="3567">EW614+EW613+EW615</f>
        <v>653.65192054431952</v>
      </c>
      <c r="EX616" s="98">
        <f t="shared" si="3531"/>
        <v>31.255405731791065</v>
      </c>
      <c r="EY616" s="182"/>
      <c r="EZ616" s="594"/>
      <c r="FA616" s="414"/>
      <c r="FB616" s="326"/>
      <c r="FC616" s="326"/>
      <c r="FD616" s="182"/>
      <c r="FE616" s="98"/>
      <c r="FF616" s="182"/>
      <c r="FG616" s="98"/>
      <c r="FH616" s="182"/>
      <c r="FI616" s="98"/>
      <c r="FJ616" s="182"/>
      <c r="FK616" s="98"/>
      <c r="FL616" s="182"/>
      <c r="FM616" s="98"/>
      <c r="FN616" s="182"/>
      <c r="FO616" s="98"/>
      <c r="FP616" s="182"/>
      <c r="FQ616" s="98"/>
      <c r="FR616" s="182">
        <f>FR613+FR614</f>
        <v>955</v>
      </c>
      <c r="FS616" s="98" t="str">
        <f t="shared" si="3532"/>
        <v>NA</v>
      </c>
      <c r="FT616" s="182">
        <f>FT613+FT614</f>
        <v>1141</v>
      </c>
      <c r="FU616" s="98">
        <f t="shared" si="3533"/>
        <v>19.476439790575917</v>
      </c>
      <c r="FV616" s="182">
        <f>FV613+FV614</f>
        <v>913</v>
      </c>
      <c r="FW616" s="98">
        <f t="shared" si="3534"/>
        <v>-19.982471516213852</v>
      </c>
      <c r="FX616" s="512">
        <f>FX613+FX614</f>
        <v>547</v>
      </c>
      <c r="FY616" s="98">
        <f t="shared" si="3534"/>
        <v>-40.087623220153347</v>
      </c>
      <c r="FZ616" s="182">
        <f>FZ613+FZ614</f>
        <v>920</v>
      </c>
      <c r="GA616" s="98">
        <f t="shared" si="3535"/>
        <v>68.190127970749543</v>
      </c>
      <c r="GB616" s="512">
        <f>GB613+GB614</f>
        <v>2003</v>
      </c>
      <c r="GC616" s="98" t="str">
        <f t="shared" si="3536"/>
        <v>NM</v>
      </c>
      <c r="GD616" s="182">
        <f>GD613+GD614</f>
        <v>2184</v>
      </c>
      <c r="GE616" s="98">
        <f t="shared" si="3537"/>
        <v>9.0364453320020068</v>
      </c>
      <c r="GF616" s="182">
        <f>GF614+GF613</f>
        <v>2257</v>
      </c>
      <c r="GG616" s="98">
        <f t="shared" si="3537"/>
        <v>3.3424908424908528</v>
      </c>
      <c r="GH616" s="182">
        <f>GH614+GH613</f>
        <v>2336</v>
      </c>
      <c r="GI616" s="98">
        <f t="shared" si="3537"/>
        <v>3.5002215330084185</v>
      </c>
      <c r="GJ616" s="182">
        <f>GJ614+GJ613+GJ615</f>
        <v>2004</v>
      </c>
      <c r="GK616" s="98">
        <f t="shared" si="3537"/>
        <v>-14.212328767123283</v>
      </c>
      <c r="GL616" s="182">
        <f>GL614+GL613+GL615</f>
        <v>1912</v>
      </c>
      <c r="GM616" s="98">
        <f t="shared" si="3537"/>
        <v>-4.5908183632734527</v>
      </c>
      <c r="GN616" s="182">
        <f>GN614+GN613+GN615</f>
        <v>2027</v>
      </c>
      <c r="GO616" s="98">
        <f t="shared" si="3537"/>
        <v>6.0146443514644377</v>
      </c>
      <c r="GP616" s="182">
        <f>GP614+GP613+GP615</f>
        <v>2492.0823936327529</v>
      </c>
      <c r="GQ616" s="98">
        <f t="shared" si="3537"/>
        <v>22.944370677491509</v>
      </c>
      <c r="GR616" s="182">
        <f>GR614+GR613+GR615</f>
        <v>2579.5647775100488</v>
      </c>
      <c r="GS616" s="98">
        <f t="shared" si="3537"/>
        <v>3.5104129823641639</v>
      </c>
      <c r="GT616" s="182">
        <f>GT614+GT613+GT615</f>
        <v>2639.3739293900389</v>
      </c>
      <c r="GU616" s="98">
        <f t="shared" si="3537"/>
        <v>2.3185753039209001</v>
      </c>
      <c r="GV616" s="182">
        <f>GV614+GV613+GV615</f>
        <v>2701.3624711158045</v>
      </c>
      <c r="GW616" s="98">
        <f t="shared" si="3537"/>
        <v>2.3486077904880664</v>
      </c>
      <c r="GX616" s="182">
        <f>GX614+GX613+GX615</f>
        <v>2768.4051030078904</v>
      </c>
      <c r="GY616" s="98">
        <f t="shared" si="3538"/>
        <v>2.4818080731088932</v>
      </c>
      <c r="GZ616" s="98">
        <f>IF(ISERROR(((GX616/GN616)^0.2-1)*100),"NA",IF((((GX616/GN616)^0.2-1)*100)&gt;100,"NM",IF((((GX616/GN616)^0.2-1)*100)&lt;-50,"NM",((GX616/GN616)^0.2-1)*100)))</f>
        <v>6.4327242489793157</v>
      </c>
      <c r="HA616" s="98"/>
      <c r="HB616" s="15"/>
      <c r="HC616"/>
      <c r="HD616"/>
      <c r="HE616"/>
      <c r="HF616"/>
      <c r="HG616"/>
      <c r="HH616"/>
      <c r="HI616" s="10"/>
    </row>
    <row r="617" spans="2:217" s="5" customFormat="1" ht="12.75" customHeight="1" x14ac:dyDescent="0.2">
      <c r="B617" s="324" t="s">
        <v>316</v>
      </c>
      <c r="C617" s="182"/>
      <c r="D617" s="98"/>
      <c r="E617" s="182"/>
      <c r="F617" s="98"/>
      <c r="G617" s="182"/>
      <c r="H617" s="98"/>
      <c r="I617" s="182"/>
      <c r="J617" s="98"/>
      <c r="K617" s="182"/>
      <c r="L617" s="98"/>
      <c r="M617" s="182"/>
      <c r="N617" s="98"/>
      <c r="O617" s="182"/>
      <c r="P617" s="98"/>
      <c r="Q617" s="182"/>
      <c r="R617" s="98"/>
      <c r="S617" s="182"/>
      <c r="T617" s="98"/>
      <c r="U617" s="182"/>
      <c r="V617" s="98"/>
      <c r="W617" s="182"/>
      <c r="X617" s="98"/>
      <c r="Y617" s="182"/>
      <c r="Z617" s="98"/>
      <c r="AA617" s="182"/>
      <c r="AB617" s="98"/>
      <c r="AC617" s="182"/>
      <c r="AD617" s="98"/>
      <c r="AE617" s="182"/>
      <c r="AF617" s="98"/>
      <c r="AG617" s="182"/>
      <c r="AH617" s="98"/>
      <c r="AI617" s="182"/>
      <c r="AJ617" s="98"/>
      <c r="AK617" s="182"/>
      <c r="AL617" s="98"/>
      <c r="AM617" s="182"/>
      <c r="AN617" s="98"/>
      <c r="AO617" s="182"/>
      <c r="AP617" s="98"/>
      <c r="AQ617" s="182"/>
      <c r="AR617" s="98"/>
      <c r="AS617" s="182"/>
      <c r="AT617" s="98"/>
      <c r="AU617" s="182"/>
      <c r="AV617" s="98"/>
      <c r="AW617" s="182"/>
      <c r="AX617" s="98"/>
      <c r="AY617" s="182"/>
      <c r="AZ617" s="98"/>
      <c r="BA617" s="182"/>
      <c r="BB617" s="98"/>
      <c r="BC617" s="182"/>
      <c r="BD617" s="98"/>
      <c r="BE617" s="182"/>
      <c r="BF617" s="98"/>
      <c r="BG617" s="182"/>
      <c r="BH617" s="98"/>
      <c r="BI617" s="182"/>
      <c r="BJ617" s="98"/>
      <c r="BK617" s="182"/>
      <c r="BL617" s="98"/>
      <c r="BM617" s="182"/>
      <c r="BN617" s="98"/>
      <c r="BO617" s="182"/>
      <c r="BP617" s="98"/>
      <c r="BQ617" s="182"/>
      <c r="BR617" s="98"/>
      <c r="BS617" s="182"/>
      <c r="BT617" s="98"/>
      <c r="BU617" s="182"/>
      <c r="BV617" s="98"/>
      <c r="BW617" s="182"/>
      <c r="BX617" s="98"/>
      <c r="BY617" s="182"/>
      <c r="BZ617" s="98"/>
      <c r="CA617" s="182"/>
      <c r="CB617" s="98"/>
      <c r="CC617" s="182"/>
      <c r="CD617" s="98"/>
      <c r="CE617" s="182"/>
      <c r="CF617" s="98"/>
      <c r="CG617" s="182"/>
      <c r="CH617" s="98"/>
      <c r="CI617" s="182"/>
      <c r="CJ617" s="98"/>
      <c r="CK617" s="182"/>
      <c r="CL617" s="98"/>
      <c r="CM617" s="182"/>
      <c r="CN617" s="98"/>
      <c r="CO617" s="182"/>
      <c r="CP617" s="98"/>
      <c r="CQ617" s="512"/>
      <c r="CR617" s="98"/>
      <c r="CS617" s="182"/>
      <c r="CT617" s="574"/>
      <c r="CU617" s="182"/>
      <c r="CV617" s="574"/>
      <c r="CW617" s="182"/>
      <c r="CX617" s="574"/>
      <c r="CY617" s="182"/>
      <c r="CZ617" s="574"/>
      <c r="DA617" s="182"/>
      <c r="DB617" s="574"/>
      <c r="DC617" s="182"/>
      <c r="DD617" s="574"/>
      <c r="DE617" s="182"/>
      <c r="DF617" s="574"/>
      <c r="DG617" s="182"/>
      <c r="DH617" s="574"/>
      <c r="DI617" s="182"/>
      <c r="DJ617" s="98"/>
      <c r="DK617" s="182"/>
      <c r="DL617" s="98"/>
      <c r="DM617" s="182"/>
      <c r="DN617" s="98"/>
      <c r="DO617" s="182"/>
      <c r="DP617" s="98"/>
      <c r="DQ617" s="182"/>
      <c r="DR617" s="98"/>
      <c r="DS617" s="182"/>
      <c r="DT617" s="98"/>
      <c r="DU617" s="182"/>
      <c r="DV617" s="98"/>
      <c r="DW617" s="182"/>
      <c r="DX617" s="98"/>
      <c r="DY617" s="182"/>
      <c r="DZ617" s="98"/>
      <c r="EA617" s="182"/>
      <c r="EB617" s="98"/>
      <c r="EC617" s="182"/>
      <c r="ED617" s="98"/>
      <c r="EE617" s="182"/>
      <c r="EF617" s="860"/>
      <c r="EG617" s="182"/>
      <c r="EH617" s="860"/>
      <c r="EI617" s="182"/>
      <c r="EJ617" s="860"/>
      <c r="EK617" s="182"/>
      <c r="EL617" s="860"/>
      <c r="EM617" s="182"/>
      <c r="EN617" s="860"/>
      <c r="EO617" s="182"/>
      <c r="EP617" s="98"/>
      <c r="EQ617" s="1021"/>
      <c r="ER617" s="98"/>
      <c r="ES617" s="1021"/>
      <c r="ET617" s="98"/>
      <c r="EU617" s="1021"/>
      <c r="EV617" s="98"/>
      <c r="EW617" s="1021"/>
      <c r="EX617" s="98"/>
      <c r="EY617" s="182"/>
      <c r="EZ617" s="594"/>
      <c r="FA617" s="414"/>
      <c r="FB617" s="326"/>
      <c r="FC617" s="326"/>
      <c r="FD617" s="182"/>
      <c r="FE617" s="98"/>
      <c r="FF617" s="182"/>
      <c r="FG617" s="98"/>
      <c r="FH617" s="182"/>
      <c r="FI617" s="98"/>
      <c r="FJ617" s="182"/>
      <c r="FK617" s="98"/>
      <c r="FL617" s="182"/>
      <c r="FM617" s="98"/>
      <c r="FN617" s="182"/>
      <c r="FO617" s="98"/>
      <c r="FP617" s="182"/>
      <c r="FQ617" s="98"/>
      <c r="FR617" s="182"/>
      <c r="FS617" s="98"/>
      <c r="FT617" s="182"/>
      <c r="FU617" s="98"/>
      <c r="FV617" s="182"/>
      <c r="FW617" s="98"/>
      <c r="FX617" s="512"/>
      <c r="FY617" s="98"/>
      <c r="FZ617" s="182"/>
      <c r="GA617" s="98"/>
      <c r="GB617" s="512"/>
      <c r="GC617" s="98"/>
      <c r="GD617" s="182"/>
      <c r="GE617" s="98"/>
      <c r="GF617" s="182"/>
      <c r="GG617" s="98"/>
      <c r="GH617" s="182"/>
      <c r="GI617" s="98"/>
      <c r="GJ617" s="182"/>
      <c r="GK617" s="98"/>
      <c r="GL617" s="182"/>
      <c r="GM617" s="98"/>
      <c r="GN617" s="182"/>
      <c r="GO617" s="98"/>
      <c r="GP617" s="182"/>
      <c r="GQ617" s="98"/>
      <c r="GR617" s="182"/>
      <c r="GS617" s="98"/>
      <c r="GT617" s="182"/>
      <c r="GU617" s="98"/>
      <c r="GV617" s="182"/>
      <c r="GW617" s="98"/>
      <c r="GX617" s="182"/>
      <c r="GY617" s="98"/>
      <c r="GZ617" s="98"/>
      <c r="HA617" s="98"/>
      <c r="HB617" s="15"/>
      <c r="HC617"/>
      <c r="HD617"/>
      <c r="HE617"/>
      <c r="HF617"/>
      <c r="HG617"/>
      <c r="HH617"/>
      <c r="HI617" s="10"/>
    </row>
    <row r="618" spans="2:217" s="2" customFormat="1" ht="12.75" customHeight="1" x14ac:dyDescent="0.2">
      <c r="B618" s="18" t="s">
        <v>224</v>
      </c>
      <c r="C618" s="117"/>
      <c r="D618" s="98"/>
      <c r="E618" s="117"/>
      <c r="F618" s="98"/>
      <c r="G618" s="117"/>
      <c r="H618" s="98"/>
      <c r="I618" s="117"/>
      <c r="J618" s="98"/>
      <c r="K618" s="117"/>
      <c r="L618" s="98"/>
      <c r="M618" s="117"/>
      <c r="N618" s="98"/>
      <c r="O618" s="117"/>
      <c r="P618" s="98"/>
      <c r="Q618" s="117"/>
      <c r="R618" s="98"/>
      <c r="S618" s="117"/>
      <c r="T618" s="98"/>
      <c r="U618" s="117"/>
      <c r="V618" s="98"/>
      <c r="W618" s="117"/>
      <c r="X618" s="98"/>
      <c r="Y618" s="117"/>
      <c r="Z618" s="98"/>
      <c r="AA618" s="117"/>
      <c r="AB618" s="98"/>
      <c r="AC618" s="117"/>
      <c r="AD618" s="98"/>
      <c r="AE618" s="117"/>
      <c r="AF618" s="98"/>
      <c r="AG618" s="117"/>
      <c r="AH618" s="98"/>
      <c r="AI618" s="117"/>
      <c r="AJ618" s="98"/>
      <c r="AK618" s="117"/>
      <c r="AL618" s="98"/>
      <c r="AM618" s="117"/>
      <c r="AN618" s="98"/>
      <c r="AO618" s="117"/>
      <c r="AP618" s="98"/>
      <c r="AQ618" s="117"/>
      <c r="AR618" s="98"/>
      <c r="AS618" s="117"/>
      <c r="AT618" s="98"/>
      <c r="AU618" s="117"/>
      <c r="AV618" s="98"/>
      <c r="AW618" s="117"/>
      <c r="AX618" s="98"/>
      <c r="AY618" s="117">
        <f>AY301</f>
        <v>0</v>
      </c>
      <c r="AZ618" s="98" t="str">
        <f>IF(ISERROR((AY618/AQ618-1)*100),"NA",IF(((AY618/AQ618-1)*100)&gt;100,"NM",IF(((AY618/AQ618-1)*100)&lt;-50,"NM",(AY618/AQ618-1)*100)))</f>
        <v>NA</v>
      </c>
      <c r="BA618" s="117">
        <f>BA301</f>
        <v>0</v>
      </c>
      <c r="BB618" s="98" t="str">
        <f>IF(ISERROR((BA618/AS618-1)*100),"NA",IF(((BA618/AS618-1)*100)&gt;100,"NM",IF(((BA618/AS618-1)*100)&lt;-50,"NM",(BA618/AS618-1)*100)))</f>
        <v>NA</v>
      </c>
      <c r="BC618" s="117">
        <f>BC301</f>
        <v>0</v>
      </c>
      <c r="BD618" s="98" t="str">
        <f>IF(ISERROR((BC618/AU618-1)*100),"NA",IF(((BC618/AU618-1)*100)&gt;100,"NM",IF(((BC618/AU618-1)*100)&lt;-50,"NM",(BC618/AU618-1)*100)))</f>
        <v>NA</v>
      </c>
      <c r="BE618" s="117">
        <f>BE301</f>
        <v>0</v>
      </c>
      <c r="BF618" s="98" t="str">
        <f>IF(ISERROR((BE618/AW618-1)*100),"NA",IF(((BE618/AW618-1)*100)&gt;100,"NM",IF(((BE618/AW618-1)*100)&lt;-50,"NM",(BE618/AW618-1)*100)))</f>
        <v>NA</v>
      </c>
      <c r="BG618" s="117">
        <f>BG301</f>
        <v>0</v>
      </c>
      <c r="BH618" s="98" t="str">
        <f>IF(ISERROR((BG618/AY618-1)*100),"NA",IF(((BG618/AY618-1)*100)&gt;100,"NM",IF(((BG618/AY618-1)*100)&lt;-50,"NM",(BG618/AY618-1)*100)))</f>
        <v>NA</v>
      </c>
      <c r="BI618" s="117">
        <f>BI301</f>
        <v>0</v>
      </c>
      <c r="BJ618" s="98" t="str">
        <f>IF(ISERROR((BI618/BA618-1)*100),"NA",IF(((BI618/BA618-1)*100)&gt;100,"NM",IF(((BI618/BA618-1)*100)&lt;-50,"NM",(BI618/BA618-1)*100)))</f>
        <v>NA</v>
      </c>
      <c r="BK618" s="117">
        <f>BK301</f>
        <v>0</v>
      </c>
      <c r="BL618" s="98" t="str">
        <f>IF(ISERROR((BK618/BC618-1)*100),"NA",IF(((BK618/BC618-1)*100)&gt;100,"NM",IF(((BK618/BC618-1)*100)&lt;-50,"NM",(BK618/BC618-1)*100)))</f>
        <v>NA</v>
      </c>
      <c r="BM618" s="117">
        <f>BM301</f>
        <v>0</v>
      </c>
      <c r="BN618" s="98" t="str">
        <f>IF(ISERROR((BM618/BE618-1)*100),"NA",IF(((BM618/BE618-1)*100)&gt;100,"NM",IF(((BM618/BE618-1)*100)&lt;-50,"NM",(BM618/BE618-1)*100)))</f>
        <v>NA</v>
      </c>
      <c r="BO618" s="117">
        <f>BO301</f>
        <v>0</v>
      </c>
      <c r="BP618" s="98" t="str">
        <f>IF(ISERROR((BO618/BG618-1)*100),"NA",IF(((BO618/BG618-1)*100)&gt;100,"NM",IF(((BO618/BG618-1)*100)&lt;-50,"NM",(BO618/BG618-1)*100)))</f>
        <v>NA</v>
      </c>
      <c r="BQ618" s="117">
        <f>BQ301</f>
        <v>0</v>
      </c>
      <c r="BR618" s="98" t="str">
        <f>IF(ISERROR((BQ618/BI618-1)*100),"NA",IF(((BQ618/BI618-1)*100)&gt;100,"NM",IF(((BQ618/BI618-1)*100)&lt;-50,"NM",(BQ618/BI618-1)*100)))</f>
        <v>NA</v>
      </c>
      <c r="BS618" s="117">
        <f>BS301</f>
        <v>0</v>
      </c>
      <c r="BT618" s="98" t="str">
        <f>IF(ISERROR((BS618/BK618-1)*100),"NA",IF(((BS618/BK618-1)*100)&gt;100,"NM",IF(((BS618/BK618-1)*100)&lt;-50,"NM",(BS618/BK618-1)*100)))</f>
        <v>NA</v>
      </c>
      <c r="BU618" s="117">
        <f>BU301</f>
        <v>0</v>
      </c>
      <c r="BV618" s="98" t="str">
        <f>IF(ISERROR((BU618/BM618-1)*100),"NA",IF(((BU618/BM618-1)*100)&gt;100,"NM",IF(((BU618/BM618-1)*100)&lt;-50,"NM",(BU618/BM618-1)*100)))</f>
        <v>NA</v>
      </c>
      <c r="BW618" s="117">
        <f>BW301</f>
        <v>0</v>
      </c>
      <c r="BX618" s="98" t="str">
        <f>IF(ISERROR((BW618/BO618-1)*100),"NA",IF(((BW618/BO618-1)*100)&gt;100,"NM",IF(((BW618/BO618-1)*100)&lt;-50,"NM",(BW618/BO618-1)*100)))</f>
        <v>NA</v>
      </c>
      <c r="BY618" s="117">
        <f>BY301</f>
        <v>0</v>
      </c>
      <c r="BZ618" s="98" t="str">
        <f>IF(ISERROR((BY618/BQ618-1)*100),"NA",IF(((BY618/BQ618-1)*100)&gt;100,"NM",IF(((BY618/BQ618-1)*100)&lt;-50,"NM",(BY618/BQ618-1)*100)))</f>
        <v>NA</v>
      </c>
      <c r="CA618" s="117">
        <f>CA301</f>
        <v>0</v>
      </c>
      <c r="CB618" s="98" t="str">
        <f>IF(ISERROR((CA618/BS618-1)*100),"NA",IF(((CA618/BS618-1)*100)&gt;100,"NM",IF(((CA618/BS618-1)*100)&lt;-50,"NM",(CA618/BS618-1)*100)))</f>
        <v>NA</v>
      </c>
      <c r="CC618" s="117">
        <f>CC301</f>
        <v>0</v>
      </c>
      <c r="CD618" s="98" t="str">
        <f t="shared" ref="CD618:CD624" si="3568">IF(ISERROR((CC618/BU618-1)*100),"NA",IF(((CC618/BU618-1)*100)&gt;100,"NM",IF(((CC618/BU618-1)*100)&lt;-50,"NM",(CC618/BU618-1)*100)))</f>
        <v>NA</v>
      </c>
      <c r="CE618" s="117">
        <f>CE301</f>
        <v>0</v>
      </c>
      <c r="CF618" s="98" t="str">
        <f t="shared" ref="CF618:CF624" si="3569">IF(ISERROR((CE618/BW618-1)*100),"NA",IF(((CE618/BW618-1)*100)&gt;100,"NM",IF(((CE618/BW618-1)*100)&lt;-50,"NM",(CE618/BW618-1)*100)))</f>
        <v>NA</v>
      </c>
      <c r="CG618" s="117">
        <f>CG301</f>
        <v>0</v>
      </c>
      <c r="CH618" s="98" t="str">
        <f>IF(ISERROR((CG618/BY618-1)*100),"NA",IF(((CG618/BY618-1)*100)&gt;100,"NM",IF(((CG618/BY618-1)*100)&lt;-50,"NM",(CG618/BY618-1)*100)))</f>
        <v>NA</v>
      </c>
      <c r="CI618" s="117">
        <f>CI301</f>
        <v>0</v>
      </c>
      <c r="CJ618" s="98" t="str">
        <f>IF(ISERROR((CI618/CA618-1)*100),"NA",IF(((CI618/CA618-1)*100)&gt;100,"NM",IF(((CI618/CA618-1)*100)&lt;-50,"NM",(CI618/CA618-1)*100)))</f>
        <v>NA</v>
      </c>
      <c r="CK618" s="117">
        <f>CK301</f>
        <v>94</v>
      </c>
      <c r="CL618" s="98" t="str">
        <f t="shared" ref="CL618:CL624" si="3570">IF(ISERROR((CK618/CC618-1)*100),"NA",IF(((CK618/CC618-1)*100)&gt;100,"NM",IF(((CK618/CC618-1)*100)&lt;-50,"NM",(CK618/CC618-1)*100)))</f>
        <v>NA</v>
      </c>
      <c r="CM618" s="117">
        <f>CM301</f>
        <v>224</v>
      </c>
      <c r="CN618" s="98" t="str">
        <f t="shared" ref="CN618:CN624" si="3571">IF(ISERROR((CM618/CE618-1)*100),"NA",IF(((CM618/CE618-1)*100)&gt;100,"NM",IF(((CM618/CE618-1)*100)&lt;-50,"NM",(CM618/CE618-1)*100)))</f>
        <v>NA</v>
      </c>
      <c r="CO618" s="117">
        <f>CO301</f>
        <v>171</v>
      </c>
      <c r="CP618" s="98" t="str">
        <f t="shared" ref="CP618:CP624" si="3572">IF(ISERROR((CO618/CG618-1)*100),"NA",IF(((CO618/CG618-1)*100)&gt;100,"NM",IF(((CO618/CG618-1)*100)&lt;-50,"NM",(CO618/CG618-1)*100)))</f>
        <v>NA</v>
      </c>
      <c r="CQ618" s="486">
        <f>CQ301</f>
        <v>222</v>
      </c>
      <c r="CR618" s="98" t="str">
        <f t="shared" ref="CR618:CR624" si="3573">IF(ISERROR((CQ618/CI618-1)*100),"NA",IF(((CQ618/CI618-1)*100)&gt;100,"NM",IF(((CQ618/CI618-1)*100)&lt;-50,"NM",(CQ618/CI618-1)*100)))</f>
        <v>NA</v>
      </c>
      <c r="CS618" s="117">
        <f>CS301</f>
        <v>259</v>
      </c>
      <c r="CT618" s="574" t="str">
        <f t="shared" ref="CT618:CT624" si="3574">IF(ISERROR((CS618/CK618-1)*100),"NA",IF(((CS618/CK618-1)*100)&gt;100,"NM",IF(((CS618/CK618-1)*100)&lt;-50,"NM",(CS618/CK618-1)*100)))</f>
        <v>NM</v>
      </c>
      <c r="CU618" s="117">
        <f>CU301</f>
        <v>301</v>
      </c>
      <c r="CV618" s="574">
        <f t="shared" ref="CV618:CV624" si="3575">IF(ISERROR((CU618/CM618-1)*100),"NA",IF(((CU618/CM618-1)*100)&gt;100,"NM",IF(((CU618/CM618-1)*100)&lt;-50,"NM",(CU618/CM618-1)*100)))</f>
        <v>34.375</v>
      </c>
      <c r="CW618" s="117">
        <f>CW301</f>
        <v>279</v>
      </c>
      <c r="CX618" s="574">
        <f t="shared" ref="CX618:CX624" si="3576">IF(ISERROR((CW618/CO618-1)*100),"NA",IF(((CW618/CO618-1)*100)&gt;100,"NM",IF(((CW618/CO618-1)*100)&lt;-50,"NM",(CW618/CO618-1)*100)))</f>
        <v>63.157894736842103</v>
      </c>
      <c r="CY618" s="117">
        <f>CY301</f>
        <v>259</v>
      </c>
      <c r="CZ618" s="574">
        <f t="shared" ref="CZ618:CZ624" si="3577">IF(ISERROR((CY618/CQ618-1)*100),"NA",IF(((CY618/CQ618-1)*100)&gt;100,"NM",IF(((CY618/CQ618-1)*100)&lt;-50,"NM",(CY618/CQ618-1)*100)))</f>
        <v>16.666666666666675</v>
      </c>
      <c r="DA618" s="117">
        <f>DA301</f>
        <v>198</v>
      </c>
      <c r="DB618" s="574">
        <f t="shared" ref="DB618:DB624" si="3578">IF(ISERROR((DA618/CS618-1)*100),"NA",IF(((DA618/CS618-1)*100)&gt;100,"NM",IF(((DA618/CS618-1)*100)&lt;-50,"NM",(DA618/CS618-1)*100)))</f>
        <v>-23.55212355212355</v>
      </c>
      <c r="DC618" s="117">
        <f>DC301</f>
        <v>333</v>
      </c>
      <c r="DD618" s="574">
        <f t="shared" ref="DD618:DD624" si="3579">IF(ISERROR((DC618/CU618-1)*100),"NA",IF(((DC618/CU618-1)*100)&gt;100,"NM",IF(((DC618/CU618-1)*100)&lt;-50,"NM",(DC618/CU618-1)*100)))</f>
        <v>10.631229235880401</v>
      </c>
      <c r="DE618" s="117">
        <f>DE301</f>
        <v>330</v>
      </c>
      <c r="DF618" s="574">
        <f t="shared" ref="DF618:DF624" si="3580">IF(ISERROR((DE618/CW618-1)*100),"NA",IF(((DE618/CW618-1)*100)&gt;100,"NM",IF(((DE618/CW618-1)*100)&lt;-50,"NM",(DE618/CW618-1)*100)))</f>
        <v>18.279569892473123</v>
      </c>
      <c r="DG618" s="117">
        <f>DG301</f>
        <v>257</v>
      </c>
      <c r="DH618" s="574">
        <f t="shared" ref="DH618:DH624" si="3581">IF(ISERROR((DG618/CY618-1)*100),"NA",IF(((DG618/CY618-1)*100)&gt;100,"NM",IF(((DG618/CY618-1)*100)&lt;-50,"NM",(DG618/CY618-1)*100)))</f>
        <v>-0.77220077220077066</v>
      </c>
      <c r="DI618" s="117">
        <f>DI301</f>
        <v>324</v>
      </c>
      <c r="DJ618" s="98">
        <f t="shared" ref="DJ618:DJ624" si="3582">IF(ISERROR((DI618/DA618-1)*100),"NA",IF(((DI618/DA618-1)*100)&gt;100,"NM",IF(((DI618/DA618-1)*100)&lt;-50,"NM",(DI618/DA618-1)*100)))</f>
        <v>63.636363636363647</v>
      </c>
      <c r="DK618" s="117">
        <f>DK301</f>
        <v>333</v>
      </c>
      <c r="DL618" s="98">
        <f t="shared" ref="DL618:DL624" si="3583">IF(ISERROR((DK618/DC618-1)*100),"NA",IF(((DK618/DC618-1)*100)&gt;100,"NM",IF(((DK618/DC618-1)*100)&lt;-50,"NM",(DK618/DC618-1)*100)))</f>
        <v>0</v>
      </c>
      <c r="DM618" s="117">
        <f>DM301</f>
        <v>324</v>
      </c>
      <c r="DN618" s="98">
        <f t="shared" ref="DN618:DN624" si="3584">IF(ISERROR((DM618/DE618-1)*100),"NA",IF(((DM618/DE618-1)*100)&gt;100,"NM",IF(((DM618/DE618-1)*100)&lt;-50,"NM",(DM618/DE618-1)*100)))</f>
        <v>-1.8181818181818188</v>
      </c>
      <c r="DO618" s="117">
        <f>DO301</f>
        <v>310</v>
      </c>
      <c r="DP618" s="98">
        <f t="shared" ref="DP618:DP624" si="3585">IF(ISERROR((DO618/DG618-1)*100),"NA",IF(((DO618/DG618-1)*100)&gt;100,"NM",IF(((DO618/DG618-1)*100)&lt;-50,"NM",(DO618/DG618-1)*100)))</f>
        <v>20.622568093385208</v>
      </c>
      <c r="DQ618" s="117">
        <f>DQ301</f>
        <v>340</v>
      </c>
      <c r="DR618" s="98">
        <f t="shared" ref="DR618:DR624" si="3586">IF(ISERROR((DQ618/DI618-1)*100),"NA",IF(((DQ618/DI618-1)*100)&gt;100,"NM",IF(((DQ618/DI618-1)*100)&lt;-50,"NM",(DQ618/DI618-1)*100)))</f>
        <v>4.9382716049382713</v>
      </c>
      <c r="DS618" s="117">
        <f>DS301</f>
        <v>327</v>
      </c>
      <c r="DT618" s="98">
        <f t="shared" ref="DT618:DT624" si="3587">IF(ISERROR((DS618/DK618-1)*100),"NA",IF(((DS618/DK618-1)*100)&gt;100,"NM",IF(((DS618/DK618-1)*100)&lt;-50,"NM",(DS618/DK618-1)*100)))</f>
        <v>-1.8018018018018056</v>
      </c>
      <c r="DU618" s="117">
        <f>DU301</f>
        <v>425</v>
      </c>
      <c r="DV618" s="98">
        <f t="shared" ref="DV618:DV624" si="3588">IF(ISERROR((DU618/DM618-1)*100),"NA",IF(((DU618/DM618-1)*100)&gt;100,"NM",IF(((DU618/DM618-1)*100)&lt;-50,"NM",(DU618/DM618-1)*100)))</f>
        <v>31.172839506172846</v>
      </c>
      <c r="DW618" s="117">
        <f>DW301</f>
        <v>338</v>
      </c>
      <c r="DX618" s="98">
        <f t="shared" ref="DX618:DX624" si="3589">IF(ISERROR((DW618/DO618-1)*100),"NA",IF(((DW618/DO618-1)*100)&gt;100,"NM",IF(((DW618/DO618-1)*100)&lt;-50,"NM",(DW618/DO618-1)*100)))</f>
        <v>9.0322580645161299</v>
      </c>
      <c r="DY618" s="117">
        <f>DY301</f>
        <v>290</v>
      </c>
      <c r="DZ618" s="98">
        <f t="shared" ref="DZ618:DZ624" si="3590">IF(ISERROR((DY618/DQ618-1)*100),"NA",IF(((DY618/DQ618-1)*100)&gt;100,"NM",IF(((DY618/DQ618-1)*100)&lt;-50,"NM",(DY618/DQ618-1)*100)))</f>
        <v>-14.705882352941179</v>
      </c>
      <c r="EA618" s="117">
        <f>EA301</f>
        <v>305</v>
      </c>
      <c r="EB618" s="98">
        <f t="shared" ref="EB618:EB624" si="3591">IF(ISERROR((EA618/DS618-1)*100),"NA",IF(((EA618/DS618-1)*100)&gt;100,"NM",IF(((EA618/DS618-1)*100)&lt;-50,"NM",(EA618/DS618-1)*100)))</f>
        <v>-6.7278287461773667</v>
      </c>
      <c r="EC618" s="117">
        <f>EC301</f>
        <v>259</v>
      </c>
      <c r="ED618" s="98">
        <f t="shared" ref="ED618:ED624" si="3592">IF(ISERROR((EC618/DU618-1)*100),"NA",IF(((EC618/DU618-1)*100)&gt;100,"NM",IF(((EC618/DU618-1)*100)&lt;-50,"NM",(EC618/DU618-1)*100)))</f>
        <v>-39.058823529411768</v>
      </c>
      <c r="EE618" s="117">
        <f>EE301</f>
        <v>324</v>
      </c>
      <c r="EF618" s="860">
        <f t="shared" ref="EF618:EF624" si="3593">IF(ISERROR((EE618/DW618-1)*100),"NA",IF(((EE618/DW618-1)*100)&gt;100,"NM",IF(((EE618/DW618-1)*100)&lt;-50,"NM",(EE618/DW618-1)*100)))</f>
        <v>-4.1420118343195256</v>
      </c>
      <c r="EG618" s="117">
        <f>EG301</f>
        <v>354</v>
      </c>
      <c r="EH618" s="860">
        <f t="shared" ref="EH618:EH624" si="3594">IF(ISERROR((EG618/DY618-1)*100),"NA",IF(((EG618/DY618-1)*100)&gt;100,"NM",IF(((EG618/DY618-1)*100)&lt;-50,"NM",(EG618/DY618-1)*100)))</f>
        <v>22.068965517241381</v>
      </c>
      <c r="EI618" s="117">
        <f>EI301</f>
        <v>295</v>
      </c>
      <c r="EJ618" s="860">
        <f>IF(ISERROR((EI618/EA618-1)*100),"NA",IF(((EI618/EA618-1)*100)&gt;100,"NM",IF(((EI618/EA618-1)*100)&lt;-50,"NM",(EI618/EA618-1)*100)))</f>
        <v>-3.2786885245901676</v>
      </c>
      <c r="EK618" s="117">
        <f>EK301</f>
        <v>310</v>
      </c>
      <c r="EL618" s="860">
        <f>IF(ISERROR((EK618/EC618-1)*100),"NA",IF(((EK618/EC618-1)*100)&gt;100,"NM",IF(((EK618/EC618-1)*100)&lt;-50,"NM",(EK618/EC618-1)*100)))</f>
        <v>19.691119691119695</v>
      </c>
      <c r="EM618" s="117">
        <f>EM301</f>
        <v>314</v>
      </c>
      <c r="EN618" s="860">
        <f>IF(ISERROR((EM618/EE618-1)*100),"NA",IF(((EM618/EE618-1)*100)&gt;100,"NM",IF(((EM618/EE618-1)*100)&lt;-50,"NM",(EM618/EE618-1)*100)))</f>
        <v>-3.0864197530864224</v>
      </c>
      <c r="EO618" s="117">
        <f>EO301</f>
        <v>310</v>
      </c>
      <c r="EP618" s="98">
        <f>IF(ISERROR((EO618/EG618-1)*100),"NA",IF(((EO618/EG618-1)*100)&gt;100,"NM",IF(((EO618/EG618-1)*100)&lt;-50,"NM",(EO618/EG618-1)*100)))</f>
        <v>-12.429378531073443</v>
      </c>
      <c r="EQ618" s="1031">
        <f>EQ301</f>
        <v>325.86588020000011</v>
      </c>
      <c r="ER618" s="98">
        <f>IF(ISERROR((EQ618/EI618-1)*100),"NA",IF(((EQ618/EI618-1)*100)&gt;100,"NM",IF(((EQ618/EI618-1)*100)&lt;-50,"NM",(EQ618/EI618-1)*100)))</f>
        <v>10.463010237288174</v>
      </c>
      <c r="ES618" s="1031">
        <f>ES301</f>
        <v>331.57710791275031</v>
      </c>
      <c r="ET618" s="98">
        <f t="shared" ref="ET618:ET628" si="3595">IF(ISERROR((ES618/EK618-1)*100),"NA",IF(((ES618/EK618-1)*100)&gt;100,"NM",IF(((ES618/EK618-1)*100)&lt;-50,"NM",(ES618/EK618-1)*100)))</f>
        <v>6.9603573912097705</v>
      </c>
      <c r="EU618" s="1031">
        <f>EU301</f>
        <v>337.39672629335769</v>
      </c>
      <c r="EV618" s="98">
        <f t="shared" ref="EV618:EV628" si="3596">IF(ISERROR((EU618/EM618-1)*100),"NA",IF(((EU618/EM618-1)*100)&gt;100,"NM",IF(((EU618/EM618-1)*100)&lt;-50,"NM",(EU618/EM618-1)*100)))</f>
        <v>7.4511867176298319</v>
      </c>
      <c r="EW618" s="1031">
        <f>EW301</f>
        <v>340.34124317248745</v>
      </c>
      <c r="EX618" s="98">
        <f t="shared" ref="EX618:EX628" si="3597">IF(ISERROR((EW618/EO618-1)*100),"NA",IF(((EW618/EO618-1)*100)&gt;100,"NM",IF(((EW618/EO618-1)*100)&lt;-50,"NM",(EW618/EO618-1)*100)))</f>
        <v>9.7874977975765951</v>
      </c>
      <c r="EY618" s="117"/>
      <c r="EZ618" s="594"/>
      <c r="FA618" s="410"/>
      <c r="FB618" s="325"/>
      <c r="FC618" s="224"/>
      <c r="FD618" s="117"/>
      <c r="FE618" s="98"/>
      <c r="FF618" s="117"/>
      <c r="FG618" s="98"/>
      <c r="FH618" s="117"/>
      <c r="FI618" s="98"/>
      <c r="FJ618" s="117"/>
      <c r="FK618" s="98"/>
      <c r="FL618" s="117"/>
      <c r="FM618" s="98"/>
      <c r="FN618" s="117"/>
      <c r="FO618" s="98"/>
      <c r="FP618" s="117"/>
      <c r="FQ618" s="98"/>
      <c r="FR618" s="117">
        <f>FR301</f>
        <v>0</v>
      </c>
      <c r="FS618" s="98" t="str">
        <f>IF(ISERROR((FR618/FP618-1)*100),"NA",IF(((FR618/FP618-1)*100)&gt;100,"NM",IF(((FR618/FP618-1)*100)&lt;-50,"NM",(FR618/FP618-1)*100)))</f>
        <v>NA</v>
      </c>
      <c r="FT618" s="117">
        <f>FT301</f>
        <v>0</v>
      </c>
      <c r="FU618" s="98" t="str">
        <f>IF(ISERROR((FT618/FR618-1)*100),"NA",IF(((FT618/FR618-1)*100)&gt;100,"NM",IF(((FT618/FR618-1)*100)&lt;-50,"NM",(FT618/FR618-1)*100)))</f>
        <v>NA</v>
      </c>
      <c r="FV618" s="117">
        <f>FV301</f>
        <v>0</v>
      </c>
      <c r="FW618" s="98" t="str">
        <f>IF(ISERROR((FV618/FT618-1)*100),"NA",IF(((FV618/FT618-1)*100)&gt;100,"NM",IF(((FV618/FT618-1)*100)&lt;-50,"NM",(FV618/FT618-1)*100)))</f>
        <v>NA</v>
      </c>
      <c r="FX618" s="486">
        <f>FX301</f>
        <v>0</v>
      </c>
      <c r="FY618" s="98" t="str">
        <f>IF(ISERROR((FX618/FV618-1)*100),"NA",IF(((FX618/FV618-1)*100)&gt;100,"NM",IF(((FX618/FV618-1)*100)&lt;-50,"NM",(FX618/FV618-1)*100)))</f>
        <v>NA</v>
      </c>
      <c r="FZ618" s="117">
        <f>FZ301</f>
        <v>94</v>
      </c>
      <c r="GA618" s="98" t="str">
        <f>IF(ISERROR((FZ618/FX618-1)*100),"NA",IF(((FZ618/FX618-1)*100)&gt;100,"NM",IF(((FZ618/FX618-1)*100)&lt;-50,"NM",(FZ618/FX618-1)*100)))</f>
        <v>NA</v>
      </c>
      <c r="GB618" s="486">
        <f>GB301</f>
        <v>880</v>
      </c>
      <c r="GC618" s="98" t="str">
        <f>IF(ISERROR((GB618/FZ618-1)*100),"NA",IF(((GB618/FZ618-1)*100)&gt;100,"NM",IF(((GB618/FZ618-1)*100)&lt;-50,"NM",(GB618/FZ618-1)*100)))</f>
        <v>NM</v>
      </c>
      <c r="GD618" s="117">
        <f>GD301</f>
        <v>1037</v>
      </c>
      <c r="GE618" s="98">
        <f>IF(ISERROR((GD618/GB618-1)*100),"NA",IF(((GD618/GB618-1)*100)&gt;100,"NM",IF(((GD618/GB618-1)*100)&lt;-50,"NM",(GD618/GB618-1)*100)))</f>
        <v>17.840909090909097</v>
      </c>
      <c r="GF618" s="117">
        <f>GF301</f>
        <v>1244</v>
      </c>
      <c r="GG618" s="98">
        <f>IF(ISERROR((GF618/GD618-1)*100),"NA",IF(((GF618/GD618-1)*100)&gt;100,"NM",IF(((GF618/GD618-1)*100)&lt;-50,"NM",(GF618/GD618-1)*100)))</f>
        <v>19.961427193828342</v>
      </c>
      <c r="GH618" s="117">
        <f>GH301</f>
        <v>1307</v>
      </c>
      <c r="GI618" s="98">
        <f>IF(ISERROR((GH618/GF618-1)*100),"NA",IF(((GH618/GF618-1)*100)&gt;100,"NM",IF(((GH618/GF618-1)*100)&lt;-50,"NM",(GH618/GF618-1)*100)))</f>
        <v>5.0643086816720251</v>
      </c>
      <c r="GJ618" s="117">
        <f>GJ301</f>
        <v>1380</v>
      </c>
      <c r="GK618" s="98">
        <f>IF(ISERROR((GJ618/GH618-1)*100),"NA",IF(((GJ618/GH618-1)*100)&gt;100,"NM",IF(((GJ618/GH618-1)*100)&lt;-50,"NM",(GJ618/GH618-1)*100)))</f>
        <v>5.5853098699311321</v>
      </c>
      <c r="GL618" s="117">
        <f>GL301</f>
        <v>1242</v>
      </c>
      <c r="GM618" s="98">
        <f>IF(ISERROR((GL618/GJ618-1)*100),"NA",IF(((GL618/GJ618-1)*100)&gt;100,"NM",IF(((GL618/GJ618-1)*100)&lt;-50,"NM",(GL618/GJ618-1)*100)))</f>
        <v>-9.9999999999999982</v>
      </c>
      <c r="GN618" s="118">
        <f t="shared" ref="GN618:GN626" si="3598">EI618+EK618+EM618+EO618</f>
        <v>1229</v>
      </c>
      <c r="GO618" s="98">
        <f>IF(ISERROR((GN618/GL618-1)*100),"NA",IF(((GN618/GL618-1)*100)&gt;100,"NM",IF(((GN618/GL618-1)*100)&lt;-50,"NM",(GN618/GL618-1)*100)))</f>
        <v>-1.046698872785834</v>
      </c>
      <c r="GP618" s="118">
        <f t="shared" ref="GP618:GP626" si="3599">EQ618+ES618+EU618+EW618</f>
        <v>1335.1809575785956</v>
      </c>
      <c r="GQ618" s="98">
        <f>IF(ISERROR((GP618/GN618-1)*100),"NA",IF(((GP618/GN618-1)*100)&gt;100,"NM",IF(((GP618/GN618-1)*100)&lt;-50,"NM",(GP618/GN618-1)*100)))</f>
        <v>8.6396222602600048</v>
      </c>
      <c r="GR618" s="117">
        <f>GR301</f>
        <v>1423.1892655553743</v>
      </c>
      <c r="GS618" s="98">
        <f>IF(ISERROR((GR618/GP618-1)*100),"NA",IF(((GR618/GP618-1)*100)&gt;100,"NM",IF(((GR618/GP618-1)*100)&lt;-50,"NM",(GR618/GP618-1)*100)))</f>
        <v>6.5914891518813468</v>
      </c>
      <c r="GT618" s="117">
        <f>GT301</f>
        <v>1494.3487288331453</v>
      </c>
      <c r="GU618" s="98">
        <f>IF(ISERROR((GT618/GR618-1)*100),"NA",IF(((GT618/GR618-1)*100)&gt;100,"NM",IF(((GT618/GR618-1)*100)&lt;-50,"NM",(GT618/GR618-1)*100)))</f>
        <v>5.0000000000001599</v>
      </c>
      <c r="GV618" s="117">
        <f>GV301</f>
        <v>1578.0766688355261</v>
      </c>
      <c r="GW618" s="98">
        <f>IF(ISERROR((GV618/GT618-1)*100),"NA",IF(((GV618/GT618-1)*100)&gt;100,"NM",IF(((GV618/GT618-1)*100)&lt;-50,"NM",(GV618/GT618-1)*100)))</f>
        <v>5.6029719426843094</v>
      </c>
      <c r="GX618" s="117">
        <f>GX301</f>
        <v>1649.4048214793954</v>
      </c>
      <c r="GY618" s="98">
        <f>IF(ISERROR((GX618/GV618-1)*100),"NA",IF(((GX618/GV618-1)*100)&gt;100,"NM",IF(((GX618/GV618-1)*100)&lt;-50,"NM",(GX618/GV618-1)*100)))</f>
        <v>4.5199421582287735</v>
      </c>
      <c r="GZ618" s="98">
        <f t="shared" ref="GZ618:GZ628" si="3600">IF(ISERROR(((GX618/GN618)^0.2-1)*100),"NA",IF((((GX618/GN618)^0.2-1)*100)&gt;100,"NM",IF((((GX618/GN618)^0.2-1)*100)&lt;-50,"NM",((GX618/GN618)^0.2-1)*100)))</f>
        <v>6.0608431675433172</v>
      </c>
      <c r="HA618" s="98"/>
      <c r="HB618" s="10"/>
      <c r="HC618"/>
      <c r="HD618"/>
      <c r="HE618"/>
      <c r="HF618"/>
      <c r="HG618"/>
      <c r="HH618"/>
      <c r="HI618" s="10"/>
    </row>
    <row r="619" spans="2:217" s="2" customFormat="1" ht="12.75" customHeight="1" x14ac:dyDescent="0.2">
      <c r="B619" s="18" t="s">
        <v>225</v>
      </c>
      <c r="C619" s="117"/>
      <c r="D619" s="98"/>
      <c r="E619" s="117"/>
      <c r="F619" s="98"/>
      <c r="G619" s="117"/>
      <c r="H619" s="98"/>
      <c r="I619" s="117"/>
      <c r="J619" s="98"/>
      <c r="K619" s="117"/>
      <c r="L619" s="98"/>
      <c r="M619" s="117"/>
      <c r="N619" s="98"/>
      <c r="O619" s="117"/>
      <c r="P619" s="98"/>
      <c r="Q619" s="117"/>
      <c r="R619" s="98"/>
      <c r="S619" s="117"/>
      <c r="T619" s="98"/>
      <c r="U619" s="117"/>
      <c r="V619" s="98"/>
      <c r="W619" s="117"/>
      <c r="X619" s="98"/>
      <c r="Y619" s="117"/>
      <c r="Z619" s="98"/>
      <c r="AA619" s="117"/>
      <c r="AB619" s="98"/>
      <c r="AC619" s="117"/>
      <c r="AD619" s="98"/>
      <c r="AE619" s="117"/>
      <c r="AF619" s="98"/>
      <c r="AG619" s="117"/>
      <c r="AH619" s="98"/>
      <c r="AI619" s="117"/>
      <c r="AJ619" s="98"/>
      <c r="AK619" s="117"/>
      <c r="AL619" s="98"/>
      <c r="AM619" s="117"/>
      <c r="AN619" s="98"/>
      <c r="AO619" s="117"/>
      <c r="AP619" s="98"/>
      <c r="AQ619" s="117"/>
      <c r="AR619" s="98"/>
      <c r="AS619" s="117"/>
      <c r="AT619" s="98"/>
      <c r="AU619" s="117"/>
      <c r="AV619" s="98"/>
      <c r="AW619" s="117"/>
      <c r="AX619" s="98"/>
      <c r="AY619" s="117">
        <f>AY334</f>
        <v>0</v>
      </c>
      <c r="AZ619" s="98" t="str">
        <f t="shared" ref="AZ619:AZ621" si="3601">IF(ISERROR((AY619/AQ619-1)*100),"NA",IF(((AY619/AQ619-1)*100)&gt;100,"NM",IF(((AY619/AQ619-1)*100)&lt;-50,"NM",(AY619/AQ619-1)*100)))</f>
        <v>NA</v>
      </c>
      <c r="BA619" s="117">
        <f>BA334</f>
        <v>0</v>
      </c>
      <c r="BB619" s="98" t="str">
        <f t="shared" ref="BB619:BB621" si="3602">IF(ISERROR((BA619/AS619-1)*100),"NA",IF(((BA619/AS619-1)*100)&gt;100,"NM",IF(((BA619/AS619-1)*100)&lt;-50,"NM",(BA619/AS619-1)*100)))</f>
        <v>NA</v>
      </c>
      <c r="BC619" s="117">
        <f>BC334</f>
        <v>0</v>
      </c>
      <c r="BD619" s="98" t="str">
        <f t="shared" ref="BD619:BD621" si="3603">IF(ISERROR((BC619/AU619-1)*100),"NA",IF(((BC619/AU619-1)*100)&gt;100,"NM",IF(((BC619/AU619-1)*100)&lt;-50,"NM",(BC619/AU619-1)*100)))</f>
        <v>NA</v>
      </c>
      <c r="BE619" s="117">
        <f>BE334</f>
        <v>0</v>
      </c>
      <c r="BF619" s="98" t="str">
        <f t="shared" ref="BF619:BF628" si="3604">IF(ISERROR((BE619/AW619-1)*100),"NA",IF(((BE619/AW619-1)*100)&gt;100,"NM",IF(((BE619/AW619-1)*100)&lt;-50,"NM",(BE619/AW619-1)*100)))</f>
        <v>NA</v>
      </c>
      <c r="BG619" s="117">
        <f>BG334</f>
        <v>0</v>
      </c>
      <c r="BH619" s="98" t="str">
        <f t="shared" ref="BH619:BH621" si="3605">IF(ISERROR((BG619/AY619-1)*100),"NA",IF(((BG619/AY619-1)*100)&gt;100,"NM",IF(((BG619/AY619-1)*100)&lt;-50,"NM",(BG619/AY619-1)*100)))</f>
        <v>NA</v>
      </c>
      <c r="BI619" s="117">
        <f>BI334</f>
        <v>0</v>
      </c>
      <c r="BJ619" s="98" t="str">
        <f t="shared" ref="BJ619:BJ621" si="3606">IF(ISERROR((BI619/BA619-1)*100),"NA",IF(((BI619/BA619-1)*100)&gt;100,"NM",IF(((BI619/BA619-1)*100)&lt;-50,"NM",(BI619/BA619-1)*100)))</f>
        <v>NA</v>
      </c>
      <c r="BK619" s="117">
        <f>BK334</f>
        <v>0</v>
      </c>
      <c r="BL619" s="98" t="str">
        <f t="shared" ref="BL619:BL621" si="3607">IF(ISERROR((BK619/BC619-1)*100),"NA",IF(((BK619/BC619-1)*100)&gt;100,"NM",IF(((BK619/BC619-1)*100)&lt;-50,"NM",(BK619/BC619-1)*100)))</f>
        <v>NA</v>
      </c>
      <c r="BM619" s="117">
        <f>BM334</f>
        <v>0</v>
      </c>
      <c r="BN619" s="98" t="str">
        <f t="shared" ref="BN619:BN628" si="3608">IF(ISERROR((BM619/BE619-1)*100),"NA",IF(((BM619/BE619-1)*100)&gt;100,"NM",IF(((BM619/BE619-1)*100)&lt;-50,"NM",(BM619/BE619-1)*100)))</f>
        <v>NA</v>
      </c>
      <c r="BO619" s="117">
        <f>BO334</f>
        <v>0</v>
      </c>
      <c r="BP619" s="98" t="str">
        <f t="shared" ref="BP619:BP621" si="3609">IF(ISERROR((BO619/BG619-1)*100),"NA",IF(((BO619/BG619-1)*100)&gt;100,"NM",IF(((BO619/BG619-1)*100)&lt;-50,"NM",(BO619/BG619-1)*100)))</f>
        <v>NA</v>
      </c>
      <c r="BQ619" s="117">
        <f>BQ334</f>
        <v>0</v>
      </c>
      <c r="BR619" s="98" t="str">
        <f t="shared" ref="BR619:BR621" si="3610">IF(ISERROR((BQ619/BI619-1)*100),"NA",IF(((BQ619/BI619-1)*100)&gt;100,"NM",IF(((BQ619/BI619-1)*100)&lt;-50,"NM",(BQ619/BI619-1)*100)))</f>
        <v>NA</v>
      </c>
      <c r="BS619" s="117">
        <f>BS334</f>
        <v>0</v>
      </c>
      <c r="BT619" s="98" t="str">
        <f t="shared" ref="BT619:BT621" si="3611">IF(ISERROR((BS619/BK619-1)*100),"NA",IF(((BS619/BK619-1)*100)&gt;100,"NM",IF(((BS619/BK619-1)*100)&lt;-50,"NM",(BS619/BK619-1)*100)))</f>
        <v>NA</v>
      </c>
      <c r="BU619" s="117">
        <f>BU334</f>
        <v>0</v>
      </c>
      <c r="BV619" s="98" t="str">
        <f t="shared" ref="BV619:BV628" si="3612">IF(ISERROR((BU619/BM619-1)*100),"NA",IF(((BU619/BM619-1)*100)&gt;100,"NM",IF(((BU619/BM619-1)*100)&lt;-50,"NM",(BU619/BM619-1)*100)))</f>
        <v>NA</v>
      </c>
      <c r="BW619" s="117">
        <f>BW334</f>
        <v>0</v>
      </c>
      <c r="BX619" s="98" t="str">
        <f t="shared" ref="BX619:BX621" si="3613">IF(ISERROR((BW619/BO619-1)*100),"NA",IF(((BW619/BO619-1)*100)&gt;100,"NM",IF(((BW619/BO619-1)*100)&lt;-50,"NM",(BW619/BO619-1)*100)))</f>
        <v>NA</v>
      </c>
      <c r="BY619" s="117">
        <f>BY334</f>
        <v>0</v>
      </c>
      <c r="BZ619" s="98" t="str">
        <f t="shared" ref="BZ619:BZ621" si="3614">IF(ISERROR((BY619/BQ619-1)*100),"NA",IF(((BY619/BQ619-1)*100)&gt;100,"NM",IF(((BY619/BQ619-1)*100)&lt;-50,"NM",(BY619/BQ619-1)*100)))</f>
        <v>NA</v>
      </c>
      <c r="CA619" s="117">
        <f>CA334</f>
        <v>0</v>
      </c>
      <c r="CB619" s="98" t="str">
        <f t="shared" ref="CB619:CB621" si="3615">IF(ISERROR((CA619/BS619-1)*100),"NA",IF(((CA619/BS619-1)*100)&gt;100,"NM",IF(((CA619/BS619-1)*100)&lt;-50,"NM",(CA619/BS619-1)*100)))</f>
        <v>NA</v>
      </c>
      <c r="CC619" s="117">
        <f>CC334</f>
        <v>0</v>
      </c>
      <c r="CD619" s="98" t="str">
        <f t="shared" si="3568"/>
        <v>NA</v>
      </c>
      <c r="CE619" s="117">
        <f>CE334</f>
        <v>0</v>
      </c>
      <c r="CF619" s="98" t="str">
        <f t="shared" si="3569"/>
        <v>NA</v>
      </c>
      <c r="CG619" s="117">
        <f>CG334</f>
        <v>0</v>
      </c>
      <c r="CH619" s="98" t="str">
        <f t="shared" ref="CH619:CH628" si="3616">IF(ISERROR((CG619/BY619-1)*100),"NA",IF(((CG619/BY619-1)*100)&gt;100,"NM",IF(((CG619/BY619-1)*100)&lt;-50,"NM",(CG619/BY619-1)*100)))</f>
        <v>NA</v>
      </c>
      <c r="CI619" s="117">
        <f>CI334</f>
        <v>0</v>
      </c>
      <c r="CJ619" s="98" t="str">
        <f t="shared" ref="CJ619:CJ628" si="3617">IF(ISERROR((CI619/CA619-1)*100),"NA",IF(((CI619/CA619-1)*100)&gt;100,"NM",IF(((CI619/CA619-1)*100)&lt;-50,"NM",(CI619/CA619-1)*100)))</f>
        <v>NA</v>
      </c>
      <c r="CK619" s="117">
        <f>CK334</f>
        <v>0</v>
      </c>
      <c r="CL619" s="98" t="str">
        <f t="shared" si="3570"/>
        <v>NA</v>
      </c>
      <c r="CM619" s="117">
        <f>CM334</f>
        <v>121</v>
      </c>
      <c r="CN619" s="98" t="str">
        <f t="shared" si="3571"/>
        <v>NA</v>
      </c>
      <c r="CO619" s="117">
        <f>CO334</f>
        <v>129</v>
      </c>
      <c r="CP619" s="98" t="str">
        <f t="shared" si="3572"/>
        <v>NA</v>
      </c>
      <c r="CQ619" s="486">
        <f>CQ334</f>
        <v>141</v>
      </c>
      <c r="CR619" s="98" t="str">
        <f t="shared" si="3573"/>
        <v>NA</v>
      </c>
      <c r="CS619" s="117">
        <f>CS334</f>
        <v>123</v>
      </c>
      <c r="CT619" s="574" t="str">
        <f t="shared" si="3574"/>
        <v>NA</v>
      </c>
      <c r="CU619" s="117">
        <f>CU334</f>
        <v>148</v>
      </c>
      <c r="CV619" s="574">
        <f t="shared" si="3575"/>
        <v>22.314049586776854</v>
      </c>
      <c r="CW619" s="117">
        <f>CW334</f>
        <v>135</v>
      </c>
      <c r="CX619" s="574">
        <f t="shared" si="3576"/>
        <v>4.6511627906976827</v>
      </c>
      <c r="CY619" s="117">
        <f>CY334</f>
        <v>152</v>
      </c>
      <c r="CZ619" s="574">
        <f t="shared" si="3577"/>
        <v>7.8014184397163122</v>
      </c>
      <c r="DA619" s="117">
        <f>DA334</f>
        <v>148</v>
      </c>
      <c r="DB619" s="574">
        <f t="shared" si="3578"/>
        <v>20.32520325203253</v>
      </c>
      <c r="DC619" s="117">
        <f>DC334</f>
        <v>143</v>
      </c>
      <c r="DD619" s="574">
        <f t="shared" si="3579"/>
        <v>-3.3783783783783772</v>
      </c>
      <c r="DE619" s="117">
        <f>DE334</f>
        <v>125</v>
      </c>
      <c r="DF619" s="574">
        <f t="shared" si="3580"/>
        <v>-7.4074074074074066</v>
      </c>
      <c r="DG619" s="117">
        <f>DG334</f>
        <v>133</v>
      </c>
      <c r="DH619" s="574">
        <f t="shared" si="3581"/>
        <v>-12.5</v>
      </c>
      <c r="DI619" s="117">
        <f>DI334</f>
        <v>173</v>
      </c>
      <c r="DJ619" s="98">
        <f t="shared" si="3582"/>
        <v>16.891891891891888</v>
      </c>
      <c r="DK619" s="117">
        <f>DK334</f>
        <v>158</v>
      </c>
      <c r="DL619" s="98">
        <f t="shared" si="3583"/>
        <v>10.489510489510479</v>
      </c>
      <c r="DM619" s="117">
        <f>DM334</f>
        <v>136</v>
      </c>
      <c r="DN619" s="98">
        <f t="shared" si="3584"/>
        <v>8.8000000000000078</v>
      </c>
      <c r="DO619" s="117">
        <f>DO334</f>
        <v>122</v>
      </c>
      <c r="DP619" s="98">
        <f t="shared" si="3585"/>
        <v>-8.270676691729328</v>
      </c>
      <c r="DQ619" s="117">
        <f>DQ334</f>
        <v>152</v>
      </c>
      <c r="DR619" s="98">
        <f t="shared" si="3586"/>
        <v>-12.138728323699421</v>
      </c>
      <c r="DS619" s="117">
        <f>DS334</f>
        <v>149</v>
      </c>
      <c r="DT619" s="98">
        <f t="shared" si="3587"/>
        <v>-5.6962025316455662</v>
      </c>
      <c r="DU619" s="117">
        <f>DU334</f>
        <v>136</v>
      </c>
      <c r="DV619" s="98">
        <f t="shared" si="3588"/>
        <v>0</v>
      </c>
      <c r="DW619" s="117">
        <f>DW334</f>
        <v>183</v>
      </c>
      <c r="DX619" s="98">
        <f t="shared" si="3589"/>
        <v>50</v>
      </c>
      <c r="DY619" s="117">
        <f>DY334</f>
        <v>157</v>
      </c>
      <c r="DZ619" s="98">
        <f t="shared" si="3590"/>
        <v>3.289473684210531</v>
      </c>
      <c r="EA619" s="117">
        <f>EA334</f>
        <v>151</v>
      </c>
      <c r="EB619" s="98">
        <f t="shared" si="3591"/>
        <v>1.3422818791946289</v>
      </c>
      <c r="EC619" s="117">
        <f>EC334</f>
        <v>137</v>
      </c>
      <c r="ED619" s="98">
        <f t="shared" si="3592"/>
        <v>0.73529411764705621</v>
      </c>
      <c r="EE619" s="117">
        <f>EE334</f>
        <v>133</v>
      </c>
      <c r="EF619" s="860">
        <f t="shared" si="3593"/>
        <v>-27.322404371584696</v>
      </c>
      <c r="EG619" s="117">
        <f>EG334</f>
        <v>122</v>
      </c>
      <c r="EH619" s="860">
        <f t="shared" si="3594"/>
        <v>-22.292993630573243</v>
      </c>
      <c r="EI619" s="117">
        <f>EI334</f>
        <v>143</v>
      </c>
      <c r="EJ619" s="860">
        <f t="shared" ref="EJ619:EJ628" si="3618">IF(ISERROR((EI619/EA619-1)*100),"NA",IF(((EI619/EA619-1)*100)&gt;100,"NM",IF(((EI619/EA619-1)*100)&lt;-50,"NM",(EI619/EA619-1)*100)))</f>
        <v>-5.2980132450331174</v>
      </c>
      <c r="EK619" s="117">
        <f>EK334</f>
        <v>154</v>
      </c>
      <c r="EL619" s="860">
        <f t="shared" ref="EL619:EL628" si="3619">IF(ISERROR((EK619/EC619-1)*100),"NA",IF(((EK619/EC619-1)*100)&gt;100,"NM",IF(((EK619/EC619-1)*100)&lt;-50,"NM",(EK619/EC619-1)*100)))</f>
        <v>12.408759124087588</v>
      </c>
      <c r="EM619" s="117">
        <f>EM334</f>
        <v>163</v>
      </c>
      <c r="EN619" s="860">
        <f t="shared" ref="EN619:EN628" si="3620">IF(ISERROR((EM619/EE619-1)*100),"NA",IF(((EM619/EE619-1)*100)&gt;100,"NM",IF(((EM619/EE619-1)*100)&lt;-50,"NM",(EM619/EE619-1)*100)))</f>
        <v>22.55639097744362</v>
      </c>
      <c r="EO619" s="117">
        <f>EO334</f>
        <v>125</v>
      </c>
      <c r="EP619" s="98">
        <f t="shared" ref="EP619:EP628" si="3621">IF(ISERROR((EO619/EG619-1)*100),"NA",IF(((EO619/EG619-1)*100)&gt;100,"NM",IF(((EO619/EG619-1)*100)&lt;-50,"NM",(EO619/EG619-1)*100)))</f>
        <v>2.4590163934426146</v>
      </c>
      <c r="EQ619" s="1031">
        <f>EQ334</f>
        <v>159.10263766067317</v>
      </c>
      <c r="ER619" s="98">
        <f t="shared" ref="ER619:ER622" si="3622">IF(ISERROR((EQ619/EI619-1)*100),"NA",IF(((EQ619/EI619-1)*100)&gt;100,"NM",IF(((EQ619/EI619-1)*100)&lt;-50,"NM",(EQ619/EI619-1)*100)))</f>
        <v>11.260585776694532</v>
      </c>
      <c r="ES619" s="1031">
        <f>ES334</f>
        <v>164.13026821766746</v>
      </c>
      <c r="ET619" s="98">
        <f t="shared" si="3595"/>
        <v>6.5780962452386182</v>
      </c>
      <c r="EU619" s="1031">
        <f>EU334</f>
        <v>173.16550235113667</v>
      </c>
      <c r="EV619" s="98">
        <f t="shared" si="3596"/>
        <v>6.2365045098997873</v>
      </c>
      <c r="EW619" s="1031">
        <f>EW334</f>
        <v>142.64583127978617</v>
      </c>
      <c r="EX619" s="98">
        <f t="shared" si="3597"/>
        <v>14.116665023828933</v>
      </c>
      <c r="EY619" s="117"/>
      <c r="EZ619" s="594"/>
      <c r="FA619" s="410"/>
      <c r="FB619" s="325"/>
      <c r="FC619" s="224"/>
      <c r="FD619" s="117"/>
      <c r="FE619" s="98"/>
      <c r="FF619" s="117"/>
      <c r="FG619" s="98"/>
      <c r="FH619" s="117"/>
      <c r="FI619" s="98"/>
      <c r="FJ619" s="117"/>
      <c r="FK619" s="98"/>
      <c r="FL619" s="117"/>
      <c r="FM619" s="98"/>
      <c r="FN619" s="117"/>
      <c r="FO619" s="98"/>
      <c r="FP619" s="117"/>
      <c r="FQ619" s="98"/>
      <c r="FR619" s="117">
        <f>FR334</f>
        <v>0</v>
      </c>
      <c r="FS619" s="98" t="str">
        <f>IF(ISERROR((FR619/FP619-1)*100),"NA",IF(((FR619/FP619-1)*100)&gt;100,"NM",IF(((FR619/FP619-1)*100)&lt;-50,"NM",(FR619/FP619-1)*100)))</f>
        <v>NA</v>
      </c>
      <c r="FT619" s="117">
        <f>FT334</f>
        <v>0</v>
      </c>
      <c r="FU619" s="98" t="str">
        <f>IF(ISERROR((FT619/FR619-1)*100),"NA",IF(((FT619/FR619-1)*100)&gt;100,"NM",IF(((FT619/FR619-1)*100)&lt;-50,"NM",(FT619/FR619-1)*100)))</f>
        <v>NA</v>
      </c>
      <c r="FV619" s="117">
        <f>FV334</f>
        <v>0</v>
      </c>
      <c r="FW619" s="98" t="str">
        <f>IF(ISERROR((FV619/FT619-1)*100),"NA",IF(((FV619/FT619-1)*100)&gt;100,"NM",IF(((FV619/FT619-1)*100)&lt;-50,"NM",(FV619/FT619-1)*100)))</f>
        <v>NA</v>
      </c>
      <c r="FX619" s="486">
        <f>FX334</f>
        <v>0</v>
      </c>
      <c r="FY619" s="98" t="str">
        <f>IF(ISERROR((FX619/FV619-1)*100),"NA",IF(((FX619/FV619-1)*100)&gt;100,"NM",IF(((FX619/FV619-1)*100)&lt;-50,"NM",(FX619/FV619-1)*100)))</f>
        <v>NA</v>
      </c>
      <c r="FZ619" s="117">
        <f>FZ334</f>
        <v>0</v>
      </c>
      <c r="GA619" s="98" t="str">
        <f>IF(ISERROR((FZ619/FX619-1)*100),"NA",IF(((FZ619/FX619-1)*100)&gt;100,"NM",IF(((FZ619/FX619-1)*100)&lt;-50,"NM",(FZ619/FX619-1)*100)))</f>
        <v>NA</v>
      </c>
      <c r="GB619" s="486">
        <f>GB334</f>
        <v>514</v>
      </c>
      <c r="GC619" s="98" t="str">
        <f>IF(ISERROR((GB619/FZ619-1)*100),"NA",IF(((GB619/FZ619-1)*100)&gt;100,"NM",IF(((GB619/FZ619-1)*100)&lt;-50,"NM",(GB619/FZ619-1)*100)))</f>
        <v>NA</v>
      </c>
      <c r="GD619" s="117">
        <f>GD334</f>
        <v>583</v>
      </c>
      <c r="GE619" s="98">
        <f>IF(ISERROR((GD619/GB619-1)*100),"NA",IF(((GD619/GB619-1)*100)&gt;100,"NM",IF(((GD619/GB619-1)*100)&lt;-50,"NM",(GD619/GB619-1)*100)))</f>
        <v>13.424124513618674</v>
      </c>
      <c r="GF619" s="117">
        <f>GF334</f>
        <v>574</v>
      </c>
      <c r="GG619" s="98">
        <f>IF(ISERROR((GF619/GD619-1)*100),"NA",IF(((GF619/GD619-1)*100)&gt;100,"NM",IF(((GF619/GD619-1)*100)&lt;-50,"NM",(GF619/GD619-1)*100)))</f>
        <v>-1.5437392795883409</v>
      </c>
      <c r="GH619" s="117">
        <f>GH334</f>
        <v>568</v>
      </c>
      <c r="GI619" s="98">
        <f>IF(ISERROR((GH619/GF619-1)*100),"NA",IF(((GH619/GF619-1)*100)&gt;100,"NM",IF(((GH619/GF619-1)*100)&lt;-50,"NM",(GH619/GF619-1)*100)))</f>
        <v>-1.0452961672473893</v>
      </c>
      <c r="GJ619" s="117">
        <f>GJ334</f>
        <v>625</v>
      </c>
      <c r="GK619" s="98">
        <f>IF(ISERROR((GJ619/GH619-1)*100),"NA",IF(((GJ619/GH619-1)*100)&gt;100,"NM",IF(((GJ619/GH619-1)*100)&lt;-50,"NM",(GJ619/GH619-1)*100)))</f>
        <v>10.035211267605625</v>
      </c>
      <c r="GL619" s="117">
        <f>GL334</f>
        <v>543</v>
      </c>
      <c r="GM619" s="98">
        <f>IF(ISERROR((GL619/GJ619-1)*100),"NA",IF(((GL619/GJ619-1)*100)&gt;100,"NM",IF(((GL619/GJ619-1)*100)&lt;-50,"NM",(GL619/GJ619-1)*100)))</f>
        <v>-13.119999999999997</v>
      </c>
      <c r="GN619" s="118">
        <f t="shared" si="3598"/>
        <v>585</v>
      </c>
      <c r="GO619" s="98">
        <f>IF(ISERROR((GN619/GL619-1)*100),"NA",IF(((GN619/GL619-1)*100)&gt;100,"NM",IF(((GN619/GL619-1)*100)&lt;-50,"NM",(GN619/GL619-1)*100)))</f>
        <v>7.7348066298342566</v>
      </c>
      <c r="GP619" s="118">
        <f t="shared" si="3599"/>
        <v>639.04423950926343</v>
      </c>
      <c r="GQ619" s="98">
        <f>IF(ISERROR((GP619/GN619-1)*100),"NA",IF(((GP619/GN619-1)*100)&gt;100,"NM",IF(((GP619/GN619-1)*100)&lt;-50,"NM",(GP619/GN619-1)*100)))</f>
        <v>9.2383315400450314</v>
      </c>
      <c r="GR619" s="117">
        <f>GR334</f>
        <v>690.08185539965496</v>
      </c>
      <c r="GS619" s="98">
        <f>IF(ISERROR((GR619/GP619-1)*100),"NA",IF(((GR619/GP619-1)*100)&gt;100,"NM",IF(((GR619/GP619-1)*100)&lt;-50,"NM",(GR619/GP619-1)*100)))</f>
        <v>7.9865544096891394</v>
      </c>
      <c r="GT619" s="117">
        <f>GT334</f>
        <v>731.48676672363342</v>
      </c>
      <c r="GU619" s="98">
        <f>IF(ISERROR((GT619/GR619-1)*100),"NA",IF(((GT619/GR619-1)*100)&gt;100,"NM",IF(((GT619/GR619-1)*100)&lt;-50,"NM",(GT619/GR619-1)*100)))</f>
        <v>5.9999999999998721</v>
      </c>
      <c r="GV619" s="117">
        <f>GV334</f>
        <v>775.37597272705182</v>
      </c>
      <c r="GW619" s="98">
        <f>IF(ISERROR((GV619/GT619-1)*100),"NA",IF(((GV619/GT619-1)*100)&gt;100,"NM",IF(((GV619/GT619-1)*100)&lt;-50,"NM",(GV619/GT619-1)*100)))</f>
        <v>6.0000000000000497</v>
      </c>
      <c r="GX619" s="117">
        <f>GX334</f>
        <v>807.38310811694055</v>
      </c>
      <c r="GY619" s="98">
        <f>IF(ISERROR((GX619/GV619-1)*100),"NA",IF(((GX619/GV619-1)*100)&gt;100,"NM",IF(((GX619/GV619-1)*100)&lt;-50,"NM",(GX619/GV619-1)*100)))</f>
        <v>4.1279503770689896</v>
      </c>
      <c r="GZ619" s="98">
        <f t="shared" si="3600"/>
        <v>6.6558690041239155</v>
      </c>
      <c r="HA619" s="98"/>
      <c r="HB619" s="10"/>
      <c r="HC619"/>
      <c r="HD619"/>
      <c r="HE619"/>
      <c r="HF619"/>
      <c r="HG619"/>
      <c r="HH619"/>
      <c r="HI619" s="10"/>
    </row>
    <row r="620" spans="2:217" s="2" customFormat="1" ht="12.75" customHeight="1" x14ac:dyDescent="0.2">
      <c r="B620" s="18" t="s">
        <v>223</v>
      </c>
      <c r="C620" s="117"/>
      <c r="D620" s="98"/>
      <c r="E620" s="117"/>
      <c r="F620" s="98"/>
      <c r="G620" s="117"/>
      <c r="H620" s="98"/>
      <c r="I620" s="117"/>
      <c r="J620" s="98"/>
      <c r="K620" s="117"/>
      <c r="L620" s="98"/>
      <c r="M620" s="117"/>
      <c r="N620" s="98"/>
      <c r="O620" s="117"/>
      <c r="P620" s="98"/>
      <c r="Q620" s="117"/>
      <c r="R620" s="98"/>
      <c r="S620" s="117"/>
      <c r="T620" s="98"/>
      <c r="U620" s="117"/>
      <c r="V620" s="98"/>
      <c r="W620" s="117"/>
      <c r="X620" s="98"/>
      <c r="Y620" s="117"/>
      <c r="Z620" s="98"/>
      <c r="AA620" s="117"/>
      <c r="AB620" s="98"/>
      <c r="AC620" s="117"/>
      <c r="AD620" s="98"/>
      <c r="AE620" s="117"/>
      <c r="AF620" s="98"/>
      <c r="AG620" s="117"/>
      <c r="AH620" s="98"/>
      <c r="AI620" s="117"/>
      <c r="AJ620" s="98"/>
      <c r="AK620" s="117"/>
      <c r="AL620" s="98"/>
      <c r="AM620" s="117"/>
      <c r="AN620" s="98"/>
      <c r="AO620" s="117"/>
      <c r="AP620" s="98"/>
      <c r="AQ620" s="117"/>
      <c r="AR620" s="98"/>
      <c r="AS620" s="117"/>
      <c r="AT620" s="98"/>
      <c r="AU620" s="117"/>
      <c r="AV620" s="98"/>
      <c r="AW620" s="117"/>
      <c r="AX620" s="98"/>
      <c r="AY620" s="117">
        <f>+AY370</f>
        <v>76</v>
      </c>
      <c r="AZ620" s="98" t="str">
        <f t="shared" si="3601"/>
        <v>NA</v>
      </c>
      <c r="BA620" s="117">
        <f>+BA370</f>
        <v>64</v>
      </c>
      <c r="BB620" s="98" t="str">
        <f t="shared" si="3602"/>
        <v>NA</v>
      </c>
      <c r="BC620" s="117">
        <f>+BC370</f>
        <v>72</v>
      </c>
      <c r="BD620" s="98" t="str">
        <f t="shared" si="3603"/>
        <v>NA</v>
      </c>
      <c r="BE620" s="117">
        <f>+BE370</f>
        <v>16</v>
      </c>
      <c r="BF620" s="98" t="str">
        <f t="shared" si="3604"/>
        <v>NA</v>
      </c>
      <c r="BG620" s="117">
        <f>+BG370</f>
        <v>124</v>
      </c>
      <c r="BH620" s="98">
        <f t="shared" si="3605"/>
        <v>63.157894736842103</v>
      </c>
      <c r="BI620" s="117">
        <f>+BI370</f>
        <v>117</v>
      </c>
      <c r="BJ620" s="98">
        <f t="shared" si="3606"/>
        <v>82.8125</v>
      </c>
      <c r="BK620" s="117">
        <f>+BK370</f>
        <v>134</v>
      </c>
      <c r="BL620" s="98">
        <f t="shared" si="3607"/>
        <v>86.111111111111114</v>
      </c>
      <c r="BM620" s="117">
        <f>+BM370</f>
        <v>193</v>
      </c>
      <c r="BN620" s="98" t="str">
        <f t="shared" si="3608"/>
        <v>NM</v>
      </c>
      <c r="BO620" s="117">
        <f>+BO370</f>
        <v>136</v>
      </c>
      <c r="BP620" s="98">
        <f t="shared" si="3609"/>
        <v>9.6774193548387011</v>
      </c>
      <c r="BQ620" s="117">
        <f>+BQ370</f>
        <v>147</v>
      </c>
      <c r="BR620" s="98">
        <f t="shared" si="3610"/>
        <v>25.641025641025639</v>
      </c>
      <c r="BS620" s="117">
        <f>+BS370</f>
        <v>144</v>
      </c>
      <c r="BT620" s="98">
        <f t="shared" si="3611"/>
        <v>7.4626865671641784</v>
      </c>
      <c r="BU620" s="117">
        <f>+BU370</f>
        <v>78</v>
      </c>
      <c r="BV620" s="98" t="str">
        <f t="shared" si="3612"/>
        <v>NM</v>
      </c>
      <c r="BW620" s="117">
        <f>+BW370</f>
        <v>131</v>
      </c>
      <c r="BX620" s="98">
        <f t="shared" si="3613"/>
        <v>-3.6764705882352922</v>
      </c>
      <c r="BY620" s="117">
        <f>+BY370</f>
        <v>158</v>
      </c>
      <c r="BZ620" s="98">
        <f t="shared" si="3614"/>
        <v>7.4829931972789199</v>
      </c>
      <c r="CA620" s="117">
        <f>+CA370</f>
        <v>153</v>
      </c>
      <c r="CB620" s="98">
        <f t="shared" si="3615"/>
        <v>6.25</v>
      </c>
      <c r="CC620" s="117">
        <f>+CC370</f>
        <v>21</v>
      </c>
      <c r="CD620" s="98" t="str">
        <f t="shared" si="3568"/>
        <v>NM</v>
      </c>
      <c r="CE620" s="117">
        <f>+CE370</f>
        <v>147</v>
      </c>
      <c r="CF620" s="98">
        <f t="shared" si="3569"/>
        <v>12.213740458015266</v>
      </c>
      <c r="CG620" s="117">
        <f>+CG370</f>
        <v>142</v>
      </c>
      <c r="CH620" s="98">
        <f t="shared" si="3616"/>
        <v>-10.126582278481012</v>
      </c>
      <c r="CI620" s="117">
        <f>+CI370</f>
        <v>189</v>
      </c>
      <c r="CJ620" s="98">
        <f t="shared" si="3617"/>
        <v>23.529411764705888</v>
      </c>
      <c r="CK620" s="117">
        <f>+CK370</f>
        <v>208</v>
      </c>
      <c r="CL620" s="98" t="str">
        <f t="shared" si="3570"/>
        <v>NM</v>
      </c>
      <c r="CM620" s="117">
        <f>+CM370</f>
        <v>79</v>
      </c>
      <c r="CN620" s="98">
        <f t="shared" si="3571"/>
        <v>-46.258503401360542</v>
      </c>
      <c r="CO620" s="117">
        <f>+CO370</f>
        <v>64</v>
      </c>
      <c r="CP620" s="98" t="str">
        <f t="shared" si="3572"/>
        <v>NM</v>
      </c>
      <c r="CQ620" s="486">
        <f>+CQ370</f>
        <v>65</v>
      </c>
      <c r="CR620" s="98" t="str">
        <f t="shared" si="3573"/>
        <v>NM</v>
      </c>
      <c r="CS620" s="117">
        <f>+CS370</f>
        <v>47</v>
      </c>
      <c r="CT620" s="574" t="str">
        <f t="shared" si="3574"/>
        <v>NM</v>
      </c>
      <c r="CU620" s="117">
        <f>+CU370</f>
        <v>72</v>
      </c>
      <c r="CV620" s="574">
        <f t="shared" si="3575"/>
        <v>-8.8607594936708889</v>
      </c>
      <c r="CW620" s="117">
        <f>+CW370</f>
        <v>78</v>
      </c>
      <c r="CX620" s="574">
        <f t="shared" si="3576"/>
        <v>21.875</v>
      </c>
      <c r="CY620" s="117">
        <f>+CY370</f>
        <v>62</v>
      </c>
      <c r="CZ620" s="574">
        <f t="shared" si="3577"/>
        <v>-4.6153846153846096</v>
      </c>
      <c r="DA620" s="117">
        <f>+DA370</f>
        <v>59</v>
      </c>
      <c r="DB620" s="574">
        <f t="shared" si="3578"/>
        <v>25.531914893617014</v>
      </c>
      <c r="DC620" s="117">
        <f>+DC370</f>
        <v>87</v>
      </c>
      <c r="DD620" s="574">
        <f t="shared" si="3579"/>
        <v>20.833333333333325</v>
      </c>
      <c r="DE620" s="117">
        <f>+DE370</f>
        <v>68</v>
      </c>
      <c r="DF620" s="574">
        <f t="shared" si="3580"/>
        <v>-12.820512820512819</v>
      </c>
      <c r="DG620" s="117">
        <f>+DG370</f>
        <v>85</v>
      </c>
      <c r="DH620" s="574">
        <f t="shared" si="3581"/>
        <v>37.096774193548377</v>
      </c>
      <c r="DI620" s="117">
        <f>+DI370</f>
        <v>89</v>
      </c>
      <c r="DJ620" s="98">
        <f t="shared" si="3582"/>
        <v>50.847457627118644</v>
      </c>
      <c r="DK620" s="117">
        <f>+DK370</f>
        <v>71</v>
      </c>
      <c r="DL620" s="98">
        <f t="shared" si="3583"/>
        <v>-18.390804597701148</v>
      </c>
      <c r="DM620" s="117">
        <f>+DM370</f>
        <v>72</v>
      </c>
      <c r="DN620" s="98">
        <f t="shared" si="3584"/>
        <v>5.8823529411764719</v>
      </c>
      <c r="DO620" s="117">
        <f>+DO370</f>
        <v>78</v>
      </c>
      <c r="DP620" s="98">
        <f t="shared" si="3585"/>
        <v>-8.2352941176470633</v>
      </c>
      <c r="DQ620" s="117">
        <f>+DQ370</f>
        <v>64</v>
      </c>
      <c r="DR620" s="98">
        <f t="shared" si="3586"/>
        <v>-28.08988764044944</v>
      </c>
      <c r="DS620" s="117">
        <f>+DS370</f>
        <v>70</v>
      </c>
      <c r="DT620" s="98">
        <f t="shared" si="3587"/>
        <v>-1.4084507042253502</v>
      </c>
      <c r="DU620" s="117">
        <f>+DU370</f>
        <v>50</v>
      </c>
      <c r="DV620" s="98">
        <f t="shared" si="3588"/>
        <v>-30.555555555555557</v>
      </c>
      <c r="DW620" s="117">
        <f>+DW370</f>
        <v>66</v>
      </c>
      <c r="DX620" s="98">
        <f t="shared" si="3589"/>
        <v>-15.384615384615385</v>
      </c>
      <c r="DY620" s="117">
        <f>+DY370</f>
        <v>54</v>
      </c>
      <c r="DZ620" s="98">
        <f t="shared" si="3590"/>
        <v>-15.625</v>
      </c>
      <c r="EA620" s="117">
        <f>+EA370</f>
        <v>63</v>
      </c>
      <c r="EB620" s="98">
        <f t="shared" si="3591"/>
        <v>-9.9999999999999982</v>
      </c>
      <c r="EC620" s="117">
        <f>+EC370</f>
        <v>64</v>
      </c>
      <c r="ED620" s="98">
        <f t="shared" si="3592"/>
        <v>28.000000000000004</v>
      </c>
      <c r="EE620" s="117">
        <f>+EE370</f>
        <v>74</v>
      </c>
      <c r="EF620" s="860">
        <f t="shared" si="3593"/>
        <v>12.12121212121211</v>
      </c>
      <c r="EG620" s="117">
        <f>+EG370</f>
        <v>72</v>
      </c>
      <c r="EH620" s="860">
        <f t="shared" si="3594"/>
        <v>33.333333333333329</v>
      </c>
      <c r="EI620" s="117">
        <f>+EI370</f>
        <v>75</v>
      </c>
      <c r="EJ620" s="860">
        <f t="shared" si="3618"/>
        <v>19.047619047619047</v>
      </c>
      <c r="EK620" s="117">
        <f>+EK370</f>
        <v>72</v>
      </c>
      <c r="EL620" s="860">
        <f t="shared" si="3619"/>
        <v>12.5</v>
      </c>
      <c r="EM620" s="117">
        <f>+EM370</f>
        <v>71</v>
      </c>
      <c r="EN620" s="860">
        <f t="shared" si="3620"/>
        <v>-4.0540540540540571</v>
      </c>
      <c r="EO620" s="117">
        <f>+EO370</f>
        <v>79</v>
      </c>
      <c r="EP620" s="98">
        <f t="shared" si="3621"/>
        <v>9.7222222222222321</v>
      </c>
      <c r="EQ620" s="1031">
        <f>+EQ370</f>
        <v>77.266012000000003</v>
      </c>
      <c r="ER620" s="98">
        <f t="shared" si="3622"/>
        <v>3.0213493333333341</v>
      </c>
      <c r="ES620" s="1031">
        <f>+ES370</f>
        <v>78.475265740000012</v>
      </c>
      <c r="ET620" s="98">
        <f t="shared" si="3595"/>
        <v>8.9934246388889036</v>
      </c>
      <c r="EU620" s="1031">
        <f>+EU370</f>
        <v>79.703663557300032</v>
      </c>
      <c r="EV620" s="98">
        <f t="shared" si="3596"/>
        <v>12.258681066619758</v>
      </c>
      <c r="EW620" s="1031">
        <f>+EW370</f>
        <v>80.951512718483372</v>
      </c>
      <c r="EX620" s="98">
        <f t="shared" si="3597"/>
        <v>2.4702692639029911</v>
      </c>
      <c r="EY620" s="117"/>
      <c r="EZ620" s="594"/>
      <c r="FA620" s="410"/>
      <c r="FB620" s="325"/>
      <c r="FC620" s="224"/>
      <c r="FD620" s="117"/>
      <c r="FE620" s="98"/>
      <c r="FF620" s="117"/>
      <c r="FG620" s="98"/>
      <c r="FH620" s="117"/>
      <c r="FI620" s="98"/>
      <c r="FJ620" s="117"/>
      <c r="FK620" s="98"/>
      <c r="FL620" s="117"/>
      <c r="FM620" s="98"/>
      <c r="FN620" s="117"/>
      <c r="FO620" s="98"/>
      <c r="FP620" s="117"/>
      <c r="FQ620" s="98"/>
      <c r="FR620" s="117">
        <f>+FR370</f>
        <v>228</v>
      </c>
      <c r="FS620" s="98" t="str">
        <f t="shared" ref="FS620:FS625" si="3623">IF(ISERROR((FR620/FP620-1)*100),"NA",IF(((FR620/FP620-1)*100)&gt;100,"NM",IF(((FR620/FP620-1)*100)&lt;-50,"NM",(FR620/FP620-1)*100)))</f>
        <v>NA</v>
      </c>
      <c r="FT620" s="117">
        <f>+FT370</f>
        <v>568</v>
      </c>
      <c r="FU620" s="98" t="str">
        <f t="shared" ref="FU620:FU625" si="3624">IF(ISERROR((FT620/FR620-1)*100),"NA",IF(((FT620/FR620-1)*100)&gt;100,"NM",IF(((FT620/FR620-1)*100)&lt;-50,"NM",(FT620/FR620-1)*100)))</f>
        <v>NM</v>
      </c>
      <c r="FV620" s="117">
        <f>+FV370</f>
        <v>479</v>
      </c>
      <c r="FW620" s="98">
        <f t="shared" ref="FW620:FY628" si="3625">IF(ISERROR((FV620/FT620-1)*100),"NA",IF(((FV620/FT620-1)*100)&gt;100,"NM",IF(((FV620/FT620-1)*100)&lt;-50,"NM",(FV620/FT620-1)*100)))</f>
        <v>-15.669014084507038</v>
      </c>
      <c r="FX620" s="486">
        <f>+FX370</f>
        <v>463</v>
      </c>
      <c r="FY620" s="98">
        <f t="shared" si="3625"/>
        <v>-3.3402922755741082</v>
      </c>
      <c r="FZ620" s="117">
        <f>+FZ370</f>
        <v>686</v>
      </c>
      <c r="GA620" s="98">
        <f t="shared" ref="GA620:GA628" si="3626">IF(ISERROR((FZ620/FX620-1)*100),"NA",IF(((FZ620/FX620-1)*100)&gt;100,"NM",IF(((FZ620/FX620-1)*100)&lt;-50,"NM",(FZ620/FX620-1)*100)))</f>
        <v>48.164146868250548</v>
      </c>
      <c r="GB620" s="486">
        <f>+GB370</f>
        <v>251</v>
      </c>
      <c r="GC620" s="98" t="str">
        <f t="shared" ref="GC620:GC628" si="3627">IF(ISERROR((GB620/FZ620-1)*100),"NA",IF(((GB620/FZ620-1)*100)&gt;100,"NM",IF(((GB620/FZ620-1)*100)&lt;-50,"NM",(GB620/FZ620-1)*100)))</f>
        <v>NM</v>
      </c>
      <c r="GD620" s="117">
        <f>+GD370</f>
        <v>271</v>
      </c>
      <c r="GE620" s="98">
        <f t="shared" ref="GE620:GW628" si="3628">IF(ISERROR((GD620/GB620-1)*100),"NA",IF(((GD620/GB620-1)*100)&gt;100,"NM",IF(((GD620/GB620-1)*100)&lt;-50,"NM",(GD620/GB620-1)*100)))</f>
        <v>7.9681274900398336</v>
      </c>
      <c r="GF620" s="117">
        <f>+GF370</f>
        <v>329</v>
      </c>
      <c r="GG620" s="98">
        <f t="shared" si="3628"/>
        <v>21.402214022140221</v>
      </c>
      <c r="GH620" s="117">
        <f>+GH370</f>
        <v>285</v>
      </c>
      <c r="GI620" s="98">
        <f t="shared" si="3628"/>
        <v>-13.373860182370823</v>
      </c>
      <c r="GJ620" s="117">
        <f>+GJ370</f>
        <v>240</v>
      </c>
      <c r="GK620" s="98">
        <f t="shared" si="3628"/>
        <v>-15.789473684210531</v>
      </c>
      <c r="GL620" s="117">
        <f>+GL370</f>
        <v>273</v>
      </c>
      <c r="GM620" s="98">
        <f t="shared" si="3628"/>
        <v>13.749999999999996</v>
      </c>
      <c r="GN620" s="118">
        <f t="shared" si="3598"/>
        <v>297</v>
      </c>
      <c r="GO620" s="98">
        <f t="shared" si="3628"/>
        <v>8.7912087912087813</v>
      </c>
      <c r="GP620" s="118">
        <f t="shared" si="3599"/>
        <v>316.39645401578343</v>
      </c>
      <c r="GQ620" s="98">
        <f t="shared" si="3628"/>
        <v>6.5307925979068759</v>
      </c>
      <c r="GR620" s="117">
        <f>+GR370</f>
        <v>369.42719461907711</v>
      </c>
      <c r="GS620" s="98">
        <f t="shared" si="3628"/>
        <v>16.760851751090811</v>
      </c>
      <c r="GT620" s="117">
        <f>+GT370</f>
        <v>402.67564213479449</v>
      </c>
      <c r="GU620" s="98">
        <f t="shared" si="3628"/>
        <v>9.000000000000119</v>
      </c>
      <c r="GV620" s="117">
        <f>+GV370</f>
        <v>438.91644992692551</v>
      </c>
      <c r="GW620" s="98">
        <f t="shared" si="3628"/>
        <v>8.9999999999998757</v>
      </c>
      <c r="GX620" s="117">
        <f>+GX370</f>
        <v>451.52328848730298</v>
      </c>
      <c r="GY620" s="98">
        <f t="shared" ref="GY620:GY622" si="3629">IF(ISERROR((GX620/GV620-1)*100),"NA",IF(((GX620/GV620-1)*100)&gt;100,"NM",IF(((GX620/GV620-1)*100)&lt;-50,"NM",(GX620/GV620-1)*100)))</f>
        <v>2.8722638585262361</v>
      </c>
      <c r="GZ620" s="98">
        <f t="shared" si="3600"/>
        <v>8.7388513709953699</v>
      </c>
      <c r="HA620" s="98"/>
      <c r="HB620" s="10"/>
      <c r="HC620"/>
      <c r="HD620"/>
      <c r="HE620"/>
      <c r="HF620"/>
      <c r="HG620"/>
      <c r="HH620"/>
      <c r="HI620" s="10"/>
    </row>
    <row r="621" spans="2:217" s="5" customFormat="1" ht="12.75" customHeight="1" x14ac:dyDescent="0.2">
      <c r="B621" s="19" t="s">
        <v>299</v>
      </c>
      <c r="C621" s="182"/>
      <c r="D621" s="98"/>
      <c r="E621" s="182"/>
      <c r="F621" s="98"/>
      <c r="G621" s="182"/>
      <c r="H621" s="98"/>
      <c r="I621" s="182"/>
      <c r="J621" s="98"/>
      <c r="K621" s="182"/>
      <c r="L621" s="98"/>
      <c r="M621" s="182"/>
      <c r="N621" s="98"/>
      <c r="O621" s="182"/>
      <c r="P621" s="98"/>
      <c r="Q621" s="182"/>
      <c r="R621" s="98"/>
      <c r="S621" s="182"/>
      <c r="T621" s="98"/>
      <c r="U621" s="182"/>
      <c r="V621" s="98"/>
      <c r="W621" s="182"/>
      <c r="X621" s="98"/>
      <c r="Y621" s="182"/>
      <c r="Z621" s="98"/>
      <c r="AA621" s="182"/>
      <c r="AB621" s="98"/>
      <c r="AC621" s="182"/>
      <c r="AD621" s="98"/>
      <c r="AE621" s="182"/>
      <c r="AF621" s="98"/>
      <c r="AG621" s="182"/>
      <c r="AH621" s="98"/>
      <c r="AI621" s="182"/>
      <c r="AJ621" s="98"/>
      <c r="AK621" s="182"/>
      <c r="AL621" s="98"/>
      <c r="AM621" s="182"/>
      <c r="AN621" s="98"/>
      <c r="AO621" s="182"/>
      <c r="AP621" s="98"/>
      <c r="AQ621" s="182"/>
      <c r="AR621" s="98"/>
      <c r="AS621" s="182"/>
      <c r="AT621" s="98"/>
      <c r="AU621" s="182"/>
      <c r="AV621" s="98"/>
      <c r="AW621" s="182"/>
      <c r="AX621" s="98"/>
      <c r="AY621" s="182">
        <f>+AY618+AY620</f>
        <v>76</v>
      </c>
      <c r="AZ621" s="98" t="str">
        <f t="shared" si="3601"/>
        <v>NA</v>
      </c>
      <c r="BA621" s="182">
        <f>+BA618+BA620</f>
        <v>64</v>
      </c>
      <c r="BB621" s="98" t="str">
        <f t="shared" si="3602"/>
        <v>NA</v>
      </c>
      <c r="BC621" s="182">
        <f>+BC618+BC620</f>
        <v>72</v>
      </c>
      <c r="BD621" s="98" t="str">
        <f t="shared" si="3603"/>
        <v>NA</v>
      </c>
      <c r="BE621" s="182">
        <f>+BE618+BE620</f>
        <v>16</v>
      </c>
      <c r="BF621" s="98" t="str">
        <f t="shared" si="3604"/>
        <v>NA</v>
      </c>
      <c r="BG621" s="182">
        <f>+BG618+BG620</f>
        <v>124</v>
      </c>
      <c r="BH621" s="98">
        <f t="shared" si="3605"/>
        <v>63.157894736842103</v>
      </c>
      <c r="BI621" s="182">
        <f>+BI618+BI620</f>
        <v>117</v>
      </c>
      <c r="BJ621" s="98">
        <f t="shared" si="3606"/>
        <v>82.8125</v>
      </c>
      <c r="BK621" s="182">
        <f>+BK618+BK620</f>
        <v>134</v>
      </c>
      <c r="BL621" s="98">
        <f t="shared" si="3607"/>
        <v>86.111111111111114</v>
      </c>
      <c r="BM621" s="182">
        <f>+BM618+BM620</f>
        <v>193</v>
      </c>
      <c r="BN621" s="98" t="str">
        <f t="shared" si="3608"/>
        <v>NM</v>
      </c>
      <c r="BO621" s="182">
        <f>+BO618+BO620</f>
        <v>136</v>
      </c>
      <c r="BP621" s="98">
        <f t="shared" si="3609"/>
        <v>9.6774193548387011</v>
      </c>
      <c r="BQ621" s="182">
        <f>+BQ618+BQ620</f>
        <v>147</v>
      </c>
      <c r="BR621" s="98">
        <f t="shared" si="3610"/>
        <v>25.641025641025639</v>
      </c>
      <c r="BS621" s="182">
        <f>+BS618+BS620</f>
        <v>144</v>
      </c>
      <c r="BT621" s="98">
        <f t="shared" si="3611"/>
        <v>7.4626865671641784</v>
      </c>
      <c r="BU621" s="182">
        <f>+BU618+BU620</f>
        <v>78</v>
      </c>
      <c r="BV621" s="98" t="str">
        <f t="shared" si="3612"/>
        <v>NM</v>
      </c>
      <c r="BW621" s="182">
        <f>+BW618+BW620</f>
        <v>131</v>
      </c>
      <c r="BX621" s="98">
        <f t="shared" si="3613"/>
        <v>-3.6764705882352922</v>
      </c>
      <c r="BY621" s="182">
        <f>+BY618+BY620</f>
        <v>158</v>
      </c>
      <c r="BZ621" s="98">
        <f t="shared" si="3614"/>
        <v>7.4829931972789199</v>
      </c>
      <c r="CA621" s="182">
        <f>+CA618+CA620</f>
        <v>153</v>
      </c>
      <c r="CB621" s="98">
        <f t="shared" si="3615"/>
        <v>6.25</v>
      </c>
      <c r="CC621" s="182">
        <f>+CC618+CC620</f>
        <v>21</v>
      </c>
      <c r="CD621" s="98" t="str">
        <f t="shared" si="3568"/>
        <v>NM</v>
      </c>
      <c r="CE621" s="182">
        <f>+CE618+CE620</f>
        <v>147</v>
      </c>
      <c r="CF621" s="98">
        <f t="shared" si="3569"/>
        <v>12.213740458015266</v>
      </c>
      <c r="CG621" s="182">
        <f>+CG618+CG620</f>
        <v>142</v>
      </c>
      <c r="CH621" s="98">
        <f t="shared" si="3616"/>
        <v>-10.126582278481012</v>
      </c>
      <c r="CI621" s="182">
        <f>+CI618+CI620</f>
        <v>189</v>
      </c>
      <c r="CJ621" s="98">
        <f t="shared" si="3617"/>
        <v>23.529411764705888</v>
      </c>
      <c r="CK621" s="182">
        <f>+CK618+CK620</f>
        <v>302</v>
      </c>
      <c r="CL621" s="98" t="str">
        <f t="shared" si="3570"/>
        <v>NM</v>
      </c>
      <c r="CM621" s="182">
        <f>+CM618+CM620+CM619</f>
        <v>424</v>
      </c>
      <c r="CN621" s="98" t="str">
        <f t="shared" si="3571"/>
        <v>NM</v>
      </c>
      <c r="CO621" s="182">
        <f>+CO618+CO620+CO619</f>
        <v>364</v>
      </c>
      <c r="CP621" s="98" t="str">
        <f t="shared" si="3572"/>
        <v>NM</v>
      </c>
      <c r="CQ621" s="512">
        <f>+CQ618+CQ620+CQ619</f>
        <v>428</v>
      </c>
      <c r="CR621" s="98" t="str">
        <f t="shared" si="3573"/>
        <v>NM</v>
      </c>
      <c r="CS621" s="182">
        <f>+CS618+CS620+CS619</f>
        <v>429</v>
      </c>
      <c r="CT621" s="574">
        <f t="shared" si="3574"/>
        <v>42.052980132450337</v>
      </c>
      <c r="CU621" s="182">
        <f>+CU618+CU620+CU619</f>
        <v>521</v>
      </c>
      <c r="CV621" s="574">
        <f t="shared" si="3575"/>
        <v>22.877358490566046</v>
      </c>
      <c r="CW621" s="182">
        <f>+CW618+CW620+CW619</f>
        <v>492</v>
      </c>
      <c r="CX621" s="574">
        <f t="shared" si="3576"/>
        <v>35.164835164835175</v>
      </c>
      <c r="CY621" s="182">
        <f>+CY618+CY620+CY619</f>
        <v>473</v>
      </c>
      <c r="CZ621" s="574">
        <f t="shared" si="3577"/>
        <v>10.514018691588788</v>
      </c>
      <c r="DA621" s="182">
        <f>+DA618+DA620+DA619</f>
        <v>405</v>
      </c>
      <c r="DB621" s="574">
        <f t="shared" si="3578"/>
        <v>-5.5944055944055933</v>
      </c>
      <c r="DC621" s="182">
        <f>+DC618+DC620+DC619</f>
        <v>563</v>
      </c>
      <c r="DD621" s="574">
        <f t="shared" si="3579"/>
        <v>8.0614203454894451</v>
      </c>
      <c r="DE621" s="182">
        <f>+DE618+DE620+DE619</f>
        <v>523</v>
      </c>
      <c r="DF621" s="574">
        <f t="shared" si="3580"/>
        <v>6.3008130081300795</v>
      </c>
      <c r="DG621" s="182">
        <f>+DG618+DG620+DG619</f>
        <v>475</v>
      </c>
      <c r="DH621" s="574">
        <f t="shared" si="3581"/>
        <v>0.42283298097252064</v>
      </c>
      <c r="DI621" s="182">
        <f>+DI618+DI620+DI619</f>
        <v>586</v>
      </c>
      <c r="DJ621" s="98">
        <f t="shared" si="3582"/>
        <v>44.691358024691354</v>
      </c>
      <c r="DK621" s="182">
        <f>+DK618+DK620+DK619</f>
        <v>562</v>
      </c>
      <c r="DL621" s="98">
        <f t="shared" si="3583"/>
        <v>-0.17761989342806039</v>
      </c>
      <c r="DM621" s="182">
        <f>+DM618+DM620+DM619</f>
        <v>532</v>
      </c>
      <c r="DN621" s="98">
        <f t="shared" si="3584"/>
        <v>1.7208413001912115</v>
      </c>
      <c r="DO621" s="182">
        <f>+DO618+DO620+DO619</f>
        <v>510</v>
      </c>
      <c r="DP621" s="98">
        <f t="shared" si="3585"/>
        <v>7.3684210526315796</v>
      </c>
      <c r="DQ621" s="182">
        <f>+DQ618+DQ620+DQ619</f>
        <v>556</v>
      </c>
      <c r="DR621" s="98">
        <f t="shared" si="3586"/>
        <v>-5.1194539249146747</v>
      </c>
      <c r="DS621" s="182">
        <f>+DS618+DS620+DS619</f>
        <v>546</v>
      </c>
      <c r="DT621" s="98">
        <f t="shared" si="3587"/>
        <v>-2.8469750889679735</v>
      </c>
      <c r="DU621" s="182">
        <f>+DU618+DU620+DU619</f>
        <v>611</v>
      </c>
      <c r="DV621" s="98">
        <f t="shared" si="3588"/>
        <v>14.849624060150379</v>
      </c>
      <c r="DW621" s="182">
        <f>+DW618+DW620+DW619</f>
        <v>587</v>
      </c>
      <c r="DX621" s="98">
        <f t="shared" si="3589"/>
        <v>15.098039215686265</v>
      </c>
      <c r="DY621" s="182">
        <f>+DY618+DY620+DY619</f>
        <v>501</v>
      </c>
      <c r="DZ621" s="98">
        <f t="shared" si="3590"/>
        <v>-9.8920863309352569</v>
      </c>
      <c r="EA621" s="182">
        <f>+EA618+EA620+EA619</f>
        <v>519</v>
      </c>
      <c r="EB621" s="98">
        <f t="shared" si="3591"/>
        <v>-4.9450549450549497</v>
      </c>
      <c r="EC621" s="182">
        <f>+EC618+EC620+EC619</f>
        <v>460</v>
      </c>
      <c r="ED621" s="98">
        <f t="shared" si="3592"/>
        <v>-24.71358428805237</v>
      </c>
      <c r="EE621" s="182">
        <f>+EE618+EE620+EE619</f>
        <v>531</v>
      </c>
      <c r="EF621" s="860">
        <f t="shared" si="3593"/>
        <v>-9.5400340715502523</v>
      </c>
      <c r="EG621" s="182">
        <f>+EG618+EG620+EG619</f>
        <v>548</v>
      </c>
      <c r="EH621" s="860">
        <f t="shared" si="3594"/>
        <v>9.3812375249501034</v>
      </c>
      <c r="EI621" s="182">
        <f>+EI618+EI620+EI619</f>
        <v>513</v>
      </c>
      <c r="EJ621" s="860">
        <f t="shared" si="3618"/>
        <v>-1.1560693641618491</v>
      </c>
      <c r="EK621" s="182">
        <f>+EK618+EK620+EK619</f>
        <v>536</v>
      </c>
      <c r="EL621" s="860">
        <f t="shared" si="3619"/>
        <v>16.521739130434774</v>
      </c>
      <c r="EM621" s="182">
        <f>+EM618+EM620+EM619</f>
        <v>548</v>
      </c>
      <c r="EN621" s="860">
        <f t="shared" si="3620"/>
        <v>3.2015065913370888</v>
      </c>
      <c r="EO621" s="182">
        <f>+EO618+EO620+EO619</f>
        <v>514</v>
      </c>
      <c r="EP621" s="98">
        <f t="shared" si="3621"/>
        <v>-6.204379562043794</v>
      </c>
      <c r="EQ621" s="1021">
        <f>+EQ618+EQ620+EQ619</f>
        <v>562.23452986067332</v>
      </c>
      <c r="ER621" s="98">
        <f t="shared" si="3622"/>
        <v>9.5973742418466568</v>
      </c>
      <c r="ES621" s="1021">
        <f t="shared" ref="ES621" si="3630">+ES618+ES620+ES619</f>
        <v>574.1826418704178</v>
      </c>
      <c r="ET621" s="98">
        <f t="shared" si="3595"/>
        <v>7.1236272146301793</v>
      </c>
      <c r="EU621" s="1021">
        <f t="shared" ref="EU621" si="3631">+EU618+EU620+EU619</f>
        <v>590.26589220179437</v>
      </c>
      <c r="EV621" s="98">
        <f t="shared" si="3596"/>
        <v>7.7127540514223325</v>
      </c>
      <c r="EW621" s="1021">
        <f t="shared" ref="EW621" si="3632">+EW618+EW620+EW619</f>
        <v>563.93858717075705</v>
      </c>
      <c r="EX621" s="98">
        <f t="shared" si="3597"/>
        <v>9.7156784378904746</v>
      </c>
      <c r="EY621" s="182"/>
      <c r="EZ621" s="594"/>
      <c r="FA621" s="414"/>
      <c r="FB621" s="326"/>
      <c r="FC621" s="326"/>
      <c r="FD621" s="182"/>
      <c r="FE621" s="98"/>
      <c r="FF621" s="182"/>
      <c r="FG621" s="98"/>
      <c r="FH621" s="182"/>
      <c r="FI621" s="98"/>
      <c r="FJ621" s="182"/>
      <c r="FK621" s="98"/>
      <c r="FL621" s="182"/>
      <c r="FM621" s="98"/>
      <c r="FN621" s="182"/>
      <c r="FO621" s="98"/>
      <c r="FP621" s="182"/>
      <c r="FQ621" s="98"/>
      <c r="FR621" s="182">
        <f>+FR618+FR620</f>
        <v>228</v>
      </c>
      <c r="FS621" s="98" t="str">
        <f t="shared" si="3623"/>
        <v>NA</v>
      </c>
      <c r="FT621" s="182">
        <f>+FT618+FT620</f>
        <v>568</v>
      </c>
      <c r="FU621" s="98" t="str">
        <f t="shared" si="3624"/>
        <v>NM</v>
      </c>
      <c r="FV621" s="182">
        <f>+FV618+FV620</f>
        <v>479</v>
      </c>
      <c r="FW621" s="98">
        <f t="shared" si="3625"/>
        <v>-15.669014084507038</v>
      </c>
      <c r="FX621" s="512">
        <f>+FX618+FX620</f>
        <v>463</v>
      </c>
      <c r="FY621" s="98">
        <f t="shared" si="3625"/>
        <v>-3.3402922755741082</v>
      </c>
      <c r="FZ621" s="182">
        <f>+FZ618+FZ620+FZ619</f>
        <v>780</v>
      </c>
      <c r="GA621" s="98">
        <f t="shared" si="3626"/>
        <v>68.46652267818574</v>
      </c>
      <c r="GB621" s="512">
        <f>+GB618+GB620+GB619</f>
        <v>1645</v>
      </c>
      <c r="GC621" s="98" t="str">
        <f t="shared" si="3627"/>
        <v>NM</v>
      </c>
      <c r="GD621" s="182">
        <f>+GD618+GD620+GD619</f>
        <v>1891</v>
      </c>
      <c r="GE621" s="98">
        <f t="shared" si="3628"/>
        <v>14.954407294832816</v>
      </c>
      <c r="GF621" s="182">
        <f>+GF618+GF620+GF619</f>
        <v>2147</v>
      </c>
      <c r="GG621" s="98">
        <f t="shared" si="3628"/>
        <v>13.537810682178741</v>
      </c>
      <c r="GH621" s="182">
        <f>+GH618+GH620+GH619</f>
        <v>2160</v>
      </c>
      <c r="GI621" s="98">
        <f t="shared" si="3628"/>
        <v>0.60549604098742993</v>
      </c>
      <c r="GJ621" s="182">
        <f>+GJ618+GJ620+GJ619</f>
        <v>2245</v>
      </c>
      <c r="GK621" s="98">
        <f t="shared" si="3628"/>
        <v>3.935185185185186</v>
      </c>
      <c r="GL621" s="182">
        <f>+GL618+GL620+GL619</f>
        <v>2058</v>
      </c>
      <c r="GM621" s="98">
        <f t="shared" si="3628"/>
        <v>-8.32962138084633</v>
      </c>
      <c r="GN621" s="183">
        <f t="shared" si="3598"/>
        <v>2111</v>
      </c>
      <c r="GO621" s="98">
        <f t="shared" si="3628"/>
        <v>2.5753158406219612</v>
      </c>
      <c r="GP621" s="183">
        <f t="shared" si="3599"/>
        <v>2290.6216511036428</v>
      </c>
      <c r="GQ621" s="98">
        <f t="shared" si="3628"/>
        <v>8.5088418334269491</v>
      </c>
      <c r="GR621" s="182">
        <f>+GR618+GR620+GR619</f>
        <v>2482.6983155741063</v>
      </c>
      <c r="GS621" s="98">
        <f t="shared" si="3628"/>
        <v>8.3853509538740045</v>
      </c>
      <c r="GT621" s="182">
        <f>+GT618+GT620+GT619</f>
        <v>2628.5111376915734</v>
      </c>
      <c r="GU621" s="98">
        <f t="shared" si="3628"/>
        <v>5.8731591028509111</v>
      </c>
      <c r="GV621" s="182">
        <f>+GV618+GV620+GV619</f>
        <v>2792.3690914895033</v>
      </c>
      <c r="GW621" s="98">
        <f t="shared" si="3628"/>
        <v>6.2338694878741885</v>
      </c>
      <c r="GX621" s="182">
        <f>+GX618+GX620+GX619</f>
        <v>2908.3112180836388</v>
      </c>
      <c r="GY621" s="98">
        <f t="shared" si="3629"/>
        <v>4.1521060717761182</v>
      </c>
      <c r="GZ621" s="98">
        <f t="shared" si="3600"/>
        <v>6.617999388196405</v>
      </c>
      <c r="HA621" s="98"/>
      <c r="HB621" s="15"/>
      <c r="HC621"/>
      <c r="HD621"/>
      <c r="HE621"/>
      <c r="HF621"/>
      <c r="HG621"/>
      <c r="HH621"/>
      <c r="HI621" s="10"/>
    </row>
    <row r="622" spans="2:217" s="2" customFormat="1" ht="12.75" customHeight="1" x14ac:dyDescent="0.2">
      <c r="B622" s="18" t="s">
        <v>692</v>
      </c>
      <c r="C622" s="137"/>
      <c r="D622" s="98"/>
      <c r="E622" s="137"/>
      <c r="F622" s="98"/>
      <c r="G622" s="137"/>
      <c r="H622" s="98"/>
      <c r="I622" s="137"/>
      <c r="J622" s="98"/>
      <c r="K622" s="137"/>
      <c r="L622" s="98"/>
      <c r="M622" s="137"/>
      <c r="N622" s="98"/>
      <c r="O622" s="137"/>
      <c r="P622" s="98"/>
      <c r="Q622" s="137"/>
      <c r="R622" s="98"/>
      <c r="S622" s="137"/>
      <c r="T622" s="98"/>
      <c r="U622" s="137"/>
      <c r="V622" s="98"/>
      <c r="W622" s="137"/>
      <c r="X622" s="98"/>
      <c r="Y622" s="137"/>
      <c r="Z622" s="98"/>
      <c r="AA622" s="137"/>
      <c r="AB622" s="98"/>
      <c r="AC622" s="137"/>
      <c r="AD622" s="98"/>
      <c r="AE622" s="117"/>
      <c r="AF622" s="98"/>
      <c r="AG622" s="117"/>
      <c r="AH622" s="98"/>
      <c r="AI622" s="117"/>
      <c r="AJ622" s="98"/>
      <c r="AK622" s="117"/>
      <c r="AL622" s="98"/>
      <c r="AM622" s="117"/>
      <c r="AN622" s="98"/>
      <c r="AO622" s="117"/>
      <c r="AP622" s="98"/>
      <c r="AQ622" s="117"/>
      <c r="AR622" s="98"/>
      <c r="AS622" s="117"/>
      <c r="AT622" s="98"/>
      <c r="AU622" s="117"/>
      <c r="AV622" s="98"/>
      <c r="AW622" s="117"/>
      <c r="AX622" s="98"/>
      <c r="AY622" s="117"/>
      <c r="AZ622" s="98"/>
      <c r="BA622" s="117"/>
      <c r="BB622" s="98"/>
      <c r="BC622" s="117"/>
      <c r="BD622" s="98"/>
      <c r="BE622" s="117"/>
      <c r="BF622" s="98"/>
      <c r="BG622" s="117"/>
      <c r="BH622" s="98"/>
      <c r="BI622" s="117"/>
      <c r="BJ622" s="98"/>
      <c r="BK622" s="117"/>
      <c r="BL622" s="98"/>
      <c r="BM622" s="117"/>
      <c r="BN622" s="98"/>
      <c r="BO622" s="117"/>
      <c r="BP622" s="98"/>
      <c r="BQ622" s="117"/>
      <c r="BR622" s="98"/>
      <c r="BS622" s="117"/>
      <c r="BT622" s="98"/>
      <c r="BU622" s="117"/>
      <c r="BV622" s="98"/>
      <c r="BW622" s="117"/>
      <c r="BX622" s="98"/>
      <c r="BY622" s="117"/>
      <c r="BZ622" s="98"/>
      <c r="CA622" s="117"/>
      <c r="CB622" s="98"/>
      <c r="CC622" s="117"/>
      <c r="CD622" s="98"/>
      <c r="CE622" s="117"/>
      <c r="CF622" s="98"/>
      <c r="CG622" s="117"/>
      <c r="CH622" s="98"/>
      <c r="CI622" s="117"/>
      <c r="CJ622" s="98"/>
      <c r="CK622" s="117"/>
      <c r="CL622" s="98"/>
      <c r="CM622" s="117"/>
      <c r="CN622" s="98"/>
      <c r="CO622" s="117"/>
      <c r="CP622" s="98"/>
      <c r="CQ622" s="486"/>
      <c r="CR622" s="98"/>
      <c r="CS622" s="117"/>
      <c r="CT622" s="574"/>
      <c r="CU622" s="117"/>
      <c r="CV622" s="574"/>
      <c r="CW622" s="117"/>
      <c r="CX622" s="574"/>
      <c r="CY622" s="117"/>
      <c r="CZ622" s="574"/>
      <c r="DA622" s="117"/>
      <c r="DB622" s="574"/>
      <c r="DC622" s="117"/>
      <c r="DD622" s="574" t="str">
        <f t="shared" si="3579"/>
        <v>NA</v>
      </c>
      <c r="DE622" s="117"/>
      <c r="DF622" s="574" t="str">
        <f t="shared" si="3580"/>
        <v>NA</v>
      </c>
      <c r="DG622" s="117"/>
      <c r="DH622" s="574" t="str">
        <f t="shared" si="3581"/>
        <v>NA</v>
      </c>
      <c r="DI622" s="117"/>
      <c r="DJ622" s="98" t="str">
        <f t="shared" si="3582"/>
        <v>NA</v>
      </c>
      <c r="DK622" s="117"/>
      <c r="DL622" s="98" t="str">
        <f t="shared" si="3583"/>
        <v>NA</v>
      </c>
      <c r="DM622" s="117"/>
      <c r="DN622" s="98" t="str">
        <f t="shared" si="3584"/>
        <v>NA</v>
      </c>
      <c r="DO622" s="117"/>
      <c r="DP622" s="98" t="str">
        <f t="shared" si="3585"/>
        <v>NA</v>
      </c>
      <c r="DQ622" s="117"/>
      <c r="DR622" s="98" t="str">
        <f t="shared" si="3586"/>
        <v>NA</v>
      </c>
      <c r="DS622" s="117">
        <f>DS503</f>
        <v>361</v>
      </c>
      <c r="DT622" s="98" t="str">
        <f t="shared" si="3587"/>
        <v>NA</v>
      </c>
      <c r="DU622" s="117">
        <f>DU503</f>
        <v>373</v>
      </c>
      <c r="DV622" s="98" t="str">
        <f t="shared" si="3588"/>
        <v>NA</v>
      </c>
      <c r="DW622" s="117">
        <f>DW503</f>
        <v>243</v>
      </c>
      <c r="DX622" s="98" t="str">
        <f t="shared" si="3589"/>
        <v>NA</v>
      </c>
      <c r="DY622" s="117">
        <f>DY503</f>
        <v>265</v>
      </c>
      <c r="DZ622" s="98" t="str">
        <f t="shared" si="3590"/>
        <v>NA</v>
      </c>
      <c r="EA622" s="117">
        <f>EA503</f>
        <v>267</v>
      </c>
      <c r="EB622" s="98">
        <f t="shared" si="3591"/>
        <v>-26.038781163434898</v>
      </c>
      <c r="EC622" s="117">
        <f>EC503</f>
        <v>-33</v>
      </c>
      <c r="ED622" s="98" t="str">
        <f t="shared" si="3592"/>
        <v>NM</v>
      </c>
      <c r="EE622" s="117">
        <f>EE503</f>
        <v>266</v>
      </c>
      <c r="EF622" s="860">
        <f t="shared" si="3593"/>
        <v>9.4650205761316784</v>
      </c>
      <c r="EG622" s="117">
        <f>EG503</f>
        <v>201</v>
      </c>
      <c r="EH622" s="860">
        <f t="shared" si="3594"/>
        <v>-24.15094339622641</v>
      </c>
      <c r="EI622" s="117">
        <f>EI503</f>
        <v>387</v>
      </c>
      <c r="EJ622" s="860">
        <f t="shared" si="3618"/>
        <v>44.943820224719097</v>
      </c>
      <c r="EK622" s="117">
        <f>EK503</f>
        <v>237</v>
      </c>
      <c r="EL622" s="860" t="str">
        <f t="shared" si="3619"/>
        <v>NM</v>
      </c>
      <c r="EM622" s="117">
        <f>EM503</f>
        <v>364</v>
      </c>
      <c r="EN622" s="860">
        <f t="shared" si="3620"/>
        <v>36.842105263157897</v>
      </c>
      <c r="EO622" s="117">
        <f>EO503</f>
        <v>194</v>
      </c>
      <c r="EP622" s="98">
        <f t="shared" si="3621"/>
        <v>-3.4825870646766122</v>
      </c>
      <c r="EQ622" s="1031">
        <f>EQ503</f>
        <v>250.87201721991224</v>
      </c>
      <c r="ER622" s="98">
        <f t="shared" si="3622"/>
        <v>-35.175189348859895</v>
      </c>
      <c r="ES622" s="1031">
        <f>ES503</f>
        <v>246.55755393923096</v>
      </c>
      <c r="ET622" s="98">
        <f t="shared" si="3595"/>
        <v>4.0327231811100983</v>
      </c>
      <c r="EU622" s="1031">
        <f>EU503</f>
        <v>243.99584278790275</v>
      </c>
      <c r="EV622" s="98">
        <f t="shared" si="3596"/>
        <v>-32.968175058268478</v>
      </c>
      <c r="EW622" s="1031">
        <f>EW503</f>
        <v>240.85998423366195</v>
      </c>
      <c r="EX622" s="98">
        <f t="shared" si="3597"/>
        <v>24.154631048279352</v>
      </c>
      <c r="EY622" s="137"/>
      <c r="EZ622" s="594"/>
      <c r="FA622" s="411"/>
      <c r="FB622" s="242"/>
      <c r="FC622" s="242"/>
      <c r="FD622" s="117"/>
      <c r="FE622" s="98"/>
      <c r="FF622" s="117"/>
      <c r="FG622" s="98"/>
      <c r="FH622" s="117"/>
      <c r="FI622" s="98"/>
      <c r="FJ622" s="117"/>
      <c r="FK622" s="98"/>
      <c r="FL622" s="117"/>
      <c r="FM622" s="98"/>
      <c r="FN622" s="117"/>
      <c r="FO622" s="98"/>
      <c r="FP622" s="117"/>
      <c r="FQ622" s="98"/>
      <c r="FR622" s="117">
        <f>FR503</f>
        <v>854</v>
      </c>
      <c r="FS622" s="98" t="str">
        <f t="shared" si="3623"/>
        <v>NA</v>
      </c>
      <c r="FT622" s="117">
        <f>FT503</f>
        <v>901</v>
      </c>
      <c r="FU622" s="98">
        <f t="shared" si="3624"/>
        <v>5.5035128805620559</v>
      </c>
      <c r="FV622" s="117">
        <f>FV503</f>
        <v>193</v>
      </c>
      <c r="FW622" s="98" t="str">
        <f t="shared" si="3625"/>
        <v>NM</v>
      </c>
      <c r="FX622" s="117">
        <f>FX503</f>
        <v>341</v>
      </c>
      <c r="FY622" s="98">
        <f t="shared" si="3625"/>
        <v>76.683937823834199</v>
      </c>
      <c r="FZ622" s="117">
        <f>FZ503</f>
        <v>803</v>
      </c>
      <c r="GA622" s="98" t="str">
        <f t="shared" si="3626"/>
        <v>NM</v>
      </c>
      <c r="GB622" s="486">
        <v>0</v>
      </c>
      <c r="GC622" s="98" t="str">
        <f t="shared" si="3627"/>
        <v>NM</v>
      </c>
      <c r="GD622" s="117">
        <f>GD503</f>
        <v>1258</v>
      </c>
      <c r="GE622" s="98" t="str">
        <f t="shared" si="3628"/>
        <v>NA</v>
      </c>
      <c r="GF622" s="117">
        <f>GF503</f>
        <v>1535</v>
      </c>
      <c r="GG622" s="98">
        <f t="shared" si="3628"/>
        <v>22.019077901430851</v>
      </c>
      <c r="GH622" s="117">
        <f>GH503</f>
        <v>1597</v>
      </c>
      <c r="GI622" s="98">
        <f t="shared" si="3628"/>
        <v>4.0390879478827468</v>
      </c>
      <c r="GJ622" s="117">
        <f>GJ503</f>
        <v>1242</v>
      </c>
      <c r="GK622" s="98">
        <f t="shared" si="3628"/>
        <v>-22.229179711959922</v>
      </c>
      <c r="GL622" s="117">
        <f>GL503</f>
        <v>701</v>
      </c>
      <c r="GM622" s="98">
        <f t="shared" si="3628"/>
        <v>-43.558776167471827</v>
      </c>
      <c r="GN622" s="118">
        <f t="shared" si="3598"/>
        <v>1182</v>
      </c>
      <c r="GO622" s="98">
        <f t="shared" si="3628"/>
        <v>68.616262482168324</v>
      </c>
      <c r="GP622" s="118">
        <f t="shared" si="3599"/>
        <v>982.28539818070783</v>
      </c>
      <c r="GQ622" s="98">
        <f t="shared" si="3628"/>
        <v>-16.896328411107632</v>
      </c>
      <c r="GR622" s="117">
        <f>GR503</f>
        <v>891.9831797757048</v>
      </c>
      <c r="GS622" s="98">
        <f t="shared" si="3628"/>
        <v>-9.1930734766343729</v>
      </c>
      <c r="GT622" s="117">
        <f>GT503</f>
        <v>803.76256455266844</v>
      </c>
      <c r="GU622" s="98">
        <f t="shared" si="3628"/>
        <v>-9.8903900009885923</v>
      </c>
      <c r="GV622" s="117">
        <f>GV503</f>
        <v>722.75003292063093</v>
      </c>
      <c r="GW622" s="98">
        <f t="shared" si="3628"/>
        <v>-10.079162081543913</v>
      </c>
      <c r="GX622" s="117">
        <f>GX503</f>
        <v>637.06022112696644</v>
      </c>
      <c r="GY622" s="98">
        <f t="shared" si="3629"/>
        <v>-11.856078573582652</v>
      </c>
      <c r="GZ622" s="98">
        <f t="shared" si="3600"/>
        <v>-11.628423569603664</v>
      </c>
      <c r="HA622" s="98"/>
      <c r="HB622" s="10"/>
      <c r="HC622"/>
      <c r="HD622"/>
      <c r="HE622"/>
      <c r="HF622"/>
      <c r="HG622"/>
      <c r="HH622"/>
      <c r="HI622" s="10"/>
    </row>
    <row r="623" spans="2:217" s="210" customFormat="1" ht="12.75" customHeight="1" x14ac:dyDescent="0.2">
      <c r="B623" s="327" t="s">
        <v>117</v>
      </c>
      <c r="C623" s="117"/>
      <c r="D623" s="98"/>
      <c r="E623" s="117"/>
      <c r="F623" s="98"/>
      <c r="G623" s="117"/>
      <c r="H623" s="98"/>
      <c r="I623" s="117"/>
      <c r="J623" s="98"/>
      <c r="K623" s="117"/>
      <c r="L623" s="98"/>
      <c r="M623" s="117"/>
      <c r="N623" s="98"/>
      <c r="O623" s="117"/>
      <c r="P623" s="98"/>
      <c r="Q623" s="117"/>
      <c r="R623" s="98"/>
      <c r="S623" s="117"/>
      <c r="T623" s="98"/>
      <c r="U623" s="117"/>
      <c r="V623" s="98"/>
      <c r="W623" s="117"/>
      <c r="X623" s="98"/>
      <c r="Y623" s="117"/>
      <c r="Z623" s="98"/>
      <c r="AA623" s="117"/>
      <c r="AB623" s="98"/>
      <c r="AC623" s="117"/>
      <c r="AD623" s="98"/>
      <c r="AE623" s="117"/>
      <c r="AF623" s="98"/>
      <c r="AG623" s="117"/>
      <c r="AH623" s="98"/>
      <c r="AI623" s="117"/>
      <c r="AJ623" s="98"/>
      <c r="AK623" s="117"/>
      <c r="AL623" s="98"/>
      <c r="AM623" s="117"/>
      <c r="AN623" s="98"/>
      <c r="AO623" s="117"/>
      <c r="AP623" s="98"/>
      <c r="AQ623" s="117"/>
      <c r="AR623" s="98"/>
      <c r="AS623" s="117"/>
      <c r="AT623" s="98"/>
      <c r="AU623" s="117"/>
      <c r="AV623" s="98"/>
      <c r="AW623" s="117"/>
      <c r="AX623" s="98"/>
      <c r="AY623" s="117">
        <f>AY541</f>
        <v>9</v>
      </c>
      <c r="AZ623" s="98" t="str">
        <f>IF(ISERROR((AY623/AQ623-1)*100),"NA",IF(((AY623/AQ623-1)*100)&gt;100,"NM",IF(((AY623/AQ623-1)*100)&lt;-50,"NM",(AY623/AQ623-1)*100)))</f>
        <v>NA</v>
      </c>
      <c r="BA623" s="117">
        <f>BA541</f>
        <v>-14</v>
      </c>
      <c r="BB623" s="98" t="str">
        <f>IF(ISERROR((BA623/#REF!-1)*100),"NA",IF(((BA623/#REF!-1)*100)&gt;100,"NM",IF(((BA623/#REF!-1)*100)&lt;-50,"NM",(BA623/#REF!-1)*100)))</f>
        <v>NA</v>
      </c>
      <c r="BC623" s="117">
        <f>BC541</f>
        <v>-7</v>
      </c>
      <c r="BD623" s="98" t="str">
        <f>IF(ISERROR((BC623/#REF!-1)*100),"NA",IF(((BC623/#REF!-1)*100)&gt;100,"NM",IF(((BC623/#REF!-1)*100)&lt;-50,"NM",(BC623/#REF!-1)*100)))</f>
        <v>NA</v>
      </c>
      <c r="BE623" s="117">
        <f>BE541</f>
        <v>34</v>
      </c>
      <c r="BF623" s="98" t="str">
        <f>IF(ISERROR((BE623/AW623-1)*100),"NA",IF(((BE623/AW623-1)*100)&gt;100,"NM",IF(((BE623/AW623-1)*100)&lt;-50,"NM",(BE623/AW623-1)*100)))</f>
        <v>NA</v>
      </c>
      <c r="BG623" s="117">
        <f>BG541</f>
        <v>45</v>
      </c>
      <c r="BH623" s="98" t="str">
        <f>IF(ISERROR((BG623/#REF!-1)*100),"NA",IF(((BG623/#REF!-1)*100)&gt;100,"NM",IF(((BG623/#REF!-1)*100)&lt;-50,"NM",(BG623/#REF!-1)*100)))</f>
        <v>NA</v>
      </c>
      <c r="BI623" s="117">
        <f>BI541</f>
        <v>78</v>
      </c>
      <c r="BJ623" s="98" t="str">
        <f>IF(ISERROR((BI623/#REF!-1)*100),"NA",IF(((BI623/#REF!-1)*100)&gt;100,"NM",IF(((BI623/#REF!-1)*100)&lt;-50,"NM",(BI623/#REF!-1)*100)))</f>
        <v>NA</v>
      </c>
      <c r="BK623" s="117">
        <f>BK541</f>
        <v>45</v>
      </c>
      <c r="BL623" s="98" t="str">
        <f>IF(ISERROR((BK623/#REF!-1)*100),"NA",IF(((BK623/#REF!-1)*100)&gt;100,"NM",IF(((BK623/#REF!-1)*100)&lt;-50,"NM",(BK623/#REF!-1)*100)))</f>
        <v>NA</v>
      </c>
      <c r="BM623" s="117">
        <f>BM541</f>
        <v>-36</v>
      </c>
      <c r="BN623" s="98" t="str">
        <f>IF(ISERROR((BM623/BE623-1)*100),"NA",IF(((BM623/BE623-1)*100)&gt;100,"NM",IF(((BM623/BE623-1)*100)&lt;-50,"NM",(BM623/BE623-1)*100)))</f>
        <v>NM</v>
      </c>
      <c r="BO623" s="117">
        <f>BO541</f>
        <v>-23</v>
      </c>
      <c r="BP623" s="98" t="str">
        <f>IF(ISERROR((BO623/#REF!-1)*100),"NA",IF(((BO623/#REF!-1)*100)&gt;100,"NM",IF(((BO623/#REF!-1)*100)&lt;-50,"NM",(BO623/#REF!-1)*100)))</f>
        <v>NA</v>
      </c>
      <c r="BQ623" s="117">
        <f>BQ541</f>
        <v>-81</v>
      </c>
      <c r="BR623" s="98" t="str">
        <f>IF(ISERROR((BQ623/#REF!-1)*100),"NA",IF(((BQ623/#REF!-1)*100)&gt;100,"NM",IF(((BQ623/#REF!-1)*100)&lt;-50,"NM",(BQ623/#REF!-1)*100)))</f>
        <v>NA</v>
      </c>
      <c r="BS623" s="117">
        <f>BS541</f>
        <v>-220</v>
      </c>
      <c r="BT623" s="98" t="str">
        <f>IF(ISERROR((BS623/#REF!-1)*100),"NA",IF(((BS623/#REF!-1)*100)&gt;100,"NM",IF(((BS623/#REF!-1)*100)&lt;-50,"NM",(BS623/#REF!-1)*100)))</f>
        <v>NA</v>
      </c>
      <c r="BU623" s="117">
        <f>BU541</f>
        <v>-236</v>
      </c>
      <c r="BV623" s="98" t="str">
        <f>IF(ISERROR((BU623/BM623-1)*100),"NA",IF(((BU623/BM623-1)*100)&gt;100,"NM",IF(((BU623/BM623-1)*100)&lt;-50,"NM",(BU623/BM623-1)*100)))</f>
        <v>NM</v>
      </c>
      <c r="BW623" s="117">
        <f>BW541</f>
        <v>-255</v>
      </c>
      <c r="BX623" s="98" t="str">
        <f>IF(ISERROR((BW623/#REF!-1)*100),"NA",IF(((BW623/#REF!-1)*100)&gt;100,"NM",IF(((BW623/#REF!-1)*100)&lt;-50,"NM",(BW623/#REF!-1)*100)))</f>
        <v>NA</v>
      </c>
      <c r="BY623" s="117">
        <f>BY541</f>
        <v>-170</v>
      </c>
      <c r="BZ623" s="98" t="str">
        <f>IF(ISERROR((BY623/#REF!-1)*100),"NA",IF(((BY623/#REF!-1)*100)&gt;100,"NM",IF(((BY623/#REF!-1)*100)&lt;-50,"NM",(BY623/#REF!-1)*100)))</f>
        <v>NA</v>
      </c>
      <c r="CA623" s="117">
        <f>CA541</f>
        <v>-148</v>
      </c>
      <c r="CB623" s="98" t="str">
        <f>IF(ISERROR((CA623/#REF!-1)*100),"NA",IF(((CA623/#REF!-1)*100)&gt;100,"NM",IF(((CA623/#REF!-1)*100)&lt;-50,"NM",(CA623/#REF!-1)*100)))</f>
        <v>NA</v>
      </c>
      <c r="CC623" s="117">
        <f>CC541</f>
        <v>-175</v>
      </c>
      <c r="CD623" s="98">
        <f t="shared" si="3568"/>
        <v>-25.847457627118644</v>
      </c>
      <c r="CE623" s="117">
        <f>CE541</f>
        <v>-127</v>
      </c>
      <c r="CF623" s="98" t="str">
        <f t="shared" si="3569"/>
        <v>NM</v>
      </c>
      <c r="CG623" s="117">
        <f>CG541</f>
        <v>-108</v>
      </c>
      <c r="CH623" s="98">
        <f>IF(ISERROR((CG623/BY623-1)*100),"NA",IF(((CG623/BY623-1)*100)&gt;100,"NM",IF(((CG623/BY623-1)*100)&lt;-50,"NM",(CG623/BY623-1)*100)))</f>
        <v>-36.470588235294123</v>
      </c>
      <c r="CI623" s="117">
        <f>CI541</f>
        <v>-178</v>
      </c>
      <c r="CJ623" s="98">
        <f>IF(ISERROR((CI623/CA623-1)*100),"NA",IF(((CI623/CA623-1)*100)&gt;100,"NM",IF(((CI623/CA623-1)*100)&lt;-50,"NM",(CI623/CA623-1)*100)))</f>
        <v>20.270270270270263</v>
      </c>
      <c r="CK623" s="117">
        <f>CK541</f>
        <v>-2</v>
      </c>
      <c r="CL623" s="98" t="str">
        <f t="shared" si="3570"/>
        <v>NM</v>
      </c>
      <c r="CM623" s="117">
        <f>CM541</f>
        <v>-9</v>
      </c>
      <c r="CN623" s="98" t="str">
        <f t="shared" si="3571"/>
        <v>NM</v>
      </c>
      <c r="CO623" s="117">
        <f>CO541</f>
        <v>-43</v>
      </c>
      <c r="CP623" s="98" t="str">
        <f t="shared" si="3572"/>
        <v>NM</v>
      </c>
      <c r="CQ623" s="486">
        <f>CQ541</f>
        <v>-102</v>
      </c>
      <c r="CR623" s="98">
        <f t="shared" si="3573"/>
        <v>-42.696629213483149</v>
      </c>
      <c r="CS623" s="117">
        <f>CS541</f>
        <v>-95</v>
      </c>
      <c r="CT623" s="574" t="str">
        <f t="shared" si="3574"/>
        <v>NM</v>
      </c>
      <c r="CU623" s="117">
        <f>CU541</f>
        <v>-67</v>
      </c>
      <c r="CV623" s="574" t="str">
        <f t="shared" si="3575"/>
        <v>NM</v>
      </c>
      <c r="CW623" s="117">
        <f>CW541</f>
        <v>-53</v>
      </c>
      <c r="CX623" s="574">
        <f t="shared" si="3576"/>
        <v>23.255813953488371</v>
      </c>
      <c r="CY623" s="117">
        <f>CY541</f>
        <v>-134</v>
      </c>
      <c r="CZ623" s="574">
        <f t="shared" si="3577"/>
        <v>31.372549019607842</v>
      </c>
      <c r="DA623" s="117">
        <f>DA541</f>
        <v>-137</v>
      </c>
      <c r="DB623" s="574">
        <f t="shared" si="3578"/>
        <v>44.21052631578948</v>
      </c>
      <c r="DC623" s="117">
        <f>DC541</f>
        <v>-86</v>
      </c>
      <c r="DD623" s="574">
        <f t="shared" si="3579"/>
        <v>28.358208955223873</v>
      </c>
      <c r="DE623" s="117">
        <f>DE541</f>
        <v>-140</v>
      </c>
      <c r="DF623" s="574" t="str">
        <f t="shared" si="3580"/>
        <v>NM</v>
      </c>
      <c r="DG623" s="117">
        <f>DG541</f>
        <v>-163</v>
      </c>
      <c r="DH623" s="574">
        <f t="shared" si="3581"/>
        <v>21.641791044776127</v>
      </c>
      <c r="DI623" s="117">
        <f>DI541</f>
        <v>-278</v>
      </c>
      <c r="DJ623" s="98" t="str">
        <f t="shared" si="3582"/>
        <v>NM</v>
      </c>
      <c r="DK623" s="117">
        <f>DK541</f>
        <v>-166</v>
      </c>
      <c r="DL623" s="98">
        <f t="shared" si="3583"/>
        <v>93.023255813953497</v>
      </c>
      <c r="DM623" s="117">
        <f>DM541</f>
        <v>-191</v>
      </c>
      <c r="DN623" s="98">
        <f t="shared" si="3584"/>
        <v>36.428571428571431</v>
      </c>
      <c r="DO623" s="117">
        <f>DO541</f>
        <v>-106</v>
      </c>
      <c r="DP623" s="98">
        <f t="shared" si="3585"/>
        <v>-34.969325153374228</v>
      </c>
      <c r="DQ623" s="117">
        <f>DQ541</f>
        <v>-289</v>
      </c>
      <c r="DR623" s="98">
        <f t="shared" si="3586"/>
        <v>3.9568345323740983</v>
      </c>
      <c r="DS623" s="117">
        <f>DS541</f>
        <v>-151</v>
      </c>
      <c r="DT623" s="98">
        <f t="shared" si="3587"/>
        <v>-9.0361445783132552</v>
      </c>
      <c r="DU623" s="117">
        <f>DU541</f>
        <v>-176</v>
      </c>
      <c r="DV623" s="98">
        <f t="shared" si="3588"/>
        <v>-7.8534031413612588</v>
      </c>
      <c r="DW623" s="117">
        <f>DW541</f>
        <v>-983</v>
      </c>
      <c r="DX623" s="98" t="str">
        <f t="shared" si="3589"/>
        <v>NM</v>
      </c>
      <c r="DY623" s="117">
        <f>DY541</f>
        <v>-210</v>
      </c>
      <c r="DZ623" s="98">
        <f t="shared" si="3590"/>
        <v>-27.335640138408301</v>
      </c>
      <c r="EA623" s="117">
        <f>EA541</f>
        <v>-190</v>
      </c>
      <c r="EB623" s="98">
        <f t="shared" si="3591"/>
        <v>25.827814569536422</v>
      </c>
      <c r="EC623" s="117">
        <f>EC541</f>
        <v>-244</v>
      </c>
      <c r="ED623" s="98">
        <f t="shared" si="3592"/>
        <v>38.636363636363647</v>
      </c>
      <c r="EE623" s="117">
        <f>EE541</f>
        <v>6</v>
      </c>
      <c r="EF623" s="860" t="str">
        <f t="shared" si="3593"/>
        <v>NM</v>
      </c>
      <c r="EG623" s="117">
        <f>EG541</f>
        <v>-203</v>
      </c>
      <c r="EH623" s="860">
        <f t="shared" si="3594"/>
        <v>-3.3333333333333326</v>
      </c>
      <c r="EI623" s="117">
        <f>EI541</f>
        <v>-76</v>
      </c>
      <c r="EJ623" s="860" t="str">
        <f>IF(ISERROR((EI623/EA623-1)*100),"NA",IF(((EI623/EA623-1)*100)&gt;100,"NM",IF(((EI623/EA623-1)*100)&lt;-50,"NM",(EI623/EA623-1)*100)))</f>
        <v>NM</v>
      </c>
      <c r="EK623" s="117">
        <f>EK541</f>
        <v>-145</v>
      </c>
      <c r="EL623" s="860">
        <f>IF(ISERROR((EK623/EC623-1)*100),"NA",IF(((EK623/EC623-1)*100)&gt;100,"NM",IF(((EK623/EC623-1)*100)&lt;-50,"NM",(EK623/EC623-1)*100)))</f>
        <v>-40.573770491803273</v>
      </c>
      <c r="EM623" s="117">
        <f>EM541</f>
        <v>-336</v>
      </c>
      <c r="EN623" s="860" t="str">
        <f>IF(ISERROR((EM623/EE623-1)*100),"NA",IF(((EM623/EE623-1)*100)&gt;100,"NM",IF(((EM623/EE623-1)*100)&lt;-50,"NM",(EM623/EE623-1)*100)))</f>
        <v>NM</v>
      </c>
      <c r="EO623" s="117">
        <f>EO541</f>
        <v>-528</v>
      </c>
      <c r="EP623" s="98" t="str">
        <f>IF(ISERROR((EO623/EG623-1)*100),"NA",IF(((EO623/EG623-1)*100)&gt;100,"NM",IF(((EO623/EG623-1)*100)&lt;-50,"NM",(EO623/EG623-1)*100)))</f>
        <v>NM</v>
      </c>
      <c r="EQ623" s="1031">
        <f>EQ541</f>
        <v>-202.60850000000002</v>
      </c>
      <c r="ER623" s="98" t="str">
        <f>IF(ISERROR((EQ623/EI623-1)*100),"NA",IF(((EQ623/EI623-1)*100)&gt;100,"NM",IF(((EQ623/EI623-1)*100)&lt;-50,"NM",(EQ623/EI623-1)*100)))</f>
        <v>NM</v>
      </c>
      <c r="ES623" s="1031">
        <f t="shared" ref="ES623" si="3633">ES541</f>
        <v>-203.641785</v>
      </c>
      <c r="ET623" s="98">
        <f t="shared" si="3595"/>
        <v>40.442610344827592</v>
      </c>
      <c r="EU623" s="1031">
        <f t="shared" ref="EU623" si="3634">EU541</f>
        <v>-204.68540284999997</v>
      </c>
      <c r="EV623" s="98">
        <f t="shared" si="3596"/>
        <v>-39.081725342261905</v>
      </c>
      <c r="EW623" s="1031">
        <f t="shared" ref="EW623" si="3635">EW541</f>
        <v>-205.73945687849999</v>
      </c>
      <c r="EX623" s="98" t="str">
        <f t="shared" si="3597"/>
        <v>NM</v>
      </c>
      <c r="EY623" s="117"/>
      <c r="EZ623" s="594"/>
      <c r="FA623" s="409"/>
      <c r="FB623" s="328" t="s">
        <v>494</v>
      </c>
      <c r="FC623" s="328"/>
      <c r="FD623" s="117"/>
      <c r="FE623" s="98"/>
      <c r="FF623" s="117"/>
      <c r="FG623" s="98"/>
      <c r="FH623" s="117"/>
      <c r="FI623" s="98"/>
      <c r="FJ623" s="117"/>
      <c r="FK623" s="98"/>
      <c r="FL623" s="117"/>
      <c r="FM623" s="98"/>
      <c r="FN623" s="117"/>
      <c r="FO623" s="98"/>
      <c r="FP623" s="117"/>
      <c r="FQ623" s="98"/>
      <c r="FR623" s="117">
        <f>FR541</f>
        <v>22</v>
      </c>
      <c r="FS623" s="98" t="str">
        <f>IF(ISERROR((FR623/FP623-1)*100),"NA",IF(((FR623/FP623-1)*100)&gt;100,"NM",IF(((FR623/FP623-1)*100)&lt;-50,"NM",(FR623/FP623-1)*100)))</f>
        <v>NA</v>
      </c>
      <c r="FT623" s="117">
        <f>FT541</f>
        <v>132</v>
      </c>
      <c r="FU623" s="98" t="str">
        <f>IF(ISERROR((FT623/FR623-1)*100),"NA",IF(((FT623/FR623-1)*100)&gt;100,"NM",IF(((FT623/FR623-1)*100)&lt;-50,"NM",(FT623/FR623-1)*100)))</f>
        <v>NM</v>
      </c>
      <c r="FV623" s="117">
        <f>FV541</f>
        <v>-608</v>
      </c>
      <c r="FW623" s="98" t="str">
        <f>IF(ISERROR((FV623/FT623-1)*100),"NA",IF(((FV623/FT623-1)*100)&gt;100,"NM",IF(((FV623/FT623-1)*100)&lt;-50,"NM",(FV623/FT623-1)*100)))</f>
        <v>NM</v>
      </c>
      <c r="FX623" s="486">
        <f>FX541</f>
        <v>-748</v>
      </c>
      <c r="FY623" s="98">
        <f>IF(ISERROR((FX623/FV623-1)*100),"NA",IF(((FX623/FV623-1)*100)&gt;100,"NM",IF(((FX623/FV623-1)*100)&lt;-50,"NM",(FX623/FV623-1)*100)))</f>
        <v>23.026315789473696</v>
      </c>
      <c r="FZ623" s="117">
        <f>FZ541</f>
        <v>-415</v>
      </c>
      <c r="GA623" s="98">
        <f>IF(ISERROR((FZ623/FX623-1)*100),"NA",IF(((FZ623/FX623-1)*100)&gt;100,"NM",IF(((FZ623/FX623-1)*100)&lt;-50,"NM",(FZ623/FX623-1)*100)))</f>
        <v>-44.518716577540104</v>
      </c>
      <c r="GB623" s="486">
        <f>GB541</f>
        <v>-306</v>
      </c>
      <c r="GC623" s="98">
        <f>IF(ISERROR((GB623/FZ623-1)*100),"NA",IF(((GB623/FZ623-1)*100)&gt;100,"NM",IF(((GB623/FZ623-1)*100)&lt;-50,"NM",(GB623/FZ623-1)*100)))</f>
        <v>-26.265060240963855</v>
      </c>
      <c r="GD623" s="117">
        <f>GD541</f>
        <v>-391</v>
      </c>
      <c r="GE623" s="98">
        <f>IF(ISERROR((GD623/GB623-1)*100),"NA",IF(((GD623/GB623-1)*100)&gt;100,"NM",IF(((GD623/GB623-1)*100)&lt;-50,"NM",(GD623/GB623-1)*100)))</f>
        <v>27.777777777777768</v>
      </c>
      <c r="GF623" s="117">
        <f>GF541</f>
        <v>-667</v>
      </c>
      <c r="GG623" s="98">
        <f>IF(ISERROR((GF623/GD623-1)*100),"NA",IF(((GF623/GD623-1)*100)&gt;100,"NM",IF(((GF623/GD623-1)*100)&lt;-50,"NM",(GF623/GD623-1)*100)))</f>
        <v>70.588235294117638</v>
      </c>
      <c r="GH623" s="117">
        <f>GH541</f>
        <v>-752</v>
      </c>
      <c r="GI623" s="98">
        <f>IF(ISERROR((GH623/GF623-1)*100),"NA",IF(((GH623/GF623-1)*100)&gt;100,"NM",IF(((GH623/GF623-1)*100)&lt;-50,"NM",(GH623/GF623-1)*100)))</f>
        <v>12.743628185907042</v>
      </c>
      <c r="GJ623" s="117">
        <f>GJ541</f>
        <v>-1520</v>
      </c>
      <c r="GK623" s="98" t="str">
        <f>IF(ISERROR((GJ623/GH623-1)*100),"NA",IF(((GJ623/GH623-1)*100)&gt;100,"NM",IF(((GJ623/GH623-1)*100)&lt;-50,"NM",(GJ623/GH623-1)*100)))</f>
        <v>NM</v>
      </c>
      <c r="GL623" s="117">
        <f>GL541</f>
        <v>-631</v>
      </c>
      <c r="GM623" s="98" t="str">
        <f>IF(ISERROR((GL623/GJ623-1)*100),"NA",IF(((GL623/GJ623-1)*100)&gt;100,"NM",IF(((GL623/GJ623-1)*100)&lt;-50,"NM",(GL623/GJ623-1)*100)))</f>
        <v>NM</v>
      </c>
      <c r="GN623" s="118">
        <f t="shared" si="3598"/>
        <v>-1085</v>
      </c>
      <c r="GO623" s="98">
        <f>IF(ISERROR((GN623/GL623-1)*100),"NA",IF(((GN623/GL623-1)*100)&gt;100,"NM",IF(((GN623/GL623-1)*100)&lt;-50,"NM",(GN623/GL623-1)*100)))</f>
        <v>71.949286846275754</v>
      </c>
      <c r="GP623" s="118">
        <f t="shared" si="3599"/>
        <v>-816.67514472850007</v>
      </c>
      <c r="GQ623" s="98">
        <f>IF(ISERROR((GP623/GN623-1)*100),"NA",IF(((GP623/GN623-1)*100)&gt;100,"NM",IF(((GP623/GN623-1)*100)&lt;-50,"NM",(GP623/GN623-1)*100)))</f>
        <v>-24.730401407511515</v>
      </c>
      <c r="GR623" s="117">
        <f>GR541</f>
        <v>-817.4698606120719</v>
      </c>
      <c r="GS623" s="98">
        <f>IF(ISERROR((GR623/GP623-1)*100),"NA",IF(((GR623/GP623-1)*100)&gt;100,"NM",IF(((GR623/GP623-1)*100)&lt;-50,"NM",(GR623/GP623-1)*100)))</f>
        <v>9.7311138792655072E-2</v>
      </c>
      <c r="GT623" s="117">
        <f>GT541</f>
        <v>-733.9362878157126</v>
      </c>
      <c r="GU623" s="98">
        <f>IF(ISERROR((GT623/GR623-1)*100),"NA",IF(((GT623/GR623-1)*100)&gt;100,"NM",IF(((GT623/GR623-1)*100)&lt;-50,"NM",(GT623/GR623-1)*100)))</f>
        <v>-10.218550777372315</v>
      </c>
      <c r="GV623" s="117">
        <f>GV541</f>
        <v>-720.48130331143943</v>
      </c>
      <c r="GW623" s="98">
        <f>IF(ISERROR((GV623/GT623-1)*100),"NA",IF(((GV623/GT623-1)*100)&gt;100,"NM",IF(((GV623/GT623-1)*100)&lt;-50,"NM",(GV623/GT623-1)*100)))</f>
        <v>-1.8332632856071118</v>
      </c>
      <c r="GX623" s="117">
        <f>GX541</f>
        <v>-707.09954279361193</v>
      </c>
      <c r="GY623" s="98">
        <f>IF(ISERROR((GX623/GV623-1)*100),"NA",IF(((GX623/GV623-1)*100)&gt;100,"NM",IF(((GX623/GV623-1)*100)&lt;-50,"NM",(GX623/GV623-1)*100)))</f>
        <v>-1.8573362634565216</v>
      </c>
      <c r="GZ623" s="98">
        <f t="shared" si="3600"/>
        <v>-8.2068732153570583</v>
      </c>
      <c r="HA623" s="98"/>
      <c r="HB623" s="240"/>
      <c r="HC623"/>
      <c r="HD623"/>
      <c r="HE623"/>
      <c r="HF623"/>
      <c r="HG623"/>
      <c r="HH623"/>
      <c r="HI623" s="10"/>
    </row>
    <row r="624" spans="2:217" s="5" customFormat="1" ht="12.75" customHeight="1" x14ac:dyDescent="0.2">
      <c r="B624" s="19" t="s">
        <v>117</v>
      </c>
      <c r="C624" s="182"/>
      <c r="D624" s="98"/>
      <c r="E624" s="182"/>
      <c r="F624" s="98"/>
      <c r="G624" s="182"/>
      <c r="H624" s="98"/>
      <c r="I624" s="182"/>
      <c r="J624" s="98"/>
      <c r="K624" s="182"/>
      <c r="L624" s="98"/>
      <c r="M624" s="182"/>
      <c r="N624" s="98"/>
      <c r="O624" s="182"/>
      <c r="P624" s="98"/>
      <c r="Q624" s="182"/>
      <c r="R624" s="98"/>
      <c r="S624" s="182"/>
      <c r="T624" s="98"/>
      <c r="U624" s="182"/>
      <c r="V624" s="98"/>
      <c r="W624" s="182"/>
      <c r="X624" s="98"/>
      <c r="Y624" s="182"/>
      <c r="Z624" s="98"/>
      <c r="AA624" s="182"/>
      <c r="AB624" s="98"/>
      <c r="AC624" s="182"/>
      <c r="AD624" s="98"/>
      <c r="AE624" s="182"/>
      <c r="AF624" s="98"/>
      <c r="AG624" s="182"/>
      <c r="AH624" s="98"/>
      <c r="AI624" s="182"/>
      <c r="AJ624" s="98"/>
      <c r="AK624" s="182"/>
      <c r="AL624" s="98"/>
      <c r="AM624" s="182"/>
      <c r="AN624" s="98"/>
      <c r="AO624" s="182"/>
      <c r="AP624" s="98"/>
      <c r="AQ624" s="182"/>
      <c r="AR624" s="98"/>
      <c r="AS624" s="182"/>
      <c r="AT624" s="98"/>
      <c r="AU624" s="182"/>
      <c r="AV624" s="98"/>
      <c r="AW624" s="182"/>
      <c r="AX624" s="98"/>
      <c r="AY624" s="182">
        <f>AY625+AY623</f>
        <v>9</v>
      </c>
      <c r="AZ624" s="98" t="str">
        <f>IF(ISERROR((AY624/AQ624-1)*100),"NA",IF(((AY624/AQ624-1)*100)&gt;100,"NM",IF(((AY624/AQ624-1)*100)&lt;-50,"NM",(AY624/AQ624-1)*100)))</f>
        <v>NA</v>
      </c>
      <c r="BA624" s="182">
        <f>BA625+BA623</f>
        <v>-14</v>
      </c>
      <c r="BB624" s="98" t="str">
        <f>IF(ISERROR((BA624/AS623-1)*100),"NA",IF(((BA624/AS623-1)*100)&gt;100,"NM",IF(((BA624/AS623-1)*100)&lt;-50,"NM",(BA624/AS623-1)*100)))</f>
        <v>NA</v>
      </c>
      <c r="BC624" s="182">
        <f>BC625+BC623</f>
        <v>-7</v>
      </c>
      <c r="BD624" s="98" t="str">
        <f>IF(ISERROR((BC624/AU623-1)*100),"NA",IF(((BC624/AU623-1)*100)&gt;100,"NM",IF(((BC624/AU623-1)*100)&lt;-50,"NM",(BC624/AU623-1)*100)))</f>
        <v>NA</v>
      </c>
      <c r="BE624" s="182">
        <f>BE625+BE623</f>
        <v>34</v>
      </c>
      <c r="BF624" s="98" t="str">
        <f>IF(ISERROR((BE624/AW624-1)*100),"NA",IF(((BE624/AW624-1)*100)&gt;100,"NM",IF(((BE624/AW624-1)*100)&lt;-50,"NM",(BE624/AW624-1)*100)))</f>
        <v>NA</v>
      </c>
      <c r="BG624" s="182">
        <f>BG625+BG623</f>
        <v>45</v>
      </c>
      <c r="BH624" s="98" t="str">
        <f>IF(ISERROR((BG624/AY623-1)*100),"NA",IF(((BG624/AY623-1)*100)&gt;100,"NM",IF(((BG624/AY623-1)*100)&lt;-50,"NM",(BG624/AY623-1)*100)))</f>
        <v>NM</v>
      </c>
      <c r="BI624" s="182">
        <f>BI625+BI623</f>
        <v>78</v>
      </c>
      <c r="BJ624" s="98" t="str">
        <f>IF(ISERROR((BI624/BA623-1)*100),"NA",IF(((BI624/BA623-1)*100)&gt;100,"NM",IF(((BI624/BA623-1)*100)&lt;-50,"NM",(BI624/BA623-1)*100)))</f>
        <v>NM</v>
      </c>
      <c r="BK624" s="182">
        <f>BK625+BK623</f>
        <v>45</v>
      </c>
      <c r="BL624" s="98" t="str">
        <f>IF(ISERROR((BK624/BC623-1)*100),"NA",IF(((BK624/BC623-1)*100)&gt;100,"NM",IF(((BK624/BC623-1)*100)&lt;-50,"NM",(BK624/BC623-1)*100)))</f>
        <v>NM</v>
      </c>
      <c r="BM624" s="182">
        <f>BM625+BM623</f>
        <v>-36</v>
      </c>
      <c r="BN624" s="98" t="str">
        <f>IF(ISERROR((BM624/BE624-1)*100),"NA",IF(((BM624/BE624-1)*100)&gt;100,"NM",IF(((BM624/BE624-1)*100)&lt;-50,"NM",(BM624/BE624-1)*100)))</f>
        <v>NM</v>
      </c>
      <c r="BO624" s="182">
        <f>BO625+BO623</f>
        <v>-23</v>
      </c>
      <c r="BP624" s="98" t="str">
        <f>IF(ISERROR((BO624/BG623-1)*100),"NA",IF(((BO624/BG623-1)*100)&gt;100,"NM",IF(((BO624/BG623-1)*100)&lt;-50,"NM",(BO624/BG623-1)*100)))</f>
        <v>NM</v>
      </c>
      <c r="BQ624" s="182">
        <f>BQ625+BQ623</f>
        <v>-81</v>
      </c>
      <c r="BR624" s="98" t="str">
        <f>IF(ISERROR((BQ624/BI623-1)*100),"NA",IF(((BQ624/BI623-1)*100)&gt;100,"NM",IF(((BQ624/BI623-1)*100)&lt;-50,"NM",(BQ624/BI623-1)*100)))</f>
        <v>NM</v>
      </c>
      <c r="BS624" s="182">
        <f>BS625+BS623</f>
        <v>-220</v>
      </c>
      <c r="BT624" s="98" t="str">
        <f>IF(ISERROR((BS624/BK623-1)*100),"NA",IF(((BS624/BK623-1)*100)&gt;100,"NM",IF(((BS624/BK623-1)*100)&lt;-50,"NM",(BS624/BK623-1)*100)))</f>
        <v>NM</v>
      </c>
      <c r="BU624" s="182">
        <f>BU625+BU623</f>
        <v>-236</v>
      </c>
      <c r="BV624" s="98" t="str">
        <f>IF(ISERROR((BU624/BM624-1)*100),"NA",IF(((BU624/BM624-1)*100)&gt;100,"NM",IF(((BU624/BM624-1)*100)&lt;-50,"NM",(BU624/BM624-1)*100)))</f>
        <v>NM</v>
      </c>
      <c r="BW624" s="182">
        <f>BW625+BW623</f>
        <v>-255</v>
      </c>
      <c r="BX624" s="98" t="str">
        <f>IF(ISERROR((BW624/BO623-1)*100),"NA",IF(((BW624/BO623-1)*100)&gt;100,"NM",IF(((BW624/BO623-1)*100)&lt;-50,"NM",(BW624/BO623-1)*100)))</f>
        <v>NM</v>
      </c>
      <c r="BY624" s="182">
        <f>BY625+BY623</f>
        <v>-170</v>
      </c>
      <c r="BZ624" s="98" t="str">
        <f>IF(ISERROR((BY624/BQ623-1)*100),"NA",IF(((BY624/BQ623-1)*100)&gt;100,"NM",IF(((BY624/BQ623-1)*100)&lt;-50,"NM",(BY624/BQ623-1)*100)))</f>
        <v>NM</v>
      </c>
      <c r="CA624" s="182">
        <f>CA625+CA623</f>
        <v>-148</v>
      </c>
      <c r="CB624" s="98">
        <f>IF(ISERROR((CA624/BS623-1)*100),"NA",IF(((CA624/BS623-1)*100)&gt;100,"NM",IF(((CA624/BS623-1)*100)&lt;-50,"NM",(CA624/BS623-1)*100)))</f>
        <v>-32.727272727272727</v>
      </c>
      <c r="CC624" s="182">
        <f>CC625+CC623</f>
        <v>-175</v>
      </c>
      <c r="CD624" s="98">
        <f t="shared" si="3568"/>
        <v>-25.847457627118644</v>
      </c>
      <c r="CE624" s="182">
        <f>CE625+CE623</f>
        <v>-127</v>
      </c>
      <c r="CF624" s="98" t="str">
        <f t="shared" si="3569"/>
        <v>NM</v>
      </c>
      <c r="CG624" s="182">
        <f>CG625+CG623</f>
        <v>-108</v>
      </c>
      <c r="CH624" s="98">
        <f>IF(ISERROR((CG624/BY624-1)*100),"NA",IF(((CG624/BY624-1)*100)&gt;100,"NM",IF(((CG624/BY624-1)*100)&lt;-50,"NM",(CG624/BY624-1)*100)))</f>
        <v>-36.470588235294123</v>
      </c>
      <c r="CI624" s="182">
        <f>CI625+CI623</f>
        <v>-178</v>
      </c>
      <c r="CJ624" s="98">
        <f>IF(ISERROR((CI624/CA624-1)*100),"NA",IF(((CI624/CA624-1)*100)&gt;100,"NM",IF(((CI624/CA624-1)*100)&lt;-50,"NM",(CI624/CA624-1)*100)))</f>
        <v>20.270270270270263</v>
      </c>
      <c r="CK624" s="182">
        <f>CK625+CK623</f>
        <v>-2</v>
      </c>
      <c r="CL624" s="98" t="str">
        <f t="shared" si="3570"/>
        <v>NM</v>
      </c>
      <c r="CM624" s="182">
        <f>CM541</f>
        <v>-9</v>
      </c>
      <c r="CN624" s="98" t="str">
        <f t="shared" si="3571"/>
        <v>NM</v>
      </c>
      <c r="CO624" s="182">
        <f>CO541</f>
        <v>-43</v>
      </c>
      <c r="CP624" s="98" t="str">
        <f t="shared" si="3572"/>
        <v>NM</v>
      </c>
      <c r="CQ624" s="512">
        <f>CQ541</f>
        <v>-102</v>
      </c>
      <c r="CR624" s="98">
        <f t="shared" si="3573"/>
        <v>-42.696629213483149</v>
      </c>
      <c r="CS624" s="182">
        <f>CS541</f>
        <v>-95</v>
      </c>
      <c r="CT624" s="574" t="str">
        <f t="shared" si="3574"/>
        <v>NM</v>
      </c>
      <c r="CU624" s="182">
        <f>CU541</f>
        <v>-67</v>
      </c>
      <c r="CV624" s="574" t="str">
        <f t="shared" si="3575"/>
        <v>NM</v>
      </c>
      <c r="CW624" s="182">
        <f>CW541</f>
        <v>-53</v>
      </c>
      <c r="CX624" s="574">
        <f t="shared" si="3576"/>
        <v>23.255813953488371</v>
      </c>
      <c r="CY624" s="182">
        <f>CY541</f>
        <v>-134</v>
      </c>
      <c r="CZ624" s="574">
        <f t="shared" si="3577"/>
        <v>31.372549019607842</v>
      </c>
      <c r="DA624" s="182">
        <f>DA541</f>
        <v>-137</v>
      </c>
      <c r="DB624" s="574">
        <f t="shared" si="3578"/>
        <v>44.21052631578948</v>
      </c>
      <c r="DC624" s="182">
        <f>DC541</f>
        <v>-86</v>
      </c>
      <c r="DD624" s="574">
        <f t="shared" si="3579"/>
        <v>28.358208955223873</v>
      </c>
      <c r="DE624" s="182">
        <f>DE541</f>
        <v>-140</v>
      </c>
      <c r="DF624" s="574" t="str">
        <f t="shared" si="3580"/>
        <v>NM</v>
      </c>
      <c r="DG624" s="182">
        <f>DG541</f>
        <v>-163</v>
      </c>
      <c r="DH624" s="574">
        <f t="shared" si="3581"/>
        <v>21.641791044776127</v>
      </c>
      <c r="DI624" s="182">
        <f>DI541</f>
        <v>-278</v>
      </c>
      <c r="DJ624" s="98" t="str">
        <f t="shared" si="3582"/>
        <v>NM</v>
      </c>
      <c r="DK624" s="182">
        <f>DK541</f>
        <v>-166</v>
      </c>
      <c r="DL624" s="98">
        <f t="shared" si="3583"/>
        <v>93.023255813953497</v>
      </c>
      <c r="DM624" s="182">
        <f>DM541</f>
        <v>-191</v>
      </c>
      <c r="DN624" s="98">
        <f t="shared" si="3584"/>
        <v>36.428571428571431</v>
      </c>
      <c r="DO624" s="182">
        <f>DO541</f>
        <v>-106</v>
      </c>
      <c r="DP624" s="98">
        <f t="shared" si="3585"/>
        <v>-34.969325153374228</v>
      </c>
      <c r="DQ624" s="182">
        <f>DQ541</f>
        <v>-289</v>
      </c>
      <c r="DR624" s="98">
        <f t="shared" si="3586"/>
        <v>3.9568345323740983</v>
      </c>
      <c r="DS624" s="182">
        <f>DS541</f>
        <v>-151</v>
      </c>
      <c r="DT624" s="98">
        <f t="shared" si="3587"/>
        <v>-9.0361445783132552</v>
      </c>
      <c r="DU624" s="182">
        <f>DU541</f>
        <v>-176</v>
      </c>
      <c r="DV624" s="98">
        <f t="shared" si="3588"/>
        <v>-7.8534031413612588</v>
      </c>
      <c r="DW624" s="182">
        <f>DW541</f>
        <v>-983</v>
      </c>
      <c r="DX624" s="98" t="str">
        <f t="shared" si="3589"/>
        <v>NM</v>
      </c>
      <c r="DY624" s="182">
        <f>DY541</f>
        <v>-210</v>
      </c>
      <c r="DZ624" s="98">
        <f t="shared" si="3590"/>
        <v>-27.335640138408301</v>
      </c>
      <c r="EA624" s="182">
        <f>EA541</f>
        <v>-190</v>
      </c>
      <c r="EB624" s="98">
        <f t="shared" si="3591"/>
        <v>25.827814569536422</v>
      </c>
      <c r="EC624" s="182">
        <f>EC541</f>
        <v>-244</v>
      </c>
      <c r="ED624" s="98">
        <f t="shared" si="3592"/>
        <v>38.636363636363647</v>
      </c>
      <c r="EE624" s="182">
        <f>EE541</f>
        <v>6</v>
      </c>
      <c r="EF624" s="860" t="str">
        <f t="shared" si="3593"/>
        <v>NM</v>
      </c>
      <c r="EG624" s="182">
        <f>EG541</f>
        <v>-203</v>
      </c>
      <c r="EH624" s="860">
        <f t="shared" si="3594"/>
        <v>-3.3333333333333326</v>
      </c>
      <c r="EI624" s="182">
        <f>EI541</f>
        <v>-76</v>
      </c>
      <c r="EJ624" s="860" t="str">
        <f>IF(ISERROR((EI624/EA624-1)*100),"NA",IF(((EI624/EA624-1)*100)&gt;100,"NM",IF(((EI624/EA624-1)*100)&lt;-50,"NM",(EI624/EA624-1)*100)))</f>
        <v>NM</v>
      </c>
      <c r="EK624" s="182">
        <f>EK541</f>
        <v>-145</v>
      </c>
      <c r="EL624" s="860">
        <f>IF(ISERROR((EK624/EC624-1)*100),"NA",IF(((EK624/EC624-1)*100)&gt;100,"NM",IF(((EK624/EC624-1)*100)&lt;-50,"NM",(EK624/EC624-1)*100)))</f>
        <v>-40.573770491803273</v>
      </c>
      <c r="EM624" s="182">
        <f>EM541</f>
        <v>-336</v>
      </c>
      <c r="EN624" s="860" t="str">
        <f>IF(ISERROR((EM624/EE624-1)*100),"NA",IF(((EM624/EE624-1)*100)&gt;100,"NM",IF(((EM624/EE624-1)*100)&lt;-50,"NM",(EM624/EE624-1)*100)))</f>
        <v>NM</v>
      </c>
      <c r="EO624" s="182">
        <f>EO541</f>
        <v>-528</v>
      </c>
      <c r="EP624" s="98" t="str">
        <f>IF(ISERROR((EO624/EG624-1)*100),"NA",IF(((EO624/EG624-1)*100)&gt;100,"NM",IF(((EO624/EG624-1)*100)&lt;-50,"NM",(EO624/EG624-1)*100)))</f>
        <v>NM</v>
      </c>
      <c r="EQ624" s="1021">
        <f>EQ541</f>
        <v>-202.60850000000002</v>
      </c>
      <c r="ER624" s="98" t="str">
        <f>IF(ISERROR((EQ624/EI624-1)*100),"NA",IF(((EQ624/EI624-1)*100)&gt;100,"NM",IF(((EQ624/EI624-1)*100)&lt;-50,"NM",(EQ624/EI624-1)*100)))</f>
        <v>NM</v>
      </c>
      <c r="ES624" s="1021">
        <f t="shared" ref="ES624" si="3636">ES541</f>
        <v>-203.641785</v>
      </c>
      <c r="ET624" s="98">
        <f t="shared" si="3595"/>
        <v>40.442610344827592</v>
      </c>
      <c r="EU624" s="1021">
        <f t="shared" ref="EU624" si="3637">EU541</f>
        <v>-204.68540284999997</v>
      </c>
      <c r="EV624" s="98">
        <f t="shared" si="3596"/>
        <v>-39.081725342261905</v>
      </c>
      <c r="EW624" s="1021">
        <f t="shared" ref="EW624" si="3638">EW541</f>
        <v>-205.73945687849999</v>
      </c>
      <c r="EX624" s="98" t="str">
        <f t="shared" si="3597"/>
        <v>NM</v>
      </c>
      <c r="EY624" s="182"/>
      <c r="EZ624" s="594"/>
      <c r="FA624" s="414"/>
      <c r="FB624" s="326"/>
      <c r="FC624" s="326"/>
      <c r="FD624" s="182"/>
      <c r="FE624" s="98"/>
      <c r="FF624" s="182"/>
      <c r="FG624" s="98"/>
      <c r="FH624" s="182"/>
      <c r="FI624" s="98"/>
      <c r="FJ624" s="182"/>
      <c r="FK624" s="98"/>
      <c r="FL624" s="182"/>
      <c r="FM624" s="98"/>
      <c r="FN624" s="182"/>
      <c r="FO624" s="98"/>
      <c r="FP624" s="182"/>
      <c r="FQ624" s="98"/>
      <c r="FR624" s="182">
        <f>FR625+FR623</f>
        <v>22</v>
      </c>
      <c r="FS624" s="98" t="str">
        <f>IF(ISERROR((FR624/FP624-1)*100),"NA",IF(((FR624/FP624-1)*100)&gt;100,"NM",IF(((FR624/FP624-1)*100)&lt;-50,"NM",(FR624/FP624-1)*100)))</f>
        <v>NA</v>
      </c>
      <c r="FT624" s="182">
        <f>FT625+FT623</f>
        <v>132</v>
      </c>
      <c r="FU624" s="98" t="str">
        <f>IF(ISERROR((FT624/FR624-1)*100),"NA",IF(((FT624/FR624-1)*100)&gt;100,"NM",IF(((FT624/FR624-1)*100)&lt;-50,"NM",(FT624/FR624-1)*100)))</f>
        <v>NM</v>
      </c>
      <c r="FV624" s="182">
        <f>FV625+FV623</f>
        <v>-608</v>
      </c>
      <c r="FW624" s="98" t="str">
        <f>IF(ISERROR((FV624/FT624-1)*100),"NA",IF(((FV624/FT624-1)*100)&gt;100,"NM",IF(((FV624/FT624-1)*100)&lt;-50,"NM",(FV624/FT624-1)*100)))</f>
        <v>NM</v>
      </c>
      <c r="FX624" s="512">
        <f>FX625+FX623</f>
        <v>-748</v>
      </c>
      <c r="FY624" s="98">
        <f>IF(ISERROR((FX624/FV624-1)*100),"NA",IF(((FX624/FV624-1)*100)&gt;100,"NM",IF(((FX624/FV624-1)*100)&lt;-50,"NM",(FX624/FV624-1)*100)))</f>
        <v>23.026315789473696</v>
      </c>
      <c r="FZ624" s="182">
        <f>FZ625+FZ623</f>
        <v>-415</v>
      </c>
      <c r="GA624" s="98">
        <f>IF(ISERROR((FZ624/FX624-1)*100),"NA",IF(((FZ624/FX624-1)*100)&gt;100,"NM",IF(((FZ624/FX624-1)*100)&lt;-50,"NM",(FZ624/FX624-1)*100)))</f>
        <v>-44.518716577540104</v>
      </c>
      <c r="GB624" s="512">
        <f>GB541</f>
        <v>-306</v>
      </c>
      <c r="GC624" s="98">
        <f>IF(ISERROR((GB624/FZ624-1)*100),"NA",IF(((GB624/FZ624-1)*100)&gt;100,"NM",IF(((GB624/FZ624-1)*100)&lt;-50,"NM",(GB624/FZ624-1)*100)))</f>
        <v>-26.265060240963855</v>
      </c>
      <c r="GD624" s="182">
        <f>GD541</f>
        <v>-391</v>
      </c>
      <c r="GE624" s="98">
        <f>IF(ISERROR((GD624/GB624-1)*100),"NA",IF(((GD624/GB624-1)*100)&gt;100,"NM",IF(((GD624/GB624-1)*100)&lt;-50,"NM",(GD624/GB624-1)*100)))</f>
        <v>27.777777777777768</v>
      </c>
      <c r="GF624" s="182">
        <f>GF541</f>
        <v>-667</v>
      </c>
      <c r="GG624" s="98">
        <f>IF(ISERROR((GF624/GD624-1)*100),"NA",IF(((GF624/GD624-1)*100)&gt;100,"NM",IF(((GF624/GD624-1)*100)&lt;-50,"NM",(GF624/GD624-1)*100)))</f>
        <v>70.588235294117638</v>
      </c>
      <c r="GH624" s="182">
        <f>GH541</f>
        <v>-752</v>
      </c>
      <c r="GI624" s="98">
        <f>IF(ISERROR((GH624/GF624-1)*100),"NA",IF(((GH624/GF624-1)*100)&gt;100,"NM",IF(((GH624/GF624-1)*100)&lt;-50,"NM",(GH624/GF624-1)*100)))</f>
        <v>12.743628185907042</v>
      </c>
      <c r="GJ624" s="182">
        <f>GJ541</f>
        <v>-1520</v>
      </c>
      <c r="GK624" s="98" t="str">
        <f>IF(ISERROR((GJ624/GH624-1)*100),"NA",IF(((GJ624/GH624-1)*100)&gt;100,"NM",IF(((GJ624/GH624-1)*100)&lt;-50,"NM",(GJ624/GH624-1)*100)))</f>
        <v>NM</v>
      </c>
      <c r="GL624" s="182">
        <f>GL541</f>
        <v>-631</v>
      </c>
      <c r="GM624" s="98" t="str">
        <f>IF(ISERROR((GL624/GJ624-1)*100),"NA",IF(((GL624/GJ624-1)*100)&gt;100,"NM",IF(((GL624/GJ624-1)*100)&lt;-50,"NM",(GL624/GJ624-1)*100)))</f>
        <v>NM</v>
      </c>
      <c r="GN624" s="183">
        <f t="shared" si="3598"/>
        <v>-1085</v>
      </c>
      <c r="GO624" s="98">
        <f>IF(ISERROR((GN624/GL624-1)*100),"NA",IF(((GN624/GL624-1)*100)&gt;100,"NM",IF(((GN624/GL624-1)*100)&lt;-50,"NM",(GN624/GL624-1)*100)))</f>
        <v>71.949286846275754</v>
      </c>
      <c r="GP624" s="183">
        <f t="shared" si="3599"/>
        <v>-816.67514472850007</v>
      </c>
      <c r="GQ624" s="98">
        <f>IF(ISERROR((GP624/GN624-1)*100),"NA",IF(((GP624/GN624-1)*100)&gt;100,"NM",IF(((GP624/GN624-1)*100)&lt;-50,"NM",(GP624/GN624-1)*100)))</f>
        <v>-24.730401407511515</v>
      </c>
      <c r="GR624" s="182">
        <f>GR541</f>
        <v>-817.4698606120719</v>
      </c>
      <c r="GS624" s="98">
        <f>IF(ISERROR((GR624/GP624-1)*100),"NA",IF(((GR624/GP624-1)*100)&gt;100,"NM",IF(((GR624/GP624-1)*100)&lt;-50,"NM",(GR624/GP624-1)*100)))</f>
        <v>9.7311138792655072E-2</v>
      </c>
      <c r="GT624" s="182">
        <f>GT541</f>
        <v>-733.9362878157126</v>
      </c>
      <c r="GU624" s="98">
        <f>IF(ISERROR((GT624/GR624-1)*100),"NA",IF(((GT624/GR624-1)*100)&gt;100,"NM",IF(((GT624/GR624-1)*100)&lt;-50,"NM",(GT624/GR624-1)*100)))</f>
        <v>-10.218550777372315</v>
      </c>
      <c r="GV624" s="182">
        <f>GV541</f>
        <v>-720.48130331143943</v>
      </c>
      <c r="GW624" s="98">
        <f>IF(ISERROR((GV624/GT624-1)*100),"NA",IF(((GV624/GT624-1)*100)&gt;100,"NM",IF(((GV624/GT624-1)*100)&lt;-50,"NM",(GV624/GT624-1)*100)))</f>
        <v>-1.8332632856071118</v>
      </c>
      <c r="GX624" s="182">
        <f>GX541</f>
        <v>-707.09954279361193</v>
      </c>
      <c r="GY624" s="98">
        <f>IF(ISERROR((GX624/GV624-1)*100),"NA",IF(((GX624/GV624-1)*100)&gt;100,"NM",IF(((GX624/GV624-1)*100)&lt;-50,"NM",(GX624/GV624-1)*100)))</f>
        <v>-1.8573362634565216</v>
      </c>
      <c r="GZ624" s="98">
        <f t="shared" si="3600"/>
        <v>-8.2068732153570583</v>
      </c>
      <c r="HA624" s="98"/>
      <c r="HB624" s="15"/>
      <c r="HC624"/>
      <c r="HD624"/>
      <c r="HE624"/>
      <c r="HF624"/>
      <c r="HG624"/>
      <c r="HH624"/>
      <c r="HI624" s="10"/>
    </row>
    <row r="625" spans="1:296" s="2" customFormat="1" ht="12.75" customHeight="1" x14ac:dyDescent="0.2">
      <c r="B625" s="18" t="s">
        <v>693</v>
      </c>
      <c r="C625" s="117"/>
      <c r="D625" s="98"/>
      <c r="E625" s="117"/>
      <c r="F625" s="98"/>
      <c r="G625" s="117"/>
      <c r="H625" s="98"/>
      <c r="I625" s="117"/>
      <c r="J625" s="98"/>
      <c r="K625" s="117"/>
      <c r="L625" s="98"/>
      <c r="M625" s="117"/>
      <c r="N625" s="98"/>
      <c r="O625" s="117"/>
      <c r="P625" s="98"/>
      <c r="Q625" s="117"/>
      <c r="R625" s="98"/>
      <c r="S625" s="117"/>
      <c r="T625" s="98"/>
      <c r="U625" s="117"/>
      <c r="V625" s="98"/>
      <c r="W625" s="117"/>
      <c r="X625" s="98"/>
      <c r="Y625" s="117"/>
      <c r="Z625" s="98"/>
      <c r="AA625" s="117"/>
      <c r="AB625" s="98"/>
      <c r="AC625" s="117"/>
      <c r="AD625" s="98"/>
      <c r="AE625" s="117"/>
      <c r="AF625" s="98"/>
      <c r="AG625" s="117"/>
      <c r="AH625" s="98"/>
      <c r="AI625" s="117"/>
      <c r="AJ625" s="98"/>
      <c r="AK625" s="117"/>
      <c r="AL625" s="98"/>
      <c r="AM625" s="117"/>
      <c r="AN625" s="98"/>
      <c r="AO625" s="117"/>
      <c r="AP625" s="98"/>
      <c r="AQ625" s="117"/>
      <c r="AR625" s="98"/>
      <c r="AS625" s="117"/>
      <c r="AT625" s="98"/>
      <c r="AU625" s="117"/>
      <c r="AV625" s="98"/>
      <c r="AW625" s="117"/>
      <c r="AX625" s="98"/>
      <c r="AY625" s="117"/>
      <c r="AZ625" s="98"/>
      <c r="BA625" s="117"/>
      <c r="BB625" s="98"/>
      <c r="BC625" s="117"/>
      <c r="BD625" s="98"/>
      <c r="BE625" s="117"/>
      <c r="BF625" s="98"/>
      <c r="BG625" s="117"/>
      <c r="BH625" s="98"/>
      <c r="BI625" s="117"/>
      <c r="BJ625" s="98"/>
      <c r="BK625" s="117"/>
      <c r="BL625" s="98"/>
      <c r="BM625" s="117"/>
      <c r="BN625" s="98"/>
      <c r="BO625" s="117"/>
      <c r="BP625" s="98"/>
      <c r="BQ625" s="117"/>
      <c r="BR625" s="98"/>
      <c r="BS625" s="117"/>
      <c r="BT625" s="98"/>
      <c r="BU625" s="117"/>
      <c r="BV625" s="98"/>
      <c r="BW625" s="117"/>
      <c r="BX625" s="98"/>
      <c r="BY625" s="117"/>
      <c r="BZ625" s="98"/>
      <c r="CA625" s="117"/>
      <c r="CB625" s="98"/>
      <c r="CC625" s="117"/>
      <c r="CD625" s="98"/>
      <c r="CE625" s="117"/>
      <c r="CF625" s="98"/>
      <c r="CG625" s="117"/>
      <c r="CH625" s="98"/>
      <c r="CI625" s="117"/>
      <c r="CJ625" s="98"/>
      <c r="CK625" s="117"/>
      <c r="CL625" s="98"/>
      <c r="CM625" s="117"/>
      <c r="CN625" s="98"/>
      <c r="CO625" s="117"/>
      <c r="CP625" s="98"/>
      <c r="CQ625" s="486"/>
      <c r="CR625" s="98"/>
      <c r="CS625" s="117"/>
      <c r="CT625" s="574"/>
      <c r="CU625" s="117"/>
      <c r="CV625" s="574"/>
      <c r="CW625" s="117"/>
      <c r="CX625" s="574"/>
      <c r="CY625" s="117"/>
      <c r="CZ625" s="574"/>
      <c r="DA625" s="117"/>
      <c r="DB625" s="574"/>
      <c r="DC625" s="117"/>
      <c r="DD625" s="574"/>
      <c r="DE625" s="117"/>
      <c r="DF625" s="574"/>
      <c r="DG625" s="117"/>
      <c r="DH625" s="574"/>
      <c r="DI625" s="117"/>
      <c r="DJ625" s="98"/>
      <c r="DK625" s="117"/>
      <c r="DL625" s="98"/>
      <c r="DM625" s="117"/>
      <c r="DN625" s="98"/>
      <c r="DO625" s="117"/>
      <c r="DP625" s="98"/>
      <c r="DQ625" s="117"/>
      <c r="DR625" s="98" t="str">
        <f t="shared" ref="DN625:DZ628" si="3639">IF(ISERROR((DQ625/DI625-1)*100),"NA",IF(((DQ625/DI625-1)*100)&gt;100,"NM",IF(((DQ625/DI625-1)*100)&lt;-50,"NM",(DQ625/DI625-1)*100)))</f>
        <v>NA</v>
      </c>
      <c r="DS625" s="117">
        <f>DS579</f>
        <v>0</v>
      </c>
      <c r="DT625" s="98" t="str">
        <f t="shared" si="3639"/>
        <v>NA</v>
      </c>
      <c r="DU625" s="117">
        <f>DU579</f>
        <v>0</v>
      </c>
      <c r="DV625" s="98" t="str">
        <f t="shared" si="3639"/>
        <v>NA</v>
      </c>
      <c r="DW625" s="117">
        <f>DW579</f>
        <v>0</v>
      </c>
      <c r="DX625" s="98" t="str">
        <f t="shared" si="3639"/>
        <v>NA</v>
      </c>
      <c r="DY625" s="117">
        <f>DY579</f>
        <v>0</v>
      </c>
      <c r="DZ625" s="98" t="str">
        <f t="shared" si="3639"/>
        <v>NA</v>
      </c>
      <c r="EA625" s="117">
        <f>EA579</f>
        <v>0</v>
      </c>
      <c r="EB625" s="98" t="str">
        <f t="shared" ref="EB625:EB628" si="3640">IF(ISERROR((EA625/DS625-1)*100),"NA",IF(((EA625/DS625-1)*100)&gt;100,"NM",IF(((EA625/DS625-1)*100)&lt;-50,"NM",(EA625/DS625-1)*100)))</f>
        <v>NA</v>
      </c>
      <c r="EC625" s="117">
        <f>EC579</f>
        <v>0</v>
      </c>
      <c r="ED625" s="98" t="str">
        <f t="shared" ref="ED625:ED628" si="3641">IF(ISERROR((EC625/DU625-1)*100),"NA",IF(((EC625/DU625-1)*100)&gt;100,"NM",IF(((EC625/DU625-1)*100)&lt;-50,"NM",(EC625/DU625-1)*100)))</f>
        <v>NA</v>
      </c>
      <c r="EE625" s="117">
        <f>EE579</f>
        <v>0</v>
      </c>
      <c r="EF625" s="860" t="str">
        <f t="shared" ref="EF625:EF628" si="3642">IF(ISERROR((EE625/DW625-1)*100),"NA",IF(((EE625/DW625-1)*100)&gt;100,"NM",IF(((EE625/DW625-1)*100)&lt;-50,"NM",(EE625/DW625-1)*100)))</f>
        <v>NA</v>
      </c>
      <c r="EG625" s="117">
        <f>EG579</f>
        <v>0</v>
      </c>
      <c r="EH625" s="860" t="str">
        <f t="shared" ref="EH625:EH628" si="3643">IF(ISERROR((EG625/DY625-1)*100),"NA",IF(((EG625/DY625-1)*100)&gt;100,"NM",IF(((EG625/DY625-1)*100)&lt;-50,"NM",(EG625/DY625-1)*100)))</f>
        <v>NA</v>
      </c>
      <c r="EI625" s="117">
        <f>EI579</f>
        <v>0</v>
      </c>
      <c r="EJ625" s="860" t="str">
        <f t="shared" si="3618"/>
        <v>NA</v>
      </c>
      <c r="EK625" s="117">
        <f>EK579</f>
        <v>0</v>
      </c>
      <c r="EL625" s="860" t="str">
        <f t="shared" si="3619"/>
        <v>NA</v>
      </c>
      <c r="EM625" s="117">
        <f>EM579</f>
        <v>0</v>
      </c>
      <c r="EN625" s="860" t="str">
        <f t="shared" si="3620"/>
        <v>NA</v>
      </c>
      <c r="EO625" s="117">
        <f>EO579</f>
        <v>0</v>
      </c>
      <c r="EP625" s="98" t="str">
        <f t="shared" si="3621"/>
        <v>NA</v>
      </c>
      <c r="EQ625" s="117">
        <f>EQ579</f>
        <v>0</v>
      </c>
      <c r="ER625" s="98" t="str">
        <f t="shared" ref="ER625:ER628" si="3644">IF(ISERROR((EQ625/EI625-1)*100),"NA",IF(((EQ625/EI625-1)*100)&gt;100,"NM",IF(((EQ625/EI625-1)*100)&lt;-50,"NM",(EQ625/EI625-1)*100)))</f>
        <v>NA</v>
      </c>
      <c r="ES625" s="117">
        <f t="shared" ref="ES625" si="3645">ES579</f>
        <v>0</v>
      </c>
      <c r="ET625" s="98" t="str">
        <f t="shared" si="3595"/>
        <v>NA</v>
      </c>
      <c r="EU625" s="117">
        <f t="shared" ref="EU625" si="3646">EU579</f>
        <v>0</v>
      </c>
      <c r="EV625" s="98" t="str">
        <f t="shared" si="3596"/>
        <v>NA</v>
      </c>
      <c r="EW625" s="117">
        <f t="shared" ref="EW625" si="3647">EW579</f>
        <v>0</v>
      </c>
      <c r="EX625" s="98" t="str">
        <f t="shared" si="3597"/>
        <v>NA</v>
      </c>
      <c r="EY625" s="117"/>
      <c r="EZ625" s="594"/>
      <c r="FA625" s="411"/>
      <c r="FB625" s="242"/>
      <c r="FC625" s="242"/>
      <c r="FD625" s="117"/>
      <c r="FE625" s="98"/>
      <c r="FF625" s="117"/>
      <c r="FG625" s="98"/>
      <c r="FH625" s="117"/>
      <c r="FI625" s="98"/>
      <c r="FJ625" s="117"/>
      <c r="FK625" s="98"/>
      <c r="FL625" s="117"/>
      <c r="FM625" s="98"/>
      <c r="FN625" s="117"/>
      <c r="FO625" s="98"/>
      <c r="FP625" s="117"/>
      <c r="FQ625" s="98"/>
      <c r="FR625" s="117">
        <v>0</v>
      </c>
      <c r="FS625" s="98" t="str">
        <f t="shared" si="3623"/>
        <v>NA</v>
      </c>
      <c r="FT625" s="117">
        <v>0</v>
      </c>
      <c r="FU625" s="98" t="str">
        <f t="shared" si="3624"/>
        <v>NA</v>
      </c>
      <c r="FV625" s="117">
        <v>0</v>
      </c>
      <c r="FW625" s="98" t="str">
        <f t="shared" si="3625"/>
        <v>NA</v>
      </c>
      <c r="FX625" s="486">
        <v>0</v>
      </c>
      <c r="FY625" s="98" t="str">
        <f t="shared" si="3625"/>
        <v>NA</v>
      </c>
      <c r="FZ625" s="117">
        <f>CE625+CG625+CI625+CK625</f>
        <v>0</v>
      </c>
      <c r="GA625" s="98" t="str">
        <f t="shared" si="3626"/>
        <v>NA</v>
      </c>
      <c r="GB625" s="486"/>
      <c r="GC625" s="98" t="str">
        <f t="shared" si="3627"/>
        <v>NA</v>
      </c>
      <c r="GD625" s="117"/>
      <c r="GE625" s="98" t="str">
        <f t="shared" si="3628"/>
        <v>NA</v>
      </c>
      <c r="GF625" s="117">
        <f>GF577</f>
        <v>0</v>
      </c>
      <c r="GG625" s="98" t="str">
        <f t="shared" si="3628"/>
        <v>NA</v>
      </c>
      <c r="GH625" s="117">
        <f>GH577</f>
        <v>0</v>
      </c>
      <c r="GI625" s="98" t="str">
        <f t="shared" si="3628"/>
        <v>NA</v>
      </c>
      <c r="GJ625" s="117">
        <f>GJ579</f>
        <v>0</v>
      </c>
      <c r="GK625" s="98" t="str">
        <f t="shared" si="3628"/>
        <v>NA</v>
      </c>
      <c r="GL625" s="117">
        <f>GL579</f>
        <v>0</v>
      </c>
      <c r="GM625" s="98" t="str">
        <f t="shared" si="3628"/>
        <v>NA</v>
      </c>
      <c r="GN625" s="118">
        <f t="shared" si="3598"/>
        <v>0</v>
      </c>
      <c r="GO625" s="98" t="str">
        <f t="shared" si="3628"/>
        <v>NA</v>
      </c>
      <c r="GP625" s="118">
        <f t="shared" si="3599"/>
        <v>0</v>
      </c>
      <c r="GQ625" s="98" t="str">
        <f t="shared" si="3628"/>
        <v>NA</v>
      </c>
      <c r="GR625" s="117">
        <f>GR579</f>
        <v>0</v>
      </c>
      <c r="GS625" s="98" t="str">
        <f t="shared" si="3628"/>
        <v>NA</v>
      </c>
      <c r="GT625" s="117">
        <f>GT579</f>
        <v>0</v>
      </c>
      <c r="GU625" s="98" t="str">
        <f t="shared" si="3628"/>
        <v>NA</v>
      </c>
      <c r="GV625" s="117">
        <f>GV579</f>
        <v>0</v>
      </c>
      <c r="GW625" s="98" t="str">
        <f t="shared" si="3628"/>
        <v>NA</v>
      </c>
      <c r="GX625" s="117">
        <f>GX579</f>
        <v>0</v>
      </c>
      <c r="GY625" s="98" t="str">
        <f t="shared" ref="GY625:GY628" si="3648">IF(ISERROR((GX625/GV625-1)*100),"NA",IF(((GX625/GV625-1)*100)&gt;100,"NM",IF(((GX625/GV625-1)*100)&lt;-50,"NM",(GX625/GV625-1)*100)))</f>
        <v>NA</v>
      </c>
      <c r="GZ625" s="98" t="str">
        <f t="shared" si="3600"/>
        <v>NA</v>
      </c>
      <c r="HA625" s="98"/>
      <c r="HB625" s="10"/>
      <c r="HC625"/>
      <c r="HD625"/>
      <c r="HE625"/>
      <c r="HF625"/>
      <c r="HG625"/>
      <c r="HH625"/>
      <c r="HI625" s="10"/>
    </row>
    <row r="626" spans="1:296" s="5" customFormat="1" ht="12.75" customHeight="1" x14ac:dyDescent="0.2">
      <c r="A626" s="2" t="s">
        <v>70</v>
      </c>
      <c r="B626" s="19" t="s">
        <v>479</v>
      </c>
      <c r="C626" s="182">
        <f>C608</f>
        <v>384</v>
      </c>
      <c r="D626" s="98"/>
      <c r="E626" s="182">
        <f>E608</f>
        <v>374</v>
      </c>
      <c r="F626" s="98"/>
      <c r="G626" s="182">
        <f>G608</f>
        <v>384</v>
      </c>
      <c r="H626" s="98"/>
      <c r="I626" s="284">
        <v>404</v>
      </c>
      <c r="J626" s="98"/>
      <c r="K626" s="284">
        <v>384</v>
      </c>
      <c r="L626" s="98">
        <f>IF(ISERROR((K626/C626-1)*100),"NA",IF(((K626/C626-1)*100)&gt;100,"NM",IF(((K626/C626-1)*100)&lt;-50,"NM",(K626/C626-1)*100)))</f>
        <v>0</v>
      </c>
      <c r="M626" s="284">
        <v>419</v>
      </c>
      <c r="N626" s="98">
        <f>IF(ISERROR((M626/E626-1)*100),"NA",IF(((M626/E626-1)*100)&gt;100,"NM",IF(((M626/E626-1)*100)&lt;-50,"NM",(M626/E626-1)*100)))</f>
        <v>12.032085561497329</v>
      </c>
      <c r="O626" s="284">
        <v>227</v>
      </c>
      <c r="P626" s="98">
        <f>IF(ISERROR((O626/G626-1)*100),"NA",IF(((O626/G626-1)*100)&gt;100,"NM",IF(((O626/G626-1)*100)&lt;-50,"NM",(O626/G626-1)*100)))</f>
        <v>-40.885416666666664</v>
      </c>
      <c r="Q626" s="284">
        <v>-124</v>
      </c>
      <c r="R626" s="98" t="str">
        <f>IF(ISERROR((Q626/I626-1)*100),"NA",IF(((Q626/I626-1)*100)&gt;100,"NM",IF(((Q626/I626-1)*100)&lt;-50,"NM",(Q626/I626-1)*100)))</f>
        <v>NM</v>
      </c>
      <c r="S626" s="284">
        <v>400</v>
      </c>
      <c r="T626" s="98">
        <f>IF(ISERROR((S626/K626-1)*100),"NA",IF(((S626/K626-1)*100)&gt;100,"NM",IF(((S626/K626-1)*100)&lt;-50,"NM",(S626/K626-1)*100)))</f>
        <v>4.1666666666666741</v>
      </c>
      <c r="U626" s="284">
        <v>504</v>
      </c>
      <c r="V626" s="98">
        <f>IF(ISERROR((U626/M626-1)*100),"NA",IF(((U626/M626-1)*100)&gt;100,"NM",IF(((U626/M626-1)*100)&lt;-50,"NM",(U626/M626-1)*100)))</f>
        <v>20.286396181384259</v>
      </c>
      <c r="W626" s="284">
        <v>502</v>
      </c>
      <c r="X626" s="98" t="str">
        <f>IF(ISERROR((W626/O626-1)*100),"NA",IF(((W626/O626-1)*100)&gt;100,"NM",IF(((W626/O626-1)*100)&lt;-50,"NM",(W626/O626-1)*100)))</f>
        <v>NM</v>
      </c>
      <c r="Y626" s="284">
        <v>338</v>
      </c>
      <c r="Z626" s="98" t="str">
        <f>IF(ISERROR((Y626/Q626-1)*100),"NA",IF(((Y626/Q626-1)*100)&gt;100,"NM",IF(((Y626/Q626-1)*100)&lt;-50,"NM",(Y626/Q626-1)*100)))</f>
        <v>NM</v>
      </c>
      <c r="AA626" s="284">
        <v>446</v>
      </c>
      <c r="AB626" s="98">
        <f>IF(ISERROR((AA626/S626-1)*100),"NA",IF(((AA626/S626-1)*100)&gt;100,"NM",IF(((AA626/S626-1)*100)&lt;-50,"NM",(AA626/S626-1)*100)))</f>
        <v>11.5</v>
      </c>
      <c r="AC626" s="284">
        <v>620</v>
      </c>
      <c r="AD626" s="98">
        <f>IF(ISERROR((AC626/U626-1)*100),"NA",IF(((AC626/U626-1)*100)&gt;100,"NM",IF(((AC626/U626-1)*100)&lt;-50,"NM",(AC626/U626-1)*100)))</f>
        <v>23.015873015873023</v>
      </c>
      <c r="AE626" s="284">
        <v>616</v>
      </c>
      <c r="AF626" s="98">
        <f>IF(ISERROR((AE626/W626-1)*100),"NA",IF(((AE626/W626-1)*100)&gt;100,"NM",IF(((AE626/W626-1)*100)&lt;-50,"NM",(AE626/W626-1)*100)))</f>
        <v>22.709163346613547</v>
      </c>
      <c r="AG626" s="284">
        <v>565</v>
      </c>
      <c r="AH626" s="98">
        <f>IF(ISERROR((AG626/Y626-1)*100),"NA",IF(((AG626/Y626-1)*100)&gt;100,"NM",IF(((AG626/Y626-1)*100)&lt;-50,"NM",(AG626/Y626-1)*100)))</f>
        <v>67.15976331360946</v>
      </c>
      <c r="AI626" s="284">
        <v>595</v>
      </c>
      <c r="AJ626" s="98">
        <f>IF(ISERROR((AI626/AA626-1)*100),"NA",IF(((AI626/AA626-1)*100)&gt;100,"NM",IF(((AI626/AA626-1)*100)&lt;-50,"NM",(AI626/AA626-1)*100)))</f>
        <v>33.408071748878918</v>
      </c>
      <c r="AK626" s="284">
        <v>766</v>
      </c>
      <c r="AL626" s="98">
        <f>IF(ISERROR((AK626/AC626-1)*100),"NA",IF(((AK626/AC626-1)*100)&gt;100,"NM",IF(((AK626/AC626-1)*100)&lt;-50,"NM",(AK626/AC626-1)*100)))</f>
        <v>23.548387096774203</v>
      </c>
      <c r="AM626" s="284">
        <v>618</v>
      </c>
      <c r="AN626" s="98">
        <f>IF(ISERROR((AM626/AE626-1)*100),"NA",IF(((AM626/AE626-1)*100)&gt;100,"NM",IF(((AM626/AE626-1)*100)&lt;-50,"NM",(AM626/AE626-1)*100)))</f>
        <v>0.32467532467532756</v>
      </c>
      <c r="AO626" s="284">
        <v>660</v>
      </c>
      <c r="AP626" s="98">
        <f>IF(ISERROR((AO626/AG626-1)*100),"NA",IF(((AO626/AG626-1)*100)&gt;100,"NM",IF(((AO626/AG626-1)*100)&lt;-50,"NM",(AO626/AG626-1)*100)))</f>
        <v>16.814159292035402</v>
      </c>
      <c r="AQ626" s="284">
        <v>822</v>
      </c>
      <c r="AR626" s="98">
        <f>IF(ISERROR((AQ626/AI626-1)*100),"NA",IF(((AQ626/AI626-1)*100)&gt;100,"NM",IF(((AQ626/AI626-1)*100)&lt;-50,"NM",(AQ626/AI626-1)*100)))</f>
        <v>38.15126050420168</v>
      </c>
      <c r="AS626" s="284">
        <v>870</v>
      </c>
      <c r="AT626" s="98">
        <f>IF(ISERROR((AS626/AK626-1)*100),"NA",IF(((AS626/AK626-1)*100)&gt;100,"NM",IF(((AS626/AK626-1)*100)&lt;-50,"NM",(AS626/AK626-1)*100)))</f>
        <v>13.577023498694519</v>
      </c>
      <c r="AU626" s="284">
        <v>780</v>
      </c>
      <c r="AV626" s="98">
        <f>IF(ISERROR((AU626/AM626-1)*100),"NA",IF(((AU626/AM626-1)*100)&gt;100,"NM",IF(((AU626/AM626-1)*100)&lt;-50,"NM",(AU626/AM626-1)*100)))</f>
        <v>26.21359223300972</v>
      </c>
      <c r="AW626" s="284">
        <v>799</v>
      </c>
      <c r="AX626" s="98">
        <f>IF(ISERROR((AW626/AO626-1)*100),"NA",IF(((AW626/AO626-1)*100)&gt;100,"NM",IF(((AW626/AO626-1)*100)&lt;-50,"NM",(AW626/AO626-1)*100)))</f>
        <v>21.060606060606069</v>
      </c>
      <c r="AY626" s="284">
        <v>1026</v>
      </c>
      <c r="AZ626" s="98">
        <f>IF(ISERROR((AY626/AQ626-1)*100),"NA",IF(((AY626/AQ626-1)*100)&gt;100,"NM",IF(((AY626/AQ626-1)*100)&lt;-50,"NM",(AY626/AQ626-1)*100)))</f>
        <v>24.817518248175176</v>
      </c>
      <c r="BA626" s="284">
        <v>984</v>
      </c>
      <c r="BB626" s="98">
        <f>IF(ISERROR((BA626/AS626-1)*100),"NA",IF(((BA626/AS626-1)*100)&gt;100,"NM",IF(((BA626/AS626-1)*100)&lt;-50,"NM",(BA626/AS626-1)*100)))</f>
        <v>13.103448275862073</v>
      </c>
      <c r="BC626" s="284">
        <v>958</v>
      </c>
      <c r="BD626" s="98">
        <f>IF(ISERROR((BC626/AU626-1)*100),"NA",IF(((BC626/AU626-1)*100)&gt;100,"NM",IF(((BC626/AU626-1)*100)&lt;-50,"NM",(BC626/AU626-1)*100)))</f>
        <v>22.820512820512828</v>
      </c>
      <c r="BE626" s="284">
        <v>1054</v>
      </c>
      <c r="BF626" s="98">
        <f t="shared" si="3604"/>
        <v>31.914893617021267</v>
      </c>
      <c r="BG626" s="284">
        <v>1082</v>
      </c>
      <c r="BH626" s="98">
        <f>IF(ISERROR((BG626/AY626-1)*100),"NA",IF(((BG626/AY626-1)*100)&gt;100,"NM",IF(((BG626/AY626-1)*100)&lt;-50,"NM",(BG626/AY626-1)*100)))</f>
        <v>5.4580896686159841</v>
      </c>
      <c r="BI626" s="284">
        <v>1311</v>
      </c>
      <c r="BJ626" s="98">
        <f>IF(ISERROR((BI626/BA626-1)*100),"NA",IF(((BI626/BA626-1)*100)&gt;100,"NM",IF(((BI626/BA626-1)*100)&lt;-50,"NM",(BI626/BA626-1)*100)))</f>
        <v>33.231707317073166</v>
      </c>
      <c r="BK626" s="284">
        <v>1113</v>
      </c>
      <c r="BL626" s="98">
        <f>IF(ISERROR((BK626/BC626-1)*100),"NA",IF(((BK626/BC626-1)*100)&gt;100,"NM",IF(((BK626/BC626-1)*100)&lt;-50,"NM",(BK626/BC626-1)*100)))</f>
        <v>16.179540709812112</v>
      </c>
      <c r="BM626" s="284">
        <v>1161</v>
      </c>
      <c r="BN626" s="98">
        <f t="shared" si="3608"/>
        <v>10.151802656546494</v>
      </c>
      <c r="BO626" s="284">
        <v>1072</v>
      </c>
      <c r="BP626" s="98">
        <f>IF(ISERROR((BO626/BG626-1)*100),"NA",IF(((BO626/BG626-1)*100)&gt;100,"NM",IF(((BO626/BG626-1)*100)&lt;-50,"NM",(BO626/BG626-1)*100)))</f>
        <v>-0.92421441774491742</v>
      </c>
      <c r="BQ626" s="284">
        <v>887</v>
      </c>
      <c r="BR626" s="98">
        <f>IF(ISERROR((BQ626/BI626-1)*100),"NA",IF(((BQ626/BI626-1)*100)&gt;100,"NM",IF(((BQ626/BI626-1)*100)&lt;-50,"NM",(BQ626/BI626-1)*100)))</f>
        <v>-32.341723874904652</v>
      </c>
      <c r="BS626" s="284">
        <v>608</v>
      </c>
      <c r="BT626" s="98">
        <f>IF(ISERROR((BS626/BK626-1)*100),"NA",IF(((BS626/BK626-1)*100)&gt;100,"NM",IF(((BS626/BK626-1)*100)&lt;-50,"NM",(BS626/BK626-1)*100)))</f>
        <v>-45.372866127583109</v>
      </c>
      <c r="BU626" s="182">
        <f>+BU624+BU621+BU616</f>
        <v>-47</v>
      </c>
      <c r="BV626" s="98" t="str">
        <f t="shared" si="3612"/>
        <v>NM</v>
      </c>
      <c r="BW626" s="182">
        <f>+BW624+BW621+BW616</f>
        <v>-59</v>
      </c>
      <c r="BX626" s="98" t="str">
        <f>IF(ISERROR((BW626/BO626-1)*100),"NA",IF(((BW626/BO626-1)*100)&gt;100,"NM",IF(((BW626/BO626-1)*100)&lt;-50,"NM",(BW626/BO626-1)*100)))</f>
        <v>NM</v>
      </c>
      <c r="BY626" s="182">
        <f>+BY624+BY621+BY616</f>
        <v>143</v>
      </c>
      <c r="BZ626" s="98" t="str">
        <f>IF(ISERROR((BY626/BQ626-1)*100),"NA",IF(((BY626/BQ626-1)*100)&gt;100,"NM",IF(((BY626/BQ626-1)*100)&lt;-50,"NM",(BY626/BQ626-1)*100)))</f>
        <v>NM</v>
      </c>
      <c r="CA626" s="182">
        <f>+CA624+CA621+CA616</f>
        <v>145</v>
      </c>
      <c r="CB626" s="98" t="str">
        <f>IF(ISERROR((CA626/BS626-1)*100),"NA",IF(((CA626/BS626-1)*100)&gt;100,"NM",IF(((CA626/BS626-1)*100)&lt;-50,"NM",(CA626/BS626-1)*100)))</f>
        <v>NM</v>
      </c>
      <c r="CC626" s="182">
        <f>+CC624+CC621+CC616</f>
        <v>33</v>
      </c>
      <c r="CD626" s="98" t="str">
        <f t="shared" ref="CD626:CD628" si="3649">IF(ISERROR((CC626/BU626-1)*100),"NA",IF(((CC626/BU626-1)*100)&gt;100,"NM",IF(((CC626/BU626-1)*100)&lt;-50,"NM",(CC626/BU626-1)*100)))</f>
        <v>NM</v>
      </c>
      <c r="CE626" s="182">
        <f>+CE624+CE621+CE616</f>
        <v>240</v>
      </c>
      <c r="CF626" s="98" t="str">
        <f t="shared" ref="CF626:CF628" si="3650">IF(ISERROR((CE626/BW626-1)*100),"NA",IF(((CE626/BW626-1)*100)&gt;100,"NM",IF(((CE626/BW626-1)*100)&lt;-50,"NM",(CE626/BW626-1)*100)))</f>
        <v>NM</v>
      </c>
      <c r="CG626" s="182">
        <f>+CG624+CG621+CG616</f>
        <v>269</v>
      </c>
      <c r="CH626" s="98">
        <f t="shared" si="3616"/>
        <v>88.111888111888106</v>
      </c>
      <c r="CI626" s="182">
        <f>+CI624+CI621+CI616</f>
        <v>193</v>
      </c>
      <c r="CJ626" s="98">
        <f t="shared" si="3617"/>
        <v>33.103448275862071</v>
      </c>
      <c r="CK626" s="182">
        <f>+CK624+CK621+CK616</f>
        <v>583</v>
      </c>
      <c r="CL626" s="98" t="str">
        <f>IF(ISERROR((CK626/CC626-1)*100),"NA",IF(((CK626/CC626-1)*100)&gt;100,"NM",IF(((CK626/CC626-1)*100)&lt;-50,"NM",(CK626/CC626-1)*100)))</f>
        <v>NM</v>
      </c>
      <c r="CM626" s="182">
        <f>+CM624+CM621+CM616</f>
        <v>704</v>
      </c>
      <c r="CN626" s="98" t="str">
        <f>IF(ISERROR((CM626/CE626-1)*100),"NA",IF(((CM626/CE626-1)*100)&gt;100,"NM",IF(((CM626/CE626-1)*100)&lt;-50,"NM",(CM626/CE626-1)*100)))</f>
        <v>NM</v>
      </c>
      <c r="CO626" s="182">
        <f>+CO624+CO621+CO616</f>
        <v>646</v>
      </c>
      <c r="CP626" s="98" t="str">
        <f>IF(ISERROR((CO626/CG626-1)*100),"NA",IF(((CO626/CG626-1)*100)&gt;100,"NM",IF(((CO626/CG626-1)*100)&lt;-50,"NM",(CO626/CG626-1)*100)))</f>
        <v>NM</v>
      </c>
      <c r="CQ626" s="512">
        <f>+CQ624+CQ621+CQ616</f>
        <v>751</v>
      </c>
      <c r="CR626" s="98" t="str">
        <f>IF(ISERROR((CQ626/CI626-1)*100),"NA",IF(((CQ626/CI626-1)*100)&gt;100,"NM",IF(((CQ626/CI626-1)*100)&lt;-50,"NM",(CQ626/CI626-1)*100)))</f>
        <v>NM</v>
      </c>
      <c r="CS626" s="182">
        <f>+CS624+CS621+CS616</f>
        <v>800</v>
      </c>
      <c r="CT626" s="574">
        <f>IF(ISERROR((CS626/CK626-1)*100),"NA",IF(((CS626/CK626-1)*100)&gt;100,"NM",IF(((CS626/CK626-1)*100)&lt;-50,"NM",(CS626/CK626-1)*100)))</f>
        <v>37.221269296740985</v>
      </c>
      <c r="CU626" s="182">
        <f>+CU624+CU621+CU616</f>
        <v>995</v>
      </c>
      <c r="CV626" s="574">
        <f>IF(ISERROR((CU626/CM626-1)*100),"NA",IF(((CU626/CM626-1)*100)&gt;100,"NM",IF(((CU626/CM626-1)*100)&lt;-50,"NM",(CU626/CM626-1)*100)))</f>
        <v>41.335227272727273</v>
      </c>
      <c r="CW626" s="182">
        <f>+CW624+CW621+CW616</f>
        <v>1024</v>
      </c>
      <c r="CX626" s="574">
        <f>IF(ISERROR((CW626/CO626-1)*100),"NA",IF(((CW626/CO626-1)*100)&gt;100,"NM",IF(((CW626/CO626-1)*100)&lt;-50,"NM",(CW626/CO626-1)*100)))</f>
        <v>58.513931888544903</v>
      </c>
      <c r="CY626" s="182">
        <f>+CY624+CY621+CY616</f>
        <v>925</v>
      </c>
      <c r="CZ626" s="574">
        <f>IF(ISERROR((CY626/CQ626-1)*100),"NA",IF(((CY626/CQ626-1)*100)&gt;100,"NM",IF(((CY626/CQ626-1)*100)&lt;-50,"NM",(CY626/CQ626-1)*100)))</f>
        <v>23.169107856191751</v>
      </c>
      <c r="DA626" s="182">
        <f>+DA624+DA621+DA616</f>
        <v>740</v>
      </c>
      <c r="DB626" s="574">
        <f t="shared" ref="DB626:DB628" si="3651">IF(ISERROR((DA626/CS626-1)*100),"NA",IF(((DA626/CS626-1)*100)&gt;100,"NM",IF(((DA626/CS626-1)*100)&lt;-50,"NM",(DA626/CS626-1)*100)))</f>
        <v>-7.4999999999999956</v>
      </c>
      <c r="DC626" s="182">
        <f>+DC624+DC621+DC616+DC622+DC625</f>
        <v>1001</v>
      </c>
      <c r="DD626" s="574">
        <f t="shared" ref="DD626:DD628" si="3652">IF(ISERROR((DC626/CU626-1)*100),"NA",IF(((DC626/CU626-1)*100)&gt;100,"NM",IF(((DC626/CU626-1)*100)&lt;-50,"NM",(DC626/CU626-1)*100)))</f>
        <v>0.60301507537687815</v>
      </c>
      <c r="DE626" s="182">
        <f>+DE624+DE621+DE616+DE622+DE625</f>
        <v>1004</v>
      </c>
      <c r="DF626" s="574">
        <f t="shared" ref="DF626:DF628" si="3653">IF(ISERROR((DE626/CW626-1)*100),"NA",IF(((DE626/CW626-1)*100)&gt;100,"NM",IF(((DE626/CW626-1)*100)&lt;-50,"NM",(DE626/CW626-1)*100)))</f>
        <v>-1.953125</v>
      </c>
      <c r="DG626" s="182">
        <f>+DG624+DG621+DG616+DG622+DG625</f>
        <v>836</v>
      </c>
      <c r="DH626" s="574">
        <f t="shared" ref="DH626:DH628" si="3654">IF(ISERROR((DG626/CY626-1)*100),"NA",IF(((DG626/CY626-1)*100)&gt;100,"NM",IF(((DG626/CY626-1)*100)&lt;-50,"NM",(DG626/CY626-1)*100)))</f>
        <v>-9.6216216216216228</v>
      </c>
      <c r="DI626" s="182">
        <f>+DI624+DI621+DI616+DI622+DI625</f>
        <v>896</v>
      </c>
      <c r="DJ626" s="98">
        <f t="shared" ref="DJ626:DJ628" si="3655">IF(ISERROR((DI626/DA626-1)*100),"NA",IF(((DI626/DA626-1)*100)&gt;100,"NM",IF(((DI626/DA626-1)*100)&lt;-50,"NM",(DI626/DA626-1)*100)))</f>
        <v>21.081081081081088</v>
      </c>
      <c r="DK626" s="182">
        <f>+DK624+DK621+DK616+DK622+DK625</f>
        <v>926</v>
      </c>
      <c r="DL626" s="98">
        <f t="shared" ref="DL626:DL628" si="3656">IF(ISERROR((DK626/DC626-1)*100),"NA",IF(((DK626/DC626-1)*100)&gt;100,"NM",IF(((DK626/DC626-1)*100)&lt;-50,"NM",(DK626/DC626-1)*100)))</f>
        <v>-7.4925074925074941</v>
      </c>
      <c r="DM626" s="182">
        <f>+DM624+DM621+DM616+DM622+DM625</f>
        <v>913</v>
      </c>
      <c r="DN626" s="98">
        <f t="shared" si="3639"/>
        <v>-9.0637450199203222</v>
      </c>
      <c r="DO626" s="182">
        <f>+DO624+DO621+DO616+DO622+DO625</f>
        <v>1040</v>
      </c>
      <c r="DP626" s="98">
        <f t="shared" si="3639"/>
        <v>24.40191387559809</v>
      </c>
      <c r="DQ626" s="182">
        <f>+DQ624+DQ621+DQ616+DQ622+DQ625</f>
        <v>865</v>
      </c>
      <c r="DR626" s="98">
        <f t="shared" si="3639"/>
        <v>-3.4598214285714302</v>
      </c>
      <c r="DS626" s="182">
        <f>+DS624+DS621+DS616+DS622+DS625</f>
        <v>1266</v>
      </c>
      <c r="DT626" s="98">
        <f t="shared" si="3639"/>
        <v>36.717062634989198</v>
      </c>
      <c r="DU626" s="182">
        <f>+DU624+DU621+DU616+DU622+DU625</f>
        <v>1359</v>
      </c>
      <c r="DV626" s="98">
        <f t="shared" si="3639"/>
        <v>48.849945235487404</v>
      </c>
      <c r="DW626" s="182">
        <f>+DW624+DW621+DW616+DW622+DW625</f>
        <v>358</v>
      </c>
      <c r="DX626" s="98" t="str">
        <f t="shared" si="3639"/>
        <v>NM</v>
      </c>
      <c r="DY626" s="182">
        <f>+DY624+DY621+DY616+DY622+DY625</f>
        <v>988</v>
      </c>
      <c r="DZ626" s="98">
        <f t="shared" si="3639"/>
        <v>14.219653179190761</v>
      </c>
      <c r="EA626" s="182">
        <f>+EA624+EA621+EA616+EA622</f>
        <v>1002</v>
      </c>
      <c r="EB626" s="98">
        <f t="shared" si="3640"/>
        <v>-20.853080568720383</v>
      </c>
      <c r="EC626" s="182">
        <f>+EC624+EC621+EC616+EC622</f>
        <v>626</v>
      </c>
      <c r="ED626" s="98" t="str">
        <f t="shared" si="3641"/>
        <v>NM</v>
      </c>
      <c r="EE626" s="182">
        <f>+EE624+EE621+EE616+EE622</f>
        <v>1355</v>
      </c>
      <c r="EF626" s="860" t="str">
        <f t="shared" si="3642"/>
        <v>NM</v>
      </c>
      <c r="EG626" s="182">
        <f>+EG624+EG621+EG616+EG622</f>
        <v>1057</v>
      </c>
      <c r="EH626" s="860">
        <f t="shared" si="3643"/>
        <v>6.9838056680161964</v>
      </c>
      <c r="EI626" s="182">
        <f>+EI624+EI621+EI616+EI622</f>
        <v>1321</v>
      </c>
      <c r="EJ626" s="860">
        <f t="shared" si="3618"/>
        <v>31.836327345309389</v>
      </c>
      <c r="EK626" s="182">
        <f>+EK624+EK621+EK616+EK622</f>
        <v>1121</v>
      </c>
      <c r="EL626" s="860">
        <f t="shared" si="3619"/>
        <v>79.073482428115</v>
      </c>
      <c r="EM626" s="182">
        <f>+EM624+EM621+EM616+EM622+EM625</f>
        <v>1115</v>
      </c>
      <c r="EN626" s="860">
        <f t="shared" si="3620"/>
        <v>-17.712177121771223</v>
      </c>
      <c r="EO626" s="182">
        <f>+EO624+EO621+EO616+EO622+EO625</f>
        <v>678</v>
      </c>
      <c r="EP626" s="98">
        <f t="shared" si="3621"/>
        <v>-35.856196783349105</v>
      </c>
      <c r="EQ626" s="1021">
        <f>+EQ624+EQ621+EQ616+EQ622+EQ625</f>
        <v>1227.8759053276194</v>
      </c>
      <c r="ER626" s="98">
        <f t="shared" si="3644"/>
        <v>-7.049515115244553</v>
      </c>
      <c r="ES626" s="1021">
        <f t="shared" ref="ES626" si="3657">+ES624+ES621+ES616+ES622+ES625</f>
        <v>1227.0519622517065</v>
      </c>
      <c r="ET626" s="98">
        <f t="shared" si="3595"/>
        <v>9.460478345379709</v>
      </c>
      <c r="EU626" s="1021">
        <f t="shared" ref="EU626" si="3658">+EU624+EU621+EU616+EU622+EU625</f>
        <v>1240.6753955390393</v>
      </c>
      <c r="EV626" s="98">
        <f t="shared" si="3596"/>
        <v>11.271335922783798</v>
      </c>
      <c r="EW626" s="1021">
        <f t="shared" ref="EW626" si="3659">+EW624+EW621+EW616+EW622+EW625</f>
        <v>1252.7110350702385</v>
      </c>
      <c r="EX626" s="98">
        <f t="shared" si="3597"/>
        <v>84.765639390890641</v>
      </c>
      <c r="EY626" s="182"/>
      <c r="EZ626" s="594"/>
      <c r="FA626" s="405"/>
      <c r="FB626" s="436">
        <v>1226</v>
      </c>
      <c r="FC626" s="230"/>
      <c r="FD626" s="284">
        <v>726</v>
      </c>
      <c r="FE626" s="98">
        <f>IF(ISERROR((FD626/FB626-1)*100),"NA",IF(((FD626/FB626-1)*100)&gt;100,"NM",IF(((FD626/FB626-1)*100)&lt;-50,"NM",(FD626/FB626-1)*100)))</f>
        <v>-40.783034257748774</v>
      </c>
      <c r="FF626" s="182">
        <f>C626+E626+G626+I626</f>
        <v>1546</v>
      </c>
      <c r="FG626" s="98" t="str">
        <f>IF(ISERROR((FF626/FD626-1)*100),"NA",IF(((FF626/FD626-1)*100)&gt;100,"NM",IF(((FF626/FD626-1)*100)&lt;-50,"NM",(FF626/FD626-1)*100)))</f>
        <v>NM</v>
      </c>
      <c r="FH626" s="182">
        <f>K626+M626+O626+Q626</f>
        <v>906</v>
      </c>
      <c r="FI626" s="98">
        <f>IF(ISERROR((FH626/FF626-1)*100),"NA",IF(((FH626/FF626-1)*100)&gt;100,"NM",IF(((FH626/FF626-1)*100)&lt;-50,"NM",(FH626/FF626-1)*100)))</f>
        <v>-41.397153945666233</v>
      </c>
      <c r="FJ626" s="182">
        <f>S626+U626+W626+Y626</f>
        <v>1744</v>
      </c>
      <c r="FK626" s="98">
        <f>IF(ISERROR((FJ626/FH626-1)*100),"NA",IF(((FJ626/FH626-1)*100)&gt;100,"NM",IF(((FJ626/FH626-1)*100)&lt;-50,"NM",(FJ626/FH626-1)*100)))</f>
        <v>92.4944812362031</v>
      </c>
      <c r="FL626" s="182">
        <f>AA626+AC626+AE626+AG626</f>
        <v>2247</v>
      </c>
      <c r="FM626" s="98">
        <f>IF(ISERROR((FL626/FJ626-1)*100),"NA",IF(((FL626/FJ626-1)*100)&gt;100,"NM",IF(((FL626/FJ626-1)*100)&lt;-50,"NM",(FL626/FJ626-1)*100)))</f>
        <v>28.841743119266063</v>
      </c>
      <c r="FN626" s="182">
        <f>AI626+AK626+AM626+AO626</f>
        <v>2639</v>
      </c>
      <c r="FO626" s="98">
        <f>IF(ISERROR((FN626/FL626-1)*100),"NA",IF(((FN626/FL626-1)*100)&gt;100,"NM",IF(((FN626/FL626-1)*100)&lt;-50,"NM",(FN626/FL626-1)*100)))</f>
        <v>17.445482866043616</v>
      </c>
      <c r="FP626" s="182">
        <f>AQ626+AS626+AU626+AW626</f>
        <v>3271</v>
      </c>
      <c r="FQ626" s="98">
        <f>IF(ISERROR((FP626/FN626-1)*100),"NA",IF(((FP626/FN626-1)*100)&gt;100,"NM",IF(((FP626/FN626-1)*100)&lt;-50,"NM",(FP626/FN626-1)*100)))</f>
        <v>23.948465327775679</v>
      </c>
      <c r="FR626" s="182">
        <f>AY626+BA626+BC626+BE626</f>
        <v>4022</v>
      </c>
      <c r="FS626" s="98">
        <f>IF(ISERROR((FR626/FP626-1)*100),"NA",IF(((FR626/FP626-1)*100)&gt;100,"NM",IF(((FR626/FP626-1)*100)&lt;-50,"NM",(FR626/FP626-1)*100)))</f>
        <v>22.959339651482736</v>
      </c>
      <c r="FT626" s="182">
        <f>BG626+BI626+BK626+BM626</f>
        <v>4667</v>
      </c>
      <c r="FU626" s="98">
        <f>IF(ISERROR((FT626/FR626-1)*100),"NA",IF(((FT626/FR626-1)*100)&gt;100,"NM",IF(((FT626/FR626-1)*100)&lt;-50,"NM",(FT626/FR626-1)*100)))</f>
        <v>16.036797613127796</v>
      </c>
      <c r="FV626" s="182">
        <f>BO626+BQ626+BS626+BU626</f>
        <v>2520</v>
      </c>
      <c r="FW626" s="98">
        <f t="shared" si="3625"/>
        <v>-46.003856867366622</v>
      </c>
      <c r="FX626" s="512">
        <f>+FX624+FX621+FX616</f>
        <v>262</v>
      </c>
      <c r="FY626" s="98" t="str">
        <f t="shared" si="3625"/>
        <v>NM</v>
      </c>
      <c r="FZ626" s="182">
        <f>+FZ624+FZ621+FZ616</f>
        <v>1285</v>
      </c>
      <c r="GA626" s="98" t="str">
        <f t="shared" si="3626"/>
        <v>NM</v>
      </c>
      <c r="GB626" s="512">
        <f>+GB624+GB621+GB616</f>
        <v>3342</v>
      </c>
      <c r="GC626" s="98" t="str">
        <f t="shared" si="3627"/>
        <v>NM</v>
      </c>
      <c r="GD626" s="182">
        <f>+GD624+GD621+GD616</f>
        <v>3684</v>
      </c>
      <c r="GE626" s="98">
        <f t="shared" si="3628"/>
        <v>10.233393177737881</v>
      </c>
      <c r="GF626" s="182">
        <f>+GF624+GF621+GF616+GF622+GF625</f>
        <v>5272</v>
      </c>
      <c r="GG626" s="98">
        <f t="shared" si="3628"/>
        <v>43.105320304017368</v>
      </c>
      <c r="GH626" s="182">
        <f>+GH624+GH621+GH616+GH622+GH625</f>
        <v>5341</v>
      </c>
      <c r="GI626" s="98">
        <f t="shared" si="3628"/>
        <v>1.3088012139605532</v>
      </c>
      <c r="GJ626" s="182">
        <f>+GJ624+GJ621+GJ616+GJ622+GJ625</f>
        <v>3971</v>
      </c>
      <c r="GK626" s="98">
        <f t="shared" si="3628"/>
        <v>-25.650627223366406</v>
      </c>
      <c r="GL626" s="182">
        <f>+GL624+GL621+GL616+GL622+GL625</f>
        <v>4040</v>
      </c>
      <c r="GM626" s="98">
        <f t="shared" si="3628"/>
        <v>1.7375975824729384</v>
      </c>
      <c r="GN626" s="183">
        <f t="shared" si="3598"/>
        <v>4235</v>
      </c>
      <c r="GO626" s="98">
        <f t="shared" si="3628"/>
        <v>4.8267326732673199</v>
      </c>
      <c r="GP626" s="183">
        <f t="shared" si="3599"/>
        <v>4948.314298188604</v>
      </c>
      <c r="GQ626" s="98">
        <f t="shared" si="3628"/>
        <v>16.843312826177193</v>
      </c>
      <c r="GR626" s="182">
        <f>+GR624+GR621+GR616+GR622+GR625</f>
        <v>5136.7764122477884</v>
      </c>
      <c r="GS626" s="98">
        <f t="shared" si="3628"/>
        <v>3.808612442588255</v>
      </c>
      <c r="GT626" s="182">
        <f>+GT624+GT621+GT616+GT622+GT625</f>
        <v>5337.7113438185688</v>
      </c>
      <c r="GU626" s="98">
        <f t="shared" si="3628"/>
        <v>3.911693160163332</v>
      </c>
      <c r="GV626" s="182">
        <f>+GV624+GV621+GV616+GV622+GV625</f>
        <v>5496.0002922144995</v>
      </c>
      <c r="GW626" s="98">
        <f t="shared" si="3628"/>
        <v>2.9654834853375833</v>
      </c>
      <c r="GX626" s="182">
        <f>+GX624+GX621+GX616+GX622+GX625</f>
        <v>5606.6769994248834</v>
      </c>
      <c r="GY626" s="98">
        <f t="shared" si="3648"/>
        <v>2.0137682191750494</v>
      </c>
      <c r="GZ626" s="98">
        <f t="shared" si="3600"/>
        <v>5.7719289229313242</v>
      </c>
      <c r="HA626" s="98"/>
      <c r="HB626" s="15"/>
      <c r="HC626"/>
      <c r="HD626"/>
      <c r="HE626"/>
      <c r="HF626"/>
      <c r="HG626"/>
      <c r="HH626"/>
      <c r="HI626" s="10"/>
      <c r="HJ626" s="15"/>
      <c r="HK626" s="15"/>
      <c r="HL626" s="15"/>
      <c r="HM626" s="15"/>
      <c r="HN626" s="15"/>
      <c r="HO626" s="15"/>
      <c r="HP626" s="15"/>
      <c r="HQ626" s="15"/>
      <c r="HR626" s="15"/>
      <c r="HS626" s="15"/>
      <c r="HT626" s="15"/>
      <c r="HU626" s="15"/>
      <c r="HV626" s="15"/>
      <c r="HW626" s="15"/>
      <c r="HX626" s="15"/>
      <c r="HY626" s="15"/>
      <c r="HZ626" s="15"/>
      <c r="IA626" s="15"/>
      <c r="IB626" s="15"/>
      <c r="IC626" s="15"/>
      <c r="ID626" s="15"/>
      <c r="IE626" s="15"/>
      <c r="IF626" s="15"/>
      <c r="IG626" s="15"/>
      <c r="IH626" s="15"/>
      <c r="II626" s="15"/>
      <c r="IJ626" s="15"/>
      <c r="IK626" s="15"/>
      <c r="IL626" s="15"/>
      <c r="IM626" s="15"/>
      <c r="IN626" s="15"/>
      <c r="IO626" s="15"/>
      <c r="IP626" s="15"/>
      <c r="IQ626" s="15"/>
      <c r="IR626" s="15"/>
      <c r="IS626" s="15"/>
      <c r="IT626" s="15"/>
      <c r="IU626" s="15"/>
      <c r="IV626" s="15"/>
      <c r="IW626" s="15"/>
      <c r="IX626" s="15"/>
      <c r="IY626" s="15"/>
      <c r="IZ626" s="15"/>
      <c r="JA626" s="15"/>
      <c r="JB626" s="15"/>
      <c r="JC626" s="15"/>
      <c r="JD626" s="15"/>
      <c r="JE626" s="15"/>
      <c r="JF626" s="15"/>
      <c r="JG626" s="15"/>
      <c r="JH626" s="15"/>
      <c r="JI626" s="15"/>
      <c r="JJ626" s="15"/>
      <c r="JK626" s="15"/>
      <c r="JL626" s="15"/>
      <c r="JM626" s="15"/>
      <c r="JN626" s="15"/>
      <c r="JO626" s="15"/>
      <c r="JP626" s="15"/>
      <c r="JQ626" s="15"/>
      <c r="JR626" s="15"/>
      <c r="JS626" s="15"/>
      <c r="JT626" s="15"/>
      <c r="JU626" s="15"/>
      <c r="JV626" s="15"/>
      <c r="JW626" s="15"/>
      <c r="JX626" s="15"/>
      <c r="JY626" s="15"/>
      <c r="JZ626" s="15"/>
      <c r="KA626" s="15"/>
      <c r="KB626" s="15"/>
      <c r="KC626" s="15"/>
      <c r="KD626" s="15"/>
      <c r="KE626" s="15"/>
      <c r="KF626" s="15"/>
      <c r="KG626" s="15"/>
      <c r="KH626" s="15"/>
      <c r="KI626" s="15"/>
      <c r="KJ626" s="15"/>
    </row>
    <row r="627" spans="1:296" s="10" customFormat="1" ht="12.75" customHeight="1" x14ac:dyDescent="0.2">
      <c r="A627" s="21"/>
      <c r="B627" s="18" t="s">
        <v>315</v>
      </c>
      <c r="C627" s="117">
        <f>+C580++++C191+C336+C303+C371+++C543</f>
        <v>0</v>
      </c>
      <c r="D627" s="98"/>
      <c r="E627" s="117">
        <f>+E580++++E191+E336+E303+E371+++E543</f>
        <v>0</v>
      </c>
      <c r="F627" s="98"/>
      <c r="G627" s="117">
        <f>+G580++++G191+G336+G303+G371+++G543</f>
        <v>0</v>
      </c>
      <c r="H627" s="98"/>
      <c r="I627" s="117">
        <f>+I580++++I191+I336+I303+I371+++I543</f>
        <v>0</v>
      </c>
      <c r="J627" s="98"/>
      <c r="K627" s="117">
        <f>+K580++++K191+K336+K303+K371+++K543</f>
        <v>0</v>
      </c>
      <c r="L627" s="98" t="str">
        <f>IF(ISERROR((K627/C627-1)*100),"NA",IF(((K627/C627-1)*100)&gt;100,"NM",IF(((K627/C627-1)*100)&lt;-50,"NM",(K627/C627-1)*100)))</f>
        <v>NA</v>
      </c>
      <c r="M627" s="117">
        <f>+M580++++M191+M336+M303+M371+++M543</f>
        <v>0</v>
      </c>
      <c r="N627" s="98" t="str">
        <f>IF(ISERROR((M627/E627-1)*100),"NA",IF(((M627/E627-1)*100)&gt;100,"NM",IF(((M627/E627-1)*100)&lt;-50,"NM",(M627/E627-1)*100)))</f>
        <v>NA</v>
      </c>
      <c r="O627" s="117">
        <f>+O580++++O191+O336+O303+O371+++O543</f>
        <v>0</v>
      </c>
      <c r="P627" s="98" t="str">
        <f>IF(ISERROR((O627/G627-1)*100),"NA",IF(((O627/G627-1)*100)&gt;100,"NM",IF(((O627/G627-1)*100)&lt;-50,"NM",(O627/G627-1)*100)))</f>
        <v>NA</v>
      </c>
      <c r="Q627" s="117">
        <f>+Q580++++Q191+Q336+Q303+Q371+++Q543</f>
        <v>0</v>
      </c>
      <c r="R627" s="98" t="str">
        <f>IF(ISERROR((Q627/I627-1)*100),"NA",IF(((Q627/I627-1)*100)&gt;100,"NM",IF(((Q627/I627-1)*100)&lt;-50,"NM",(Q627/I627-1)*100)))</f>
        <v>NA</v>
      </c>
      <c r="S627" s="117">
        <f>+S580++++S191+S336+S303+S371+++S543</f>
        <v>0</v>
      </c>
      <c r="T627" s="98" t="str">
        <f>IF(ISERROR((S627/K627-1)*100),"NA",IF(((S627/K627-1)*100)&gt;100,"NM",IF(((S627/K627-1)*100)&lt;-50,"NM",(S627/K627-1)*100)))</f>
        <v>NA</v>
      </c>
      <c r="U627" s="117">
        <f>+U580++++U191+U336+U303+U371+++U543</f>
        <v>0</v>
      </c>
      <c r="V627" s="98" t="str">
        <f>IF(ISERROR((U627/M627-1)*100),"NA",IF(((U627/M627-1)*100)&gt;100,"NM",IF(((U627/M627-1)*100)&lt;-50,"NM",(U627/M627-1)*100)))</f>
        <v>NA</v>
      </c>
      <c r="W627" s="117">
        <f>+W580++++W191+W336+W303+W371+++W543</f>
        <v>0</v>
      </c>
      <c r="X627" s="98" t="str">
        <f>IF(ISERROR((W627/O627-1)*100),"NA",IF(((W627/O627-1)*100)&gt;100,"NM",IF(((W627/O627-1)*100)&lt;-50,"NM",(W627/O627-1)*100)))</f>
        <v>NA</v>
      </c>
      <c r="Y627" s="117">
        <f>+Y580++++Y191+Y336+Y303+Y371+++Y543</f>
        <v>0</v>
      </c>
      <c r="Z627" s="98" t="str">
        <f>IF(ISERROR((Y627/Q627-1)*100),"NA",IF(((Y627/Q627-1)*100)&gt;100,"NM",IF(((Y627/Q627-1)*100)&lt;-50,"NM",(Y627/Q627-1)*100)))</f>
        <v>NA</v>
      </c>
      <c r="AA627" s="117">
        <f>+AA580++++AA191+AA336+AA303+AA371+++AA543</f>
        <v>0</v>
      </c>
      <c r="AB627" s="98" t="str">
        <f>IF(ISERROR((AA627/S627-1)*100),"NA",IF(((AA627/S627-1)*100)&gt;100,"NM",IF(((AA627/S627-1)*100)&lt;-50,"NM",(AA627/S627-1)*100)))</f>
        <v>NA</v>
      </c>
      <c r="AC627" s="117">
        <f>+AC580++++AC191+AC336+AC303+AC371+++AC543</f>
        <v>0</v>
      </c>
      <c r="AD627" s="98" t="str">
        <f>IF(ISERROR((AC627/U627-1)*100),"NA",IF(((AC627/U627-1)*100)&gt;100,"NM",IF(((AC627/U627-1)*100)&lt;-50,"NM",(AC627/U627-1)*100)))</f>
        <v>NA</v>
      </c>
      <c r="AE627" s="117">
        <f>+AE580++++AE191+AE336+AE303+AE371+++AE543</f>
        <v>0</v>
      </c>
      <c r="AF627" s="98" t="str">
        <f>IF(ISERROR((AE627/W627-1)*100),"NA",IF(((AE627/W627-1)*100)&gt;100,"NM",IF(((AE627/W627-1)*100)&lt;-50,"NM",(AE627/W627-1)*100)))</f>
        <v>NA</v>
      </c>
      <c r="AG627" s="117">
        <f>+AG580++++AG191+AG336+AG303+AG371+++AG543</f>
        <v>0</v>
      </c>
      <c r="AH627" s="98" t="str">
        <f>IF(ISERROR((AG627/Y627-1)*100),"NA",IF(((AG627/Y627-1)*100)&gt;100,"NM",IF(((AG627/Y627-1)*100)&lt;-50,"NM",(AG627/Y627-1)*100)))</f>
        <v>NA</v>
      </c>
      <c r="AI627" s="117">
        <f>+AI580++++AI191+AI336+AI303+AI371+++AI543</f>
        <v>0</v>
      </c>
      <c r="AJ627" s="98" t="str">
        <f>IF(ISERROR((AI627/AA627-1)*100),"NA",IF(((AI627/AA627-1)*100)&gt;100,"NM",IF(((AI627/AA627-1)*100)&lt;-50,"NM",(AI627/AA627-1)*100)))</f>
        <v>NA</v>
      </c>
      <c r="AK627" s="117">
        <f>+AK580++++AK191+AK336+AK303+AK371+++AK543</f>
        <v>105</v>
      </c>
      <c r="AL627" s="98" t="str">
        <f>IF(ISERROR((AK627/AC627-1)*100),"NA",IF(((AK627/AC627-1)*100)&gt;100,"NM",IF(((AK627/AC627-1)*100)&lt;-50,"NM",(AK627/AC627-1)*100)))</f>
        <v>NA</v>
      </c>
      <c r="AM627" s="117">
        <f>+AM580++++AM191+AM336+AM303+AM371++AM543</f>
        <v>25</v>
      </c>
      <c r="AN627" s="98" t="str">
        <f>IF(ISERROR((AM627/AE627-1)*100),"NA",IF(((AM627/AE627-1)*100)&gt;100,"NM",IF(((AM627/AE627-1)*100)&lt;-50,"NM",(AM627/AE627-1)*100)))</f>
        <v>NA</v>
      </c>
      <c r="AO627" s="117">
        <f>+AO580++++AO191+AO336+AO303+AO371++AO543</f>
        <v>51.58898305084746</v>
      </c>
      <c r="AP627" s="98" t="str">
        <f>IF(ISERROR((AO627/AG627-1)*100),"NA",IF(((AO627/AG627-1)*100)&gt;100,"NM",IF(((AO627/AG627-1)*100)&lt;-50,"NM",(AO627/AG627-1)*100)))</f>
        <v>NA</v>
      </c>
      <c r="AQ627" s="117">
        <f>+AQ580++++AQ191+AQ336+AQ303+AQ371++AQ543</f>
        <v>55</v>
      </c>
      <c r="AR627" s="98" t="str">
        <f>IF(ISERROR((AQ627/AI627-1)*100),"NA",IF(((AQ627/AI627-1)*100)&gt;100,"NM",IF(((AQ627/AI627-1)*100)&lt;-50,"NM",(AQ627/AI627-1)*100)))</f>
        <v>NA</v>
      </c>
      <c r="AS627" s="117">
        <f>+AS580++++AS191+AS336+AS303+AS371++AS543</f>
        <v>144</v>
      </c>
      <c r="AT627" s="98">
        <f>IF(ISERROR((AS627/AK627-1)*100),"NA",IF(((AS627/AK627-1)*100)&gt;100,"NM",IF(((AS627/AK627-1)*100)&lt;-50,"NM",(AS627/AK627-1)*100)))</f>
        <v>37.142857142857146</v>
      </c>
      <c r="AU627" s="117">
        <f>+AU580++++AU191+AU336+AU303+AU371++AU543</f>
        <v>136</v>
      </c>
      <c r="AV627" s="98" t="str">
        <f>IF(ISERROR((AU627/AM627-1)*100),"NA",IF(((AU627/AM627-1)*100)&gt;100,"NM",IF(((AU627/AM627-1)*100)&lt;-50,"NM",(AU627/AM627-1)*100)))</f>
        <v>NM</v>
      </c>
      <c r="AW627" s="117">
        <f>+AW580++++AW191+AW336+AW303+AW371++AW543</f>
        <v>45</v>
      </c>
      <c r="AX627" s="98">
        <f>IF(ISERROR((AW627/AO627-1)*100),"NA",IF(((AW627/AO627-1)*100)&gt;100,"NM",IF(((AW627/AO627-1)*100)&lt;-50,"NM",(AW627/AO627-1)*100)))</f>
        <v>-12.772073921971261</v>
      </c>
      <c r="AY627" s="117">
        <f>+AY580++++AY191+AY336+AY303+AY371++AY543</f>
        <v>119</v>
      </c>
      <c r="AZ627" s="98" t="str">
        <f>IF(ISERROR((AY627/AQ627-1)*100),"NA",IF(((AY627/AQ627-1)*100)&gt;100,"NM",IF(((AY627/AQ627-1)*100)&lt;-50,"NM",(AY627/AQ627-1)*100)))</f>
        <v>NM</v>
      </c>
      <c r="BA627" s="117">
        <f>+BA580++++BA191+BA336+BA303+BA371++BA543</f>
        <v>56</v>
      </c>
      <c r="BB627" s="98" t="str">
        <f>IF(ISERROR((BA627/AS627-1)*100),"NA",IF(((BA627/AS627-1)*100)&gt;100,"NM",IF(((BA627/AS627-1)*100)&lt;-50,"NM",(BA627/AS627-1)*100)))</f>
        <v>NM</v>
      </c>
      <c r="BC627" s="117">
        <f>+BC580++++BC191+BC336+BC303+BC371++BC543</f>
        <v>18</v>
      </c>
      <c r="BD627" s="98" t="str">
        <f>IF(ISERROR((BC627/AU627-1)*100),"NA",IF(((BC627/AU627-1)*100)&gt;100,"NM",IF(((BC627/AU627-1)*100)&lt;-50,"NM",(BC627/AU627-1)*100)))</f>
        <v>NM</v>
      </c>
      <c r="BE627" s="117">
        <f>+BE580++++BE191+BE336+BE303+BE371++BE543</f>
        <v>35</v>
      </c>
      <c r="BF627" s="98">
        <f t="shared" si="3604"/>
        <v>-22.222222222222221</v>
      </c>
      <c r="BG627" s="117">
        <f>+BG580++++BG191+BG336+BG303+BG371++BG543</f>
        <v>69</v>
      </c>
      <c r="BH627" s="98">
        <f>IF(ISERROR((BG627/AY627-1)*100),"NA",IF(((BG627/AY627-1)*100)&gt;100,"NM",IF(((BG627/AY627-1)*100)&lt;-50,"NM",(BG627/AY627-1)*100)))</f>
        <v>-42.016806722689068</v>
      </c>
      <c r="BI627" s="117">
        <f>+BI580++++BI191+BI336+BI303+BI371++BI543</f>
        <v>142</v>
      </c>
      <c r="BJ627" s="98" t="str">
        <f>IF(ISERROR((BI627/BA627-1)*100),"NA",IF(((BI627/BA627-1)*100)&gt;100,"NM",IF(((BI627/BA627-1)*100)&lt;-50,"NM",(BI627/BA627-1)*100)))</f>
        <v>NM</v>
      </c>
      <c r="BK627" s="117">
        <f>+BK580++++BK191+BK336+BK303+BK371++BK543</f>
        <v>61.6</v>
      </c>
      <c r="BL627" s="98" t="str">
        <f>IF(ISERROR((BK627/BC627-1)*100),"NA",IF(((BK627/BC627-1)*100)&gt;100,"NM",IF(((BK627/BC627-1)*100)&lt;-50,"NM",(BK627/BC627-1)*100)))</f>
        <v>NM</v>
      </c>
      <c r="BM627" s="117">
        <f>+BM580++++BM191+BM336+BM303+BM371++BM543</f>
        <v>107</v>
      </c>
      <c r="BN627" s="98" t="str">
        <f t="shared" si="3608"/>
        <v>NM</v>
      </c>
      <c r="BO627" s="117">
        <f>+BO580++++BO191+BO336+BO303+BO371++BO543</f>
        <v>39</v>
      </c>
      <c r="BP627" s="98">
        <f>IF(ISERROR((BO627/BG627-1)*100),"NA",IF(((BO627/BG627-1)*100)&gt;100,"NM",IF(((BO627/BG627-1)*100)&lt;-50,"NM",(BO627/BG627-1)*100)))</f>
        <v>-43.478260869565219</v>
      </c>
      <c r="BQ627" s="117">
        <f>+BQ580++++BQ191+BQ336+BQ303+BQ371++BQ543</f>
        <v>-71</v>
      </c>
      <c r="BR627" s="98" t="str">
        <f>IF(ISERROR((BQ627/BI627-1)*100),"NA",IF(((BQ627/BI627-1)*100)&gt;100,"NM",IF(((BQ627/BI627-1)*100)&lt;-50,"NM",(BQ627/BI627-1)*100)))</f>
        <v>NM</v>
      </c>
      <c r="BS627" s="117">
        <f>+BS580++++BS191+BS336+BS303+BS371++BS543</f>
        <v>-150</v>
      </c>
      <c r="BT627" s="98" t="str">
        <f>IF(ISERROR((BS627/BK627-1)*100),"NA",IF(((BS627/BK627-1)*100)&gt;100,"NM",IF(((BS627/BK627-1)*100)&lt;-50,"NM",(BS627/BK627-1)*100)))</f>
        <v>NM</v>
      </c>
      <c r="BU627" s="117">
        <f>+BU580++++BU191+BU336+BU303+BU371++BU543</f>
        <v>-206</v>
      </c>
      <c r="BV627" s="98" t="str">
        <f t="shared" si="3612"/>
        <v>NM</v>
      </c>
      <c r="BW627" s="117">
        <f>+BW580++++BW191+BW336+BW303+BW371++BW543</f>
        <v>-207</v>
      </c>
      <c r="BX627" s="98" t="str">
        <f>IF(ISERROR((BW627/BO627-1)*100),"NA",IF(((BW627/BO627-1)*100)&gt;100,"NM",IF(((BW627/BO627-1)*100)&lt;-50,"NM",(BW627/BO627-1)*100)))</f>
        <v>NM</v>
      </c>
      <c r="BY627" s="117">
        <f>+BY580++++BY191+BY336+BY303+BY371++BY543</f>
        <v>-80</v>
      </c>
      <c r="BZ627" s="98">
        <f>IF(ISERROR((BY627/BQ627-1)*100),"NA",IF(((BY627/BQ627-1)*100)&gt;100,"NM",IF(((BY627/BQ627-1)*100)&lt;-50,"NM",(BY627/BQ627-1)*100)))</f>
        <v>12.676056338028175</v>
      </c>
      <c r="CA627" s="117">
        <f>+CA580++++CA191+CA336+CA303+CA371++CA543</f>
        <v>-71</v>
      </c>
      <c r="CB627" s="98" t="str">
        <f>IF(ISERROR((CA627/BS627-1)*100),"NA",IF(((CA627/BS627-1)*100)&gt;100,"NM",IF(((CA627/BS627-1)*100)&lt;-50,"NM",(CA627/BS627-1)*100)))</f>
        <v>NM</v>
      </c>
      <c r="CC627" s="117">
        <f>+CC580++++CC191+CC336+CC303+CC371++CC543</f>
        <v>-131</v>
      </c>
      <c r="CD627" s="98">
        <f t="shared" si="3649"/>
        <v>-36.407766990291258</v>
      </c>
      <c r="CE627" s="117">
        <f>+CE580++++CE191+CE336+CE303+CE371+++CE543</f>
        <v>-52</v>
      </c>
      <c r="CF627" s="98" t="str">
        <f t="shared" si="3650"/>
        <v>NM</v>
      </c>
      <c r="CG627" s="117">
        <f>+CG580++++CG191+CG336+CG303+CG371+++CG543</f>
        <v>29</v>
      </c>
      <c r="CH627" s="98" t="str">
        <f t="shared" si="3616"/>
        <v>NM</v>
      </c>
      <c r="CI627" s="117">
        <f>+CI580++++CI191+CI336+CI303+CI371+++CI543</f>
        <v>6</v>
      </c>
      <c r="CJ627" s="98" t="str">
        <f t="shared" si="3617"/>
        <v>NM</v>
      </c>
      <c r="CK627" s="117">
        <f>+CK580++++CK191+CK336+CK303+CK371+++CK543</f>
        <v>171</v>
      </c>
      <c r="CL627" s="98" t="str">
        <f>IF(ISERROR((CK627/CC627-1)*100),"NA",IF(((CK627/CC627-1)*100)&gt;100,"NM",IF(((CK627/CC627-1)*100)&lt;-50,"NM",(CK627/CC627-1)*100)))</f>
        <v>NM</v>
      </c>
      <c r="CM627" s="117">
        <f>+CM580+CM191+CM336+CM303+CM371+CM543</f>
        <v>45</v>
      </c>
      <c r="CN627" s="98" t="str">
        <f>IF(ISERROR((CM627/CE627-1)*100),"NA",IF(((CM627/CE627-1)*100)&gt;100,"NM",IF(((CM627/CE627-1)*100)&lt;-50,"NM",(CM627/CE627-1)*100)))</f>
        <v>NM</v>
      </c>
      <c r="CO627" s="117">
        <f>+CO580+CO191+CO336+CO303+CO371+CO543</f>
        <v>-38</v>
      </c>
      <c r="CP627" s="98" t="str">
        <f>IF(ISERROR((CO627/CG627-1)*100),"NA",IF(((CO627/CG627-1)*100)&gt;100,"NM",IF(((CO627/CG627-1)*100)&lt;-50,"NM",(CO627/CG627-1)*100)))</f>
        <v>NM</v>
      </c>
      <c r="CQ627" s="486">
        <f>+CQ580+CQ116+CQ191+CQ336+CQ303+CQ371+CQ543</f>
        <v>-55</v>
      </c>
      <c r="CR627" s="98" t="str">
        <f>IF(ISERROR((CQ627/CI627-1)*100),"NA",IF(((CQ627/CI627-1)*100)&gt;100,"NM",IF(((CQ627/CI627-1)*100)&lt;-50,"NM",(CQ627/CI627-1)*100)))</f>
        <v>NM</v>
      </c>
      <c r="CS627" s="117">
        <f>+CS580+CS116+CS191+CS336+CS303+CS371+CS543</f>
        <v>-30</v>
      </c>
      <c r="CT627" s="574" t="str">
        <f>IF(ISERROR((CS627/CK627-1)*100),"NA",IF(((CS627/CK627-1)*100)&gt;100,"NM",IF(((CS627/CK627-1)*100)&lt;-50,"NM",(CS627/CK627-1)*100)))</f>
        <v>NM</v>
      </c>
      <c r="CU627" s="117">
        <f>+CU580+CU116+CU191+CU336+CU303+CU371+CU543</f>
        <v>-11</v>
      </c>
      <c r="CV627" s="574" t="str">
        <f>IF(ISERROR((CU627/CM627-1)*100),"NA",IF(((CU627/CM627-1)*100)&gt;100,"NM",IF(((CU627/CM627-1)*100)&lt;-50,"NM",(CU627/CM627-1)*100)))</f>
        <v>NM</v>
      </c>
      <c r="CW627" s="117">
        <f>+CW580+CW116+CW191+CW336+CW303+CW371+CW543</f>
        <v>50</v>
      </c>
      <c r="CX627" s="574" t="str">
        <f>IF(ISERROR((CW627/CO627-1)*100),"NA",IF(((CW627/CO627-1)*100)&gt;100,"NM",IF(((CW627/CO627-1)*100)&lt;-50,"NM",(CW627/CO627-1)*100)))</f>
        <v>NM</v>
      </c>
      <c r="CY627" s="117">
        <f>+CY580+CY116+CY191+CY336+CY303+CY371+CY543</f>
        <v>-18</v>
      </c>
      <c r="CZ627" s="574" t="str">
        <f>IF(ISERROR((CY627/CQ627-1)*100),"NA",IF(((CY627/CQ627-1)*100)&gt;100,"NM",IF(((CY627/CQ627-1)*100)&lt;-50,"NM",(CY627/CQ627-1)*100)))</f>
        <v>NM</v>
      </c>
      <c r="DA627" s="117">
        <f>+DA580+DA116+DA191+DA336+DA303+DA371+DA543</f>
        <v>-85</v>
      </c>
      <c r="DB627" s="574" t="str">
        <f t="shared" si="3651"/>
        <v>NM</v>
      </c>
      <c r="DC627" s="117">
        <f>+DC580+DC116+DC191+DC336+DC303+DC371+DC543</f>
        <v>6</v>
      </c>
      <c r="DD627" s="574" t="str">
        <f t="shared" si="3652"/>
        <v>NM</v>
      </c>
      <c r="DE627" s="117">
        <f>+DE580+DE116+DE191+DE336+DE303+DE371+DE543</f>
        <v>4</v>
      </c>
      <c r="DF627" s="574" t="str">
        <f t="shared" si="3653"/>
        <v>NM</v>
      </c>
      <c r="DG627" s="117">
        <f>+DG580+DG116+DG191+DG336+DG303+DG371+DG543</f>
        <v>-48</v>
      </c>
      <c r="DH627" s="574" t="str">
        <f t="shared" si="3654"/>
        <v>NM</v>
      </c>
      <c r="DI627" s="117">
        <f>+DI580+DI116+DI191+DI336+DI303+DI371+DI543</f>
        <v>-34</v>
      </c>
      <c r="DJ627" s="98" t="str">
        <f t="shared" si="3655"/>
        <v>NM</v>
      </c>
      <c r="DK627" s="117">
        <f>+DK580+DK116+DK191+DK336+DK303+DK371+DK543</f>
        <v>-20</v>
      </c>
      <c r="DL627" s="98" t="str">
        <f t="shared" si="3656"/>
        <v>NM</v>
      </c>
      <c r="DM627" s="117">
        <f>+DM580+DM116+DM191+DM336+DM303+DM371+DM543</f>
        <v>19</v>
      </c>
      <c r="DN627" s="98" t="str">
        <f t="shared" si="3639"/>
        <v>NM</v>
      </c>
      <c r="DO627" s="117">
        <f>+DO580+DO116+DO191+DO336+DO303+DO371+DO543</f>
        <v>2</v>
      </c>
      <c r="DP627" s="98" t="str">
        <f t="shared" si="3639"/>
        <v>NM</v>
      </c>
      <c r="DQ627" s="117">
        <f>+DQ580+DQ116+DQ191+DQ336+DQ303+DQ371+DQ543</f>
        <v>-66</v>
      </c>
      <c r="DR627" s="98">
        <f t="shared" si="3639"/>
        <v>94.117647058823522</v>
      </c>
      <c r="DS627" s="117">
        <f>+DS580+DS116+DS191+DS336+DS303+DS371+DS543+DS504+DS270</f>
        <v>-16</v>
      </c>
      <c r="DT627" s="98">
        <f t="shared" si="3639"/>
        <v>-19.999999999999996</v>
      </c>
      <c r="DU627" s="117">
        <f>+DU580+DU116+DU191+DU336+DU303+DU371+DU543+DU504+DU270</f>
        <v>61</v>
      </c>
      <c r="DV627" s="98" t="str">
        <f t="shared" si="3639"/>
        <v>NM</v>
      </c>
      <c r="DW627" s="117">
        <f>+DW580+DW116+DW191+DW336+DW303+DW371+DW543+DW504+DW270</f>
        <v>-794</v>
      </c>
      <c r="DX627" s="98" t="str">
        <f t="shared" si="3639"/>
        <v>NM</v>
      </c>
      <c r="DY627" s="117">
        <f>+DY580+DY116+DY191+DY336+DY303+DY371+DY543+DY504+DY270</f>
        <v>-69</v>
      </c>
      <c r="DZ627" s="98">
        <f t="shared" si="3639"/>
        <v>4.5454545454545414</v>
      </c>
      <c r="EA627" s="117">
        <f>+EA116+EA191+EA336+EA303+EA371+EA543+EA504+EA270</f>
        <v>-103</v>
      </c>
      <c r="EB627" s="98" t="str">
        <f t="shared" si="3640"/>
        <v>NM</v>
      </c>
      <c r="EC627" s="117">
        <f>+EC116+EC191+EC336+EC303+EC371+EC543+EC504+EC270</f>
        <v>-399</v>
      </c>
      <c r="ED627" s="98" t="str">
        <f t="shared" si="3641"/>
        <v>NM</v>
      </c>
      <c r="EE627" s="117">
        <f>+EE116+EE191+EE336+EE303+EE371+EE543+EE504+EE270</f>
        <v>-50.199999999999996</v>
      </c>
      <c r="EF627" s="860" t="str">
        <f t="shared" si="3642"/>
        <v>NM</v>
      </c>
      <c r="EG627" s="117">
        <f>+EG116+EG191+EG336+EG303+EG371+EG543+EG504+EG270</f>
        <v>-91</v>
      </c>
      <c r="EH627" s="860">
        <f t="shared" si="3643"/>
        <v>31.884057971014499</v>
      </c>
      <c r="EI627" s="117">
        <f>+EI116+EI191+EI336+EI303+EI371+EI543+EI504+EI270</f>
        <v>39</v>
      </c>
      <c r="EJ627" s="860" t="str">
        <f t="shared" si="3618"/>
        <v>NM</v>
      </c>
      <c r="EK627" s="117">
        <f>+EK116+EK191+EK336+EK303+EK371+EK543+EK504+EK270</f>
        <v>-37</v>
      </c>
      <c r="EL627" s="860" t="str">
        <f t="shared" si="3619"/>
        <v>NM</v>
      </c>
      <c r="EM627" s="117">
        <f>+EM580+EM116+EM191+EM336+EM303+EM371+EM543+EM504+EM270</f>
        <v>-14</v>
      </c>
      <c r="EN627" s="860" t="str">
        <f t="shared" si="3620"/>
        <v>NM</v>
      </c>
      <c r="EO627" s="117">
        <f>+EO580+EO116+EO191+EO336+EO303+EO371+EO543+EO504+EO270</f>
        <v>-463</v>
      </c>
      <c r="EP627" s="98" t="str">
        <f t="shared" si="3621"/>
        <v>NM</v>
      </c>
      <c r="EQ627" s="1031">
        <f>+EQ580+EQ116+EQ191+EQ336+EQ303+EQ371+EQ543+EQ504+EQ270</f>
        <v>0</v>
      </c>
      <c r="ER627" s="98" t="str">
        <f t="shared" si="3644"/>
        <v>NM</v>
      </c>
      <c r="ES627" s="1031">
        <f>+ES580+ES116+ES191+ES336+ES303+ES371+ES543+ES504+ES270</f>
        <v>0</v>
      </c>
      <c r="ET627" s="98" t="str">
        <f t="shared" si="3595"/>
        <v>NM</v>
      </c>
      <c r="EU627" s="1031">
        <f>+EU580+EU116+EU191+EU336+EU303+EU371+EU543+EU504+EU270</f>
        <v>0</v>
      </c>
      <c r="EV627" s="98" t="str">
        <f t="shared" si="3596"/>
        <v>NM</v>
      </c>
      <c r="EW627" s="1031">
        <f>+EW580+EW116+EW191+EW336+EW303+EW371+EW543+EW504+EW270</f>
        <v>0</v>
      </c>
      <c r="EX627" s="98" t="str">
        <f t="shared" si="3597"/>
        <v>NM</v>
      </c>
      <c r="EY627" s="117"/>
      <c r="EZ627" s="594"/>
      <c r="FA627" s="405"/>
      <c r="FB627" s="117">
        <f>+FB580+FB191+FB336+FB303+FB371+FB543</f>
        <v>0</v>
      </c>
      <c r="FC627" s="98"/>
      <c r="FD627" s="117">
        <f>+FD580+FD191+FD336+FD303+FD371+FD543</f>
        <v>0</v>
      </c>
      <c r="FE627" s="98" t="str">
        <f>IF(ISERROR((FD627/FB627-1)*100),"NA",IF(((FD627/FB627-1)*100)&gt;100,"NM",IF(((FD627/FB627-1)*100)&lt;-50,"NM",(FD627/FB627-1)*100)))</f>
        <v>NA</v>
      </c>
      <c r="FF627" s="117">
        <f>+FF580+FF191+FF336+FF303+FF371+FF543</f>
        <v>0</v>
      </c>
      <c r="FG627" s="98" t="str">
        <f>IF(ISERROR((FF627/FD627-1)*100),"NA",IF(((FF627/FD627-1)*100)&gt;100,"NM",IF(((FF627/FD627-1)*100)&lt;-50,"NM",(FF627/FD627-1)*100)))</f>
        <v>NA</v>
      </c>
      <c r="FH627" s="117">
        <f>+FH580+FH191+FH336+FH303+FH371+FH543</f>
        <v>0</v>
      </c>
      <c r="FI627" s="98" t="str">
        <f>IF(ISERROR((FH627/FF627-1)*100),"NA",IF(((FH627/FF627-1)*100)&gt;100,"NM",IF(((FH627/FF627-1)*100)&lt;-50,"NM",(FH627/FF627-1)*100)))</f>
        <v>NA</v>
      </c>
      <c r="FJ627" s="117">
        <f>+FJ580+FJ191+FJ336+FJ303+FJ371+FJ543</f>
        <v>0</v>
      </c>
      <c r="FK627" s="98" t="str">
        <f>IF(ISERROR((FJ627/FH627-1)*100),"NA",IF(((FJ627/FH627-1)*100)&gt;100,"NM",IF(((FJ627/FH627-1)*100)&lt;-50,"NM",(FJ627/FH627-1)*100)))</f>
        <v>NA</v>
      </c>
      <c r="FL627" s="117">
        <f>+FL580+FL191+FL336+FL303+FL371+FL543</f>
        <v>0</v>
      </c>
      <c r="FM627" s="98" t="str">
        <f>IF(ISERROR((FL627/FJ627-1)*100),"NA",IF(((FL627/FJ627-1)*100)&gt;100,"NM",IF(((FL627/FJ627-1)*100)&lt;-50,"NM",(FL627/FJ627-1)*100)))</f>
        <v>NA</v>
      </c>
      <c r="FN627" s="117">
        <f>+FN580+FN191+FN336+FN303+FN371+FN543</f>
        <v>0</v>
      </c>
      <c r="FO627" s="98" t="str">
        <f>IF(ISERROR((FN627/FL627-1)*100),"NA",IF(((FN627/FL627-1)*100)&gt;100,"NM",IF(((FN627/FL627-1)*100)&lt;-50,"NM",(FN627/FL627-1)*100)))</f>
        <v>NA</v>
      </c>
      <c r="FP627" s="117">
        <f>+FP580+FP191+FP336+FP303+FP371+FP543</f>
        <v>380</v>
      </c>
      <c r="FQ627" s="98" t="str">
        <f>IF(ISERROR((FP627/FN627-1)*100),"NA",IF(((FP627/FN627-1)*100)&gt;100,"NM",IF(((FP627/FN627-1)*100)&lt;-50,"NM",(FP627/FN627-1)*100)))</f>
        <v>NA</v>
      </c>
      <c r="FR627" s="117">
        <f>+FR580+FR191+FR336+FR303+FR371+FR543</f>
        <v>228</v>
      </c>
      <c r="FS627" s="98">
        <f>IF(ISERROR((FR627/FP627-1)*100),"NA",IF(((FR627/FP627-1)*100)&gt;100,"NM",IF(((FR627/FP627-1)*100)&lt;-50,"NM",(FR627/FP627-1)*100)))</f>
        <v>-40</v>
      </c>
      <c r="FT627" s="117">
        <f>+FT580+FT191+FT336+FT303+FT371+FT543</f>
        <v>379.6</v>
      </c>
      <c r="FU627" s="98">
        <f>IF(ISERROR((FT627/FR627-1)*100),"NA",IF(((FT627/FR627-1)*100)&gt;100,"NM",IF(((FT627/FR627-1)*100)&lt;-50,"NM",(FT627/FR627-1)*100)))</f>
        <v>66.491228070175453</v>
      </c>
      <c r="FV627" s="117">
        <f>+FV580+FV191+FV336+FV303+FV371+FV543</f>
        <v>-388</v>
      </c>
      <c r="FW627" s="98" t="str">
        <f t="shared" si="3625"/>
        <v>NM</v>
      </c>
      <c r="FX627" s="486">
        <f>+FX580+FX191+FX336+FX303+FX371+FX543</f>
        <v>-489</v>
      </c>
      <c r="FY627" s="98">
        <f t="shared" si="3625"/>
        <v>26.030927835051543</v>
      </c>
      <c r="FZ627" s="117">
        <f>+FZ580+FZ191+FZ336+FZ303+FZ371+FZ543</f>
        <v>154</v>
      </c>
      <c r="GA627" s="98" t="str">
        <f t="shared" si="3626"/>
        <v>NM</v>
      </c>
      <c r="GB627" s="486">
        <f>+GB580+GB116+GB191+GB336+GB303+GB371+GB543</f>
        <v>-61</v>
      </c>
      <c r="GC627" s="98" t="str">
        <f t="shared" si="3627"/>
        <v>NM</v>
      </c>
      <c r="GD627" s="117">
        <f>+GD580+GD116+GD191+GD336+GD303+GD371+GD543</f>
        <v>-64</v>
      </c>
      <c r="GE627" s="98">
        <f t="shared" si="3628"/>
        <v>4.9180327868852514</v>
      </c>
      <c r="GF627" s="117">
        <f>+GF580+GF116+GF191+GF336+GF303+GF371+GF543</f>
        <v>-72</v>
      </c>
      <c r="GG627" s="98">
        <f t="shared" si="3628"/>
        <v>12.5</v>
      </c>
      <c r="GH627" s="117">
        <f>+GH580+GH116+GH191+GH336+GH303+GH371+GH543</f>
        <v>-65</v>
      </c>
      <c r="GI627" s="98">
        <f t="shared" si="3628"/>
        <v>-9.7222222222222214</v>
      </c>
      <c r="GJ627" s="117">
        <f>+GJ580+GJ116+GJ191+GJ336+GJ303+GJ371+GJ543+GJ504+GJ270</f>
        <v>-818</v>
      </c>
      <c r="GK627" s="98" t="str">
        <f t="shared" si="3628"/>
        <v>NM</v>
      </c>
      <c r="GL627" s="117">
        <f>+GL580+GL116+GL191+GL336+GL303+GL371+GL543+GL504+GL270</f>
        <v>-643.20000000000005</v>
      </c>
      <c r="GM627" s="98">
        <f t="shared" si="3628"/>
        <v>-21.369193154034228</v>
      </c>
      <c r="GN627" s="117">
        <f>+GN580+GN116+GN191+GN336+GN303+GN371+GN543+GN504+GN270</f>
        <v>-475</v>
      </c>
      <c r="GO627" s="98">
        <f t="shared" si="3628"/>
        <v>-26.15049751243782</v>
      </c>
      <c r="GP627" s="117">
        <f>+GP580+GP116+GP191+GP336+GP303+GP371+GP543+GP504+GP270</f>
        <v>0</v>
      </c>
      <c r="GQ627" s="98" t="str">
        <f t="shared" si="3628"/>
        <v>NM</v>
      </c>
      <c r="GR627" s="117">
        <f>+GR580+GR116+GR191+GR336+GR303+GR371+GR543+GR504+GR270</f>
        <v>0</v>
      </c>
      <c r="GS627" s="98" t="str">
        <f t="shared" si="3628"/>
        <v>NA</v>
      </c>
      <c r="GT627" s="117">
        <f>+GT580+GT116+GT191+GT336+GT303+GT371+GT543+GT504+GT270</f>
        <v>0</v>
      </c>
      <c r="GU627" s="98" t="str">
        <f t="shared" si="3628"/>
        <v>NA</v>
      </c>
      <c r="GV627" s="117">
        <f>+GV580+GV116+GV191+GV336+GV303+GV371+GV543+GV504+GV270</f>
        <v>0</v>
      </c>
      <c r="GW627" s="98" t="str">
        <f t="shared" si="3628"/>
        <v>NA</v>
      </c>
      <c r="GX627" s="117">
        <f>+GX580+GX116+GX191+GX336+GX303+GX371+GX543+GX504+GX270</f>
        <v>0</v>
      </c>
      <c r="GY627" s="98" t="str">
        <f t="shared" si="3648"/>
        <v>NA</v>
      </c>
      <c r="GZ627" s="98" t="str">
        <f t="shared" si="3600"/>
        <v>NM</v>
      </c>
      <c r="HA627" s="98"/>
      <c r="HC627"/>
      <c r="HD627"/>
      <c r="HE627"/>
      <c r="HF627"/>
      <c r="HG627"/>
      <c r="HH627"/>
    </row>
    <row r="628" spans="1:296" s="15" customFormat="1" ht="12.75" customHeight="1" x14ac:dyDescent="0.2">
      <c r="A628" s="21" t="s">
        <v>113</v>
      </c>
      <c r="B628" s="19" t="s">
        <v>261</v>
      </c>
      <c r="C628" s="182">
        <f>C626-C627</f>
        <v>384</v>
      </c>
      <c r="D628" s="98"/>
      <c r="E628" s="182">
        <f>E626-E627</f>
        <v>374</v>
      </c>
      <c r="F628" s="98"/>
      <c r="G628" s="182">
        <f>G626-G627</f>
        <v>384</v>
      </c>
      <c r="H628" s="98"/>
      <c r="I628" s="182">
        <f>I626-I627</f>
        <v>404</v>
      </c>
      <c r="J628" s="98"/>
      <c r="K628" s="182">
        <f>K626-K627</f>
        <v>384</v>
      </c>
      <c r="L628" s="98">
        <f>IF(ISERROR((K628/C628-1)*100),"NA",IF(((K628/C628-1)*100)&gt;100,"NM",IF(((K628/C628-1)*100)&lt;-50,"NM",(K628/C628-1)*100)))</f>
        <v>0</v>
      </c>
      <c r="M628" s="182">
        <f>M626-M627</f>
        <v>419</v>
      </c>
      <c r="N628" s="98">
        <f>IF(ISERROR((M628/E628-1)*100),"NA",IF(((M628/E628-1)*100)&gt;100,"NM",IF(((M628/E628-1)*100)&lt;-50,"NM",(M628/E628-1)*100)))</f>
        <v>12.032085561497329</v>
      </c>
      <c r="O628" s="182">
        <f>O626-O627</f>
        <v>227</v>
      </c>
      <c r="P628" s="98">
        <f>IF(ISERROR((O628/G628-1)*100),"NA",IF(((O628/G628-1)*100)&gt;100,"NM",IF(((O628/G628-1)*100)&lt;-50,"NM",(O628/G628-1)*100)))</f>
        <v>-40.885416666666664</v>
      </c>
      <c r="Q628" s="182">
        <f>Q626-Q627</f>
        <v>-124</v>
      </c>
      <c r="R628" s="98" t="str">
        <f>IF(ISERROR((Q628/I628-1)*100),"NA",IF(((Q628/I628-1)*100)&gt;100,"NM",IF(((Q628/I628-1)*100)&lt;-50,"NM",(Q628/I628-1)*100)))</f>
        <v>NM</v>
      </c>
      <c r="S628" s="182">
        <f>S626-S627</f>
        <v>400</v>
      </c>
      <c r="T628" s="98">
        <f>IF(ISERROR((S628/K628-1)*100),"NA",IF(((S628/K628-1)*100)&gt;100,"NM",IF(((S628/K628-1)*100)&lt;-50,"NM",(S628/K628-1)*100)))</f>
        <v>4.1666666666666741</v>
      </c>
      <c r="U628" s="182">
        <f>U626-U627</f>
        <v>504</v>
      </c>
      <c r="V628" s="98">
        <f>IF(ISERROR((U628/M628-1)*100),"NA",IF(((U628/M628-1)*100)&gt;100,"NM",IF(((U628/M628-1)*100)&lt;-50,"NM",(U628/M628-1)*100)))</f>
        <v>20.286396181384259</v>
      </c>
      <c r="W628" s="182">
        <f>W626-W627</f>
        <v>502</v>
      </c>
      <c r="X628" s="98" t="str">
        <f>IF(ISERROR((W628/O628-1)*100),"NA",IF(((W628/O628-1)*100)&gt;100,"NM",IF(((W628/O628-1)*100)&lt;-50,"NM",(W628/O628-1)*100)))</f>
        <v>NM</v>
      </c>
      <c r="Y628" s="182">
        <f>Y626-Y627</f>
        <v>338</v>
      </c>
      <c r="Z628" s="98" t="str">
        <f>IF(ISERROR((Y628/Q628-1)*100),"NA",IF(((Y628/Q628-1)*100)&gt;100,"NM",IF(((Y628/Q628-1)*100)&lt;-50,"NM",(Y628/Q628-1)*100)))</f>
        <v>NM</v>
      </c>
      <c r="AA628" s="182">
        <f>AA626-AA627</f>
        <v>446</v>
      </c>
      <c r="AB628" s="98">
        <f>IF(ISERROR((AA628/S628-1)*100),"NA",IF(((AA628/S628-1)*100)&gt;100,"NM",IF(((AA628/S628-1)*100)&lt;-50,"NM",(AA628/S628-1)*100)))</f>
        <v>11.5</v>
      </c>
      <c r="AC628" s="182">
        <f>AC626-AC627</f>
        <v>620</v>
      </c>
      <c r="AD628" s="98">
        <f>IF(ISERROR((AC628/U628-1)*100),"NA",IF(((AC628/U628-1)*100)&gt;100,"NM",IF(((AC628/U628-1)*100)&lt;-50,"NM",(AC628/U628-1)*100)))</f>
        <v>23.015873015873023</v>
      </c>
      <c r="AE628" s="182">
        <f>AE626-AE627</f>
        <v>616</v>
      </c>
      <c r="AF628" s="98">
        <f>IF(ISERROR((AE628/W628-1)*100),"NA",IF(((AE628/W628-1)*100)&gt;100,"NM",IF(((AE628/W628-1)*100)&lt;-50,"NM",(AE628/W628-1)*100)))</f>
        <v>22.709163346613547</v>
      </c>
      <c r="AG628" s="182">
        <f>AG626-AG627</f>
        <v>565</v>
      </c>
      <c r="AH628" s="98">
        <f>IF(ISERROR((AG628/Y628-1)*100),"NA",IF(((AG628/Y628-1)*100)&gt;100,"NM",IF(((AG628/Y628-1)*100)&lt;-50,"NM",(AG628/Y628-1)*100)))</f>
        <v>67.15976331360946</v>
      </c>
      <c r="AI628" s="182">
        <f>AI626-AI627</f>
        <v>595</v>
      </c>
      <c r="AJ628" s="98">
        <f>IF(ISERROR((AI628/AA628-1)*100),"NA",IF(((AI628/AA628-1)*100)&gt;100,"NM",IF(((AI628/AA628-1)*100)&lt;-50,"NM",(AI628/AA628-1)*100)))</f>
        <v>33.408071748878918</v>
      </c>
      <c r="AK628" s="182">
        <f>AK626-AK627</f>
        <v>661</v>
      </c>
      <c r="AL628" s="98">
        <f>IF(ISERROR((AK628/AC628-1)*100),"NA",IF(((AK628/AC628-1)*100)&gt;100,"NM",IF(((AK628/AC628-1)*100)&lt;-50,"NM",(AK628/AC628-1)*100)))</f>
        <v>6.6129032258064546</v>
      </c>
      <c r="AM628" s="182">
        <f>AM626-AM627</f>
        <v>593</v>
      </c>
      <c r="AN628" s="98">
        <f>IF(ISERROR((AM628/AE628-1)*100),"NA",IF(((AM628/AE628-1)*100)&gt;100,"NM",IF(((AM628/AE628-1)*100)&lt;-50,"NM",(AM628/AE628-1)*100)))</f>
        <v>-3.7337662337662336</v>
      </c>
      <c r="AO628" s="182">
        <f>AO626-AO627</f>
        <v>608.41101694915255</v>
      </c>
      <c r="AP628" s="98">
        <f>IF(ISERROR((AO628/AG628-1)*100),"NA",IF(((AO628/AG628-1)*100)&gt;100,"NM",IF(((AO628/AG628-1)*100)&lt;-50,"NM",(AO628/AG628-1)*100)))</f>
        <v>7.6833658317084108</v>
      </c>
      <c r="AQ628" s="182">
        <f>AQ626-AQ627</f>
        <v>767</v>
      </c>
      <c r="AR628" s="98">
        <f>IF(ISERROR((AQ628/AI628-1)*100),"NA",IF(((AQ628/AI628-1)*100)&gt;100,"NM",IF(((AQ628/AI628-1)*100)&lt;-50,"NM",(AQ628/AI628-1)*100)))</f>
        <v>28.907563025210091</v>
      </c>
      <c r="AS628" s="182">
        <f>AS626-AS627</f>
        <v>726</v>
      </c>
      <c r="AT628" s="98">
        <f>IF(ISERROR((AS628/AK628-1)*100),"NA",IF(((AS628/AK628-1)*100)&gt;100,"NM",IF(((AS628/AK628-1)*100)&lt;-50,"NM",(AS628/AK628-1)*100)))</f>
        <v>9.833585476550688</v>
      </c>
      <c r="AU628" s="182">
        <f>AU626-AU627</f>
        <v>644</v>
      </c>
      <c r="AV628" s="98">
        <f>IF(ISERROR((AU628/AM628-1)*100),"NA",IF(((AU628/AM628-1)*100)&gt;100,"NM",IF(((AU628/AM628-1)*100)&lt;-50,"NM",(AU628/AM628-1)*100)))</f>
        <v>8.6003372681281665</v>
      </c>
      <c r="AW628" s="182">
        <f>AW626-AW627</f>
        <v>754</v>
      </c>
      <c r="AX628" s="98">
        <f>IF(ISERROR((AW628/AO628-1)*100),"NA",IF(((AW628/AO628-1)*100)&gt;100,"NM",IF(((AW628/AO628-1)*100)&lt;-50,"NM",(AW628/AO628-1)*100)))</f>
        <v>23.929379809868713</v>
      </c>
      <c r="AY628" s="182">
        <f>AY626-AY627</f>
        <v>907</v>
      </c>
      <c r="AZ628" s="98">
        <f>IF(ISERROR((AY628/AQ628-1)*100),"NA",IF(((AY628/AQ628-1)*100)&gt;100,"NM",IF(((AY628/AQ628-1)*100)&lt;-50,"NM",(AY628/AQ628-1)*100)))</f>
        <v>18.252933507170788</v>
      </c>
      <c r="BA628" s="182">
        <f>BA626-BA627</f>
        <v>928</v>
      </c>
      <c r="BB628" s="98">
        <f>IF(ISERROR((BA628/AS628-1)*100),"NA",IF(((BA628/AS628-1)*100)&gt;100,"NM",IF(((BA628/AS628-1)*100)&lt;-50,"NM",(BA628/AS628-1)*100)))</f>
        <v>27.823691460055102</v>
      </c>
      <c r="BC628" s="182">
        <f>BC626-BC627</f>
        <v>940</v>
      </c>
      <c r="BD628" s="98">
        <f>IF(ISERROR((BC628/AU628-1)*100),"NA",IF(((BC628/AU628-1)*100)&gt;100,"NM",IF(((BC628/AU628-1)*100)&lt;-50,"NM",(BC628/AU628-1)*100)))</f>
        <v>45.962732919254655</v>
      </c>
      <c r="BE628" s="182">
        <f>BE626-BE627</f>
        <v>1019</v>
      </c>
      <c r="BF628" s="98">
        <f t="shared" si="3604"/>
        <v>35.145888594164454</v>
      </c>
      <c r="BG628" s="182">
        <f>BG626-BG627</f>
        <v>1013</v>
      </c>
      <c r="BH628" s="98">
        <f>IF(ISERROR((BG628/AY628-1)*100),"NA",IF(((BG628/AY628-1)*100)&gt;100,"NM",IF(((BG628/AY628-1)*100)&lt;-50,"NM",(BG628/AY628-1)*100)))</f>
        <v>11.686879823594264</v>
      </c>
      <c r="BI628" s="182">
        <f>BI626-BI627</f>
        <v>1169</v>
      </c>
      <c r="BJ628" s="98">
        <f>IF(ISERROR((BI628/BA628-1)*100),"NA",IF(((BI628/BA628-1)*100)&gt;100,"NM",IF(((BI628/BA628-1)*100)&lt;-50,"NM",(BI628/BA628-1)*100)))</f>
        <v>25.969827586206897</v>
      </c>
      <c r="BK628" s="182">
        <f>BK626-BK627</f>
        <v>1051.4000000000001</v>
      </c>
      <c r="BL628" s="98">
        <f>IF(ISERROR((BK628/BC628-1)*100),"NA",IF(((BK628/BC628-1)*100)&gt;100,"NM",IF(((BK628/BC628-1)*100)&lt;-50,"NM",(BK628/BC628-1)*100)))</f>
        <v>11.851063829787245</v>
      </c>
      <c r="BM628" s="182">
        <f>BM626-BM627</f>
        <v>1054</v>
      </c>
      <c r="BN628" s="98">
        <f t="shared" si="3608"/>
        <v>3.4347399411187363</v>
      </c>
      <c r="BO628" s="182">
        <f>BO626-BO627</f>
        <v>1033</v>
      </c>
      <c r="BP628" s="98">
        <f>IF(ISERROR((BO628/BG628-1)*100),"NA",IF(((BO628/BG628-1)*100)&gt;100,"NM",IF(((BO628/BG628-1)*100)&lt;-50,"NM",(BO628/BG628-1)*100)))</f>
        <v>1.9743336623889496</v>
      </c>
      <c r="BQ628" s="182">
        <f>BQ626-BQ627</f>
        <v>958</v>
      </c>
      <c r="BR628" s="98">
        <f>IF(ISERROR((BQ628/BI628-1)*100),"NA",IF(((BQ628/BI628-1)*100)&gt;100,"NM",IF(((BQ628/BI628-1)*100)&lt;-50,"NM",(BQ628/BI628-1)*100)))</f>
        <v>-18.049615055603073</v>
      </c>
      <c r="BS628" s="182">
        <f>BS626-BS627</f>
        <v>758</v>
      </c>
      <c r="BT628" s="98">
        <f>IF(ISERROR((BS628/BK628-1)*100),"NA",IF(((BS628/BK628-1)*100)&gt;100,"NM",IF(((BS628/BK628-1)*100)&lt;-50,"NM",(BS628/BK628-1)*100)))</f>
        <v>-27.90564961004376</v>
      </c>
      <c r="BU628" s="182">
        <f>BU626-BU627</f>
        <v>159</v>
      </c>
      <c r="BV628" s="98" t="str">
        <f t="shared" si="3612"/>
        <v>NM</v>
      </c>
      <c r="BW628" s="182">
        <f>BW626-BW627</f>
        <v>148</v>
      </c>
      <c r="BX628" s="98" t="str">
        <f>IF(ISERROR((BW628/BO628-1)*100),"NA",IF(((BW628/BO628-1)*100)&gt;100,"NM",IF(((BW628/BO628-1)*100)&lt;-50,"NM",(BW628/BO628-1)*100)))</f>
        <v>NM</v>
      </c>
      <c r="BY628" s="182">
        <f>BY626-BY627</f>
        <v>223</v>
      </c>
      <c r="BZ628" s="98" t="str">
        <f>IF(ISERROR((BY628/BQ628-1)*100),"NA",IF(((BY628/BQ628-1)*100)&gt;100,"NM",IF(((BY628/BQ628-1)*100)&lt;-50,"NM",(BY628/BQ628-1)*100)))</f>
        <v>NM</v>
      </c>
      <c r="CA628" s="182">
        <f>CA626-CA627</f>
        <v>216</v>
      </c>
      <c r="CB628" s="98" t="str">
        <f>IF(ISERROR((CA628/BS628-1)*100),"NA",IF(((CA628/BS628-1)*100)&gt;100,"NM",IF(((CA628/BS628-1)*100)&lt;-50,"NM",(CA628/BS628-1)*100)))</f>
        <v>NM</v>
      </c>
      <c r="CC628" s="182">
        <f>CC626-CC627</f>
        <v>164</v>
      </c>
      <c r="CD628" s="98">
        <f t="shared" si="3649"/>
        <v>3.1446540880503138</v>
      </c>
      <c r="CE628" s="182">
        <f>CE626-CE627</f>
        <v>292</v>
      </c>
      <c r="CF628" s="98">
        <f t="shared" si="3650"/>
        <v>97.297297297297305</v>
      </c>
      <c r="CG628" s="182">
        <f>CG626-CG627</f>
        <v>240</v>
      </c>
      <c r="CH628" s="98">
        <f t="shared" si="3616"/>
        <v>7.623318385650224</v>
      </c>
      <c r="CI628" s="182">
        <f>CI626-CI627</f>
        <v>187</v>
      </c>
      <c r="CJ628" s="98">
        <f t="shared" si="3617"/>
        <v>-13.425925925925931</v>
      </c>
      <c r="CK628" s="182">
        <f>CK626-CK627</f>
        <v>412</v>
      </c>
      <c r="CL628" s="98" t="str">
        <f>IF(ISERROR((CK628/CC628-1)*100),"NA",IF(((CK628/CC628-1)*100)&gt;100,"NM",IF(((CK628/CC628-1)*100)&lt;-50,"NM",(CK628/CC628-1)*100)))</f>
        <v>NM</v>
      </c>
      <c r="CM628" s="182">
        <f>CM626-CM627</f>
        <v>659</v>
      </c>
      <c r="CN628" s="98" t="str">
        <f>IF(ISERROR((CM628/CE628-1)*100),"NA",IF(((CM628/CE628-1)*100)&gt;100,"NM",IF(((CM628/CE628-1)*100)&lt;-50,"NM",(CM628/CE628-1)*100)))</f>
        <v>NM</v>
      </c>
      <c r="CO628" s="182">
        <f>CO626-CO627</f>
        <v>684</v>
      </c>
      <c r="CP628" s="98" t="str">
        <f>IF(ISERROR((CO628/CG628-1)*100),"NA",IF(((CO628/CG628-1)*100)&gt;100,"NM",IF(((CO628/CG628-1)*100)&lt;-50,"NM",(CO628/CG628-1)*100)))</f>
        <v>NM</v>
      </c>
      <c r="CQ628" s="512">
        <f>CQ626-CQ627</f>
        <v>806</v>
      </c>
      <c r="CR628" s="98" t="str">
        <f>IF(ISERROR((CQ628/CI628-1)*100),"NA",IF(((CQ628/CI628-1)*100)&gt;100,"NM",IF(((CQ628/CI628-1)*100)&lt;-50,"NM",(CQ628/CI628-1)*100)))</f>
        <v>NM</v>
      </c>
      <c r="CS628" s="182">
        <f>CS626-CS627</f>
        <v>830</v>
      </c>
      <c r="CT628" s="574" t="str">
        <f>IF(ISERROR((CS628/CK628-1)*100),"NA",IF(((CS628/CK628-1)*100)&gt;100,"NM",IF(((CS628/CK628-1)*100)&lt;-50,"NM",(CS628/CK628-1)*100)))</f>
        <v>NM</v>
      </c>
      <c r="CU628" s="182">
        <f>CU626-CU627</f>
        <v>1006</v>
      </c>
      <c r="CV628" s="574">
        <f>IF(ISERROR((CU628/CM628-1)*100),"NA",IF(((CU628/CM628-1)*100)&gt;100,"NM",IF(((CU628/CM628-1)*100)&lt;-50,"NM",(CU628/CM628-1)*100)))</f>
        <v>52.655538694992423</v>
      </c>
      <c r="CW628" s="182">
        <f>CW626-CW627</f>
        <v>974</v>
      </c>
      <c r="CX628" s="574">
        <f>IF(ISERROR((CW628/CO628-1)*100),"NA",IF(((CW628/CO628-1)*100)&gt;100,"NM",IF(((CW628/CO628-1)*100)&lt;-50,"NM",(CW628/CO628-1)*100)))</f>
        <v>42.397660818713454</v>
      </c>
      <c r="CY628" s="182">
        <f>CY626-CY627</f>
        <v>943</v>
      </c>
      <c r="CZ628" s="574">
        <f>IF(ISERROR((CY628/CQ628-1)*100),"NA",IF(((CY628/CQ628-1)*100)&gt;100,"NM",IF(((CY628/CQ628-1)*100)&lt;-50,"NM",(CY628/CQ628-1)*100)))</f>
        <v>16.997518610421846</v>
      </c>
      <c r="DA628" s="182">
        <f>DA626-DA627</f>
        <v>825</v>
      </c>
      <c r="DB628" s="574">
        <f t="shared" si="3651"/>
        <v>-0.60240963855421326</v>
      </c>
      <c r="DC628" s="182">
        <f>DC626-DC627</f>
        <v>995</v>
      </c>
      <c r="DD628" s="574">
        <f t="shared" si="3652"/>
        <v>-1.0934393638170947</v>
      </c>
      <c r="DE628" s="182">
        <f>DE626-DE627</f>
        <v>1000</v>
      </c>
      <c r="DF628" s="574">
        <f t="shared" si="3653"/>
        <v>2.6694045174537884</v>
      </c>
      <c r="DG628" s="182">
        <f>DG626-DG627</f>
        <v>884</v>
      </c>
      <c r="DH628" s="574">
        <f t="shared" si="3654"/>
        <v>-6.2566277836691437</v>
      </c>
      <c r="DI628" s="182">
        <f>DI626-DI627</f>
        <v>930</v>
      </c>
      <c r="DJ628" s="98">
        <f t="shared" si="3655"/>
        <v>12.72727272727272</v>
      </c>
      <c r="DK628" s="182">
        <f>DK626-DK627</f>
        <v>946</v>
      </c>
      <c r="DL628" s="98">
        <f t="shared" si="3656"/>
        <v>-4.9246231155778863</v>
      </c>
      <c r="DM628" s="182">
        <f>DM626-DM627</f>
        <v>894</v>
      </c>
      <c r="DN628" s="98">
        <f t="shared" si="3639"/>
        <v>-10.599999999999998</v>
      </c>
      <c r="DO628" s="182">
        <f>DO626-DO627</f>
        <v>1038</v>
      </c>
      <c r="DP628" s="98">
        <f t="shared" si="3639"/>
        <v>17.420814479638015</v>
      </c>
      <c r="DQ628" s="182">
        <f>DQ626-DQ627</f>
        <v>931</v>
      </c>
      <c r="DR628" s="98">
        <f t="shared" si="3639"/>
        <v>0.10752688172042113</v>
      </c>
      <c r="DS628" s="182">
        <f>DS626-DS627</f>
        <v>1282</v>
      </c>
      <c r="DT628" s="98">
        <f t="shared" si="3639"/>
        <v>35.517970401691336</v>
      </c>
      <c r="DU628" s="182">
        <f>DU626-DU627</f>
        <v>1298</v>
      </c>
      <c r="DV628" s="98">
        <f t="shared" si="3639"/>
        <v>45.190156599552566</v>
      </c>
      <c r="DW628" s="182">
        <f>DW626-DW627</f>
        <v>1152</v>
      </c>
      <c r="DX628" s="98">
        <f t="shared" si="3639"/>
        <v>10.982658959537561</v>
      </c>
      <c r="DY628" s="182">
        <f>DY626-DY627</f>
        <v>1057</v>
      </c>
      <c r="DZ628" s="98">
        <f t="shared" si="3639"/>
        <v>13.533834586466176</v>
      </c>
      <c r="EA628" s="182">
        <f>EA626-EA627</f>
        <v>1105</v>
      </c>
      <c r="EB628" s="98">
        <f t="shared" si="3640"/>
        <v>-13.806552262090488</v>
      </c>
      <c r="EC628" s="182">
        <f>EC626-EC627</f>
        <v>1025</v>
      </c>
      <c r="ED628" s="98">
        <f t="shared" si="3641"/>
        <v>-21.032357473035436</v>
      </c>
      <c r="EE628" s="182">
        <f>EE626-EE627</f>
        <v>1405.2</v>
      </c>
      <c r="EF628" s="860">
        <f t="shared" si="3642"/>
        <v>21.979166666666661</v>
      </c>
      <c r="EG628" s="182">
        <f>EG626-EG627</f>
        <v>1148</v>
      </c>
      <c r="EH628" s="860">
        <f t="shared" si="3643"/>
        <v>8.6092715231788084</v>
      </c>
      <c r="EI628" s="182">
        <f>EI626-EI627</f>
        <v>1282</v>
      </c>
      <c r="EJ628" s="860">
        <f t="shared" si="3618"/>
        <v>16.018099547511323</v>
      </c>
      <c r="EK628" s="182">
        <f>EK626-EK627</f>
        <v>1158</v>
      </c>
      <c r="EL628" s="860">
        <f t="shared" si="3619"/>
        <v>12.975609756097551</v>
      </c>
      <c r="EM628" s="182">
        <f>EM626-EM627</f>
        <v>1129</v>
      </c>
      <c r="EN628" s="860">
        <f t="shared" si="3620"/>
        <v>-19.655565044121836</v>
      </c>
      <c r="EO628" s="182">
        <f>EO626-EO627</f>
        <v>1141</v>
      </c>
      <c r="EP628" s="98">
        <f t="shared" si="3621"/>
        <v>-0.60975609756097615</v>
      </c>
      <c r="EQ628" s="1021">
        <f t="shared" ref="EQ628" si="3660">EQ626-EQ627</f>
        <v>1227.8759053276194</v>
      </c>
      <c r="ER628" s="98">
        <f t="shared" si="3644"/>
        <v>-4.2218482583760153</v>
      </c>
      <c r="ES628" s="1021">
        <f t="shared" ref="ES628" si="3661">ES626-ES627</f>
        <v>1227.0519622517065</v>
      </c>
      <c r="ET628" s="98">
        <f t="shared" si="3595"/>
        <v>5.9630364638779465</v>
      </c>
      <c r="EU628" s="1021">
        <f t="shared" ref="EU628" si="3662">EU626-EU627</f>
        <v>1240.6753955390393</v>
      </c>
      <c r="EV628" s="98">
        <f t="shared" si="3596"/>
        <v>9.8915319343701782</v>
      </c>
      <c r="EW628" s="1021">
        <f t="shared" ref="EW628" si="3663">EW626-EW627</f>
        <v>1252.7110350702385</v>
      </c>
      <c r="EX628" s="98">
        <f t="shared" si="3597"/>
        <v>9.7906253348149406</v>
      </c>
      <c r="EY628" s="182"/>
      <c r="EZ628" s="594"/>
      <c r="FA628" s="405"/>
      <c r="FB628" s="183">
        <f>FB626-FB627</f>
        <v>1226</v>
      </c>
      <c r="FC628" s="230"/>
      <c r="FD628" s="183">
        <f>FD626-FD627</f>
        <v>726</v>
      </c>
      <c r="FE628" s="98">
        <f>IF(ISERROR((FD628/FB628-1)*100),"NA",IF(((FD628/FB628-1)*100)&gt;100,"NM",IF(((FD628/FB628-1)*100)&lt;-50,"NM",(FD628/FB628-1)*100)))</f>
        <v>-40.783034257748774</v>
      </c>
      <c r="FF628" s="183">
        <f>FF626-FF627</f>
        <v>1546</v>
      </c>
      <c r="FG628" s="98" t="str">
        <f>IF(ISERROR((FF628/FD628-1)*100),"NA",IF(((FF628/FD628-1)*100)&gt;100,"NM",IF(((FF628/FD628-1)*100)&lt;-50,"NM",(FF628/FD628-1)*100)))</f>
        <v>NM</v>
      </c>
      <c r="FH628" s="183">
        <f>FH626-FH627</f>
        <v>906</v>
      </c>
      <c r="FI628" s="98">
        <f>IF(ISERROR((FH628/FF628-1)*100),"NA",IF(((FH628/FF628-1)*100)&gt;100,"NM",IF(((FH628/FF628-1)*100)&lt;-50,"NM",(FH628/FF628-1)*100)))</f>
        <v>-41.397153945666233</v>
      </c>
      <c r="FJ628" s="183">
        <f>FJ626-FJ627</f>
        <v>1744</v>
      </c>
      <c r="FK628" s="98">
        <f>IF(ISERROR((FJ628/FH628-1)*100),"NA",IF(((FJ628/FH628-1)*100)&gt;100,"NM",IF(((FJ628/FH628-1)*100)&lt;-50,"NM",(FJ628/FH628-1)*100)))</f>
        <v>92.4944812362031</v>
      </c>
      <c r="FL628" s="183">
        <f>FL626-FL627</f>
        <v>2247</v>
      </c>
      <c r="FM628" s="98">
        <f>IF(ISERROR((FL628/FJ628-1)*100),"NA",IF(((FL628/FJ628-1)*100)&gt;100,"NM",IF(((FL628/FJ628-1)*100)&lt;-50,"NM",(FL628/FJ628-1)*100)))</f>
        <v>28.841743119266063</v>
      </c>
      <c r="FN628" s="183">
        <f>FN626-FN627</f>
        <v>2639</v>
      </c>
      <c r="FO628" s="98">
        <f>IF(ISERROR((FN628/FL628-1)*100),"NA",IF(((FN628/FL628-1)*100)&gt;100,"NM",IF(((FN628/FL628-1)*100)&lt;-50,"NM",(FN628/FL628-1)*100)))</f>
        <v>17.445482866043616</v>
      </c>
      <c r="FP628" s="183">
        <f>FP626-FP627</f>
        <v>2891</v>
      </c>
      <c r="FQ628" s="98">
        <f>IF(ISERROR((FP628/FN628-1)*100),"NA",IF(((FP628/FN628-1)*100)&gt;100,"NM",IF(((FP628/FN628-1)*100)&lt;-50,"NM",(FP628/FN628-1)*100)))</f>
        <v>9.5490716180371304</v>
      </c>
      <c r="FR628" s="183">
        <f>FR626-FR627</f>
        <v>3794</v>
      </c>
      <c r="FS628" s="98">
        <f>IF(ISERROR((FR628/FP628-1)*100),"NA",IF(((FR628/FP628-1)*100)&gt;100,"NM",IF(((FR628/FP628-1)*100)&lt;-50,"NM",(FR628/FP628-1)*100)))</f>
        <v>31.23486682808716</v>
      </c>
      <c r="FT628" s="183">
        <f>FT626-FT627</f>
        <v>4287.3999999999996</v>
      </c>
      <c r="FU628" s="98">
        <f>IF(ISERROR((FT628/FR628-1)*100),"NA",IF(((FT628/FR628-1)*100)&gt;100,"NM",IF(((FT628/FR628-1)*100)&lt;-50,"NM",(FT628/FR628-1)*100)))</f>
        <v>13.004744333157614</v>
      </c>
      <c r="FV628" s="183">
        <f>FV626-FV627</f>
        <v>2908</v>
      </c>
      <c r="FW628" s="98">
        <f t="shared" si="3625"/>
        <v>-32.173345150907309</v>
      </c>
      <c r="FX628" s="511">
        <f>FX626-FX627</f>
        <v>751</v>
      </c>
      <c r="FY628" s="98" t="str">
        <f t="shared" si="3625"/>
        <v>NM</v>
      </c>
      <c r="FZ628" s="183">
        <f>FZ626-FZ627</f>
        <v>1131</v>
      </c>
      <c r="GA628" s="98">
        <f t="shared" si="3626"/>
        <v>50.599201065246334</v>
      </c>
      <c r="GB628" s="512">
        <f>GB626-GB627</f>
        <v>3403</v>
      </c>
      <c r="GC628" s="98" t="str">
        <f t="shared" si="3627"/>
        <v>NM</v>
      </c>
      <c r="GD628" s="182">
        <f>GD626-GD627</f>
        <v>3748</v>
      </c>
      <c r="GE628" s="98">
        <f t="shared" si="3628"/>
        <v>10.138113429327067</v>
      </c>
      <c r="GF628" s="182">
        <f>GF626-GF627</f>
        <v>5344</v>
      </c>
      <c r="GG628" s="98">
        <f t="shared" si="3628"/>
        <v>42.582710779082177</v>
      </c>
      <c r="GH628" s="182">
        <f>GH626-GH627</f>
        <v>5406</v>
      </c>
      <c r="GI628" s="98">
        <f t="shared" si="3628"/>
        <v>1.1601796407185727</v>
      </c>
      <c r="GJ628" s="182">
        <f>GJ626-GJ627</f>
        <v>4789</v>
      </c>
      <c r="GK628" s="98">
        <f t="shared" si="3628"/>
        <v>-11.413244543100253</v>
      </c>
      <c r="GL628" s="182">
        <f>GL626-GL627</f>
        <v>4683.2</v>
      </c>
      <c r="GM628" s="98">
        <f t="shared" si="3628"/>
        <v>-2.2092294842347093</v>
      </c>
      <c r="GN628" s="183">
        <f>EI628+EK628+EM628+EO628</f>
        <v>4710</v>
      </c>
      <c r="GO628" s="98">
        <f t="shared" si="3628"/>
        <v>0.57225828493339126</v>
      </c>
      <c r="GP628" s="183">
        <f>EQ628+ES628+EU628+EW628</f>
        <v>4948.314298188604</v>
      </c>
      <c r="GQ628" s="98">
        <f t="shared" si="3628"/>
        <v>5.059751553898173</v>
      </c>
      <c r="GR628" s="182">
        <f>GR626-GR627</f>
        <v>5136.7764122477884</v>
      </c>
      <c r="GS628" s="98">
        <f t="shared" si="3628"/>
        <v>3.808612442588255</v>
      </c>
      <c r="GT628" s="182">
        <f>GT626-GT627</f>
        <v>5337.7113438185688</v>
      </c>
      <c r="GU628" s="98">
        <f t="shared" si="3628"/>
        <v>3.911693160163332</v>
      </c>
      <c r="GV628" s="182">
        <f>GV626-GV627</f>
        <v>5496.0002922144995</v>
      </c>
      <c r="GW628" s="98">
        <f t="shared" si="3628"/>
        <v>2.9654834853375833</v>
      </c>
      <c r="GX628" s="182">
        <f>GX626-GX627</f>
        <v>5606.6769994248834</v>
      </c>
      <c r="GY628" s="98">
        <f t="shared" si="3648"/>
        <v>2.0137682191750494</v>
      </c>
      <c r="GZ628" s="98">
        <f t="shared" si="3600"/>
        <v>3.5468581650556885</v>
      </c>
      <c r="HA628" s="98"/>
      <c r="HC628"/>
      <c r="HD628"/>
      <c r="HE628"/>
      <c r="HF628"/>
      <c r="HG628"/>
      <c r="HH628"/>
      <c r="HI628" s="10"/>
    </row>
    <row r="629" spans="1:296" s="15" customFormat="1" ht="12.75" customHeight="1" x14ac:dyDescent="0.2">
      <c r="A629" s="21"/>
      <c r="B629" s="19"/>
      <c r="C629" s="182"/>
      <c r="D629" s="98"/>
      <c r="E629" s="182"/>
      <c r="F629" s="98"/>
      <c r="G629" s="182"/>
      <c r="H629" s="98"/>
      <c r="I629" s="182"/>
      <c r="J629" s="98"/>
      <c r="K629" s="182"/>
      <c r="L629" s="98"/>
      <c r="M629" s="182"/>
      <c r="N629" s="98"/>
      <c r="O629" s="182"/>
      <c r="P629" s="98"/>
      <c r="Q629" s="182"/>
      <c r="R629" s="98"/>
      <c r="S629" s="182"/>
      <c r="T629" s="98"/>
      <c r="U629" s="182"/>
      <c r="V629" s="98"/>
      <c r="W629" s="182"/>
      <c r="X629" s="98"/>
      <c r="Y629" s="182"/>
      <c r="Z629" s="98"/>
      <c r="AA629" s="182"/>
      <c r="AB629" s="98"/>
      <c r="AC629" s="182"/>
      <c r="AD629" s="98"/>
      <c r="AE629" s="182"/>
      <c r="AF629" s="98"/>
      <c r="AG629" s="182"/>
      <c r="AH629" s="98"/>
      <c r="AI629" s="182"/>
      <c r="AJ629" s="98"/>
      <c r="AK629" s="182"/>
      <c r="AL629" s="98"/>
      <c r="AM629" s="182"/>
      <c r="AN629" s="98"/>
      <c r="AO629" s="182"/>
      <c r="AP629" s="98"/>
      <c r="AQ629" s="182"/>
      <c r="AR629" s="98"/>
      <c r="AS629" s="182"/>
      <c r="AT629" s="98"/>
      <c r="AU629" s="182"/>
      <c r="AV629" s="98"/>
      <c r="AW629" s="182"/>
      <c r="AX629" s="98"/>
      <c r="AY629" s="182"/>
      <c r="AZ629" s="98"/>
      <c r="BA629" s="182"/>
      <c r="BB629" s="98"/>
      <c r="BC629" s="182"/>
      <c r="BD629" s="98"/>
      <c r="BE629" s="182"/>
      <c r="BF629" s="98"/>
      <c r="BG629" s="182"/>
      <c r="BH629" s="98"/>
      <c r="BI629" s="182"/>
      <c r="BJ629" s="98"/>
      <c r="BK629" s="182"/>
      <c r="BL629" s="98"/>
      <c r="BM629" s="182"/>
      <c r="BN629" s="98"/>
      <c r="BO629" s="182"/>
      <c r="BP629" s="98"/>
      <c r="BQ629" s="182"/>
      <c r="BR629" s="98"/>
      <c r="BS629" s="182"/>
      <c r="BT629" s="98"/>
      <c r="BU629" s="182"/>
      <c r="BV629" s="98"/>
      <c r="BW629" s="182"/>
      <c r="BX629" s="98"/>
      <c r="BY629" s="182"/>
      <c r="BZ629" s="98"/>
      <c r="CA629" s="182"/>
      <c r="CB629" s="98"/>
      <c r="CC629" s="182"/>
      <c r="CD629" s="98"/>
      <c r="CE629" s="182"/>
      <c r="CF629" s="98"/>
      <c r="CG629" s="182"/>
      <c r="CH629" s="98"/>
      <c r="CI629" s="182"/>
      <c r="CJ629" s="98"/>
      <c r="CK629" s="182"/>
      <c r="CL629" s="98"/>
      <c r="CM629" s="182"/>
      <c r="CN629" s="98"/>
      <c r="CO629" s="182"/>
      <c r="CP629" s="98"/>
      <c r="CQ629" s="512"/>
      <c r="CR629" s="98"/>
      <c r="CS629" s="182"/>
      <c r="CT629" s="574"/>
      <c r="CU629" s="182"/>
      <c r="CV629" s="574"/>
      <c r="CW629" s="182"/>
      <c r="CX629" s="574"/>
      <c r="CY629" s="182"/>
      <c r="CZ629" s="574"/>
      <c r="DA629" s="182"/>
      <c r="DB629" s="574"/>
      <c r="DC629" s="182"/>
      <c r="DD629" s="574"/>
      <c r="DE629" s="182"/>
      <c r="DF629" s="574"/>
      <c r="DG629" s="182"/>
      <c r="DH629" s="574"/>
      <c r="DI629" s="182"/>
      <c r="DJ629" s="98"/>
      <c r="DK629" s="182"/>
      <c r="DL629" s="98"/>
      <c r="DM629" s="182"/>
      <c r="DN629" s="98"/>
      <c r="DO629" s="182"/>
      <c r="DP629" s="98"/>
      <c r="DQ629" s="182"/>
      <c r="DR629" s="98"/>
      <c r="DS629" s="182"/>
      <c r="DT629" s="98"/>
      <c r="DU629" s="182"/>
      <c r="DV629" s="98"/>
      <c r="DW629" s="182"/>
      <c r="DX629" s="98"/>
      <c r="DY629" s="182"/>
      <c r="DZ629" s="98"/>
      <c r="EA629" s="182"/>
      <c r="EB629" s="98"/>
      <c r="EC629" s="182"/>
      <c r="ED629" s="98"/>
      <c r="EE629" s="182"/>
      <c r="EF629" s="860"/>
      <c r="EG629" s="182"/>
      <c r="EH629" s="860"/>
      <c r="EI629" s="182"/>
      <c r="EJ629" s="860"/>
      <c r="EK629" s="182"/>
      <c r="EL629" s="860"/>
      <c r="EM629" s="182"/>
      <c r="EN629" s="860"/>
      <c r="EO629" s="182"/>
      <c r="EP629" s="98"/>
      <c r="EQ629" s="1021"/>
      <c r="ER629" s="98"/>
      <c r="ES629" s="1021"/>
      <c r="ET629" s="98"/>
      <c r="EU629" s="1021"/>
      <c r="EV629" s="98"/>
      <c r="EW629" s="1021"/>
      <c r="EX629" s="98"/>
      <c r="EY629" s="182"/>
      <c r="EZ629" s="594"/>
      <c r="FA629" s="405"/>
      <c r="FB629" s="183"/>
      <c r="FC629" s="230"/>
      <c r="FD629" s="183"/>
      <c r="FE629" s="98"/>
      <c r="FF629" s="183"/>
      <c r="FG629" s="98"/>
      <c r="FH629" s="183"/>
      <c r="FI629" s="98"/>
      <c r="FJ629" s="183"/>
      <c r="FK629" s="98"/>
      <c r="FL629" s="183"/>
      <c r="FM629" s="98"/>
      <c r="FN629" s="183"/>
      <c r="FO629" s="98"/>
      <c r="FP629" s="183"/>
      <c r="FQ629" s="98"/>
      <c r="FR629" s="183"/>
      <c r="FS629" s="98"/>
      <c r="FT629" s="183"/>
      <c r="FU629" s="98"/>
      <c r="FV629" s="183"/>
      <c r="FW629" s="98"/>
      <c r="FX629" s="511"/>
      <c r="FY629" s="98"/>
      <c r="FZ629" s="183"/>
      <c r="GA629" s="98"/>
      <c r="GB629" s="512"/>
      <c r="GC629" s="98"/>
      <c r="GD629" s="182"/>
      <c r="GE629" s="98"/>
      <c r="GF629" s="182"/>
      <c r="GG629" s="98"/>
      <c r="GH629" s="182"/>
      <c r="GI629" s="98"/>
      <c r="GJ629" s="182"/>
      <c r="GK629" s="98"/>
      <c r="GL629" s="182"/>
      <c r="GM629" s="98"/>
      <c r="GN629" s="182"/>
      <c r="GO629" s="98"/>
      <c r="GP629" s="182"/>
      <c r="GQ629" s="98"/>
      <c r="GR629" s="182"/>
      <c r="GS629" s="98"/>
      <c r="GT629" s="182"/>
      <c r="GU629" s="98"/>
      <c r="GV629" s="182"/>
      <c r="GW629" s="98"/>
      <c r="GX629" s="182"/>
      <c r="GY629" s="98"/>
      <c r="GZ629" s="98"/>
      <c r="HA629" s="98"/>
      <c r="HC629"/>
      <c r="HD629"/>
      <c r="HE629"/>
      <c r="HF629"/>
      <c r="HG629"/>
      <c r="HH629"/>
      <c r="HI629" s="10"/>
    </row>
    <row r="630" spans="1:296" s="10" customFormat="1" ht="12.75" customHeight="1" x14ac:dyDescent="0.2">
      <c r="A630" s="21"/>
      <c r="B630" s="18" t="s">
        <v>86</v>
      </c>
      <c r="C630" s="117"/>
      <c r="D630" s="98"/>
      <c r="E630" s="117"/>
      <c r="F630" s="98"/>
      <c r="G630" s="117"/>
      <c r="H630" s="98"/>
      <c r="I630" s="117"/>
      <c r="J630" s="98"/>
      <c r="K630" s="117"/>
      <c r="L630" s="98"/>
      <c r="M630" s="117"/>
      <c r="N630" s="98"/>
      <c r="O630" s="117"/>
      <c r="P630" s="98"/>
      <c r="Q630" s="117"/>
      <c r="R630" s="98"/>
      <c r="S630" s="117"/>
      <c r="T630" s="98"/>
      <c r="U630" s="117"/>
      <c r="V630" s="98"/>
      <c r="W630" s="117"/>
      <c r="X630" s="98"/>
      <c r="Y630" s="117"/>
      <c r="Z630" s="98"/>
      <c r="AA630" s="117"/>
      <c r="AB630" s="98"/>
      <c r="AC630" s="117"/>
      <c r="AD630" s="98"/>
      <c r="AE630" s="117"/>
      <c r="AF630" s="98"/>
      <c r="AG630" s="117"/>
      <c r="AH630" s="98"/>
      <c r="AI630" s="117"/>
      <c r="AJ630" s="98"/>
      <c r="AK630" s="117"/>
      <c r="AL630" s="98"/>
      <c r="AM630" s="117"/>
      <c r="AN630" s="98"/>
      <c r="AO630" s="117"/>
      <c r="AP630" s="98"/>
      <c r="AQ630" s="117"/>
      <c r="AR630" s="98"/>
      <c r="AS630" s="117"/>
      <c r="AT630" s="98"/>
      <c r="AU630" s="117"/>
      <c r="AV630" s="98"/>
      <c r="AW630" s="117"/>
      <c r="AX630" s="98"/>
      <c r="AY630" s="117">
        <f>(AY687*AY694)-AY626</f>
        <v>0</v>
      </c>
      <c r="AZ630" s="98"/>
      <c r="BA630" s="117">
        <f>(BA687*BA694)-BA626</f>
        <v>0</v>
      </c>
      <c r="BB630" s="98"/>
      <c r="BC630" s="117">
        <f>(BC687*BC694)-BC626</f>
        <v>0</v>
      </c>
      <c r="BD630" s="98"/>
      <c r="BE630" s="117">
        <f>(BE687*BE694)-BE626</f>
        <v>0</v>
      </c>
      <c r="BF630" s="98"/>
      <c r="BG630" s="117">
        <f>(BG687*BG694)-BG626</f>
        <v>0</v>
      </c>
      <c r="BH630" s="98"/>
      <c r="BI630" s="117">
        <f>(BI687*BI694)-BI626</f>
        <v>0</v>
      </c>
      <c r="BJ630" s="98"/>
      <c r="BK630" s="117">
        <f>(BK687*BK694)-BK626</f>
        <v>0</v>
      </c>
      <c r="BL630" s="98"/>
      <c r="BM630" s="117">
        <f>(BM687*BM694)-BM626</f>
        <v>0.31400000000007822</v>
      </c>
      <c r="BN630" s="98"/>
      <c r="BO630" s="117">
        <f>(BO687*BO694)-BO626</f>
        <v>0</v>
      </c>
      <c r="BP630" s="98"/>
      <c r="BQ630" s="117">
        <f>(BQ687*BQ694)-BQ626</f>
        <v>0</v>
      </c>
      <c r="BR630" s="98"/>
      <c r="BS630" s="117">
        <f>(BS687*BS694)-BS626</f>
        <v>0</v>
      </c>
      <c r="BT630" s="98"/>
      <c r="BU630" s="117">
        <f>(BU687*BU694)-BU626</f>
        <v>0</v>
      </c>
      <c r="BV630" s="98"/>
      <c r="BW630" s="117">
        <f>(BW687*BW694)-BW626</f>
        <v>0</v>
      </c>
      <c r="BX630" s="98"/>
      <c r="BY630" s="117">
        <f>(BY687*BY694)-BY626</f>
        <v>0</v>
      </c>
      <c r="BZ630" s="98"/>
      <c r="CA630" s="117">
        <f>(CA687*CA694)-CA626</f>
        <v>0</v>
      </c>
      <c r="CB630" s="98"/>
      <c r="CC630" s="117">
        <f>(CC687*CC694)-CC626</f>
        <v>0</v>
      </c>
      <c r="CD630" s="98"/>
      <c r="CE630" s="117">
        <f>(CE687*CE694)-CE626</f>
        <v>0</v>
      </c>
      <c r="CF630" s="98"/>
      <c r="CG630" s="117">
        <f>(CG687*CG694)-CG626</f>
        <v>0</v>
      </c>
      <c r="CH630" s="98"/>
      <c r="CI630" s="117">
        <f>(CI687*CI694)-CI626</f>
        <v>0</v>
      </c>
      <c r="CJ630" s="98"/>
      <c r="CK630" s="117">
        <f>(CK687*CK694)-CK626</f>
        <v>0</v>
      </c>
      <c r="CL630" s="98"/>
      <c r="CM630" s="117">
        <f>(CM687*CM694)-CM626</f>
        <v>0</v>
      </c>
      <c r="CN630" s="98"/>
      <c r="CO630" s="117">
        <f>(CO687*CO694)-CO626</f>
        <v>0</v>
      </c>
      <c r="CP630" s="98"/>
      <c r="CQ630" s="486">
        <f>(CQ687*CQ694)-CQ626</f>
        <v>0</v>
      </c>
      <c r="CR630" s="98"/>
      <c r="CS630" s="117">
        <f>(CS687*CS694)-CS626</f>
        <v>0</v>
      </c>
      <c r="CT630" s="574"/>
      <c r="CU630" s="117">
        <f>(CU687*CU694)-CU626</f>
        <v>0</v>
      </c>
      <c r="CV630" s="98"/>
      <c r="CW630" s="117">
        <f>(CW687*CW694)-CW626</f>
        <v>0</v>
      </c>
      <c r="CX630" s="98"/>
      <c r="CY630" s="117">
        <f>(CY687*CY694)-CY626</f>
        <v>0</v>
      </c>
      <c r="CZ630" s="98"/>
      <c r="DA630" s="117">
        <f>(DA687*DA694)-DA626</f>
        <v>0</v>
      </c>
      <c r="DB630" s="574"/>
      <c r="DC630" s="117">
        <f>(DC687*DC694)-DC626</f>
        <v>0</v>
      </c>
      <c r="DD630" s="98"/>
      <c r="DE630" s="117">
        <f>(DE687*DE694)-DE626</f>
        <v>0</v>
      </c>
      <c r="DF630" s="98"/>
      <c r="DG630" s="117">
        <f>(DG687*DG694)-DG626</f>
        <v>0</v>
      </c>
      <c r="DH630" s="98"/>
      <c r="DI630" s="117">
        <f>(DI687*DI694)-DI626</f>
        <v>0</v>
      </c>
      <c r="DJ630" s="98"/>
      <c r="DK630" s="117">
        <f>(DK687*DK694)-DK626</f>
        <v>0</v>
      </c>
      <c r="DL630" s="98"/>
      <c r="DM630" s="117">
        <f>(DM687*DM694)-DM626</f>
        <v>0</v>
      </c>
      <c r="DN630" s="98" t="str">
        <f t="shared" ref="DN630:DZ631" si="3664">IF(ISERROR((DM630/DE630-1)*100),"NA",IF(((DM630/DE630-1)*100)&gt;100,"NM",IF(((DM630/DE630-1)*100)&lt;-50,"NM",(DM630/DE630-1)*100)))</f>
        <v>NA</v>
      </c>
      <c r="DO630" s="117">
        <f>(DO687*DO694)-DO626</f>
        <v>0</v>
      </c>
      <c r="DP630" s="98" t="str">
        <f t="shared" si="3664"/>
        <v>NA</v>
      </c>
      <c r="DQ630" s="117">
        <f>(DQ687*DQ694)-DQ626</f>
        <v>0</v>
      </c>
      <c r="DR630" s="98" t="str">
        <f t="shared" si="3664"/>
        <v>NA</v>
      </c>
      <c r="DS630" s="117">
        <f>(DS687*DS694)-DS626</f>
        <v>0</v>
      </c>
      <c r="DT630" s="98" t="str">
        <f t="shared" si="3664"/>
        <v>NA</v>
      </c>
      <c r="DU630" s="117">
        <f>(DU687*DU694)-DU626</f>
        <v>0</v>
      </c>
      <c r="DV630" s="98" t="str">
        <f t="shared" si="3664"/>
        <v>NA</v>
      </c>
      <c r="DW630" s="117">
        <f>(DW687*DW694)-DW626</f>
        <v>0</v>
      </c>
      <c r="DX630" s="98" t="str">
        <f t="shared" si="3664"/>
        <v>NA</v>
      </c>
      <c r="DY630" s="117">
        <f>(DY687*DY694)-DY626</f>
        <v>0</v>
      </c>
      <c r="DZ630" s="98" t="str">
        <f t="shared" si="3664"/>
        <v>NA</v>
      </c>
      <c r="EA630" s="117">
        <f>(EA687*EA694)-EA626</f>
        <v>0</v>
      </c>
      <c r="EB630" s="98" t="str">
        <f t="shared" ref="EB630:EB631" si="3665">IF(ISERROR((EA630/DS630-1)*100),"NA",IF(((EA630/DS630-1)*100)&gt;100,"NM",IF(((EA630/DS630-1)*100)&lt;-50,"NM",(EA630/DS630-1)*100)))</f>
        <v>NA</v>
      </c>
      <c r="EC630" s="117">
        <f>(EC687*EC694)-EC626</f>
        <v>0</v>
      </c>
      <c r="ED630" s="98" t="str">
        <f t="shared" ref="ED630:ED631" si="3666">IF(ISERROR((EC630/DU630-1)*100),"NA",IF(((EC630/DU630-1)*100)&gt;100,"NM",IF(((EC630/DU630-1)*100)&lt;-50,"NM",(EC630/DU630-1)*100)))</f>
        <v>NA</v>
      </c>
      <c r="EE630" s="117">
        <f>(EE687*EE694)-EE626</f>
        <v>0</v>
      </c>
      <c r="EF630" s="860" t="str">
        <f t="shared" ref="EF630:EF631" si="3667">IF(ISERROR((EE630/DW630-1)*100),"NA",IF(((EE630/DW630-1)*100)&gt;100,"NM",IF(((EE630/DW630-1)*100)&lt;-50,"NM",(EE630/DW630-1)*100)))</f>
        <v>NA</v>
      </c>
      <c r="EG630" s="117">
        <f>(EG687*EG694)-EG626</f>
        <v>0</v>
      </c>
      <c r="EH630" s="860" t="str">
        <f t="shared" ref="EH630:EH631" si="3668">IF(ISERROR((EG630/DY630-1)*100),"NA",IF(((EG630/DY630-1)*100)&gt;100,"NM",IF(((EG630/DY630-1)*100)&lt;-50,"NM",(EG630/DY630-1)*100)))</f>
        <v>NA</v>
      </c>
      <c r="EI630" s="117">
        <f>(EI687*EI694)-EI626</f>
        <v>0</v>
      </c>
      <c r="EJ630" s="860" t="str">
        <f t="shared" ref="EJ630:EJ631" si="3669">IF(ISERROR((EI630/EA630-1)*100),"NA",IF(((EI630/EA630-1)*100)&gt;100,"NM",IF(((EI630/EA630-1)*100)&lt;-50,"NM",(EI630/EA630-1)*100)))</f>
        <v>NA</v>
      </c>
      <c r="EK630" s="117">
        <f>(EK687*EK694)-EK626</f>
        <v>0</v>
      </c>
      <c r="EL630" s="860" t="str">
        <f t="shared" ref="EL630:EL631" si="3670">IF(ISERROR((EK630/EC630-1)*100),"NA",IF(((EK630/EC630-1)*100)&gt;100,"NM",IF(((EK630/EC630-1)*100)&lt;-50,"NM",(EK630/EC630-1)*100)))</f>
        <v>NA</v>
      </c>
      <c r="EM630" s="117">
        <f>(EM687*EM694)-EM626</f>
        <v>0</v>
      </c>
      <c r="EN630" s="860" t="str">
        <f t="shared" ref="EN630:EN631" si="3671">IF(ISERROR((EM630/EE630-1)*100),"NA",IF(((EM630/EE630-1)*100)&gt;100,"NM",IF(((EM630/EE630-1)*100)&lt;-50,"NM",(EM630/EE630-1)*100)))</f>
        <v>NA</v>
      </c>
      <c r="EO630" s="117">
        <f>(EO687*EO694)-EO626</f>
        <v>0</v>
      </c>
      <c r="EP630" s="98" t="str">
        <f t="shared" ref="EP630:EP631" si="3672">IF(ISERROR((EO630/EG630-1)*100),"NA",IF(((EO630/EG630-1)*100)&gt;100,"NM",IF(((EO630/EG630-1)*100)&lt;-50,"NM",(EO630/EG630-1)*100)))</f>
        <v>NA</v>
      </c>
      <c r="EQ630" s="1031">
        <f>(EQ687*EQ694)-EQ626</f>
        <v>0</v>
      </c>
      <c r="ER630" s="98" t="str">
        <f t="shared" ref="ER630:ER631" si="3673">IF(ISERROR((EQ630/EI630-1)*100),"NA",IF(((EQ630/EI630-1)*100)&gt;100,"NM",IF(((EQ630/EI630-1)*100)&lt;-50,"NM",(EQ630/EI630-1)*100)))</f>
        <v>NA</v>
      </c>
      <c r="ES630" s="1031">
        <f t="shared" ref="ES630" si="3674">(ES687*ES694)-ES626</f>
        <v>0</v>
      </c>
      <c r="ET630" s="98" t="str">
        <f t="shared" ref="ET630:ET631" si="3675">IF(ISERROR((ES630/EK630-1)*100),"NA",IF(((ES630/EK630-1)*100)&gt;100,"NM",IF(((ES630/EK630-1)*100)&lt;-50,"NM",(ES630/EK630-1)*100)))</f>
        <v>NA</v>
      </c>
      <c r="EU630" s="1031">
        <f t="shared" ref="EU630" si="3676">(EU687*EU694)-EU626</f>
        <v>0</v>
      </c>
      <c r="EV630" s="98" t="str">
        <f t="shared" ref="EV630:EV631" si="3677">IF(ISERROR((EU630/EM630-1)*100),"NA",IF(((EU630/EM630-1)*100)&gt;100,"NM",IF(((EU630/EM630-1)*100)&lt;-50,"NM",(EU630/EM630-1)*100)))</f>
        <v>NA</v>
      </c>
      <c r="EW630" s="1031">
        <f t="shared" ref="EW630" si="3678">(EW687*EW694)-EW626</f>
        <v>0</v>
      </c>
      <c r="EX630" s="98" t="str">
        <f t="shared" ref="EX630:EX631" si="3679">IF(ISERROR((EW630/EO630-1)*100),"NA",IF(((EW630/EO630-1)*100)&gt;100,"NM",IF(((EW630/EO630-1)*100)&lt;-50,"NM",(EW630/EO630-1)*100)))</f>
        <v>NA</v>
      </c>
      <c r="EY630" s="117"/>
      <c r="EZ630" s="594"/>
      <c r="FA630" s="405"/>
      <c r="FB630" s="118"/>
      <c r="FC630" s="98"/>
      <c r="FD630" s="118"/>
      <c r="FE630" s="98"/>
      <c r="FF630" s="118"/>
      <c r="FG630" s="98"/>
      <c r="FH630" s="118"/>
      <c r="FI630" s="98"/>
      <c r="FJ630" s="118"/>
      <c r="FK630" s="98"/>
      <c r="FL630" s="118"/>
      <c r="FM630" s="98"/>
      <c r="FN630" s="118"/>
      <c r="FO630" s="98"/>
      <c r="FP630" s="118"/>
      <c r="FQ630" s="98"/>
      <c r="FR630" s="118">
        <f>FR631-FR626</f>
        <v>0</v>
      </c>
      <c r="FS630" s="98"/>
      <c r="FT630" s="118">
        <f>FT631-FT626</f>
        <v>0.31400000000030559</v>
      </c>
      <c r="FU630" s="98"/>
      <c r="FV630" s="118">
        <f>FV631-FV626</f>
        <v>0</v>
      </c>
      <c r="FW630" s="98"/>
      <c r="FX630" s="510">
        <f>FX631-FX626</f>
        <v>0</v>
      </c>
      <c r="FY630" s="98"/>
      <c r="FZ630" s="118">
        <f>FZ631-FZ626</f>
        <v>0</v>
      </c>
      <c r="GA630" s="98"/>
      <c r="GB630" s="874">
        <f>CM630+CO630+CQ630+CS630</f>
        <v>0</v>
      </c>
      <c r="GC630" s="98"/>
      <c r="GD630" s="118">
        <f>GD631-GD626</f>
        <v>0</v>
      </c>
      <c r="GE630" s="98"/>
      <c r="GF630" s="118">
        <f>GF631-GF626</f>
        <v>-1535</v>
      </c>
      <c r="GG630" s="98"/>
      <c r="GH630" s="118">
        <f>GH631-GH626</f>
        <v>-1597</v>
      </c>
      <c r="GI630" s="98">
        <f t="shared" ref="GI630:GW631" si="3680">IF(ISERROR((GH630/GF630-1)*100),"NA",IF(((GH630/GF630-1)*100)&gt;100,"NM",IF(((GH630/GF630-1)*100)&lt;-50,"NM",(GH630/GF630-1)*100)))</f>
        <v>4.0390879478827468</v>
      </c>
      <c r="GJ630" s="118">
        <f>GJ631-GJ626</f>
        <v>0</v>
      </c>
      <c r="GK630" s="98" t="str">
        <f t="shared" si="3680"/>
        <v>NM</v>
      </c>
      <c r="GL630" s="118">
        <f>GL631-GL626</f>
        <v>0</v>
      </c>
      <c r="GM630" s="98" t="str">
        <f t="shared" si="3680"/>
        <v>NA</v>
      </c>
      <c r="GN630" s="118">
        <f>GN631-GN626</f>
        <v>0</v>
      </c>
      <c r="GO630" s="98" t="str">
        <f t="shared" si="3680"/>
        <v>NA</v>
      </c>
      <c r="GP630" s="118">
        <f>GP631-GP626</f>
        <v>0</v>
      </c>
      <c r="GQ630" s="98" t="str">
        <f t="shared" si="3680"/>
        <v>NA</v>
      </c>
      <c r="GR630" s="118">
        <f>(GR687*GR694)-GR626</f>
        <v>0</v>
      </c>
      <c r="GS630" s="98" t="str">
        <f t="shared" si="3680"/>
        <v>NA</v>
      </c>
      <c r="GT630" s="118">
        <f>(GT687*GT694)-GT626</f>
        <v>0</v>
      </c>
      <c r="GU630" s="98" t="str">
        <f t="shared" si="3680"/>
        <v>NA</v>
      </c>
      <c r="GV630" s="118">
        <f>(GV687*GV694)-GV626</f>
        <v>0</v>
      </c>
      <c r="GW630" s="98" t="str">
        <f t="shared" si="3680"/>
        <v>NA</v>
      </c>
      <c r="GX630" s="118">
        <f>(GX687*GX694)-GX626</f>
        <v>0</v>
      </c>
      <c r="GY630" s="98" t="str">
        <f t="shared" ref="GY630:GY631" si="3681">IF(ISERROR((GX630/GV630-1)*100),"NA",IF(((GX630/GV630-1)*100)&gt;100,"NM",IF(((GX630/GV630-1)*100)&lt;-50,"NM",(GX630/GV630-1)*100)))</f>
        <v>NA</v>
      </c>
      <c r="GZ630" s="98" t="str">
        <f>IF(ISERROR(((GX630/GN630)^0.2-1)*100),"NA",IF((((GX630/GN630)^0.2-1)*100)&gt;100,"NM",IF((((GX630/GN630)^0.2-1)*100)&lt;-50,"NM",((GX630/GN630)^0.2-1)*100)))</f>
        <v>NA</v>
      </c>
      <c r="HA630" s="98"/>
      <c r="HC630"/>
      <c r="HD630"/>
      <c r="HE630"/>
      <c r="HF630"/>
      <c r="HG630"/>
      <c r="HH630"/>
    </row>
    <row r="631" spans="1:296" s="10" customFormat="1" ht="12.75" customHeight="1" x14ac:dyDescent="0.2">
      <c r="A631" s="21"/>
      <c r="B631" s="18" t="s">
        <v>466</v>
      </c>
      <c r="C631" s="117"/>
      <c r="D631" s="98"/>
      <c r="E631" s="117"/>
      <c r="F631" s="98"/>
      <c r="G631" s="117"/>
      <c r="H631" s="98"/>
      <c r="I631" s="117"/>
      <c r="J631" s="98"/>
      <c r="K631" s="117"/>
      <c r="L631" s="98"/>
      <c r="M631" s="117"/>
      <c r="N631" s="98"/>
      <c r="O631" s="117"/>
      <c r="P631" s="98"/>
      <c r="Q631" s="117"/>
      <c r="R631" s="98"/>
      <c r="S631" s="117"/>
      <c r="T631" s="98"/>
      <c r="U631" s="117"/>
      <c r="V631" s="98"/>
      <c r="W631" s="117"/>
      <c r="X631" s="98"/>
      <c r="Y631" s="117"/>
      <c r="Z631" s="98"/>
      <c r="AA631" s="117"/>
      <c r="AB631" s="98"/>
      <c r="AC631" s="117"/>
      <c r="AD631" s="98"/>
      <c r="AE631" s="117"/>
      <c r="AF631" s="98"/>
      <c r="AG631" s="117"/>
      <c r="AH631" s="98"/>
      <c r="AI631" s="117"/>
      <c r="AJ631" s="98"/>
      <c r="AK631" s="117"/>
      <c r="AL631" s="98"/>
      <c r="AM631" s="117"/>
      <c r="AN631" s="98"/>
      <c r="AO631" s="117"/>
      <c r="AP631" s="98"/>
      <c r="AQ631" s="117"/>
      <c r="AR631" s="98"/>
      <c r="AS631" s="117"/>
      <c r="AT631" s="98"/>
      <c r="AU631" s="117"/>
      <c r="AV631" s="98"/>
      <c r="AW631" s="117"/>
      <c r="AX631" s="98"/>
      <c r="AY631" s="117">
        <f>AY626+AY630</f>
        <v>1026</v>
      </c>
      <c r="AZ631" s="98"/>
      <c r="BA631" s="117">
        <f>BA626+BA630</f>
        <v>984</v>
      </c>
      <c r="BB631" s="98"/>
      <c r="BC631" s="117">
        <f>BC626+BC630</f>
        <v>958</v>
      </c>
      <c r="BD631" s="98"/>
      <c r="BE631" s="117">
        <f>BE626+BE630</f>
        <v>1054</v>
      </c>
      <c r="BF631" s="98"/>
      <c r="BG631" s="117">
        <f>BG626+BG630</f>
        <v>1082</v>
      </c>
      <c r="BH631" s="98"/>
      <c r="BI631" s="117">
        <f>BI626+BI630</f>
        <v>1311</v>
      </c>
      <c r="BJ631" s="98"/>
      <c r="BK631" s="117">
        <f>BK626+BK630</f>
        <v>1113</v>
      </c>
      <c r="BL631" s="98"/>
      <c r="BM631" s="117">
        <f>BM626+BM630</f>
        <v>1161.3140000000001</v>
      </c>
      <c r="BN631" s="98"/>
      <c r="BO631" s="117">
        <f>BO626+BO630</f>
        <v>1072</v>
      </c>
      <c r="BP631" s="98"/>
      <c r="BQ631" s="117">
        <f>BQ626+BQ630</f>
        <v>887</v>
      </c>
      <c r="BR631" s="98"/>
      <c r="BS631" s="117">
        <f>BS626+BS630</f>
        <v>608</v>
      </c>
      <c r="BT631" s="98"/>
      <c r="BU631" s="117">
        <f>BU626+BU630</f>
        <v>-47</v>
      </c>
      <c r="BV631" s="98"/>
      <c r="BW631" s="117">
        <f>BW626+BW630</f>
        <v>-59</v>
      </c>
      <c r="BX631" s="98"/>
      <c r="BY631" s="117">
        <f>BY626+BY630</f>
        <v>143</v>
      </c>
      <c r="BZ631" s="98"/>
      <c r="CA631" s="117">
        <f>CA626+CA630</f>
        <v>145</v>
      </c>
      <c r="CB631" s="98"/>
      <c r="CC631" s="117">
        <f>CC626+CC630</f>
        <v>33</v>
      </c>
      <c r="CD631" s="98"/>
      <c r="CE631" s="117">
        <f>CE626+CE630</f>
        <v>240</v>
      </c>
      <c r="CF631" s="98"/>
      <c r="CG631" s="117">
        <f>CG626+CG630</f>
        <v>269</v>
      </c>
      <c r="CH631" s="98"/>
      <c r="CI631" s="117">
        <f>CI626+CI630</f>
        <v>193</v>
      </c>
      <c r="CJ631" s="98"/>
      <c r="CK631" s="117">
        <f>CK626+CK630</f>
        <v>583</v>
      </c>
      <c r="CL631" s="98"/>
      <c r="CM631" s="117">
        <f>CM626+CM630</f>
        <v>704</v>
      </c>
      <c r="CN631" s="98"/>
      <c r="CO631" s="117">
        <f>CO626+CO630</f>
        <v>646</v>
      </c>
      <c r="CP631" s="98"/>
      <c r="CQ631" s="486">
        <f>CQ626+CQ630</f>
        <v>751</v>
      </c>
      <c r="CR631" s="98"/>
      <c r="CS631" s="117">
        <f>CS626+CS630</f>
        <v>800</v>
      </c>
      <c r="CT631" s="574"/>
      <c r="CU631" s="117">
        <f>CU626+CU630</f>
        <v>995</v>
      </c>
      <c r="CV631" s="98"/>
      <c r="CW631" s="117">
        <f>CW626+CW630</f>
        <v>1024</v>
      </c>
      <c r="CX631" s="98"/>
      <c r="CY631" s="117">
        <f>CY626+CY630</f>
        <v>925</v>
      </c>
      <c r="CZ631" s="98"/>
      <c r="DA631" s="117">
        <f>DA626+DA630</f>
        <v>740</v>
      </c>
      <c r="DB631" s="574"/>
      <c r="DC631" s="117">
        <f>DC626+DC630</f>
        <v>1001</v>
      </c>
      <c r="DD631" s="98"/>
      <c r="DE631" s="117">
        <f>DE626+DE630</f>
        <v>1004</v>
      </c>
      <c r="DF631" s="98"/>
      <c r="DG631" s="117">
        <f>DG626+DG630</f>
        <v>836</v>
      </c>
      <c r="DH631" s="98"/>
      <c r="DI631" s="117">
        <f>DI626+DI630</f>
        <v>896</v>
      </c>
      <c r="DJ631" s="98"/>
      <c r="DK631" s="117">
        <f>DK626+DK630</f>
        <v>926</v>
      </c>
      <c r="DL631" s="98"/>
      <c r="DM631" s="117">
        <f>DM626+DM630</f>
        <v>913</v>
      </c>
      <c r="DN631" s="98">
        <f t="shared" si="3664"/>
        <v>-9.0637450199203222</v>
      </c>
      <c r="DO631" s="117">
        <f>DO626+DO630</f>
        <v>1040</v>
      </c>
      <c r="DP631" s="98">
        <f t="shared" si="3664"/>
        <v>24.40191387559809</v>
      </c>
      <c r="DQ631" s="117">
        <f>DQ626+DQ630</f>
        <v>865</v>
      </c>
      <c r="DR631" s="98">
        <f t="shared" si="3664"/>
        <v>-3.4598214285714302</v>
      </c>
      <c r="DS631" s="117">
        <f>DS626+DS630</f>
        <v>1266</v>
      </c>
      <c r="DT631" s="98">
        <f t="shared" si="3664"/>
        <v>36.717062634989198</v>
      </c>
      <c r="DU631" s="117">
        <f>DU626+DU630</f>
        <v>1359</v>
      </c>
      <c r="DV631" s="98">
        <f t="shared" si="3664"/>
        <v>48.849945235487404</v>
      </c>
      <c r="DW631" s="117">
        <f>DW626+DW630</f>
        <v>358</v>
      </c>
      <c r="DX631" s="98" t="str">
        <f t="shared" si="3664"/>
        <v>NM</v>
      </c>
      <c r="DY631" s="117">
        <f>DY626+DY630</f>
        <v>988</v>
      </c>
      <c r="DZ631" s="98">
        <f t="shared" si="3664"/>
        <v>14.219653179190761</v>
      </c>
      <c r="EA631" s="117">
        <f>EA626+EA630</f>
        <v>1002</v>
      </c>
      <c r="EB631" s="98">
        <f t="shared" si="3665"/>
        <v>-20.853080568720383</v>
      </c>
      <c r="EC631" s="117">
        <f>EC626+EC630</f>
        <v>626</v>
      </c>
      <c r="ED631" s="98" t="str">
        <f t="shared" si="3666"/>
        <v>NM</v>
      </c>
      <c r="EE631" s="117">
        <f>EE626+EE630</f>
        <v>1355</v>
      </c>
      <c r="EF631" s="860" t="str">
        <f t="shared" si="3667"/>
        <v>NM</v>
      </c>
      <c r="EG631" s="117">
        <f>EG626+EG630</f>
        <v>1057</v>
      </c>
      <c r="EH631" s="117">
        <f t="shared" si="3668"/>
        <v>6.9838056680161964</v>
      </c>
      <c r="EI631" s="117">
        <f>EI626+EI630</f>
        <v>1321</v>
      </c>
      <c r="EJ631" s="117">
        <f t="shared" si="3669"/>
        <v>31.836327345309389</v>
      </c>
      <c r="EK631" s="117">
        <f>EK626+EK630</f>
        <v>1121</v>
      </c>
      <c r="EL631" s="860">
        <f t="shared" si="3670"/>
        <v>79.073482428115</v>
      </c>
      <c r="EM631" s="117">
        <f>EM626+EM630</f>
        <v>1115</v>
      </c>
      <c r="EN631" s="860">
        <f t="shared" si="3671"/>
        <v>-17.712177121771223</v>
      </c>
      <c r="EO631" s="117">
        <f>EO626+EO630</f>
        <v>678</v>
      </c>
      <c r="EP631" s="98">
        <f t="shared" si="3672"/>
        <v>-35.856196783349105</v>
      </c>
      <c r="EQ631" s="1031">
        <f t="shared" ref="EQ631" si="3682">EQ626+EQ630</f>
        <v>1227.8759053276194</v>
      </c>
      <c r="ER631" s="98">
        <f t="shared" si="3673"/>
        <v>-7.049515115244553</v>
      </c>
      <c r="ES631" s="1031">
        <f t="shared" ref="ES631" si="3683">ES626+ES630</f>
        <v>1227.0519622517065</v>
      </c>
      <c r="ET631" s="98">
        <f t="shared" si="3675"/>
        <v>9.460478345379709</v>
      </c>
      <c r="EU631" s="1031">
        <f t="shared" ref="EU631" si="3684">EU626+EU630</f>
        <v>1240.6753955390393</v>
      </c>
      <c r="EV631" s="98">
        <f t="shared" si="3677"/>
        <v>11.271335922783798</v>
      </c>
      <c r="EW631" s="1031">
        <f t="shared" ref="EW631" si="3685">EW626+EW630</f>
        <v>1252.7110350702385</v>
      </c>
      <c r="EX631" s="98">
        <f t="shared" si="3679"/>
        <v>84.765639390890641</v>
      </c>
      <c r="EY631" s="117"/>
      <c r="EZ631" s="594"/>
      <c r="FA631" s="405"/>
      <c r="FB631" s="118"/>
      <c r="FC631" s="98"/>
      <c r="FD631" s="118"/>
      <c r="FE631" s="98"/>
      <c r="FF631" s="118"/>
      <c r="FG631" s="98"/>
      <c r="FH631" s="118"/>
      <c r="FI631" s="98"/>
      <c r="FJ631" s="118"/>
      <c r="FK631" s="98"/>
      <c r="FL631" s="118"/>
      <c r="FM631" s="98"/>
      <c r="FN631" s="118"/>
      <c r="FO631" s="98"/>
      <c r="FP631" s="118"/>
      <c r="FQ631" s="98"/>
      <c r="FR631" s="118">
        <f>AY631+BA631+BC631+BE631</f>
        <v>4022</v>
      </c>
      <c r="FS631" s="98"/>
      <c r="FT631" s="118">
        <f>BG631+BI631+BK631+BM631</f>
        <v>4667.3140000000003</v>
      </c>
      <c r="FU631" s="98"/>
      <c r="FV631" s="118">
        <f>BO631+BQ631+BS631+BU631</f>
        <v>2520</v>
      </c>
      <c r="FW631" s="98"/>
      <c r="FX631" s="510">
        <f>BW631+BY631+CA631+CC631</f>
        <v>262</v>
      </c>
      <c r="FY631" s="98"/>
      <c r="FZ631" s="118">
        <f>CE631+CG631+CI631+CK631</f>
        <v>1285</v>
      </c>
      <c r="GA631" s="98"/>
      <c r="GB631" s="874">
        <f>GB626+GB630</f>
        <v>3342</v>
      </c>
      <c r="GC631" s="98"/>
      <c r="GD631" s="118">
        <f>CU631+CW631+CY631+DA631</f>
        <v>3684</v>
      </c>
      <c r="GE631" s="98"/>
      <c r="GF631" s="118">
        <f>DC631+DE631+DG631+DI631</f>
        <v>3737</v>
      </c>
      <c r="GG631" s="98"/>
      <c r="GH631" s="118">
        <f>DK631+DM631+DO631+DQ631</f>
        <v>3744</v>
      </c>
      <c r="GI631" s="98">
        <f t="shared" si="3680"/>
        <v>0.18731602890018628</v>
      </c>
      <c r="GJ631" s="118">
        <f>DS631+DU631+DW631+DY631</f>
        <v>3971</v>
      </c>
      <c r="GK631" s="98">
        <f t="shared" si="3680"/>
        <v>6.0630341880341776</v>
      </c>
      <c r="GL631" s="118">
        <f>EA631+EC631+EE631+EG631</f>
        <v>4040</v>
      </c>
      <c r="GM631" s="98">
        <f t="shared" si="3680"/>
        <v>1.7375975824729384</v>
      </c>
      <c r="GN631" s="118">
        <f>EI631+EK631+EM631+EO631</f>
        <v>4235</v>
      </c>
      <c r="GO631" s="98">
        <f t="shared" si="3680"/>
        <v>4.8267326732673199</v>
      </c>
      <c r="GP631" s="118">
        <f>EQ631+ES631+EU631+EW631</f>
        <v>4948.314298188604</v>
      </c>
      <c r="GQ631" s="98">
        <f t="shared" si="3680"/>
        <v>16.843312826177193</v>
      </c>
      <c r="GR631" s="118">
        <f>GR626+GR630</f>
        <v>5136.7764122477884</v>
      </c>
      <c r="GS631" s="98">
        <f t="shared" si="3680"/>
        <v>3.808612442588255</v>
      </c>
      <c r="GT631" s="118">
        <f>GT626+GT630</f>
        <v>5337.7113438185688</v>
      </c>
      <c r="GU631" s="98">
        <f t="shared" si="3680"/>
        <v>3.911693160163332</v>
      </c>
      <c r="GV631" s="118">
        <f>GV626+GV630</f>
        <v>5496.0002922144995</v>
      </c>
      <c r="GW631" s="98">
        <f t="shared" si="3680"/>
        <v>2.9654834853375833</v>
      </c>
      <c r="GX631" s="118">
        <f>GX626+GX630</f>
        <v>5606.6769994248834</v>
      </c>
      <c r="GY631" s="98">
        <f t="shared" si="3681"/>
        <v>2.0137682191750494</v>
      </c>
      <c r="GZ631" s="98">
        <f>IF(ISERROR(((GX631/GN631)^0.2-1)*100),"NA",IF((((GX631/GN631)^0.2-1)*100)&gt;100,"NM",IF((((GX631/GN631)^0.2-1)*100)&lt;-50,"NM",((GX631/GN631)^0.2-1)*100)))</f>
        <v>5.7719289229313242</v>
      </c>
      <c r="HA631" s="98"/>
      <c r="HC631"/>
      <c r="HD631"/>
      <c r="HE631"/>
      <c r="HF631"/>
      <c r="HG631"/>
      <c r="HH631"/>
    </row>
    <row r="632" spans="1:296" s="2" customFormat="1" ht="12.75" customHeight="1" x14ac:dyDescent="0.2">
      <c r="B632" s="102"/>
      <c r="C632" s="94"/>
      <c r="D632" s="113"/>
      <c r="E632" s="94"/>
      <c r="F632" s="113"/>
      <c r="G632" s="94"/>
      <c r="H632" s="113"/>
      <c r="I632" s="94"/>
      <c r="J632" s="98"/>
      <c r="K632" s="94"/>
      <c r="L632" s="98"/>
      <c r="M632" s="94"/>
      <c r="N632" s="98"/>
      <c r="O632" s="94"/>
      <c r="P632" s="98"/>
      <c r="Q632" s="94"/>
      <c r="R632" s="98"/>
      <c r="S632" s="94"/>
      <c r="T632" s="98"/>
      <c r="U632" s="94"/>
      <c r="V632" s="98"/>
      <c r="W632" s="94"/>
      <c r="X632" s="98"/>
      <c r="Y632" s="94"/>
      <c r="Z632" s="98"/>
      <c r="AA632" s="94"/>
      <c r="AB632" s="98"/>
      <c r="AC632" s="94"/>
      <c r="AD632" s="98"/>
      <c r="AE632" s="94"/>
      <c r="AF632" s="98"/>
      <c r="AG632" s="94"/>
      <c r="AH632" s="98"/>
      <c r="AI632" s="94"/>
      <c r="AJ632" s="98"/>
      <c r="AK632" s="94"/>
      <c r="AL632" s="98"/>
      <c r="AM632" s="94"/>
      <c r="AN632" s="98"/>
      <c r="AO632" s="94"/>
      <c r="AP632" s="98"/>
      <c r="AQ632" s="94"/>
      <c r="AR632" s="98"/>
      <c r="AS632" s="94"/>
      <c r="AT632" s="98"/>
      <c r="AU632" s="94"/>
      <c r="AV632" s="98"/>
      <c r="AW632" s="94"/>
      <c r="AX632" s="98"/>
      <c r="AY632" s="94"/>
      <c r="AZ632" s="98"/>
      <c r="BA632" s="94"/>
      <c r="BB632" s="98"/>
      <c r="BC632" s="94"/>
      <c r="BD632" s="98"/>
      <c r="BE632" s="94"/>
      <c r="BF632" s="98"/>
      <c r="BG632" s="94"/>
      <c r="BH632" s="98"/>
      <c r="BI632" s="94"/>
      <c r="BJ632" s="98"/>
      <c r="BK632" s="94"/>
      <c r="BL632" s="98"/>
      <c r="BM632" s="94"/>
      <c r="BN632" s="98"/>
      <c r="BO632" s="94"/>
      <c r="BP632" s="98"/>
      <c r="BQ632" s="94"/>
      <c r="BR632" s="98"/>
      <c r="BS632" s="94"/>
      <c r="BT632" s="98"/>
      <c r="BU632" s="94"/>
      <c r="BV632" s="98"/>
      <c r="BW632" s="94"/>
      <c r="BX632" s="98"/>
      <c r="BY632" s="94"/>
      <c r="BZ632" s="98"/>
      <c r="CA632" s="94"/>
      <c r="CB632" s="98"/>
      <c r="CC632" s="94"/>
      <c r="CD632" s="98"/>
      <c r="CE632" s="94"/>
      <c r="CF632" s="98"/>
      <c r="CG632" s="94"/>
      <c r="CH632" s="98"/>
      <c r="CI632" s="94"/>
      <c r="CJ632" s="98"/>
      <c r="CK632" s="94"/>
      <c r="CL632" s="98"/>
      <c r="CM632" s="94"/>
      <c r="CN632" s="98"/>
      <c r="CO632" s="94"/>
      <c r="CP632" s="98"/>
      <c r="CQ632" s="533"/>
      <c r="CR632" s="98"/>
      <c r="CS632" s="94"/>
      <c r="CT632" s="98"/>
      <c r="CU632" s="329"/>
      <c r="CV632" s="98"/>
      <c r="CW632" s="329"/>
      <c r="CX632" s="98"/>
      <c r="CY632" s="329"/>
      <c r="CZ632" s="98"/>
      <c r="DA632" s="329"/>
      <c r="DB632" s="98"/>
      <c r="DC632" s="329"/>
      <c r="DD632" s="98"/>
      <c r="DE632" s="329"/>
      <c r="DF632" s="98"/>
      <c r="DG632" s="329"/>
      <c r="DH632" s="98"/>
      <c r="DI632" s="329"/>
      <c r="DJ632" s="98"/>
      <c r="DK632" s="329"/>
      <c r="DL632" s="98"/>
      <c r="DM632" s="329"/>
      <c r="DN632" s="98"/>
      <c r="DO632" s="329"/>
      <c r="DP632" s="98"/>
      <c r="DQ632" s="329"/>
      <c r="DR632" s="98"/>
      <c r="DS632" s="329"/>
      <c r="DT632" s="98"/>
      <c r="DU632" s="329"/>
      <c r="DV632" s="98"/>
      <c r="DW632" s="329"/>
      <c r="DX632" s="98"/>
      <c r="DY632" s="329"/>
      <c r="DZ632" s="98"/>
      <c r="EA632" s="329"/>
      <c r="EB632" s="98"/>
      <c r="EC632" s="329"/>
      <c r="ED632" s="98"/>
      <c r="EE632" s="329"/>
      <c r="EF632" s="860"/>
      <c r="EG632" s="329"/>
      <c r="EH632" s="860"/>
      <c r="EI632" s="329"/>
      <c r="EJ632" s="860"/>
      <c r="EK632" s="329"/>
      <c r="EL632" s="860"/>
      <c r="EM632" s="329"/>
      <c r="EN632" s="860"/>
      <c r="EO632" s="329"/>
      <c r="EP632" s="98"/>
      <c r="EQ632" s="789"/>
      <c r="ER632" s="98"/>
      <c r="ES632" s="789"/>
      <c r="ET632" s="98"/>
      <c r="EU632" s="789"/>
      <c r="EV632" s="98"/>
      <c r="EW632" s="789"/>
      <c r="EX632" s="98"/>
      <c r="EY632" s="95"/>
      <c r="EZ632" s="594"/>
      <c r="FA632" s="405"/>
      <c r="FB632" s="95"/>
      <c r="FC632" s="113"/>
      <c r="FD632" s="94"/>
      <c r="FE632" s="113"/>
      <c r="FF632" s="95"/>
      <c r="FG632" s="113"/>
      <c r="FH632" s="95"/>
      <c r="FI632" s="113"/>
      <c r="FJ632" s="95"/>
      <c r="FK632" s="113"/>
      <c r="FL632" s="95"/>
      <c r="FM632" s="113"/>
      <c r="FN632" s="95"/>
      <c r="FO632" s="113"/>
      <c r="FP632" s="95"/>
      <c r="FQ632" s="113"/>
      <c r="FR632" s="96"/>
      <c r="FS632" s="116"/>
      <c r="FT632" s="96"/>
      <c r="FU632" s="116"/>
      <c r="FV632" s="96"/>
      <c r="FW632" s="98"/>
      <c r="FX632" s="480"/>
      <c r="FY632" s="98"/>
      <c r="FZ632" s="96"/>
      <c r="GA632" s="98"/>
      <c r="GB632" s="480"/>
      <c r="GC632" s="98"/>
      <c r="GD632" s="148"/>
      <c r="GE632" s="98"/>
      <c r="GF632" s="148"/>
      <c r="GG632" s="98"/>
      <c r="GH632" s="148"/>
      <c r="GI632" s="98"/>
      <c r="GJ632" s="148"/>
      <c r="GK632" s="98"/>
      <c r="GL632" s="148"/>
      <c r="GM632" s="98"/>
      <c r="GN632" s="148"/>
      <c r="GO632" s="98"/>
      <c r="GP632" s="148"/>
      <c r="GQ632" s="98"/>
      <c r="GR632" s="95"/>
      <c r="GS632" s="98"/>
      <c r="GT632" s="95"/>
      <c r="GU632" s="98"/>
      <c r="GV632" s="95"/>
      <c r="GW632" s="98"/>
      <c r="GX632" s="95"/>
      <c r="GY632" s="98"/>
      <c r="GZ632" s="98"/>
      <c r="HA632" s="98"/>
      <c r="HB632" s="10"/>
      <c r="HC632"/>
      <c r="HD632"/>
      <c r="HE632"/>
      <c r="HF632"/>
      <c r="HG632"/>
      <c r="HH632"/>
      <c r="HI632" s="10"/>
      <c r="HJ632" s="10"/>
      <c r="HK632" s="10"/>
      <c r="HL632" s="10"/>
      <c r="HM632" s="10"/>
      <c r="HN632" s="10"/>
      <c r="HO632" s="10"/>
      <c r="HP632" s="10"/>
      <c r="HQ632" s="10"/>
      <c r="HR632" s="10"/>
      <c r="HS632" s="10"/>
      <c r="HT632" s="10"/>
      <c r="HU632" s="10"/>
      <c r="HV632" s="10"/>
      <c r="HW632" s="10"/>
      <c r="HX632" s="10"/>
      <c r="HY632" s="10"/>
      <c r="HZ632" s="10"/>
      <c r="IA632" s="10"/>
      <c r="IB632" s="10"/>
      <c r="IC632" s="10"/>
      <c r="ID632" s="10"/>
      <c r="IE632" s="10"/>
      <c r="IF632" s="10"/>
      <c r="IG632" s="10"/>
      <c r="IH632" s="10"/>
      <c r="II632" s="10"/>
      <c r="IJ632" s="10"/>
      <c r="IK632" s="10"/>
      <c r="IL632" s="10"/>
      <c r="IM632" s="10"/>
      <c r="IN632" s="10"/>
      <c r="IO632" s="10"/>
      <c r="IP632" s="10"/>
      <c r="IQ632" s="10"/>
      <c r="IR632" s="10"/>
      <c r="IS632" s="10"/>
      <c r="IT632" s="10"/>
      <c r="IU632" s="10"/>
      <c r="IV632" s="10"/>
      <c r="IW632" s="10"/>
      <c r="IX632" s="10"/>
      <c r="IY632" s="10"/>
      <c r="IZ632" s="10"/>
      <c r="JA632" s="10"/>
      <c r="JB632" s="10"/>
      <c r="JC632" s="10"/>
      <c r="JD632" s="10"/>
      <c r="JE632" s="10"/>
      <c r="JF632" s="10"/>
      <c r="JG632" s="10"/>
      <c r="JH632" s="10"/>
      <c r="JI632" s="10"/>
      <c r="JJ632" s="10"/>
      <c r="JK632" s="10"/>
      <c r="JL632" s="10"/>
      <c r="JM632" s="10"/>
      <c r="JN632" s="10"/>
      <c r="JO632" s="10"/>
      <c r="JP632" s="10"/>
      <c r="JQ632" s="10"/>
      <c r="JR632" s="10"/>
      <c r="JS632" s="10"/>
      <c r="JT632" s="10"/>
      <c r="JU632" s="10"/>
      <c r="JV632" s="10"/>
      <c r="JW632" s="10"/>
      <c r="JX632" s="10"/>
      <c r="JY632" s="10"/>
      <c r="JZ632" s="10"/>
      <c r="KA632" s="10"/>
      <c r="KB632" s="10"/>
      <c r="KC632" s="10"/>
      <c r="KD632" s="10"/>
      <c r="KE632" s="10"/>
      <c r="KF632" s="10"/>
      <c r="KG632" s="10"/>
      <c r="KH632" s="10"/>
      <c r="KI632" s="10"/>
      <c r="KJ632" s="10"/>
    </row>
    <row r="633" spans="1:296" s="2" customFormat="1" ht="12.75" customHeight="1" x14ac:dyDescent="0.2">
      <c r="B633" s="19" t="s">
        <v>612</v>
      </c>
      <c r="C633" s="94"/>
      <c r="D633" s="113"/>
      <c r="E633" s="94"/>
      <c r="F633" s="113"/>
      <c r="G633" s="94"/>
      <c r="H633" s="113"/>
      <c r="I633" s="94"/>
      <c r="J633" s="98"/>
      <c r="K633" s="94"/>
      <c r="L633" s="98"/>
      <c r="M633" s="94"/>
      <c r="N633" s="98"/>
      <c r="O633" s="94"/>
      <c r="P633" s="98"/>
      <c r="Q633" s="94"/>
      <c r="R633" s="98"/>
      <c r="S633" s="94"/>
      <c r="T633" s="98"/>
      <c r="U633" s="94"/>
      <c r="V633" s="98"/>
      <c r="W633" s="94"/>
      <c r="X633" s="98"/>
      <c r="Y633" s="94"/>
      <c r="Z633" s="98"/>
      <c r="AA633" s="94"/>
      <c r="AB633" s="98"/>
      <c r="AC633" s="94"/>
      <c r="AD633" s="98"/>
      <c r="AE633" s="94"/>
      <c r="AF633" s="98"/>
      <c r="AG633" s="94"/>
      <c r="AH633" s="98"/>
      <c r="AI633" s="94"/>
      <c r="AJ633" s="98"/>
      <c r="AK633" s="94"/>
      <c r="AL633" s="98"/>
      <c r="AM633" s="94"/>
      <c r="AN633" s="98"/>
      <c r="AO633" s="94"/>
      <c r="AP633" s="98"/>
      <c r="AQ633" s="94"/>
      <c r="AR633" s="98"/>
      <c r="AS633" s="94"/>
      <c r="AT633" s="98"/>
      <c r="AU633" s="94"/>
      <c r="AV633" s="98"/>
      <c r="AW633" s="94"/>
      <c r="AX633" s="98"/>
      <c r="AY633" s="94"/>
      <c r="AZ633" s="98"/>
      <c r="BA633" s="94"/>
      <c r="BB633" s="98"/>
      <c r="BC633" s="94"/>
      <c r="BD633" s="98"/>
      <c r="BE633" s="94"/>
      <c r="BF633" s="98"/>
      <c r="BG633" s="94"/>
      <c r="BH633" s="98"/>
      <c r="BI633" s="94"/>
      <c r="BJ633" s="98"/>
      <c r="BK633" s="94"/>
      <c r="BL633" s="98"/>
      <c r="BM633" s="94"/>
      <c r="BN633" s="98"/>
      <c r="BO633" s="94"/>
      <c r="BP633" s="98"/>
      <c r="BQ633" s="94"/>
      <c r="BR633" s="98"/>
      <c r="BS633" s="94"/>
      <c r="BT633" s="98"/>
      <c r="BU633" s="94"/>
      <c r="BV633" s="98"/>
      <c r="BW633" s="94"/>
      <c r="BX633" s="98"/>
      <c r="BY633" s="94"/>
      <c r="BZ633" s="98"/>
      <c r="CA633" s="94"/>
      <c r="CB633" s="98"/>
      <c r="CC633" s="94"/>
      <c r="CD633" s="98"/>
      <c r="CE633" s="94"/>
      <c r="CF633" s="98"/>
      <c r="CG633" s="94"/>
      <c r="CH633" s="98"/>
      <c r="CI633" s="94"/>
      <c r="CJ633" s="98"/>
      <c r="CK633" s="94"/>
      <c r="CL633" s="98"/>
      <c r="CM633" s="94"/>
      <c r="CN633" s="98"/>
      <c r="CO633" s="94"/>
      <c r="CP633" s="98"/>
      <c r="CQ633" s="533"/>
      <c r="CR633" s="98"/>
      <c r="CS633" s="94"/>
      <c r="CT633" s="98"/>
      <c r="CU633" s="94"/>
      <c r="CV633" s="98"/>
      <c r="CW633" s="94"/>
      <c r="CX633" s="98"/>
      <c r="CY633" s="94"/>
      <c r="CZ633" s="98"/>
      <c r="DA633" s="94"/>
      <c r="DB633" s="98"/>
      <c r="DC633" s="94"/>
      <c r="DD633" s="98"/>
      <c r="DE633" s="94"/>
      <c r="DF633" s="98"/>
      <c r="DG633" s="94"/>
      <c r="DH633" s="98"/>
      <c r="DI633" s="94"/>
      <c r="DJ633" s="98"/>
      <c r="DK633" s="94"/>
      <c r="DL633" s="98"/>
      <c r="DM633" s="94"/>
      <c r="DN633" s="98"/>
      <c r="DO633" s="94"/>
      <c r="DP633" s="98"/>
      <c r="DQ633" s="94"/>
      <c r="DR633" s="98"/>
      <c r="DS633" s="94"/>
      <c r="DT633" s="98"/>
      <c r="DU633" s="94"/>
      <c r="DV633" s="98"/>
      <c r="DW633" s="94"/>
      <c r="DX633" s="98"/>
      <c r="DY633" s="94"/>
      <c r="DZ633" s="98"/>
      <c r="EA633" s="94"/>
      <c r="EB633" s="98"/>
      <c r="EC633" s="94"/>
      <c r="ED633" s="98"/>
      <c r="EE633" s="94"/>
      <c r="EF633" s="860"/>
      <c r="EG633" s="94"/>
      <c r="EH633" s="860"/>
      <c r="EI633" s="94"/>
      <c r="EJ633" s="860"/>
      <c r="EK633" s="94"/>
      <c r="EL633" s="860"/>
      <c r="EM633" s="94"/>
      <c r="EN633" s="860"/>
      <c r="EO633" s="94"/>
      <c r="EP633" s="98"/>
      <c r="EQ633" s="789"/>
      <c r="ER633" s="98"/>
      <c r="ES633" s="789"/>
      <c r="ET633" s="98"/>
      <c r="EU633" s="789"/>
      <c r="EV633" s="98"/>
      <c r="EW633" s="789"/>
      <c r="EX633" s="98"/>
      <c r="EY633" s="95"/>
      <c r="EZ633" s="594"/>
      <c r="FA633" s="405"/>
      <c r="FB633" s="95"/>
      <c r="FC633" s="113"/>
      <c r="FD633" s="94"/>
      <c r="FE633" s="113"/>
      <c r="FF633" s="95"/>
      <c r="FG633" s="113"/>
      <c r="FH633" s="95"/>
      <c r="FI633" s="113"/>
      <c r="FJ633" s="95"/>
      <c r="FK633" s="113"/>
      <c r="FL633" s="95"/>
      <c r="FM633" s="113"/>
      <c r="FN633" s="95"/>
      <c r="FO633" s="113"/>
      <c r="FP633" s="95"/>
      <c r="FQ633" s="113"/>
      <c r="FR633" s="96"/>
      <c r="FS633" s="116"/>
      <c r="FT633" s="96"/>
      <c r="FU633" s="116"/>
      <c r="FV633" s="96"/>
      <c r="FW633" s="98"/>
      <c r="FX633" s="480"/>
      <c r="FY633" s="98"/>
      <c r="FZ633" s="96"/>
      <c r="GA633" s="98"/>
      <c r="GB633" s="508"/>
      <c r="GC633" s="98"/>
      <c r="GD633" s="96"/>
      <c r="GE633" s="98"/>
      <c r="GF633" s="96"/>
      <c r="GG633" s="98"/>
      <c r="GH633" s="96"/>
      <c r="GI633" s="98"/>
      <c r="GJ633" s="96"/>
      <c r="GK633" s="98"/>
      <c r="GL633" s="96"/>
      <c r="GM633" s="98"/>
      <c r="GN633" s="96"/>
      <c r="GO633" s="98"/>
      <c r="GP633" s="96"/>
      <c r="GQ633" s="98"/>
      <c r="GR633" s="95"/>
      <c r="GS633" s="98"/>
      <c r="GT633" s="95"/>
      <c r="GU633" s="98"/>
      <c r="GV633" s="95"/>
      <c r="GW633" s="98"/>
      <c r="GX633" s="95"/>
      <c r="GY633" s="98"/>
      <c r="GZ633" s="98"/>
      <c r="HA633" s="98"/>
      <c r="HB633" s="10"/>
      <c r="HC633"/>
      <c r="HD633"/>
      <c r="HE633"/>
      <c r="HF633"/>
      <c r="HG633"/>
      <c r="HH633"/>
      <c r="HI633" s="10"/>
      <c r="HJ633" s="10"/>
      <c r="HK633" s="10"/>
      <c r="HL633" s="10"/>
      <c r="HM633" s="10"/>
      <c r="HN633" s="10"/>
      <c r="HO633" s="10"/>
      <c r="HP633" s="10"/>
      <c r="HQ633" s="10"/>
      <c r="HR633" s="10"/>
      <c r="HS633" s="10"/>
      <c r="HT633" s="10"/>
      <c r="HU633" s="10"/>
      <c r="HV633" s="10"/>
      <c r="HW633" s="10"/>
      <c r="HX633" s="10"/>
      <c r="HY633" s="10"/>
      <c r="HZ633" s="10"/>
      <c r="IA633" s="10"/>
      <c r="IB633" s="10"/>
      <c r="IC633" s="10"/>
      <c r="ID633" s="10"/>
      <c r="IE633" s="10"/>
      <c r="IF633" s="10"/>
      <c r="IG633" s="10"/>
      <c r="IH633" s="10"/>
      <c r="II633" s="10"/>
      <c r="IJ633" s="10"/>
      <c r="IK633" s="10"/>
      <c r="IL633" s="10"/>
      <c r="IM633" s="10"/>
      <c r="IN633" s="10"/>
      <c r="IO633" s="10"/>
      <c r="IP633" s="10"/>
      <c r="IQ633" s="10"/>
      <c r="IR633" s="10"/>
      <c r="IS633" s="10"/>
      <c r="IT633" s="10"/>
      <c r="IU633" s="10"/>
      <c r="IV633" s="10"/>
      <c r="IW633" s="10"/>
      <c r="IX633" s="10"/>
      <c r="IY633" s="10"/>
      <c r="IZ633" s="10"/>
      <c r="JA633" s="10"/>
      <c r="JB633" s="10"/>
      <c r="JC633" s="10"/>
      <c r="JD633" s="10"/>
      <c r="JE633" s="10"/>
      <c r="JF633" s="10"/>
      <c r="JG633" s="10"/>
      <c r="JH633" s="10"/>
      <c r="JI633" s="10"/>
      <c r="JJ633" s="10"/>
      <c r="JK633" s="10"/>
      <c r="JL633" s="10"/>
      <c r="JM633" s="10"/>
      <c r="JN633" s="10"/>
      <c r="JO633" s="10"/>
      <c r="JP633" s="10"/>
      <c r="JQ633" s="10"/>
      <c r="JR633" s="10"/>
      <c r="JS633" s="10"/>
      <c r="JT633" s="10"/>
      <c r="JU633" s="10"/>
      <c r="JV633" s="10"/>
      <c r="JW633" s="10"/>
      <c r="JX633" s="10"/>
      <c r="JY633" s="10"/>
      <c r="JZ633" s="10"/>
      <c r="KA633" s="10"/>
      <c r="KB633" s="10"/>
      <c r="KC633" s="10"/>
      <c r="KD633" s="10"/>
      <c r="KE633" s="10"/>
      <c r="KF633" s="10"/>
      <c r="KG633" s="10"/>
      <c r="KH633" s="10"/>
      <c r="KI633" s="10"/>
      <c r="KJ633" s="10"/>
    </row>
    <row r="634" spans="1:296" s="2" customFormat="1" ht="12.75" hidden="1" customHeight="1" outlineLevel="1" x14ac:dyDescent="0.2">
      <c r="B634" s="18"/>
      <c r="C634" s="101"/>
      <c r="D634" s="98"/>
      <c r="E634" s="101"/>
      <c r="F634" s="98"/>
      <c r="G634" s="101"/>
      <c r="H634" s="98"/>
      <c r="I634" s="101"/>
      <c r="J634" s="98"/>
      <c r="K634" s="101"/>
      <c r="L634" s="98"/>
      <c r="M634" s="101"/>
      <c r="N634" s="98"/>
      <c r="O634" s="101"/>
      <c r="P634" s="98"/>
      <c r="Q634" s="101"/>
      <c r="R634" s="98"/>
      <c r="S634" s="101"/>
      <c r="T634" s="98"/>
      <c r="U634" s="101"/>
      <c r="V634" s="98"/>
      <c r="W634" s="101"/>
      <c r="X634" s="98"/>
      <c r="Y634" s="101"/>
      <c r="Z634" s="98"/>
      <c r="AA634" s="254"/>
      <c r="AB634" s="98"/>
      <c r="AC634" s="254"/>
      <c r="AD634" s="98"/>
      <c r="AE634" s="254"/>
      <c r="AF634" s="98"/>
      <c r="AG634" s="254"/>
      <c r="AH634" s="98"/>
      <c r="AI634" s="254"/>
      <c r="AJ634" s="98"/>
      <c r="AK634" s="254"/>
      <c r="AL634" s="98"/>
      <c r="AM634" s="254"/>
      <c r="AN634" s="98"/>
      <c r="AO634" s="254"/>
      <c r="AP634" s="98"/>
      <c r="AQ634" s="254"/>
      <c r="AR634" s="98"/>
      <c r="AS634" s="254"/>
      <c r="AT634" s="98"/>
      <c r="AU634" s="254"/>
      <c r="AV634" s="98"/>
      <c r="AW634" s="254"/>
      <c r="AX634" s="98"/>
      <c r="AY634" s="101"/>
      <c r="AZ634" s="98"/>
      <c r="BA634" s="101"/>
      <c r="BB634" s="98"/>
      <c r="BC634" s="101"/>
      <c r="BD634" s="98"/>
      <c r="BE634" s="101"/>
      <c r="BF634" s="98"/>
      <c r="BG634" s="101"/>
      <c r="BH634" s="98"/>
      <c r="BI634" s="101"/>
      <c r="BJ634" s="98"/>
      <c r="BK634" s="101"/>
      <c r="BL634" s="98"/>
      <c r="BM634" s="101"/>
      <c r="BN634" s="98"/>
      <c r="BO634" s="101"/>
      <c r="BP634" s="98"/>
      <c r="BQ634" s="101"/>
      <c r="BR634" s="98"/>
      <c r="BS634" s="101"/>
      <c r="BT634" s="98"/>
      <c r="BU634" s="101"/>
      <c r="BV634" s="98"/>
      <c r="BW634" s="101"/>
      <c r="BX634" s="98"/>
      <c r="BY634" s="101"/>
      <c r="BZ634" s="98"/>
      <c r="CA634" s="101"/>
      <c r="CB634" s="98"/>
      <c r="CC634" s="101"/>
      <c r="CD634" s="98"/>
      <c r="CE634" s="101"/>
      <c r="CF634" s="98"/>
      <c r="CG634" s="101"/>
      <c r="CH634" s="98"/>
      <c r="CI634" s="101"/>
      <c r="CJ634" s="98"/>
      <c r="CK634" s="101"/>
      <c r="CL634" s="98"/>
      <c r="CM634" s="101"/>
      <c r="CN634" s="98"/>
      <c r="CO634" s="101"/>
      <c r="CP634" s="98"/>
      <c r="CQ634" s="542"/>
      <c r="CR634" s="98"/>
      <c r="CS634" s="101"/>
      <c r="CT634" s="98"/>
      <c r="CU634" s="101"/>
      <c r="CV634" s="98"/>
      <c r="CW634" s="101"/>
      <c r="CX634" s="98"/>
      <c r="CY634" s="101"/>
      <c r="CZ634" s="98"/>
      <c r="DA634" s="101"/>
      <c r="DB634" s="98"/>
      <c r="DC634" s="101"/>
      <c r="DD634" s="98"/>
      <c r="DE634" s="101"/>
      <c r="DF634" s="98"/>
      <c r="DG634" s="101"/>
      <c r="DH634" s="98"/>
      <c r="DI634" s="101"/>
      <c r="DJ634" s="98"/>
      <c r="DK634" s="101"/>
      <c r="DL634" s="98"/>
      <c r="DM634" s="101"/>
      <c r="DN634" s="98"/>
      <c r="DO634" s="101"/>
      <c r="DP634" s="98"/>
      <c r="DQ634" s="101"/>
      <c r="DR634" s="98"/>
      <c r="DS634" s="101"/>
      <c r="DT634" s="98"/>
      <c r="DU634" s="101"/>
      <c r="DV634" s="98"/>
      <c r="DW634" s="101"/>
      <c r="DX634" s="98"/>
      <c r="DY634" s="101"/>
      <c r="DZ634" s="98"/>
      <c r="EA634" s="101"/>
      <c r="EB634" s="98"/>
      <c r="EC634" s="101"/>
      <c r="ED634" s="98"/>
      <c r="EE634" s="101"/>
      <c r="EF634" s="860"/>
      <c r="EG634" s="101"/>
      <c r="EH634" s="860"/>
      <c r="EI634" s="101"/>
      <c r="EJ634" s="860"/>
      <c r="EK634" s="101"/>
      <c r="EL634" s="860"/>
      <c r="EM634" s="101"/>
      <c r="EN634" s="860"/>
      <c r="EO634" s="101"/>
      <c r="EP634" s="98"/>
      <c r="EQ634" s="1056"/>
      <c r="ER634" s="98"/>
      <c r="ES634" s="1056"/>
      <c r="ET634" s="98"/>
      <c r="EU634" s="1056"/>
      <c r="EV634" s="98"/>
      <c r="EW634" s="1056"/>
      <c r="EX634" s="98"/>
      <c r="EY634" s="330"/>
      <c r="EZ634" s="594"/>
      <c r="FA634" s="408"/>
      <c r="FB634" s="163"/>
      <c r="FC634" s="164"/>
      <c r="FD634" s="331"/>
      <c r="FE634" s="164"/>
      <c r="FF634" s="162"/>
      <c r="FG634" s="164"/>
      <c r="FH634" s="162"/>
      <c r="FI634" s="164"/>
      <c r="FJ634" s="162"/>
      <c r="FK634" s="164"/>
      <c r="FL634" s="162"/>
      <c r="FM634" s="164"/>
      <c r="FN634" s="162"/>
      <c r="FO634" s="164"/>
      <c r="FP634" s="162"/>
      <c r="FQ634" s="164"/>
      <c r="FR634" s="332"/>
      <c r="FS634" s="120"/>
      <c r="FT634" s="332"/>
      <c r="FU634" s="120"/>
      <c r="FV634" s="332"/>
      <c r="FW634" s="98"/>
      <c r="FX634" s="481"/>
      <c r="FY634" s="98"/>
      <c r="FZ634" s="100"/>
      <c r="GA634" s="98"/>
      <c r="GB634" s="481"/>
      <c r="GC634" s="98"/>
      <c r="GD634" s="100"/>
      <c r="GE634" s="98"/>
      <c r="GF634" s="100"/>
      <c r="GG634" s="98"/>
      <c r="GH634" s="100"/>
      <c r="GI634" s="98"/>
      <c r="GJ634" s="100"/>
      <c r="GK634" s="98"/>
      <c r="GL634" s="100"/>
      <c r="GM634" s="98"/>
      <c r="GN634" s="100"/>
      <c r="GO634" s="98"/>
      <c r="GP634" s="100"/>
      <c r="GQ634" s="98"/>
      <c r="GR634" s="330"/>
      <c r="GS634" s="98"/>
      <c r="GT634" s="330"/>
      <c r="GU634" s="98"/>
      <c r="GV634" s="330"/>
      <c r="GW634" s="98"/>
      <c r="GX634" s="330"/>
      <c r="GY634" s="98"/>
      <c r="GZ634" s="98"/>
      <c r="HA634" s="98"/>
      <c r="HB634" s="10"/>
      <c r="HC634"/>
      <c r="HD634"/>
      <c r="HE634"/>
      <c r="HF634"/>
      <c r="HG634"/>
      <c r="HH634"/>
      <c r="HI634" s="10"/>
    </row>
    <row r="635" spans="1:296" s="772" customFormat="1" ht="12.75" customHeight="1" collapsed="1" x14ac:dyDescent="0.2">
      <c r="B635" s="1133" t="s">
        <v>322</v>
      </c>
      <c r="C635" s="950">
        <v>0</v>
      </c>
      <c r="D635" s="860"/>
      <c r="E635" s="950">
        <v>0</v>
      </c>
      <c r="F635" s="860"/>
      <c r="G635" s="950">
        <v>0</v>
      </c>
      <c r="H635" s="860"/>
      <c r="I635" s="950">
        <v>0</v>
      </c>
      <c r="J635" s="860"/>
      <c r="K635" s="950">
        <v>0</v>
      </c>
      <c r="L635" s="860"/>
      <c r="M635" s="950">
        <v>0</v>
      </c>
      <c r="N635" s="860"/>
      <c r="O635" s="950">
        <v>0</v>
      </c>
      <c r="P635" s="860"/>
      <c r="Q635" s="950">
        <v>0</v>
      </c>
      <c r="R635" s="860"/>
      <c r="S635" s="950">
        <v>0</v>
      </c>
      <c r="T635" s="860"/>
      <c r="U635" s="950">
        <v>0</v>
      </c>
      <c r="V635" s="860"/>
      <c r="W635" s="950">
        <v>0</v>
      </c>
      <c r="X635" s="860"/>
      <c r="Y635" s="950">
        <v>0</v>
      </c>
      <c r="Z635" s="860"/>
      <c r="AA635" s="1152">
        <v>0</v>
      </c>
      <c r="AB635" s="860"/>
      <c r="AC635" s="1152">
        <v>0</v>
      </c>
      <c r="AD635" s="860"/>
      <c r="AE635" s="1152">
        <v>0</v>
      </c>
      <c r="AF635" s="860"/>
      <c r="AG635" s="1152">
        <v>0</v>
      </c>
      <c r="AH635" s="860"/>
      <c r="AI635" s="1152">
        <v>4</v>
      </c>
      <c r="AJ635" s="860"/>
      <c r="AK635" s="1152">
        <v>14</v>
      </c>
      <c r="AL635" s="860"/>
      <c r="AM635" s="1152">
        <v>3</v>
      </c>
      <c r="AN635" s="860"/>
      <c r="AO635" s="1152">
        <v>-8</v>
      </c>
      <c r="AP635" s="860"/>
      <c r="AQ635" s="1152">
        <v>150</v>
      </c>
      <c r="AR635" s="860"/>
      <c r="AS635" s="1152">
        <v>-1</v>
      </c>
      <c r="AT635" s="860"/>
      <c r="AU635" s="1152">
        <v>7</v>
      </c>
      <c r="AV635" s="860"/>
      <c r="AW635" s="1152">
        <v>12</v>
      </c>
      <c r="AX635" s="860"/>
      <c r="AY635" s="950">
        <v>8</v>
      </c>
      <c r="AZ635" s="860"/>
      <c r="BA635" s="950">
        <v>41</v>
      </c>
      <c r="BB635" s="860"/>
      <c r="BC635" s="950">
        <v>-2</v>
      </c>
      <c r="BD635" s="860"/>
      <c r="BE635" s="950">
        <v>13</v>
      </c>
      <c r="BF635" s="860"/>
      <c r="BG635" s="950">
        <v>-15</v>
      </c>
      <c r="BH635" s="860"/>
      <c r="BI635" s="950">
        <v>7</v>
      </c>
      <c r="BJ635" s="860"/>
      <c r="BK635" s="950">
        <v>75</v>
      </c>
      <c r="BL635" s="860"/>
      <c r="BM635" s="950">
        <v>26</v>
      </c>
      <c r="BN635" s="860"/>
      <c r="BO635" s="950">
        <v>20</v>
      </c>
      <c r="BP635" s="860"/>
      <c r="BQ635" s="950">
        <v>62</v>
      </c>
      <c r="BR635" s="860"/>
      <c r="BS635" s="950">
        <v>-430</v>
      </c>
      <c r="BT635" s="860" t="str">
        <f t="shared" ref="BT635:BT640" si="3686">IF(ISERROR((BS635/BK635-1)*100),"NA",IF(((BS635/BK635-1)*100)&gt;100,"NM",IF(((BS635/BK635-1)*100)&lt;-50,"NM",(BS635/BK635-1)*100)))</f>
        <v>NM</v>
      </c>
      <c r="BU635" s="950">
        <v>48</v>
      </c>
      <c r="BV635" s="860"/>
      <c r="BW635" s="950">
        <v>37</v>
      </c>
      <c r="BX635" s="860"/>
      <c r="BY635" s="950">
        <v>1</v>
      </c>
      <c r="BZ635" s="860"/>
      <c r="CA635" s="950">
        <v>-1</v>
      </c>
      <c r="CB635" s="860"/>
      <c r="CC635" s="950">
        <v>3</v>
      </c>
      <c r="CD635" s="860"/>
      <c r="CE635" s="950">
        <v>5</v>
      </c>
      <c r="CF635" s="860"/>
      <c r="CG635" s="950">
        <v>11</v>
      </c>
      <c r="CH635" s="860"/>
      <c r="CI635" s="950">
        <v>0</v>
      </c>
      <c r="CJ635" s="860"/>
      <c r="CK635" s="950">
        <v>19</v>
      </c>
      <c r="CL635" s="860"/>
      <c r="CM635" s="950">
        <v>-40.4</v>
      </c>
      <c r="CN635" s="860"/>
      <c r="CO635" s="950">
        <v>32</v>
      </c>
      <c r="CP635" s="860"/>
      <c r="CQ635" s="1155">
        <v>8</v>
      </c>
      <c r="CR635" s="860"/>
      <c r="CS635" s="950">
        <v>24.6</v>
      </c>
      <c r="CT635" s="860"/>
      <c r="CU635" s="950">
        <v>14</v>
      </c>
      <c r="CV635" s="860"/>
      <c r="CW635" s="950">
        <v>3</v>
      </c>
      <c r="CX635" s="860"/>
      <c r="CY635" s="950">
        <v>0</v>
      </c>
      <c r="CZ635" s="860"/>
      <c r="DA635" s="950">
        <v>31</v>
      </c>
      <c r="DB635" s="860"/>
      <c r="DC635" s="950">
        <v>-3</v>
      </c>
      <c r="DD635" s="860"/>
      <c r="DE635" s="950">
        <v>2</v>
      </c>
      <c r="DF635" s="860"/>
      <c r="DG635" s="950">
        <v>2</v>
      </c>
      <c r="DH635" s="860"/>
      <c r="DI635" s="950">
        <v>1</v>
      </c>
      <c r="DJ635" s="860"/>
      <c r="DK635" s="950">
        <v>-3</v>
      </c>
      <c r="DL635" s="860"/>
      <c r="DM635" s="950">
        <v>0</v>
      </c>
      <c r="DN635" s="860"/>
      <c r="DO635" s="950">
        <v>0</v>
      </c>
      <c r="DP635" s="860"/>
      <c r="DQ635" s="950">
        <v>0</v>
      </c>
      <c r="DR635" s="860"/>
      <c r="DS635" s="950">
        <v>0</v>
      </c>
      <c r="DT635" s="860"/>
      <c r="DU635" s="950">
        <v>0</v>
      </c>
      <c r="DV635" s="860"/>
      <c r="DW635" s="950">
        <v>0</v>
      </c>
      <c r="DX635" s="860"/>
      <c r="DY635" s="950">
        <v>0</v>
      </c>
      <c r="DZ635" s="860"/>
      <c r="EA635" s="950">
        <v>432</v>
      </c>
      <c r="EB635" s="860"/>
      <c r="EC635" s="950">
        <v>-1361</v>
      </c>
      <c r="ED635" s="860"/>
      <c r="EE635" s="950">
        <v>-435</v>
      </c>
      <c r="EF635" s="860"/>
      <c r="EG635" s="950">
        <v>-1370</v>
      </c>
      <c r="EH635" s="860"/>
      <c r="EI635" s="950">
        <v>-76</v>
      </c>
      <c r="EJ635" s="860"/>
      <c r="EK635" s="950">
        <v>58</v>
      </c>
      <c r="EL635" s="860"/>
      <c r="EM635" s="950">
        <v>-968</v>
      </c>
      <c r="EN635" s="860"/>
      <c r="EO635" s="1056">
        <v>0</v>
      </c>
      <c r="EP635" s="860"/>
      <c r="EQ635" s="1056">
        <v>0</v>
      </c>
      <c r="ER635" s="860"/>
      <c r="ES635" s="1056">
        <f>EQ635</f>
        <v>0</v>
      </c>
      <c r="ET635" s="860"/>
      <c r="EU635" s="1056">
        <f>ES635</f>
        <v>0</v>
      </c>
      <c r="EV635" s="860"/>
      <c r="EW635" s="1056">
        <f>EU635</f>
        <v>0</v>
      </c>
      <c r="EX635" s="860"/>
      <c r="EY635" s="1056"/>
      <c r="EZ635" s="594"/>
      <c r="FA635" s="1156"/>
      <c r="FB635" s="1157"/>
      <c r="FC635" s="1158"/>
      <c r="FD635" s="1159"/>
      <c r="FE635" s="1158"/>
      <c r="FF635" s="1160">
        <f>C635+E635+G635+I635</f>
        <v>0</v>
      </c>
      <c r="FG635" s="860" t="str">
        <f t="shared" ref="FG635:FG640" si="3687">IF(ISERROR((FF635/FD635-1)*100),"NA",IF(((FF635/FD635-1)*100)&gt;100,"NM",IF(((FF635/FD635-1)*100)&lt;-50,"NM",(FF635/FD635-1)*100)))</f>
        <v>NA</v>
      </c>
      <c r="FH635" s="1160">
        <f>K635+M635+O635+Q635</f>
        <v>0</v>
      </c>
      <c r="FI635" s="860" t="str">
        <f t="shared" ref="FI635:FI640" si="3688">IF(ISERROR((FH635/FF635-1)*100),"NA",IF(((FH635/FF635-1)*100)&gt;100,"NM",IF(((FH635/FF635-1)*100)&lt;-50,"NM",(FH635/FF635-1)*100)))</f>
        <v>NA</v>
      </c>
      <c r="FJ635" s="1160">
        <f>S635+U635+W635+Y635</f>
        <v>0</v>
      </c>
      <c r="FK635" s="860" t="str">
        <f t="shared" ref="FK635:FK640" si="3689">IF(ISERROR((FJ635/FH635-1)*100),"NA",IF(((FJ635/FH635-1)*100)&gt;100,"NM",IF(((FJ635/FH635-1)*100)&lt;-50,"NM",(FJ635/FH635-1)*100)))</f>
        <v>NA</v>
      </c>
      <c r="FL635" s="1160">
        <f>AA635+AC635+AE635+AG635</f>
        <v>0</v>
      </c>
      <c r="FM635" s="860" t="str">
        <f t="shared" ref="FM635:FM640" si="3690">IF(ISERROR((FL635/FJ635-1)*100),"NA",IF(((FL635/FJ635-1)*100)&gt;100,"NM",IF(((FL635/FJ635-1)*100)&lt;-50,"NM",(FL635/FJ635-1)*100)))</f>
        <v>NA</v>
      </c>
      <c r="FN635" s="1160">
        <f>AI635+AK635+AM635+AO635</f>
        <v>13</v>
      </c>
      <c r="FO635" s="860" t="str">
        <f t="shared" ref="FO635:FO640" si="3691">IF(ISERROR((FN635/FL635-1)*100),"NA",IF(((FN635/FL635-1)*100)&gt;100,"NM",IF(((FN635/FL635-1)*100)&lt;-50,"NM",(FN635/FL635-1)*100)))</f>
        <v>NA</v>
      </c>
      <c r="FP635" s="1160">
        <f>AQ635+AS635+AU635+AW635</f>
        <v>168</v>
      </c>
      <c r="FQ635" s="860" t="str">
        <f t="shared" ref="FQ635:FQ640" si="3692">IF(ISERROR((FP635/FN635-1)*100),"NA",IF(((FP635/FN635-1)*100)&gt;100,"NM",IF(((FP635/FN635-1)*100)&lt;-50,"NM",(FP635/FN635-1)*100)))</f>
        <v>NM</v>
      </c>
      <c r="FR635" s="1057">
        <f>AY635+BA635+BC635+BE635</f>
        <v>60</v>
      </c>
      <c r="FS635" s="824" t="str">
        <f t="shared" ref="FS635:FS640" si="3693">IF(ISERROR((FR635/FP635-1)*100),"NA",IF(((FR635/FP635-1)*100)&gt;100,"NM",IF(((FR635/FP635-1)*100)&lt;-50,"NM",(FR635/FP635-1)*100)))</f>
        <v>NM</v>
      </c>
      <c r="FT635" s="1057">
        <f>BG635+BI635+BK635+BM635</f>
        <v>93</v>
      </c>
      <c r="FU635" s="824">
        <f t="shared" ref="FU635:FU640" si="3694">IF(ISERROR((FT635/FR635-1)*100),"NA",IF(((FT635/FR635-1)*100)&gt;100,"NM",IF(((FT635/FR635-1)*100)&lt;-50,"NM",(FT635/FR635-1)*100)))</f>
        <v>55.000000000000007</v>
      </c>
      <c r="FV635" s="1057">
        <f>BO635+BQ635+BS635+BU635</f>
        <v>-300</v>
      </c>
      <c r="FW635" s="860" t="str">
        <f t="shared" ref="FW635:FW640" si="3695">IF(ISERROR((FV635/FT635-1)*100),"NA",IF(((FV635/FT635-1)*100)&gt;100,"NM",IF(((FV635/FT635-1)*100)&lt;-50,"NM",(FV635/FT635-1)*100)))</f>
        <v>NM</v>
      </c>
      <c r="FX635" s="1161">
        <f>BW635+BY635+CA635+CC635</f>
        <v>40</v>
      </c>
      <c r="FY635" s="860" t="str">
        <f t="shared" ref="FY635:FY640" si="3696">IF(ISERROR((FX635/FV635-1)*100),"NA",IF(((FX635/FV635-1)*100)&gt;100,"NM",IF(((FX635/FV635-1)*100)&lt;-50,"NM",(FX635/FV635-1)*100)))</f>
        <v>NM</v>
      </c>
      <c r="FZ635" s="1034">
        <f>CE635+CG635+CI635+CK635</f>
        <v>35</v>
      </c>
      <c r="GA635" s="860">
        <f t="shared" ref="GA635:GA640" si="3697">IF(ISERROR((FZ635/FX635-1)*100),"NA",IF(((FZ635/FX635-1)*100)&gt;100,"NM",IF(((FZ635/FX635-1)*100)&lt;-50,"NM",(FZ635/FX635-1)*100)))</f>
        <v>-12.5</v>
      </c>
      <c r="GB635" s="1162">
        <v>24</v>
      </c>
      <c r="GC635" s="860">
        <f t="shared" ref="GC635:GC640" si="3698">IF(ISERROR((GB635/FZ635-1)*100),"NA",IF(((GB635/FZ635-1)*100)&gt;100,"NM",IF(((GB635/FZ635-1)*100)&lt;-50,"NM",(GB635/FZ635-1)*100)))</f>
        <v>-31.428571428571427</v>
      </c>
      <c r="GD635" s="1034">
        <f>CU635+CW635+CY635+DA635</f>
        <v>48</v>
      </c>
      <c r="GE635" s="860">
        <f t="shared" ref="GE635:GW640" si="3699">IF(ISERROR((GD635/GB635-1)*100),"NA",IF(((GD635/GB635-1)*100)&gt;100,"NM",IF(((GD635/GB635-1)*100)&lt;-50,"NM",(GD635/GB635-1)*100)))</f>
        <v>100</v>
      </c>
      <c r="GF635" s="1034">
        <f>DC635+DE635+DG635+DI635</f>
        <v>2</v>
      </c>
      <c r="GG635" s="860" t="str">
        <f t="shared" si="3699"/>
        <v>NM</v>
      </c>
      <c r="GH635" s="1034">
        <f>DK635+DM635+DO635+DQ635</f>
        <v>-3</v>
      </c>
      <c r="GI635" s="860" t="str">
        <f t="shared" si="3699"/>
        <v>NM</v>
      </c>
      <c r="GJ635" s="1034">
        <f>DS635+DU635+DW635+DY635</f>
        <v>0</v>
      </c>
      <c r="GK635" s="860" t="str">
        <f t="shared" si="3699"/>
        <v>NM</v>
      </c>
      <c r="GL635" s="1034">
        <f>EA635+EC635+EE635+EG635</f>
        <v>-2734</v>
      </c>
      <c r="GM635" s="860" t="str">
        <f t="shared" si="3699"/>
        <v>NA</v>
      </c>
      <c r="GN635" s="100">
        <f>EI635+EK635+EM635+EO635</f>
        <v>-986</v>
      </c>
      <c r="GO635" s="860" t="str">
        <f t="shared" si="3699"/>
        <v>NM</v>
      </c>
      <c r="GP635" s="1034">
        <f>EQ635+ES635+EU635+EW635</f>
        <v>0</v>
      </c>
      <c r="GQ635" s="860" t="str">
        <f t="shared" si="3699"/>
        <v>NM</v>
      </c>
      <c r="GR635" s="1034">
        <f>GP635</f>
        <v>0</v>
      </c>
      <c r="GS635" s="860" t="str">
        <f t="shared" si="3699"/>
        <v>NA</v>
      </c>
      <c r="GT635" s="1034">
        <f>GR635</f>
        <v>0</v>
      </c>
      <c r="GU635" s="860" t="str">
        <f t="shared" si="3699"/>
        <v>NA</v>
      </c>
      <c r="GV635" s="1034">
        <f>GT635</f>
        <v>0</v>
      </c>
      <c r="GW635" s="860" t="str">
        <f t="shared" si="3699"/>
        <v>NA</v>
      </c>
      <c r="GX635" s="1034">
        <f>GV635</f>
        <v>0</v>
      </c>
      <c r="GY635" s="860" t="str">
        <f t="shared" ref="GY635:GY640" si="3700">IF(ISERROR((GX635/GV635-1)*100),"NA",IF(((GX635/GV635-1)*100)&gt;100,"NM",IF(((GX635/GV635-1)*100)&lt;-50,"NM",(GX635/GV635-1)*100)))</f>
        <v>NA</v>
      </c>
      <c r="GZ635" s="860" t="str">
        <f t="shared" ref="GZ635:GZ640" si="3701">IF(ISERROR(((GX635/GN635)^0.2-1)*100),"NA",IF((((GX635/GN635)^0.2-1)*100)&gt;100,"NM",IF((((GX635/GN635)^0.2-1)*100)&lt;-50,"NM",((GX635/GN635)^0.2-1)*100)))</f>
        <v>NM</v>
      </c>
      <c r="HA635" s="860"/>
      <c r="HC635"/>
      <c r="HD635"/>
      <c r="HE635"/>
      <c r="HF635"/>
      <c r="HG635"/>
      <c r="HH635"/>
      <c r="HI635" s="811"/>
      <c r="HJ635" s="811"/>
      <c r="HK635" s="811"/>
      <c r="HL635" s="811"/>
      <c r="HM635" s="811"/>
    </row>
    <row r="636" spans="1:296" s="2" customFormat="1" ht="12.75" customHeight="1" x14ac:dyDescent="0.2">
      <c r="A636" s="2" t="s">
        <v>509</v>
      </c>
      <c r="B636" s="18" t="s">
        <v>554</v>
      </c>
      <c r="C636" s="101">
        <v>0</v>
      </c>
      <c r="D636" s="98"/>
      <c r="E636" s="101">
        <v>-327</v>
      </c>
      <c r="F636" s="98"/>
      <c r="G636" s="101">
        <v>0</v>
      </c>
      <c r="H636" s="98"/>
      <c r="I636" s="101">
        <v>0</v>
      </c>
      <c r="J636" s="98"/>
      <c r="K636" s="101">
        <v>0</v>
      </c>
      <c r="L636" s="98" t="str">
        <f>IF(ISERROR((K636/C636-1)*100),"NA",IF(((K636/C636-1)*100)&gt;100,"NM",IF(((K636/C636-1)*100)&lt;-50,"NM",(K636/C636-1)*100)))</f>
        <v>NA</v>
      </c>
      <c r="M636" s="101">
        <v>0</v>
      </c>
      <c r="N636" s="98" t="str">
        <f>IF(ISERROR((M636/E636-1)*100),"NA",IF(((M636/E636-1)*100)&gt;100,"NM",IF(((M636/E636-1)*100)&lt;-50,"NM",(M636/E636-1)*100)))</f>
        <v>NM</v>
      </c>
      <c r="O636" s="101">
        <v>0</v>
      </c>
      <c r="P636" s="98" t="str">
        <f>IF(ISERROR((O636/G636-1)*100),"NA",IF(((O636/G636-1)*100)&gt;100,"NM",IF(((O636/G636-1)*100)&lt;-50,"NM",(O636/G636-1)*100)))</f>
        <v>NA</v>
      </c>
      <c r="Q636" s="101">
        <v>0</v>
      </c>
      <c r="R636" s="98" t="str">
        <f>IF(ISERROR((Q636/I636-1)*100),"NA",IF(((Q636/I636-1)*100)&gt;100,"NM",IF(((Q636/I636-1)*100)&lt;-50,"NM",(Q636/I636-1)*100)))</f>
        <v>NA</v>
      </c>
      <c r="S636" s="101">
        <v>5</v>
      </c>
      <c r="T636" s="98" t="str">
        <f>IF(ISERROR((S636/K636-1)*100),"NA",IF(((S636/K636-1)*100)&gt;100,"NM",IF(((S636/K636-1)*100)&lt;-50,"NM",(S636/K636-1)*100)))</f>
        <v>NA</v>
      </c>
      <c r="U636" s="101">
        <v>0</v>
      </c>
      <c r="V636" s="98" t="str">
        <f>IF(ISERROR((U636/M636-1)*100),"NA",IF(((U636/M636-1)*100)&gt;100,"NM",IF(((U636/M636-1)*100)&lt;-50,"NM",(U636/M636-1)*100)))</f>
        <v>NA</v>
      </c>
      <c r="W636" s="101">
        <v>-5</v>
      </c>
      <c r="X636" s="98" t="str">
        <f>IF(ISERROR((W636/O636-1)*100),"NA",IF(((W636/O636-1)*100)&gt;100,"NM",IF(((W636/O636-1)*100)&lt;-50,"NM",(W636/O636-1)*100)))</f>
        <v>NA</v>
      </c>
      <c r="Y636" s="101">
        <v>0</v>
      </c>
      <c r="Z636" s="98" t="str">
        <f>IF(ISERROR((Y636/Q636-1)*100),"NA",IF(((Y636/Q636-1)*100)&gt;100,"NM",IF(((Y636/Q636-1)*100)&lt;-50,"NM",(Y636/Q636-1)*100)))</f>
        <v>NA</v>
      </c>
      <c r="AA636" s="254">
        <v>25</v>
      </c>
      <c r="AB636" s="98" t="str">
        <f>IF(ISERROR((AA636/S636-1)*100),"NA",IF(((AA636/S636-1)*100)&gt;100,"NM",IF(((AA636/S636-1)*100)&lt;-50,"NM",(AA636/S636-1)*100)))</f>
        <v>NM</v>
      </c>
      <c r="AC636" s="254">
        <v>0</v>
      </c>
      <c r="AD636" s="98" t="str">
        <f>IF(ISERROR((AC636/U636-1)*100),"NA",IF(((AC636/U636-1)*100)&gt;100,"NM",IF(((AC636/U636-1)*100)&lt;-50,"NM",(AC636/U636-1)*100)))</f>
        <v>NA</v>
      </c>
      <c r="AE636" s="254">
        <v>26</v>
      </c>
      <c r="AF636" s="98" t="str">
        <f>IF(ISERROR((AE636/W636-1)*100),"NA",IF(((AE636/W636-1)*100)&gt;100,"NM",IF(((AE636/W636-1)*100)&lt;-50,"NM",(AE636/W636-1)*100)))</f>
        <v>NM</v>
      </c>
      <c r="AG636" s="254">
        <f>90-26</f>
        <v>64</v>
      </c>
      <c r="AH636" s="98" t="str">
        <f>IF(ISERROR((AG636/Y636-1)*100),"NA",IF(((AG636/Y636-1)*100)&gt;100,"NM",IF(((AG636/Y636-1)*100)&lt;-50,"NM",(AG636/Y636-1)*100)))</f>
        <v>NA</v>
      </c>
      <c r="AI636" s="254">
        <f>9-86</f>
        <v>-77</v>
      </c>
      <c r="AJ636" s="98" t="str">
        <f>IF(ISERROR((AI636/AA636-1)*100),"NA",IF(((AI636/AA636-1)*100)&gt;100,"NM",IF(((AI636/AA636-1)*100)&lt;-50,"NM",(AI636/AA636-1)*100)))</f>
        <v>NM</v>
      </c>
      <c r="AK636" s="254">
        <v>72</v>
      </c>
      <c r="AL636" s="98" t="str">
        <f>IF(ISERROR((AK636/AC636-1)*100),"NA",IF(((AK636/AC636-1)*100)&gt;100,"NM",IF(((AK636/AC636-1)*100)&lt;-50,"NM",(AK636/AC636-1)*100)))</f>
        <v>NA</v>
      </c>
      <c r="AM636" s="254">
        <v>-44</v>
      </c>
      <c r="AN636" s="98" t="str">
        <f>IF(ISERROR((AM636/AE636-1)*100),"NA",IF(((AM636/AE636-1)*100)&gt;100,"NM",IF(((AM636/AE636-1)*100)&lt;-50,"NM",(AM636/AE636-1)*100)))</f>
        <v>NM</v>
      </c>
      <c r="AO636" s="254">
        <v>-3</v>
      </c>
      <c r="AP636" s="98" t="str">
        <f>IF(ISERROR((AO636/AG636-1)*100),"NA",IF(((AO636/AG636-1)*100)&gt;100,"NM",IF(((AO636/AG636-1)*100)&lt;-50,"NM",(AO636/AG636-1)*100)))</f>
        <v>NM</v>
      </c>
      <c r="AQ636" s="254">
        <v>36</v>
      </c>
      <c r="AR636" s="98" t="str">
        <f>IF(ISERROR((AQ636/AI636-1)*100),"NA",IF(((AQ636/AI636-1)*100)&gt;100,"NM",IF(((AQ636/AI636-1)*100)&lt;-50,"NM",(AQ636/AI636-1)*100)))</f>
        <v>NM</v>
      </c>
      <c r="AS636" s="254">
        <v>-63</v>
      </c>
      <c r="AT636" s="98" t="str">
        <f>IF(ISERROR((AS636/AK636-1)*100),"NA",IF(((AS636/AK636-1)*100)&gt;100,"NM",IF(((AS636/AK636-1)*100)&lt;-50,"NM",(AS636/AK636-1)*100)))</f>
        <v>NM</v>
      </c>
      <c r="AU636" s="254">
        <v>-30</v>
      </c>
      <c r="AV636" s="98">
        <f>IF(ISERROR((AU636/AM636-1)*100),"NA",IF(((AU636/AM636-1)*100)&gt;100,"NM",IF(((AU636/AM636-1)*100)&lt;-50,"NM",(AU636/AM636-1)*100)))</f>
        <v>-31.818181818181824</v>
      </c>
      <c r="AW636" s="254">
        <v>12</v>
      </c>
      <c r="AX636" s="98" t="str">
        <f>IF(ISERROR((AW636/AO636-1)*100),"NA",IF(((AW636/AO636-1)*100)&gt;100,"NM",IF(((AW636/AO636-1)*100)&lt;-50,"NM",(AW636/AO636-1)*100)))</f>
        <v>NM</v>
      </c>
      <c r="AY636" s="101">
        <v>95</v>
      </c>
      <c r="AZ636" s="98" t="str">
        <f>IF(ISERROR((AY636/AQ636-1)*100),"NA",IF(((AY636/AQ636-1)*100)&gt;100,"NM",IF(((AY636/AQ636-1)*100)&lt;-50,"NM",(AY636/AQ636-1)*100)))</f>
        <v>NM</v>
      </c>
      <c r="BA636" s="101">
        <v>129</v>
      </c>
      <c r="BB636" s="98" t="str">
        <f>IF(ISERROR((BA636/AS636-1)*100),"NA",IF(((BA636/AS636-1)*100)&gt;100,"NM",IF(((BA636/AS636-1)*100)&lt;-50,"NM",(BA636/AS636-1)*100)))</f>
        <v>NM</v>
      </c>
      <c r="BC636" s="101">
        <v>-121</v>
      </c>
      <c r="BD636" s="98" t="str">
        <f>IF(ISERROR((BC636/AU636-1)*100),"NA",IF(((BC636/AU636-1)*100)&gt;100,"NM",IF(((BC636/AU636-1)*100)&lt;-50,"NM",(BC636/AU636-1)*100)))</f>
        <v>NM</v>
      </c>
      <c r="BE636" s="101">
        <v>-29</v>
      </c>
      <c r="BF636" s="98" t="str">
        <f>IF(ISERROR((BE636/AW636-1)*100),"NA",IF(((BE636/AW636-1)*100)&gt;100,"NM",IF(((BE636/AW636-1)*100)&lt;-50,"NM",(BE636/AW636-1)*100)))</f>
        <v>NM</v>
      </c>
      <c r="BG636" s="101">
        <v>-26</v>
      </c>
      <c r="BH636" s="98" t="str">
        <f>IF(ISERROR((BG636/AY636-1)*100),"NA",IF(((BG636/AY636-1)*100)&gt;100,"NM",IF(((BG636/AY636-1)*100)&lt;-50,"NM",(BG636/AY636-1)*100)))</f>
        <v>NM</v>
      </c>
      <c r="BI636" s="101">
        <v>4</v>
      </c>
      <c r="BJ636" s="98" t="str">
        <f>IF(ISERROR((BI636/BA636-1)*100),"NA",IF(((BI636/BA636-1)*100)&gt;100,"NM",IF(((BI636/BA636-1)*100)&lt;-50,"NM",(BI636/BA636-1)*100)))</f>
        <v>NM</v>
      </c>
      <c r="BK636" s="101">
        <v>-20</v>
      </c>
      <c r="BL636" s="98" t="str">
        <f>IF(ISERROR((BK636/BC636-1)*100),"NA",IF(((BK636/BC636-1)*100)&gt;100,"NM",IF(((BK636/BC636-1)*100)&lt;-50,"NM",(BK636/BC636-1)*100)))</f>
        <v>NM</v>
      </c>
      <c r="BM636" s="101">
        <v>21</v>
      </c>
      <c r="BN636" s="98" t="str">
        <f>IF(ISERROR((BM636/BE636-1)*100),"NA",IF(((BM636/BE636-1)*100)&gt;100,"NM",IF(((BM636/BE636-1)*100)&lt;-50,"NM",(BM636/BE636-1)*100)))</f>
        <v>NM</v>
      </c>
      <c r="BO636" s="101">
        <v>-2</v>
      </c>
      <c r="BP636" s="98" t="str">
        <f>IF(ISERROR((BO636/BG636-1)*100),"NA",IF(((BO636/BG636-1)*100)&gt;100,"NM",IF(((BO636/BG636-1)*100)&lt;-50,"NM",(BO636/BG636-1)*100)))</f>
        <v>NM</v>
      </c>
      <c r="BQ636" s="101">
        <v>197</v>
      </c>
      <c r="BR636" s="98" t="str">
        <f>IF(ISERROR((BQ636/BI636-1)*100),"NA",IF(((BQ636/BI636-1)*100)&gt;100,"NM",IF(((BQ636/BI636-1)*100)&lt;-50,"NM",(BQ636/BI636-1)*100)))</f>
        <v>NM</v>
      </c>
      <c r="BS636" s="101">
        <f>-96-1+36</f>
        <v>-61</v>
      </c>
      <c r="BT636" s="98" t="str">
        <f t="shared" si="3686"/>
        <v>NM</v>
      </c>
      <c r="BU636" s="101">
        <f>804+16-50+64-5-95-28-10-778-7-495+9</f>
        <v>-575</v>
      </c>
      <c r="BV636" s="98" t="str">
        <f>IF(ISERROR((BU636/BM636-1)*100),"NA",IF(((BU636/BM636-1)*100)&gt;100,"NM",IF(((BU636/BM636-1)*100)&lt;-50,"NM",(BU636/BM636-1)*100)))</f>
        <v>NM</v>
      </c>
      <c r="BW636" s="101">
        <f>-6-31+20-2-11-16+2-183-3-11+401-325+4</f>
        <v>-161</v>
      </c>
      <c r="BX636" s="98" t="str">
        <f>IF(ISERROR((BW636/BO636-1)*100),"NA",IF(((BW636/BO636-1)*100)&gt;100,"NM",IF(((BW636/BO636-1)*100)&lt;-50,"NM",(BW636/BO636-1)*100)))</f>
        <v>NM</v>
      </c>
      <c r="BY636" s="101">
        <f>-11-32-96-1+8+625-20-1394+1183+16</f>
        <v>278</v>
      </c>
      <c r="BZ636" s="98">
        <f>IF(ISERROR((BY636/BQ636-1)*100),"NA",IF(((BY636/BQ636-1)*100)&gt;100,"NM",IF(((BY636/BQ636-1)*100)&lt;-50,"NM",(BY636/BQ636-1)*100)))</f>
        <v>41.116751269035532</v>
      </c>
      <c r="CA636" s="101">
        <f>-4+4-35-2-63+1+174-7-22+721-751+5</f>
        <v>21</v>
      </c>
      <c r="CB636" s="98" t="str">
        <f>IF(ISERROR((CA636/BS636-1)*100),"NA",IF(((CA636/BS636-1)*100)&gt;100,"NM",IF(((CA636/BS636-1)*100)&lt;-50,"NM",(CA636/BS636-1)*100)))</f>
        <v>NM</v>
      </c>
      <c r="CC636" s="101">
        <f>289-169</f>
        <v>120</v>
      </c>
      <c r="CD636" s="98" t="str">
        <f>IF(ISERROR((CC636/BU636-1)*100),"NA",IF(((CC636/BU636-1)*100)&gt;100,"NM",IF(((CC636/BU636-1)*100)&lt;-50,"NM",(CC636/BU636-1)*100)))</f>
        <v>NM</v>
      </c>
      <c r="CE636" s="101">
        <v>-111</v>
      </c>
      <c r="CF636" s="98">
        <f>IF(ISERROR((CE636/BW636-1)*100),"NA",IF(((CE636/BW636-1)*100)&gt;100,"NM",IF(((CE636/BW636-1)*100)&lt;-50,"NM",(CE636/BW636-1)*100)))</f>
        <v>-31.055900621118017</v>
      </c>
      <c r="CG636" s="101">
        <v>0</v>
      </c>
      <c r="CH636" s="98" t="str">
        <f>IF(ISERROR((CG636/BY636-1)*100),"NA",IF(((CG636/BY636-1)*100)&gt;100,"NM",IF(((CG636/BY636-1)*100)&lt;-50,"NM",(CG636/BY636-1)*100)))</f>
        <v>NM</v>
      </c>
      <c r="CI636" s="101">
        <v>-286</v>
      </c>
      <c r="CJ636" s="98" t="str">
        <f>IF(ISERROR((CI636/CA636-1)*100),"NA",IF(((CI636/CA636-1)*100)&gt;100,"NM",IF(((CI636/CA636-1)*100)&lt;-50,"NM",(CI636/CA636-1)*100)))</f>
        <v>NM</v>
      </c>
      <c r="CK636" s="101">
        <f>-58-3</f>
        <v>-61</v>
      </c>
      <c r="CL636" s="98" t="str">
        <f>IF(ISERROR((CK636/CC636-1)*100),"NA",IF(((CK636/CC636-1)*100)&gt;100,"NM",IF(((CK636/CC636-1)*100)&lt;-50,"NM",(CK636/CC636-1)*100)))</f>
        <v>NM</v>
      </c>
      <c r="CM636" s="101">
        <f>-213-146-7</f>
        <v>-366</v>
      </c>
      <c r="CN636" s="98" t="str">
        <f>IF(ISERROR((CM636/CE636-1)*100),"NA",IF(((CM636/CE636-1)*100)&gt;100,"NM",IF(((CM636/CE636-1)*100)&lt;-50,"NM",(CM636/CE636-1)*100)))</f>
        <v>NM</v>
      </c>
      <c r="CO636" s="101">
        <f>-447+7</f>
        <v>-440</v>
      </c>
      <c r="CP636" s="98" t="str">
        <f>IF(ISERROR((CO636/CG636-1)*100),"NA",IF(((CO636/CG636-1)*100)&gt;100,"NM",IF(((CO636/CG636-1)*100)&lt;-50,"NM",(CO636/CG636-1)*100)))</f>
        <v>NA</v>
      </c>
      <c r="CQ636" s="542">
        <f>-345--6</f>
        <v>-339</v>
      </c>
      <c r="CR636" s="98">
        <f>IF(ISERROR((CQ636/CI636-1)*100),"NA",IF(((CQ636/CI636-1)*100)&gt;100,"NM",IF(((CQ636/CI636-1)*100)&lt;-50,"NM",(CQ636/CI636-1)*100)))</f>
        <v>18.531468531468541</v>
      </c>
      <c r="CS636" s="101">
        <f>-536--2</f>
        <v>-534</v>
      </c>
      <c r="CT636" s="98" t="str">
        <f>IF(ISERROR((CS636/CK636-1)*100),"NA",IF(((CS636/CK636-1)*100)&gt;100,"NM",IF(((CS636/CK636-1)*100)&lt;-50,"NM",(CS636/CK636-1)*100)))</f>
        <v>NM</v>
      </c>
      <c r="CU636" s="101">
        <f>-411-24</f>
        <v>-435</v>
      </c>
      <c r="CV636" s="98">
        <f>IF(ISERROR((CU636/CM636-1)*100),"NA",IF(((CU636/CM636-1)*100)&gt;100,"NM",IF(((CU636/CM636-1)*100)&lt;-50,"NM",(CU636/CM636-1)*100)))</f>
        <v>18.852459016393453</v>
      </c>
      <c r="CW636" s="101">
        <f>-736-8</f>
        <v>-744</v>
      </c>
      <c r="CX636" s="98">
        <f>IF(ISERROR((CW636/CO636-1)*100),"NA",IF(((CW636/CO636-1)*100)&gt;100,"NM",IF(((CW636/CO636-1)*100)&lt;-50,"NM",(CW636/CO636-1)*100)))</f>
        <v>69.090909090909093</v>
      </c>
      <c r="CY636" s="101">
        <f>-472+3-1868</f>
        <v>-2337</v>
      </c>
      <c r="CZ636" s="98" t="str">
        <f>IF(ISERROR((CY636/CQ636-1)*100),"NA",IF(((CY636/CQ636-1)*100)&gt;100,"NM",IF(((CY636/CQ636-1)*100)&lt;-50,"NM",(CY636/CQ636-1)*100)))</f>
        <v>NM</v>
      </c>
      <c r="DA636" s="101">
        <f>-931-9</f>
        <v>-940</v>
      </c>
      <c r="DB636" s="98">
        <f>IF(ISERROR((DA636/CS636-1)*100),"NA",IF(((DA636/CS636-1)*100)&gt;100,"NM",IF(((DA636/CS636-1)*100)&lt;-50,"NM",(DA636/CS636-1)*100)))</f>
        <v>76.029962546816492</v>
      </c>
      <c r="DC636" s="101">
        <f>-735-6</f>
        <v>-741</v>
      </c>
      <c r="DD636" s="98">
        <f>IF(ISERROR((DC636/CU636-1)*100),"NA",IF(((DC636/CU636-1)*100)&gt;100,"NM",IF(((DC636/CU636-1)*100)&lt;-50,"NM",(DC636/CU636-1)*100)))</f>
        <v>70.344827586206904</v>
      </c>
      <c r="DE636" s="101">
        <f>-94-8</f>
        <v>-102</v>
      </c>
      <c r="DF636" s="98" t="str">
        <f>IF(ISERROR((DE636/CW636-1)*100),"NA",IF(((DE636/CW636-1)*100)&gt;100,"NM",IF(((DE636/CW636-1)*100)&lt;-50,"NM",(DE636/CW636-1)*100)))</f>
        <v>NM</v>
      </c>
      <c r="DG636" s="101">
        <f>-465-3</f>
        <v>-468</v>
      </c>
      <c r="DH636" s="98" t="str">
        <f>IF(ISERROR((DG636/CY636-1)*100),"NA",IF(((DG636/CY636-1)*100)&gt;100,"NM",IF(((DG636/CY636-1)*100)&lt;-50,"NM",(DG636/CY636-1)*100)))</f>
        <v>NM</v>
      </c>
      <c r="DI636" s="101">
        <f>-303-8</f>
        <v>-311</v>
      </c>
      <c r="DJ636" s="98" t="str">
        <f>IF(ISERROR((DI636/DA636-1)*100),"NA",IF(((DI636/DA636-1)*100)&gt;100,"NM",IF(((DI636/DA636-1)*100)&lt;-50,"NM",(DI636/DA636-1)*100)))</f>
        <v>NM</v>
      </c>
      <c r="DK636" s="101">
        <f>-302-11</f>
        <v>-313</v>
      </c>
      <c r="DL636" s="98" t="str">
        <f>IF(ISERROR((DK636/DC636-1)*100),"NA",IF(((DK636/DC636-1)*100)&gt;100,"NM",IF(((DK636/DC636-1)*100)&lt;-50,"NM",(DK636/DC636-1)*100)))</f>
        <v>NM</v>
      </c>
      <c r="DM636" s="101">
        <f>-475-10</f>
        <v>-485</v>
      </c>
      <c r="DN636" s="98" t="str">
        <f>IF(ISERROR((DM636/DE636-1)*100),"NA",IF(((DM636/DE636-1)*100)&gt;100,"NM",IF(((DM636/DE636-1)*100)&lt;-50,"NM",(DM636/DE636-1)*100)))</f>
        <v>NM</v>
      </c>
      <c r="DO636" s="101">
        <v>-146</v>
      </c>
      <c r="DP636" s="98" t="str">
        <f>IF(ISERROR((DO636/DG636-1)*100),"NA",IF(((DO636/DG636-1)*100)&gt;100,"NM",IF(((DO636/DG636-1)*100)&lt;-50,"NM",(DO636/DG636-1)*100)))</f>
        <v>NM</v>
      </c>
      <c r="DQ636" s="101">
        <f>-453-6</f>
        <v>-459</v>
      </c>
      <c r="DR636" s="98">
        <f>IF(ISERROR((DQ636/DI636-1)*100),"NA",IF(((DQ636/DI636-1)*100)&gt;100,"NM",IF(((DQ636/DI636-1)*100)&lt;-50,"NM",(DQ636/DI636-1)*100)))</f>
        <v>47.588424437299025</v>
      </c>
      <c r="DS636" s="101">
        <f>-310-5</f>
        <v>-315</v>
      </c>
      <c r="DT636" s="98">
        <f>IF(ISERROR((DS636/DK636-1)*100),"NA",IF(((DS636/DK636-1)*100)&gt;100,"NM",IF(((DS636/DK636-1)*100)&lt;-50,"NM",(DS636/DK636-1)*100)))</f>
        <v>0.6389776357827559</v>
      </c>
      <c r="DU636" s="101">
        <f>-177-4-42</f>
        <v>-223</v>
      </c>
      <c r="DV636" s="98" t="str">
        <f>IF(ISERROR((DU636/DM636-1)*100),"NA",IF(((DU636/DM636-1)*100)&gt;100,"NM",IF(((DU636/DM636-1)*100)&lt;-50,"NM",(DU636/DM636-1)*100)))</f>
        <v>NM</v>
      </c>
      <c r="DW636" s="101">
        <f>-206+5</f>
        <v>-201</v>
      </c>
      <c r="DX636" s="98">
        <f>IF(ISERROR((DW636/DO636-1)*100),"NA",IF(((DW636/DO636-1)*100)&gt;100,"NM",IF(((DW636/DO636-1)*100)&lt;-50,"NM",(DW636/DO636-1)*100)))</f>
        <v>37.671232876712324</v>
      </c>
      <c r="DY636" s="101">
        <f>-398-8</f>
        <v>-406</v>
      </c>
      <c r="DZ636" s="98">
        <f>IF(ISERROR((DY636/DQ636-1)*100),"NA",IF(((DY636/DQ636-1)*100)&gt;100,"NM",IF(((DY636/DQ636-1)*100)&lt;-50,"NM",(DY636/DQ636-1)*100)))</f>
        <v>-11.546840958605664</v>
      </c>
      <c r="EA636" s="950">
        <f>-202-2+130</f>
        <v>-74</v>
      </c>
      <c r="EB636" s="860" t="str">
        <f>IF(ISERROR((EA636/DS636-1)*100),"NA",IF(((EA636/DS636-1)*100)&gt;100,"NM",IF(((EA636/DS636-1)*100)&lt;-50,"NM",(EA636/DS636-1)*100)))</f>
        <v>NM</v>
      </c>
      <c r="EC636" s="950">
        <f>49+4+203</f>
        <v>256</v>
      </c>
      <c r="ED636" s="860" t="str">
        <f>IF(ISERROR((EC636/DU636-1)*100),"NA",IF(((EC636/DU636-1)*100)&gt;100,"NM",IF(((EC636/DU636-1)*100)&lt;-50,"NM",(EC636/DU636-1)*100)))</f>
        <v>NM</v>
      </c>
      <c r="EE636" s="950">
        <f>-217-4-43</f>
        <v>-264</v>
      </c>
      <c r="EF636" s="860">
        <f>IF(ISERROR((EE636/DW636-1)*100),"NA",IF(((EE636/DW636-1)*100)&gt;100,"NM",IF(((EE636/DW636-1)*100)&lt;-50,"NM",(EE636/DW636-1)*100)))</f>
        <v>31.343283582089555</v>
      </c>
      <c r="EG636" s="950">
        <f>-111-2-158</f>
        <v>-271</v>
      </c>
      <c r="EH636" s="860">
        <f>IF(ISERROR((EG636/DY636-1)*100),"NA",IF(((EG636/DY636-1)*100)&gt;100,"NM",IF(((EG636/DY636-1)*100)&lt;-50,"NM",(EG636/DY636-1)*100)))</f>
        <v>-33.251231527093594</v>
      </c>
      <c r="EI636" s="950">
        <f>-491-3+9</f>
        <v>-485</v>
      </c>
      <c r="EJ636" s="860" t="str">
        <f t="shared" ref="EJ636:EJ640" si="3702">IF(ISERROR((EI636/EA636-1)*100),"NA",IF(((EI636/EA636-1)*100)&gt;100,"NM",IF(((EI636/EA636-1)*100)&lt;-50,"NM",(EI636/EA636-1)*100)))</f>
        <v>NM</v>
      </c>
      <c r="EK636" s="950">
        <f>-341-3+31</f>
        <v>-313</v>
      </c>
      <c r="EL636" s="860" t="str">
        <f t="shared" ref="EL636:EL640" si="3703">IF(ISERROR((EK636/EC636-1)*100),"NA",IF(((EK636/EC636-1)*100)&gt;100,"NM",IF(((EK636/EC636-1)*100)&lt;-50,"NM",(EK636/EC636-1)*100)))</f>
        <v>NM</v>
      </c>
      <c r="EM636" s="950">
        <f>-494-6-10+53</f>
        <v>-457</v>
      </c>
      <c r="EN636" s="860">
        <f t="shared" ref="EN636:EN640" si="3704">IF(ISERROR((EM636/EE636-1)*100),"NA",IF(((EM636/EE636-1)*100)&gt;100,"NM",IF(((EM636/EE636-1)*100)&lt;-50,"NM",(EM636/EE636-1)*100)))</f>
        <v>73.106060606060595</v>
      </c>
      <c r="EO636" s="1056">
        <f>-296+2+181</f>
        <v>-113</v>
      </c>
      <c r="EP636" s="98" t="str">
        <f t="shared" ref="EP636:EP640" si="3705">IF(ISERROR((EO636/EG636-1)*100),"NA",IF(((EO636/EG636-1)*100)&gt;100,"NM",IF(((EO636/EG636-1)*100)&lt;-50,"NM",(EO636/EG636-1)*100)))</f>
        <v>NM</v>
      </c>
      <c r="EQ636" s="1056">
        <v>-900</v>
      </c>
      <c r="ER636" s="98">
        <f t="shared" ref="ER636:ER640" si="3706">IF(ISERROR((EQ636/EI636-1)*100),"NA",IF(((EQ636/EI636-1)*100)&gt;100,"NM",IF(((EQ636/EI636-1)*100)&lt;-50,"NM",(EQ636/EI636-1)*100)))</f>
        <v>85.567010309278359</v>
      </c>
      <c r="ES636" s="1056">
        <v>0</v>
      </c>
      <c r="ET636" s="98" t="str">
        <f t="shared" ref="ET636:ET640" si="3707">IF(ISERROR((ES636/EK636-1)*100),"NA",IF(((ES636/EK636-1)*100)&gt;100,"NM",IF(((ES636/EK636-1)*100)&lt;-50,"NM",(ES636/EK636-1)*100)))</f>
        <v>NM</v>
      </c>
      <c r="EU636" s="1056">
        <v>0</v>
      </c>
      <c r="EV636" s="98" t="str">
        <f t="shared" ref="EV636:EV640" si="3708">IF(ISERROR((EU636/EM636-1)*100),"NA",IF(((EU636/EM636-1)*100)&gt;100,"NM",IF(((EU636/EM636-1)*100)&lt;-50,"NM",(EU636/EM636-1)*100)))</f>
        <v>NM</v>
      </c>
      <c r="EW636" s="1056">
        <v>0</v>
      </c>
      <c r="EX636" s="98" t="str">
        <f t="shared" ref="EX636:EX640" si="3709">IF(ISERROR((EW636/EO636-1)*100),"NA",IF(((EW636/EO636-1)*100)&gt;100,"NM",IF(((EW636/EO636-1)*100)&lt;-50,"NM",(EW636/EO636-1)*100)))</f>
        <v>NM</v>
      </c>
      <c r="EY636" s="330"/>
      <c r="EZ636" s="594"/>
      <c r="FA636" s="405"/>
      <c r="FB636" s="121">
        <v>-1203</v>
      </c>
      <c r="FC636" s="98"/>
      <c r="FD636" s="101">
        <v>-317</v>
      </c>
      <c r="FE636" s="98" t="str">
        <f>IF(ISERROR((FD636/FB636-1)*100),"NA",IF(((FD636/FB636-1)*100)&gt;100,"NM",IF(((FD636/FB636-1)*100)&lt;-50,"NM",(FD636/FB636-1)*100)))</f>
        <v>NM</v>
      </c>
      <c r="FF636" s="248">
        <f>C636+E636+G636+I636</f>
        <v>-327</v>
      </c>
      <c r="FG636" s="98">
        <f t="shared" si="3687"/>
        <v>3.1545741324921162</v>
      </c>
      <c r="FH636" s="248">
        <f>K636+M636+O636+Q636</f>
        <v>0</v>
      </c>
      <c r="FI636" s="98" t="str">
        <f t="shared" si="3688"/>
        <v>NM</v>
      </c>
      <c r="FJ636" s="248">
        <f>S636+U636+W636+Y636</f>
        <v>0</v>
      </c>
      <c r="FK636" s="98" t="str">
        <f t="shared" si="3689"/>
        <v>NA</v>
      </c>
      <c r="FL636" s="248">
        <f>AA636+AC636+AE636+AG636</f>
        <v>115</v>
      </c>
      <c r="FM636" s="98" t="str">
        <f t="shared" si="3690"/>
        <v>NA</v>
      </c>
      <c r="FN636" s="248">
        <f>AI636+AK636+AM636+AO636</f>
        <v>-52</v>
      </c>
      <c r="FO636" s="98" t="str">
        <f t="shared" si="3691"/>
        <v>NM</v>
      </c>
      <c r="FP636" s="248">
        <f>AQ636+AS636+AU636+AW636</f>
        <v>-45</v>
      </c>
      <c r="FQ636" s="98">
        <f t="shared" si="3692"/>
        <v>-13.461538461538458</v>
      </c>
      <c r="FR636" s="332">
        <f>AY636+BA636+BC636+BE636</f>
        <v>74</v>
      </c>
      <c r="FS636" s="120" t="str">
        <f t="shared" si="3693"/>
        <v>NM</v>
      </c>
      <c r="FT636" s="332">
        <f>BG636+BI636+BK636+BM636</f>
        <v>-21</v>
      </c>
      <c r="FU636" s="120" t="str">
        <f t="shared" si="3694"/>
        <v>NM</v>
      </c>
      <c r="FV636" s="332">
        <f>BO636+BQ636+BS636+BU636</f>
        <v>-441</v>
      </c>
      <c r="FW636" s="98" t="str">
        <f t="shared" si="3695"/>
        <v>NM</v>
      </c>
      <c r="FX636" s="481">
        <f>BW636+BY636+CA636+CC636</f>
        <v>258</v>
      </c>
      <c r="FY636" s="98" t="str">
        <f t="shared" si="3696"/>
        <v>NM</v>
      </c>
      <c r="FZ636" s="100">
        <f>CE636+CG636+CI636+CK636</f>
        <v>-458</v>
      </c>
      <c r="GA636" s="98" t="str">
        <f t="shared" si="3697"/>
        <v>NM</v>
      </c>
      <c r="GB636" s="542">
        <f>6155-4677-GB635-GB637-GB638</f>
        <v>-1589</v>
      </c>
      <c r="GC636" s="98" t="str">
        <f t="shared" si="3698"/>
        <v>NM</v>
      </c>
      <c r="GD636" s="100">
        <f>CU636+CW636+CY636+DA636</f>
        <v>-4456</v>
      </c>
      <c r="GE636" s="98" t="str">
        <f t="shared" si="3699"/>
        <v>NM</v>
      </c>
      <c r="GF636" s="100">
        <f>DC636+DE636+DG636+DI636</f>
        <v>-1622</v>
      </c>
      <c r="GG636" s="98" t="str">
        <f t="shared" si="3699"/>
        <v>NM</v>
      </c>
      <c r="GH636" s="100">
        <f>DK636+DM636+DO636+DQ636</f>
        <v>-1403</v>
      </c>
      <c r="GI636" s="98">
        <f t="shared" si="3699"/>
        <v>-13.501849568434032</v>
      </c>
      <c r="GJ636" s="100">
        <f>DS636+DU636+DW636+DY636</f>
        <v>-1145</v>
      </c>
      <c r="GK636" s="98">
        <f t="shared" si="3699"/>
        <v>-18.389166072701357</v>
      </c>
      <c r="GL636" s="100">
        <f>EA636+EC636+EE636+EG636</f>
        <v>-353</v>
      </c>
      <c r="GM636" s="98" t="str">
        <f t="shared" si="3699"/>
        <v>NM</v>
      </c>
      <c r="GN636" s="100">
        <f>EI636+EK636+EM636+EO636</f>
        <v>-1368</v>
      </c>
      <c r="GO636" s="98" t="str">
        <f t="shared" si="3699"/>
        <v>NM</v>
      </c>
      <c r="GP636" s="100">
        <f>EQ636+ES636+EU636+EW636</f>
        <v>-900</v>
      </c>
      <c r="GQ636" s="98">
        <f t="shared" si="3699"/>
        <v>-34.210526315789465</v>
      </c>
      <c r="GR636" s="330">
        <v>0</v>
      </c>
      <c r="GS636" s="98" t="str">
        <f t="shared" si="3699"/>
        <v>NM</v>
      </c>
      <c r="GT636" s="330">
        <v>0</v>
      </c>
      <c r="GU636" s="98" t="str">
        <f t="shared" si="3699"/>
        <v>NA</v>
      </c>
      <c r="GV636" s="330">
        <v>0</v>
      </c>
      <c r="GW636" s="98" t="str">
        <f t="shared" si="3699"/>
        <v>NA</v>
      </c>
      <c r="GX636" s="330">
        <v>0</v>
      </c>
      <c r="GY636" s="98" t="str">
        <f t="shared" si="3700"/>
        <v>NA</v>
      </c>
      <c r="GZ636" s="98" t="str">
        <f t="shared" si="3701"/>
        <v>NM</v>
      </c>
      <c r="HA636" s="98"/>
      <c r="HB636" s="10"/>
      <c r="HC636"/>
      <c r="HD636"/>
      <c r="HE636"/>
      <c r="HF636"/>
      <c r="HG636"/>
      <c r="HH636"/>
      <c r="HI636" s="811"/>
      <c r="HJ636" s="811"/>
      <c r="HK636" s="811"/>
      <c r="HL636" s="811"/>
      <c r="HM636" s="811"/>
    </row>
    <row r="637" spans="1:296" s="2" customFormat="1" ht="12.75" customHeight="1" x14ac:dyDescent="0.2">
      <c r="A637" s="2" t="s">
        <v>8</v>
      </c>
      <c r="B637" s="18" t="s">
        <v>498</v>
      </c>
      <c r="C637" s="101">
        <v>-72</v>
      </c>
      <c r="D637" s="98"/>
      <c r="E637" s="101">
        <v>-33</v>
      </c>
      <c r="F637" s="98"/>
      <c r="G637" s="101">
        <v>-143</v>
      </c>
      <c r="H637" s="98"/>
      <c r="I637" s="101">
        <v>12</v>
      </c>
      <c r="J637" s="98"/>
      <c r="K637" s="101">
        <v>-97</v>
      </c>
      <c r="L637" s="98">
        <f>IF(ISERROR((K637/C637-1)*100),"NA",IF(((K637/C637-1)*100)&gt;100,"NM",IF(((K637/C637-1)*100)&lt;-50,"NM",(K637/C637-1)*100)))</f>
        <v>34.722222222222229</v>
      </c>
      <c r="M637" s="101">
        <v>-99</v>
      </c>
      <c r="N637" s="98" t="str">
        <f>IF(ISERROR((M637/E637-1)*100),"NA",IF(((M637/E637-1)*100)&gt;100,"NM",IF(((M637/E637-1)*100)&lt;-50,"NM",(M637/E637-1)*100)))</f>
        <v>NM</v>
      </c>
      <c r="O637" s="101">
        <v>-65</v>
      </c>
      <c r="P637" s="98" t="str">
        <f>IF(ISERROR((O637/G637-1)*100),"NA",IF(((O637/G637-1)*100)&gt;100,"NM",IF(((O637/G637-1)*100)&lt;-50,"NM",(O637/G637-1)*100)))</f>
        <v>NM</v>
      </c>
      <c r="Q637" s="101">
        <v>-172</v>
      </c>
      <c r="R637" s="98" t="str">
        <f>IF(ISERROR((Q637/I637-1)*100),"NA",IF(((Q637/I637-1)*100)&gt;100,"NM",IF(((Q637/I637-1)*100)&lt;-50,"NM",(Q637/I637-1)*100)))</f>
        <v>NM</v>
      </c>
      <c r="S637" s="101">
        <v>-76</v>
      </c>
      <c r="T637" s="98">
        <f>IF(ISERROR((S637/K637-1)*100),"NA",IF(((S637/K637-1)*100)&gt;100,"NM",IF(((S637/K637-1)*100)&lt;-50,"NM",(S637/K637-1)*100)))</f>
        <v>-21.649484536082475</v>
      </c>
      <c r="U637" s="101">
        <v>-117</v>
      </c>
      <c r="V637" s="98">
        <f>IF(ISERROR((U637/M637-1)*100),"NA",IF(((U637/M637-1)*100)&gt;100,"NM",IF(((U637/M637-1)*100)&lt;-50,"NM",(U637/M637-1)*100)))</f>
        <v>18.181818181818187</v>
      </c>
      <c r="W637" s="101">
        <v>-169</v>
      </c>
      <c r="X637" s="98" t="str">
        <f>IF(ISERROR((W637/O637-1)*100),"NA",IF(((W637/O637-1)*100)&gt;100,"NM",IF(((W637/O637-1)*100)&lt;-50,"NM",(W637/O637-1)*100)))</f>
        <v>NM</v>
      </c>
      <c r="Y637" s="101">
        <v>223</v>
      </c>
      <c r="Z637" s="98" t="str">
        <f>IF(ISERROR((Y637/Q637-1)*100),"NA",IF(((Y637/Q637-1)*100)&gt;100,"NM",IF(((Y637/Q637-1)*100)&lt;-50,"NM",(Y637/Q637-1)*100)))</f>
        <v>NM</v>
      </c>
      <c r="AA637" s="101">
        <v>-109</v>
      </c>
      <c r="AB637" s="98">
        <f>IF(ISERROR((AA637/S637-1)*100),"NA",IF(((AA637/S637-1)*100)&gt;100,"NM",IF(((AA637/S637-1)*100)&lt;-50,"NM",(AA637/S637-1)*100)))</f>
        <v>43.421052631578938</v>
      </c>
      <c r="AC637" s="101">
        <v>-40</v>
      </c>
      <c r="AD637" s="98" t="str">
        <f>IF(ISERROR((AC637/U637-1)*100),"NA",IF(((AC637/U637-1)*100)&gt;100,"NM",IF(((AC637/U637-1)*100)&lt;-50,"NM",(AC637/U637-1)*100)))</f>
        <v>NM</v>
      </c>
      <c r="AE637" s="101">
        <v>-68</v>
      </c>
      <c r="AF637" s="98" t="str">
        <f>IF(ISERROR((AE637/W637-1)*100),"NA",IF(((AE637/W637-1)*100)&gt;100,"NM",IF(((AE637/W637-1)*100)&lt;-50,"NM",(AE637/W637-1)*100)))</f>
        <v>NM</v>
      </c>
      <c r="AG637" s="101">
        <v>72</v>
      </c>
      <c r="AH637" s="98" t="str">
        <f>IF(ISERROR((AG637/Y637-1)*100),"NA",IF(((AG637/Y637-1)*100)&gt;100,"NM",IF(((AG637/Y637-1)*100)&lt;-50,"NM",(AG637/Y637-1)*100)))</f>
        <v>NM</v>
      </c>
      <c r="AI637" s="101">
        <v>76</v>
      </c>
      <c r="AJ637" s="98" t="str">
        <f>IF(ISERROR((AI637/AA637-1)*100),"NA",IF(((AI637/AA637-1)*100)&gt;100,"NM",IF(((AI637/AA637-1)*100)&lt;-50,"NM",(AI637/AA637-1)*100)))</f>
        <v>NM</v>
      </c>
      <c r="AK637" s="101">
        <v>102</v>
      </c>
      <c r="AL637" s="98" t="str">
        <f>IF(ISERROR((AK637/AC637-1)*100),"NA",IF(((AK637/AC637-1)*100)&gt;100,"NM",IF(((AK637/AC637-1)*100)&lt;-50,"NM",(AK637/AC637-1)*100)))</f>
        <v>NM</v>
      </c>
      <c r="AM637" s="101">
        <v>118</v>
      </c>
      <c r="AN637" s="98" t="str">
        <f>IF(ISERROR((AM637/AE637-1)*100),"NA",IF(((AM637/AE637-1)*100)&gt;100,"NM",IF(((AM637/AE637-1)*100)&lt;-50,"NM",(AM637/AE637-1)*100)))</f>
        <v>NM</v>
      </c>
      <c r="AO637" s="101">
        <v>-138</v>
      </c>
      <c r="AP637" s="98" t="str">
        <f>IF(ISERROR((AO637/AG637-1)*100),"NA",IF(((AO637/AG637-1)*100)&gt;100,"NM",IF(((AO637/AG637-1)*100)&lt;-50,"NM",(AO637/AG637-1)*100)))</f>
        <v>NM</v>
      </c>
      <c r="AQ637" s="101">
        <v>-21</v>
      </c>
      <c r="AR637" s="98" t="str">
        <f>IF(ISERROR((AQ637/AI637-1)*100),"NA",IF(((AQ637/AI637-1)*100)&gt;100,"NM",IF(((AQ637/AI637-1)*100)&lt;-50,"NM",(AQ637/AI637-1)*100)))</f>
        <v>NM</v>
      </c>
      <c r="AS637" s="101">
        <v>1439</v>
      </c>
      <c r="AT637" s="98" t="str">
        <f>IF(ISERROR((AS637/AK637-1)*100),"NA",IF(((AS637/AK637-1)*100)&gt;100,"NM",IF(((AS637/AK637-1)*100)&lt;-50,"NM",(AS637/AK637-1)*100)))</f>
        <v>NM</v>
      </c>
      <c r="AU637" s="101">
        <v>-15</v>
      </c>
      <c r="AV637" s="98" t="str">
        <f>IF(ISERROR((AU637/AM637-1)*100),"NA",IF(((AU637/AM637-1)*100)&gt;100,"NM",IF(((AU637/AM637-1)*100)&lt;-50,"NM",(AU637/AM637-1)*100)))</f>
        <v>NM</v>
      </c>
      <c r="AW637" s="101">
        <v>-146</v>
      </c>
      <c r="AX637" s="98">
        <f>IF(ISERROR((AW637/AO637-1)*100),"NA",IF(((AW637/AO637-1)*100)&gt;100,"NM",IF(((AW637/AO637-1)*100)&lt;-50,"NM",(AW637/AO637-1)*100)))</f>
        <v>5.7971014492753659</v>
      </c>
      <c r="AY637" s="101">
        <v>-415</v>
      </c>
      <c r="AZ637" s="98" t="str">
        <f>IF(ISERROR((AY637/AQ637-1)*100),"NA",IF(((AY637/AQ637-1)*100)&gt;100,"NM",IF(((AY637/AQ637-1)*100)&lt;-50,"NM",(AY637/AQ637-1)*100)))</f>
        <v>NM</v>
      </c>
      <c r="BA637" s="101">
        <v>-537</v>
      </c>
      <c r="BB637" s="98" t="str">
        <f>IF(ISERROR((BA637/AS637-1)*100),"NA",IF(((BA637/AS637-1)*100)&gt;100,"NM",IF(((BA637/AS637-1)*100)&lt;-50,"NM",(BA637/AS637-1)*100)))</f>
        <v>NM</v>
      </c>
      <c r="BC637" s="101">
        <v>164</v>
      </c>
      <c r="BD637" s="98" t="str">
        <f>IF(ISERROR((BC637/AU637-1)*100),"NA",IF(((BC637/AU637-1)*100)&gt;100,"NM",IF(((BC637/AU637-1)*100)&lt;-50,"NM",(BC637/AU637-1)*100)))</f>
        <v>NM</v>
      </c>
      <c r="BE637" s="101">
        <v>2791</v>
      </c>
      <c r="BF637" s="98" t="str">
        <f>IF(ISERROR((BE637/AW637-1)*100),"NA",IF(((BE637/AW637-1)*100)&gt;100,"NM",IF(((BE637/AW637-1)*100)&lt;-50,"NM",(BE637/AW637-1)*100)))</f>
        <v>NM</v>
      </c>
      <c r="BG637" s="101">
        <v>-58</v>
      </c>
      <c r="BH637" s="98" t="str">
        <f>IF(ISERROR((BG637/AY637-1)*100),"NA",IF(((BG637/AY637-1)*100)&gt;100,"NM",IF(((BG637/AY637-1)*100)&lt;-50,"NM",(BG637/AY637-1)*100)))</f>
        <v>NM</v>
      </c>
      <c r="BI637" s="101">
        <v>-193</v>
      </c>
      <c r="BJ637" s="98" t="str">
        <f>IF(ISERROR((BI637/BA637-1)*100),"NA",IF(((BI637/BA637-1)*100)&gt;100,"NM",IF(((BI637/BA637-1)*100)&lt;-50,"NM",(BI637/BA637-1)*100)))</f>
        <v>NM</v>
      </c>
      <c r="BK637" s="101">
        <v>-183</v>
      </c>
      <c r="BL637" s="98" t="str">
        <f>IF(ISERROR((BK637/BC637-1)*100),"NA",IF(((BK637/BC637-1)*100)&gt;100,"NM",IF(((BK637/BC637-1)*100)&lt;-50,"NM",(BK637/BC637-1)*100)))</f>
        <v>NM</v>
      </c>
      <c r="BM637" s="101">
        <v>-125</v>
      </c>
      <c r="BN637" s="98" t="str">
        <f>IF(ISERROR((BM637/BE637-1)*100),"NA",IF(((BM637/BE637-1)*100)&gt;100,"NM",IF(((BM637/BE637-1)*100)&lt;-50,"NM",(BM637/BE637-1)*100)))</f>
        <v>NM</v>
      </c>
      <c r="BO637" s="101">
        <v>-475</v>
      </c>
      <c r="BP637" s="98" t="str">
        <f>IF(ISERROR((BO637/BG637-1)*100),"NA",IF(((BO637/BG637-1)*100)&gt;100,"NM",IF(((BO637/BG637-1)*100)&lt;-50,"NM",(BO637/BG637-1)*100)))</f>
        <v>NM</v>
      </c>
      <c r="BQ637" s="101">
        <v>-231</v>
      </c>
      <c r="BR637" s="98">
        <f>IF(ISERROR((BQ637/BI637-1)*100),"NA",IF(((BQ637/BI637-1)*100)&gt;100,"NM",IF(((BQ637/BI637-1)*100)&lt;-50,"NM",(BQ637/BI637-1)*100)))</f>
        <v>19.689119170984458</v>
      </c>
      <c r="BS637" s="101">
        <v>483</v>
      </c>
      <c r="BT637" s="98" t="str">
        <f t="shared" si="3686"/>
        <v>NM</v>
      </c>
      <c r="BU637" s="101">
        <f>2153-804</f>
        <v>1349</v>
      </c>
      <c r="BV637" s="98" t="str">
        <f>IF(ISERROR((BU637/BM637-1)*100),"NA",IF(((BU637/BM637-1)*100)&gt;100,"NM",IF(((BU637/BM637-1)*100)&lt;-50,"NM",(BU637/BM637-1)*100)))</f>
        <v>NM</v>
      </c>
      <c r="BW637" s="101">
        <f>-905+325</f>
        <v>-580</v>
      </c>
      <c r="BX637" s="98">
        <f>IF(ISERROR((BW637/BO637-1)*100),"NA",IF(((BW637/BO637-1)*100)&gt;100,"NM",IF(((BW637/BO637-1)*100)&lt;-50,"NM",(BW637/BO637-1)*100)))</f>
        <v>22.10526315789474</v>
      </c>
      <c r="BY637" s="101">
        <f>-3829+1394</f>
        <v>-2435</v>
      </c>
      <c r="BZ637" s="98" t="str">
        <f>IF(ISERROR((BY637/BQ637-1)*100),"NA",IF(((BY637/BQ637-1)*100)&gt;100,"NM",IF(((BY637/BQ637-1)*100)&lt;-50,"NM",(BY637/BQ637-1)*100)))</f>
        <v>NM</v>
      </c>
      <c r="CA637" s="101">
        <f>-2139+751</f>
        <v>-1388</v>
      </c>
      <c r="CB637" s="98" t="str">
        <f>IF(ISERROR((CA637/BS637-1)*100),"NA",IF(((CA637/BS637-1)*100)&gt;100,"NM",IF(((CA637/BS637-1)*100)&lt;-50,"NM",(CA637/BS637-1)*100)))</f>
        <v>NM</v>
      </c>
      <c r="CC637" s="101">
        <f>-70-557</f>
        <v>-627</v>
      </c>
      <c r="CD637" s="98" t="str">
        <f>IF(ISERROR((CC637/BU637-1)*100),"NA",IF(((CC637/BU637-1)*100)&gt;100,"NM",IF(((CC637/BU637-1)*100)&lt;-50,"NM",(CC637/BU637-1)*100)))</f>
        <v>NM</v>
      </c>
      <c r="CE637" s="101">
        <v>47</v>
      </c>
      <c r="CF637" s="98" t="str">
        <f>IF(ISERROR((CE637/BW637-1)*100),"NA",IF(((CE637/BW637-1)*100)&gt;100,"NM",IF(((CE637/BW637-1)*100)&lt;-50,"NM",(CE637/BW637-1)*100)))</f>
        <v>NM</v>
      </c>
      <c r="CG637" s="101">
        <f>-14+1481-471-405+10</f>
        <v>601</v>
      </c>
      <c r="CH637" s="98" t="str">
        <f>IF(ISERROR((CG637/BY637-1)*100),"NA",IF(((CG637/BY637-1)*100)&gt;100,"NM",IF(((CG637/BY637-1)*100)&lt;-50,"NM",(CG637/BY637-1)*100)))</f>
        <v>NM</v>
      </c>
      <c r="CI637" s="101">
        <v>-387</v>
      </c>
      <c r="CJ637" s="98" t="str">
        <f>IF(ISERROR((CI637/CA637-1)*100),"NA",IF(((CI637/CA637-1)*100)&gt;100,"NM",IF(((CI637/CA637-1)*100)&lt;-50,"NM",(CI637/CA637-1)*100)))</f>
        <v>NM</v>
      </c>
      <c r="CK637" s="101">
        <f>-84-1543+526</f>
        <v>-1101</v>
      </c>
      <c r="CL637" s="98">
        <f>IF(ISERROR((CK637/CC637-1)*100),"NA",IF(((CK637/CC637-1)*100)&gt;100,"NM",IF(((CK637/CC637-1)*100)&lt;-50,"NM",(CK637/CC637-1)*100)))</f>
        <v>75.598086124401902</v>
      </c>
      <c r="CM637" s="101">
        <f>-99-315</f>
        <v>-414</v>
      </c>
      <c r="CN637" s="98" t="str">
        <f>IF(ISERROR((CM637/CE637-1)*100),"NA",IF(((CM637/CE637-1)*100)&gt;100,"NM",IF(((CM637/CE637-1)*100)&lt;-50,"NM",(CM637/CE637-1)*100)))</f>
        <v>NM</v>
      </c>
      <c r="CO637" s="101">
        <f>-155+352</f>
        <v>197</v>
      </c>
      <c r="CP637" s="98" t="str">
        <f>IF(ISERROR((CO637/CG637-1)*100),"NA",IF(((CO637/CG637-1)*100)&gt;100,"NM",IF(((CO637/CG637-1)*100)&lt;-50,"NM",(CO637/CG637-1)*100)))</f>
        <v>NM</v>
      </c>
      <c r="CQ637" s="542">
        <f>-55+4196</f>
        <v>4141</v>
      </c>
      <c r="CR637" s="98" t="str">
        <f>IF(ISERROR((CQ637/CI637-1)*100),"NA",IF(((CQ637/CI637-1)*100)&gt;100,"NM",IF(((CQ637/CI637-1)*100)&lt;-50,"NM",(CQ637/CI637-1)*100)))</f>
        <v>NM</v>
      </c>
      <c r="CS637" s="101">
        <f>-558+591</f>
        <v>33</v>
      </c>
      <c r="CT637" s="98" t="str">
        <f>IF(ISERROR((CS637/CK637-1)*100),"NA",IF(((CS637/CK637-1)*100)&gt;100,"NM",IF(((CS637/CK637-1)*100)&lt;-50,"NM",(CS637/CK637-1)*100)))</f>
        <v>NM</v>
      </c>
      <c r="CU637" s="101">
        <f>-110-1978</f>
        <v>-2088</v>
      </c>
      <c r="CV637" s="98" t="str">
        <f>IF(ISERROR((CU637/CM637-1)*100),"NA",IF(((CU637/CM637-1)*100)&gt;100,"NM",IF(((CU637/CM637-1)*100)&lt;-50,"NM",(CU637/CM637-1)*100)))</f>
        <v>NM</v>
      </c>
      <c r="CW637" s="101">
        <f>-64+2092</f>
        <v>2028</v>
      </c>
      <c r="CX637" s="98" t="str">
        <f>IF(ISERROR((CW637/CO637-1)*100),"NA",IF(((CW637/CO637-1)*100)&gt;100,"NM",IF(((CW637/CO637-1)*100)&lt;-50,"NM",(CW637/CO637-1)*100)))</f>
        <v>NM</v>
      </c>
      <c r="CY637" s="101">
        <f>22-718</f>
        <v>-696</v>
      </c>
      <c r="CZ637" s="98" t="str">
        <f>IF(ISERROR((CY637/CQ637-1)*100),"NA",IF(((CY637/CQ637-1)*100)&gt;100,"NM",IF(((CY637/CQ637-1)*100)&lt;-50,"NM",(CY637/CQ637-1)*100)))</f>
        <v>NM</v>
      </c>
      <c r="DA637" s="101">
        <f>-200-1315</f>
        <v>-1515</v>
      </c>
      <c r="DB637" s="98" t="str">
        <f>IF(ISERROR((DA637/CS637-1)*100),"NA",IF(((DA637/CS637-1)*100)&gt;100,"NM",IF(((DA637/CS637-1)*100)&lt;-50,"NM",(DA637/CS637-1)*100)))</f>
        <v>NM</v>
      </c>
      <c r="DC637" s="101">
        <f>314-630</f>
        <v>-316</v>
      </c>
      <c r="DD637" s="98" t="str">
        <f>IF(ISERROR((DC637/CU637-1)*100),"NA",IF(((DC637/CU637-1)*100)&gt;100,"NM",IF(((DC637/CU637-1)*100)&lt;-50,"NM",(DC637/CU637-1)*100)))</f>
        <v>NM</v>
      </c>
      <c r="DE637" s="101">
        <f>110-1690</f>
        <v>-1580</v>
      </c>
      <c r="DF637" s="98" t="str">
        <f>IF(ISERROR((DE637/CW637-1)*100),"NA",IF(((DE637/CW637-1)*100)&gt;100,"NM",IF(((DE637/CW637-1)*100)&lt;-50,"NM",(DE637/CW637-1)*100)))</f>
        <v>NM</v>
      </c>
      <c r="DG637" s="101">
        <f>-85-546</f>
        <v>-631</v>
      </c>
      <c r="DH637" s="98">
        <f>IF(ISERROR((DG637/CY637-1)*100),"NA",IF(((DG637/CY637-1)*100)&gt;100,"NM",IF(((DG637/CY637-1)*100)&lt;-50,"NM",(DG637/CY637-1)*100)))</f>
        <v>-9.3390804597701109</v>
      </c>
      <c r="DI637" s="101">
        <f>-178-373</f>
        <v>-551</v>
      </c>
      <c r="DJ637" s="98" t="str">
        <f>IF(ISERROR((DI637/DA637-1)*100),"NA",IF(((DI637/DA637-1)*100)&gt;100,"NM",IF(((DI637/DA637-1)*100)&lt;-50,"NM",(DI637/DA637-1)*100)))</f>
        <v>NM</v>
      </c>
      <c r="DK637" s="101">
        <f>-411+343</f>
        <v>-68</v>
      </c>
      <c r="DL637" s="98" t="str">
        <f>IF(ISERROR((DK637/DC637-1)*100),"NA",IF(((DK637/DC637-1)*100)&gt;100,"NM",IF(((DK637/DC637-1)*100)&lt;-50,"NM",(DK637/DC637-1)*100)))</f>
        <v>NM</v>
      </c>
      <c r="DM637" s="101">
        <f>-125+311</f>
        <v>186</v>
      </c>
      <c r="DN637" s="98" t="str">
        <f>IF(ISERROR((DM637/DE637-1)*100),"NA",IF(((DM637/DE637-1)*100)&gt;100,"NM",IF(((DM637/DE637-1)*100)&lt;-50,"NM",(DM637/DE637-1)*100)))</f>
        <v>NM</v>
      </c>
      <c r="DO637" s="101">
        <f>109+478</f>
        <v>587</v>
      </c>
      <c r="DP637" s="98" t="str">
        <f>IF(ISERROR((DO637/DG637-1)*100),"NA",IF(((DO637/DG637-1)*100)&gt;100,"NM",IF(((DO637/DG637-1)*100)&lt;-50,"NM",(DO637/DG637-1)*100)))</f>
        <v>NM</v>
      </c>
      <c r="DQ637" s="101">
        <f>230+185</f>
        <v>415</v>
      </c>
      <c r="DR637" s="98" t="str">
        <f>IF(ISERROR((DQ637/DI637-1)*100),"NA",IF(((DQ637/DI637-1)*100)&gt;100,"NM",IF(((DQ637/DI637-1)*100)&lt;-50,"NM",(DQ637/DI637-1)*100)))</f>
        <v>NM</v>
      </c>
      <c r="DS637" s="101">
        <f>286+821</f>
        <v>1107</v>
      </c>
      <c r="DT637" s="98" t="str">
        <f>IF(ISERROR((DS637/DK637-1)*100),"NA",IF(((DS637/DK637-1)*100)&gt;100,"NM",IF(((DS637/DK637-1)*100)&lt;-50,"NM",(DS637/DK637-1)*100)))</f>
        <v>NM</v>
      </c>
      <c r="DU637" s="101">
        <f>-133-912</f>
        <v>-1045</v>
      </c>
      <c r="DV637" s="98" t="str">
        <f>IF(ISERROR((DU637/DM637-1)*100),"NA",IF(((DU637/DM637-1)*100)&gt;100,"NM",IF(((DU637/DM637-1)*100)&lt;-50,"NM",(DU637/DM637-1)*100)))</f>
        <v>NM</v>
      </c>
      <c r="DW637" s="101">
        <f>382+485</f>
        <v>867</v>
      </c>
      <c r="DX637" s="98">
        <f>IF(ISERROR((DW637/DO637-1)*100),"NA",IF(((DW637/DO637-1)*100)&gt;100,"NM",IF(((DW637/DO637-1)*100)&lt;-50,"NM",(DW637/DO637-1)*100)))</f>
        <v>47.700170357751269</v>
      </c>
      <c r="DY637" s="101">
        <f>62-356</f>
        <v>-294</v>
      </c>
      <c r="DZ637" s="98" t="str">
        <f>IF(ISERROR((DY637/DQ637-1)*100),"NA",IF(((DY637/DQ637-1)*100)&gt;100,"NM",IF(((DY637/DQ637-1)*100)&lt;-50,"NM",(DY637/DQ637-1)*100)))</f>
        <v>NM</v>
      </c>
      <c r="EA637" s="950">
        <f>126+1078</f>
        <v>1204</v>
      </c>
      <c r="EB637" s="860">
        <f>IF(ISERROR((EA637/DS637-1)*100),"NA",IF(((EA637/DS637-1)*100)&gt;100,"NM",IF(((EA637/DS637-1)*100)&lt;-50,"NM",(EA637/DS637-1)*100)))</f>
        <v>8.7624209575429148</v>
      </c>
      <c r="EC637" s="950">
        <f>241+903</f>
        <v>1144</v>
      </c>
      <c r="ED637" s="860" t="str">
        <f>IF(ISERROR((EC637/DU637-1)*100),"NA",IF(((EC637/DU637-1)*100)&gt;100,"NM",IF(((EC637/DU637-1)*100)&lt;-50,"NM",(EC637/DU637-1)*100)))</f>
        <v>NM</v>
      </c>
      <c r="EE637" s="950">
        <f>231-543</f>
        <v>-312</v>
      </c>
      <c r="EF637" s="860" t="str">
        <f>IF(ISERROR((EE637/DW637-1)*100),"NA",IF(((EE637/DW637-1)*100)&gt;100,"NM",IF(((EE637/DW637-1)*100)&lt;-50,"NM",(EE637/DW637-1)*100)))</f>
        <v>NM</v>
      </c>
      <c r="EG637" s="950">
        <f>-299-2312</f>
        <v>-2611</v>
      </c>
      <c r="EH637" s="860" t="str">
        <f>IF(ISERROR((EG637/DY637-1)*100),"NA",IF(((EG637/DY637-1)*100)&gt;100,"NM",IF(((EG637/DY637-1)*100)&lt;-50,"NM",(EG637/DY637-1)*100)))</f>
        <v>NM</v>
      </c>
      <c r="EI637" s="950">
        <f>88-226</f>
        <v>-138</v>
      </c>
      <c r="EJ637" s="860" t="str">
        <f t="shared" si="3702"/>
        <v>NM</v>
      </c>
      <c r="EK637" s="950">
        <f>104-247</f>
        <v>-143</v>
      </c>
      <c r="EL637" s="860" t="str">
        <f t="shared" si="3703"/>
        <v>NM</v>
      </c>
      <c r="EM637" s="101">
        <f>-606-190</f>
        <v>-796</v>
      </c>
      <c r="EN637" s="860" t="str">
        <f t="shared" si="3704"/>
        <v>NM</v>
      </c>
      <c r="EO637" s="101">
        <f>106-141</f>
        <v>-35</v>
      </c>
      <c r="EP637" s="98" t="str">
        <f t="shared" si="3705"/>
        <v>NM</v>
      </c>
      <c r="EQ637" s="1057">
        <f>EQ644*EQ699/400</f>
        <v>-11.17716639</v>
      </c>
      <c r="ER637" s="98" t="str">
        <f t="shared" si="3706"/>
        <v>NM</v>
      </c>
      <c r="ES637" s="1057">
        <f t="shared" ref="ES637" si="3710">ES644*ES699/400</f>
        <v>-11.253171121451999</v>
      </c>
      <c r="ET637" s="98" t="str">
        <f t="shared" si="3707"/>
        <v>NM</v>
      </c>
      <c r="EU637" s="1057">
        <f t="shared" ref="EU637" si="3711">EU644*EU699/400</f>
        <v>-11.329692685077871</v>
      </c>
      <c r="EV637" s="98" t="str">
        <f t="shared" si="3708"/>
        <v>NM</v>
      </c>
      <c r="EW637" s="1057">
        <f t="shared" ref="EW637" si="3712">EW644*EW699/400</f>
        <v>-11.406734595336399</v>
      </c>
      <c r="EX637" s="98" t="str">
        <f t="shared" si="3709"/>
        <v>NM</v>
      </c>
      <c r="EY637" s="332"/>
      <c r="EZ637" s="594"/>
      <c r="FA637" s="405"/>
      <c r="FB637" s="121">
        <f>1746-404</f>
        <v>1342</v>
      </c>
      <c r="FC637" s="98"/>
      <c r="FD637" s="101">
        <v>-23</v>
      </c>
      <c r="FE637" s="98" t="str">
        <f>IF(ISERROR((FD637/FB637-1)*100),"NA",IF(((FD637/FB637-1)*100)&gt;100,"NM",IF(((FD637/FB637-1)*100)&lt;-50,"NM",(FD637/FB637-1)*100)))</f>
        <v>NM</v>
      </c>
      <c r="FF637" s="118">
        <f>C637+E637+G637+I637</f>
        <v>-236</v>
      </c>
      <c r="FG637" s="98" t="str">
        <f t="shared" si="3687"/>
        <v>NM</v>
      </c>
      <c r="FH637" s="248">
        <f>K637+M637+O637+Q637</f>
        <v>-433</v>
      </c>
      <c r="FI637" s="98">
        <f t="shared" si="3688"/>
        <v>83.474576271186436</v>
      </c>
      <c r="FJ637" s="248">
        <f>SUM(Y637,W637,U637,S637)</f>
        <v>-139</v>
      </c>
      <c r="FK637" s="98" t="str">
        <f t="shared" si="3689"/>
        <v>NM</v>
      </c>
      <c r="FL637" s="248">
        <f>+AA637+AC637+AE637+AG637</f>
        <v>-145</v>
      </c>
      <c r="FM637" s="98">
        <f t="shared" si="3690"/>
        <v>4.3165467625899234</v>
      </c>
      <c r="FN637" s="248">
        <f>AI637+AK637+AM637+AO637</f>
        <v>158</v>
      </c>
      <c r="FO637" s="98" t="str">
        <f t="shared" si="3691"/>
        <v>NM</v>
      </c>
      <c r="FP637" s="248">
        <f>AQ637+AS637+AU637+AW637</f>
        <v>1257</v>
      </c>
      <c r="FQ637" s="98" t="str">
        <f t="shared" si="3692"/>
        <v>NM</v>
      </c>
      <c r="FR637" s="332">
        <f>AY637+BA637+BC637+BE637</f>
        <v>2003</v>
      </c>
      <c r="FS637" s="36">
        <f t="shared" si="3693"/>
        <v>59.347653142402557</v>
      </c>
      <c r="FT637" s="332">
        <f>BG637+BI637+BK637+BM637</f>
        <v>-559</v>
      </c>
      <c r="FU637" s="36" t="str">
        <f t="shared" si="3694"/>
        <v>NM</v>
      </c>
      <c r="FV637" s="332">
        <f>BO637+BQ637+BS637+BU637</f>
        <v>1126</v>
      </c>
      <c r="FW637" s="98" t="str">
        <f t="shared" si="3695"/>
        <v>NM</v>
      </c>
      <c r="FX637" s="481">
        <f>BW637+BY637+CA637+CC637</f>
        <v>-5030</v>
      </c>
      <c r="FY637" s="98" t="str">
        <f t="shared" si="3696"/>
        <v>NM</v>
      </c>
      <c r="FZ637" s="100">
        <f>CE637+CG637+CI637+CK637</f>
        <v>-840</v>
      </c>
      <c r="GA637" s="98" t="str">
        <f t="shared" si="3697"/>
        <v>NM</v>
      </c>
      <c r="GB637" s="892">
        <f>-867+4824</f>
        <v>3957</v>
      </c>
      <c r="GC637" s="98" t="str">
        <f t="shared" si="3698"/>
        <v>NM</v>
      </c>
      <c r="GD637" s="100">
        <f>CU637+CW637+CY637+DA637</f>
        <v>-2271</v>
      </c>
      <c r="GE637" s="98" t="str">
        <f t="shared" si="3699"/>
        <v>NM</v>
      </c>
      <c r="GF637" s="100">
        <f>DC637+DE637+DG637+DI637</f>
        <v>-3078</v>
      </c>
      <c r="GG637" s="98">
        <f t="shared" si="3699"/>
        <v>35.535006605019824</v>
      </c>
      <c r="GH637" s="100">
        <f>DK637+DM637+DO637+DQ637</f>
        <v>1120</v>
      </c>
      <c r="GI637" s="98" t="str">
        <f t="shared" si="3699"/>
        <v>NM</v>
      </c>
      <c r="GJ637" s="100">
        <f>DS637+DU637+DW637+DY637</f>
        <v>635</v>
      </c>
      <c r="GK637" s="98">
        <f t="shared" si="3699"/>
        <v>-43.303571428571431</v>
      </c>
      <c r="GL637" s="100">
        <f>EA637+EC637+EE637+EG637</f>
        <v>-575</v>
      </c>
      <c r="GM637" s="98" t="str">
        <f t="shared" si="3699"/>
        <v>NM</v>
      </c>
      <c r="GN637" s="100">
        <f>EI637+EK637+EM637+EO637</f>
        <v>-1112</v>
      </c>
      <c r="GO637" s="98">
        <f t="shared" si="3699"/>
        <v>93.391304347826079</v>
      </c>
      <c r="GP637" s="100">
        <f>EQ637+ES637+EU637+EW637</f>
        <v>-45.166764791866271</v>
      </c>
      <c r="GQ637" s="98" t="str">
        <f t="shared" si="3699"/>
        <v>NM</v>
      </c>
      <c r="GR637" s="100">
        <f>GR644*GR699/100</f>
        <v>-46.295933911662935</v>
      </c>
      <c r="GS637" s="98">
        <f t="shared" si="3699"/>
        <v>2.5000000000000133</v>
      </c>
      <c r="GT637" s="100">
        <f>GT644*GT699/100</f>
        <v>-47.453332259454498</v>
      </c>
      <c r="GU637" s="98">
        <f t="shared" si="3699"/>
        <v>2.4999999999999689</v>
      </c>
      <c r="GV637" s="100">
        <f>GV644*GV699/100</f>
        <v>-48.639665565940859</v>
      </c>
      <c r="GW637" s="98">
        <f t="shared" si="3699"/>
        <v>2.4999999999999911</v>
      </c>
      <c r="GX637" s="100">
        <f>GX644*GX699/100</f>
        <v>-49.855657205089372</v>
      </c>
      <c r="GY637" s="98">
        <f t="shared" si="3700"/>
        <v>2.4999999999999911</v>
      </c>
      <c r="GZ637" s="98">
        <f t="shared" si="3701"/>
        <v>-46.256996777449658</v>
      </c>
      <c r="HA637" s="98"/>
      <c r="HB637" s="10"/>
      <c r="HC637"/>
      <c r="HD637"/>
      <c r="HE637"/>
      <c r="HF637"/>
      <c r="HG637"/>
      <c r="HH637"/>
      <c r="HI637" s="811"/>
      <c r="HJ637" s="811"/>
      <c r="HK637" s="811"/>
      <c r="HL637" s="811"/>
      <c r="HM637" s="811"/>
    </row>
    <row r="638" spans="1:296" s="2" customFormat="1" ht="12.75" customHeight="1" x14ac:dyDescent="0.2">
      <c r="B638" s="18" t="s">
        <v>465</v>
      </c>
      <c r="C638" s="101">
        <v>-30</v>
      </c>
      <c r="D638" s="98"/>
      <c r="E638" s="101">
        <v>0</v>
      </c>
      <c r="F638" s="98"/>
      <c r="G638" s="101">
        <v>0</v>
      </c>
      <c r="H638" s="98"/>
      <c r="I638" s="101">
        <v>175</v>
      </c>
      <c r="J638" s="98"/>
      <c r="K638" s="101">
        <v>0</v>
      </c>
      <c r="L638" s="98" t="str">
        <f>IF(ISERROR((K638/C638-1)*100),"NA",IF(((K638/C638-1)*100)&gt;100,"NM",IF(((K638/C638-1)*100)&lt;-50,"NM",(K638/C638-1)*100)))</f>
        <v>NM</v>
      </c>
      <c r="M638" s="101">
        <v>0</v>
      </c>
      <c r="N638" s="98" t="str">
        <f>IF(ISERROR((M638/E638-1)*100),"NA",IF(((M638/E638-1)*100)&gt;100,"NM",IF(((M638/E638-1)*100)&lt;-50,"NM",(M638/E638-1)*100)))</f>
        <v>NA</v>
      </c>
      <c r="O638" s="101">
        <v>0</v>
      </c>
      <c r="P638" s="98" t="str">
        <f>IF(ISERROR((O638/G638-1)*100),"NA",IF(((O638/G638-1)*100)&gt;100,"NM",IF(((O638/G638-1)*100)&lt;-50,"NM",(O638/G638-1)*100)))</f>
        <v>NA</v>
      </c>
      <c r="Q638" s="101">
        <v>0</v>
      </c>
      <c r="R638" s="98" t="str">
        <f>IF(ISERROR((Q638/I638-1)*100),"NA",IF(((Q638/I638-1)*100)&gt;100,"NM",IF(((Q638/I638-1)*100)&lt;-50,"NM",(Q638/I638-1)*100)))</f>
        <v>NM</v>
      </c>
      <c r="S638" s="101">
        <v>0</v>
      </c>
      <c r="T638" s="98" t="str">
        <f>IF(ISERROR((S638/K638-1)*100),"NA",IF(((S638/K638-1)*100)&gt;100,"NM",IF(((S638/K638-1)*100)&lt;-50,"NM",(S638/K638-1)*100)))</f>
        <v>NA</v>
      </c>
      <c r="U638" s="101">
        <v>0</v>
      </c>
      <c r="V638" s="98" t="str">
        <f>IF(ISERROR((U638/M638-1)*100),"NA",IF(((U638/M638-1)*100)&gt;100,"NM",IF(((U638/M638-1)*100)&lt;-50,"NM",(U638/M638-1)*100)))</f>
        <v>NA</v>
      </c>
      <c r="W638" s="101">
        <v>0</v>
      </c>
      <c r="X638" s="98" t="str">
        <f>IF(ISERROR((W638/O638-1)*100),"NA",IF(((W638/O638-1)*100)&gt;100,"NM",IF(((W638/O638-1)*100)&lt;-50,"NM",(W638/O638-1)*100)))</f>
        <v>NA</v>
      </c>
      <c r="Y638" s="101">
        <v>0</v>
      </c>
      <c r="Z638" s="98" t="str">
        <f>IF(ISERROR((Y638/Q638-1)*100),"NA",IF(((Y638/Q638-1)*100)&gt;100,"NM",IF(((Y638/Q638-1)*100)&lt;-50,"NM",(Y638/Q638-1)*100)))</f>
        <v>NA</v>
      </c>
      <c r="AA638" s="254">
        <v>0</v>
      </c>
      <c r="AB638" s="98" t="str">
        <f>IF(ISERROR((AA638/S638-1)*100),"NA",IF(((AA638/S638-1)*100)&gt;100,"NM",IF(((AA638/S638-1)*100)&lt;-50,"NM",(AA638/S638-1)*100)))</f>
        <v>NA</v>
      </c>
      <c r="AC638" s="254">
        <v>0</v>
      </c>
      <c r="AD638" s="98" t="str">
        <f>IF(ISERROR((AC638/U638-1)*100),"NA",IF(((AC638/U638-1)*100)&gt;100,"NM",IF(((AC638/U638-1)*100)&lt;-50,"NM",(AC638/U638-1)*100)))</f>
        <v>NA</v>
      </c>
      <c r="AE638" s="254">
        <v>0</v>
      </c>
      <c r="AF638" s="98" t="str">
        <f>IF(ISERROR((AE638/W638-1)*100),"NA",IF(((AE638/W638-1)*100)&gt;100,"NM",IF(((AE638/W638-1)*100)&lt;-50,"NM",(AE638/W638-1)*100)))</f>
        <v>NA</v>
      </c>
      <c r="AG638" s="254">
        <v>0</v>
      </c>
      <c r="AH638" s="98" t="str">
        <f>IF(ISERROR((AG638/Y638-1)*100),"NA",IF(((AG638/Y638-1)*100)&gt;100,"NM",IF(((AG638/Y638-1)*100)&lt;-50,"NM",(AG638/Y638-1)*100)))</f>
        <v>NA</v>
      </c>
      <c r="AI638" s="254">
        <v>0</v>
      </c>
      <c r="AJ638" s="98" t="str">
        <f>IF(ISERROR((AI638/AA638-1)*100),"NA",IF(((AI638/AA638-1)*100)&gt;100,"NM",IF(((AI638/AA638-1)*100)&lt;-50,"NM",(AI638/AA638-1)*100)))</f>
        <v>NA</v>
      </c>
      <c r="AK638" s="254">
        <v>0</v>
      </c>
      <c r="AL638" s="98" t="str">
        <f>IF(ISERROR((AK638/AC638-1)*100),"NA",IF(((AK638/AC638-1)*100)&gt;100,"NM",IF(((AK638/AC638-1)*100)&lt;-50,"NM",(AK638/AC638-1)*100)))</f>
        <v>NA</v>
      </c>
      <c r="AM638" s="254">
        <v>0</v>
      </c>
      <c r="AN638" s="98" t="str">
        <f>IF(ISERROR((AM638/AE638-1)*100),"NA",IF(((AM638/AE638-1)*100)&gt;100,"NM",IF(((AM638/AE638-1)*100)&lt;-50,"NM",(AM638/AE638-1)*100)))</f>
        <v>NA</v>
      </c>
      <c r="AO638" s="254">
        <v>0</v>
      </c>
      <c r="AP638" s="98" t="str">
        <f>IF(ISERROR((AO638/AG638-1)*100),"NA",IF(((AO638/AG638-1)*100)&gt;100,"NM",IF(((AO638/AG638-1)*100)&lt;-50,"NM",(AO638/AG638-1)*100)))</f>
        <v>NA</v>
      </c>
      <c r="AQ638" s="254">
        <v>0</v>
      </c>
      <c r="AR638" s="98" t="str">
        <f>IF(ISERROR((AQ638/AI638-1)*100),"NA",IF(((AQ638/AI638-1)*100)&gt;100,"NM",IF(((AQ638/AI638-1)*100)&lt;-50,"NM",(AQ638/AI638-1)*100)))</f>
        <v>NA</v>
      </c>
      <c r="AS638" s="254">
        <v>0</v>
      </c>
      <c r="AT638" s="98" t="str">
        <f>IF(ISERROR((AS638/AK638-1)*100),"NA",IF(((AS638/AK638-1)*100)&gt;100,"NM",IF(((AS638/AK638-1)*100)&lt;-50,"NM",(AS638/AK638-1)*100)))</f>
        <v>NA</v>
      </c>
      <c r="AU638" s="254">
        <v>0</v>
      </c>
      <c r="AV638" s="98" t="str">
        <f>IF(ISERROR((AU638/AM638-1)*100),"NA",IF(((AU638/AM638-1)*100)&gt;100,"NM",IF(((AU638/AM638-1)*100)&lt;-50,"NM",(AU638/AM638-1)*100)))</f>
        <v>NA</v>
      </c>
      <c r="AW638" s="254">
        <v>0</v>
      </c>
      <c r="AX638" s="98" t="str">
        <f>IF(ISERROR((AW638/AO638-1)*100),"NA",IF(((AW638/AO638-1)*100)&gt;100,"NM",IF(((AW638/AO638-1)*100)&lt;-50,"NM",(AW638/AO638-1)*100)))</f>
        <v>NA</v>
      </c>
      <c r="AY638" s="101">
        <v>0</v>
      </c>
      <c r="AZ638" s="98" t="str">
        <f>IF(ISERROR((AY638/AQ638-1)*100),"NA",IF(((AY638/AQ638-1)*100)&gt;100,"NM",IF(((AY638/AQ638-1)*100)&lt;-50,"NM",(AY638/AQ638-1)*100)))</f>
        <v>NA</v>
      </c>
      <c r="BA638" s="101">
        <v>0</v>
      </c>
      <c r="BB638" s="98" t="str">
        <f>IF(ISERROR((BA638/AS638-1)*100),"NA",IF(((BA638/AS638-1)*100)&gt;100,"NM",IF(((BA638/AS638-1)*100)&lt;-50,"NM",(BA638/AS638-1)*100)))</f>
        <v>NA</v>
      </c>
      <c r="BC638" s="101">
        <v>0</v>
      </c>
      <c r="BD638" s="98" t="str">
        <f>IF(ISERROR((BC638/AU638-1)*100),"NA",IF(((BC638/AU638-1)*100)&gt;100,"NM",IF(((BC638/AU638-1)*100)&lt;-50,"NM",(BC638/AU638-1)*100)))</f>
        <v>NA</v>
      </c>
      <c r="BE638" s="101">
        <v>0</v>
      </c>
      <c r="BF638" s="98" t="str">
        <f>IF(ISERROR((BE638/AW638-1)*100),"NA",IF(((BE638/AW638-1)*100)&gt;100,"NM",IF(((BE638/AW638-1)*100)&lt;-50,"NM",(BE638/AW638-1)*100)))</f>
        <v>NA</v>
      </c>
      <c r="BG638" s="101">
        <v>0</v>
      </c>
      <c r="BH638" s="98" t="str">
        <f>IF(ISERROR((BG638/AY638-1)*100),"NA",IF(((BG638/AY638-1)*100)&gt;100,"NM",IF(((BG638/AY638-1)*100)&lt;-50,"NM",(BG638/AY638-1)*100)))</f>
        <v>NA</v>
      </c>
      <c r="BI638" s="101">
        <v>0</v>
      </c>
      <c r="BJ638" s="98" t="str">
        <f>IF(ISERROR((BI638/BA638-1)*100),"NA",IF(((BI638/BA638-1)*100)&gt;100,"NM",IF(((BI638/BA638-1)*100)&lt;-50,"NM",(BI638/BA638-1)*100)))</f>
        <v>NA</v>
      </c>
      <c r="BK638" s="101">
        <v>0</v>
      </c>
      <c r="BL638" s="98" t="str">
        <f>IF(ISERROR((BK638/BC638-1)*100),"NA",IF(((BK638/BC638-1)*100)&gt;100,"NM",IF(((BK638/BC638-1)*100)&lt;-50,"NM",(BK638/BC638-1)*100)))</f>
        <v>NA</v>
      </c>
      <c r="BM638" s="101">
        <v>0</v>
      </c>
      <c r="BN638" s="98" t="str">
        <f>IF(ISERROR((BM638/BE638-1)*100),"NA",IF(((BM638/BE638-1)*100)&gt;100,"NM",IF(((BM638/BE638-1)*100)&lt;-50,"NM",(BM638/BE638-1)*100)))</f>
        <v>NA</v>
      </c>
      <c r="BO638" s="101">
        <v>0</v>
      </c>
      <c r="BP638" s="98" t="str">
        <f>IF(ISERROR((BO638/BG638-1)*100),"NA",IF(((BO638/BG638-1)*100)&gt;100,"NM",IF(((BO638/BG638-1)*100)&lt;-50,"NM",(BO638/BG638-1)*100)))</f>
        <v>NA</v>
      </c>
      <c r="BQ638" s="101">
        <v>0</v>
      </c>
      <c r="BR638" s="98" t="str">
        <f>IF(ISERROR((BQ638/BI638-1)*100),"NA",IF(((BQ638/BI638-1)*100)&gt;100,"NM",IF(((BQ638/BI638-1)*100)&lt;-50,"NM",(BQ638/BI638-1)*100)))</f>
        <v>NA</v>
      </c>
      <c r="BS638" s="101">
        <v>0</v>
      </c>
      <c r="BT638" s="98" t="str">
        <f t="shared" si="3686"/>
        <v>NA</v>
      </c>
      <c r="BU638" s="101">
        <v>0</v>
      </c>
      <c r="BV638" s="98" t="str">
        <f>IF(ISERROR((BU638/BM638-1)*100),"NA",IF(((BU638/BM638-1)*100)&gt;100,"NM",IF(((BU638/BM638-1)*100)&lt;-50,"NM",(BU638/BM638-1)*100)))</f>
        <v>NA</v>
      </c>
      <c r="BW638" s="101">
        <v>0</v>
      </c>
      <c r="BX638" s="98" t="str">
        <f>IF(ISERROR((BW638/BO638-1)*100),"NA",IF(((BW638/BO638-1)*100)&gt;100,"NM",IF(((BW638/BO638-1)*100)&lt;-50,"NM",(BW638/BO638-1)*100)))</f>
        <v>NA</v>
      </c>
      <c r="BY638" s="101">
        <v>0</v>
      </c>
      <c r="BZ638" s="98" t="str">
        <f>IF(ISERROR((BY638/BQ638-1)*100),"NA",IF(((BY638/BQ638-1)*100)&gt;100,"NM",IF(((BY638/BQ638-1)*100)&lt;-50,"NM",(BY638/BQ638-1)*100)))</f>
        <v>NA</v>
      </c>
      <c r="CA638" s="101">
        <v>0</v>
      </c>
      <c r="CB638" s="98" t="str">
        <f>IF(ISERROR((CA638/BS638-1)*100),"NA",IF(((CA638/BS638-1)*100)&gt;100,"NM",IF(((CA638/BS638-1)*100)&lt;-50,"NM",(CA638/BS638-1)*100)))</f>
        <v>NA</v>
      </c>
      <c r="CC638" s="101">
        <v>0</v>
      </c>
      <c r="CD638" s="98" t="str">
        <f>IF(ISERROR((CC638/BU638-1)*100),"NA",IF(((CC638/BU638-1)*100)&gt;100,"NM",IF(((CC638/BU638-1)*100)&lt;-50,"NM",(CC638/BU638-1)*100)))</f>
        <v>NA</v>
      </c>
      <c r="CE638" s="101">
        <v>0</v>
      </c>
      <c r="CF638" s="98" t="str">
        <f>IF(ISERROR((CE638/BW638-1)*100),"NA",IF(((CE638/BW638-1)*100)&gt;100,"NM",IF(((CE638/BW638-1)*100)&lt;-50,"NM",(CE638/BW638-1)*100)))</f>
        <v>NA</v>
      </c>
      <c r="CG638" s="101">
        <v>0</v>
      </c>
      <c r="CH638" s="98" t="str">
        <f>IF(ISERROR((CG638/BY638-1)*100),"NA",IF(((CG638/BY638-1)*100)&gt;100,"NM",IF(((CG638/BY638-1)*100)&lt;-50,"NM",(CG638/BY638-1)*100)))</f>
        <v>NA</v>
      </c>
      <c r="CI638" s="101">
        <v>0</v>
      </c>
      <c r="CJ638" s="98" t="str">
        <f>IF(ISERROR((CI638/CA638-1)*100),"NA",IF(((CI638/CA638-1)*100)&gt;100,"NM",IF(((CI638/CA638-1)*100)&lt;-50,"NM",(CI638/CA638-1)*100)))</f>
        <v>NA</v>
      </c>
      <c r="CK638" s="101">
        <v>0</v>
      </c>
      <c r="CL638" s="98" t="str">
        <f>IF(ISERROR((CK638/CC638-1)*100),"NA",IF(((CK638/CC638-1)*100)&gt;100,"NM",IF(((CK638/CC638-1)*100)&lt;-50,"NM",(CK638/CC638-1)*100)))</f>
        <v>NA</v>
      </c>
      <c r="CM638" s="101">
        <v>203.6</v>
      </c>
      <c r="CN638" s="98" t="str">
        <f>IF(ISERROR((CM638/CE638-1)*100),"NA",IF(((CM638/CE638-1)*100)&gt;100,"NM",IF(((CM638/CE638-1)*100)&lt;-50,"NM",(CM638/CE638-1)*100)))</f>
        <v>NA</v>
      </c>
      <c r="CO638" s="101">
        <v>73</v>
      </c>
      <c r="CP638" s="98" t="str">
        <f>IF(ISERROR((CO638/CG638-1)*100),"NA",IF(((CO638/CG638-1)*100)&gt;100,"NM",IF(((CO638/CG638-1)*100)&lt;-50,"NM",(CO638/CG638-1)*100)))</f>
        <v>NA</v>
      </c>
      <c r="CQ638" s="542">
        <v>-1349</v>
      </c>
      <c r="CR638" s="98" t="str">
        <f>IF(ISERROR((CQ638/CI638-1)*100),"NA",IF(((CQ638/CI638-1)*100)&gt;100,"NM",IF(((CQ638/CI638-1)*100)&lt;-50,"NM",(CQ638/CI638-1)*100)))</f>
        <v>NA</v>
      </c>
      <c r="CS638" s="101">
        <v>191</v>
      </c>
      <c r="CT638" s="98" t="str">
        <f>IF(ISERROR((CS638/CK638-1)*100),"NA",IF(((CS638/CK638-1)*100)&gt;100,"NM",IF(((CS638/CK638-1)*100)&lt;-50,"NM",(CS638/CK638-1)*100)))</f>
        <v>NA</v>
      </c>
      <c r="CU638" s="101">
        <v>871</v>
      </c>
      <c r="CV638" s="98" t="str">
        <f>IF(ISERROR((CU638/CM638-1)*100),"NA",IF(((CU638/CM638-1)*100)&gt;100,"NM",IF(((CU638/CM638-1)*100)&lt;-50,"NM",(CU638/CM638-1)*100)))</f>
        <v>NM</v>
      </c>
      <c r="CW638" s="101">
        <v>-455</v>
      </c>
      <c r="CX638" s="98" t="str">
        <f>IF(ISERROR((CW638/CO638-1)*100),"NA",IF(((CW638/CO638-1)*100)&gt;100,"NM",IF(((CW638/CO638-1)*100)&lt;-50,"NM",(CW638/CO638-1)*100)))</f>
        <v>NM</v>
      </c>
      <c r="CY638" s="101">
        <v>632</v>
      </c>
      <c r="CZ638" s="98" t="str">
        <f>IF(ISERROR((CY638/CQ638-1)*100),"NA",IF(((CY638/CQ638-1)*100)&gt;100,"NM",IF(((CY638/CQ638-1)*100)&lt;-50,"NM",(CY638/CQ638-1)*100)))</f>
        <v>NM</v>
      </c>
      <c r="DA638" s="101">
        <v>1147</v>
      </c>
      <c r="DB638" s="98" t="str">
        <f>IF(ISERROR((DA638/CS638-1)*100),"NA",IF(((DA638/CS638-1)*100)&gt;100,"NM",IF(((DA638/CS638-1)*100)&lt;-50,"NM",(DA638/CS638-1)*100)))</f>
        <v>NM</v>
      </c>
      <c r="DC638" s="101">
        <v>389</v>
      </c>
      <c r="DD638" s="98" t="str">
        <f>IF(ISERROR((DC638/CU638-1)*100),"NA",IF(((DC638/CU638-1)*100)&gt;100,"NM",IF(((DC638/CU638-1)*100)&lt;-50,"NM",(DC638/CU638-1)*100)))</f>
        <v>NM</v>
      </c>
      <c r="DE638" s="101">
        <v>566</v>
      </c>
      <c r="DF638" s="98" t="str">
        <f>IF(ISERROR((DE638/CW638-1)*100),"NA",IF(((DE638/CW638-1)*100)&gt;100,"NM",IF(((DE638/CW638-1)*100)&lt;-50,"NM",(DE638/CW638-1)*100)))</f>
        <v>NM</v>
      </c>
      <c r="DG638" s="101">
        <v>544</v>
      </c>
      <c r="DH638" s="98">
        <f>IF(ISERROR((DG638/CY638-1)*100),"NA",IF(((DG638/CY638-1)*100)&gt;100,"NM",IF(((DG638/CY638-1)*100)&lt;-50,"NM",(DG638/CY638-1)*100)))</f>
        <v>-13.924050632911388</v>
      </c>
      <c r="DI638" s="101">
        <v>184</v>
      </c>
      <c r="DJ638" s="98" t="str">
        <f>IF(ISERROR((DI638/DA638-1)*100),"NA",IF(((DI638/DA638-1)*100)&gt;100,"NM",IF(((DI638/DA638-1)*100)&lt;-50,"NM",(DI638/DA638-1)*100)))</f>
        <v>NM</v>
      </c>
      <c r="DK638" s="101">
        <v>120</v>
      </c>
      <c r="DL638" s="98" t="str">
        <f>IF(ISERROR((DK638/DC638-1)*100),"NA",IF(((DK638/DC638-1)*100)&gt;100,"NM",IF(((DK638/DC638-1)*100)&lt;-50,"NM",(DK638/DC638-1)*100)))</f>
        <v>NM</v>
      </c>
      <c r="DM638" s="101">
        <v>44</v>
      </c>
      <c r="DN638" s="98" t="str">
        <f>IF(ISERROR((DM638/DE638-1)*100),"NA",IF(((DM638/DE638-1)*100)&gt;100,"NM",IF(((DM638/DE638-1)*100)&lt;-50,"NM",(DM638/DE638-1)*100)))</f>
        <v>NM</v>
      </c>
      <c r="DO638" s="101">
        <v>-202</v>
      </c>
      <c r="DP638" s="98" t="str">
        <f>IF(ISERROR((DO638/DG638-1)*100),"NA",IF(((DO638/DG638-1)*100)&gt;100,"NM",IF(((DO638/DG638-1)*100)&lt;-50,"NM",(DO638/DG638-1)*100)))</f>
        <v>NM</v>
      </c>
      <c r="DQ638" s="101">
        <v>-49</v>
      </c>
      <c r="DR638" s="98" t="str">
        <f>IF(ISERROR((DQ638/DI638-1)*100),"NA",IF(((DQ638/DI638-1)*100)&gt;100,"NM",IF(((DQ638/DI638-1)*100)&lt;-50,"NM",(DQ638/DI638-1)*100)))</f>
        <v>NM</v>
      </c>
      <c r="DS638" s="101">
        <v>-302</v>
      </c>
      <c r="DT638" s="98" t="str">
        <f>IF(ISERROR((DS638/DK638-1)*100),"NA",IF(((DS638/DK638-1)*100)&gt;100,"NM",IF(((DS638/DK638-1)*100)&lt;-50,"NM",(DS638/DK638-1)*100)))</f>
        <v>NM</v>
      </c>
      <c r="DU638" s="101">
        <v>545</v>
      </c>
      <c r="DV638" s="98" t="str">
        <f>IF(ISERROR((DU638/DM638-1)*100),"NA",IF(((DU638/DM638-1)*100)&gt;100,"NM",IF(((DU638/DM638-1)*100)&lt;-50,"NM",(DU638/DM638-1)*100)))</f>
        <v>NM</v>
      </c>
      <c r="DW638" s="101">
        <v>-174</v>
      </c>
      <c r="DX638" s="98">
        <f>IF(ISERROR((DW638/DO638-1)*100),"NA",IF(((DW638/DO638-1)*100)&gt;100,"NM",IF(((DW638/DO638-1)*100)&lt;-50,"NM",(DW638/DO638-1)*100)))</f>
        <v>-13.861386138613863</v>
      </c>
      <c r="DY638" s="101">
        <v>109</v>
      </c>
      <c r="DZ638" s="98" t="str">
        <f>IF(ISERROR((DY638/DQ638-1)*100),"NA",IF(((DY638/DQ638-1)*100)&gt;100,"NM",IF(((DY638/DQ638-1)*100)&lt;-50,"NM",(DY638/DQ638-1)*100)))</f>
        <v>NM</v>
      </c>
      <c r="EA638" s="950">
        <v>-240</v>
      </c>
      <c r="EB638" s="860">
        <f>IF(ISERROR((EA638/DS638-1)*100),"NA",IF(((EA638/DS638-1)*100)&gt;100,"NM",IF(((EA638/DS638-1)*100)&lt;-50,"NM",(EA638/DS638-1)*100)))</f>
        <v>-20.529801324503318</v>
      </c>
      <c r="EC638" s="950">
        <v>-390</v>
      </c>
      <c r="ED638" s="860" t="str">
        <f>IF(ISERROR((EC638/DU638-1)*100),"NA",IF(((EC638/DU638-1)*100)&gt;100,"NM",IF(((EC638/DU638-1)*100)&lt;-50,"NM",(EC638/DU638-1)*100)))</f>
        <v>NM</v>
      </c>
      <c r="EE638" s="950">
        <v>192</v>
      </c>
      <c r="EF638" s="860" t="str">
        <f>IF(ISERROR((EE638/DW638-1)*100),"NA",IF(((EE638/DW638-1)*100)&gt;100,"NM",IF(((EE638/DW638-1)*100)&lt;-50,"NM",(EE638/DW638-1)*100)))</f>
        <v>NM</v>
      </c>
      <c r="EG638" s="950">
        <v>807</v>
      </c>
      <c r="EH638" s="860" t="str">
        <f>IF(ISERROR((EG638/DY638-1)*100),"NA",IF(((EG638/DY638-1)*100)&gt;100,"NM",IF(((EG638/DY638-1)*100)&lt;-50,"NM",(EG638/DY638-1)*100)))</f>
        <v>NM</v>
      </c>
      <c r="EI638" s="950">
        <v>245</v>
      </c>
      <c r="EJ638" s="860" t="str">
        <f t="shared" si="3702"/>
        <v>NM</v>
      </c>
      <c r="EK638" s="950">
        <v>142</v>
      </c>
      <c r="EL638" s="860" t="str">
        <f t="shared" si="3703"/>
        <v>NM</v>
      </c>
      <c r="EM638" s="101">
        <v>1009</v>
      </c>
      <c r="EN638" s="860" t="str">
        <f t="shared" si="3704"/>
        <v>NM</v>
      </c>
      <c r="EO638" s="101">
        <v>1742</v>
      </c>
      <c r="EP638" s="98" t="str">
        <f t="shared" si="3705"/>
        <v>NM</v>
      </c>
      <c r="EQ638" s="1056">
        <v>0</v>
      </c>
      <c r="ER638" s="98" t="str">
        <f t="shared" si="3706"/>
        <v>NM</v>
      </c>
      <c r="ES638" s="1056">
        <v>0</v>
      </c>
      <c r="ET638" s="98" t="str">
        <f t="shared" si="3707"/>
        <v>NM</v>
      </c>
      <c r="EU638" s="1056">
        <v>0</v>
      </c>
      <c r="EV638" s="98" t="str">
        <f t="shared" si="3708"/>
        <v>NM</v>
      </c>
      <c r="EW638" s="1056">
        <v>0</v>
      </c>
      <c r="EX638" s="98" t="str">
        <f t="shared" si="3709"/>
        <v>NM</v>
      </c>
      <c r="EY638" s="330"/>
      <c r="EZ638" s="594"/>
      <c r="FA638" s="405"/>
      <c r="FB638" s="121">
        <v>-18</v>
      </c>
      <c r="FC638" s="98"/>
      <c r="FD638" s="101">
        <v>-125</v>
      </c>
      <c r="FE638" s="98" t="str">
        <f>IF(ISERROR((FD638/FB638-1)*100),"NA",IF(((FD638/FB638-1)*100)&gt;100,"NM",IF(((FD638/FB638-1)*100)&lt;-50,"NM",(FD638/FB638-1)*100)))</f>
        <v>NM</v>
      </c>
      <c r="FF638" s="118">
        <f>C638+E638+G638+I638</f>
        <v>145</v>
      </c>
      <c r="FG638" s="98" t="str">
        <f t="shared" si="3687"/>
        <v>NM</v>
      </c>
      <c r="FH638" s="248">
        <f>K638+M638+O638+Q638</f>
        <v>0</v>
      </c>
      <c r="FI638" s="98" t="str">
        <f t="shared" si="3688"/>
        <v>NM</v>
      </c>
      <c r="FJ638" s="248">
        <f>S638+U638+W638+Y638</f>
        <v>0</v>
      </c>
      <c r="FK638" s="98" t="str">
        <f t="shared" si="3689"/>
        <v>NA</v>
      </c>
      <c r="FL638" s="248">
        <f>AA638+AC638+AE638+AG638</f>
        <v>0</v>
      </c>
      <c r="FM638" s="98" t="str">
        <f t="shared" si="3690"/>
        <v>NA</v>
      </c>
      <c r="FN638" s="248">
        <f>AI638+AK638+AM638+AO638</f>
        <v>0</v>
      </c>
      <c r="FO638" s="98" t="str">
        <f t="shared" si="3691"/>
        <v>NA</v>
      </c>
      <c r="FP638" s="248">
        <f>AQ638+AS638+AU638+AW638</f>
        <v>0</v>
      </c>
      <c r="FQ638" s="98" t="str">
        <f t="shared" si="3692"/>
        <v>NA</v>
      </c>
      <c r="FR638" s="332">
        <f>AY638+BA638+BC638+BE638</f>
        <v>0</v>
      </c>
      <c r="FS638" s="120" t="str">
        <f t="shared" si="3693"/>
        <v>NA</v>
      </c>
      <c r="FT638" s="332">
        <f>BG638+BI638+BK638+BM638</f>
        <v>0</v>
      </c>
      <c r="FU638" s="120" t="str">
        <f t="shared" si="3694"/>
        <v>NA</v>
      </c>
      <c r="FV638" s="332">
        <f>BO638+BQ638+BS638+BU638</f>
        <v>0</v>
      </c>
      <c r="FW638" s="98" t="str">
        <f t="shared" si="3695"/>
        <v>NA</v>
      </c>
      <c r="FX638" s="481">
        <f>BW638+BY638+CA638+CC638</f>
        <v>0</v>
      </c>
      <c r="FY638" s="98" t="str">
        <f t="shared" si="3696"/>
        <v>NA</v>
      </c>
      <c r="FZ638" s="100">
        <f>CE638+CG638+CI638+CK638</f>
        <v>0</v>
      </c>
      <c r="GA638" s="98" t="str">
        <f t="shared" si="3697"/>
        <v>NA</v>
      </c>
      <c r="GB638" s="542">
        <v>-914</v>
      </c>
      <c r="GC638" s="98" t="str">
        <f t="shared" si="3698"/>
        <v>NA</v>
      </c>
      <c r="GD638" s="100">
        <f>CU638+CW638+CY638+DA638</f>
        <v>2195</v>
      </c>
      <c r="GE638" s="98" t="str">
        <f t="shared" si="3699"/>
        <v>NM</v>
      </c>
      <c r="GF638" s="100">
        <f>DC638+DE638+DG638+DI638</f>
        <v>1683</v>
      </c>
      <c r="GG638" s="98">
        <f t="shared" si="3699"/>
        <v>-23.325740318906607</v>
      </c>
      <c r="GH638" s="100">
        <f>DK638+DM638+DO638+DQ638</f>
        <v>-87</v>
      </c>
      <c r="GI638" s="98" t="str">
        <f t="shared" si="3699"/>
        <v>NM</v>
      </c>
      <c r="GJ638" s="100">
        <f>DS638+DU638+DW638+DY638</f>
        <v>178</v>
      </c>
      <c r="GK638" s="98" t="str">
        <f t="shared" si="3699"/>
        <v>NM</v>
      </c>
      <c r="GL638" s="100">
        <f>EA638+EC638+EE638+EG638</f>
        <v>369</v>
      </c>
      <c r="GM638" s="98" t="str">
        <f t="shared" si="3699"/>
        <v>NM</v>
      </c>
      <c r="GN638" s="100">
        <f>EI638+EK638+EM638+EO638</f>
        <v>3138</v>
      </c>
      <c r="GO638" s="98" t="str">
        <f t="shared" si="3699"/>
        <v>NM</v>
      </c>
      <c r="GP638" s="100">
        <f>EQ638+ES638+EU638+EW638</f>
        <v>0</v>
      </c>
      <c r="GQ638" s="98" t="str">
        <f t="shared" si="3699"/>
        <v>NM</v>
      </c>
      <c r="GR638" s="330">
        <v>0</v>
      </c>
      <c r="GS638" s="98" t="str">
        <f t="shared" si="3699"/>
        <v>NA</v>
      </c>
      <c r="GT638" s="330">
        <v>0</v>
      </c>
      <c r="GU638" s="98" t="str">
        <f t="shared" si="3699"/>
        <v>NA</v>
      </c>
      <c r="GV638" s="330">
        <v>0</v>
      </c>
      <c r="GW638" s="98" t="str">
        <f t="shared" si="3699"/>
        <v>NA</v>
      </c>
      <c r="GX638" s="330">
        <v>0</v>
      </c>
      <c r="GY638" s="98" t="str">
        <f t="shared" si="3700"/>
        <v>NA</v>
      </c>
      <c r="GZ638" s="98" t="str">
        <f t="shared" si="3701"/>
        <v>NM</v>
      </c>
      <c r="HA638" s="98"/>
      <c r="HB638" s="10"/>
      <c r="HC638"/>
      <c r="HD638"/>
      <c r="HE638"/>
      <c r="HF638"/>
      <c r="HG638"/>
      <c r="HH638"/>
      <c r="HI638" s="811"/>
      <c r="HJ638" s="811"/>
      <c r="HK638" s="811"/>
      <c r="HL638" s="811"/>
      <c r="HM638" s="811"/>
    </row>
    <row r="639" spans="1:296" s="2" customFormat="1" ht="12.75" customHeight="1" x14ac:dyDescent="0.2">
      <c r="A639" s="2" t="s">
        <v>14</v>
      </c>
      <c r="B639" s="18" t="s">
        <v>457</v>
      </c>
      <c r="C639" s="117">
        <f>+C638+C637+C636+C634</f>
        <v>-102</v>
      </c>
      <c r="D639" s="98"/>
      <c r="E639" s="333">
        <f>+E638+E637+E636+E634</f>
        <v>-360</v>
      </c>
      <c r="F639" s="98"/>
      <c r="G639" s="117">
        <f>+G638+G637+G636+G634</f>
        <v>-143</v>
      </c>
      <c r="H639" s="98"/>
      <c r="I639" s="117">
        <f>+I638+I637+I636+I634</f>
        <v>187</v>
      </c>
      <c r="J639" s="98"/>
      <c r="K639" s="117">
        <f>+K638+K637+K636+K635</f>
        <v>-97</v>
      </c>
      <c r="L639" s="98">
        <f>IF(ISERROR((K639/C639-1)*100),"NA",IF(((K639/C639-1)*100)&gt;100,"NM",IF(((K639/C639-1)*100)&lt;-50,"NM",(K639/C639-1)*100)))</f>
        <v>-4.9019607843137303</v>
      </c>
      <c r="M639" s="117">
        <f>+M638+M637+M636+M635</f>
        <v>-99</v>
      </c>
      <c r="N639" s="98" t="str">
        <f>IF(ISERROR((M639/E639-1)*100),"NA",IF(((M639/E639-1)*100)&gt;100,"NM",IF(((M639/E639-1)*100)&lt;-50,"NM",(M639/E639-1)*100)))</f>
        <v>NM</v>
      </c>
      <c r="O639" s="117">
        <f>+O638+O637+O636+O635</f>
        <v>-65</v>
      </c>
      <c r="P639" s="98" t="str">
        <f>IF(ISERROR((O639/G639-1)*100),"NA",IF(((O639/G639-1)*100)&gt;100,"NM",IF(((O639/G639-1)*100)&lt;-50,"NM",(O639/G639-1)*100)))</f>
        <v>NM</v>
      </c>
      <c r="Q639" s="117">
        <f>+Q638+Q637+Q636+Q635</f>
        <v>-172</v>
      </c>
      <c r="R639" s="98" t="str">
        <f>IF(ISERROR((Q639/I639-1)*100),"NA",IF(((Q639/I639-1)*100)&gt;100,"NM",IF(((Q639/I639-1)*100)&lt;-50,"NM",(Q639/I639-1)*100)))</f>
        <v>NM</v>
      </c>
      <c r="S639" s="117">
        <f>+S638+S637+S636+S635</f>
        <v>-71</v>
      </c>
      <c r="T639" s="98">
        <f>IF(ISERROR((S639/K639-1)*100),"NA",IF(((S639/K639-1)*100)&gt;100,"NM",IF(((S639/K639-1)*100)&lt;-50,"NM",(S639/K639-1)*100)))</f>
        <v>-26.80412371134021</v>
      </c>
      <c r="U639" s="117">
        <f>+U638+U637+U636+U635</f>
        <v>-117</v>
      </c>
      <c r="V639" s="98">
        <f>IF(ISERROR((U639/M639-1)*100),"NA",IF(((U639/M639-1)*100)&gt;100,"NM",IF(((U639/M639-1)*100)&lt;-50,"NM",(U639/M639-1)*100)))</f>
        <v>18.181818181818187</v>
      </c>
      <c r="W639" s="117">
        <f>+W638+W637+W636+W635</f>
        <v>-174</v>
      </c>
      <c r="X639" s="98" t="str">
        <f>IF(ISERROR((W639/O639-1)*100),"NA",IF(((W639/O639-1)*100)&gt;100,"NM",IF(((W639/O639-1)*100)&lt;-50,"NM",(W639/O639-1)*100)))</f>
        <v>NM</v>
      </c>
      <c r="Y639" s="117">
        <f>+Y638+Y637+Y636+Y635</f>
        <v>223</v>
      </c>
      <c r="Z639" s="98" t="str">
        <f>IF(ISERROR((Y639/Q639-1)*100),"NA",IF(((Y639/Q639-1)*100)&gt;100,"NM",IF(((Y639/Q639-1)*100)&lt;-50,"NM",(Y639/Q639-1)*100)))</f>
        <v>NM</v>
      </c>
      <c r="AA639" s="117">
        <f>+AA638+AA637+AA636+AA635</f>
        <v>-84</v>
      </c>
      <c r="AB639" s="98">
        <f>IF(ISERROR((AA639/S639-1)*100),"NA",IF(((AA639/S639-1)*100)&gt;100,"NM",IF(((AA639/S639-1)*100)&lt;-50,"NM",(AA639/S639-1)*100)))</f>
        <v>18.309859154929576</v>
      </c>
      <c r="AC639" s="117">
        <f>+AC638+AC637+AC636+AC635</f>
        <v>-40</v>
      </c>
      <c r="AD639" s="98" t="str">
        <f>IF(ISERROR((AC639/U639-1)*100),"NA",IF(((AC639/U639-1)*100)&gt;100,"NM",IF(((AC639/U639-1)*100)&lt;-50,"NM",(AC639/U639-1)*100)))</f>
        <v>NM</v>
      </c>
      <c r="AE639" s="117">
        <f>+AE638+AE637+AE636+AE635</f>
        <v>-42</v>
      </c>
      <c r="AF639" s="98" t="str">
        <f>IF(ISERROR((AE639/W639-1)*100),"NA",IF(((AE639/W639-1)*100)&gt;100,"NM",IF(((AE639/W639-1)*100)&lt;-50,"NM",(AE639/W639-1)*100)))</f>
        <v>NM</v>
      </c>
      <c r="AG639" s="117">
        <f>+AG638+AG637+AG636+AG635</f>
        <v>136</v>
      </c>
      <c r="AH639" s="98">
        <f>IF(ISERROR((AG639/Y639-1)*100),"NA",IF(((AG639/Y639-1)*100)&gt;100,"NM",IF(((AG639/Y639-1)*100)&lt;-50,"NM",(AG639/Y639-1)*100)))</f>
        <v>-39.013452914798208</v>
      </c>
      <c r="AI639" s="117">
        <f>+AI638+AI637+AI636+AI635</f>
        <v>3</v>
      </c>
      <c r="AJ639" s="98" t="str">
        <f>IF(ISERROR((AI639/AA639-1)*100),"NA",IF(((AI639/AA639-1)*100)&gt;100,"NM",IF(((AI639/AA639-1)*100)&lt;-50,"NM",(AI639/AA639-1)*100)))</f>
        <v>NM</v>
      </c>
      <c r="AK639" s="117">
        <f>+AK638+AK637+AK636+AK635</f>
        <v>188</v>
      </c>
      <c r="AL639" s="98" t="str">
        <f>IF(ISERROR((AK639/AC639-1)*100),"NA",IF(((AK639/AC639-1)*100)&gt;100,"NM",IF(((AK639/AC639-1)*100)&lt;-50,"NM",(AK639/AC639-1)*100)))</f>
        <v>NM</v>
      </c>
      <c r="AM639" s="117">
        <f>+AM638+AM637+AM636+AM635</f>
        <v>77</v>
      </c>
      <c r="AN639" s="98" t="str">
        <f>IF(ISERROR((AM639/AE639-1)*100),"NA",IF(((AM639/AE639-1)*100)&gt;100,"NM",IF(((AM639/AE639-1)*100)&lt;-50,"NM",(AM639/AE639-1)*100)))</f>
        <v>NM</v>
      </c>
      <c r="AO639" s="117">
        <f>+AO638+AO637+AO636+AO635</f>
        <v>-149</v>
      </c>
      <c r="AP639" s="98" t="str">
        <f>IF(ISERROR((AO639/AG639-1)*100),"NA",IF(((AO639/AG639-1)*100)&gt;100,"NM",IF(((AO639/AG639-1)*100)&lt;-50,"NM",(AO639/AG639-1)*100)))</f>
        <v>NM</v>
      </c>
      <c r="AQ639" s="117">
        <f>+AQ638+AQ637+AQ636+AQ635</f>
        <v>165</v>
      </c>
      <c r="AR639" s="98" t="str">
        <f>IF(ISERROR((AQ639/AI639-1)*100),"NA",IF(((AQ639/AI639-1)*100)&gt;100,"NM",IF(((AQ639/AI639-1)*100)&lt;-50,"NM",(AQ639/AI639-1)*100)))</f>
        <v>NM</v>
      </c>
      <c r="AS639" s="117">
        <f>+AS638+AS637+AS636+AS635</f>
        <v>1375</v>
      </c>
      <c r="AT639" s="98" t="str">
        <f>IF(ISERROR((AS639/AK639-1)*100),"NA",IF(((AS639/AK639-1)*100)&gt;100,"NM",IF(((AS639/AK639-1)*100)&lt;-50,"NM",(AS639/AK639-1)*100)))</f>
        <v>NM</v>
      </c>
      <c r="AU639" s="117">
        <f>+AU638+AU637+AU636+AU635</f>
        <v>-38</v>
      </c>
      <c r="AV639" s="98" t="str">
        <f>IF(ISERROR((AU639/AM639-1)*100),"NA",IF(((AU639/AM639-1)*100)&gt;100,"NM",IF(((AU639/AM639-1)*100)&lt;-50,"NM",(AU639/AM639-1)*100)))</f>
        <v>NM</v>
      </c>
      <c r="AW639" s="117">
        <f>+AW638+AW637+AW636+AW635</f>
        <v>-122</v>
      </c>
      <c r="AX639" s="98">
        <f>IF(ISERROR((AW639/AO639-1)*100),"NA",IF(((AW639/AO639-1)*100)&gt;100,"NM",IF(((AW639/AO639-1)*100)&lt;-50,"NM",(AW639/AO639-1)*100)))</f>
        <v>-18.120805369127513</v>
      </c>
      <c r="AY639" s="117">
        <f>+AY638+AY637+AY636+AY635</f>
        <v>-312</v>
      </c>
      <c r="AZ639" s="98" t="str">
        <f>IF(ISERROR((AY639/AQ639-1)*100),"NA",IF(((AY639/AQ639-1)*100)&gt;100,"NM",IF(((AY639/AQ639-1)*100)&lt;-50,"NM",(AY639/AQ639-1)*100)))</f>
        <v>NM</v>
      </c>
      <c r="BA639" s="117">
        <f>+BA638+BA637+BA636+BA635</f>
        <v>-367</v>
      </c>
      <c r="BB639" s="98" t="str">
        <f>IF(ISERROR((BA639/AS639-1)*100),"NA",IF(((BA639/AS639-1)*100)&gt;100,"NM",IF(((BA639/AS639-1)*100)&lt;-50,"NM",(BA639/AS639-1)*100)))</f>
        <v>NM</v>
      </c>
      <c r="BC639" s="117">
        <f>+BC638+BC637+BC636+BC635</f>
        <v>41</v>
      </c>
      <c r="BD639" s="98" t="str">
        <f>IF(ISERROR((BC639/AU639-1)*100),"NA",IF(((BC639/AU639-1)*100)&gt;100,"NM",IF(((BC639/AU639-1)*100)&lt;-50,"NM",(BC639/AU639-1)*100)))</f>
        <v>NM</v>
      </c>
      <c r="BE639" s="117">
        <f>+BE638+BE637+BE636+BE635</f>
        <v>2775</v>
      </c>
      <c r="BF639" s="98" t="str">
        <f>IF(ISERROR((BE639/AW639-1)*100),"NA",IF(((BE639/AW639-1)*100)&gt;100,"NM",IF(((BE639/AW639-1)*100)&lt;-50,"NM",(BE639/AW639-1)*100)))</f>
        <v>NM</v>
      </c>
      <c r="BG639" s="117">
        <f>+BG638+BG637+BG636+BG635</f>
        <v>-99</v>
      </c>
      <c r="BH639" s="98" t="str">
        <f>IF(ISERROR((BG639/AY639-1)*100),"NA",IF(((BG639/AY639-1)*100)&gt;100,"NM",IF(((BG639/AY639-1)*100)&lt;-50,"NM",(BG639/AY639-1)*100)))</f>
        <v>NM</v>
      </c>
      <c r="BI639" s="117">
        <f>+BI638+BI637+BI636+BI635</f>
        <v>-182</v>
      </c>
      <c r="BJ639" s="98" t="str">
        <f>IF(ISERROR((BI639/BA639-1)*100),"NA",IF(((BI639/BA639-1)*100)&gt;100,"NM",IF(((BI639/BA639-1)*100)&lt;-50,"NM",(BI639/BA639-1)*100)))</f>
        <v>NM</v>
      </c>
      <c r="BK639" s="117">
        <f>+BK638+BK637+BK636+BK635</f>
        <v>-128</v>
      </c>
      <c r="BL639" s="98" t="str">
        <f>IF(ISERROR((BK639/BC639-1)*100),"NA",IF(((BK639/BC639-1)*100)&gt;100,"NM",IF(((BK639/BC639-1)*100)&lt;-50,"NM",(BK639/BC639-1)*100)))</f>
        <v>NM</v>
      </c>
      <c r="BM639" s="117">
        <f>+BM638+BM637+BM636+BM635</f>
        <v>-78</v>
      </c>
      <c r="BN639" s="98" t="str">
        <f>IF(ISERROR((BM639/BE639-1)*100),"NA",IF(((BM639/BE639-1)*100)&gt;100,"NM",IF(((BM639/BE639-1)*100)&lt;-50,"NM",(BM639/BE639-1)*100)))</f>
        <v>NM</v>
      </c>
      <c r="BO639" s="117">
        <f>+BO638+BO637+BO636+BO635</f>
        <v>-457</v>
      </c>
      <c r="BP639" s="98" t="str">
        <f>IF(ISERROR((BO639/BG639-1)*100),"NA",IF(((BO639/BG639-1)*100)&gt;100,"NM",IF(((BO639/BG639-1)*100)&lt;-50,"NM",(BO639/BG639-1)*100)))</f>
        <v>NM</v>
      </c>
      <c r="BQ639" s="117">
        <f>+BQ638+BQ637+BQ636+BQ635</f>
        <v>28</v>
      </c>
      <c r="BR639" s="98" t="str">
        <f>IF(ISERROR((BQ639/BI639-1)*100),"NA",IF(((BQ639/BI639-1)*100)&gt;100,"NM",IF(((BQ639/BI639-1)*100)&lt;-50,"NM",(BQ639/BI639-1)*100)))</f>
        <v>NM</v>
      </c>
      <c r="BS639" s="117">
        <f>+BS638+BS637+BS636+BS635</f>
        <v>-8</v>
      </c>
      <c r="BT639" s="98" t="str">
        <f t="shared" si="3686"/>
        <v>NM</v>
      </c>
      <c r="BU639" s="117">
        <f>+BU638+BU637+BU636+BU635</f>
        <v>822</v>
      </c>
      <c r="BV639" s="98" t="str">
        <f>IF(ISERROR((BU639/BM639-1)*100),"NA",IF(((BU639/BM639-1)*100)&gt;100,"NM",IF(((BU639/BM639-1)*100)&lt;-50,"NM",(BU639/BM639-1)*100)))</f>
        <v>NM</v>
      </c>
      <c r="BW639" s="117">
        <f>+BW638+BW637+BW636+BW635</f>
        <v>-704</v>
      </c>
      <c r="BX639" s="98">
        <f>IF(ISERROR((BW639/BO639-1)*100),"NA",IF(((BW639/BO639-1)*100)&gt;100,"NM",IF(((BW639/BO639-1)*100)&lt;-50,"NM",(BW639/BO639-1)*100)))</f>
        <v>54.048140043763681</v>
      </c>
      <c r="BY639" s="117">
        <f>+BY638+BY637+BY636+BY635</f>
        <v>-2156</v>
      </c>
      <c r="BZ639" s="98" t="str">
        <f>IF(ISERROR((BY639/BQ639-1)*100),"NA",IF(((BY639/BQ639-1)*100)&gt;100,"NM",IF(((BY639/BQ639-1)*100)&lt;-50,"NM",(BY639/BQ639-1)*100)))</f>
        <v>NM</v>
      </c>
      <c r="CA639" s="117">
        <f>+CA638+CA637+CA636+CA635</f>
        <v>-1368</v>
      </c>
      <c r="CB639" s="98" t="str">
        <f>IF(ISERROR((CA639/BS639-1)*100),"NA",IF(((CA639/BS639-1)*100)&gt;100,"NM",IF(((CA639/BS639-1)*100)&lt;-50,"NM",(CA639/BS639-1)*100)))</f>
        <v>NM</v>
      </c>
      <c r="CC639" s="117">
        <f>+CC638+CC637+CC636+CC635</f>
        <v>-504</v>
      </c>
      <c r="CD639" s="98" t="str">
        <f>IF(ISERROR((CC639/BU639-1)*100),"NA",IF(((CC639/BU639-1)*100)&gt;100,"NM",IF(((CC639/BU639-1)*100)&lt;-50,"NM",(CC639/BU639-1)*100)))</f>
        <v>NM</v>
      </c>
      <c r="CE639" s="117">
        <f>+CE638+CE637+CE636+CE635</f>
        <v>-59</v>
      </c>
      <c r="CF639" s="98" t="str">
        <f>IF(ISERROR((CE639/BW639-1)*100),"NA",IF(((CE639/BW639-1)*100)&gt;100,"NM",IF(((CE639/BW639-1)*100)&lt;-50,"NM",(CE639/BW639-1)*100)))</f>
        <v>NM</v>
      </c>
      <c r="CG639" s="117">
        <f>+CG638+CG637+CG636+CG635</f>
        <v>612</v>
      </c>
      <c r="CH639" s="98" t="str">
        <f>IF(ISERROR((CG639/BY639-1)*100),"NA",IF(((CG639/BY639-1)*100)&gt;100,"NM",IF(((CG639/BY639-1)*100)&lt;-50,"NM",(CG639/BY639-1)*100)))</f>
        <v>NM</v>
      </c>
      <c r="CI639" s="117">
        <f>+CI638+CI637+CI636+CI635</f>
        <v>-673</v>
      </c>
      <c r="CJ639" s="98" t="str">
        <f>IF(ISERROR((CI639/CA639-1)*100),"NA",IF(((CI639/CA639-1)*100)&gt;100,"NM",IF(((CI639/CA639-1)*100)&lt;-50,"NM",(CI639/CA639-1)*100)))</f>
        <v>NM</v>
      </c>
      <c r="CK639" s="117">
        <f>+CK638+CK637+CK636+CK635</f>
        <v>-1143</v>
      </c>
      <c r="CL639" s="98" t="str">
        <f>IF(ISERROR((CK639/CC639-1)*100),"NA",IF(((CK639/CC639-1)*100)&gt;100,"NM",IF(((CK639/CC639-1)*100)&lt;-50,"NM",(CK639/CC639-1)*100)))</f>
        <v>NM</v>
      </c>
      <c r="CM639" s="117">
        <f>+CM638+CM637+CM636+CM635</f>
        <v>-616.79999999999995</v>
      </c>
      <c r="CN639" s="98" t="str">
        <f>IF(ISERROR((CM639/CE639-1)*100),"NA",IF(((CM639/CE639-1)*100)&gt;100,"NM",IF(((CM639/CE639-1)*100)&lt;-50,"NM",(CM639/CE639-1)*100)))</f>
        <v>NM</v>
      </c>
      <c r="CO639" s="117">
        <f>+CO638+CO637+CO636+CO635</f>
        <v>-138</v>
      </c>
      <c r="CP639" s="98" t="str">
        <f>IF(ISERROR((CO639/CG639-1)*100),"NA",IF(((CO639/CG639-1)*100)&gt;100,"NM",IF(((CO639/CG639-1)*100)&lt;-50,"NM",(CO639/CG639-1)*100)))</f>
        <v>NM</v>
      </c>
      <c r="CQ639" s="565">
        <f>+CQ638+CQ637+CQ636+CQ635</f>
        <v>2461</v>
      </c>
      <c r="CR639" s="98" t="str">
        <f>IF(ISERROR((CQ639/CI639-1)*100),"NA",IF(((CQ639/CI639-1)*100)&gt;100,"NM",IF(((CQ639/CI639-1)*100)&lt;-50,"NM",(CQ639/CI639-1)*100)))</f>
        <v>NM</v>
      </c>
      <c r="CS639" s="334">
        <f>+CS638+CS637+CS636+CS635</f>
        <v>-285.39999999999998</v>
      </c>
      <c r="CT639" s="98" t="str">
        <f>IF(ISERROR((CS639/CK639-1)*100),"NA",IF(((CS639/CK639-1)*100)&gt;100,"NM",IF(((CS639/CK639-1)*100)&lt;-50,"NM",(CS639/CK639-1)*100)))</f>
        <v>NM</v>
      </c>
      <c r="CU639" s="334">
        <f>+CU638+CU637+CU636+CU635</f>
        <v>-1638</v>
      </c>
      <c r="CV639" s="98" t="str">
        <f>IF(ISERROR((CU639/CM639-1)*100),"NA",IF(((CU639/CM639-1)*100)&gt;100,"NM",IF(((CU639/CM639-1)*100)&lt;-50,"NM",(CU639/CM639-1)*100)))</f>
        <v>NM</v>
      </c>
      <c r="CW639" s="334">
        <f>+CW638+CW637+CW636+CW635</f>
        <v>832</v>
      </c>
      <c r="CX639" s="98" t="str">
        <f>IF(ISERROR((CW639/CO639-1)*100),"NA",IF(((CW639/CO639-1)*100)&gt;100,"NM",IF(((CW639/CO639-1)*100)&lt;-50,"NM",(CW639/CO639-1)*100)))</f>
        <v>NM</v>
      </c>
      <c r="CY639" s="334">
        <f>+CY638+CY637+CY636+CY635</f>
        <v>-2401</v>
      </c>
      <c r="CZ639" s="98" t="str">
        <f>IF(ISERROR((CY639/CQ639-1)*100),"NA",IF(((CY639/CQ639-1)*100)&gt;100,"NM",IF(((CY639/CQ639-1)*100)&lt;-50,"NM",(CY639/CQ639-1)*100)))</f>
        <v>NM</v>
      </c>
      <c r="DA639" s="334">
        <f>+DA638+DA637+DA636+DA635</f>
        <v>-1277</v>
      </c>
      <c r="DB639" s="98" t="str">
        <f>IF(ISERROR((DA639/CS639-1)*100),"NA",IF(((DA639/CS639-1)*100)&gt;100,"NM",IF(((DA639/CS639-1)*100)&lt;-50,"NM",(DA639/CS639-1)*100)))</f>
        <v>NM</v>
      </c>
      <c r="DC639" s="334">
        <f>+DC638+DC637+DC636+DC635</f>
        <v>-671</v>
      </c>
      <c r="DD639" s="98" t="str">
        <f>IF(ISERROR((DC639/CU639-1)*100),"NA",IF(((DC639/CU639-1)*100)&gt;100,"NM",IF(((DC639/CU639-1)*100)&lt;-50,"NM",(DC639/CU639-1)*100)))</f>
        <v>NM</v>
      </c>
      <c r="DE639" s="334">
        <f>+DE638+DE637+DE636+DE635</f>
        <v>-1114</v>
      </c>
      <c r="DF639" s="98" t="str">
        <f>IF(ISERROR((DE639/CW639-1)*100),"NA",IF(((DE639/CW639-1)*100)&gt;100,"NM",IF(((DE639/CW639-1)*100)&lt;-50,"NM",(DE639/CW639-1)*100)))</f>
        <v>NM</v>
      </c>
      <c r="DG639" s="334">
        <f>+DG638+DG637+DG636+DG635</f>
        <v>-553</v>
      </c>
      <c r="DH639" s="98" t="str">
        <f>IF(ISERROR((DG639/CY639-1)*100),"NA",IF(((DG639/CY639-1)*100)&gt;100,"NM",IF(((DG639/CY639-1)*100)&lt;-50,"NM",(DG639/CY639-1)*100)))</f>
        <v>NM</v>
      </c>
      <c r="DI639" s="334">
        <f>+DI638+DI637+DI636+DI635</f>
        <v>-677</v>
      </c>
      <c r="DJ639" s="98">
        <f>IF(ISERROR((DI639/DA639-1)*100),"NA",IF(((DI639/DA639-1)*100)&gt;100,"NM",IF(((DI639/DA639-1)*100)&lt;-50,"NM",(DI639/DA639-1)*100)))</f>
        <v>-46.985121378230232</v>
      </c>
      <c r="DK639" s="334">
        <f>+DK638+DK637+DK636+DK635</f>
        <v>-264</v>
      </c>
      <c r="DL639" s="98" t="str">
        <f>IF(ISERROR((DK639/DC639-1)*100),"NA",IF(((DK639/DC639-1)*100)&gt;100,"NM",IF(((DK639/DC639-1)*100)&lt;-50,"NM",(DK639/DC639-1)*100)))</f>
        <v>NM</v>
      </c>
      <c r="DM639" s="334">
        <f>+DM638+DM637+DM636+DM635</f>
        <v>-255</v>
      </c>
      <c r="DN639" s="98" t="str">
        <f>IF(ISERROR((DM639/DE639-1)*100),"NA",IF(((DM639/DE639-1)*100)&gt;100,"NM",IF(((DM639/DE639-1)*100)&lt;-50,"NM",(DM639/DE639-1)*100)))</f>
        <v>NM</v>
      </c>
      <c r="DO639" s="334">
        <f>+DO638+DO637+DO636+DO635</f>
        <v>239</v>
      </c>
      <c r="DP639" s="98" t="str">
        <f>IF(ISERROR((DO639/DG639-1)*100),"NA",IF(((DO639/DG639-1)*100)&gt;100,"NM",IF(((DO639/DG639-1)*100)&lt;-50,"NM",(DO639/DG639-1)*100)))</f>
        <v>NM</v>
      </c>
      <c r="DQ639" s="334">
        <f>+DQ638+DQ637+DQ636+DQ635</f>
        <v>-93</v>
      </c>
      <c r="DR639" s="98" t="str">
        <f>IF(ISERROR((DQ639/DI639-1)*100),"NA",IF(((DQ639/DI639-1)*100)&gt;100,"NM",IF(((DQ639/DI639-1)*100)&lt;-50,"NM",(DQ639/DI639-1)*100)))</f>
        <v>NM</v>
      </c>
      <c r="DS639" s="334">
        <f>+DS638+DS637+DS636+DS635</f>
        <v>490</v>
      </c>
      <c r="DT639" s="98" t="str">
        <f>IF(ISERROR((DS639/DK639-1)*100),"NA",IF(((DS639/DK639-1)*100)&gt;100,"NM",IF(((DS639/DK639-1)*100)&lt;-50,"NM",(DS639/DK639-1)*100)))</f>
        <v>NM</v>
      </c>
      <c r="DU639" s="334">
        <f>+DU638+DU637+DU636+DU635</f>
        <v>-723</v>
      </c>
      <c r="DV639" s="98" t="str">
        <f>IF(ISERROR((DU639/DM639-1)*100),"NA",IF(((DU639/DM639-1)*100)&gt;100,"NM",IF(((DU639/DM639-1)*100)&lt;-50,"NM",(DU639/DM639-1)*100)))</f>
        <v>NM</v>
      </c>
      <c r="DW639" s="334">
        <f>+DW638+DW637+DW636+DW635</f>
        <v>492</v>
      </c>
      <c r="DX639" s="98" t="str">
        <f>IF(ISERROR((DW639/DO639-1)*100),"NA",IF(((DW639/DO639-1)*100)&gt;100,"NM",IF(((DW639/DO639-1)*100)&lt;-50,"NM",(DW639/DO639-1)*100)))</f>
        <v>NM</v>
      </c>
      <c r="DY639" s="334">
        <f>+DY638+DY637+DY636+DY635</f>
        <v>-591</v>
      </c>
      <c r="DZ639" s="98" t="str">
        <f>IF(ISERROR((DY639/DQ639-1)*100),"NA",IF(((DY639/DQ639-1)*100)&gt;100,"NM",IF(((DY639/DQ639-1)*100)&lt;-50,"NM",(DY639/DQ639-1)*100)))</f>
        <v>NM</v>
      </c>
      <c r="EA639" s="334">
        <f>+EA638+EA637+EA636+EA635</f>
        <v>1322</v>
      </c>
      <c r="EB639" s="98" t="str">
        <f>IF(ISERROR((EA639/DS639-1)*100),"NA",IF(((EA639/DS639-1)*100)&gt;100,"NM",IF(((EA639/DS639-1)*100)&lt;-50,"NM",(EA639/DS639-1)*100)))</f>
        <v>NM</v>
      </c>
      <c r="EC639" s="334">
        <f>+EC638+EC637+EC636+EC635</f>
        <v>-351</v>
      </c>
      <c r="ED639" s="98" t="str">
        <f>IF(ISERROR((EC639/DU639-1)*100),"NA",IF(((EC639/DU639-1)*100)&gt;100,"NM",IF(((EC639/DU639-1)*100)&lt;-50,"NM",(EC639/DU639-1)*100)))</f>
        <v>NM</v>
      </c>
      <c r="EE639" s="334">
        <f>+EE638+EE637+EE636+EE635</f>
        <v>-819</v>
      </c>
      <c r="EF639" s="860" t="str">
        <f>IF(ISERROR((EE639/DW639-1)*100),"NA",IF(((EE639/DW639-1)*100)&gt;100,"NM",IF(((EE639/DW639-1)*100)&lt;-50,"NM",(EE639/DW639-1)*100)))</f>
        <v>NM</v>
      </c>
      <c r="EG639" s="334">
        <f>+EG638+EG637+EG636+EG635</f>
        <v>-3445</v>
      </c>
      <c r="EH639" s="860" t="str">
        <f>IF(ISERROR((EG639/DY639-1)*100),"NA",IF(((EG639/DY639-1)*100)&gt;100,"NM",IF(((EG639/DY639-1)*100)&lt;-50,"NM",(EG639/DY639-1)*100)))</f>
        <v>NM</v>
      </c>
      <c r="EI639" s="334">
        <f>+EI638+EI637+EI636+EI635</f>
        <v>-454</v>
      </c>
      <c r="EJ639" s="860" t="str">
        <f t="shared" si="3702"/>
        <v>NM</v>
      </c>
      <c r="EK639" s="334">
        <f>+EK638+EK637+EK636+EK635</f>
        <v>-256</v>
      </c>
      <c r="EL639" s="860">
        <f t="shared" si="3703"/>
        <v>-27.065527065527061</v>
      </c>
      <c r="EM639" s="334">
        <f>+EM638+EM637+EM636+EM635</f>
        <v>-1212</v>
      </c>
      <c r="EN639" s="860">
        <f t="shared" si="3704"/>
        <v>47.985347985347993</v>
      </c>
      <c r="EO639" s="334">
        <f>+EO638+EO637+EO636+EO635</f>
        <v>1594</v>
      </c>
      <c r="EP639" s="98" t="str">
        <f t="shared" si="3705"/>
        <v>NM</v>
      </c>
      <c r="EQ639" s="1031">
        <f t="shared" ref="EQ639" si="3713">+EQ638+EQ637+EQ636+EQ635</f>
        <v>-911.17716639000002</v>
      </c>
      <c r="ER639" s="98" t="str">
        <f t="shared" si="3706"/>
        <v>NM</v>
      </c>
      <c r="ES639" s="1031">
        <f t="shared" ref="ES639" si="3714">+ES638+ES637+ES636+ES635</f>
        <v>-11.253171121451999</v>
      </c>
      <c r="ET639" s="98" t="str">
        <f t="shared" si="3707"/>
        <v>NM</v>
      </c>
      <c r="EU639" s="1031">
        <f t="shared" ref="EU639" si="3715">+EU638+EU637+EU636+EU635</f>
        <v>-11.329692685077871</v>
      </c>
      <c r="EV639" s="98" t="str">
        <f t="shared" si="3708"/>
        <v>NM</v>
      </c>
      <c r="EW639" s="1031">
        <f t="shared" ref="EW639" si="3716">+EW638+EW637+EW636+EW635</f>
        <v>-11.406734595336399</v>
      </c>
      <c r="EX639" s="98" t="str">
        <f t="shared" si="3709"/>
        <v>NM</v>
      </c>
      <c r="EY639" s="248"/>
      <c r="EZ639" s="594"/>
      <c r="FA639" s="405"/>
      <c r="FB639" s="118">
        <f>+FB638+FB637+FB636+FB634</f>
        <v>121</v>
      </c>
      <c r="FC639" s="98"/>
      <c r="FD639" s="117">
        <f>+FD638+FD637+FD636+FD634</f>
        <v>-465</v>
      </c>
      <c r="FE639" s="98" t="str">
        <f>IF(ISERROR((FD639/FB639-1)*100),"NA",IF(((FD639/FB639-1)*100)&gt;100,"NM",IF(((FD639/FB639-1)*100)&lt;-50,"NM",(FD639/FB639-1)*100)))</f>
        <v>NM</v>
      </c>
      <c r="FF639" s="118">
        <f>+FF638+FF637+FF636+FF634</f>
        <v>-418</v>
      </c>
      <c r="FG639" s="98">
        <f t="shared" si="3687"/>
        <v>-10.10752688172043</v>
      </c>
      <c r="FH639" s="248">
        <f>+FH638+FH637+FH636+FH634</f>
        <v>-433</v>
      </c>
      <c r="FI639" s="98">
        <f t="shared" si="3688"/>
        <v>3.5885167464114742</v>
      </c>
      <c r="FJ639" s="248">
        <f>+FJ638+FJ637+FJ636+FJ634</f>
        <v>-139</v>
      </c>
      <c r="FK639" s="98" t="str">
        <f t="shared" si="3689"/>
        <v>NM</v>
      </c>
      <c r="FL639" s="248">
        <f>+FL638+FL637+FL636+FL634</f>
        <v>-30</v>
      </c>
      <c r="FM639" s="98" t="str">
        <f t="shared" si="3690"/>
        <v>NM</v>
      </c>
      <c r="FN639" s="248">
        <f>AI639+AK639+AM639+AO639</f>
        <v>119</v>
      </c>
      <c r="FO639" s="98" t="str">
        <f t="shared" si="3691"/>
        <v>NM</v>
      </c>
      <c r="FP639" s="248">
        <f>AQ639+AS639+AU639+AW639</f>
        <v>1380</v>
      </c>
      <c r="FQ639" s="98" t="str">
        <f t="shared" si="3692"/>
        <v>NM</v>
      </c>
      <c r="FR639" s="335">
        <f>AY639+BA639+BC639+BE639</f>
        <v>2137</v>
      </c>
      <c r="FS639" s="120">
        <f t="shared" si="3693"/>
        <v>54.85507246376811</v>
      </c>
      <c r="FT639" s="335">
        <f>BG639+BI639+BK639+BM639</f>
        <v>-487</v>
      </c>
      <c r="FU639" s="120" t="str">
        <f t="shared" si="3694"/>
        <v>NM</v>
      </c>
      <c r="FV639" s="117">
        <f>+FV638+FV637+FV636+FV635</f>
        <v>385</v>
      </c>
      <c r="FW639" s="98" t="str">
        <f t="shared" si="3695"/>
        <v>NM</v>
      </c>
      <c r="FX639" s="486">
        <f>+FX638+FX637+FX636+FX635</f>
        <v>-4732</v>
      </c>
      <c r="FY639" s="98" t="str">
        <f t="shared" si="3696"/>
        <v>NM</v>
      </c>
      <c r="FZ639" s="117">
        <f>+FZ638+FZ637+FZ636+FZ635</f>
        <v>-1263</v>
      </c>
      <c r="GA639" s="98" t="str">
        <f t="shared" si="3697"/>
        <v>NM</v>
      </c>
      <c r="GB639" s="486">
        <f>+GB638+GB637+GB636+GB635</f>
        <v>1478</v>
      </c>
      <c r="GC639" s="98" t="str">
        <f t="shared" si="3698"/>
        <v>NM</v>
      </c>
      <c r="GD639" s="117">
        <f>+GD638+GD637+GD636+GD635</f>
        <v>-4484</v>
      </c>
      <c r="GE639" s="98" t="str">
        <f t="shared" si="3699"/>
        <v>NM</v>
      </c>
      <c r="GF639" s="117">
        <f>+GF638+GF637+GF636+GF635</f>
        <v>-3015</v>
      </c>
      <c r="GG639" s="98">
        <f t="shared" si="3699"/>
        <v>-32.760927743086533</v>
      </c>
      <c r="GH639" s="117">
        <f>+GH638+GH637+GH636+GH635</f>
        <v>-373</v>
      </c>
      <c r="GI639" s="98" t="str">
        <f t="shared" si="3699"/>
        <v>NM</v>
      </c>
      <c r="GJ639" s="117">
        <f>+GJ638+GJ637+GJ636+GJ635</f>
        <v>-332</v>
      </c>
      <c r="GK639" s="98">
        <f t="shared" si="3699"/>
        <v>-10.991957104557637</v>
      </c>
      <c r="GL639" s="117">
        <f>+GL638+GL637+GL636+GL635</f>
        <v>-3293</v>
      </c>
      <c r="GM639" s="98" t="str">
        <f t="shared" si="3699"/>
        <v>NM</v>
      </c>
      <c r="GN639" s="117">
        <f>+GN638+GN637+GN636+GN635</f>
        <v>-328</v>
      </c>
      <c r="GO639" s="98" t="str">
        <f t="shared" si="3699"/>
        <v>NM</v>
      </c>
      <c r="GP639" s="117">
        <f>+GP638+GP637+GP636+GP635</f>
        <v>-945.16676479186629</v>
      </c>
      <c r="GQ639" s="98" t="str">
        <f t="shared" si="3699"/>
        <v>NM</v>
      </c>
      <c r="GR639" s="117">
        <f>+GR638+GR637+GR636+GR635</f>
        <v>-46.295933911662935</v>
      </c>
      <c r="GS639" s="98" t="str">
        <f t="shared" si="3699"/>
        <v>NM</v>
      </c>
      <c r="GT639" s="117">
        <f>+GT638+GT637+GT636+GT635</f>
        <v>-47.453332259454498</v>
      </c>
      <c r="GU639" s="98">
        <f t="shared" si="3699"/>
        <v>2.4999999999999689</v>
      </c>
      <c r="GV639" s="117">
        <f>+GV638+GV637+GV636+GV635</f>
        <v>-48.639665565940859</v>
      </c>
      <c r="GW639" s="98">
        <f t="shared" si="3699"/>
        <v>2.4999999999999911</v>
      </c>
      <c r="GX639" s="117">
        <f>+GX638+GX637+GX636+GX635</f>
        <v>-49.855657205089372</v>
      </c>
      <c r="GY639" s="98">
        <f t="shared" si="3700"/>
        <v>2.4999999999999911</v>
      </c>
      <c r="GZ639" s="98">
        <f t="shared" si="3701"/>
        <v>-31.393048788218557</v>
      </c>
      <c r="HA639" s="98"/>
      <c r="HB639" s="10"/>
      <c r="HC639"/>
      <c r="HD639"/>
      <c r="HE639"/>
      <c r="HF639"/>
      <c r="HG639"/>
      <c r="HH639"/>
      <c r="HI639" s="10"/>
    </row>
    <row r="640" spans="1:296" s="2" customFormat="1" ht="12.75" customHeight="1" x14ac:dyDescent="0.2">
      <c r="A640" s="2" t="s">
        <v>118</v>
      </c>
      <c r="B640" s="19" t="s">
        <v>505</v>
      </c>
      <c r="C640" s="182">
        <f>+C639+C626</f>
        <v>282</v>
      </c>
      <c r="D640" s="230"/>
      <c r="E640" s="182">
        <f>+E639+E626</f>
        <v>14</v>
      </c>
      <c r="F640" s="98"/>
      <c r="G640" s="182">
        <f>+G639+G626</f>
        <v>241</v>
      </c>
      <c r="H640" s="98"/>
      <c r="I640" s="182">
        <f>+I639+I626</f>
        <v>591</v>
      </c>
      <c r="J640" s="98"/>
      <c r="K640" s="182">
        <f>+K639+K626</f>
        <v>287</v>
      </c>
      <c r="L640" s="98">
        <f>IF(ISERROR((K640/C640-1)*100),"NA",IF(((K640/C640-1)*100)&gt;100,"NM",IF(((K640/C640-1)*100)&lt;-50,"NM",(K640/C640-1)*100)))</f>
        <v>1.7730496453900679</v>
      </c>
      <c r="M640" s="182">
        <f>+M639+M626</f>
        <v>320</v>
      </c>
      <c r="N640" s="98" t="str">
        <f>IF(ISERROR((M640/E640-1)*100),"NA",IF(((M640/E640-1)*100)&gt;100,"NM",IF(((M640/E640-1)*100)&lt;-50,"NM",(M640/E640-1)*100)))</f>
        <v>NM</v>
      </c>
      <c r="O640" s="182">
        <f>+O639+O626</f>
        <v>162</v>
      </c>
      <c r="P640" s="98">
        <f>IF(ISERROR((O640/G640-1)*100),"NA",IF(((O640/G640-1)*100)&gt;100,"NM",IF(((O640/G640-1)*100)&lt;-50,"NM",(O640/G640-1)*100)))</f>
        <v>-32.780082987551864</v>
      </c>
      <c r="Q640" s="182">
        <f>+Q639+Q626</f>
        <v>-296</v>
      </c>
      <c r="R640" s="98" t="str">
        <f>IF(ISERROR((Q640/I640-1)*100),"NA",IF(((Q640/I640-1)*100)&gt;100,"NM",IF(((Q640/I640-1)*100)&lt;-50,"NM",(Q640/I640-1)*100)))</f>
        <v>NM</v>
      </c>
      <c r="S640" s="182">
        <f>+S639+S626</f>
        <v>329</v>
      </c>
      <c r="T640" s="98">
        <f>IF(ISERROR((S640/K640-1)*100),"NA",IF(((S640/K640-1)*100)&gt;100,"NM",IF(((S640/K640-1)*100)&lt;-50,"NM",(S640/K640-1)*100)))</f>
        <v>14.634146341463406</v>
      </c>
      <c r="U640" s="182">
        <f>+U639+U626</f>
        <v>387</v>
      </c>
      <c r="V640" s="98">
        <f>IF(ISERROR((U640/M640-1)*100),"NA",IF(((U640/M640-1)*100)&gt;100,"NM",IF(((U640/M640-1)*100)&lt;-50,"NM",(U640/M640-1)*100)))</f>
        <v>20.937500000000007</v>
      </c>
      <c r="W640" s="182">
        <f>+W639+W626</f>
        <v>328</v>
      </c>
      <c r="X640" s="98" t="str">
        <f>IF(ISERROR((W640/O640-1)*100),"NA",IF(((W640/O640-1)*100)&gt;100,"NM",IF(((W640/O640-1)*100)&lt;-50,"NM",(W640/O640-1)*100)))</f>
        <v>NM</v>
      </c>
      <c r="Y640" s="182">
        <f>+Y639+Y626</f>
        <v>561</v>
      </c>
      <c r="Z640" s="98" t="str">
        <f>IF(ISERROR((Y640/Q640-1)*100),"NA",IF(((Y640/Q640-1)*100)&gt;100,"NM",IF(((Y640/Q640-1)*100)&lt;-50,"NM",(Y640/Q640-1)*100)))</f>
        <v>NM</v>
      </c>
      <c r="AA640" s="182">
        <f>+AA639+AA626</f>
        <v>362</v>
      </c>
      <c r="AB640" s="98">
        <f>IF(ISERROR((AA640/S640-1)*100),"NA",IF(((AA640/S640-1)*100)&gt;100,"NM",IF(((AA640/S640-1)*100)&lt;-50,"NM",(AA640/S640-1)*100)))</f>
        <v>10.030395136778125</v>
      </c>
      <c r="AC640" s="182">
        <f>+AC639+AC626</f>
        <v>580</v>
      </c>
      <c r="AD640" s="98">
        <f>IF(ISERROR((AC640/U640-1)*100),"NA",IF(((AC640/U640-1)*100)&gt;100,"NM",IF(((AC640/U640-1)*100)&lt;-50,"NM",(AC640/U640-1)*100)))</f>
        <v>49.870801033591739</v>
      </c>
      <c r="AE640" s="182">
        <f>+AE639+AE626</f>
        <v>574</v>
      </c>
      <c r="AF640" s="98">
        <f>IF(ISERROR((AE640/W640-1)*100),"NA",IF(((AE640/W640-1)*100)&gt;100,"NM",IF(((AE640/W640-1)*100)&lt;-50,"NM",(AE640/W640-1)*100)))</f>
        <v>75</v>
      </c>
      <c r="AG640" s="182">
        <f>+AG639+AG626</f>
        <v>701</v>
      </c>
      <c r="AH640" s="98">
        <f>IF(ISERROR((AG640/Y640-1)*100),"NA",IF(((AG640/Y640-1)*100)&gt;100,"NM",IF(((AG640/Y640-1)*100)&lt;-50,"NM",(AG640/Y640-1)*100)))</f>
        <v>24.9554367201426</v>
      </c>
      <c r="AI640" s="182">
        <f>+AI639+AI626</f>
        <v>598</v>
      </c>
      <c r="AJ640" s="98">
        <f>IF(ISERROR((AI640/AA640-1)*100),"NA",IF(((AI640/AA640-1)*100)&gt;100,"NM",IF(((AI640/AA640-1)*100)&lt;-50,"NM",(AI640/AA640-1)*100)))</f>
        <v>65.193370165745847</v>
      </c>
      <c r="AK640" s="182">
        <f>+AK639+AK626</f>
        <v>954</v>
      </c>
      <c r="AL640" s="98">
        <f>IF(ISERROR((AK640/AC640-1)*100),"NA",IF(((AK640/AC640-1)*100)&gt;100,"NM",IF(((AK640/AC640-1)*100)&lt;-50,"NM",(AK640/AC640-1)*100)))</f>
        <v>64.482758620689665</v>
      </c>
      <c r="AM640" s="182">
        <f>+AM639+AM626</f>
        <v>695</v>
      </c>
      <c r="AN640" s="98">
        <f>IF(ISERROR((AM640/AE640-1)*100),"NA",IF(((AM640/AE640-1)*100)&gt;100,"NM",IF(((AM640/AE640-1)*100)&lt;-50,"NM",(AM640/AE640-1)*100)))</f>
        <v>21.080139372822295</v>
      </c>
      <c r="AO640" s="182">
        <f>+AO639+AO626</f>
        <v>511</v>
      </c>
      <c r="AP640" s="98">
        <f>IF(ISERROR((AO640/AG640-1)*100),"NA",IF(((AO640/AG640-1)*100)&gt;100,"NM",IF(((AO640/AG640-1)*100)&lt;-50,"NM",(AO640/AG640-1)*100)))</f>
        <v>-27.104136947218262</v>
      </c>
      <c r="AQ640" s="182">
        <f>+AQ639+AQ626</f>
        <v>987</v>
      </c>
      <c r="AR640" s="98">
        <f>IF(ISERROR((AQ640/AI640-1)*100),"NA",IF(((AQ640/AI640-1)*100)&gt;100,"NM",IF(((AQ640/AI640-1)*100)&lt;-50,"NM",(AQ640/AI640-1)*100)))</f>
        <v>65.050167224080255</v>
      </c>
      <c r="AS640" s="182">
        <f>+AS639+AS626</f>
        <v>2245</v>
      </c>
      <c r="AT640" s="98" t="str">
        <f>IF(ISERROR((AS640/AK640-1)*100),"NA",IF(((AS640/AK640-1)*100)&gt;100,"NM",IF(((AS640/AK640-1)*100)&lt;-50,"NM",(AS640/AK640-1)*100)))</f>
        <v>NM</v>
      </c>
      <c r="AU640" s="182">
        <f>+AU639+AU626</f>
        <v>742</v>
      </c>
      <c r="AV640" s="98">
        <f>IF(ISERROR((AU640/AM640-1)*100),"NA",IF(((AU640/AM640-1)*100)&gt;100,"NM",IF(((AU640/AM640-1)*100)&lt;-50,"NM",(AU640/AM640-1)*100)))</f>
        <v>6.7625899280575608</v>
      </c>
      <c r="AW640" s="182">
        <f>+AW639+AW626</f>
        <v>677</v>
      </c>
      <c r="AX640" s="98">
        <f>IF(ISERROR((AW640/AO640-1)*100),"NA",IF(((AW640/AO640-1)*100)&gt;100,"NM",IF(((AW640/AO640-1)*100)&lt;-50,"NM",(AW640/AO640-1)*100)))</f>
        <v>32.485322896281808</v>
      </c>
      <c r="AY640" s="182">
        <f>+AY639+AY626</f>
        <v>714</v>
      </c>
      <c r="AZ640" s="98">
        <f>IF(ISERROR((AY640/AQ640-1)*100),"NA",IF(((AY640/AQ640-1)*100)&gt;100,"NM",IF(((AY640/AQ640-1)*100)&lt;-50,"NM",(AY640/AQ640-1)*100)))</f>
        <v>-27.659574468085101</v>
      </c>
      <c r="BA640" s="182">
        <f>+BA639+BA626</f>
        <v>617</v>
      </c>
      <c r="BB640" s="98" t="str">
        <f>IF(ISERROR((BA640/AS640-1)*100),"NA",IF(((BA640/AS640-1)*100)&gt;100,"NM",IF(((BA640/AS640-1)*100)&lt;-50,"NM",(BA640/AS640-1)*100)))</f>
        <v>NM</v>
      </c>
      <c r="BC640" s="182">
        <f>+BC639+BC626</f>
        <v>999</v>
      </c>
      <c r="BD640" s="98">
        <f>IF(ISERROR((BC640/AU640-1)*100),"NA",IF(((BC640/AU640-1)*100)&gt;100,"NM",IF(((BC640/AU640-1)*100)&lt;-50,"NM",(BC640/AU640-1)*100)))</f>
        <v>34.636118598382758</v>
      </c>
      <c r="BE640" s="182">
        <f>+BE639+BE626</f>
        <v>3829</v>
      </c>
      <c r="BF640" s="98" t="str">
        <f>IF(ISERROR((BE640/AW640-1)*100),"NA",IF(((BE640/AW640-1)*100)&gt;100,"NM",IF(((BE640/AW640-1)*100)&lt;-50,"NM",(BE640/AW640-1)*100)))</f>
        <v>NM</v>
      </c>
      <c r="BG640" s="182">
        <f>+BG639+BG626</f>
        <v>983</v>
      </c>
      <c r="BH640" s="98">
        <f>IF(ISERROR((BG640/AY640-1)*100),"NA",IF(((BG640/AY640-1)*100)&gt;100,"NM",IF(((BG640/AY640-1)*100)&lt;-50,"NM",(BG640/AY640-1)*100)))</f>
        <v>37.675070028011206</v>
      </c>
      <c r="BI640" s="182">
        <f>+BI639+BI626</f>
        <v>1129</v>
      </c>
      <c r="BJ640" s="98">
        <f>IF(ISERROR((BI640/BA640-1)*100),"NA",IF(((BI640/BA640-1)*100)&gt;100,"NM",IF(((BI640/BA640-1)*100)&lt;-50,"NM",(BI640/BA640-1)*100)))</f>
        <v>82.982171799027554</v>
      </c>
      <c r="BK640" s="182">
        <f>+BK639+BK626</f>
        <v>985</v>
      </c>
      <c r="BL640" s="98">
        <f>IF(ISERROR((BK640/BC640-1)*100),"NA",IF(((BK640/BC640-1)*100)&gt;100,"NM",IF(((BK640/BC640-1)*100)&lt;-50,"NM",(BK640/BC640-1)*100)))</f>
        <v>-1.4014014014014031</v>
      </c>
      <c r="BM640" s="182">
        <f>+BM639+BM626</f>
        <v>1083</v>
      </c>
      <c r="BN640" s="98" t="str">
        <f>IF(ISERROR((BM640/BE640-1)*100),"NA",IF(((BM640/BE640-1)*100)&gt;100,"NM",IF(((BM640/BE640-1)*100)&lt;-50,"NM",(BM640/BE640-1)*100)))</f>
        <v>NM</v>
      </c>
      <c r="BO640" s="182">
        <f>+BO639+BO626</f>
        <v>615</v>
      </c>
      <c r="BP640" s="98">
        <f>IF(ISERROR((BO640/BG640-1)*100),"NA",IF(((BO640/BG640-1)*100)&gt;100,"NM",IF(((BO640/BG640-1)*100)&lt;-50,"NM",(BO640/BG640-1)*100)))</f>
        <v>-37.436419125127159</v>
      </c>
      <c r="BQ640" s="182">
        <f>+BQ639+BQ626</f>
        <v>915</v>
      </c>
      <c r="BR640" s="98">
        <f>IF(ISERROR((BQ640/BI640-1)*100),"NA",IF(((BQ640/BI640-1)*100)&gt;100,"NM",IF(((BQ640/BI640-1)*100)&lt;-50,"NM",(BQ640/BI640-1)*100)))</f>
        <v>-18.954827280779451</v>
      </c>
      <c r="BS640" s="182">
        <f>+BS639+BS626</f>
        <v>600</v>
      </c>
      <c r="BT640" s="98">
        <f t="shared" si="3686"/>
        <v>-39.086294416243646</v>
      </c>
      <c r="BU640" s="182">
        <f>+BU639+BU626</f>
        <v>775</v>
      </c>
      <c r="BV640" s="98">
        <f>IF(ISERROR((BU640/BM640-1)*100),"NA",IF(((BU640/BM640-1)*100)&gt;100,"NM",IF(((BU640/BM640-1)*100)&lt;-50,"NM",(BU640/BM640-1)*100)))</f>
        <v>-28.439519852262229</v>
      </c>
      <c r="BW640" s="182">
        <f>+BW639+BW626</f>
        <v>-763</v>
      </c>
      <c r="BX640" s="98" t="str">
        <f>IF(ISERROR((BW640/BO640-1)*100),"NA",IF(((BW640/BO640-1)*100)&gt;100,"NM",IF(((BW640/BO640-1)*100)&lt;-50,"NM",(BW640/BO640-1)*100)))</f>
        <v>NM</v>
      </c>
      <c r="BY640" s="182">
        <f>+BY639+BY626</f>
        <v>-2013</v>
      </c>
      <c r="BZ640" s="98" t="str">
        <f>IF(ISERROR((BY640/BQ640-1)*100),"NA",IF(((BY640/BQ640-1)*100)&gt;100,"NM",IF(((BY640/BQ640-1)*100)&lt;-50,"NM",(BY640/BQ640-1)*100)))</f>
        <v>NM</v>
      </c>
      <c r="CA640" s="182">
        <f>+CA639+CA626</f>
        <v>-1223</v>
      </c>
      <c r="CB640" s="98" t="str">
        <f>IF(ISERROR((CA640/BS640-1)*100),"NA",IF(((CA640/BS640-1)*100)&gt;100,"NM",IF(((CA640/BS640-1)*100)&lt;-50,"NM",(CA640/BS640-1)*100)))</f>
        <v>NM</v>
      </c>
      <c r="CC640" s="182">
        <f>+CC639+CC626</f>
        <v>-471</v>
      </c>
      <c r="CD640" s="98" t="str">
        <f>IF(ISERROR((CC640/BU640-1)*100),"NA",IF(((CC640/BU640-1)*100)&gt;100,"NM",IF(((CC640/BU640-1)*100)&lt;-50,"NM",(CC640/BU640-1)*100)))</f>
        <v>NM</v>
      </c>
      <c r="CE640" s="182">
        <f>+CE639+CE626</f>
        <v>181</v>
      </c>
      <c r="CF640" s="98" t="str">
        <f>IF(ISERROR((CE640/BW640-1)*100),"NA",IF(((CE640/BW640-1)*100)&gt;100,"NM",IF(((CE640/BW640-1)*100)&lt;-50,"NM",(CE640/BW640-1)*100)))</f>
        <v>NM</v>
      </c>
      <c r="CG640" s="182">
        <f>+CG639+CG626</f>
        <v>881</v>
      </c>
      <c r="CH640" s="98" t="str">
        <f>IF(ISERROR((CG640/BY640-1)*100),"NA",IF(((CG640/BY640-1)*100)&gt;100,"NM",IF(((CG640/BY640-1)*100)&lt;-50,"NM",(CG640/BY640-1)*100)))</f>
        <v>NM</v>
      </c>
      <c r="CI640" s="182">
        <f>+CI639+CI626</f>
        <v>-480</v>
      </c>
      <c r="CJ640" s="98" t="str">
        <f>IF(ISERROR((CI640/CA640-1)*100),"NA",IF(((CI640/CA640-1)*100)&gt;100,"NM",IF(((CI640/CA640-1)*100)&lt;-50,"NM",(CI640/CA640-1)*100)))</f>
        <v>NM</v>
      </c>
      <c r="CK640" s="182">
        <f>+CK639+CK626</f>
        <v>-560</v>
      </c>
      <c r="CL640" s="98">
        <f>IF(ISERROR((CK640/CC640-1)*100),"NA",IF(((CK640/CC640-1)*100)&gt;100,"NM",IF(((CK640/CC640-1)*100)&lt;-50,"NM",(CK640/CC640-1)*100)))</f>
        <v>18.895966029723986</v>
      </c>
      <c r="CM640" s="182">
        <f>+CM639+CM626</f>
        <v>87.200000000000045</v>
      </c>
      <c r="CN640" s="98" t="str">
        <f>IF(ISERROR((CM640/CE640-1)*100),"NA",IF(((CM640/CE640-1)*100)&gt;100,"NM",IF(((CM640/CE640-1)*100)&lt;-50,"NM",(CM640/CE640-1)*100)))</f>
        <v>NM</v>
      </c>
      <c r="CO640" s="182">
        <f>+CO639+CO626</f>
        <v>508</v>
      </c>
      <c r="CP640" s="98">
        <f>IF(ISERROR((CO640/CG640-1)*100),"NA",IF(((CO640/CG640-1)*100)&gt;100,"NM",IF(((CO640/CG640-1)*100)&lt;-50,"NM",(CO640/CG640-1)*100)))</f>
        <v>-42.338251986379113</v>
      </c>
      <c r="CQ640" s="566">
        <f>+CQ639+CQ626</f>
        <v>3212</v>
      </c>
      <c r="CR640" s="98" t="str">
        <f>IF(ISERROR((CQ640/CI640-1)*100),"NA",IF(((CQ640/CI640-1)*100)&gt;100,"NM",IF(((CQ640/CI640-1)*100)&lt;-50,"NM",(CQ640/CI640-1)*100)))</f>
        <v>NM</v>
      </c>
      <c r="CS640" s="336">
        <f>+CS639+CS626</f>
        <v>514.6</v>
      </c>
      <c r="CT640" s="98" t="str">
        <f>IF(ISERROR((CS640/CK640-1)*100),"NA",IF(((CS640/CK640-1)*100)&gt;100,"NM",IF(((CS640/CK640-1)*100)&lt;-50,"NM",(CS640/CK640-1)*100)))</f>
        <v>NM</v>
      </c>
      <c r="CU640" s="336">
        <f>+CU639+CU626</f>
        <v>-643</v>
      </c>
      <c r="CV640" s="98" t="str">
        <f>IF(ISERROR((CU640/CM640-1)*100),"NA",IF(((CU640/CM640-1)*100)&gt;100,"NM",IF(((CU640/CM640-1)*100)&lt;-50,"NM",(CU640/CM640-1)*100)))</f>
        <v>NM</v>
      </c>
      <c r="CW640" s="336">
        <f>+CW639+CW626</f>
        <v>1856</v>
      </c>
      <c r="CX640" s="98" t="str">
        <f>IF(ISERROR((CW640/CO640-1)*100),"NA",IF(((CW640/CO640-1)*100)&gt;100,"NM",IF(((CW640/CO640-1)*100)&lt;-50,"NM",(CW640/CO640-1)*100)))</f>
        <v>NM</v>
      </c>
      <c r="CY640" s="336">
        <f>+CY639+CY626</f>
        <v>-1476</v>
      </c>
      <c r="CZ640" s="98" t="str">
        <f>IF(ISERROR((CY640/CQ640-1)*100),"NA",IF(((CY640/CQ640-1)*100)&gt;100,"NM",IF(((CY640/CQ640-1)*100)&lt;-50,"NM",(CY640/CQ640-1)*100)))</f>
        <v>NM</v>
      </c>
      <c r="DA640" s="336">
        <f>+DA639+DA626</f>
        <v>-537</v>
      </c>
      <c r="DB640" s="98" t="str">
        <f>IF(ISERROR((DA640/CS640-1)*100),"NA",IF(((DA640/CS640-1)*100)&gt;100,"NM",IF(((DA640/CS640-1)*100)&lt;-50,"NM",(DA640/CS640-1)*100)))</f>
        <v>NM</v>
      </c>
      <c r="DC640" s="336">
        <f>+DC639+DC626</f>
        <v>330</v>
      </c>
      <c r="DD640" s="98" t="str">
        <f>IF(ISERROR((DC640/CU640-1)*100),"NA",IF(((DC640/CU640-1)*100)&gt;100,"NM",IF(((DC640/CU640-1)*100)&lt;-50,"NM",(DC640/CU640-1)*100)))</f>
        <v>NM</v>
      </c>
      <c r="DE640" s="336">
        <f>+DE639+DE626</f>
        <v>-110</v>
      </c>
      <c r="DF640" s="98" t="str">
        <f>IF(ISERROR((DE640/CW640-1)*100),"NA",IF(((DE640/CW640-1)*100)&gt;100,"NM",IF(((DE640/CW640-1)*100)&lt;-50,"NM",(DE640/CW640-1)*100)))</f>
        <v>NM</v>
      </c>
      <c r="DG640" s="336">
        <f>+DG639+DG626</f>
        <v>283</v>
      </c>
      <c r="DH640" s="98" t="str">
        <f>IF(ISERROR((DG640/CY640-1)*100),"NA",IF(((DG640/CY640-1)*100)&gt;100,"NM",IF(((DG640/CY640-1)*100)&lt;-50,"NM",(DG640/CY640-1)*100)))</f>
        <v>NM</v>
      </c>
      <c r="DI640" s="336">
        <f>+DI639+DI626</f>
        <v>219</v>
      </c>
      <c r="DJ640" s="98" t="str">
        <f>IF(ISERROR((DI640/DA640-1)*100),"NA",IF(((DI640/DA640-1)*100)&gt;100,"NM",IF(((DI640/DA640-1)*100)&lt;-50,"NM",(DI640/DA640-1)*100)))</f>
        <v>NM</v>
      </c>
      <c r="DK640" s="336">
        <f>+DK639+DK626</f>
        <v>662</v>
      </c>
      <c r="DL640" s="98" t="str">
        <f>IF(ISERROR((DK640/DC640-1)*100),"NA",IF(((DK640/DC640-1)*100)&gt;100,"NM",IF(((DK640/DC640-1)*100)&lt;-50,"NM",(DK640/DC640-1)*100)))</f>
        <v>NM</v>
      </c>
      <c r="DM640" s="336">
        <f>+DM639+DM626</f>
        <v>658</v>
      </c>
      <c r="DN640" s="98" t="str">
        <f>IF(ISERROR((DM640/DE640-1)*100),"NA",IF(((DM640/DE640-1)*100)&gt;100,"NM",IF(((DM640/DE640-1)*100)&lt;-50,"NM",(DM640/DE640-1)*100)))</f>
        <v>NM</v>
      </c>
      <c r="DO640" s="336">
        <f>+DO639+DO626</f>
        <v>1279</v>
      </c>
      <c r="DP640" s="98" t="str">
        <f>IF(ISERROR((DO640/DG640-1)*100),"NA",IF(((DO640/DG640-1)*100)&gt;100,"NM",IF(((DO640/DG640-1)*100)&lt;-50,"NM",(DO640/DG640-1)*100)))</f>
        <v>NM</v>
      </c>
      <c r="DQ640" s="336">
        <f>+DQ639+DQ626</f>
        <v>772</v>
      </c>
      <c r="DR640" s="98" t="str">
        <f>IF(ISERROR((DQ640/DI640-1)*100),"NA",IF(((DQ640/DI640-1)*100)&gt;100,"NM",IF(((DQ640/DI640-1)*100)&lt;-50,"NM",(DQ640/DI640-1)*100)))</f>
        <v>NM</v>
      </c>
      <c r="DS640" s="336">
        <f>+DS639+DS626</f>
        <v>1756</v>
      </c>
      <c r="DT640" s="98" t="str">
        <f>IF(ISERROR((DS640/DK640-1)*100),"NA",IF(((DS640/DK640-1)*100)&gt;100,"NM",IF(((DS640/DK640-1)*100)&lt;-50,"NM",(DS640/DK640-1)*100)))</f>
        <v>NM</v>
      </c>
      <c r="DU640" s="336">
        <f>+DU639+DU626</f>
        <v>636</v>
      </c>
      <c r="DV640" s="98">
        <f>IF(ISERROR((DU640/DM640-1)*100),"NA",IF(((DU640/DM640-1)*100)&gt;100,"NM",IF(((DU640/DM640-1)*100)&lt;-50,"NM",(DU640/DM640-1)*100)))</f>
        <v>-3.3434650455927084</v>
      </c>
      <c r="DW640" s="336">
        <f>+DW639+DW626</f>
        <v>850</v>
      </c>
      <c r="DX640" s="98">
        <f>IF(ISERROR((DW640/DO640-1)*100),"NA",IF(((DW640/DO640-1)*100)&gt;100,"NM",IF(((DW640/DO640-1)*100)&lt;-50,"NM",(DW640/DO640-1)*100)))</f>
        <v>-33.54182955433933</v>
      </c>
      <c r="DY640" s="336">
        <f>+DY639+DY626</f>
        <v>397</v>
      </c>
      <c r="DZ640" s="98">
        <f>IF(ISERROR((DY640/DQ640-1)*100),"NA",IF(((DY640/DQ640-1)*100)&gt;100,"NM",IF(((DY640/DQ640-1)*100)&lt;-50,"NM",(DY640/DQ640-1)*100)))</f>
        <v>-48.575129533678748</v>
      </c>
      <c r="EA640" s="336">
        <f>+EA639+EA626</f>
        <v>2324</v>
      </c>
      <c r="EB640" s="98">
        <f>IF(ISERROR((EA640/DS640-1)*100),"NA",IF(((EA640/DS640-1)*100)&gt;100,"NM",IF(((EA640/DS640-1)*100)&lt;-50,"NM",(EA640/DS640-1)*100)))</f>
        <v>32.34624145785876</v>
      </c>
      <c r="EC640" s="336">
        <f>+EC639+EC626</f>
        <v>275</v>
      </c>
      <c r="ED640" s="98" t="str">
        <f>IF(ISERROR((EC640/DU640-1)*100),"NA",IF(((EC640/DU640-1)*100)&gt;100,"NM",IF(((EC640/DU640-1)*100)&lt;-50,"NM",(EC640/DU640-1)*100)))</f>
        <v>NM</v>
      </c>
      <c r="EE640" s="336">
        <f>+EE639+EE626</f>
        <v>536</v>
      </c>
      <c r="EF640" s="860">
        <f>IF(ISERROR((EE640/DW640-1)*100),"NA",IF(((EE640/DW640-1)*100)&gt;100,"NM",IF(((EE640/DW640-1)*100)&lt;-50,"NM",(EE640/DW640-1)*100)))</f>
        <v>-36.941176470588232</v>
      </c>
      <c r="EG640" s="336">
        <f>+EG639+EG626</f>
        <v>-2388</v>
      </c>
      <c r="EH640" s="860" t="str">
        <f>IF(ISERROR((EG640/DY640-1)*100),"NA",IF(((EG640/DY640-1)*100)&gt;100,"NM",IF(((EG640/DY640-1)*100)&lt;-50,"NM",(EG640/DY640-1)*100)))</f>
        <v>NM</v>
      </c>
      <c r="EI640" s="336">
        <f>+EI639+EI626</f>
        <v>867</v>
      </c>
      <c r="EJ640" s="860" t="str">
        <f t="shared" si="3702"/>
        <v>NM</v>
      </c>
      <c r="EK640" s="336">
        <f>+EK639+EK626</f>
        <v>865</v>
      </c>
      <c r="EL640" s="860" t="str">
        <f t="shared" si="3703"/>
        <v>NM</v>
      </c>
      <c r="EM640" s="336">
        <f>+EM639+EM626</f>
        <v>-97</v>
      </c>
      <c r="EN640" s="860" t="str">
        <f t="shared" si="3704"/>
        <v>NM</v>
      </c>
      <c r="EO640" s="336">
        <f>+EO639+EO626</f>
        <v>2272</v>
      </c>
      <c r="EP640" s="98" t="str">
        <f t="shared" si="3705"/>
        <v>NM</v>
      </c>
      <c r="EQ640" s="1021">
        <f t="shared" ref="EQ640" si="3717">+EQ639+EQ626</f>
        <v>316.6987389376194</v>
      </c>
      <c r="ER640" s="98" t="str">
        <f t="shared" si="3706"/>
        <v>NM</v>
      </c>
      <c r="ES640" s="1021">
        <f t="shared" ref="ES640" si="3718">+ES639+ES626</f>
        <v>1215.7987911302546</v>
      </c>
      <c r="ET640" s="98">
        <f t="shared" si="3707"/>
        <v>40.554773541069892</v>
      </c>
      <c r="EU640" s="1021">
        <f t="shared" ref="EU640" si="3719">+EU639+EU626</f>
        <v>1229.3457028539615</v>
      </c>
      <c r="EV640" s="98" t="str">
        <f t="shared" si="3708"/>
        <v>NM</v>
      </c>
      <c r="EW640" s="1021">
        <f t="shared" ref="EW640" si="3720">+EW639+EW626</f>
        <v>1241.304300474902</v>
      </c>
      <c r="EX640" s="98">
        <f t="shared" si="3709"/>
        <v>-45.36512761994269</v>
      </c>
      <c r="EY640" s="182"/>
      <c r="EZ640" s="594"/>
      <c r="FA640" s="405"/>
      <c r="FB640" s="182">
        <f>+FB639+FB626</f>
        <v>1347</v>
      </c>
      <c r="FC640" s="117"/>
      <c r="FD640" s="182">
        <f>+FD639+FD626</f>
        <v>261</v>
      </c>
      <c r="FE640" s="98" t="str">
        <f>IF(ISERROR((FD640/FB640-1)*100),"NA",IF(((FD640/FB640-1)*100)&gt;100,"NM",IF(((FD640/FB640-1)*100)&lt;-50,"NM",(FD640/FB640-1)*100)))</f>
        <v>NM</v>
      </c>
      <c r="FF640" s="182">
        <f>+FF639+FF626</f>
        <v>1128</v>
      </c>
      <c r="FG640" s="98" t="str">
        <f t="shared" si="3687"/>
        <v>NM</v>
      </c>
      <c r="FH640" s="182">
        <f>+FH639+FH626</f>
        <v>473</v>
      </c>
      <c r="FI640" s="98" t="str">
        <f t="shared" si="3688"/>
        <v>NM</v>
      </c>
      <c r="FJ640" s="182">
        <f>+FJ639+FJ626</f>
        <v>1605</v>
      </c>
      <c r="FK640" s="98" t="str">
        <f t="shared" si="3689"/>
        <v>NM</v>
      </c>
      <c r="FL640" s="182">
        <f>+FL639+FL626</f>
        <v>2217</v>
      </c>
      <c r="FM640" s="98">
        <f t="shared" si="3690"/>
        <v>38.130841121495315</v>
      </c>
      <c r="FN640" s="182">
        <f>+FN639+FN626</f>
        <v>2758</v>
      </c>
      <c r="FO640" s="98">
        <f t="shared" si="3691"/>
        <v>24.402345511953083</v>
      </c>
      <c r="FP640" s="182">
        <f>+FP639+FP626</f>
        <v>4651</v>
      </c>
      <c r="FQ640" s="98">
        <f t="shared" si="3692"/>
        <v>68.636693255982607</v>
      </c>
      <c r="FR640" s="182">
        <f>+FR639+FR626</f>
        <v>6159</v>
      </c>
      <c r="FS640" s="120">
        <f t="shared" si="3693"/>
        <v>32.423134809718348</v>
      </c>
      <c r="FT640" s="182">
        <f>+FT639+FT626</f>
        <v>4180</v>
      </c>
      <c r="FU640" s="120">
        <f t="shared" si="3694"/>
        <v>-32.131839584348107</v>
      </c>
      <c r="FV640" s="182">
        <f>+FV639+FV626</f>
        <v>2905</v>
      </c>
      <c r="FW640" s="98">
        <f t="shared" si="3695"/>
        <v>-30.502392344497608</v>
      </c>
      <c r="FX640" s="512">
        <f>+FX639+FX626</f>
        <v>-4470</v>
      </c>
      <c r="FY640" s="98" t="str">
        <f t="shared" si="3696"/>
        <v>NM</v>
      </c>
      <c r="FZ640" s="182">
        <f>+FZ639+FZ626</f>
        <v>22</v>
      </c>
      <c r="GA640" s="98" t="str">
        <f t="shared" si="3697"/>
        <v>NM</v>
      </c>
      <c r="GB640" s="512">
        <f>+GB639+GB626</f>
        <v>4820</v>
      </c>
      <c r="GC640" s="98" t="str">
        <f t="shared" si="3698"/>
        <v>NM</v>
      </c>
      <c r="GD640" s="182">
        <f>+GD639+GD626</f>
        <v>-800</v>
      </c>
      <c r="GE640" s="98" t="str">
        <f t="shared" si="3699"/>
        <v>NM</v>
      </c>
      <c r="GF640" s="182">
        <f>+GF639+GF626</f>
        <v>2257</v>
      </c>
      <c r="GG640" s="98" t="str">
        <f t="shared" si="3699"/>
        <v>NM</v>
      </c>
      <c r="GH640" s="182">
        <f>+GH639+GH626</f>
        <v>4968</v>
      </c>
      <c r="GI640" s="98" t="str">
        <f t="shared" si="3699"/>
        <v>NM</v>
      </c>
      <c r="GJ640" s="182">
        <f>+GJ639+GJ626</f>
        <v>3639</v>
      </c>
      <c r="GK640" s="98">
        <f t="shared" si="3699"/>
        <v>-26.751207729468597</v>
      </c>
      <c r="GL640" s="182">
        <f>+GL639+GL626</f>
        <v>747</v>
      </c>
      <c r="GM640" s="98" t="str">
        <f t="shared" si="3699"/>
        <v>NM</v>
      </c>
      <c r="GN640" s="182">
        <f>+GN639+GN626</f>
        <v>3907</v>
      </c>
      <c r="GO640" s="98" t="str">
        <f t="shared" si="3699"/>
        <v>NM</v>
      </c>
      <c r="GP640" s="182">
        <f>+GP639+GP626</f>
        <v>4003.1475333967378</v>
      </c>
      <c r="GQ640" s="98">
        <f t="shared" si="3699"/>
        <v>2.4609043613191162</v>
      </c>
      <c r="GR640" s="182">
        <f>+GR639+GR626</f>
        <v>5090.4804783361251</v>
      </c>
      <c r="GS640" s="98">
        <f t="shared" si="3699"/>
        <v>27.161950337033105</v>
      </c>
      <c r="GT640" s="182">
        <f>+GT639+GT626</f>
        <v>5290.2580115591145</v>
      </c>
      <c r="GU640" s="98">
        <f t="shared" si="3699"/>
        <v>3.924531958686317</v>
      </c>
      <c r="GV640" s="182">
        <f>+GV639+GV626</f>
        <v>5447.3606266485585</v>
      </c>
      <c r="GW640" s="98">
        <f t="shared" si="3699"/>
        <v>2.9696588473790531</v>
      </c>
      <c r="GX640" s="182">
        <f>+GX639+GX626</f>
        <v>5556.8213422197941</v>
      </c>
      <c r="GY640" s="98">
        <f t="shared" si="3700"/>
        <v>2.0094266393113847</v>
      </c>
      <c r="GZ640" s="98">
        <f t="shared" si="3701"/>
        <v>7.299229790998929</v>
      </c>
      <c r="HA640" s="98"/>
      <c r="HB640" s="10"/>
      <c r="HC640"/>
      <c r="HD640"/>
      <c r="HE640"/>
      <c r="HF640"/>
      <c r="HG640"/>
      <c r="HH640"/>
      <c r="HI640" s="10"/>
    </row>
    <row r="641" spans="1:217" s="2" customFormat="1" ht="12.75" customHeight="1" x14ac:dyDescent="0.2">
      <c r="B641" s="19"/>
      <c r="C641" s="182"/>
      <c r="D641" s="230"/>
      <c r="E641" s="182"/>
      <c r="F641" s="98"/>
      <c r="G641" s="182"/>
      <c r="H641" s="98"/>
      <c r="I641" s="182"/>
      <c r="J641" s="98"/>
      <c r="K641" s="182"/>
      <c r="L641" s="98"/>
      <c r="M641" s="182"/>
      <c r="N641" s="98"/>
      <c r="O641" s="182"/>
      <c r="P641" s="98"/>
      <c r="Q641" s="182"/>
      <c r="R641" s="98"/>
      <c r="S641" s="182"/>
      <c r="T641" s="98"/>
      <c r="U641" s="182"/>
      <c r="V641" s="98"/>
      <c r="W641" s="182"/>
      <c r="X641" s="98"/>
      <c r="Y641" s="182"/>
      <c r="Z641" s="98"/>
      <c r="AA641" s="182"/>
      <c r="AB641" s="98"/>
      <c r="AC641" s="182"/>
      <c r="AD641" s="98"/>
      <c r="AE641" s="182"/>
      <c r="AF641" s="98"/>
      <c r="AG641" s="182"/>
      <c r="AH641" s="98"/>
      <c r="AI641" s="182"/>
      <c r="AJ641" s="98"/>
      <c r="AK641" s="182"/>
      <c r="AL641" s="98"/>
      <c r="AM641" s="182"/>
      <c r="AN641" s="98"/>
      <c r="AO641" s="182"/>
      <c r="AP641" s="98"/>
      <c r="AQ641" s="182"/>
      <c r="AR641" s="98"/>
      <c r="AS641" s="182"/>
      <c r="AT641" s="98"/>
      <c r="AU641" s="182"/>
      <c r="AV641" s="98"/>
      <c r="AW641" s="182"/>
      <c r="AX641" s="98"/>
      <c r="AY641" s="182"/>
      <c r="AZ641" s="98"/>
      <c r="BA641" s="182"/>
      <c r="BB641" s="98"/>
      <c r="BC641" s="182"/>
      <c r="BD641" s="98"/>
      <c r="BE641" s="182"/>
      <c r="BF641" s="98"/>
      <c r="BG641" s="182"/>
      <c r="BH641" s="98"/>
      <c r="BI641" s="182"/>
      <c r="BJ641" s="98"/>
      <c r="BK641" s="182"/>
      <c r="BL641" s="98"/>
      <c r="BM641" s="182"/>
      <c r="BN641" s="98"/>
      <c r="BO641" s="182"/>
      <c r="BP641" s="98"/>
      <c r="BQ641" s="182"/>
      <c r="BR641" s="98"/>
      <c r="BS641" s="182"/>
      <c r="BT641" s="98"/>
      <c r="BU641" s="182"/>
      <c r="BV641" s="98"/>
      <c r="BW641" s="182"/>
      <c r="BX641" s="98"/>
      <c r="BY641" s="182"/>
      <c r="BZ641" s="98"/>
      <c r="CA641" s="182"/>
      <c r="CB641" s="98"/>
      <c r="CC641" s="182"/>
      <c r="CD641" s="98"/>
      <c r="CE641" s="182"/>
      <c r="CF641" s="98"/>
      <c r="CG641" s="182"/>
      <c r="CH641" s="98"/>
      <c r="CI641" s="182"/>
      <c r="CJ641" s="98"/>
      <c r="CK641" s="182"/>
      <c r="CL641" s="98"/>
      <c r="CM641" s="182"/>
      <c r="CN641" s="98"/>
      <c r="CO641" s="182"/>
      <c r="CP641" s="98"/>
      <c r="CQ641" s="566"/>
      <c r="CR641" s="98"/>
      <c r="CS641" s="336"/>
      <c r="CT641" s="98"/>
      <c r="CU641" s="336"/>
      <c r="CV641" s="98"/>
      <c r="CW641" s="336"/>
      <c r="CX641" s="98"/>
      <c r="CY641" s="336"/>
      <c r="CZ641" s="98"/>
      <c r="DA641" s="336"/>
      <c r="DB641" s="98"/>
      <c r="DC641" s="336"/>
      <c r="DD641" s="98"/>
      <c r="DE641" s="336"/>
      <c r="DF641" s="98"/>
      <c r="DG641" s="336"/>
      <c r="DH641" s="98"/>
      <c r="DI641" s="336"/>
      <c r="DJ641" s="98"/>
      <c r="DK641" s="336"/>
      <c r="DL641" s="98"/>
      <c r="DM641" s="336"/>
      <c r="DN641" s="98"/>
      <c r="DO641" s="336"/>
      <c r="DP641" s="98"/>
      <c r="DQ641" s="336"/>
      <c r="DR641" s="98"/>
      <c r="DS641" s="336"/>
      <c r="DT641" s="98"/>
      <c r="DU641" s="336"/>
      <c r="DV641" s="98"/>
      <c r="DW641" s="336"/>
      <c r="DX641" s="98"/>
      <c r="DY641" s="336"/>
      <c r="DZ641" s="98"/>
      <c r="EA641" s="336"/>
      <c r="EB641" s="98"/>
      <c r="EC641" s="336"/>
      <c r="ED641" s="98"/>
      <c r="EE641" s="336"/>
      <c r="EF641" s="860"/>
      <c r="EG641" s="336"/>
      <c r="EH641" s="860"/>
      <c r="EI641" s="336"/>
      <c r="EJ641" s="860"/>
      <c r="EK641" s="336"/>
      <c r="EL641" s="860"/>
      <c r="EM641" s="336"/>
      <c r="EN641" s="860"/>
      <c r="EO641" s="336"/>
      <c r="EP641" s="98"/>
      <c r="EQ641" s="1021"/>
      <c r="ER641" s="98"/>
      <c r="ES641" s="1021"/>
      <c r="ET641" s="98"/>
      <c r="EU641" s="1021"/>
      <c r="EV641" s="98"/>
      <c r="EW641" s="1021"/>
      <c r="EX641" s="98"/>
      <c r="EY641" s="182"/>
      <c r="EZ641" s="594"/>
      <c r="FA641" s="405"/>
      <c r="FB641" s="182"/>
      <c r="FC641" s="117"/>
      <c r="FD641" s="182"/>
      <c r="FE641" s="98"/>
      <c r="FF641" s="182"/>
      <c r="FG641" s="98"/>
      <c r="FH641" s="182"/>
      <c r="FI641" s="98"/>
      <c r="FJ641" s="182"/>
      <c r="FK641" s="98"/>
      <c r="FL641" s="182"/>
      <c r="FM641" s="98"/>
      <c r="FN641" s="182"/>
      <c r="FO641" s="98"/>
      <c r="FP641" s="182"/>
      <c r="FQ641" s="98"/>
      <c r="FR641" s="182"/>
      <c r="FS641" s="120"/>
      <c r="FT641" s="182"/>
      <c r="FU641" s="120"/>
      <c r="FV641" s="182"/>
      <c r="FW641" s="98"/>
      <c r="FX641" s="512"/>
      <c r="FY641" s="98"/>
      <c r="FZ641" s="182"/>
      <c r="GA641" s="98"/>
      <c r="GB641" s="512"/>
      <c r="GC641" s="98"/>
      <c r="GD641" s="182"/>
      <c r="GE641" s="98"/>
      <c r="GF641" s="182"/>
      <c r="GG641" s="98"/>
      <c r="GH641" s="182"/>
      <c r="GI641" s="98"/>
      <c r="GJ641" s="182"/>
      <c r="GK641" s="98"/>
      <c r="GL641" s="182"/>
      <c r="GM641" s="98"/>
      <c r="GN641" s="182"/>
      <c r="GO641" s="98"/>
      <c r="GP641" s="182"/>
      <c r="GQ641" s="98"/>
      <c r="GR641" s="182"/>
      <c r="GS641" s="98"/>
      <c r="GT641" s="182"/>
      <c r="GU641" s="98"/>
      <c r="GV641" s="182"/>
      <c r="GW641" s="98"/>
      <c r="GX641" s="182"/>
      <c r="GY641" s="98"/>
      <c r="GZ641" s="98"/>
      <c r="HA641" s="98"/>
      <c r="HB641" s="10"/>
      <c r="HC641"/>
      <c r="HD641"/>
      <c r="HE641"/>
      <c r="HF641"/>
      <c r="HG641"/>
      <c r="HH641"/>
      <c r="HI641" s="10"/>
    </row>
    <row r="642" spans="1:217" s="2" customFormat="1" ht="12.75" customHeight="1" x14ac:dyDescent="0.2">
      <c r="B642" s="18" t="s">
        <v>467</v>
      </c>
      <c r="C642" s="117"/>
      <c r="D642" s="98"/>
      <c r="E642" s="117"/>
      <c r="F642" s="98"/>
      <c r="G642" s="117"/>
      <c r="H642" s="98"/>
      <c r="I642" s="117"/>
      <c r="J642" s="98"/>
      <c r="K642" s="117"/>
      <c r="L642" s="98"/>
      <c r="M642" s="117"/>
      <c r="N642" s="98"/>
      <c r="O642" s="117"/>
      <c r="P642" s="98"/>
      <c r="Q642" s="117"/>
      <c r="R642" s="98"/>
      <c r="S642" s="117"/>
      <c r="T642" s="98"/>
      <c r="U642" s="117"/>
      <c r="V642" s="98"/>
      <c r="W642" s="117"/>
      <c r="X642" s="98"/>
      <c r="Y642" s="117"/>
      <c r="Z642" s="98"/>
      <c r="AA642" s="117"/>
      <c r="AB642" s="98"/>
      <c r="AC642" s="117"/>
      <c r="AD642" s="98"/>
      <c r="AE642" s="117"/>
      <c r="AF642" s="98"/>
      <c r="AG642" s="117"/>
      <c r="AH642" s="98"/>
      <c r="AI642" s="117"/>
      <c r="AJ642" s="98"/>
      <c r="AK642" s="117"/>
      <c r="AL642" s="98"/>
      <c r="AM642" s="117"/>
      <c r="AN642" s="98"/>
      <c r="AO642" s="117"/>
      <c r="AP642" s="98"/>
      <c r="AQ642" s="117"/>
      <c r="AR642" s="98"/>
      <c r="AS642" s="117"/>
      <c r="AT642" s="98"/>
      <c r="AU642" s="117"/>
      <c r="AV642" s="98"/>
      <c r="AW642" s="117"/>
      <c r="AX642" s="98"/>
      <c r="AY642" s="117">
        <f>AY640+AY630</f>
        <v>714</v>
      </c>
      <c r="AZ642" s="98"/>
      <c r="BA642" s="117">
        <f>BA640+BA630</f>
        <v>617</v>
      </c>
      <c r="BB642" s="98"/>
      <c r="BC642" s="117">
        <f>BC640+BC630</f>
        <v>999</v>
      </c>
      <c r="BD642" s="98"/>
      <c r="BE642" s="117">
        <f>BE640+BE630</f>
        <v>3829</v>
      </c>
      <c r="BF642" s="98"/>
      <c r="BG642" s="117">
        <f>BG640+BG630</f>
        <v>983</v>
      </c>
      <c r="BH642" s="98"/>
      <c r="BI642" s="117">
        <f>BI640+BI630</f>
        <v>1129</v>
      </c>
      <c r="BJ642" s="98"/>
      <c r="BK642" s="117">
        <f>BK640+BK630</f>
        <v>985</v>
      </c>
      <c r="BL642" s="98"/>
      <c r="BM642" s="117">
        <f>BM640+BM630</f>
        <v>1083.3140000000001</v>
      </c>
      <c r="BN642" s="98"/>
      <c r="BO642" s="117">
        <f>BO640+BO630</f>
        <v>615</v>
      </c>
      <c r="BP642" s="98"/>
      <c r="BQ642" s="117">
        <f>BQ640+BQ630</f>
        <v>915</v>
      </c>
      <c r="BR642" s="98"/>
      <c r="BS642" s="117">
        <f>BS640+BS630</f>
        <v>600</v>
      </c>
      <c r="BT642" s="98"/>
      <c r="BU642" s="117">
        <f>BU640+BU630</f>
        <v>775</v>
      </c>
      <c r="BV642" s="98"/>
      <c r="BW642" s="117">
        <f>BW640+BW630</f>
        <v>-763</v>
      </c>
      <c r="BX642" s="98"/>
      <c r="BY642" s="117">
        <f>BY640+BY630</f>
        <v>-2013</v>
      </c>
      <c r="BZ642" s="98"/>
      <c r="CA642" s="117">
        <f>CA640+CA630</f>
        <v>-1223</v>
      </c>
      <c r="CB642" s="98"/>
      <c r="CC642" s="117">
        <f>CC640+CC630</f>
        <v>-471</v>
      </c>
      <c r="CD642" s="98"/>
      <c r="CE642" s="117">
        <f>CE640+CE630</f>
        <v>181</v>
      </c>
      <c r="CF642" s="98"/>
      <c r="CG642" s="117">
        <f>CG640+CG630</f>
        <v>881</v>
      </c>
      <c r="CH642" s="98"/>
      <c r="CI642" s="117">
        <f>CI640+CI630</f>
        <v>-480</v>
      </c>
      <c r="CJ642" s="98"/>
      <c r="CK642" s="117">
        <f>CK640+CK630</f>
        <v>-560</v>
      </c>
      <c r="CL642" s="98"/>
      <c r="CM642" s="117">
        <f>CM640+CM630</f>
        <v>87.200000000000045</v>
      </c>
      <c r="CN642" s="98"/>
      <c r="CO642" s="117">
        <f>CO640+CO630</f>
        <v>508</v>
      </c>
      <c r="CP642" s="98"/>
      <c r="CQ642" s="486">
        <f>CQ640+CQ630</f>
        <v>3212</v>
      </c>
      <c r="CR642" s="98"/>
      <c r="CS642" s="117">
        <f>CS640+CS630</f>
        <v>514.6</v>
      </c>
      <c r="CT642" s="98"/>
      <c r="CU642" s="117">
        <f>CU640+CU630</f>
        <v>-643</v>
      </c>
      <c r="CV642" s="98"/>
      <c r="CW642" s="117">
        <f>CW640+CW630</f>
        <v>1856</v>
      </c>
      <c r="CX642" s="98"/>
      <c r="CY642" s="117">
        <f>CY640+CY630</f>
        <v>-1476</v>
      </c>
      <c r="CZ642" s="98"/>
      <c r="DA642" s="117">
        <f>DA640+DA630</f>
        <v>-537</v>
      </c>
      <c r="DB642" s="98"/>
      <c r="DC642" s="117">
        <f>DC640+DC630</f>
        <v>330</v>
      </c>
      <c r="DD642" s="98"/>
      <c r="DE642" s="117">
        <f>DE640+DE630</f>
        <v>-110</v>
      </c>
      <c r="DF642" s="98"/>
      <c r="DG642" s="117">
        <f>DG640+DG630</f>
        <v>283</v>
      </c>
      <c r="DH642" s="98"/>
      <c r="DI642" s="117">
        <f>DI640+DI630</f>
        <v>219</v>
      </c>
      <c r="DJ642" s="98"/>
      <c r="DK642" s="117">
        <f>DK640+DK630</f>
        <v>662</v>
      </c>
      <c r="DL642" s="98"/>
      <c r="DM642" s="117">
        <f>DM640+DM630</f>
        <v>658</v>
      </c>
      <c r="DN642" s="98" t="str">
        <f t="shared" ref="DN642:DZ642" si="3721">IF(ISERROR((DM642/DE642-1)*100),"NA",IF(((DM642/DE642-1)*100)&gt;100,"NM",IF(((DM642/DE642-1)*100)&lt;-50,"NM",(DM642/DE642-1)*100)))</f>
        <v>NM</v>
      </c>
      <c r="DO642" s="117">
        <f>DO640+DO630</f>
        <v>1279</v>
      </c>
      <c r="DP642" s="98" t="str">
        <f t="shared" si="3721"/>
        <v>NM</v>
      </c>
      <c r="DQ642" s="117">
        <f>DQ640+DQ630</f>
        <v>772</v>
      </c>
      <c r="DR642" s="98" t="str">
        <f t="shared" si="3721"/>
        <v>NM</v>
      </c>
      <c r="DS642" s="117">
        <f>DS640+DS630</f>
        <v>1756</v>
      </c>
      <c r="DT642" s="98" t="str">
        <f t="shared" si="3721"/>
        <v>NM</v>
      </c>
      <c r="DU642" s="117">
        <f>DU640+DU630</f>
        <v>636</v>
      </c>
      <c r="DV642" s="98">
        <f t="shared" si="3721"/>
        <v>-3.3434650455927084</v>
      </c>
      <c r="DW642" s="117">
        <f>DW640+DW630</f>
        <v>850</v>
      </c>
      <c r="DX642" s="98">
        <f t="shared" si="3721"/>
        <v>-33.54182955433933</v>
      </c>
      <c r="DY642" s="117">
        <f>DY640+DY630</f>
        <v>397</v>
      </c>
      <c r="DZ642" s="98">
        <f t="shared" si="3721"/>
        <v>-48.575129533678748</v>
      </c>
      <c r="EA642" s="117">
        <f>EA640+EA630</f>
        <v>2324</v>
      </c>
      <c r="EB642" s="98">
        <f t="shared" ref="EB642" si="3722">IF(ISERROR((EA642/DS642-1)*100),"NA",IF(((EA642/DS642-1)*100)&gt;100,"NM",IF(((EA642/DS642-1)*100)&lt;-50,"NM",(EA642/DS642-1)*100)))</f>
        <v>32.34624145785876</v>
      </c>
      <c r="EC642" s="117">
        <f>EC640+EC630</f>
        <v>275</v>
      </c>
      <c r="ED642" s="98" t="str">
        <f t="shared" ref="ED642" si="3723">IF(ISERROR((EC642/DU642-1)*100),"NA",IF(((EC642/DU642-1)*100)&gt;100,"NM",IF(((EC642/DU642-1)*100)&lt;-50,"NM",(EC642/DU642-1)*100)))</f>
        <v>NM</v>
      </c>
      <c r="EE642" s="117">
        <f>EE640+EE630</f>
        <v>536</v>
      </c>
      <c r="EF642" s="860">
        <f t="shared" ref="EF642" si="3724">IF(ISERROR((EE642/DW642-1)*100),"NA",IF(((EE642/DW642-1)*100)&gt;100,"NM",IF(((EE642/DW642-1)*100)&lt;-50,"NM",(EE642/DW642-1)*100)))</f>
        <v>-36.941176470588232</v>
      </c>
      <c r="EG642" s="117">
        <f>EG640+EG630</f>
        <v>-2388</v>
      </c>
      <c r="EH642" s="860" t="str">
        <f t="shared" ref="EH642" si="3725">IF(ISERROR((EG642/DY642-1)*100),"NA",IF(((EG642/DY642-1)*100)&gt;100,"NM",IF(((EG642/DY642-1)*100)&lt;-50,"NM",(EG642/DY642-1)*100)))</f>
        <v>NM</v>
      </c>
      <c r="EI642" s="117">
        <f>EI640+EI630</f>
        <v>867</v>
      </c>
      <c r="EJ642" s="860" t="str">
        <f t="shared" ref="EJ642" si="3726">IF(ISERROR((EI642/EA642-1)*100),"NA",IF(((EI642/EA642-1)*100)&gt;100,"NM",IF(((EI642/EA642-1)*100)&lt;-50,"NM",(EI642/EA642-1)*100)))</f>
        <v>NM</v>
      </c>
      <c r="EK642" s="117">
        <f>EK640+EK630</f>
        <v>865</v>
      </c>
      <c r="EL642" s="860" t="str">
        <f t="shared" ref="EL642" si="3727">IF(ISERROR((EK642/EC642-1)*100),"NA",IF(((EK642/EC642-1)*100)&gt;100,"NM",IF(((EK642/EC642-1)*100)&lt;-50,"NM",(EK642/EC642-1)*100)))</f>
        <v>NM</v>
      </c>
      <c r="EM642" s="117">
        <f>EM640+EM630</f>
        <v>-97</v>
      </c>
      <c r="EN642" s="860" t="str">
        <f t="shared" ref="EN642" si="3728">IF(ISERROR((EM642/EE642-1)*100),"NA",IF(((EM642/EE642-1)*100)&gt;100,"NM",IF(((EM642/EE642-1)*100)&lt;-50,"NM",(EM642/EE642-1)*100)))</f>
        <v>NM</v>
      </c>
      <c r="EO642" s="117">
        <f>EO640+EO630</f>
        <v>2272</v>
      </c>
      <c r="EP642" s="98" t="str">
        <f t="shared" ref="EP642" si="3729">IF(ISERROR((EO642/EG642-1)*100),"NA",IF(((EO642/EG642-1)*100)&gt;100,"NM",IF(((EO642/EG642-1)*100)&lt;-50,"NM",(EO642/EG642-1)*100)))</f>
        <v>NM</v>
      </c>
      <c r="EQ642" s="1031">
        <f t="shared" ref="EQ642" si="3730">EQ640+EQ630</f>
        <v>316.6987389376194</v>
      </c>
      <c r="ER642" s="98" t="str">
        <f t="shared" ref="ER642" si="3731">IF(ISERROR((EQ642/EI642-1)*100),"NA",IF(((EQ642/EI642-1)*100)&gt;100,"NM",IF(((EQ642/EI642-1)*100)&lt;-50,"NM",(EQ642/EI642-1)*100)))</f>
        <v>NM</v>
      </c>
      <c r="ES642" s="1031">
        <f t="shared" ref="ES642" si="3732">ES640+ES630</f>
        <v>1215.7987911302546</v>
      </c>
      <c r="ET642" s="98">
        <f t="shared" ref="ET642" si="3733">IF(ISERROR((ES642/EK642-1)*100),"NA",IF(((ES642/EK642-1)*100)&gt;100,"NM",IF(((ES642/EK642-1)*100)&lt;-50,"NM",(ES642/EK642-1)*100)))</f>
        <v>40.554773541069892</v>
      </c>
      <c r="EU642" s="1031">
        <f t="shared" ref="EU642" si="3734">EU640+EU630</f>
        <v>1229.3457028539615</v>
      </c>
      <c r="EV642" s="98" t="str">
        <f t="shared" ref="EV642" si="3735">IF(ISERROR((EU642/EM642-1)*100),"NA",IF(((EU642/EM642-1)*100)&gt;100,"NM",IF(((EU642/EM642-1)*100)&lt;-50,"NM",(EU642/EM642-1)*100)))</f>
        <v>NM</v>
      </c>
      <c r="EW642" s="1031">
        <f t="shared" ref="EW642" si="3736">EW640+EW630</f>
        <v>1241.304300474902</v>
      </c>
      <c r="EX642" s="98">
        <f t="shared" ref="EX642" si="3737">IF(ISERROR((EW642/EO642-1)*100),"NA",IF(((EW642/EO642-1)*100)&gt;100,"NM",IF(((EW642/EO642-1)*100)&lt;-50,"NM",(EW642/EO642-1)*100)))</f>
        <v>-45.36512761994269</v>
      </c>
      <c r="EY642" s="117"/>
      <c r="EZ642" s="594"/>
      <c r="FA642" s="405"/>
      <c r="FB642" s="117"/>
      <c r="FC642" s="117"/>
      <c r="FD642" s="117"/>
      <c r="FE642" s="98"/>
      <c r="FF642" s="117"/>
      <c r="FG642" s="98"/>
      <c r="FH642" s="117"/>
      <c r="FI642" s="98"/>
      <c r="FJ642" s="117"/>
      <c r="FK642" s="98"/>
      <c r="FL642" s="117"/>
      <c r="FM642" s="98"/>
      <c r="FN642" s="117"/>
      <c r="FO642" s="98"/>
      <c r="FP642" s="117"/>
      <c r="FQ642" s="98"/>
      <c r="FR642" s="117">
        <f>FR640+FR630</f>
        <v>6159</v>
      </c>
      <c r="FS642" s="120"/>
      <c r="FT642" s="117">
        <f>FT640+FT630</f>
        <v>4180.3140000000003</v>
      </c>
      <c r="FU642" s="120"/>
      <c r="FV642" s="117">
        <f>FV640+FV630</f>
        <v>2905</v>
      </c>
      <c r="FW642" s="98"/>
      <c r="FX642" s="486">
        <f>FX640+FX630</f>
        <v>-4470</v>
      </c>
      <c r="FY642" s="98"/>
      <c r="FZ642" s="117">
        <f>FZ640+FZ630</f>
        <v>22</v>
      </c>
      <c r="GA642" s="98"/>
      <c r="GB642" s="486">
        <f>GB640+GB630</f>
        <v>4820</v>
      </c>
      <c r="GC642" s="98"/>
      <c r="GD642" s="117">
        <f>GD640+GD630</f>
        <v>-800</v>
      </c>
      <c r="GE642" s="98"/>
      <c r="GF642" s="117">
        <f>GF640+GF630</f>
        <v>722</v>
      </c>
      <c r="GG642" s="98"/>
      <c r="GH642" s="117">
        <f>GH640+GH630</f>
        <v>3371</v>
      </c>
      <c r="GI642" s="98" t="str">
        <f>IF(ISERROR((GH642/GF642-1)*100),"NA",IF(((GH642/GF642-1)*100)&gt;100,"NM",IF(((GH642/GF642-1)*100)&lt;-50,"NM",(GH642/GF642-1)*100)))</f>
        <v>NM</v>
      </c>
      <c r="GJ642" s="117">
        <f>GJ640+GJ630</f>
        <v>3639</v>
      </c>
      <c r="GK642" s="98">
        <f>IF(ISERROR((GJ642/GH642-1)*100),"NA",IF(((GJ642/GH642-1)*100)&gt;100,"NM",IF(((GJ642/GH642-1)*100)&lt;-50,"NM",(GJ642/GH642-1)*100)))</f>
        <v>7.9501631563334341</v>
      </c>
      <c r="GL642" s="117">
        <f>GL640+GL630</f>
        <v>747</v>
      </c>
      <c r="GM642" s="98" t="str">
        <f>IF(ISERROR((GL642/GJ642-1)*100),"NA",IF(((GL642/GJ642-1)*100)&gt;100,"NM",IF(((GL642/GJ642-1)*100)&lt;-50,"NM",(GL642/GJ642-1)*100)))</f>
        <v>NM</v>
      </c>
      <c r="GN642" s="117">
        <f>GN640+GN630</f>
        <v>3907</v>
      </c>
      <c r="GO642" s="98" t="str">
        <f>IF(ISERROR((GN642/GL642-1)*100),"NA",IF(((GN642/GL642-1)*100)&gt;100,"NM",IF(((GN642/GL642-1)*100)&lt;-50,"NM",(GN642/GL642-1)*100)))</f>
        <v>NM</v>
      </c>
      <c r="GP642" s="117">
        <f>GP640+GP630</f>
        <v>4003.1475333967378</v>
      </c>
      <c r="GQ642" s="98">
        <f>IF(ISERROR((GP642/GN642-1)*100),"NA",IF(((GP642/GN642-1)*100)&gt;100,"NM",IF(((GP642/GN642-1)*100)&lt;-50,"NM",(GP642/GN642-1)*100)))</f>
        <v>2.4609043613191162</v>
      </c>
      <c r="GR642" s="117">
        <f>GR640+GR630</f>
        <v>5090.4804783361251</v>
      </c>
      <c r="GS642" s="98">
        <f>IF(ISERROR((GR642/GP642-1)*100),"NA",IF(((GR642/GP642-1)*100)&gt;100,"NM",IF(((GR642/GP642-1)*100)&lt;-50,"NM",(GR642/GP642-1)*100)))</f>
        <v>27.161950337033105</v>
      </c>
      <c r="GT642" s="117">
        <f>GT640+GT630</f>
        <v>5290.2580115591145</v>
      </c>
      <c r="GU642" s="98">
        <f>IF(ISERROR((GT642/GR642-1)*100),"NA",IF(((GT642/GR642-1)*100)&gt;100,"NM",IF(((GT642/GR642-1)*100)&lt;-50,"NM",(GT642/GR642-1)*100)))</f>
        <v>3.924531958686317</v>
      </c>
      <c r="GV642" s="117">
        <f>GV640+GV630</f>
        <v>5447.3606266485585</v>
      </c>
      <c r="GW642" s="98">
        <f>IF(ISERROR((GV642/GT642-1)*100),"NA",IF(((GV642/GT642-1)*100)&gt;100,"NM",IF(((GV642/GT642-1)*100)&lt;-50,"NM",(GV642/GT642-1)*100)))</f>
        <v>2.9696588473790531</v>
      </c>
      <c r="GX642" s="117">
        <f>GX640+GX630</f>
        <v>5556.8213422197941</v>
      </c>
      <c r="GY642" s="98">
        <f>IF(ISERROR((GX642/GV642-1)*100),"NA",IF(((GX642/GV642-1)*100)&gt;100,"NM",IF(((GX642/GV642-1)*100)&lt;-50,"NM",(GX642/GV642-1)*100)))</f>
        <v>2.0094266393113847</v>
      </c>
      <c r="GZ642" s="98">
        <f>IF(ISERROR(((GX642/GN642)^0.2-1)*100),"NA",IF((((GX642/GN642)^0.2-1)*100)&gt;100,"NM",IF((((GX642/GN642)^0.2-1)*100)&lt;-50,"NM",((GX642/GN642)^0.2-1)*100)))</f>
        <v>7.299229790998929</v>
      </c>
      <c r="HA642" s="98"/>
      <c r="HB642" s="10"/>
      <c r="HC642"/>
      <c r="HD642"/>
      <c r="HE642"/>
      <c r="HF642"/>
      <c r="HG642"/>
      <c r="HH642"/>
      <c r="HI642" s="10"/>
    </row>
    <row r="643" spans="1:217" s="2" customFormat="1" ht="12.75" customHeight="1" x14ac:dyDescent="0.2">
      <c r="B643" s="19"/>
      <c r="C643" s="182"/>
      <c r="D643" s="230"/>
      <c r="E643" s="182"/>
      <c r="F643" s="98"/>
      <c r="G643" s="182"/>
      <c r="H643" s="98"/>
      <c r="I643" s="182"/>
      <c r="J643" s="98"/>
      <c r="K643" s="182"/>
      <c r="L643" s="98"/>
      <c r="M643" s="182"/>
      <c r="N643" s="98"/>
      <c r="O643" s="182"/>
      <c r="P643" s="98"/>
      <c r="Q643" s="182"/>
      <c r="R643" s="98"/>
      <c r="S643" s="182"/>
      <c r="T643" s="98"/>
      <c r="U643" s="182"/>
      <c r="V643" s="98"/>
      <c r="W643" s="182"/>
      <c r="X643" s="98"/>
      <c r="Y643" s="182"/>
      <c r="Z643" s="98"/>
      <c r="AA643" s="182"/>
      <c r="AB643" s="98"/>
      <c r="AC643" s="182"/>
      <c r="AD643" s="98"/>
      <c r="AE643" s="182"/>
      <c r="AF643" s="98"/>
      <c r="AG643" s="182"/>
      <c r="AH643" s="98"/>
      <c r="AI643" s="182"/>
      <c r="AJ643" s="98"/>
      <c r="AK643" s="182"/>
      <c r="AL643" s="98"/>
      <c r="AM643" s="182"/>
      <c r="AN643" s="98"/>
      <c r="AO643" s="182"/>
      <c r="AP643" s="98"/>
      <c r="AQ643" s="182"/>
      <c r="AR643" s="98"/>
      <c r="AS643" s="182"/>
      <c r="AT643" s="98"/>
      <c r="AU643" s="182"/>
      <c r="AV643" s="98"/>
      <c r="AW643" s="182"/>
      <c r="AX643" s="98"/>
      <c r="AY643" s="182"/>
      <c r="AZ643" s="98"/>
      <c r="BA643" s="182"/>
      <c r="BB643" s="98"/>
      <c r="BC643" s="182"/>
      <c r="BD643" s="98"/>
      <c r="BE643" s="182"/>
      <c r="BF643" s="98"/>
      <c r="BG643" s="182"/>
      <c r="BH643" s="98"/>
      <c r="BI643" s="182"/>
      <c r="BJ643" s="98"/>
      <c r="BK643" s="182"/>
      <c r="BL643" s="98"/>
      <c r="BM643" s="182"/>
      <c r="BN643" s="98"/>
      <c r="BO643" s="182"/>
      <c r="BP643" s="98"/>
      <c r="BQ643" s="182"/>
      <c r="BR643" s="98"/>
      <c r="BS643" s="182"/>
      <c r="BT643" s="98"/>
      <c r="BU643" s="182"/>
      <c r="BV643" s="98"/>
      <c r="BW643" s="182"/>
      <c r="BX643" s="98"/>
      <c r="BY643" s="182"/>
      <c r="BZ643" s="98"/>
      <c r="CA643" s="182"/>
      <c r="CB643" s="98"/>
      <c r="CC643" s="182"/>
      <c r="CD643" s="98"/>
      <c r="CE643" s="182"/>
      <c r="CF643" s="98"/>
      <c r="CG643" s="182"/>
      <c r="CH643" s="98"/>
      <c r="CI643" s="182"/>
      <c r="CJ643" s="98"/>
      <c r="CK643" s="182"/>
      <c r="CL643" s="98"/>
      <c r="CM643" s="182"/>
      <c r="CN643" s="98"/>
      <c r="CO643" s="182"/>
      <c r="CP643" s="98"/>
      <c r="CQ643" s="512"/>
      <c r="CR643" s="98"/>
      <c r="CS643" s="182"/>
      <c r="CT643" s="98"/>
      <c r="CU643" s="182"/>
      <c r="CV643" s="98"/>
      <c r="CW643" s="182"/>
      <c r="CX643" s="98"/>
      <c r="CY643" s="182"/>
      <c r="CZ643" s="98"/>
      <c r="DA643" s="182"/>
      <c r="DB643" s="98"/>
      <c r="DC643" s="182"/>
      <c r="DD643" s="98"/>
      <c r="DE643" s="182"/>
      <c r="DF643" s="98"/>
      <c r="DG643" s="182"/>
      <c r="DH643" s="98"/>
      <c r="DI643" s="182"/>
      <c r="DJ643" s="98"/>
      <c r="DK643" s="182"/>
      <c r="DL643" s="98"/>
      <c r="DM643" s="182"/>
      <c r="DN643" s="98"/>
      <c r="DO643" s="182"/>
      <c r="DP643" s="98"/>
      <c r="DQ643" s="182"/>
      <c r="DR643" s="98"/>
      <c r="DS643" s="182"/>
      <c r="DT643" s="98"/>
      <c r="DU643" s="182"/>
      <c r="DV643" s="98"/>
      <c r="DW643" s="182"/>
      <c r="DX643" s="98"/>
      <c r="DY643" s="182"/>
      <c r="DZ643" s="98"/>
      <c r="EA643" s="182"/>
      <c r="EB643" s="98"/>
      <c r="EC643" s="182"/>
      <c r="ED643" s="98"/>
      <c r="EE643" s="182"/>
      <c r="EF643" s="860"/>
      <c r="EG643" s="182"/>
      <c r="EH643" s="860"/>
      <c r="EI643" s="182"/>
      <c r="EJ643" s="860"/>
      <c r="EK643" s="182"/>
      <c r="EL643" s="860"/>
      <c r="EM643" s="182"/>
      <c r="EN643" s="860"/>
      <c r="EO643" s="182"/>
      <c r="EP643" s="98"/>
      <c r="EQ643" s="1021"/>
      <c r="ER643" s="98"/>
      <c r="ES643" s="1021"/>
      <c r="ET643" s="98"/>
      <c r="EU643" s="1021"/>
      <c r="EV643" s="98"/>
      <c r="EW643" s="1021"/>
      <c r="EX643" s="98"/>
      <c r="EY643" s="182"/>
      <c r="EZ643" s="594"/>
      <c r="FA643" s="405"/>
      <c r="FB643" s="182"/>
      <c r="FC643" s="117"/>
      <c r="FD643" s="182"/>
      <c r="FE643" s="98"/>
      <c r="FF643" s="182"/>
      <c r="FG643" s="98"/>
      <c r="FH643" s="182"/>
      <c r="FI643" s="98"/>
      <c r="FJ643" s="182"/>
      <c r="FK643" s="98"/>
      <c r="FL643" s="182"/>
      <c r="FM643" s="98"/>
      <c r="FN643" s="182"/>
      <c r="FO643" s="98"/>
      <c r="FP643" s="182"/>
      <c r="FQ643" s="98"/>
      <c r="FR643" s="197"/>
      <c r="FS643" s="120"/>
      <c r="FT643" s="197"/>
      <c r="FU643" s="120"/>
      <c r="FV643" s="197"/>
      <c r="FW643" s="98"/>
      <c r="FX643" s="502"/>
      <c r="FY643" s="98"/>
      <c r="FZ643" s="197"/>
      <c r="GA643" s="98"/>
      <c r="GB643" s="502"/>
      <c r="GC643" s="98"/>
      <c r="GD643" s="197"/>
      <c r="GE643" s="98"/>
      <c r="GF643" s="197"/>
      <c r="GG643" s="98"/>
      <c r="GH643" s="197"/>
      <c r="GI643" s="98"/>
      <c r="GJ643" s="197"/>
      <c r="GK643" s="98"/>
      <c r="GL643" s="197"/>
      <c r="GM643" s="98"/>
      <c r="GN643" s="197"/>
      <c r="GO643" s="98"/>
      <c r="GP643" s="197"/>
      <c r="GQ643" s="98"/>
      <c r="GR643" s="182"/>
      <c r="GS643" s="98"/>
      <c r="GT643" s="182"/>
      <c r="GU643" s="98"/>
      <c r="GV643" s="182"/>
      <c r="GW643" s="98"/>
      <c r="GX643" s="182"/>
      <c r="GY643" s="98"/>
      <c r="GZ643" s="98"/>
      <c r="HA643" s="98"/>
      <c r="HB643" s="10"/>
      <c r="HC643"/>
      <c r="HD643"/>
      <c r="HE643"/>
      <c r="HF643"/>
      <c r="HG643"/>
      <c r="HH643"/>
      <c r="HI643" s="10"/>
    </row>
    <row r="644" spans="1:217" s="2" customFormat="1" ht="12.75" customHeight="1" x14ac:dyDescent="0.2">
      <c r="B644" s="18" t="s">
        <v>613</v>
      </c>
      <c r="C644" s="337">
        <f>C637/C699*400</f>
        <v>-0.19075879610004237</v>
      </c>
      <c r="D644" s="230"/>
      <c r="E644" s="337">
        <f>E637/E699*400</f>
        <v>-8.7801568455291051E-2</v>
      </c>
      <c r="F644" s="98"/>
      <c r="G644" s="337">
        <f>G637/G699*400</f>
        <v>-0.37060073601824495</v>
      </c>
      <c r="H644" s="98"/>
      <c r="I644" s="337">
        <f>I637/I699*400</f>
        <v>3.0666027791087687E-2</v>
      </c>
      <c r="J644" s="98"/>
      <c r="K644" s="337">
        <f>K637/K699*400</f>
        <v>-0.24174153593101647</v>
      </c>
      <c r="L644" s="98">
        <f>IF(ISERROR((K644/C644-1)*100),"NA",IF(((K644/C644-1)*100)&gt;100,"NM",IF(((K644/C644-1)*100)&lt;-50,"NM",(K644/C644-1)*100)))</f>
        <v>26.726285169170637</v>
      </c>
      <c r="M644" s="337">
        <f>M637/M699*400</f>
        <v>-0.24807522442663929</v>
      </c>
      <c r="N644" s="98" t="str">
        <f>IF(ISERROR((M644/E644-1)*100),"NA",IF(((M644/E644-1)*100)&gt;100,"NM",IF(((M644/E644-1)*100)&lt;-50,"NM",(M644/E644-1)*100)))</f>
        <v>NM</v>
      </c>
      <c r="O644" s="337">
        <f>O637/O699*400</f>
        <v>-0.15987505149821371</v>
      </c>
      <c r="P644" s="98" t="str">
        <f>IF(ISERROR((O644/G644-1)*100),"NA",IF(((O644/G644-1)*100)&gt;100,"NM",IF(((O644/G644-1)*100)&lt;-50,"NM",(O644/G644-1)*100)))</f>
        <v>NM</v>
      </c>
      <c r="Q644" s="337">
        <f>Q637/Q699*400</f>
        <v>-0.42411017001393153</v>
      </c>
      <c r="R644" s="98" t="str">
        <f>IF(ISERROR((Q644/I644-1)*100),"NA",IF(((Q644/I644-1)*100)&gt;100,"NM",IF(((Q644/I644-1)*100)&lt;-50,"NM",(Q644/I644-1)*100)))</f>
        <v>NM</v>
      </c>
      <c r="S644" s="337">
        <f>S637/S699*400</f>
        <v>-0.18361257746155613</v>
      </c>
      <c r="T644" s="98">
        <f>IF(ISERROR((S644/K644-1)*100),"NA",IF(((S644/K644-1)*100)&gt;100,"NM",IF(((S644/K644-1)*100)&lt;-50,"NM",(S644/K644-1)*100)))</f>
        <v>-24.045912608931243</v>
      </c>
      <c r="U644" s="337">
        <f>U637/U699*400</f>
        <v>-0.27363780411509159</v>
      </c>
      <c r="V644" s="98">
        <f>IF(ISERROR((U644/M644-1)*100),"NA",IF(((U644/M644-1)*100)&gt;100,"NM",IF(((U644/M644-1)*100)&lt;-50,"NM",(U644/M644-1)*100)))</f>
        <v>10.304366245171593</v>
      </c>
      <c r="W644" s="337">
        <f>W637/W699*400</f>
        <v>-0.37420219096489921</v>
      </c>
      <c r="X644" s="98" t="str">
        <f>IF(ISERROR((W644/O644-1)*100),"NA",IF(((W644/O644-1)*100)&gt;100,"NM",IF(((W644/O644-1)*100)&lt;-50,"NM",(W644/O644-1)*100)))</f>
        <v>NM</v>
      </c>
      <c r="Y644" s="337">
        <f>Y637/Y699*400</f>
        <v>0.4736241272201131</v>
      </c>
      <c r="Z644" s="98" t="str">
        <f>IF(ISERROR((Y644/Q644-1)*100),"NA",IF(((Y644/Q644-1)*100)&gt;100,"NM",IF(((Y644/Q644-1)*100)&lt;-50,"NM",(Y644/Q644-1)*100)))</f>
        <v>NM</v>
      </c>
      <c r="AA644" s="337">
        <f>AA637/AA699*400</f>
        <v>-0.22534628902212114</v>
      </c>
      <c r="AB644" s="98">
        <f>IF(ISERROR((AA644/S644-1)*100),"NA",IF(((AA644/S644-1)*100)&gt;100,"NM",IF(((AA644/S644-1)*100)&lt;-50,"NM",(AA644/S644-1)*100)))</f>
        <v>22.729222658672722</v>
      </c>
      <c r="AC644" s="337">
        <f>AC637/AC699*400</f>
        <v>-7.68318391141289E-2</v>
      </c>
      <c r="AD644" s="98" t="str">
        <f>IF(ISERROR((AC644/U644-1)*100),"NA",IF(((AC644/U644-1)*100)&gt;100,"NM",IF(((AC644/U644-1)*100)&lt;-50,"NM",(AC644/U644-1)*100)))</f>
        <v>NM</v>
      </c>
      <c r="AE644" s="337">
        <f>AE637/AE699*400</f>
        <v>-0.12893989599480449</v>
      </c>
      <c r="AF644" s="98" t="str">
        <f>IF(ISERROR((AE644/W644-1)*100),"NA",IF(((AE644/W644-1)*100)&gt;100,"NM",IF(((AE644/W644-1)*100)&lt;-50,"NM",(AE644/W644-1)*100)))</f>
        <v>NM</v>
      </c>
      <c r="AG644" s="337">
        <f>AG637/AG699*400</f>
        <v>0.13205012402624497</v>
      </c>
      <c r="AH644" s="98" t="str">
        <f>IF(ISERROR((AG644/Y644-1)*100),"NA",IF(((AG644/Y644-1)*100)&gt;100,"NM",IF(((AG644/Y644-1)*100)&lt;-50,"NM",(AG644/Y644-1)*100)))</f>
        <v>NM</v>
      </c>
      <c r="AI644" s="337">
        <f>AI637/AI699*400</f>
        <v>0.13482587947275987</v>
      </c>
      <c r="AJ644" s="98" t="str">
        <f>IF(ISERROR((AI644/AA644-1)*100),"NA",IF(((AI644/AA644-1)*100)&gt;100,"NM",IF(((AI644/AA644-1)*100)&lt;-50,"NM",(AI644/AA644-1)*100)))</f>
        <v>NM</v>
      </c>
      <c r="AK644" s="337">
        <f>AK637/AK699*400</f>
        <v>0.18301544865698957</v>
      </c>
      <c r="AL644" s="98" t="str">
        <f>IF(ISERROR((AK644/AC644-1)*100),"NA",IF(((AK644/AC644-1)*100)&gt;100,"NM",IF(((AK644/AC644-1)*100)&lt;-50,"NM",(AK644/AC644-1)*100)))</f>
        <v>NM</v>
      </c>
      <c r="AM644" s="337">
        <f>AM637/AM699*400</f>
        <v>0.20493404770795162</v>
      </c>
      <c r="AN644" s="98" t="str">
        <f>IF(ISERROR((AM644/AE644-1)*100),"NA",IF(((AM644/AE644-1)*100)&gt;100,"NM",IF(((AM644/AE644-1)*100)&lt;-50,"NM",(AM644/AE644-1)*100)))</f>
        <v>NM</v>
      </c>
      <c r="AO644" s="337">
        <f>AO637/AO699*400</f>
        <v>-0.23492660671498553</v>
      </c>
      <c r="AP644" s="98" t="str">
        <f>IF(ISERROR((AO644/AG644-1)*100),"NA",IF(((AO644/AG644-1)*100)&gt;100,"NM",IF(((AO644/AG644-1)*100)&lt;-50,"NM",(AO644/AG644-1)*100)))</f>
        <v>NM</v>
      </c>
      <c r="AQ644" s="337">
        <f>AQ637/AQ699*400</f>
        <v>-3.486185988022461E-2</v>
      </c>
      <c r="AR644" s="98" t="str">
        <f>IF(ISERROR((AQ644/AI644-1)*100),"NA",IF(((AQ644/AI644-1)*100)&gt;100,"NM",IF(((AQ644/AI644-1)*100)&lt;-50,"NM",(AQ644/AI644-1)*100)))</f>
        <v>NM</v>
      </c>
      <c r="AS644" s="337">
        <f>AS637/AS699*400</f>
        <v>2.341455477362405</v>
      </c>
      <c r="AT644" s="98" t="str">
        <f>IF(ISERROR((AS644/AK644-1)*100),"NA",IF(((AS644/AK644-1)*100)&gt;100,"NM",IF(((AS644/AK644-1)*100)&lt;-50,"NM",(AS644/AK644-1)*100)))</f>
        <v>NM</v>
      </c>
      <c r="AU644" s="337">
        <f>AU637/AU699*400</f>
        <v>-1.9845010468243024E-2</v>
      </c>
      <c r="AV644" s="98" t="str">
        <f>IF(ISERROR((AU644/AM644-1)*100),"NA",IF(((AU644/AM644-1)*100)&gt;100,"NM",IF(((AU644/AM644-1)*100)&lt;-50,"NM",(AU644/AM644-1)*100)))</f>
        <v>NM</v>
      </c>
      <c r="AW644" s="337">
        <f>AW637/AW699*400</f>
        <v>-0.19356399709654004</v>
      </c>
      <c r="AX644" s="98">
        <f>IF(ISERROR((AW644/AO644-1)*100),"NA",IF(((AW644/AO644-1)*100)&gt;100,"NM",IF(((AW644/AO644-1)*100)&lt;-50,"NM",(AW644/AO644-1)*100)))</f>
        <v>-17.606609228654492</v>
      </c>
      <c r="AY644" s="124">
        <f>AY637/AY699*400</f>
        <v>-0.5314159674491713</v>
      </c>
      <c r="AZ644" s="98" t="str">
        <f>IF(ISERROR((AY644/AQ644-1)*100),"NA",IF(((AY644/AQ644-1)*100)&gt;100,"NM",IF(((AY644/AQ644-1)*100)&lt;-50,"NM",(AY644/AQ644-1)*100)))</f>
        <v>NM</v>
      </c>
      <c r="BA644" s="124">
        <f>BA637/BA699*400</f>
        <v>-0.68658223963893694</v>
      </c>
      <c r="BB644" s="98" t="str">
        <f>IF(ISERROR((BA644/AS644-1)*100),"NA",IF(((BA644/AS644-1)*100)&gt;100,"NM",IF(((BA644/AS644-1)*100)&lt;-50,"NM",(BA644/AS644-1)*100)))</f>
        <v>NM</v>
      </c>
      <c r="BC644" s="124">
        <f>BC637/BC699*400</f>
        <v>0.20422204166005123</v>
      </c>
      <c r="BD644" s="98" t="str">
        <f>IF(ISERROR((BC644/AU644-1)*100),"NA",IF(((BC644/AU644-1)*100)&gt;100,"NM",IF(((BC644/AU644-1)*100)&lt;-50,"NM",(BC644/AU644-1)*100)))</f>
        <v>NM</v>
      </c>
      <c r="BE644" s="124">
        <f>BE637/BE699*400</f>
        <v>3.4383671759745478</v>
      </c>
      <c r="BF644" s="98" t="str">
        <f>IF(ISERROR((BE644/AW644-1)*100),"NA",IF(((BE644/AW644-1)*100)&gt;100,"NM",IF(((BE644/AW644-1)*100)&lt;-50,"NM",(BE644/AW644-1)*100)))</f>
        <v>NM</v>
      </c>
      <c r="BG644" s="124">
        <f>BG637/BG699*400</f>
        <v>-7.0194335438154856E-2</v>
      </c>
      <c r="BH644" s="98" t="str">
        <f>IF(ISERROR((BG644/AY644-1)*100),"NA",IF(((BG644/AY644-1)*100)&gt;100,"NM",IF(((BG644/AY644-1)*100)&lt;-50,"NM",(BG644/AY644-1)*100)))</f>
        <v>NM</v>
      </c>
      <c r="BI644" s="124">
        <f>BI637/BI699*400</f>
        <v>-0.22967714295914604</v>
      </c>
      <c r="BJ644" s="98" t="str">
        <f>IF(ISERROR((BI644/BA644-1)*100),"NA",IF(((BI644/BA644-1)*100)&gt;100,"NM",IF(((BI644/BA644-1)*100)&lt;-50,"NM",(BI644/BA644-1)*100)))</f>
        <v>NM</v>
      </c>
      <c r="BK644" s="124">
        <f>BK637/BK699*400</f>
        <v>-0.22606756702501876</v>
      </c>
      <c r="BL644" s="98" t="str">
        <f>IF(ISERROR((BK644/BC644-1)*100),"NA",IF(((BK644/BC644-1)*100)&gt;100,"NM",IF(((BK644/BC644-1)*100)&lt;-50,"NM",(BK644/BC644-1)*100)))</f>
        <v>NM</v>
      </c>
      <c r="BM644" s="124">
        <f>BM637/BM699*400</f>
        <v>-0.15690951028541839</v>
      </c>
      <c r="BN644" s="98" t="str">
        <f>IF(ISERROR((BM644/BE644-1)*100),"NA",IF(((BM644/BE644-1)*100)&gt;100,"NM",IF(((BM644/BE644-1)*100)&lt;-50,"NM",(BM644/BE644-1)*100)))</f>
        <v>NM</v>
      </c>
      <c r="BO644" s="124">
        <f>BO637/BO699*400</f>
        <v>-0.64011643381027616</v>
      </c>
      <c r="BP644" s="98" t="str">
        <f>IF(ISERROR((BO644/BG644-1)*100),"NA",IF(((BO644/BG644-1)*100)&gt;100,"NM",IF(((BO644/BG644-1)*100)&lt;-50,"NM",(BO644/BG644-1)*100)))</f>
        <v>NM</v>
      </c>
      <c r="BQ644" s="124">
        <f>BQ637/BQ699*400</f>
        <v>-0.2891602460991532</v>
      </c>
      <c r="BR644" s="98">
        <f>IF(ISERROR((BQ644/BI644-1)*100),"NA",IF(((BQ644/BI644-1)*100)&gt;100,"NM",IF(((BQ644/BI644-1)*100)&lt;-50,"NM",(BQ644/BI644-1)*100)))</f>
        <v>25.898573264030777</v>
      </c>
      <c r="BS644" s="124">
        <f>BS637/BS699*400</f>
        <v>0.63769321411242808</v>
      </c>
      <c r="BT644" s="98" t="str">
        <f>IF(ISERROR((BS644/BK644-1)*100),"NA",IF(((BS644/BK644-1)*100)&gt;100,"NM",IF(((BS644/BK644-1)*100)&lt;-50,"NM",(BS644/BK644-1)*100)))</f>
        <v>NM</v>
      </c>
      <c r="BU644" s="124">
        <f>BU637/BU699*400</f>
        <v>1.8088504949532533</v>
      </c>
      <c r="BV644" s="98" t="str">
        <f>IF(ISERROR((BU644/BM644-1)*100),"NA",IF(((BU644/BM644-1)*100)&gt;100,"NM",IF(((BU644/BM644-1)*100)&lt;-50,"NM",(BU644/BM644-1)*100)))</f>
        <v>NM</v>
      </c>
      <c r="BW644" s="124">
        <f>BW637/BW699*400</f>
        <v>-0.78161585602096872</v>
      </c>
      <c r="BX644" s="98">
        <f>IF(ISERROR((BW644/BO644-1)*100),"NA",IF(((BW644/BO644-1)*100)&gt;100,"NM",IF(((BW644/BO644-1)*100)&lt;-50,"NM",(BW644/BO644-1)*100)))</f>
        <v>22.105263157894719</v>
      </c>
      <c r="BY644" s="124">
        <f>BY637/BY699*400</f>
        <v>-3.1201647857049042</v>
      </c>
      <c r="BZ644" s="98" t="str">
        <f>IF(ISERROR((BY644/BQ644-1)*100),"NA",IF(((BY644/BQ644-1)*100)&gt;100,"NM",IF(((BY644/BQ644-1)*100)&lt;-50,"NM",(BY644/BQ644-1)*100)))</f>
        <v>NM</v>
      </c>
      <c r="CA644" s="124">
        <f>CA637/CA699*400</f>
        <v>-1.7203288207753253</v>
      </c>
      <c r="CB644" s="98" t="str">
        <f>IF(ISERROR((CA644/BS644-1)*100),"NA",IF(((CA644/BS644-1)*100)&gt;100,"NM",IF(((CA644/BS644-1)*100)&lt;-50,"NM",(CA644/BS644-1)*100)))</f>
        <v>NM</v>
      </c>
      <c r="CC644" s="124">
        <f>CC637/CC699*400</f>
        <v>-0.76564489096887056</v>
      </c>
      <c r="CD644" s="98" t="str">
        <f>IF(ISERROR((CC644/BU644-1)*100),"NA",IF(((CC644/BU644-1)*100)&gt;100,"NM",IF(((CC644/BU644-1)*100)&lt;-50,"NM",(CC644/BU644-1)*100)))</f>
        <v>NM</v>
      </c>
      <c r="CE644" s="124">
        <f>CE637/CE699*400</f>
        <v>5.4660537708502328E-2</v>
      </c>
      <c r="CF644" s="98" t="str">
        <f>IF(ISERROR((CE644/BW644-1)*100),"NA",IF(((CE644/BW644-1)*100)&gt;100,"NM",IF(((CE644/BW644-1)*100)&lt;-50,"NM",(CE644/BW644-1)*100)))</f>
        <v>NM</v>
      </c>
      <c r="CG644" s="124">
        <f>CG637/CG699*400</f>
        <v>0.67473315201984907</v>
      </c>
      <c r="CH644" s="98" t="str">
        <f>IF(ISERROR((CG644/BY644-1)*100),"NA",IF(((CG644/BY644-1)*100)&gt;100,"NM",IF(((CG644/BY644-1)*100)&lt;-50,"NM",(CG644/BY644-1)*100)))</f>
        <v>NM</v>
      </c>
      <c r="CI644" s="124">
        <f>CI637/CI699*400</f>
        <v>-0.41157624662669662</v>
      </c>
      <c r="CJ644" s="98" t="str">
        <f>IF(ISERROR((CI644/CA644-1)*100),"NA",IF(((CI644/CA644-1)*100)&gt;100,"NM",IF(((CI644/CA644-1)*100)&lt;-50,"NM",(CI644/CA644-1)*100)))</f>
        <v>NM</v>
      </c>
      <c r="CK644" s="124">
        <f>CK637/CK699*400</f>
        <v>-0.95675485437947805</v>
      </c>
      <c r="CL644" s="98">
        <f>IF(ISERROR((CK644/CC644-1)*100),"NA",IF(((CK644/CC644-1)*100)&gt;100,"NM",IF(((CK644/CC644-1)*100)&lt;-50,"NM",(CK644/CC644-1)*100)))</f>
        <v>24.960652864642128</v>
      </c>
      <c r="CM644" s="124">
        <f>CM637/CM699*400</f>
        <v>-0.35441260818573278</v>
      </c>
      <c r="CN644" s="98" t="str">
        <f>IF(ISERROR((CM644/CE644-1)*100),"NA",IF(((CM644/CE644-1)*100)&gt;100,"NM",IF(((CM644/CE644-1)*100)&lt;-50,"NM",(CM644/CE644-1)*100)))</f>
        <v>NM</v>
      </c>
      <c r="CO644" s="124">
        <f>CO637/CO699*400</f>
        <v>0.16343936150795627</v>
      </c>
      <c r="CP644" s="98" t="str">
        <f>IF(ISERROR((CO644/CG644-1)*100),"NA",IF(((CO644/CG644-1)*100)&gt;100,"NM",IF(((CO644/CG644-1)*100)&lt;-50,"NM",(CO644/CG644-1)*100)))</f>
        <v>NM</v>
      </c>
      <c r="CQ644" s="561">
        <f>CQ637/CQ699*400</f>
        <v>3.2840644361833955</v>
      </c>
      <c r="CR644" s="98" t="str">
        <f>IF(ISERROR((CQ644/CI644-1)*100),"NA",IF(((CQ644/CI644-1)*100)&gt;100,"NM",IF(((CQ644/CI644-1)*100)&lt;-50,"NM",(CQ644/CI644-1)*100)))</f>
        <v>NM</v>
      </c>
      <c r="CS644" s="124">
        <f>CS637/CS699*400</f>
        <v>2.5812557809374258E-2</v>
      </c>
      <c r="CT644" s="98" t="str">
        <f>IF(ISERROR((CS644/CK644-1)*100),"NA",IF(((CS644/CK644-1)*100)&gt;100,"NM",IF(((CS644/CK644-1)*100)&lt;-50,"NM",(CS644/CK644-1)*100)))</f>
        <v>NM</v>
      </c>
      <c r="CU644" s="124">
        <f>CU637/CU699*400</f>
        <v>-1.6573533147066295</v>
      </c>
      <c r="CV644" s="98" t="str">
        <f>IF(ISERROR((CU644/CM644-1)*100),"NA",IF(((CU644/CM644-1)*100)&gt;100,"NM",IF(((CU644/CM644-1)*100)&lt;-50,"NM",(CU644/CM644-1)*100)))</f>
        <v>NM</v>
      </c>
      <c r="CW644" s="124">
        <f>CW637/CW699*400</f>
        <v>1.5708174950960365</v>
      </c>
      <c r="CX644" s="98" t="str">
        <f>IF(ISERROR((CW644/CO644-1)*100),"NA",IF(((CW644/CO644-1)*100)&gt;100,"NM",IF(((CW644/CO644-1)*100)&lt;-50,"NM",(CW644/CO644-1)*100)))</f>
        <v>NM</v>
      </c>
      <c r="CY644" s="124">
        <f>CY637/CY699*400</f>
        <v>-0.53378735936313648</v>
      </c>
      <c r="CZ644" s="98" t="str">
        <f>IF(ISERROR((CY644/CQ644-1)*100),"NA",IF(((CY644/CQ644-1)*100)&gt;100,"NM",IF(((CY644/CQ644-1)*100)&lt;-50,"NM",(CY644/CQ644-1)*100)))</f>
        <v>NM</v>
      </c>
      <c r="DA644" s="124">
        <f>DA637/DA699*400</f>
        <v>-1.1720291189280769</v>
      </c>
      <c r="DB644" s="98" t="str">
        <f>IF(ISERROR((DA644/CS644-1)*100),"NA",IF(((DA644/CS644-1)*100)&gt;100,"NM",IF(((DA644/CS644-1)*100)&lt;-50,"NM",(DA644/CS644-1)*100)))</f>
        <v>NM</v>
      </c>
      <c r="DC644" s="124">
        <f>DC637/DC699*400</f>
        <v>-0.24664762172372343</v>
      </c>
      <c r="DD644" s="98" t="str">
        <f>IF(ISERROR((DC644/CU644-1)*100),"NA",IF(((DC644/CU644-1)*100)&gt;100,"NM",IF(((DC644/CU644-1)*100)&lt;-50,"NM",(DC644/CU644-1)*100)))</f>
        <v>NM</v>
      </c>
      <c r="DE644" s="124">
        <f>DE637/DE699*400</f>
        <v>-1.2866292349849147</v>
      </c>
      <c r="DF644" s="98" t="str">
        <f>IF(ISERROR((DE644/CW644-1)*100),"NA",IF(((DE644/CW644-1)*100)&gt;100,"NM",IF(((DE644/CW644-1)*100)&lt;-50,"NM",(DE644/CW644-1)*100)))</f>
        <v>NM</v>
      </c>
      <c r="DG644" s="124">
        <f>DG637/DG699*400</f>
        <v>-0.52049285972057535</v>
      </c>
      <c r="DH644" s="98">
        <f>IF(ISERROR((DG644/CY644-1)*100),"NA",IF(((DG644/CY644-1)*100)&gt;100,"NM",IF(((DG644/CY644-1)*100)&lt;-50,"NM",(DG644/CY644-1)*100)))</f>
        <v>-2.4905984395027336</v>
      </c>
      <c r="DI644" s="124">
        <f>DI637/DI699*400</f>
        <v>-0.45091953623212128</v>
      </c>
      <c r="DJ644" s="98" t="str">
        <f>IF(ISERROR((DI644/DA644-1)*100),"NA",IF(((DI644/DA644-1)*100)&gt;100,"NM",IF(((DI644/DA644-1)*100)&lt;-50,"NM",(DI644/DA644-1)*100)))</f>
        <v>NM</v>
      </c>
      <c r="DK644" s="124">
        <f>DK637/DK699*400</f>
        <v>-5.5144785472592842E-2</v>
      </c>
      <c r="DL644" s="98" t="str">
        <f>IF(ISERROR((DK644/DC644-1)*100),"NA",IF(((DK644/DC644-1)*100)&gt;100,"NM",IF(((DK644/DC644-1)*100)&lt;-50,"NM",(DK644/DC644-1)*100)))</f>
        <v>NM</v>
      </c>
      <c r="DM644" s="124">
        <f>DM637/DM699*400</f>
        <v>0.14723780686911866</v>
      </c>
      <c r="DN644" s="98" t="str">
        <f>IF(ISERROR((DM644/DE644-1)*100),"NA",IF(((DM644/DE644-1)*100)&gt;100,"NM",IF(((DM644/DE644-1)*100)&lt;-50,"NM",(DM644/DE644-1)*100)))</f>
        <v>NM</v>
      </c>
      <c r="DO644" s="124">
        <f>DO637/DO699*400</f>
        <v>0.46261360927276274</v>
      </c>
      <c r="DP644" s="98" t="str">
        <f>IF(ISERROR((DO644/DG644-1)*100),"NA",IF(((DO644/DG644-1)*100)&gt;100,"NM",IF(((DO644/DG644-1)*100)&lt;-50,"NM",(DO644/DG644-1)*100)))</f>
        <v>NM</v>
      </c>
      <c r="DQ644" s="124">
        <f>DQ637/DQ699*400</f>
        <v>0.32806648287038409</v>
      </c>
      <c r="DR644" s="98" t="str">
        <f>IF(ISERROR((DQ644/DI644-1)*100),"NA",IF(((DQ644/DI644-1)*100)&gt;100,"NM",IF(((DQ644/DI644-1)*100)&lt;-50,"NM",(DQ644/DI644-1)*100)))</f>
        <v>NM</v>
      </c>
      <c r="DS644" s="124">
        <f>DS637/DS699*400</f>
        <v>0.85689239111293447</v>
      </c>
      <c r="DT644" s="98" t="str">
        <f>IF(ISERROR((DS644/DK644-1)*100),"NA",IF(((DS644/DK644-1)*100)&gt;100,"NM",IF(((DS644/DK644-1)*100)&lt;-50,"NM",(DS644/DK644-1)*100)))</f>
        <v>NM</v>
      </c>
      <c r="DU644" s="124">
        <f>DU637/DU699*400</f>
        <v>-0.8353584447144593</v>
      </c>
      <c r="DV644" s="98" t="str">
        <f>IF(ISERROR((DU644/DM644-1)*100),"NA",IF(((DU644/DM644-1)*100)&gt;100,"NM",IF(((DU644/DM644-1)*100)&lt;-50,"NM",(DU644/DM644-1)*100)))</f>
        <v>NM</v>
      </c>
      <c r="DW644" s="124">
        <f>DW637/DW699*400</f>
        <v>0.69141926364247164</v>
      </c>
      <c r="DX644" s="98">
        <f>IF(ISERROR((DW644/DO644-1)*100),"NA",IF(((DW644/DO644-1)*100)&gt;100,"NM",IF(((DW644/DO644-1)*100)&lt;-50,"NM",(DW644/DO644-1)*100)))</f>
        <v>49.459343560902958</v>
      </c>
      <c r="DY644" s="124">
        <f>DY637/DY699*400</f>
        <v>-0.23735566414173526</v>
      </c>
      <c r="DZ644" s="98" t="str">
        <f>IF(ISERROR((DY644/DQ644-1)*100),"NA",IF(((DY644/DQ644-1)*100)&gt;100,"NM",IF(((DY644/DQ644-1)*100)&lt;-50,"NM",(DY644/DQ644-1)*100)))</f>
        <v>NM</v>
      </c>
      <c r="EA644" s="124">
        <f>EA637/EA699*400</f>
        <v>1.1071009861842258</v>
      </c>
      <c r="EB644" s="98">
        <f>IF(ISERROR((EA644/DS644-1)*100),"NA",IF(((EA644/DS644-1)*100)&gt;100,"NM",IF(((EA644/DS644-1)*100)&lt;-50,"NM",(EA644/DS644-1)*100)))</f>
        <v>29.199535165240476</v>
      </c>
      <c r="EC644" s="124">
        <f>EC637/EC699*400</f>
        <v>1.0298767793844597</v>
      </c>
      <c r="ED644" s="98" t="str">
        <f>IF(ISERROR((EC644/DU644-1)*100),"NA",IF(((EC644/DU644-1)*100)&gt;100,"NM",IF(((EC644/DU644-1)*100)&lt;-50,"NM",(EC644/DU644-1)*100)))</f>
        <v>NM</v>
      </c>
      <c r="EE644" s="124">
        <f>EE637/EE699*400</f>
        <v>-0.27710426047800485</v>
      </c>
      <c r="EF644" s="860" t="str">
        <f>IF(ISERROR((EE644/DW644-1)*100),"NA",IF(((EE644/DW644-1)*100)&gt;100,"NM",IF(((EE644/DW644-1)*100)&lt;-50,"NM",(EE644/DW644-1)*100)))</f>
        <v>NM</v>
      </c>
      <c r="EG644" s="124">
        <f>EG637/EG699*400</f>
        <v>-2.4812846421214938</v>
      </c>
      <c r="EH644" s="860" t="str">
        <f>IF(ISERROR((EG644/DY644-1)*100),"NA",IF(((EG644/DY644-1)*100)&gt;100,"NM",IF(((EG644/DY644-1)*100)&lt;-50,"NM",(EG644/DY644-1)*100)))</f>
        <v>NM</v>
      </c>
      <c r="EI644" s="124">
        <f>EI637/EI699*400</f>
        <v>-0.12872954203066189</v>
      </c>
      <c r="EJ644" s="860" t="str">
        <f t="shared" ref="EJ644" si="3738">IF(ISERROR((EI644/EA644-1)*100),"NA",IF(((EI644/EA644-1)*100)&gt;100,"NM",IF(((EI644/EA644-1)*100)&lt;-50,"NM",(EI644/EA644-1)*100)))</f>
        <v>NM</v>
      </c>
      <c r="EK644" s="124">
        <f>EK637/EK699*400</f>
        <v>-0.13230389186238545</v>
      </c>
      <c r="EL644" s="860" t="str">
        <f t="shared" ref="EL644" si="3739">IF(ISERROR((EK644/EC644-1)*100),"NA",IF(((EK644/EC644-1)*100)&gt;100,"NM",IF(((EK644/EC644-1)*100)&lt;-50,"NM",(EK644/EC644-1)*100)))</f>
        <v>NM</v>
      </c>
      <c r="EM644" s="124">
        <f>EM637/EM699*400</f>
        <v>-0.71437225435601048</v>
      </c>
      <c r="EN644" s="860" t="str">
        <f t="shared" ref="EN644" si="3740">IF(ISERROR((EM644/EE644-1)*100),"NA",IF(((EM644/EE644-1)*100)&gt;100,"NM",IF(((EM644/EE644-1)*100)&lt;-50,"NM",(EM644/EE644-1)*100)))</f>
        <v>NM</v>
      </c>
      <c r="EO644" s="124">
        <f>EO637/EO699*400</f>
        <v>-3.1526774112915393E-2</v>
      </c>
      <c r="EP644" s="98" t="str">
        <f t="shared" ref="EP644" si="3741">IF(ISERROR((EO644/EG644-1)*100),"NA",IF(((EO644/EG644-1)*100)&gt;100,"NM",IF(((EO644/EG644-1)*100)&lt;-50,"NM",(EO644/EG644-1)*100)))</f>
        <v>NM</v>
      </c>
      <c r="EQ644" s="1058">
        <v>-0.01</v>
      </c>
      <c r="ER644" s="98" t="str">
        <f t="shared" ref="ER644" si="3742">IF(ISERROR((EQ644/EI644-1)*100),"NA",IF(((EQ644/EI644-1)*100)&gt;100,"NM",IF(((EQ644/EI644-1)*100)&lt;-50,"NM",(EQ644/EI644-1)*100)))</f>
        <v>NM</v>
      </c>
      <c r="ES644" s="1058">
        <f t="shared" ref="ES644" si="3743">EQ644</f>
        <v>-0.01</v>
      </c>
      <c r="ET644" s="98" t="str">
        <f t="shared" ref="ET644" si="3744">IF(ISERROR((ES644/EK644-1)*100),"NA",IF(((ES644/EK644-1)*100)&gt;100,"NM",IF(((ES644/EK644-1)*100)&lt;-50,"NM",(ES644/EK644-1)*100)))</f>
        <v>NM</v>
      </c>
      <c r="EU644" s="1058">
        <f t="shared" ref="EU644" si="3745">ES644</f>
        <v>-0.01</v>
      </c>
      <c r="EV644" s="98" t="str">
        <f t="shared" ref="EV644" si="3746">IF(ISERROR((EU644/EM644-1)*100),"NA",IF(((EU644/EM644-1)*100)&gt;100,"NM",IF(((EU644/EM644-1)*100)&lt;-50,"NM",(EU644/EM644-1)*100)))</f>
        <v>NM</v>
      </c>
      <c r="EW644" s="1058">
        <f t="shared" ref="EW644" si="3747">EU644</f>
        <v>-0.01</v>
      </c>
      <c r="EX644" s="98" t="str">
        <f t="shared" ref="EX644" si="3748">IF(ISERROR((EW644/EO644-1)*100),"NA",IF(((EW644/EO644-1)*100)&gt;100,"NM",IF(((EW644/EO644-1)*100)&lt;-50,"NM",(EW644/EO644-1)*100)))</f>
        <v>NM</v>
      </c>
      <c r="EY644" s="338"/>
      <c r="EZ644" s="594"/>
      <c r="FA644" s="415"/>
      <c r="FB644" s="339">
        <f>FB637/FB699*100</f>
        <v>0.98879318602132316</v>
      </c>
      <c r="FC644" s="340"/>
      <c r="FD644" s="339">
        <f>FD637/FD699*100</f>
        <v>-1.6929191815103783E-2</v>
      </c>
      <c r="FE644" s="341" t="str">
        <f>IF(ISERROR((FD644/FB644-1)*100),"NA",IF(((FD644/FB644-1)*100)&gt;100,"NM",IF(((FD644/FB644-1)*100)&lt;-50,"NM",(FD644/FB644-1)*100)))</f>
        <v>NM</v>
      </c>
      <c r="FF644" s="339">
        <f>FF637/FF699*100</f>
        <v>-0.15077463663951446</v>
      </c>
      <c r="FG644" s="341" t="str">
        <f>IF(ISERROR((FF644/FD644-1)*100),"NA",IF(((FF644/FD644-1)*100)&gt;100,"NM",IF(((FF644/FD644-1)*100)&lt;-50,"NM",(FF644/FD644-1)*100)))</f>
        <v>NM</v>
      </c>
      <c r="FH644" s="339">
        <f>FH637/FH699*100</f>
        <v>-0.26691817386051214</v>
      </c>
      <c r="FI644" s="341">
        <f>IF(ISERROR((FH644/FF644-1)*100),"NA",IF(((FH644/FF644-1)*100)&gt;100,"NM",IF(((FH644/FF644-1)*100)&lt;-50,"NM",(FH644/FF644-1)*100)))</f>
        <v>77.031216794562127</v>
      </c>
      <c r="FJ644" s="339">
        <f>FJ637/FJ699*100</f>
        <v>-7.380465659595932E-2</v>
      </c>
      <c r="FK644" s="341" t="str">
        <f>IF(ISERROR((FJ644/FH644-1)*100),"NA",IF(((FJ644/FH644-1)*100)&gt;100,"NM",IF(((FJ644/FH644-1)*100)&lt;-50,"NM",(FJ644/FH644-1)*100)))</f>
        <v>NM</v>
      </c>
      <c r="FL644" s="339">
        <f>FL637/FL699*100</f>
        <v>-6.6483569388213606E-2</v>
      </c>
      <c r="FM644" s="341">
        <f>IF(ISERROR((FL644/FJ644-1)*100),"NA",IF(((FL644/FJ644-1)*100)&gt;100,"NM",IF(((FL644/FJ644-1)*100)&lt;-50,"NM",(FL644/FJ644-1)*100)))</f>
        <v>-9.9195464695740263</v>
      </c>
      <c r="FN644" s="339">
        <f>FN637/FN699*100</f>
        <v>6.7243485255376295E-2</v>
      </c>
      <c r="FO644" s="341" t="str">
        <f>IF(ISERROR((FN644/FL644-1)*100),"NA",IF(((FN644/FL644-1)*100)&gt;100,"NM",IF(((FN644/FL644-1)*100)&lt;-50,"NM",(FN644/FL644-1)*100)))</f>
        <v>NM</v>
      </c>
      <c r="FP644" s="339">
        <f>FP637/FP699*100</f>
        <v>0.41662661703827203</v>
      </c>
      <c r="FQ644" s="341" t="str">
        <f>IF(ISERROR((FP644/FN644-1)*100),"NA",IF(((FP644/FN644-1)*100)&gt;100,"NM",IF(((FP644/FN644-1)*100)&lt;-50,"NM",(FP644/FN644-1)*100)))</f>
        <v>NM</v>
      </c>
      <c r="FR644" s="342">
        <f>FR637/FR699*100</f>
        <v>0.61689801625555529</v>
      </c>
      <c r="FS644" s="120">
        <f>IF(ISERROR((FR644/FP644-1)*100),"NA",IF(((FR644/FP644-1)*100)&gt;100,"NM",IF(((FR644/FP644-1)*100)&lt;-50,"NM",(FR644/FP644-1)*100)))</f>
        <v>48.069756234246071</v>
      </c>
      <c r="FT644" s="342">
        <f>FT637/FT699*100</f>
        <v>-0.17542483249909777</v>
      </c>
      <c r="FU644" s="120" t="str">
        <f>IF(ISERROR((FT644/FR644-1)*100),"NA",IF(((FT644/FR644-1)*100)&gt;100,"NM",IF(((FT644/FR644-1)*100)&lt;-50,"NM",(FT644/FR644-1)*100)))</f>
        <v>NM</v>
      </c>
      <c r="FV644" s="342">
        <f>FV637/FV699*100</f>
        <v>0.37745842426192799</v>
      </c>
      <c r="FW644" s="98" t="str">
        <f>IF(ISERROR((FV644/FT644-1)*100),"NA",IF(((FV644/FT644-1)*100)&gt;100,"NM",IF(((FV644/FT644-1)*100)&lt;-50,"NM",(FV644/FT644-1)*100)))</f>
        <v>NM</v>
      </c>
      <c r="FX644" s="525">
        <f>FX637/FX699*100</f>
        <v>-1.5355637167358127</v>
      </c>
      <c r="FY644" s="98" t="str">
        <f>IF(ISERROR((FX644/FV644-1)*100),"NA",IF(((FX644/FV644-1)*100)&gt;100,"NM",IF(((FX644/FV644-1)*100)&lt;-50,"NM",(FX644/FV644-1)*100)))</f>
        <v>NM</v>
      </c>
      <c r="FZ644" s="342">
        <f>FZ637/FZ699*100</f>
        <v>-0.18248730192524104</v>
      </c>
      <c r="GA644" s="98" t="str">
        <f>IF(ISERROR((FZ644/FX644-1)*100),"NA",IF(((FZ644/FX644-1)*100)&gt;100,"NM",IF(((FZ644/FX644-1)*100)&lt;-50,"NM",(FZ644/FX644-1)*100)))</f>
        <v>NM</v>
      </c>
      <c r="GB644" s="525">
        <f>GB637/GB699*100</f>
        <v>0.77379008524010562</v>
      </c>
      <c r="GC644" s="98" t="str">
        <f>IF(ISERROR((GB644/FZ644-1)*100),"NA",IF(((GB644/FZ644-1)*100)&gt;100,"NM",IF(((GB644/FZ644-1)*100)&lt;-50,"NM",(GB644/FZ644-1)*100)))</f>
        <v>NM</v>
      </c>
      <c r="GD644" s="342">
        <f>GD637/GD699*100</f>
        <v>-0.43922081338047242</v>
      </c>
      <c r="GE644" s="98" t="str">
        <f>IF(ISERROR((GD644/GB644-1)*100),"NA",IF(((GD644/GB644-1)*100)&gt;100,"NM",IF(((GD644/GB644-1)*100)&lt;-50,"NM",(GD644/GB644-1)*100)))</f>
        <v>NM</v>
      </c>
      <c r="GF644" s="342">
        <f>GF637/GF699*100</f>
        <v>-0.6297324557724453</v>
      </c>
      <c r="GG644" s="98">
        <f>IF(ISERROR((GF644/GD644-1)*100),"NA",IF(((GF644/GD644-1)*100)&gt;100,"NM",IF(((GF644/GD644-1)*100)&lt;-50,"NM",(GF644/GD644-1)*100)))</f>
        <v>43.374912251014685</v>
      </c>
      <c r="GH644" s="342">
        <f>GH637/GH699*100</f>
        <v>0.22134606073182542</v>
      </c>
      <c r="GI644" s="98" t="str">
        <f>IF(ISERROR((GH644/GF644-1)*100),"NA",IF(((GH644/GF644-1)*100)&gt;100,"NM",IF(((GH644/GF644-1)*100)&lt;-50,"NM",(GH644/GF644-1)*100)))</f>
        <v>NM</v>
      </c>
      <c r="GJ644" s="342">
        <f>GJ637/GJ699*100</f>
        <v>0.12816398531462744</v>
      </c>
      <c r="GK644" s="98">
        <f>IF(ISERROR((GJ644/GH644-1)*100),"NA",IF(((GJ644/GH644-1)*100)&gt;100,"NM",IF(((GJ644/GH644-1)*100)&lt;-50,"NM",(GJ644/GH644-1)*100)))</f>
        <v>-42.097914509575972</v>
      </c>
      <c r="GL644" s="342">
        <f>GL637/GL699*100</f>
        <v>-0.13660845166792979</v>
      </c>
      <c r="GM644" s="98" t="str">
        <f>IF(ISERROR((GL644/GJ644-1)*100),"NA",IF(((GL644/GJ644-1)*100)&gt;100,"NM",IF(((GL644/GJ644-1)*100)&lt;-50,"NM",(GL644/GJ644-1)*100)))</f>
        <v>NM</v>
      </c>
      <c r="GN644" s="342">
        <f>GN637/GN699*100</f>
        <v>-0.25041266295401365</v>
      </c>
      <c r="GO644" s="98">
        <f>IF(ISERROR((GN644/GL644-1)*100),"NA",IF(((GN644/GL644-1)*100)&gt;100,"NM",IF(((GN644/GL644-1)*100)&lt;-50,"NM",(GN644/GL644-1)*100)))</f>
        <v>83.306859785455401</v>
      </c>
      <c r="GP644" s="342">
        <f>GP637/GP699*100</f>
        <v>-9.899144320043296E-3</v>
      </c>
      <c r="GQ644" s="98" t="str">
        <f>IF(ISERROR((GP644/GN644-1)*100),"NA",IF(((GP644/GN644-1)*100)&gt;100,"NM",IF(((GP644/GN644-1)*100)&lt;-50,"NM",(GP644/GN644-1)*100)))</f>
        <v>NM</v>
      </c>
      <c r="GR644" s="338">
        <f>GP644</f>
        <v>-9.899144320043296E-3</v>
      </c>
      <c r="GS644" s="98">
        <f>IF(ISERROR((GR644/GP644-1)*100),"NA",IF(((GR644/GP644-1)*100)&gt;100,"NM",IF(((GR644/GP644-1)*100)&lt;-50,"NM",(GR644/GP644-1)*100)))</f>
        <v>0</v>
      </c>
      <c r="GT644" s="338">
        <f>GR644</f>
        <v>-9.899144320043296E-3</v>
      </c>
      <c r="GU644" s="98">
        <f>IF(ISERROR((GT644/GR644-1)*100),"NA",IF(((GT644/GR644-1)*100)&gt;100,"NM",IF(((GT644/GR644-1)*100)&lt;-50,"NM",(GT644/GR644-1)*100)))</f>
        <v>0</v>
      </c>
      <c r="GV644" s="338">
        <f>GT644</f>
        <v>-9.899144320043296E-3</v>
      </c>
      <c r="GW644" s="98">
        <f>IF(ISERROR((GV644/GT644-1)*100),"NA",IF(((GV644/GT644-1)*100)&gt;100,"NM",IF(((GV644/GT644-1)*100)&lt;-50,"NM",(GV644/GT644-1)*100)))</f>
        <v>0</v>
      </c>
      <c r="GX644" s="338">
        <f>GV644</f>
        <v>-9.899144320043296E-3</v>
      </c>
      <c r="GY644" s="98">
        <f>IF(ISERROR((GX644/GV644-1)*100),"NA",IF(((GX644/GV644-1)*100)&gt;100,"NM",IF(((GX644/GV644-1)*100)&lt;-50,"NM",(GX644/GV644-1)*100)))</f>
        <v>0</v>
      </c>
      <c r="GZ644" s="98">
        <f>IF(ISERROR(((GX644/GN644)^0.2-1)*100),"NA",IF((((GX644/GN644)^0.2-1)*100)&gt;100,"NM",IF((((GX644/GN644)^0.2-1)*100)&lt;-50,"NM",((GX644/GN644)^0.2-1)*100)))</f>
        <v>-47.593123772392644</v>
      </c>
      <c r="HA644" s="98"/>
      <c r="HB644" s="10"/>
      <c r="HC644"/>
      <c r="HD644"/>
      <c r="HE644"/>
      <c r="HF644"/>
      <c r="HG644"/>
      <c r="HH644"/>
      <c r="HI644" s="10"/>
    </row>
    <row r="645" spans="1:217" s="2" customFormat="1" ht="12.75" customHeight="1" x14ac:dyDescent="0.2">
      <c r="B645" s="18"/>
      <c r="C645" s="337"/>
      <c r="D645" s="230"/>
      <c r="E645" s="337"/>
      <c r="F645" s="98"/>
      <c r="G645" s="337"/>
      <c r="H645" s="98"/>
      <c r="I645" s="337"/>
      <c r="J645" s="98"/>
      <c r="K645" s="337"/>
      <c r="L645" s="98"/>
      <c r="M645" s="337"/>
      <c r="N645" s="98"/>
      <c r="O645" s="337"/>
      <c r="P645" s="98"/>
      <c r="Q645" s="337"/>
      <c r="R645" s="98"/>
      <c r="S645" s="337"/>
      <c r="T645" s="98"/>
      <c r="U645" s="337"/>
      <c r="V645" s="98"/>
      <c r="W645" s="337"/>
      <c r="X645" s="98"/>
      <c r="Y645" s="337"/>
      <c r="Z645" s="98"/>
      <c r="AA645" s="337"/>
      <c r="AB645" s="98"/>
      <c r="AC645" s="337"/>
      <c r="AD645" s="98"/>
      <c r="AE645" s="337"/>
      <c r="AF645" s="98"/>
      <c r="AG645" s="337"/>
      <c r="AH645" s="98"/>
      <c r="AI645" s="337"/>
      <c r="AJ645" s="98"/>
      <c r="AK645" s="337"/>
      <c r="AL645" s="98"/>
      <c r="AM645" s="337"/>
      <c r="AN645" s="98"/>
      <c r="AO645" s="337"/>
      <c r="AP645" s="98"/>
      <c r="AQ645" s="337"/>
      <c r="AR645" s="98"/>
      <c r="AS645" s="337"/>
      <c r="AT645" s="98"/>
      <c r="AU645" s="337"/>
      <c r="AV645" s="98"/>
      <c r="AW645" s="337"/>
      <c r="AX645" s="98"/>
      <c r="AY645" s="337"/>
      <c r="AZ645" s="98"/>
      <c r="BA645" s="337"/>
      <c r="BB645" s="98"/>
      <c r="BC645" s="337"/>
      <c r="BD645" s="98"/>
      <c r="BE645" s="337"/>
      <c r="BF645" s="98"/>
      <c r="BG645" s="337"/>
      <c r="BH645" s="98"/>
      <c r="BI645" s="337"/>
      <c r="BJ645" s="98"/>
      <c r="BK645" s="337"/>
      <c r="BL645" s="98"/>
      <c r="BM645" s="337"/>
      <c r="BN645" s="98"/>
      <c r="BO645" s="337"/>
      <c r="BP645" s="98"/>
      <c r="BQ645" s="337"/>
      <c r="BR645" s="98"/>
      <c r="BS645" s="337"/>
      <c r="BT645" s="98"/>
      <c r="BU645" s="337"/>
      <c r="BV645" s="98"/>
      <c r="BW645" s="337"/>
      <c r="BX645" s="98"/>
      <c r="BY645" s="337"/>
      <c r="BZ645" s="98"/>
      <c r="CA645" s="337"/>
      <c r="CB645" s="98"/>
      <c r="CC645" s="337"/>
      <c r="CD645" s="98"/>
      <c r="CE645" s="337"/>
      <c r="CF645" s="98"/>
      <c r="CG645" s="337"/>
      <c r="CH645" s="98"/>
      <c r="CI645" s="337"/>
      <c r="CJ645" s="98"/>
      <c r="CK645" s="337"/>
      <c r="CL645" s="98"/>
      <c r="CM645" s="337"/>
      <c r="CN645" s="98"/>
      <c r="CO645" s="337"/>
      <c r="CP645" s="98"/>
      <c r="CQ645" s="567"/>
      <c r="CR645" s="98"/>
      <c r="CS645" s="337"/>
      <c r="CT645" s="98"/>
      <c r="CU645" s="337"/>
      <c r="CV645" s="98"/>
      <c r="CW645" s="337"/>
      <c r="CX645" s="98"/>
      <c r="CY645" s="337"/>
      <c r="CZ645" s="98"/>
      <c r="DA645" s="337"/>
      <c r="DB645" s="98"/>
      <c r="DC645" s="337"/>
      <c r="DD645" s="98"/>
      <c r="DE645" s="337"/>
      <c r="DF645" s="98"/>
      <c r="DG645" s="337"/>
      <c r="DH645" s="98"/>
      <c r="DI645" s="337"/>
      <c r="DJ645" s="98"/>
      <c r="DK645" s="337"/>
      <c r="DL645" s="98"/>
      <c r="DM645" s="337"/>
      <c r="DN645" s="98"/>
      <c r="DO645" s="337"/>
      <c r="DP645" s="98"/>
      <c r="DQ645" s="337"/>
      <c r="DR645" s="98"/>
      <c r="DS645" s="337"/>
      <c r="DT645" s="98"/>
      <c r="DU645" s="337"/>
      <c r="DV645" s="98"/>
      <c r="DW645" s="337"/>
      <c r="DX645" s="98"/>
      <c r="DY645" s="337"/>
      <c r="DZ645" s="98"/>
      <c r="EA645" s="337"/>
      <c r="EB645" s="98"/>
      <c r="EC645" s="337"/>
      <c r="ED645" s="98"/>
      <c r="EE645" s="337"/>
      <c r="EF645" s="860"/>
      <c r="EG645" s="337"/>
      <c r="EH645" s="860"/>
      <c r="EI645" s="337"/>
      <c r="EJ645" s="860"/>
      <c r="EK645" s="337"/>
      <c r="EL645" s="860"/>
      <c r="EM645" s="337"/>
      <c r="EN645" s="860"/>
      <c r="EO645" s="337"/>
      <c r="EP645" s="98"/>
      <c r="EQ645" s="1050"/>
      <c r="ER645" s="98"/>
      <c r="ES645" s="1050"/>
      <c r="ET645" s="98"/>
      <c r="EU645" s="1050"/>
      <c r="EV645" s="98"/>
      <c r="EW645" s="1050"/>
      <c r="EX645" s="98"/>
      <c r="EY645" s="191"/>
      <c r="EZ645" s="594"/>
      <c r="FA645" s="405"/>
      <c r="FB645" s="337"/>
      <c r="FC645" s="117"/>
      <c r="FD645" s="337"/>
      <c r="FE645" s="98"/>
      <c r="FF645" s="337"/>
      <c r="FG645" s="98"/>
      <c r="FH645" s="337"/>
      <c r="FI645" s="98"/>
      <c r="FJ645" s="337"/>
      <c r="FK645" s="98"/>
      <c r="FL645" s="337"/>
      <c r="FM645" s="98"/>
      <c r="FN645" s="337"/>
      <c r="FO645" s="98"/>
      <c r="FP645" s="337"/>
      <c r="FQ645" s="98"/>
      <c r="FR645" s="192"/>
      <c r="FS645" s="120"/>
      <c r="FT645" s="192"/>
      <c r="FU645" s="120"/>
      <c r="FV645" s="192"/>
      <c r="FW645" s="98"/>
      <c r="FX645" s="500"/>
      <c r="FY645" s="98"/>
      <c r="FZ645" s="192"/>
      <c r="GA645" s="98"/>
      <c r="GB645" s="500"/>
      <c r="GC645" s="98"/>
      <c r="GD645" s="192"/>
      <c r="GE645" s="98"/>
      <c r="GF645" s="192"/>
      <c r="GG645" s="98"/>
      <c r="GH645" s="192"/>
      <c r="GI645" s="98"/>
      <c r="GJ645" s="192"/>
      <c r="GK645" s="98"/>
      <c r="GL645" s="192"/>
      <c r="GM645" s="98"/>
      <c r="GN645" s="192"/>
      <c r="GO645" s="98"/>
      <c r="GP645" s="192"/>
      <c r="GQ645" s="98"/>
      <c r="GR645" s="191"/>
      <c r="GS645" s="98"/>
      <c r="GT645" s="191"/>
      <c r="GU645" s="98"/>
      <c r="GV645" s="191"/>
      <c r="GW645" s="98"/>
      <c r="GX645" s="191"/>
      <c r="GY645" s="98"/>
      <c r="GZ645" s="98"/>
      <c r="HA645" s="98"/>
      <c r="HB645" s="10"/>
      <c r="HC645"/>
      <c r="HD645"/>
      <c r="HE645"/>
      <c r="HF645"/>
      <c r="HG645"/>
      <c r="HH645"/>
      <c r="HI645" s="10"/>
    </row>
    <row r="646" spans="1:217" s="2" customFormat="1" ht="12.75" customHeight="1" x14ac:dyDescent="0.2">
      <c r="B646" s="19" t="s">
        <v>46</v>
      </c>
      <c r="C646" s="95"/>
      <c r="D646" s="113"/>
      <c r="E646" s="95"/>
      <c r="F646" s="113"/>
      <c r="G646" s="95"/>
      <c r="H646" s="113"/>
      <c r="I646" s="95"/>
      <c r="J646" s="98"/>
      <c r="K646" s="95"/>
      <c r="L646" s="98"/>
      <c r="M646" s="95"/>
      <c r="N646" s="98"/>
      <c r="O646" s="95"/>
      <c r="P646" s="98"/>
      <c r="Q646" s="95"/>
      <c r="R646" s="98"/>
      <c r="S646" s="95"/>
      <c r="T646" s="98"/>
      <c r="U646" s="95"/>
      <c r="V646" s="98"/>
      <c r="W646" s="95"/>
      <c r="X646" s="98"/>
      <c r="Y646" s="95"/>
      <c r="Z646" s="98"/>
      <c r="AA646" s="95"/>
      <c r="AB646" s="98"/>
      <c r="AC646" s="95"/>
      <c r="AD646" s="98"/>
      <c r="AE646" s="95"/>
      <c r="AF646" s="98"/>
      <c r="AG646" s="95"/>
      <c r="AH646" s="98"/>
      <c r="AI646" s="95"/>
      <c r="AJ646" s="98"/>
      <c r="AK646" s="95"/>
      <c r="AL646" s="98"/>
      <c r="AM646" s="95"/>
      <c r="AN646" s="98"/>
      <c r="AO646" s="95"/>
      <c r="AP646" s="98"/>
      <c r="AQ646" s="95"/>
      <c r="AR646" s="98"/>
      <c r="AS646" s="95"/>
      <c r="AT646" s="98"/>
      <c r="AU646" s="95"/>
      <c r="AV646" s="98"/>
      <c r="AW646" s="95"/>
      <c r="AX646" s="98"/>
      <c r="AY646" s="95"/>
      <c r="AZ646" s="98"/>
      <c r="BA646" s="95"/>
      <c r="BB646" s="98"/>
      <c r="BC646" s="95"/>
      <c r="BD646" s="98"/>
      <c r="BE646" s="95"/>
      <c r="BF646" s="98"/>
      <c r="BG646" s="95"/>
      <c r="BH646" s="98"/>
      <c r="BI646" s="95"/>
      <c r="BJ646" s="98"/>
      <c r="BK646" s="95"/>
      <c r="BL646" s="98"/>
      <c r="BM646" s="95"/>
      <c r="BN646" s="98"/>
      <c r="BO646" s="95"/>
      <c r="BP646" s="98"/>
      <c r="BQ646" s="95"/>
      <c r="BR646" s="98"/>
      <c r="BS646" s="95"/>
      <c r="BT646" s="98"/>
      <c r="BU646" s="95"/>
      <c r="BV646" s="98"/>
      <c r="BW646" s="95"/>
      <c r="BX646" s="98"/>
      <c r="BY646" s="95"/>
      <c r="BZ646" s="98"/>
      <c r="CA646" s="95"/>
      <c r="CB646" s="98"/>
      <c r="CC646" s="95"/>
      <c r="CD646" s="98"/>
      <c r="CE646" s="95"/>
      <c r="CF646" s="98"/>
      <c r="CG646" s="95"/>
      <c r="CH646" s="98"/>
      <c r="CI646" s="95"/>
      <c r="CJ646" s="98"/>
      <c r="CK646" s="95"/>
      <c r="CL646" s="98"/>
      <c r="CM646" s="95"/>
      <c r="CN646" s="98"/>
      <c r="CO646" s="95"/>
      <c r="CP646" s="98"/>
      <c r="CQ646" s="506"/>
      <c r="CR646" s="98"/>
      <c r="CS646" s="95"/>
      <c r="CT646" s="98"/>
      <c r="CU646" s="95"/>
      <c r="CV646" s="98"/>
      <c r="CW646" s="95"/>
      <c r="CX646" s="98"/>
      <c r="CY646" s="95"/>
      <c r="CZ646" s="98"/>
      <c r="DA646" s="95"/>
      <c r="DB646" s="98"/>
      <c r="DC646" s="95"/>
      <c r="DD646" s="98"/>
      <c r="DE646" s="95"/>
      <c r="DF646" s="98"/>
      <c r="DG646" s="95"/>
      <c r="DH646" s="98"/>
      <c r="DI646" s="95"/>
      <c r="DJ646" s="98"/>
      <c r="DK646" s="95"/>
      <c r="DL646" s="98"/>
      <c r="DM646" s="95"/>
      <c r="DN646" s="98"/>
      <c r="DO646" s="95"/>
      <c r="DP646" s="98"/>
      <c r="DQ646" s="95"/>
      <c r="DR646" s="98"/>
      <c r="DS646" s="95"/>
      <c r="DT646" s="98"/>
      <c r="DU646" s="95"/>
      <c r="DV646" s="98"/>
      <c r="DW646" s="95"/>
      <c r="DX646" s="98"/>
      <c r="DY646" s="95"/>
      <c r="DZ646" s="98"/>
      <c r="EA646" s="95"/>
      <c r="EB646" s="98"/>
      <c r="EC646" s="95"/>
      <c r="ED646" s="98"/>
      <c r="EE646" s="95"/>
      <c r="EF646" s="860"/>
      <c r="EG646" s="95"/>
      <c r="EH646" s="860"/>
      <c r="EI646" s="95"/>
      <c r="EJ646" s="860"/>
      <c r="EK646" s="95"/>
      <c r="EL646" s="860"/>
      <c r="EM646" s="95"/>
      <c r="EN646" s="860"/>
      <c r="EO646" s="95"/>
      <c r="EP646" s="98"/>
      <c r="EQ646" s="789"/>
      <c r="ER646" s="98"/>
      <c r="ES646" s="789"/>
      <c r="ET646" s="98"/>
      <c r="EU646" s="789"/>
      <c r="EV646" s="98"/>
      <c r="EW646" s="789"/>
      <c r="EX646" s="98"/>
      <c r="EY646" s="95"/>
      <c r="EZ646" s="594"/>
      <c r="FA646" s="405"/>
      <c r="FB646" s="95"/>
      <c r="FC646" s="113"/>
      <c r="FD646" s="95"/>
      <c r="FE646" s="113"/>
      <c r="FF646" s="95"/>
      <c r="FG646" s="113"/>
      <c r="FH646" s="95"/>
      <c r="FI646" s="113"/>
      <c r="FJ646" s="95"/>
      <c r="FK646" s="113"/>
      <c r="FL646" s="95"/>
      <c r="FM646" s="113"/>
      <c r="FN646" s="95"/>
      <c r="FO646" s="113"/>
      <c r="FP646" s="95"/>
      <c r="FQ646" s="113"/>
      <c r="FR646" s="96"/>
      <c r="FS646" s="116"/>
      <c r="FT646" s="96"/>
      <c r="FU646" s="116"/>
      <c r="FV646" s="96"/>
      <c r="FW646" s="98"/>
      <c r="FX646" s="480"/>
      <c r="FY646" s="98"/>
      <c r="FZ646" s="216"/>
      <c r="GA646" s="98"/>
      <c r="GB646" s="524"/>
      <c r="GC646" s="98"/>
      <c r="GD646" s="216"/>
      <c r="GE646" s="98"/>
      <c r="GF646" s="216"/>
      <c r="GG646" s="98"/>
      <c r="GH646" s="216"/>
      <c r="GI646" s="98"/>
      <c r="GJ646" s="216"/>
      <c r="GK646" s="98"/>
      <c r="GL646" s="216"/>
      <c r="GM646" s="98"/>
      <c r="GN646" s="216"/>
      <c r="GO646" s="98"/>
      <c r="GP646" s="216"/>
      <c r="GQ646" s="98"/>
      <c r="GR646" s="95"/>
      <c r="GS646" s="98"/>
      <c r="GT646" s="95"/>
      <c r="GU646" s="98"/>
      <c r="GV646" s="95"/>
      <c r="GW646" s="98"/>
      <c r="GX646" s="95"/>
      <c r="GY646" s="98"/>
      <c r="GZ646" s="98"/>
      <c r="HA646" s="98"/>
      <c r="HB646" s="10"/>
      <c r="HC646"/>
      <c r="HD646"/>
      <c r="HE646"/>
      <c r="HF646"/>
      <c r="HG646"/>
      <c r="HH646"/>
      <c r="HI646" s="10"/>
    </row>
    <row r="647" spans="1:217" s="2" customFormat="1" ht="12.75" customHeight="1" x14ac:dyDescent="0.2">
      <c r="A647" s="2" t="s">
        <v>304</v>
      </c>
      <c r="B647" s="18" t="s">
        <v>738</v>
      </c>
      <c r="C647" s="117"/>
      <c r="D647" s="98"/>
      <c r="E647" s="117"/>
      <c r="F647" s="98"/>
      <c r="G647" s="117"/>
      <c r="H647" s="98"/>
      <c r="I647" s="117"/>
      <c r="J647" s="98"/>
      <c r="K647" s="117"/>
      <c r="L647" s="98"/>
      <c r="M647" s="117"/>
      <c r="N647" s="98"/>
      <c r="O647" s="117"/>
      <c r="P647" s="98"/>
      <c r="Q647" s="117"/>
      <c r="R647" s="98"/>
      <c r="S647" s="117"/>
      <c r="T647" s="98"/>
      <c r="U647" s="117"/>
      <c r="V647" s="98"/>
      <c r="W647" s="117"/>
      <c r="X647" s="98"/>
      <c r="Y647" s="117"/>
      <c r="Z647" s="98"/>
      <c r="AA647" s="117"/>
      <c r="AB647" s="98"/>
      <c r="AC647" s="117"/>
      <c r="AD647" s="98"/>
      <c r="AE647" s="117"/>
      <c r="AF647" s="98"/>
      <c r="AG647" s="117"/>
      <c r="AH647" s="98"/>
      <c r="AI647" s="117"/>
      <c r="AJ647" s="98"/>
      <c r="AK647" s="117"/>
      <c r="AL647" s="98"/>
      <c r="AM647" s="117"/>
      <c r="AN647" s="98"/>
      <c r="AO647" s="117"/>
      <c r="AP647" s="98"/>
      <c r="AQ647" s="117"/>
      <c r="AR647" s="98"/>
      <c r="AS647" s="117"/>
      <c r="AT647" s="98"/>
      <c r="AU647" s="117"/>
      <c r="AV647" s="98"/>
      <c r="AW647" s="117"/>
      <c r="AX647" s="98"/>
      <c r="AY647" s="117">
        <f>+AY613/AY$626*100</f>
        <v>0</v>
      </c>
      <c r="AZ647" s="98" t="str">
        <f t="shared" ref="AZ647:AZ650" si="3749">IF(ISERROR((AY647/AQ647-1)*100),"NA",IF(((AY647/AQ647-1)*100)&gt;100,"NM",IF(((AY647/AQ647-1)*100)&lt;-50,"NM",(AY647/AQ647-1)*100)))</f>
        <v>NA</v>
      </c>
      <c r="BA647" s="117">
        <f>+BA613/BA$626*100</f>
        <v>0</v>
      </c>
      <c r="BB647" s="98" t="str">
        <f t="shared" ref="BB647:BB650" si="3750">IF(ISERROR((BA647/AS647-1)*100),"NA",IF(((BA647/AS647-1)*100)&gt;100,"NM",IF(((BA647/AS647-1)*100)&lt;-50,"NM",(BA647/AS647-1)*100)))</f>
        <v>NA</v>
      </c>
      <c r="BC647" s="117">
        <f>+BC613/BC$626*100</f>
        <v>0</v>
      </c>
      <c r="BD647" s="98" t="str">
        <f t="shared" ref="BD647:BD650" si="3751">IF(ISERROR((BC647/AU647-1)*100),"NA",IF(((BC647/AU647-1)*100)&gt;100,"NM",IF(((BC647/AU647-1)*100)&lt;-50,"NM",(BC647/AU647-1)*100)))</f>
        <v>NA</v>
      </c>
      <c r="BE647" s="117">
        <f>+BE613/BE$626*100</f>
        <v>0</v>
      </c>
      <c r="BF647" s="98" t="str">
        <f t="shared" ref="BF647:BF650" si="3752">IF(ISERROR((BE647/AW647-1)*100),"NA",IF(((BE647/AW647-1)*100)&gt;100,"NM",IF(((BE647/AW647-1)*100)&lt;-50,"NM",(BE647/AW647-1)*100)))</f>
        <v>NA</v>
      </c>
      <c r="BG647" s="117">
        <f>+BG613/BG$626*100</f>
        <v>0</v>
      </c>
      <c r="BH647" s="98" t="str">
        <f t="shared" ref="BH647:BH650" si="3753">IF(ISERROR((BG647/AY647-1)*100),"NA",IF(((BG647/AY647-1)*100)&gt;100,"NM",IF(((BG647/AY647-1)*100)&lt;-50,"NM",(BG647/AY647-1)*100)))</f>
        <v>NA</v>
      </c>
      <c r="BI647" s="117">
        <f>+BI613/BI$626*100</f>
        <v>0</v>
      </c>
      <c r="BJ647" s="98" t="str">
        <f t="shared" ref="BJ647:BJ650" si="3754">IF(ISERROR((BI647/BA647-1)*100),"NA",IF(((BI647/BA647-1)*100)&gt;100,"NM",IF(((BI647/BA647-1)*100)&lt;-50,"NM",(BI647/BA647-1)*100)))</f>
        <v>NA</v>
      </c>
      <c r="BK647" s="117">
        <f>+BK613/BK$626*100</f>
        <v>0</v>
      </c>
      <c r="BL647" s="98" t="str">
        <f t="shared" ref="BL647:BL650" si="3755">IF(ISERROR((BK647/BC647-1)*100),"NA",IF(((BK647/BC647-1)*100)&gt;100,"NM",IF(((BK647/BC647-1)*100)&lt;-50,"NM",(BK647/BC647-1)*100)))</f>
        <v>NA</v>
      </c>
      <c r="BM647" s="117">
        <f>+BM613/BM$626*100</f>
        <v>0</v>
      </c>
      <c r="BN647" s="98" t="str">
        <f t="shared" ref="BN647:BN650" si="3756">IF(ISERROR((BM647/BE647-1)*100),"NA",IF(((BM647/BE647-1)*100)&gt;100,"NM",IF(((BM647/BE647-1)*100)&lt;-50,"NM",(BM647/BE647-1)*100)))</f>
        <v>NA</v>
      </c>
      <c r="BO647" s="117">
        <f>+BO613/BO$626*100</f>
        <v>0</v>
      </c>
      <c r="BP647" s="98" t="str">
        <f t="shared" ref="BP647:BP650" si="3757">IF(ISERROR((BO647/BG647-1)*100),"NA",IF(((BO647/BG647-1)*100)&gt;100,"NM",IF(((BO647/BG647-1)*100)&lt;-50,"NM",(BO647/BG647-1)*100)))</f>
        <v>NA</v>
      </c>
      <c r="BQ647" s="117">
        <f>+BQ613/BQ$626*100</f>
        <v>0</v>
      </c>
      <c r="BR647" s="98" t="str">
        <f t="shared" ref="BR647:BR650" si="3758">IF(ISERROR((BQ647/BI647-1)*100),"NA",IF(((BQ647/BI647-1)*100)&gt;100,"NM",IF(((BQ647/BI647-1)*100)&lt;-50,"NM",(BQ647/BI647-1)*100)))</f>
        <v>NA</v>
      </c>
      <c r="BS647" s="117">
        <f>+BS613/BS$626*100</f>
        <v>0</v>
      </c>
      <c r="BT647" s="98" t="str">
        <f t="shared" ref="BT647:BT650" si="3759">IF(ISERROR((BS647/BK647-1)*100),"NA",IF(((BS647/BK647-1)*100)&gt;100,"NM",IF(((BS647/BK647-1)*100)&lt;-50,"NM",(BS647/BK647-1)*100)))</f>
        <v>NA</v>
      </c>
      <c r="BU647" s="117">
        <f>+BU613/BU$626*100</f>
        <v>0</v>
      </c>
      <c r="BV647" s="98" t="str">
        <f t="shared" ref="BV647:BV650" si="3760">IF(ISERROR((BU647/BM647-1)*100),"NA",IF(((BU647/BM647-1)*100)&gt;100,"NM",IF(((BU647/BM647-1)*100)&lt;-50,"NM",(BU647/BM647-1)*100)))</f>
        <v>NA</v>
      </c>
      <c r="BW647" s="117">
        <f>+BW613/BW$626*100</f>
        <v>0</v>
      </c>
      <c r="BX647" s="98" t="str">
        <f t="shared" ref="BX647:BX650" si="3761">IF(ISERROR((BW647/BO647-1)*100),"NA",IF(((BW647/BO647-1)*100)&gt;100,"NM",IF(((BW647/BO647-1)*100)&lt;-50,"NM",(BW647/BO647-1)*100)))</f>
        <v>NA</v>
      </c>
      <c r="BY647" s="117">
        <f>+BY613/BY$626*100</f>
        <v>0</v>
      </c>
      <c r="BZ647" s="98" t="str">
        <f t="shared" ref="BZ647:BZ650" si="3762">IF(ISERROR((BY647/BQ647-1)*100),"NA",IF(((BY647/BQ647-1)*100)&gt;100,"NM",IF(((BY647/BQ647-1)*100)&lt;-50,"NM",(BY647/BQ647-1)*100)))</f>
        <v>NA</v>
      </c>
      <c r="CA647" s="117">
        <f>+CA613/CA$626*100</f>
        <v>0</v>
      </c>
      <c r="CB647" s="98" t="str">
        <f t="shared" ref="CB647:CB650" si="3763">IF(ISERROR((CA647/BS647-1)*100),"NA",IF(((CA647/BS647-1)*100)&gt;100,"NM",IF(((CA647/BS647-1)*100)&lt;-50,"NM",(CA647/BS647-1)*100)))</f>
        <v>NA</v>
      </c>
      <c r="CC647" s="117">
        <f>+CC613/CC$626*100</f>
        <v>0</v>
      </c>
      <c r="CD647" s="98" t="str">
        <f t="shared" ref="CD647:CD650" si="3764">IF(ISERROR((CC647/BU647-1)*100),"NA",IF(((CC647/BU647-1)*100)&gt;100,"NM",IF(((CC647/BU647-1)*100)&lt;-50,"NM",(CC647/BU647-1)*100)))</f>
        <v>NA</v>
      </c>
      <c r="CE647" s="117">
        <f>+CE613/CE$626*100</f>
        <v>0</v>
      </c>
      <c r="CF647" s="98" t="str">
        <f t="shared" ref="CF647:CF650" si="3765">IF(ISERROR((CE647/BW647-1)*100),"NA",IF(((CE647/BW647-1)*100)&gt;100,"NM",IF(((CE647/BW647-1)*100)&lt;-50,"NM",(CE647/BW647-1)*100)))</f>
        <v>NA</v>
      </c>
      <c r="CG647" s="117">
        <f>+CG613/CG$626*100</f>
        <v>0</v>
      </c>
      <c r="CH647" s="98" t="str">
        <f t="shared" ref="CH647:CH650" si="3766">IF(ISERROR((CG647/BY647-1)*100),"NA",IF(((CG647/BY647-1)*100)&gt;100,"NM",IF(((CG647/BY647-1)*100)&lt;-50,"NM",(CG647/BY647-1)*100)))</f>
        <v>NA</v>
      </c>
      <c r="CI647" s="117">
        <f>+CI613/CI$626*100</f>
        <v>0</v>
      </c>
      <c r="CJ647" s="98" t="str">
        <f t="shared" ref="CJ647:CJ650" si="3767">IF(ISERROR((CI647/CA647-1)*100),"NA",IF(((CI647/CA647-1)*100)&gt;100,"NM",IF(((CI647/CA647-1)*100)&lt;-50,"NM",(CI647/CA647-1)*100)))</f>
        <v>NA</v>
      </c>
      <c r="CK647" s="117">
        <f>+CK613/CK$626*100</f>
        <v>0</v>
      </c>
      <c r="CL647" s="98" t="str">
        <f t="shared" ref="CL647:CL650" si="3768">IF(ISERROR((CK647/CC647-1)*100),"NA",IF(((CK647/CC647-1)*100)&gt;100,"NM",IF(((CK647/CC647-1)*100)&lt;-50,"NM",(CK647/CC647-1)*100)))</f>
        <v>NA</v>
      </c>
      <c r="CM647" s="117">
        <f>+CM613/CM$626*100</f>
        <v>0</v>
      </c>
      <c r="CN647" s="98" t="str">
        <f t="shared" ref="CN647:CN650" si="3769">IF(ISERROR((CM647/CE647-1)*100),"NA",IF(((CM647/CE647-1)*100)&gt;100,"NM",IF(((CM647/CE647-1)*100)&lt;-50,"NM",(CM647/CE647-1)*100)))</f>
        <v>NA</v>
      </c>
      <c r="CO647" s="117">
        <f>+CO613/CO$626*100</f>
        <v>0</v>
      </c>
      <c r="CP647" s="98" t="str">
        <f t="shared" ref="CP647:CP650" si="3770">IF(ISERROR((CO647/CG647-1)*100),"NA",IF(((CO647/CG647-1)*100)&gt;100,"NM",IF(((CO647/CG647-1)*100)&lt;-50,"NM",(CO647/CG647-1)*100)))</f>
        <v>NA</v>
      </c>
      <c r="CQ647" s="486">
        <f>+CQ613/CQ$626*100</f>
        <v>20.372836218375497</v>
      </c>
      <c r="CR647" s="98" t="str">
        <f t="shared" ref="CR647:CR650" si="3771">IF(ISERROR((CQ647/CI647-1)*100),"NA",IF(((CQ647/CI647-1)*100)&gt;100,"NM",IF(((CQ647/CI647-1)*100)&lt;-50,"NM",(CQ647/CI647-1)*100)))</f>
        <v>NA</v>
      </c>
      <c r="CS647" s="117">
        <f>+CS613/CS$626*100</f>
        <v>30</v>
      </c>
      <c r="CT647" s="98" t="str">
        <f t="shared" ref="CT647:CT650" si="3772">IF(ISERROR((CS647/CK647-1)*100),"NA",IF(((CS647/CK647-1)*100)&gt;100,"NM",IF(((CS647/CK647-1)*100)&lt;-50,"NM",(CS647/CK647-1)*100)))</f>
        <v>NA</v>
      </c>
      <c r="CU647" s="117">
        <f>+CU613/CU$626*100</f>
        <v>24.422110552763819</v>
      </c>
      <c r="CV647" s="98" t="str">
        <f t="shared" ref="CV647:CV650" si="3773">IF(ISERROR((CU647/CM647-1)*100),"NA",IF(((CU647/CM647-1)*100)&gt;100,"NM",IF(((CU647/CM647-1)*100)&lt;-50,"NM",(CU647/CM647-1)*100)))</f>
        <v>NA</v>
      </c>
      <c r="CW647" s="117">
        <f>+CW613/CW$626*100</f>
        <v>26.07421875</v>
      </c>
      <c r="CX647" s="98" t="str">
        <f t="shared" ref="CX647:CX650" si="3774">IF(ISERROR((CW647/CO647-1)*100),"NA",IF(((CW647/CO647-1)*100)&gt;100,"NM",IF(((CW647/CO647-1)*100)&lt;-50,"NM",(CW647/CO647-1)*100)))</f>
        <v>NA</v>
      </c>
      <c r="CY647" s="117">
        <f>+CY613/CY$626*100</f>
        <v>30.594594594594593</v>
      </c>
      <c r="CZ647" s="98">
        <f t="shared" ref="CZ647:CZ650" si="3775">IF(ISERROR((CY647/CQ647-1)*100),"NA",IF(((CY647/CQ647-1)*100)&gt;100,"NM",IF(((CY647/CQ647-1)*100)&lt;-50,"NM",(CY647/CQ647-1)*100)))</f>
        <v>50.173467585232309</v>
      </c>
      <c r="DA647" s="117">
        <f>+DA613/DA$626*100</f>
        <v>22.567567567567568</v>
      </c>
      <c r="DB647" s="98">
        <f t="shared" ref="DB647:DB650" si="3776">IF(ISERROR((DA647/CS647-1)*100),"NA",IF(((DA647/CS647-1)*100)&gt;100,"NM",IF(((DA647/CS647-1)*100)&lt;-50,"NM",(DA647/CS647-1)*100)))</f>
        <v>-24.774774774774777</v>
      </c>
      <c r="DC647" s="117">
        <f>+DC613/DC$626*100</f>
        <v>22.977022977022976</v>
      </c>
      <c r="DD647" s="98">
        <f t="shared" ref="DD647:DD650" si="3777">IF(ISERROR((DC647/CU647-1)*100),"NA",IF(((DC647/CU647-1)*100)&gt;100,"NM",IF(((DC647/CU647-1)*100)&lt;-50,"NM",(DC647/CU647-1)*100)))</f>
        <v>-5.9171281393503588</v>
      </c>
      <c r="DE647" s="117">
        <f>+DE613/DE$626*100</f>
        <v>27.39043824701195</v>
      </c>
      <c r="DF647" s="98">
        <f t="shared" ref="DF647:DF650" si="3778">IF(ISERROR((DE647/CW647-1)*100),"NA",IF(((DE647/CW647-1)*100)&gt;100,"NM",IF(((DE647/CW647-1)*100)&lt;-50,"NM",(DE647/CW647-1)*100)))</f>
        <v>5.0479729023978903</v>
      </c>
      <c r="DG647" s="117">
        <f>+DG613/DG$626*100</f>
        <v>27.033492822966508</v>
      </c>
      <c r="DH647" s="98">
        <f t="shared" ref="DH647:DH650" si="3779">IF(ISERROR((DG647/CY647-1)*100),"NA",IF(((DG647/CY647-1)*100)&gt;100,"NM",IF(((DG647/CY647-1)*100)&lt;-50,"NM",(DG647/CY647-1)*100)))</f>
        <v>-11.639643599844451</v>
      </c>
      <c r="DI647" s="117">
        <f>+DI613/DI$626*100</f>
        <v>25.78125</v>
      </c>
      <c r="DJ647" s="98">
        <f t="shared" ref="DJ647:DJ650" si="3780">IF(ISERROR((DI647/DA647-1)*100),"NA",IF(((DI647/DA647-1)*100)&gt;100,"NM",IF(((DI647/DA647-1)*100)&lt;-50,"NM",(DI647/DA647-1)*100)))</f>
        <v>14.240269461077837</v>
      </c>
      <c r="DK647" s="117">
        <f>+DK613/DK$626*100</f>
        <v>20.518358531317496</v>
      </c>
      <c r="DL647" s="98">
        <f t="shared" ref="DL647:DL650" si="3781">IF(ISERROR((DK647/DC647-1)*100),"NA",IF(((DK647/DC647-1)*100)&gt;100,"NM",IF(((DK647/DC647-1)*100)&lt;-50,"NM",(DK647/DC647-1)*100)))</f>
        <v>-10.7005352615269</v>
      </c>
      <c r="DM647" s="117">
        <f>+DM613/DM$626*100</f>
        <v>22.891566265060241</v>
      </c>
      <c r="DN647" s="98">
        <f t="shared" ref="DN647:DZ650" si="3782">IF(ISERROR((DM647/DE647-1)*100),"NA",IF(((DM647/DE647-1)*100)&gt;100,"NM",IF(((DM647/DE647-1)*100)&lt;-50,"NM",(DM647/DE647-1)*100)))</f>
        <v>-16.424972617743695</v>
      </c>
      <c r="DO647" s="117">
        <f>+DO613/DO$626*100</f>
        <v>23.173076923076923</v>
      </c>
      <c r="DP647" s="98">
        <f t="shared" si="3782"/>
        <v>-14.280122532334927</v>
      </c>
      <c r="DQ647" s="117">
        <f>+DQ613/DQ$626*100</f>
        <v>27.51445086705202</v>
      </c>
      <c r="DR647" s="98">
        <f t="shared" si="3782"/>
        <v>6.7227185146260249</v>
      </c>
      <c r="DS647" s="117">
        <f>+DS613/DS$626*100</f>
        <v>10.900473933649289</v>
      </c>
      <c r="DT647" s="98">
        <f t="shared" si="3782"/>
        <v>-46.874532302319786</v>
      </c>
      <c r="DU647" s="117">
        <f>+DU613/DU$626*100</f>
        <v>12.214863870493009</v>
      </c>
      <c r="DV647" s="98">
        <f t="shared" si="3782"/>
        <v>-46.640331513109487</v>
      </c>
      <c r="DW647" s="117">
        <f>+DW613/DW$626*100</f>
        <v>49.441340782122907</v>
      </c>
      <c r="DX647" s="98" t="str">
        <f t="shared" si="3782"/>
        <v>NM</v>
      </c>
      <c r="DY647" s="117">
        <f>+DY613/DY$626*100</f>
        <v>15.485829959514168</v>
      </c>
      <c r="DZ647" s="98">
        <f t="shared" si="3782"/>
        <v>-43.717466743782531</v>
      </c>
      <c r="EA647" s="117">
        <f>+EA613/EA$626*100</f>
        <v>14.171656686626747</v>
      </c>
      <c r="EB647" s="98">
        <f t="shared" ref="EB647:EB650" si="3783">IF(ISERROR((EA647/DS647-1)*100),"NA",IF(((EA647/DS647-1)*100)&gt;100,"NM",IF(((EA647/DS647-1)*100)&lt;-50,"NM",(EA647/DS647-1)*100)))</f>
        <v>30.009546125141018</v>
      </c>
      <c r="EC647" s="117">
        <f>+EC613/EC$626*100</f>
        <v>29.552715654952078</v>
      </c>
      <c r="ED647" s="98" t="str">
        <f t="shared" ref="ED647:ED650" si="3784">IF(ISERROR((EC647/DU647-1)*100),"NA",IF(((EC647/DU647-1)*100)&gt;100,"NM",IF(((EC647/DU647-1)*100)&lt;-50,"NM",(EC647/DU647-1)*100)))</f>
        <v>NM</v>
      </c>
      <c r="EE647" s="117">
        <f>+EE613/EE$626*100</f>
        <v>13.726937269372694</v>
      </c>
      <c r="EF647" s="860" t="str">
        <f t="shared" ref="EF647:EF650" si="3785">IF(ISERROR((EE647/DW647-1)*100),"NA",IF(((EE647/DW647-1)*100)&gt;100,"NM",IF(((EE647/DW647-1)*100)&lt;-50,"NM",(EE647/DW647-1)*100)))</f>
        <v>NM</v>
      </c>
      <c r="EG647" s="117">
        <f>+EG613/EG$626*100</f>
        <v>16.461684011352887</v>
      </c>
      <c r="EH647" s="860">
        <f t="shared" ref="EH647:EH650" si="3786">IF(ISERROR((EG647/DY647-1)*100),"NA",IF(((EG647/DY647-1)*100)&gt;100,"NM",IF(((EG647/DY647-1)*100)&lt;-50,"NM",(EG647/DY647-1)*100)))</f>
        <v>6.3015934850761735</v>
      </c>
      <c r="EI647" s="117">
        <f>+EI613/EI$626*100</f>
        <v>14.685844057532172</v>
      </c>
      <c r="EJ647" s="860">
        <f t="shared" ref="EJ647:EJ650" si="3787">IF(ISERROR((EI647/EA647-1)*100),"NA",IF(((EI647/EA647-1)*100)&gt;100,"NM",IF(((EI647/EA647-1)*100)&lt;-50,"NM",(EI647/EA647-1)*100)))</f>
        <v>3.6282798989242027</v>
      </c>
      <c r="EK647" s="117">
        <f>+EK613/EK$626*100</f>
        <v>18.108831400535237</v>
      </c>
      <c r="EL647" s="860">
        <f t="shared" ref="EL647:EL650" si="3788">IF(ISERROR((EK647/EC647-1)*100),"NA",IF(((EK647/EC647-1)*100)&gt;100,"NM",IF(((EK647/EC647-1)*100)&lt;-50,"NM",(EK647/EC647-1)*100)))</f>
        <v>-38.723629963594277</v>
      </c>
      <c r="EM647" s="117">
        <f>+EM613/EM$626*100</f>
        <v>21.614349775784753</v>
      </c>
      <c r="EN647" s="860">
        <f t="shared" ref="EN647:EN650" si="3789">IF(ISERROR((EM647/EE647-1)*100),"NA",IF(((EM647/EE647-1)*100)&gt;100,"NM",IF(((EM647/EE647-1)*100)&lt;-50,"NM",(EM647/EE647-1)*100)))</f>
        <v>57.459376054776023</v>
      </c>
      <c r="EO647" s="117">
        <f>+EO613/EO$626*100</f>
        <v>33.923303834808259</v>
      </c>
      <c r="EP647" s="98" t="str">
        <f t="shared" ref="EP647:EP650" si="3790">IF(ISERROR((EO647/EG647-1)*100),"NA",IF(((EO647/EG647-1)*100)&gt;100,"NM",IF(((EO647/EG647-1)*100)&lt;-50,"NM",(EO647/EG647-1)*100)))</f>
        <v>NM</v>
      </c>
      <c r="EQ647" s="1031">
        <f>+EQ613/EQ$626*100</f>
        <v>21.947080442950583</v>
      </c>
      <c r="ER647" s="98">
        <f t="shared" ref="ER647:ER648" si="3791">IF(ISERROR((EQ647/EI647-1)*100),"NA",IF(((EQ647/EI647-1)*100)&gt;100,"NM",IF(((EQ647/EI647-1)*100)&lt;-50,"NM",(EQ647/EI647-1)*100)))</f>
        <v>49.443779717204748</v>
      </c>
      <c r="ES647" s="1031">
        <f t="shared" ref="ES647" si="3792">+ES613/ES$626*100</f>
        <v>22.755262985447391</v>
      </c>
      <c r="ET647" s="98">
        <f t="shared" ref="ET647:ET648" si="3793">IF(ISERROR((ES647/EK647-1)*100),"NA",IF(((ES647/EK647-1)*100)&gt;100,"NM",IF(((ES647/EK647-1)*100)&lt;-50,"NM",(ES647/EK647-1)*100)))</f>
        <v>25.658373431953319</v>
      </c>
      <c r="EU647" s="1031">
        <f t="shared" ref="EU647" si="3794">+EU613/EU$626*100</f>
        <v>23.272921572853051</v>
      </c>
      <c r="EV647" s="98">
        <f t="shared" ref="EV647:EV648" si="3795">IF(ISERROR((EU647/EM647-1)*100),"NA",IF(((EU647/EM647-1)*100)&gt;100,"NM",IF(((EU647/EM647-1)*100)&lt;-50,"NM",(EU647/EM647-1)*100)))</f>
        <v>7.6734753266852751</v>
      </c>
      <c r="EW647" s="1031">
        <f t="shared" ref="EW647" si="3796">+EW613/EW$626*100</f>
        <v>23.834260989451668</v>
      </c>
      <c r="EX647" s="98">
        <f t="shared" ref="EX647:EX648" si="3797">IF(ISERROR((EW647/EO647-1)*100),"NA",IF(((EW647/EO647-1)*100)&gt;100,"NM",IF(((EW647/EO647-1)*100)&lt;-50,"NM",(EW647/EO647-1)*100)))</f>
        <v>-29.740743691964212</v>
      </c>
      <c r="EY647" s="117"/>
      <c r="EZ647" s="594"/>
      <c r="FA647" s="405"/>
      <c r="FB647" s="200"/>
      <c r="FC647" s="98"/>
      <c r="FD647" s="117"/>
      <c r="FE647" s="98"/>
      <c r="FF647" s="117"/>
      <c r="FG647" s="98"/>
      <c r="FH647" s="117"/>
      <c r="FI647" s="98"/>
      <c r="FJ647" s="117"/>
      <c r="FK647" s="98"/>
      <c r="FL647" s="117"/>
      <c r="FM647" s="98"/>
      <c r="FN647" s="117"/>
      <c r="FO647" s="98"/>
      <c r="FP647" s="117"/>
      <c r="FQ647" s="98"/>
      <c r="FR647" s="117">
        <f>+FR613/FR$626*100</f>
        <v>0</v>
      </c>
      <c r="FS647" s="98" t="str">
        <f t="shared" ref="FS647:FS650" si="3798">IF(ISERROR((FR647/FP647-1)*100),"NA",IF(((FR647/FP647-1)*100)&gt;100,"NM",IF(((FR647/FP647-1)*100)&lt;-50,"NM",(FR647/FP647-1)*100)))</f>
        <v>NA</v>
      </c>
      <c r="FT647" s="117">
        <f>+FT613/FT$626*100</f>
        <v>0</v>
      </c>
      <c r="FU647" s="98" t="str">
        <f t="shared" ref="FU647:FU650" si="3799">IF(ISERROR((FT647/FR647-1)*100),"NA",IF(((FT647/FR647-1)*100)&gt;100,"NM",IF(((FT647/FR647-1)*100)&lt;-50,"NM",(FT647/FR647-1)*100)))</f>
        <v>NA</v>
      </c>
      <c r="FV647" s="117">
        <f>+FV613/FV$626*100</f>
        <v>0</v>
      </c>
      <c r="FW647" s="98" t="str">
        <f t="shared" ref="FW647:FW650" si="3800">IF(ISERROR((FV647/FT647-1)*100),"NA",IF(((FV647/FT647-1)*100)&gt;100,"NM",IF(((FV647/FT647-1)*100)&lt;-50,"NM",(FV647/FT647-1)*100)))</f>
        <v>NA</v>
      </c>
      <c r="FX647" s="486">
        <f>+FX613/FX$626*100</f>
        <v>0</v>
      </c>
      <c r="FY647" s="98" t="str">
        <f t="shared" ref="FY647:FY650" si="3801">IF(ISERROR((FX647/FV647-1)*100),"NA",IF(((FX647/FV647-1)*100)&gt;100,"NM",IF(((FX647/FV647-1)*100)&lt;-50,"NM",(FX647/FV647-1)*100)))</f>
        <v>NA</v>
      </c>
      <c r="FZ647" s="117">
        <f>+FZ613/FZ$626*100</f>
        <v>0</v>
      </c>
      <c r="GA647" s="98" t="str">
        <f t="shared" ref="GA647:GA650" si="3802">IF(ISERROR((FZ647/FX647-1)*100),"NA",IF(((FZ647/FX647-1)*100)&gt;100,"NM",IF(((FZ647/FX647-1)*100)&lt;-50,"NM",(FZ647/FX647-1)*100)))</f>
        <v>NA</v>
      </c>
      <c r="GB647" s="486">
        <f>+GB613/GB$626*100</f>
        <v>26.660682226211851</v>
      </c>
      <c r="GC647" s="98" t="str">
        <f t="shared" ref="GC647:GC650" si="3803">IF(ISERROR((GB647/FZ647-1)*100),"NA",IF(((GB647/FZ647-1)*100)&gt;100,"NM",IF(((GB647/FZ647-1)*100)&lt;-50,"NM",(GB647/FZ647-1)*100)))</f>
        <v>NA</v>
      </c>
      <c r="GD647" s="117">
        <f>+GD613/GD$626*100</f>
        <v>26.058631921824105</v>
      </c>
      <c r="GE647" s="98">
        <f t="shared" ref="GE647:GW650" si="3804">IF(ISERROR((GD647/GB647-1)*100),"NA",IF(((GD647/GB647-1)*100)&gt;100,"NM",IF(((GD647/GB647-1)*100)&lt;-50,"NM",(GD647/GB647-1)*100)))</f>
        <v>-2.2581954178045427</v>
      </c>
      <c r="GF647" s="117">
        <f>+GF613/GF$626*100</f>
        <v>18.247344461305008</v>
      </c>
      <c r="GG647" s="98">
        <f t="shared" si="3804"/>
        <v>-29.97581562974203</v>
      </c>
      <c r="GH647" s="117">
        <f>+GH613/GH$626*100</f>
        <v>16.438869125631904</v>
      </c>
      <c r="GI647" s="98">
        <f t="shared" si="3804"/>
        <v>-9.9108960183665324</v>
      </c>
      <c r="GJ647" s="117">
        <f>+GJ613/GJ$626*100</f>
        <v>15.965751699823722</v>
      </c>
      <c r="GK647" s="98">
        <f t="shared" si="3804"/>
        <v>-2.8780411973137854</v>
      </c>
      <c r="GL647" s="117">
        <f>+GL613/GL$626*100</f>
        <v>17.004950495049506</v>
      </c>
      <c r="GM647" s="98">
        <f t="shared" si="3804"/>
        <v>6.5089249461223853</v>
      </c>
      <c r="GN647" s="117">
        <f>+GN613/GN$626*100</f>
        <v>20.495867768595041</v>
      </c>
      <c r="GO647" s="98">
        <f t="shared" si="3804"/>
        <v>20.528829381548697</v>
      </c>
      <c r="GP647" s="117">
        <f>+GP613/GP$626*100</f>
        <v>22.957669511735975</v>
      </c>
      <c r="GQ647" s="98">
        <f t="shared" si="3804"/>
        <v>12.011210117744087</v>
      </c>
      <c r="GR647" s="117">
        <f>+GR613/GR$626*100</f>
        <v>23.151556985553729</v>
      </c>
      <c r="GS647" s="98">
        <f t="shared" si="3804"/>
        <v>0.84454336150556752</v>
      </c>
      <c r="GT647" s="117">
        <f>+GT613/GT$626*100</f>
        <v>22.635050002861419</v>
      </c>
      <c r="GU647" s="98">
        <f t="shared" si="3804"/>
        <v>-2.2309816269143523</v>
      </c>
      <c r="GV647" s="117">
        <f>+GV613/GV$626*100</f>
        <v>22.371711156720213</v>
      </c>
      <c r="GW647" s="98">
        <f t="shared" si="3804"/>
        <v>-1.1634118153391104</v>
      </c>
      <c r="GX647" s="117">
        <f>+GX613/GX$626*100</f>
        <v>22.350179115357456</v>
      </c>
      <c r="GY647" s="98">
        <f t="shared" ref="GY647:GY648" si="3805">IF(ISERROR((GX647/GV647-1)*100),"NA",IF(((GX647/GV647-1)*100)&gt;100,"NM",IF(((GX647/GV647-1)*100)&lt;-50,"NM",(GX647/GV647-1)*100)))</f>
        <v>-9.624673415421503E-2</v>
      </c>
      <c r="GZ647" s="98">
        <f>IF(ISERROR(((GX647/GN647)^0.2-1)*100),"NA",IF((((GX647/GN647)^0.2-1)*100)&gt;100,"NM",IF((((GX647/GN647)^0.2-1)*100)&lt;-50,"NM",((GX647/GN647)^0.2-1)*100)))</f>
        <v>1.7473107810452637</v>
      </c>
      <c r="HA647" s="98"/>
      <c r="HB647" s="10"/>
      <c r="HC647"/>
      <c r="HD647"/>
      <c r="HE647"/>
      <c r="HF647"/>
      <c r="HG647"/>
      <c r="HH647"/>
      <c r="HI647" s="10"/>
    </row>
    <row r="648" spans="1:217" s="2" customFormat="1" ht="12.75" customHeight="1" x14ac:dyDescent="0.2">
      <c r="A648" s="2" t="s">
        <v>305</v>
      </c>
      <c r="B648" s="18" t="s">
        <v>739</v>
      </c>
      <c r="C648" s="117"/>
      <c r="D648" s="98"/>
      <c r="E648" s="117"/>
      <c r="F648" s="98"/>
      <c r="G648" s="117"/>
      <c r="H648" s="98"/>
      <c r="I648" s="117"/>
      <c r="J648" s="98"/>
      <c r="K648" s="117"/>
      <c r="L648" s="98"/>
      <c r="M648" s="117"/>
      <c r="N648" s="98"/>
      <c r="O648" s="117"/>
      <c r="P648" s="98"/>
      <c r="Q648" s="117"/>
      <c r="R648" s="98"/>
      <c r="S648" s="117"/>
      <c r="T648" s="98"/>
      <c r="U648" s="117"/>
      <c r="V648" s="98"/>
      <c r="W648" s="117"/>
      <c r="X648" s="98"/>
      <c r="Y648" s="117"/>
      <c r="Z648" s="98"/>
      <c r="AA648" s="117"/>
      <c r="AB648" s="98"/>
      <c r="AC648" s="117"/>
      <c r="AD648" s="98"/>
      <c r="AE648" s="117"/>
      <c r="AF648" s="98"/>
      <c r="AG648" s="117"/>
      <c r="AH648" s="98"/>
      <c r="AI648" s="117"/>
      <c r="AJ648" s="98"/>
      <c r="AK648" s="117"/>
      <c r="AL648" s="98"/>
      <c r="AM648" s="117"/>
      <c r="AN648" s="98"/>
      <c r="AO648" s="117"/>
      <c r="AP648" s="98"/>
      <c r="AQ648" s="117"/>
      <c r="AR648" s="98"/>
      <c r="AS648" s="117"/>
      <c r="AT648" s="98"/>
      <c r="AU648" s="117"/>
      <c r="AV648" s="98"/>
      <c r="AW648" s="117"/>
      <c r="AX648" s="98"/>
      <c r="AY648" s="117">
        <f>+AY614/AY$626*100</f>
        <v>25.438596491228072</v>
      </c>
      <c r="AZ648" s="98" t="str">
        <f t="shared" si="3749"/>
        <v>NA</v>
      </c>
      <c r="BA648" s="117">
        <f>+BA614/BA$626*100</f>
        <v>22.459349593495933</v>
      </c>
      <c r="BB648" s="98" t="str">
        <f t="shared" si="3750"/>
        <v>NA</v>
      </c>
      <c r="BC648" s="117">
        <f>+BC614/BC$626*100</f>
        <v>20.981210855949893</v>
      </c>
      <c r="BD648" s="98" t="str">
        <f t="shared" si="3751"/>
        <v>NA</v>
      </c>
      <c r="BE648" s="117">
        <f>+BE614/BE$626*100</f>
        <v>25.806451612903224</v>
      </c>
      <c r="BF648" s="98" t="str">
        <f t="shared" si="3752"/>
        <v>NA</v>
      </c>
      <c r="BG648" s="117">
        <f>+BG614/BG$626*100</f>
        <v>24.584103512014789</v>
      </c>
      <c r="BH648" s="98">
        <f t="shared" si="3753"/>
        <v>-3.3590413665625651</v>
      </c>
      <c r="BI648" s="117">
        <f>+BI614/BI$626*100</f>
        <v>22.807017543859647</v>
      </c>
      <c r="BJ648" s="98">
        <f t="shared" si="3754"/>
        <v>1.5479876160990669</v>
      </c>
      <c r="BK648" s="117">
        <f>+BK614/BK$626*100</f>
        <v>21.563342318059302</v>
      </c>
      <c r="BL648" s="98">
        <f t="shared" si="3755"/>
        <v>2.7745370184120155</v>
      </c>
      <c r="BM648" s="117">
        <f>+BM614/BM$626*100</f>
        <v>28.940568475452196</v>
      </c>
      <c r="BN648" s="98">
        <f t="shared" si="3756"/>
        <v>12.144702842377274</v>
      </c>
      <c r="BO648" s="117">
        <f>+BO614/BO$626*100</f>
        <v>29.944029850746269</v>
      </c>
      <c r="BP648" s="98">
        <f t="shared" si="3757"/>
        <v>21.802407137246107</v>
      </c>
      <c r="BQ648" s="117">
        <f>+BQ614/BQ$626*100</f>
        <v>24.689966178128522</v>
      </c>
      <c r="BR648" s="98">
        <f t="shared" si="3758"/>
        <v>8.2560055502558285</v>
      </c>
      <c r="BS648" s="117">
        <f>+BS614/BS$626*100</f>
        <v>32.07236842105263</v>
      </c>
      <c r="BT648" s="98">
        <f t="shared" si="3759"/>
        <v>48.735608552631547</v>
      </c>
      <c r="BU648" s="117">
        <f>+BU614/BU$626*100</f>
        <v>-236.17021276595747</v>
      </c>
      <c r="BV648" s="98" t="str">
        <f t="shared" si="3760"/>
        <v>NM</v>
      </c>
      <c r="BW648" s="117">
        <f>+BW614/BW$626*100</f>
        <v>-110.16949152542372</v>
      </c>
      <c r="BX648" s="98" t="str">
        <f t="shared" si="3761"/>
        <v>NM</v>
      </c>
      <c r="BY648" s="117">
        <f>+BY614/BY$626*100</f>
        <v>108.3916083916084</v>
      </c>
      <c r="BZ648" s="98" t="str">
        <f t="shared" si="3762"/>
        <v>NM</v>
      </c>
      <c r="CA648" s="117">
        <f>+CA614/CA$626*100</f>
        <v>96.551724137931032</v>
      </c>
      <c r="CB648" s="98" t="str">
        <f t="shared" si="3763"/>
        <v>NM</v>
      </c>
      <c r="CC648" s="117">
        <f>+CC614/CC$626*100</f>
        <v>566.66666666666674</v>
      </c>
      <c r="CD648" s="98" t="str">
        <f t="shared" si="3764"/>
        <v>NM</v>
      </c>
      <c r="CE648" s="117">
        <f>+CE614/CE$626*100</f>
        <v>91.666666666666657</v>
      </c>
      <c r="CF648" s="98" t="str">
        <f t="shared" si="3765"/>
        <v>NM</v>
      </c>
      <c r="CG648" s="117">
        <f>+CG614/CG$626*100</f>
        <v>87.360594795539043</v>
      </c>
      <c r="CH648" s="98">
        <f t="shared" si="3766"/>
        <v>-19.402806091857538</v>
      </c>
      <c r="CI648" s="117">
        <f>+CI614/CI$626*100</f>
        <v>94.300518134715034</v>
      </c>
      <c r="CJ648" s="98">
        <f t="shared" si="3767"/>
        <v>-2.3316062176165664</v>
      </c>
      <c r="CK648" s="117">
        <f>+CK614/CK$626*100</f>
        <v>48.542024013722127</v>
      </c>
      <c r="CL648" s="98" t="str">
        <f t="shared" si="3768"/>
        <v>NM</v>
      </c>
      <c r="CM648" s="117">
        <f>+CM614/CM$626*100</f>
        <v>41.051136363636367</v>
      </c>
      <c r="CN648" s="98" t="str">
        <f t="shared" si="3769"/>
        <v>NM</v>
      </c>
      <c r="CO648" s="117">
        <f>+CO614/CO$626*100</f>
        <v>50.309597523219821</v>
      </c>
      <c r="CP648" s="98">
        <f t="shared" si="3770"/>
        <v>-42.411567090441991</v>
      </c>
      <c r="CQ648" s="486">
        <f>+CQ614/CQ$626*100</f>
        <v>36.218375499334222</v>
      </c>
      <c r="CR648" s="98" t="str">
        <f t="shared" si="3771"/>
        <v>NM</v>
      </c>
      <c r="CS648" s="117">
        <f>+CS614/CS$626*100</f>
        <v>28.249999999999996</v>
      </c>
      <c r="CT648" s="98">
        <f t="shared" si="3772"/>
        <v>-41.803003533568919</v>
      </c>
      <c r="CU648" s="117">
        <f>+CU614/CU$626*100</f>
        <v>29.94974874371859</v>
      </c>
      <c r="CV648" s="98">
        <f t="shared" si="3773"/>
        <v>-27.042826589695899</v>
      </c>
      <c r="CW648" s="117">
        <f>+CW614/CW$626*100</f>
        <v>31.0546875</v>
      </c>
      <c r="CX648" s="98">
        <f t="shared" si="3774"/>
        <v>-38.272836538461554</v>
      </c>
      <c r="CY648" s="117">
        <f>+CY614/CY$626*100</f>
        <v>32.756756756756758</v>
      </c>
      <c r="CZ648" s="98">
        <f t="shared" si="3775"/>
        <v>-9.557631160572333</v>
      </c>
      <c r="DA648" s="117">
        <f>+DA614/DA$626*100</f>
        <v>41.216216216216218</v>
      </c>
      <c r="DB648" s="98">
        <f t="shared" si="3776"/>
        <v>45.898110499880438</v>
      </c>
      <c r="DC648" s="117">
        <f>+DC614/DC$626*100</f>
        <v>29.37062937062937</v>
      </c>
      <c r="DD648" s="98">
        <f t="shared" si="3777"/>
        <v>-1.9336368329656906</v>
      </c>
      <c r="DE648" s="117">
        <f>+DE614/DE$626*100</f>
        <v>34.462151394422314</v>
      </c>
      <c r="DF648" s="98">
        <f t="shared" si="3778"/>
        <v>10.972462351850476</v>
      </c>
      <c r="DG648" s="117">
        <f>+DG614/DG$626*100</f>
        <v>35.645933014354064</v>
      </c>
      <c r="DH648" s="98">
        <f t="shared" si="3779"/>
        <v>8.8200925355693229</v>
      </c>
      <c r="DI648" s="117">
        <f>+DI614/DI$626*100</f>
        <v>39.84375</v>
      </c>
      <c r="DJ648" s="98">
        <f t="shared" si="3780"/>
        <v>-3.3299180327868938</v>
      </c>
      <c r="DK648" s="117">
        <f>+DK614/DK$626*100</f>
        <v>36.717062634989198</v>
      </c>
      <c r="DL648" s="98">
        <f t="shared" si="3781"/>
        <v>25.012856114367988</v>
      </c>
      <c r="DM648" s="117">
        <f>+DM614/DM$626*100</f>
        <v>39.75903614457831</v>
      </c>
      <c r="DN648" s="98">
        <f t="shared" si="3782"/>
        <v>15.370151124730125</v>
      </c>
      <c r="DO648" s="117">
        <f>+DO614/DO$626*100</f>
        <v>37.980769230769226</v>
      </c>
      <c r="DP648" s="98">
        <f t="shared" si="3782"/>
        <v>6.5500774393391747</v>
      </c>
      <c r="DQ648" s="117">
        <f>+DQ614/DQ$626*100</f>
        <v>41.618497109826592</v>
      </c>
      <c r="DR648" s="98">
        <f t="shared" si="3782"/>
        <v>4.4542672560353713</v>
      </c>
      <c r="DS648" s="117">
        <f t="shared" ref="DS648:DU649" si="3806">+DS614/DS$626*100</f>
        <v>24.24960505529226</v>
      </c>
      <c r="DT648" s="98">
        <f t="shared" si="3782"/>
        <v>-33.955487408233431</v>
      </c>
      <c r="DU648" s="117">
        <f t="shared" si="3806"/>
        <v>24.871228844738781</v>
      </c>
      <c r="DV648" s="98">
        <f t="shared" si="3782"/>
        <v>-37.445091087475177</v>
      </c>
      <c r="DW648" s="117">
        <f t="shared" ref="DW648" si="3807">+DW614/DW$626*100</f>
        <v>74.58100558659217</v>
      </c>
      <c r="DX648" s="98">
        <f t="shared" si="3782"/>
        <v>96.365179265964215</v>
      </c>
      <c r="DY648" s="117">
        <f t="shared" ref="DY648" si="3808">+DY614/DY$626*100</f>
        <v>23.785425101214575</v>
      </c>
      <c r="DZ648" s="98">
        <f t="shared" si="3782"/>
        <v>-42.848909131803872</v>
      </c>
      <c r="EA648" s="117">
        <f t="shared" ref="EA648" si="3809">+EA614/EA$626*100</f>
        <v>24.151696606786427</v>
      </c>
      <c r="EB648" s="98">
        <f t="shared" si="3783"/>
        <v>-0.40375275507616992</v>
      </c>
      <c r="EC648" s="117">
        <f t="shared" ref="EC648:EE648" si="3810">+EC614/EC$626*100</f>
        <v>41.533546325878596</v>
      </c>
      <c r="ED648" s="98">
        <f t="shared" si="3784"/>
        <v>66.994347505529618</v>
      </c>
      <c r="EE648" s="117">
        <f t="shared" si="3810"/>
        <v>22.730627306273064</v>
      </c>
      <c r="EF648" s="860" t="str">
        <f t="shared" si="3785"/>
        <v>NM</v>
      </c>
      <c r="EG648" s="117">
        <f t="shared" ref="EG648:EI648" si="3811">+EG614/EG$626*100</f>
        <v>27.814569536423839</v>
      </c>
      <c r="EH648" s="860">
        <f t="shared" si="3786"/>
        <v>16.939551923347885</v>
      </c>
      <c r="EI648" s="117">
        <f t="shared" si="3811"/>
        <v>20.741862225586676</v>
      </c>
      <c r="EJ648" s="860">
        <f t="shared" si="3787"/>
        <v>-14.118405165132852</v>
      </c>
      <c r="EK648" s="117">
        <f t="shared" ref="EK648:EM648" si="3812">+EK614/EK$626*100</f>
        <v>23.371989295272076</v>
      </c>
      <c r="EL648" s="860">
        <f t="shared" si="3788"/>
        <v>-43.727441158306469</v>
      </c>
      <c r="EM648" s="117">
        <f t="shared" si="3812"/>
        <v>22.152466367713007</v>
      </c>
      <c r="EN648" s="860">
        <f t="shared" si="3789"/>
        <v>-2.5435327004833641</v>
      </c>
      <c r="EO648" s="117">
        <f t="shared" ref="EO648" si="3813">+EO614/EO$626*100</f>
        <v>25.516224188790559</v>
      </c>
      <c r="EP648" s="98">
        <f t="shared" si="3790"/>
        <v>-8.2630987498244153</v>
      </c>
      <c r="EQ648" s="1031">
        <f t="shared" ref="EQ648" si="3814">+EQ614/EQ$626*100</f>
        <v>23.8117299636368</v>
      </c>
      <c r="ER648" s="98">
        <f t="shared" si="3791"/>
        <v>14.800347744394937</v>
      </c>
      <c r="ES648" s="1031">
        <f t="shared" ref="ES648" si="3815">+ES614/ES$626*100</f>
        <v>22.750261441169545</v>
      </c>
      <c r="ET648" s="98">
        <f t="shared" si="3793"/>
        <v>-2.6601409330112125</v>
      </c>
      <c r="EU648" s="1031">
        <f t="shared" ref="EU648" si="3816">+EU614/EU$626*100</f>
        <v>21.471206107636178</v>
      </c>
      <c r="EV648" s="98">
        <f t="shared" si="3795"/>
        <v>-3.0753246558124059</v>
      </c>
      <c r="EW648" s="1031">
        <f t="shared" ref="EW648" si="3817">+EW614/EW$626*100</f>
        <v>20.237379734661467</v>
      </c>
      <c r="EX648" s="98">
        <f t="shared" si="3797"/>
        <v>-20.68818809190477</v>
      </c>
      <c r="EY648" s="117"/>
      <c r="EZ648" s="594"/>
      <c r="FA648" s="405"/>
      <c r="FB648" s="200"/>
      <c r="FC648" s="98"/>
      <c r="FD648" s="117"/>
      <c r="FE648" s="98"/>
      <c r="FF648" s="117"/>
      <c r="FG648" s="98"/>
      <c r="FH648" s="117"/>
      <c r="FI648" s="98"/>
      <c r="FJ648" s="117"/>
      <c r="FK648" s="98"/>
      <c r="FL648" s="117"/>
      <c r="FM648" s="98"/>
      <c r="FN648" s="117"/>
      <c r="FO648" s="98"/>
      <c r="FP648" s="117"/>
      <c r="FQ648" s="98"/>
      <c r="FR648" s="117">
        <f>+FR614/FR$626*100</f>
        <v>23.74440576827449</v>
      </c>
      <c r="FS648" s="98" t="str">
        <f t="shared" si="3798"/>
        <v>NA</v>
      </c>
      <c r="FT648" s="117">
        <f>+FT614/FT$626*100</f>
        <v>24.44825369616456</v>
      </c>
      <c r="FU648" s="98">
        <f t="shared" si="3799"/>
        <v>2.9642684460459368</v>
      </c>
      <c r="FV648" s="117">
        <f>+FV614/FV$626*100</f>
        <v>36.230158730158728</v>
      </c>
      <c r="FW648" s="98">
        <f t="shared" si="3800"/>
        <v>48.191192632472202</v>
      </c>
      <c r="FX648" s="486">
        <f>+FX614/FX$626*100</f>
        <v>208.77862595419847</v>
      </c>
      <c r="FY648" s="98" t="str">
        <f t="shared" si="3801"/>
        <v>NM</v>
      </c>
      <c r="FZ648" s="117">
        <f>+FZ614/FZ$626*100</f>
        <v>71.595330739299612</v>
      </c>
      <c r="GA648" s="98" t="str">
        <f t="shared" si="3802"/>
        <v>NM</v>
      </c>
      <c r="GB648" s="486">
        <f>+GB614/GB$626*100</f>
        <v>33.273488928785163</v>
      </c>
      <c r="GC648" s="98" t="str">
        <f t="shared" si="3803"/>
        <v>NM</v>
      </c>
      <c r="GD648" s="117">
        <f>+GD614/GD$626*100</f>
        <v>33.22475570032573</v>
      </c>
      <c r="GE648" s="98">
        <f t="shared" si="3804"/>
        <v>-0.14646263445271535</v>
      </c>
      <c r="GF648" s="117">
        <f>+GF614/GF$626*100</f>
        <v>24.563732928679819</v>
      </c>
      <c r="GG648" s="98">
        <f t="shared" si="3804"/>
        <v>-26.067980302895045</v>
      </c>
      <c r="GH648" s="117">
        <f>+GH614/GH$626*100</f>
        <v>27.298258753042504</v>
      </c>
      <c r="GI648" s="98">
        <f t="shared" si="3804"/>
        <v>11.132370769142907</v>
      </c>
      <c r="GJ648" s="117">
        <f t="shared" ref="GJ648" si="3818">+GJ614/GJ$626*100</f>
        <v>28.884411986905061</v>
      </c>
      <c r="GK648" s="98">
        <f t="shared" si="3804"/>
        <v>5.8104557078600294</v>
      </c>
      <c r="GL648" s="117">
        <f t="shared" ref="GL648" si="3819">+GL614/GL$626*100</f>
        <v>27.32673267326733</v>
      </c>
      <c r="GM648" s="98">
        <f t="shared" si="3804"/>
        <v>-5.3928025758111842</v>
      </c>
      <c r="GN648" s="117">
        <f t="shared" ref="GN648" si="3820">+GN614/GN$626*100</f>
        <v>22.573789846517119</v>
      </c>
      <c r="GO648" s="98">
        <f t="shared" si="3804"/>
        <v>-17.39301541673084</v>
      </c>
      <c r="GP648" s="117">
        <f t="shared" ref="GP648:GP649" si="3821">+GP614/GP$626*100</f>
        <v>22.056801952617729</v>
      </c>
      <c r="GQ648" s="98">
        <f t="shared" si="3804"/>
        <v>-2.2902131073890386</v>
      </c>
      <c r="GR648" s="117">
        <f t="shared" ref="GR648" si="3822">+GR614/GR$626*100</f>
        <v>21.203350035892505</v>
      </c>
      <c r="GS648" s="98">
        <f t="shared" si="3804"/>
        <v>-3.8693366271257412</v>
      </c>
      <c r="GT648" s="117">
        <f t="shared" ref="GT648" si="3823">+GT614/GT$626*100</f>
        <v>20.745411499011137</v>
      </c>
      <c r="GU648" s="98">
        <f t="shared" si="3804"/>
        <v>-2.1597461538208851</v>
      </c>
      <c r="GV648" s="117">
        <f t="shared" ref="GV648:GX648" si="3824">+GV614/GV$626*100</f>
        <v>20.495632166464471</v>
      </c>
      <c r="GW648" s="98">
        <f t="shared" si="3804"/>
        <v>-1.2040220680056057</v>
      </c>
      <c r="GX648" s="117">
        <f t="shared" si="3824"/>
        <v>20.563437134615562</v>
      </c>
      <c r="GY648" s="98">
        <f t="shared" si="3805"/>
        <v>0.33082642975039711</v>
      </c>
      <c r="GZ648" s="98">
        <f>IF(ISERROR(((GX648/GN648)^0.2-1)*100),"NA",IF((((GX648/GN648)^0.2-1)*100)&gt;100,"NM",IF((((GX648/GN648)^0.2-1)*100)&lt;-50,"NM",((GX648/GN648)^0.2-1)*100)))</f>
        <v>-1.8482050792516747</v>
      </c>
      <c r="HA648" s="98"/>
      <c r="HB648" s="10"/>
      <c r="HC648"/>
      <c r="HD648"/>
      <c r="HE648"/>
      <c r="HF648"/>
      <c r="HG648"/>
      <c r="HH648"/>
      <c r="HI648" s="10"/>
    </row>
    <row r="649" spans="1:217" s="2" customFormat="1" ht="12.75" customHeight="1" x14ac:dyDescent="0.2">
      <c r="B649" s="18" t="s">
        <v>740</v>
      </c>
      <c r="C649" s="117"/>
      <c r="D649" s="98"/>
      <c r="E649" s="117"/>
      <c r="F649" s="98"/>
      <c r="G649" s="117"/>
      <c r="H649" s="98"/>
      <c r="I649" s="117"/>
      <c r="J649" s="98"/>
      <c r="K649" s="117"/>
      <c r="L649" s="98"/>
      <c r="M649" s="117"/>
      <c r="N649" s="98"/>
      <c r="O649" s="117"/>
      <c r="P649" s="98"/>
      <c r="Q649" s="117"/>
      <c r="R649" s="98"/>
      <c r="S649" s="117"/>
      <c r="T649" s="98"/>
      <c r="U649" s="117"/>
      <c r="V649" s="98"/>
      <c r="W649" s="117"/>
      <c r="X649" s="98"/>
      <c r="Y649" s="117"/>
      <c r="Z649" s="98"/>
      <c r="AA649" s="117"/>
      <c r="AB649" s="98"/>
      <c r="AC649" s="117"/>
      <c r="AD649" s="98"/>
      <c r="AE649" s="117"/>
      <c r="AF649" s="98"/>
      <c r="AG649" s="117"/>
      <c r="AH649" s="98"/>
      <c r="AI649" s="117"/>
      <c r="AJ649" s="98"/>
      <c r="AK649" s="117"/>
      <c r="AL649" s="98"/>
      <c r="AM649" s="117"/>
      <c r="AN649" s="98"/>
      <c r="AO649" s="117"/>
      <c r="AP649" s="98"/>
      <c r="AQ649" s="117"/>
      <c r="AR649" s="98"/>
      <c r="AS649" s="117"/>
      <c r="AT649" s="98"/>
      <c r="AU649" s="117"/>
      <c r="AV649" s="98"/>
      <c r="AW649" s="117"/>
      <c r="AX649" s="98"/>
      <c r="AY649" s="117"/>
      <c r="AZ649" s="98"/>
      <c r="BA649" s="117"/>
      <c r="BB649" s="98"/>
      <c r="BC649" s="117"/>
      <c r="BD649" s="98"/>
      <c r="BE649" s="117"/>
      <c r="BF649" s="98"/>
      <c r="BG649" s="117"/>
      <c r="BH649" s="98"/>
      <c r="BI649" s="117"/>
      <c r="BJ649" s="98"/>
      <c r="BK649" s="117"/>
      <c r="BL649" s="98"/>
      <c r="BM649" s="117"/>
      <c r="BN649" s="98"/>
      <c r="BO649" s="117"/>
      <c r="BP649" s="98"/>
      <c r="BQ649" s="117"/>
      <c r="BR649" s="98"/>
      <c r="BS649" s="117"/>
      <c r="BT649" s="98"/>
      <c r="BU649" s="117"/>
      <c r="BV649" s="98"/>
      <c r="BW649" s="117"/>
      <c r="BX649" s="98"/>
      <c r="BY649" s="117"/>
      <c r="BZ649" s="98"/>
      <c r="CA649" s="117"/>
      <c r="CB649" s="98"/>
      <c r="CC649" s="117"/>
      <c r="CD649" s="98"/>
      <c r="CE649" s="117"/>
      <c r="CF649" s="98"/>
      <c r="CG649" s="117"/>
      <c r="CH649" s="98"/>
      <c r="CI649" s="117"/>
      <c r="CJ649" s="98"/>
      <c r="CK649" s="117"/>
      <c r="CL649" s="98"/>
      <c r="CM649" s="117"/>
      <c r="CN649" s="98"/>
      <c r="CO649" s="117"/>
      <c r="CP649" s="98"/>
      <c r="CQ649" s="486"/>
      <c r="CR649" s="98"/>
      <c r="CS649" s="117"/>
      <c r="CT649" s="98"/>
      <c r="CU649" s="117"/>
      <c r="CV649" s="98"/>
      <c r="CW649" s="117"/>
      <c r="CX649" s="98"/>
      <c r="CY649" s="117"/>
      <c r="CZ649" s="98"/>
      <c r="DA649" s="117"/>
      <c r="DB649" s="98"/>
      <c r="DC649" s="117"/>
      <c r="DD649" s="98"/>
      <c r="DE649" s="117"/>
      <c r="DF649" s="98"/>
      <c r="DG649" s="117"/>
      <c r="DH649" s="98"/>
      <c r="DI649" s="117"/>
      <c r="DJ649" s="98"/>
      <c r="DK649" s="117"/>
      <c r="DL649" s="98"/>
      <c r="DM649" s="117"/>
      <c r="DN649" s="98"/>
      <c r="DO649" s="117"/>
      <c r="DP649" s="98"/>
      <c r="DQ649" s="117"/>
      <c r="DR649" s="98"/>
      <c r="DS649" s="117">
        <f t="shared" si="3806"/>
        <v>5.1342812006319116</v>
      </c>
      <c r="DT649" s="98"/>
      <c r="DU649" s="117">
        <f t="shared" si="3806"/>
        <v>3.4584253127299487</v>
      </c>
      <c r="DV649" s="98"/>
      <c r="DW649" s="117">
        <f t="shared" ref="DW649" si="3825">+DW615/DW$626*100</f>
        <v>18.715083798882681</v>
      </c>
      <c r="DX649" s="98"/>
      <c r="DY649" s="117">
        <f t="shared" ref="DY649" si="3826">+DY615/DY$626*100</f>
        <v>4.4534412955465585</v>
      </c>
      <c r="DZ649" s="98"/>
      <c r="EA649" s="117">
        <f t="shared" ref="EA649" si="3827">+EA615/EA$626*100</f>
        <v>2.19560878243513</v>
      </c>
      <c r="EB649" s="98"/>
      <c r="EC649" s="117">
        <f t="shared" ref="EC649:EE649" si="3828">+EC615/EC$626*100</f>
        <v>-0.31948881789137379</v>
      </c>
      <c r="ED649" s="98"/>
      <c r="EE649" s="117">
        <f t="shared" si="3828"/>
        <v>4.2804428044280449</v>
      </c>
      <c r="EF649" s="860"/>
      <c r="EG649" s="117">
        <f t="shared" ref="EG649:EI649" si="3829">+EG615/EG$626*100</f>
        <v>4.0681173131504256</v>
      </c>
      <c r="EH649" s="860"/>
      <c r="EI649" s="117">
        <f t="shared" si="3829"/>
        <v>2.195306585919758</v>
      </c>
      <c r="EJ649" s="860"/>
      <c r="EK649" s="117">
        <f t="shared" ref="EK649:EM649" si="3830">+EK615/EK$626*100</f>
        <v>2.4977698483496877</v>
      </c>
      <c r="EL649" s="860"/>
      <c r="EM649" s="117">
        <f t="shared" si="3830"/>
        <v>4.5739910313901344</v>
      </c>
      <c r="EN649" s="860"/>
      <c r="EO649" s="117">
        <f t="shared" ref="EO649" si="3831">+EO615/EO$626*100</f>
        <v>14.011799410029498</v>
      </c>
      <c r="EP649" s="98"/>
      <c r="EQ649" s="1031">
        <f t="shared" ref="EQ649" si="3832">+EQ615/EQ$626*100</f>
        <v>4.5213405083624645</v>
      </c>
      <c r="ER649" s="98"/>
      <c r="ES649" s="1031">
        <f t="shared" ref="ES649" si="3833">+ES615/ES$626*100</f>
        <v>4.2033363393737879</v>
      </c>
      <c r="ET649" s="98"/>
      <c r="EU649" s="1031">
        <f t="shared" ref="EU649" si="3834">+EU615/EU$626*100</f>
        <v>4.5112267495739573</v>
      </c>
      <c r="EV649" s="98"/>
      <c r="EW649" s="1031">
        <f t="shared" ref="EW649" si="3835">+EW615/EW$626*100</f>
        <v>8.1073456697977146</v>
      </c>
      <c r="EX649" s="98"/>
      <c r="EY649" s="117"/>
      <c r="EZ649" s="594"/>
      <c r="FA649" s="405"/>
      <c r="FB649" s="200"/>
      <c r="FC649" s="98"/>
      <c r="FD649" s="117"/>
      <c r="FE649" s="98"/>
      <c r="FF649" s="117"/>
      <c r="FG649" s="98"/>
      <c r="FH649" s="117"/>
      <c r="FI649" s="98"/>
      <c r="FJ649" s="117"/>
      <c r="FK649" s="98"/>
      <c r="FL649" s="117"/>
      <c r="FM649" s="98"/>
      <c r="FN649" s="117"/>
      <c r="FO649" s="98"/>
      <c r="FP649" s="117"/>
      <c r="FQ649" s="98"/>
      <c r="FR649" s="117"/>
      <c r="FS649" s="98"/>
      <c r="FT649" s="117"/>
      <c r="FU649" s="98"/>
      <c r="FV649" s="117"/>
      <c r="FW649" s="98"/>
      <c r="FX649" s="486"/>
      <c r="FY649" s="98"/>
      <c r="FZ649" s="117"/>
      <c r="GA649" s="98"/>
      <c r="GB649" s="486"/>
      <c r="GC649" s="98"/>
      <c r="GD649" s="117"/>
      <c r="GE649" s="98"/>
      <c r="GF649" s="117"/>
      <c r="GG649" s="98"/>
      <c r="GH649" s="117"/>
      <c r="GI649" s="98"/>
      <c r="GJ649" s="117">
        <f t="shared" ref="GJ649" si="3836">+GJ615/GJ$626*100</f>
        <v>5.6157139259632327</v>
      </c>
      <c r="GK649" s="98"/>
      <c r="GL649" s="117">
        <f t="shared" ref="GL649" si="3837">+GL615/GL$626*100</f>
        <v>2.995049504950495</v>
      </c>
      <c r="GM649" s="98"/>
      <c r="GN649" s="117">
        <f t="shared" ref="GN649" si="3838">+GN615/GN$626*100</f>
        <v>4.7933884297520661</v>
      </c>
      <c r="GO649" s="98"/>
      <c r="GP649" s="117">
        <f t="shared" si="3821"/>
        <v>5.3477780504964958</v>
      </c>
      <c r="GQ649" s="98"/>
      <c r="GR649" s="117">
        <f t="shared" ref="GR649" si="3839">+GR615/GR$626*100</f>
        <v>5.8626724581570748</v>
      </c>
      <c r="GS649" s="98"/>
      <c r="GT649" s="117">
        <f t="shared" ref="GT649" si="3840">+GT615/GT$626*100</f>
        <v>6.0672092202734218</v>
      </c>
      <c r="GU649" s="98"/>
      <c r="GV649" s="117">
        <f t="shared" ref="GV649:GX649" si="3841">+GV615/GV$626*100</f>
        <v>6.2840818494538455</v>
      </c>
      <c r="GW649" s="98"/>
      <c r="GX649" s="117">
        <f t="shared" si="3841"/>
        <v>6.4633159915644498</v>
      </c>
      <c r="GY649" s="98"/>
      <c r="GZ649" s="98"/>
      <c r="HA649" s="98"/>
      <c r="HB649" s="10"/>
      <c r="HC649"/>
      <c r="HD649"/>
      <c r="HE649"/>
      <c r="HF649"/>
      <c r="HG649"/>
      <c r="HH649"/>
      <c r="HI649" s="10"/>
    </row>
    <row r="650" spans="1:217" s="2" customFormat="1" ht="12.75" customHeight="1" x14ac:dyDescent="0.2">
      <c r="A650" s="2" t="s">
        <v>549</v>
      </c>
      <c r="B650" s="19" t="s">
        <v>226</v>
      </c>
      <c r="C650" s="182"/>
      <c r="D650" s="230"/>
      <c r="E650" s="182"/>
      <c r="F650" s="98"/>
      <c r="G650" s="182"/>
      <c r="H650" s="98"/>
      <c r="I650" s="182"/>
      <c r="J650" s="98"/>
      <c r="K650" s="182"/>
      <c r="L650" s="98"/>
      <c r="M650" s="182"/>
      <c r="N650" s="98"/>
      <c r="O650" s="182"/>
      <c r="P650" s="98"/>
      <c r="Q650" s="182"/>
      <c r="R650" s="98"/>
      <c r="S650" s="182"/>
      <c r="T650" s="98"/>
      <c r="U650" s="182"/>
      <c r="V650" s="98"/>
      <c r="W650" s="182"/>
      <c r="X650" s="98"/>
      <c r="Y650" s="182"/>
      <c r="Z650" s="98"/>
      <c r="AA650" s="182"/>
      <c r="AB650" s="98"/>
      <c r="AC650" s="182"/>
      <c r="AD650" s="98"/>
      <c r="AE650" s="182"/>
      <c r="AF650" s="98"/>
      <c r="AG650" s="182"/>
      <c r="AH650" s="98"/>
      <c r="AI650" s="182"/>
      <c r="AJ650" s="98"/>
      <c r="AK650" s="182"/>
      <c r="AL650" s="98"/>
      <c r="AM650" s="182"/>
      <c r="AN650" s="98"/>
      <c r="AO650" s="182"/>
      <c r="AP650" s="98"/>
      <c r="AQ650" s="182"/>
      <c r="AR650" s="98"/>
      <c r="AS650" s="182"/>
      <c r="AT650" s="98"/>
      <c r="AU650" s="182"/>
      <c r="AV650" s="98"/>
      <c r="AW650" s="182"/>
      <c r="AX650" s="98"/>
      <c r="AY650" s="182">
        <f>+AY616/AY$626*100</f>
        <v>25.438596491228072</v>
      </c>
      <c r="AZ650" s="98" t="str">
        <f t="shared" si="3749"/>
        <v>NA</v>
      </c>
      <c r="BA650" s="182">
        <f>+BA616/BA$626*100</f>
        <v>22.459349593495933</v>
      </c>
      <c r="BB650" s="98" t="str">
        <f t="shared" si="3750"/>
        <v>NA</v>
      </c>
      <c r="BC650" s="182">
        <f>+BC616/BC$626*100</f>
        <v>20.981210855949893</v>
      </c>
      <c r="BD650" s="98" t="str">
        <f t="shared" si="3751"/>
        <v>NA</v>
      </c>
      <c r="BE650" s="182">
        <f>+BE616/BE$626*100</f>
        <v>25.806451612903224</v>
      </c>
      <c r="BF650" s="98" t="str">
        <f t="shared" si="3752"/>
        <v>NA</v>
      </c>
      <c r="BG650" s="182">
        <f>+BG616/BG$626*100</f>
        <v>24.584103512014789</v>
      </c>
      <c r="BH650" s="98">
        <f t="shared" si="3753"/>
        <v>-3.3590413665625651</v>
      </c>
      <c r="BI650" s="182">
        <f>+BI616/BI$626*100</f>
        <v>22.807017543859647</v>
      </c>
      <c r="BJ650" s="98">
        <f t="shared" si="3754"/>
        <v>1.5479876160990669</v>
      </c>
      <c r="BK650" s="182">
        <f>+BK616/BK$626*100</f>
        <v>21.563342318059302</v>
      </c>
      <c r="BL650" s="98">
        <f t="shared" si="3755"/>
        <v>2.7745370184120155</v>
      </c>
      <c r="BM650" s="182">
        <f>+BM616/BM$626*100</f>
        <v>28.940568475452196</v>
      </c>
      <c r="BN650" s="98">
        <f t="shared" si="3756"/>
        <v>12.144702842377274</v>
      </c>
      <c r="BO650" s="182">
        <f>+BO616/BO$626*100</f>
        <v>29.944029850746269</v>
      </c>
      <c r="BP650" s="98">
        <f t="shared" si="3757"/>
        <v>21.802407137246107</v>
      </c>
      <c r="BQ650" s="182">
        <f>+BQ616/BQ$626*100</f>
        <v>24.689966178128522</v>
      </c>
      <c r="BR650" s="98">
        <f t="shared" si="3758"/>
        <v>8.2560055502558285</v>
      </c>
      <c r="BS650" s="182">
        <f>+BS616/BS$626*100</f>
        <v>32.07236842105263</v>
      </c>
      <c r="BT650" s="98">
        <f t="shared" si="3759"/>
        <v>48.735608552631547</v>
      </c>
      <c r="BU650" s="182">
        <f>+BU616/BU$626*100</f>
        <v>-236.17021276595747</v>
      </c>
      <c r="BV650" s="98" t="str">
        <f t="shared" si="3760"/>
        <v>NM</v>
      </c>
      <c r="BW650" s="182">
        <f>+BW616/BW$626*100</f>
        <v>-110.16949152542372</v>
      </c>
      <c r="BX650" s="98" t="str">
        <f t="shared" si="3761"/>
        <v>NM</v>
      </c>
      <c r="BY650" s="182">
        <f>+BY616/BY$626*100</f>
        <v>108.3916083916084</v>
      </c>
      <c r="BZ650" s="98" t="str">
        <f t="shared" si="3762"/>
        <v>NM</v>
      </c>
      <c r="CA650" s="182">
        <f>+CA616/CA$626*100</f>
        <v>96.551724137931032</v>
      </c>
      <c r="CB650" s="98" t="str">
        <f t="shared" si="3763"/>
        <v>NM</v>
      </c>
      <c r="CC650" s="182">
        <f>+CC616/CC$626*100</f>
        <v>566.66666666666674</v>
      </c>
      <c r="CD650" s="98" t="str">
        <f t="shared" si="3764"/>
        <v>NM</v>
      </c>
      <c r="CE650" s="182">
        <f>+CE616/CE$626*100</f>
        <v>91.666666666666657</v>
      </c>
      <c r="CF650" s="98" t="str">
        <f t="shared" si="3765"/>
        <v>NM</v>
      </c>
      <c r="CG650" s="182">
        <f>+CG616/CG$626*100</f>
        <v>87.360594795539043</v>
      </c>
      <c r="CH650" s="98">
        <f t="shared" si="3766"/>
        <v>-19.402806091857538</v>
      </c>
      <c r="CI650" s="182">
        <f>+CI616/CI$626*100</f>
        <v>94.300518134715034</v>
      </c>
      <c r="CJ650" s="98">
        <f t="shared" si="3767"/>
        <v>-2.3316062176165664</v>
      </c>
      <c r="CK650" s="182">
        <f>+CK616/CK$626*100</f>
        <v>48.542024013722127</v>
      </c>
      <c r="CL650" s="98" t="str">
        <f t="shared" si="3768"/>
        <v>NM</v>
      </c>
      <c r="CM650" s="182">
        <f>+CM616/CM$626*100</f>
        <v>41.051136363636367</v>
      </c>
      <c r="CN650" s="98" t="str">
        <f t="shared" si="3769"/>
        <v>NM</v>
      </c>
      <c r="CO650" s="182">
        <f>+CO616/CO$626*100</f>
        <v>50.309597523219821</v>
      </c>
      <c r="CP650" s="98">
        <f t="shared" si="3770"/>
        <v>-42.411567090441991</v>
      </c>
      <c r="CQ650" s="566">
        <f>+CQ616/CQ$626*100</f>
        <v>56.591211717709719</v>
      </c>
      <c r="CR650" s="98">
        <f t="shared" si="3771"/>
        <v>-39.988440321329811</v>
      </c>
      <c r="CS650" s="336">
        <f>+CS616/CS$626*100</f>
        <v>58.25</v>
      </c>
      <c r="CT650" s="98">
        <f t="shared" si="3772"/>
        <v>19.99911660777385</v>
      </c>
      <c r="CU650" s="336">
        <f>+CU616/CU$626*100</f>
        <v>54.37185929648242</v>
      </c>
      <c r="CV650" s="98">
        <f t="shared" si="3773"/>
        <v>32.44909669454541</v>
      </c>
      <c r="CW650" s="336">
        <f>+CW616/CW$626*100</f>
        <v>57.12890625</v>
      </c>
      <c r="CX650" s="98">
        <f t="shared" si="3774"/>
        <v>13.554687499999973</v>
      </c>
      <c r="CY650" s="336">
        <f>+CY616/CY$626*100</f>
        <v>63.351351351351347</v>
      </c>
      <c r="CZ650" s="98">
        <f t="shared" si="3775"/>
        <v>11.945564387917319</v>
      </c>
      <c r="DA650" s="336">
        <f>+DA616/DA$626*100</f>
        <v>63.78378378378379</v>
      </c>
      <c r="DB650" s="98">
        <f t="shared" si="3776"/>
        <v>9.5000579979120925</v>
      </c>
      <c r="DC650" s="336">
        <f>+DC616/DC$626*100</f>
        <v>52.34765234765235</v>
      </c>
      <c r="DD650" s="98">
        <f t="shared" si="3777"/>
        <v>-3.7228944807503161</v>
      </c>
      <c r="DE650" s="336">
        <f>+DE616/DE$626*100</f>
        <v>61.852589641434264</v>
      </c>
      <c r="DF650" s="98">
        <f t="shared" si="3778"/>
        <v>8.2684646031259579</v>
      </c>
      <c r="DG650" s="336">
        <f>+DG616/DG$626*100</f>
        <v>62.679425837320579</v>
      </c>
      <c r="DH650" s="98">
        <f t="shared" si="3779"/>
        <v>-1.060633277266998</v>
      </c>
      <c r="DI650" s="336">
        <f>+DI616/DI$626*100</f>
        <v>65.625</v>
      </c>
      <c r="DJ650" s="98">
        <f t="shared" si="3780"/>
        <v>2.8866525423728806</v>
      </c>
      <c r="DK650" s="336">
        <f>+DK616/DK$626*100</f>
        <v>57.235421166306701</v>
      </c>
      <c r="DL650" s="98">
        <f t="shared" si="3781"/>
        <v>9.3371308921240459</v>
      </c>
      <c r="DM650" s="336">
        <f>+DM616/DM$626*100</f>
        <v>62.650602409638559</v>
      </c>
      <c r="DN650" s="98">
        <f t="shared" si="3782"/>
        <v>1.2901848941660354</v>
      </c>
      <c r="DO650" s="336">
        <f>+DO616/DO$626*100</f>
        <v>61.15384615384616</v>
      </c>
      <c r="DP650" s="98">
        <f t="shared" si="3782"/>
        <v>-2.433940105695831</v>
      </c>
      <c r="DQ650" s="336">
        <f>+DQ616/DQ$626*100</f>
        <v>69.132947976878611</v>
      </c>
      <c r="DR650" s="98">
        <f t="shared" si="3782"/>
        <v>5.3454445361959868</v>
      </c>
      <c r="DS650" s="336">
        <f>+DS616/DS$626*100</f>
        <v>40.284360189573462</v>
      </c>
      <c r="DT650" s="98">
        <f t="shared" si="3782"/>
        <v>-29.616382008405616</v>
      </c>
      <c r="DU650" s="336">
        <f>+DU616/DU$626*100</f>
        <v>40.544518027961736</v>
      </c>
      <c r="DV650" s="98">
        <f t="shared" si="3782"/>
        <v>-35.284711609214924</v>
      </c>
      <c r="DW650" s="336">
        <f>+DW616/DW$626*100</f>
        <v>142.73743016759778</v>
      </c>
      <c r="DX650" s="98" t="str">
        <f t="shared" si="3782"/>
        <v>NM</v>
      </c>
      <c r="DY650" s="336">
        <f>+DY616/DY$626*100</f>
        <v>43.724696356275302</v>
      </c>
      <c r="DZ650" s="98">
        <f t="shared" si="3782"/>
        <v>-36.752738548197094</v>
      </c>
      <c r="EA650" s="336">
        <f>+EA616/EA$626*100</f>
        <v>40.5189620758483</v>
      </c>
      <c r="EB650" s="98">
        <f t="shared" si="3783"/>
        <v>0.58236468239989403</v>
      </c>
      <c r="EC650" s="336">
        <f>+EC616/EC$626*100</f>
        <v>70.766773162939302</v>
      </c>
      <c r="ED650" s="98">
        <f t="shared" si="3784"/>
        <v>74.540916022567188</v>
      </c>
      <c r="EE650" s="336">
        <f>+EE616/EE$626*100</f>
        <v>40.738007380073796</v>
      </c>
      <c r="EF650" s="860" t="str">
        <f t="shared" si="3785"/>
        <v>NM</v>
      </c>
      <c r="EG650" s="336">
        <f>+EG616/EG$626*100</f>
        <v>48.344370860927157</v>
      </c>
      <c r="EH650" s="860">
        <f t="shared" si="3786"/>
        <v>10.565366691194523</v>
      </c>
      <c r="EI650" s="336">
        <f>+EI616/EI$626*100</f>
        <v>37.623012869038611</v>
      </c>
      <c r="EJ650" s="860">
        <f t="shared" si="3787"/>
        <v>-7.147145579367753</v>
      </c>
      <c r="EK650" s="336">
        <f>+EK616/EK$626*100</f>
        <v>43.978590544157001</v>
      </c>
      <c r="EL650" s="860">
        <f t="shared" si="3788"/>
        <v>-37.854181307805234</v>
      </c>
      <c r="EM650" s="336">
        <f>+EM616/EM$626*100</f>
        <v>48.340807174887892</v>
      </c>
      <c r="EN650" s="860">
        <f t="shared" si="3789"/>
        <v>18.662669786183162</v>
      </c>
      <c r="EO650" s="336">
        <f>+EO616/EO$626*100</f>
        <v>73.451327433628322</v>
      </c>
      <c r="EP650" s="98">
        <f t="shared" si="3790"/>
        <v>51.933567705176387</v>
      </c>
      <c r="EQ650" s="1021">
        <f>+EQ616/EQ$626*100</f>
        <v>50.28015091494985</v>
      </c>
      <c r="ER650" s="98">
        <f t="shared" ref="ER650" si="3842">IF(ISERROR((EQ650/EI650-1)*100),"NA",IF(((EQ650/EI650-1)*100)&gt;100,"NM",IF(((EQ650/EI650-1)*100)&lt;-50,"NM",(EQ650/EI650-1)*100)))</f>
        <v>33.642010781989427</v>
      </c>
      <c r="ES650" s="1021">
        <f t="shared" ref="ES650" si="3843">+ES616/ES$626*100</f>
        <v>49.708860765990721</v>
      </c>
      <c r="ET650" s="98">
        <f t="shared" ref="ET650" si="3844">IF(ISERROR((ES650/EK650-1)*100),"NA",IF(((ES650/EK650-1)*100)&gt;100,"NM",IF(((ES650/EK650-1)*100)&lt;-50,"NM",(ES650/EK650-1)*100)))</f>
        <v>13.029681376623948</v>
      </c>
      <c r="EU650" s="1021">
        <f t="shared" ref="EU650" si="3845">+EU616/EU$626*100</f>
        <v>49.255354430063178</v>
      </c>
      <c r="EV650" s="98">
        <f t="shared" ref="EV650" si="3846">IF(ISERROR((EU650/EM650-1)*100),"NA",IF(((EU650/EM650-1)*100)&gt;100,"NM",IF(((EU650/EM650-1)*100)&lt;-50,"NM",(EU650/EM650-1)*100)))</f>
        <v>1.8918741920601834</v>
      </c>
      <c r="EW650" s="1021">
        <f t="shared" ref="EW650" si="3847">+EW616/EW$626*100</f>
        <v>52.178986393910854</v>
      </c>
      <c r="EX650" s="98">
        <f t="shared" ref="EX650" si="3848">IF(ISERROR((EW650/EO650-1)*100),"NA",IF(((EW650/EO650-1)*100)&gt;100,"NM",IF(((EW650/EO650-1)*100)&lt;-50,"NM",(EW650/EO650-1)*100)))</f>
        <v>-28.961139005880408</v>
      </c>
      <c r="EY650" s="182"/>
      <c r="EZ650" s="594"/>
      <c r="FA650" s="405"/>
      <c r="FB650" s="182"/>
      <c r="FC650" s="117"/>
      <c r="FD650" s="197"/>
      <c r="FE650" s="98"/>
      <c r="FF650" s="197"/>
      <c r="FG650" s="98"/>
      <c r="FH650" s="197"/>
      <c r="FI650" s="98"/>
      <c r="FJ650" s="197"/>
      <c r="FK650" s="98"/>
      <c r="FL650" s="197"/>
      <c r="FM650" s="98"/>
      <c r="FN650" s="197"/>
      <c r="FO650" s="98"/>
      <c r="FP650" s="197"/>
      <c r="FQ650" s="98"/>
      <c r="FR650" s="197">
        <f>+FR616/FR$626*100</f>
        <v>23.74440576827449</v>
      </c>
      <c r="FS650" s="98" t="str">
        <f t="shared" si="3798"/>
        <v>NA</v>
      </c>
      <c r="FT650" s="197">
        <f>+FT616/FT$626*100</f>
        <v>24.44825369616456</v>
      </c>
      <c r="FU650" s="98">
        <f t="shared" si="3799"/>
        <v>2.9642684460459368</v>
      </c>
      <c r="FV650" s="197">
        <f>+FV616/FV$626*100</f>
        <v>36.230158730158728</v>
      </c>
      <c r="FW650" s="98">
        <f t="shared" si="3800"/>
        <v>48.191192632472202</v>
      </c>
      <c r="FX650" s="502">
        <f>+FX616/FX$626*100</f>
        <v>208.77862595419847</v>
      </c>
      <c r="FY650" s="98" t="str">
        <f t="shared" si="3801"/>
        <v>NM</v>
      </c>
      <c r="FZ650" s="197">
        <f>+FZ616/FZ$626*100</f>
        <v>71.595330739299612</v>
      </c>
      <c r="GA650" s="98" t="str">
        <f t="shared" si="3802"/>
        <v>NM</v>
      </c>
      <c r="GB650" s="502">
        <f>+GB616/GB$626*100</f>
        <v>59.93417115499701</v>
      </c>
      <c r="GC650" s="98">
        <f t="shared" si="3803"/>
        <v>-16.287597897640048</v>
      </c>
      <c r="GD650" s="197">
        <f>+GD616/GD$626*100</f>
        <v>59.283387622149839</v>
      </c>
      <c r="GE650" s="98">
        <f t="shared" si="3804"/>
        <v>-1.085830537581256</v>
      </c>
      <c r="GF650" s="197">
        <f>+GF616/GF$626*100</f>
        <v>42.811077389984824</v>
      </c>
      <c r="GG650" s="98">
        <f t="shared" si="3804"/>
        <v>-27.785710116893735</v>
      </c>
      <c r="GH650" s="197">
        <f>+GH616/GH$626*100</f>
        <v>43.7371278786744</v>
      </c>
      <c r="GI650" s="98">
        <f t="shared" si="3804"/>
        <v>2.1631095154503566</v>
      </c>
      <c r="GJ650" s="197">
        <f>+GJ616/GJ$626*100</f>
        <v>50.465877612692012</v>
      </c>
      <c r="GK650" s="98">
        <f t="shared" si="3804"/>
        <v>15.384525825936679</v>
      </c>
      <c r="GL650" s="197">
        <f>+GL616/GL$626*100</f>
        <v>47.326732673267323</v>
      </c>
      <c r="GM650" s="98">
        <f t="shared" si="3804"/>
        <v>-6.2203316139997185</v>
      </c>
      <c r="GN650" s="197">
        <f>+GN616/GN$626*100</f>
        <v>47.863046044864227</v>
      </c>
      <c r="GO650" s="98">
        <f t="shared" si="3804"/>
        <v>1.1332144462612437</v>
      </c>
      <c r="GP650" s="197">
        <f>+GP616/GP$626*100</f>
        <v>50.362249514850191</v>
      </c>
      <c r="GQ650" s="98">
        <f t="shared" si="3804"/>
        <v>5.22157212402099</v>
      </c>
      <c r="GR650" s="182">
        <f>+GR616/GR$626*100</f>
        <v>50.217579479603316</v>
      </c>
      <c r="GS650" s="98">
        <f t="shared" si="3804"/>
        <v>-0.28725888267603361</v>
      </c>
      <c r="GT650" s="182">
        <f>+GT616/GT$626*100</f>
        <v>49.447670722145972</v>
      </c>
      <c r="GU650" s="98">
        <f t="shared" si="3804"/>
        <v>-1.5331458932027031</v>
      </c>
      <c r="GV650" s="182">
        <f>+GV616/GV$626*100</f>
        <v>49.151425172638525</v>
      </c>
      <c r="GW650" s="98">
        <f t="shared" si="3804"/>
        <v>-0.59910921016299579</v>
      </c>
      <c r="GX650" s="182">
        <f>+GX616/GX$626*100</f>
        <v>49.37693224153746</v>
      </c>
      <c r="GY650" s="98">
        <f t="shared" ref="GY650" si="3849">IF(ISERROR((GX650/GV650-1)*100),"NA",IF(((GX650/GV650-1)*100)&gt;100,"NM",IF(((GX650/GV650-1)*100)&lt;-50,"NM",(GX650/GV650-1)*100)))</f>
        <v>0.45880067181545137</v>
      </c>
      <c r="GZ650" s="98">
        <f>IF(ISERROR(((GX650/GN650)^0.2-1)*100),"NA",IF((((GX650/GN650)^0.2-1)*100)&gt;100,"NM",IF((((GX650/GN650)^0.2-1)*100)&lt;-50,"NM",((GX650/GN650)^0.2-1)*100)))</f>
        <v>0.62473600772610105</v>
      </c>
      <c r="HA650" s="98"/>
      <c r="HB650" s="10"/>
      <c r="HC650"/>
      <c r="HD650"/>
      <c r="HE650"/>
      <c r="HF650"/>
      <c r="HG650"/>
      <c r="HH650"/>
      <c r="HI650" s="10"/>
    </row>
    <row r="651" spans="1:217" s="2" customFormat="1" ht="12.75" customHeight="1" x14ac:dyDescent="0.2">
      <c r="B651" s="324" t="s">
        <v>276</v>
      </c>
      <c r="C651" s="117"/>
      <c r="D651" s="98"/>
      <c r="E651" s="117"/>
      <c r="F651" s="98"/>
      <c r="G651" s="117"/>
      <c r="H651" s="98"/>
      <c r="I651" s="117"/>
      <c r="J651" s="98"/>
      <c r="K651" s="117"/>
      <c r="L651" s="98"/>
      <c r="M651" s="117"/>
      <c r="N651" s="98"/>
      <c r="O651" s="117"/>
      <c r="P651" s="98"/>
      <c r="Q651" s="117"/>
      <c r="R651" s="98"/>
      <c r="S651" s="117"/>
      <c r="T651" s="98"/>
      <c r="U651" s="117"/>
      <c r="V651" s="98"/>
      <c r="W651" s="117"/>
      <c r="X651" s="98"/>
      <c r="Y651" s="117"/>
      <c r="Z651" s="98"/>
      <c r="AA651" s="117"/>
      <c r="AB651" s="98"/>
      <c r="AC651" s="117"/>
      <c r="AD651" s="98"/>
      <c r="AE651" s="117"/>
      <c r="AF651" s="98"/>
      <c r="AG651" s="117"/>
      <c r="AH651" s="98"/>
      <c r="AI651" s="117"/>
      <c r="AJ651" s="98"/>
      <c r="AK651" s="117"/>
      <c r="AL651" s="98"/>
      <c r="AM651" s="117"/>
      <c r="AN651" s="98"/>
      <c r="AO651" s="117"/>
      <c r="AP651" s="98"/>
      <c r="AQ651" s="117"/>
      <c r="AR651" s="98"/>
      <c r="AS651" s="117"/>
      <c r="AT651" s="98"/>
      <c r="AU651" s="117"/>
      <c r="AV651" s="98"/>
      <c r="AW651" s="117"/>
      <c r="AX651" s="98"/>
      <c r="AY651" s="117"/>
      <c r="AZ651" s="98"/>
      <c r="BA651" s="117"/>
      <c r="BB651" s="98"/>
      <c r="BC651" s="117"/>
      <c r="BD651" s="98"/>
      <c r="BE651" s="117"/>
      <c r="BF651" s="98"/>
      <c r="BG651" s="117"/>
      <c r="BH651" s="98"/>
      <c r="BI651" s="117"/>
      <c r="BJ651" s="98"/>
      <c r="BK651" s="117"/>
      <c r="BL651" s="98"/>
      <c r="BM651" s="117"/>
      <c r="BN651" s="98"/>
      <c r="BO651" s="117"/>
      <c r="BP651" s="98"/>
      <c r="BQ651" s="117"/>
      <c r="BR651" s="98"/>
      <c r="BS651" s="117"/>
      <c r="BT651" s="98"/>
      <c r="BU651" s="117"/>
      <c r="BV651" s="98"/>
      <c r="BW651" s="117"/>
      <c r="BX651" s="98"/>
      <c r="BY651" s="117"/>
      <c r="BZ651" s="98"/>
      <c r="CA651" s="117"/>
      <c r="CB651" s="98"/>
      <c r="CC651" s="117"/>
      <c r="CD651" s="98"/>
      <c r="CE651" s="117"/>
      <c r="CF651" s="98"/>
      <c r="CG651" s="117"/>
      <c r="CH651" s="98"/>
      <c r="CI651" s="117"/>
      <c r="CJ651" s="98"/>
      <c r="CK651" s="117"/>
      <c r="CL651" s="98"/>
      <c r="CM651" s="117"/>
      <c r="CN651" s="98"/>
      <c r="CO651" s="117"/>
      <c r="CP651" s="98"/>
      <c r="CQ651" s="486"/>
      <c r="CR651" s="98"/>
      <c r="CS651" s="117"/>
      <c r="CT651" s="98"/>
      <c r="CU651" s="117"/>
      <c r="CV651" s="98"/>
      <c r="CW651" s="117"/>
      <c r="CX651" s="98"/>
      <c r="CY651" s="117"/>
      <c r="CZ651" s="98"/>
      <c r="DA651" s="117"/>
      <c r="DB651" s="98"/>
      <c r="DC651" s="117"/>
      <c r="DD651" s="98"/>
      <c r="DE651" s="117"/>
      <c r="DF651" s="98"/>
      <c r="DG651" s="117"/>
      <c r="DH651" s="98"/>
      <c r="DI651" s="117"/>
      <c r="DJ651" s="98"/>
      <c r="DK651" s="117"/>
      <c r="DL651" s="98"/>
      <c r="DM651" s="117"/>
      <c r="DN651" s="98"/>
      <c r="DO651" s="117"/>
      <c r="DP651" s="98"/>
      <c r="DQ651" s="117"/>
      <c r="DR651" s="98"/>
      <c r="DS651" s="117"/>
      <c r="DT651" s="98"/>
      <c r="DU651" s="117"/>
      <c r="DV651" s="98"/>
      <c r="DW651" s="117"/>
      <c r="DX651" s="98"/>
      <c r="DY651" s="117"/>
      <c r="DZ651" s="98"/>
      <c r="EA651" s="117"/>
      <c r="EB651" s="98"/>
      <c r="EC651" s="117"/>
      <c r="ED651" s="98"/>
      <c r="EE651" s="117"/>
      <c r="EF651" s="860"/>
      <c r="EG651" s="117"/>
      <c r="EH651" s="860"/>
      <c r="EI651" s="117"/>
      <c r="EJ651" s="860"/>
      <c r="EK651" s="117"/>
      <c r="EL651" s="860"/>
      <c r="EM651" s="117"/>
      <c r="EN651" s="860"/>
      <c r="EO651" s="117"/>
      <c r="EP651" s="98"/>
      <c r="EQ651" s="1031"/>
      <c r="ER651" s="98"/>
      <c r="ES651" s="1031"/>
      <c r="ET651" s="98"/>
      <c r="EU651" s="1031"/>
      <c r="EV651" s="98"/>
      <c r="EW651" s="1031"/>
      <c r="EX651" s="98"/>
      <c r="EY651" s="117"/>
      <c r="EZ651" s="594"/>
      <c r="FA651" s="405"/>
      <c r="FB651" s="200"/>
      <c r="FC651" s="98"/>
      <c r="FD651" s="117"/>
      <c r="FE651" s="98"/>
      <c r="FF651" s="117"/>
      <c r="FG651" s="98"/>
      <c r="FH651" s="117"/>
      <c r="FI651" s="98"/>
      <c r="FJ651" s="117"/>
      <c r="FK651" s="98"/>
      <c r="FL651" s="117"/>
      <c r="FM651" s="98"/>
      <c r="FN651" s="117"/>
      <c r="FO651" s="98"/>
      <c r="FP651" s="117"/>
      <c r="FQ651" s="98"/>
      <c r="FR651" s="117"/>
      <c r="FS651" s="98"/>
      <c r="FT651" s="117"/>
      <c r="FU651" s="98"/>
      <c r="FV651" s="117"/>
      <c r="FW651" s="98"/>
      <c r="FX651" s="486"/>
      <c r="FY651" s="98"/>
      <c r="FZ651" s="117"/>
      <c r="GA651" s="98"/>
      <c r="GB651" s="486"/>
      <c r="GC651" s="98"/>
      <c r="GD651" s="117"/>
      <c r="GE651" s="98"/>
      <c r="GF651" s="117"/>
      <c r="GG651" s="98"/>
      <c r="GH651" s="117"/>
      <c r="GI651" s="98"/>
      <c r="GJ651" s="117"/>
      <c r="GK651" s="98"/>
      <c r="GL651" s="117"/>
      <c r="GM651" s="98"/>
      <c r="GN651" s="117"/>
      <c r="GO651" s="98"/>
      <c r="GP651" s="117"/>
      <c r="GQ651" s="98"/>
      <c r="GR651" s="117"/>
      <c r="GS651" s="98"/>
      <c r="GT651" s="117"/>
      <c r="GU651" s="98"/>
      <c r="GV651" s="117"/>
      <c r="GW651" s="98"/>
      <c r="GX651" s="117"/>
      <c r="GY651" s="98"/>
      <c r="GZ651" s="98"/>
      <c r="HA651" s="98"/>
      <c r="HB651" s="10"/>
      <c r="HC651"/>
      <c r="HD651"/>
      <c r="HE651"/>
      <c r="HF651"/>
      <c r="HG651"/>
      <c r="HH651"/>
      <c r="HI651" s="10"/>
    </row>
    <row r="652" spans="1:217" s="2" customFormat="1" ht="12.75" customHeight="1" x14ac:dyDescent="0.2">
      <c r="A652" s="2" t="s">
        <v>305</v>
      </c>
      <c r="B652" s="18" t="s">
        <v>228</v>
      </c>
      <c r="C652" s="117"/>
      <c r="D652" s="98"/>
      <c r="E652" s="117"/>
      <c r="F652" s="98"/>
      <c r="G652" s="117"/>
      <c r="H652" s="98"/>
      <c r="I652" s="117"/>
      <c r="J652" s="98"/>
      <c r="K652" s="117"/>
      <c r="L652" s="98"/>
      <c r="M652" s="117"/>
      <c r="N652" s="98"/>
      <c r="O652" s="117"/>
      <c r="P652" s="98"/>
      <c r="Q652" s="117"/>
      <c r="R652" s="98"/>
      <c r="S652" s="117"/>
      <c r="T652" s="98"/>
      <c r="U652" s="117"/>
      <c r="V652" s="98"/>
      <c r="W652" s="117"/>
      <c r="X652" s="98"/>
      <c r="Y652" s="117"/>
      <c r="Z652" s="98"/>
      <c r="AA652" s="117"/>
      <c r="AB652" s="98"/>
      <c r="AC652" s="117"/>
      <c r="AD652" s="98"/>
      <c r="AE652" s="117"/>
      <c r="AF652" s="98"/>
      <c r="AG652" s="117"/>
      <c r="AH652" s="98"/>
      <c r="AI652" s="117"/>
      <c r="AJ652" s="98"/>
      <c r="AK652" s="117"/>
      <c r="AL652" s="98"/>
      <c r="AM652" s="117"/>
      <c r="AN652" s="98"/>
      <c r="AO652" s="117"/>
      <c r="AP652" s="98"/>
      <c r="AQ652" s="117"/>
      <c r="AR652" s="98"/>
      <c r="AS652" s="117"/>
      <c r="AT652" s="98"/>
      <c r="AU652" s="117"/>
      <c r="AV652" s="98"/>
      <c r="AW652" s="117"/>
      <c r="AX652" s="98"/>
      <c r="AY652" s="117">
        <f>+AY618/AY$626*100</f>
        <v>0</v>
      </c>
      <c r="AZ652" s="98" t="str">
        <f>IF(ISERROR((AY652/AQ652-1)*100),"NA",IF(((AY652/AQ652-1)*100)&gt;100,"NM",IF(((AY652/AQ652-1)*100)&lt;-50,"NM",(AY652/AQ652-1)*100)))</f>
        <v>NA</v>
      </c>
      <c r="BA652" s="117">
        <f>+BA618/BA$626*100</f>
        <v>0</v>
      </c>
      <c r="BB652" s="98" t="str">
        <f>IF(ISERROR((BA652/AS652-1)*100),"NA",IF(((BA652/AS652-1)*100)&gt;100,"NM",IF(((BA652/AS652-1)*100)&lt;-50,"NM",(BA652/AS652-1)*100)))</f>
        <v>NA</v>
      </c>
      <c r="BC652" s="117">
        <f>+BC618/BC$626*100</f>
        <v>0</v>
      </c>
      <c r="BD652" s="98" t="str">
        <f>IF(ISERROR((BC652/AU652-1)*100),"NA",IF(((BC652/AU652-1)*100)&gt;100,"NM",IF(((BC652/AU652-1)*100)&lt;-50,"NM",(BC652/AU652-1)*100)))</f>
        <v>NA</v>
      </c>
      <c r="BE652" s="117">
        <f>+BE618/BE$626*100</f>
        <v>0</v>
      </c>
      <c r="BF652" s="98" t="str">
        <f>IF(ISERROR((BE652/AW652-1)*100),"NA",IF(((BE652/AW652-1)*100)&gt;100,"NM",IF(((BE652/AW652-1)*100)&lt;-50,"NM",(BE652/AW652-1)*100)))</f>
        <v>NA</v>
      </c>
      <c r="BG652" s="117">
        <f>+BG618/BG$626*100</f>
        <v>0</v>
      </c>
      <c r="BH652" s="98" t="str">
        <f>IF(ISERROR((BG652/AY652-1)*100),"NA",IF(((BG652/AY652-1)*100)&gt;100,"NM",IF(((BG652/AY652-1)*100)&lt;-50,"NM",(BG652/AY652-1)*100)))</f>
        <v>NA</v>
      </c>
      <c r="BI652" s="117">
        <f>+BI618/BI$626*100</f>
        <v>0</v>
      </c>
      <c r="BJ652" s="98" t="str">
        <f>IF(ISERROR((BI652/BA652-1)*100),"NA",IF(((BI652/BA652-1)*100)&gt;100,"NM",IF(((BI652/BA652-1)*100)&lt;-50,"NM",(BI652/BA652-1)*100)))</f>
        <v>NA</v>
      </c>
      <c r="BK652" s="117">
        <f>+BK618/BK$626*100</f>
        <v>0</v>
      </c>
      <c r="BL652" s="98" t="str">
        <f>IF(ISERROR((BK652/BC652-1)*100),"NA",IF(((BK652/BC652-1)*100)&gt;100,"NM",IF(((BK652/BC652-1)*100)&lt;-50,"NM",(BK652/BC652-1)*100)))</f>
        <v>NA</v>
      </c>
      <c r="BM652" s="117">
        <f>+BM618/BM$626*100</f>
        <v>0</v>
      </c>
      <c r="BN652" s="98" t="str">
        <f>IF(ISERROR((BM652/BE652-1)*100),"NA",IF(((BM652/BE652-1)*100)&gt;100,"NM",IF(((BM652/BE652-1)*100)&lt;-50,"NM",(BM652/BE652-1)*100)))</f>
        <v>NA</v>
      </c>
      <c r="BO652" s="117">
        <f>+BO618/BO$626*100</f>
        <v>0</v>
      </c>
      <c r="BP652" s="98" t="str">
        <f>IF(ISERROR((BO652/BG652-1)*100),"NA",IF(((BO652/BG652-1)*100)&gt;100,"NM",IF(((BO652/BG652-1)*100)&lt;-50,"NM",(BO652/BG652-1)*100)))</f>
        <v>NA</v>
      </c>
      <c r="BQ652" s="117">
        <f>+BQ618/BQ$626*100</f>
        <v>0</v>
      </c>
      <c r="BR652" s="98" t="str">
        <f>IF(ISERROR((BQ652/BI652-1)*100),"NA",IF(((BQ652/BI652-1)*100)&gt;100,"NM",IF(((BQ652/BI652-1)*100)&lt;-50,"NM",(BQ652/BI652-1)*100)))</f>
        <v>NA</v>
      </c>
      <c r="BS652" s="117">
        <f>+BS618/BS$626*100</f>
        <v>0</v>
      </c>
      <c r="BT652" s="98" t="str">
        <f>IF(ISERROR((BS652/BK652-1)*100),"NA",IF(((BS652/BK652-1)*100)&gt;100,"NM",IF(((BS652/BK652-1)*100)&lt;-50,"NM",(BS652/BK652-1)*100)))</f>
        <v>NA</v>
      </c>
      <c r="BU652" s="117">
        <f>+BU618/BU$626*100</f>
        <v>0</v>
      </c>
      <c r="BV652" s="98" t="str">
        <f>IF(ISERROR((BU652/BM652-1)*100),"NA",IF(((BU652/BM652-1)*100)&gt;100,"NM",IF(((BU652/BM652-1)*100)&lt;-50,"NM",(BU652/BM652-1)*100)))</f>
        <v>NA</v>
      </c>
      <c r="BW652" s="117">
        <f>+BW618/BW$626*100</f>
        <v>0</v>
      </c>
      <c r="BX652" s="98" t="str">
        <f>IF(ISERROR((BW652/BO652-1)*100),"NA",IF(((BW652/BO652-1)*100)&gt;100,"NM",IF(((BW652/BO652-1)*100)&lt;-50,"NM",(BW652/BO652-1)*100)))</f>
        <v>NA</v>
      </c>
      <c r="BY652" s="117">
        <f>+BY618/BY$626*100</f>
        <v>0</v>
      </c>
      <c r="BZ652" s="98" t="str">
        <f>IF(ISERROR((BY652/BQ652-1)*100),"NA",IF(((BY652/BQ652-1)*100)&gt;100,"NM",IF(((BY652/BQ652-1)*100)&lt;-50,"NM",(BY652/BQ652-1)*100)))</f>
        <v>NA</v>
      </c>
      <c r="CA652" s="117">
        <f>+CA618/CA$626*100</f>
        <v>0</v>
      </c>
      <c r="CB652" s="98" t="str">
        <f>IF(ISERROR((CA652/BS652-1)*100),"NA",IF(((CA652/BS652-1)*100)&gt;100,"NM",IF(((CA652/BS652-1)*100)&lt;-50,"NM",(CA652/BS652-1)*100)))</f>
        <v>NA</v>
      </c>
      <c r="CC652" s="117">
        <f>+CC618/CC$626*100</f>
        <v>0</v>
      </c>
      <c r="CD652" s="98" t="str">
        <f>IF(ISERROR((CC652/BU652-1)*100),"NA",IF(((CC652/BU652-1)*100)&gt;100,"NM",IF(((CC652/BU652-1)*100)&lt;-50,"NM",(CC652/BU652-1)*100)))</f>
        <v>NA</v>
      </c>
      <c r="CE652" s="117">
        <f>+CE618/CE$626*100</f>
        <v>0</v>
      </c>
      <c r="CF652" s="98" t="str">
        <f>IF(ISERROR((CE652/BW652-1)*100),"NA",IF(((CE652/BW652-1)*100)&gt;100,"NM",IF(((CE652/BW652-1)*100)&lt;-50,"NM",(CE652/BW652-1)*100)))</f>
        <v>NA</v>
      </c>
      <c r="CG652" s="117">
        <f>+CG618/CG$626*100</f>
        <v>0</v>
      </c>
      <c r="CH652" s="98" t="str">
        <f>IF(ISERROR((CG652/BY652-1)*100),"NA",IF(((CG652/BY652-1)*100)&gt;100,"NM",IF(((CG652/BY652-1)*100)&lt;-50,"NM",(CG652/BY652-1)*100)))</f>
        <v>NA</v>
      </c>
      <c r="CI652" s="117">
        <f>+CI618/CI$626*100</f>
        <v>0</v>
      </c>
      <c r="CJ652" s="98" t="str">
        <f>IF(ISERROR((CI652/CA652-1)*100),"NA",IF(((CI652/CA652-1)*100)&gt;100,"NM",IF(((CI652/CA652-1)*100)&lt;-50,"NM",(CI652/CA652-1)*100)))</f>
        <v>NA</v>
      </c>
      <c r="CK652" s="117">
        <f>+CK618/CK$626*100</f>
        <v>16.123499142367066</v>
      </c>
      <c r="CL652" s="98" t="str">
        <f>IF(ISERROR((CK652/CC652-1)*100),"NA",IF(((CK652/CC652-1)*100)&gt;100,"NM",IF(((CK652/CC652-1)*100)&lt;-50,"NM",(CK652/CC652-1)*100)))</f>
        <v>NA</v>
      </c>
      <c r="CM652" s="117">
        <f>+CM618/CM$626*100</f>
        <v>31.818181818181817</v>
      </c>
      <c r="CN652" s="98" t="str">
        <f>IF(ISERROR((CM652/CE652-1)*100),"NA",IF(((CM652/CE652-1)*100)&gt;100,"NM",IF(((CM652/CE652-1)*100)&lt;-50,"NM",(CM652/CE652-1)*100)))</f>
        <v>NA</v>
      </c>
      <c r="CO652" s="117">
        <f>+CO618/CO$626*100</f>
        <v>26.47058823529412</v>
      </c>
      <c r="CP652" s="98" t="str">
        <f>IF(ISERROR((CO652/CG652-1)*100),"NA",IF(((CO652/CG652-1)*100)&gt;100,"NM",IF(((CO652/CG652-1)*100)&lt;-50,"NM",(CO652/CG652-1)*100)))</f>
        <v>NA</v>
      </c>
      <c r="CQ652" s="486">
        <f>+CQ618/CQ$626*100</f>
        <v>29.560585885486017</v>
      </c>
      <c r="CR652" s="98" t="str">
        <f>IF(ISERROR((CQ652/CI652-1)*100),"NA",IF(((CQ652/CI652-1)*100)&gt;100,"NM",IF(((CQ652/CI652-1)*100)&lt;-50,"NM",(CQ652/CI652-1)*100)))</f>
        <v>NA</v>
      </c>
      <c r="CS652" s="117">
        <f>+CS618/CS$626*100</f>
        <v>32.375</v>
      </c>
      <c r="CT652" s="98" t="str">
        <f>IF(ISERROR((CS652/CK652-1)*100),"NA",IF(((CS652/CK652-1)*100)&gt;100,"NM",IF(((CS652/CK652-1)*100)&lt;-50,"NM",(CS652/CK652-1)*100)))</f>
        <v>NM</v>
      </c>
      <c r="CU652" s="117">
        <f>+CU618/CU$626*100</f>
        <v>30.251256281407034</v>
      </c>
      <c r="CV652" s="98">
        <f>IF(ISERROR((CU652/CM652-1)*100),"NA",IF(((CU652/CM652-1)*100)&gt;100,"NM",IF(((CU652/CM652-1)*100)&lt;-50,"NM",(CU652/CM652-1)*100)))</f>
        <v>-4.9246231155778863</v>
      </c>
      <c r="CW652" s="117">
        <f>+CW618/CW$626*100</f>
        <v>27.24609375</v>
      </c>
      <c r="CX652" s="98">
        <f>IF(ISERROR((CW652/CO652-1)*100),"NA",IF(((CW652/CO652-1)*100)&gt;100,"NM",IF(((CW652/CO652-1)*100)&lt;-50,"NM",(CW652/CO652-1)*100)))</f>
        <v>2.9296875</v>
      </c>
      <c r="CY652" s="117">
        <f>+CY618/CY$626*100</f>
        <v>28.000000000000004</v>
      </c>
      <c r="CZ652" s="98">
        <f>IF(ISERROR((CY652/CQ652-1)*100),"NA",IF(((CY652/CQ652-1)*100)&gt;100,"NM",IF(((CY652/CQ652-1)*100)&lt;-50,"NM",(CY652/CQ652-1)*100)))</f>
        <v>-5.2792792792792582</v>
      </c>
      <c r="DA652" s="117">
        <f>+DA618/DA$626*100</f>
        <v>26.756756756756754</v>
      </c>
      <c r="DB652" s="98">
        <f>IF(ISERROR((DA652/CS652-1)*100),"NA",IF(((DA652/CS652-1)*100)&gt;100,"NM",IF(((DA652/CS652-1)*100)&lt;-50,"NM",(DA652/CS652-1)*100)))</f>
        <v>-17.353647083376821</v>
      </c>
      <c r="DC652" s="117">
        <f>+DC618/DC$626*100</f>
        <v>33.266733266733269</v>
      </c>
      <c r="DD652" s="98">
        <f>IF(ISERROR((DC652/CU652-1)*100),"NA",IF(((DC652/CU652-1)*100)&gt;100,"NM",IF(((DC652/CU652-1)*100)&lt;-50,"NM",(DC652/CU652-1)*100)))</f>
        <v>9.9681049847162981</v>
      </c>
      <c r="DE652" s="117">
        <f>+DE618/DE$626*100</f>
        <v>32.86852589641434</v>
      </c>
      <c r="DF652" s="98">
        <f>IF(ISERROR((DE652/CW652-1)*100),"NA",IF(((DE652/CW652-1)*100)&gt;100,"NM",IF(((DE652/CW652-1)*100)&lt;-50,"NM",(DE652/CW652-1)*100)))</f>
        <v>20.635736623398859</v>
      </c>
      <c r="DG652" s="117">
        <f>+DG618/DG$626*100</f>
        <v>30.741626794258377</v>
      </c>
      <c r="DH652" s="98">
        <f>IF(ISERROR((DG652/CY652-1)*100),"NA",IF(((DG652/CY652-1)*100)&gt;100,"NM",IF(((DG652/CY652-1)*100)&lt;-50,"NM",(DG652/CY652-1)*100)))</f>
        <v>9.7915242652084835</v>
      </c>
      <c r="DI652" s="117">
        <f>+DI618/DI$626*100</f>
        <v>36.160714285714285</v>
      </c>
      <c r="DJ652" s="98">
        <f>IF(ISERROR((DI652/DA652-1)*100),"NA",IF(((DI652/DA652-1)*100)&gt;100,"NM",IF(((DI652/DA652-1)*100)&lt;-50,"NM",(DI652/DA652-1)*100)))</f>
        <v>35.146103896103909</v>
      </c>
      <c r="DK652" s="117">
        <f>+DK618/DK$626*100</f>
        <v>35.961123110151192</v>
      </c>
      <c r="DL652" s="98">
        <f>IF(ISERROR((DK652/DC652-1)*100),"NA",IF(((DK652/DC652-1)*100)&gt;100,"NM",IF(((DK652/DC652-1)*100)&lt;-50,"NM",(DK652/DC652-1)*100)))</f>
        <v>8.0993520518358508</v>
      </c>
      <c r="DM652" s="117">
        <f>+DM618/DM$626*100</f>
        <v>35.487404162102962</v>
      </c>
      <c r="DN652" s="98">
        <f>IF(ISERROR((DM652/DE652-1)*100),"NA",IF(((DM652/DE652-1)*100)&gt;100,"NM",IF(((DM652/DE652-1)*100)&lt;-50,"NM",(DM652/DE652-1)*100)))</f>
        <v>7.9677387234890151</v>
      </c>
      <c r="DO652" s="117">
        <f>+DO618/DO$626*100</f>
        <v>29.807692307692307</v>
      </c>
      <c r="DP652" s="98">
        <f>IF(ISERROR((DO652/DG652-1)*100),"NA",IF(((DO652/DG652-1)*100)&gt;100,"NM",IF(((DO652/DG652-1)*100)&lt;-50,"NM",(DO652/DG652-1)*100)))</f>
        <v>-3.0380125710865125</v>
      </c>
      <c r="DQ652" s="117">
        <f>+DQ618/DQ$626*100</f>
        <v>39.306358381502889</v>
      </c>
      <c r="DR652" s="98">
        <f>IF(ISERROR((DQ652/DI652-1)*100),"NA",IF(((DQ652/DI652-1)*100)&gt;100,"NM",IF(((DQ652/DI652-1)*100)&lt;-50,"NM",(DQ652/DI652-1)*100)))</f>
        <v>8.6990651537857779</v>
      </c>
      <c r="DS652" s="117">
        <f>+DS618/DS$626*100</f>
        <v>25.829383886255926</v>
      </c>
      <c r="DT652" s="98">
        <f>IF(ISERROR((DS652/DK652-1)*100),"NA",IF(((DS652/DK652-1)*100)&gt;100,"NM",IF(((DS652/DK652-1)*100)&lt;-50,"NM",(DS652/DK652-1)*100)))</f>
        <v>-28.174145709690734</v>
      </c>
      <c r="DU652" s="117">
        <f>+DU618/DU$626*100</f>
        <v>31.27299484915379</v>
      </c>
      <c r="DV652" s="98">
        <f>IF(ISERROR((DU652/DM652-1)*100),"NA",IF(((DU652/DM652-1)*100)&gt;100,"NM",IF(((DU652/DM652-1)*100)&lt;-50,"NM",(DU652/DM652-1)*100)))</f>
        <v>-11.875789205933929</v>
      </c>
      <c r="DW652" s="117">
        <f>+DW618/DW$626*100</f>
        <v>94.413407821229043</v>
      </c>
      <c r="DX652" s="98" t="str">
        <f>IF(ISERROR((DW652/DO652-1)*100),"NA",IF(((DW652/DO652-1)*100)&gt;100,"NM",IF(((DW652/DO652-1)*100)&lt;-50,"NM",(DW652/DO652-1)*100)))</f>
        <v>NM</v>
      </c>
      <c r="DY652" s="117">
        <f>+DY618/DY$626*100</f>
        <v>29.352226720647774</v>
      </c>
      <c r="DZ652" s="98">
        <f>IF(ISERROR((DY652/DQ652-1)*100),"NA",IF(((DY652/DQ652-1)*100)&gt;100,"NM",IF(((DY652/DQ652-1)*100)&lt;-50,"NM",(DY652/DQ652-1)*100)))</f>
        <v>-25.32448201952845</v>
      </c>
      <c r="EA652" s="117">
        <f>+EA618/EA$626*100</f>
        <v>30.439121756487026</v>
      </c>
      <c r="EB652" s="98">
        <f>IF(ISERROR((EA652/DS652-1)*100),"NA",IF(((EA652/DS652-1)*100)&gt;100,"NM",IF(((EA652/DS652-1)*100)&lt;-50,"NM",(EA652/DS652-1)*100)))</f>
        <v>17.846875057224999</v>
      </c>
      <c r="EC652" s="117">
        <f>+EC618/EC$626*100</f>
        <v>41.373801916932905</v>
      </c>
      <c r="ED652" s="98">
        <f>IF(ISERROR((EC652/DU652-1)*100),"NA",IF(((EC652/DU652-1)*100)&gt;100,"NM",IF(((EC652/DU652-1)*100)&lt;-50,"NM",(EC652/DU652-1)*100)))</f>
        <v>32.2988160120278</v>
      </c>
      <c r="EE652" s="117">
        <f>+EE618/EE$626*100</f>
        <v>23.911439114391143</v>
      </c>
      <c r="EF652" s="860" t="str">
        <f>IF(ISERROR((EE652/DW652-1)*100),"NA",IF(((EE652/DW652-1)*100)&gt;100,"NM",IF(((EE652/DW652-1)*100)&lt;-50,"NM",(EE652/DW652-1)*100)))</f>
        <v>NM</v>
      </c>
      <c r="EG652" s="117">
        <f>+EG618/EG$626*100</f>
        <v>33.491012298959319</v>
      </c>
      <c r="EH652" s="860">
        <f>IF(ISERROR((EG652/DY652-1)*100),"NA",IF(((EG652/DY652-1)*100)&gt;100,"NM",IF(((EG652/DY652-1)*100)&lt;-50,"NM",(EG652/DY652-1)*100)))</f>
        <v>14.100414315075183</v>
      </c>
      <c r="EI652" s="117">
        <f>+EI618/EI$626*100</f>
        <v>22.331566994700985</v>
      </c>
      <c r="EJ652" s="860">
        <f>IF(ISERROR((EI652/EA652-1)*100),"NA",IF(((EI652/EA652-1)*100)&gt;100,"NM",IF(((EI652/EA652-1)*100)&lt;-50,"NM",(EI652/EA652-1)*100)))</f>
        <v>-26.63531105347414</v>
      </c>
      <c r="EK652" s="117">
        <f>+EK618/EK$626*100</f>
        <v>27.653880463871545</v>
      </c>
      <c r="EL652" s="860">
        <f>IF(ISERROR((EK652/EC652-1)*100),"NA",IF(((EK652/EC652-1)*100)&gt;100,"NM",IF(((EK652/EC652-1)*100)&lt;-50,"NM",(EK652/EC652-1)*100)))</f>
        <v>-33.1608912340402</v>
      </c>
      <c r="EM652" s="117">
        <f>+EM618/EM$626*100</f>
        <v>28.161434977578477</v>
      </c>
      <c r="EN652" s="860">
        <f>IF(ISERROR((EM652/EE652-1)*100),"NA",IF(((EM652/EE652-1)*100)&gt;100,"NM",IF(((EM652/EE652-1)*100)&lt;-50,"NM",(EM652/EE652-1)*100)))</f>
        <v>17.773902452527281</v>
      </c>
      <c r="EO652" s="117">
        <f>+EO618/EO$626*100</f>
        <v>45.722713864306783</v>
      </c>
      <c r="EP652" s="98">
        <f>IF(ISERROR((EO652/EG652-1)*100),"NA",IF(((EO652/EG652-1)*100)&gt;100,"NM",IF(((EO652/EG652-1)*100)&lt;-50,"NM",(EO652/EG652-1)*100)))</f>
        <v>36.522340549639189</v>
      </c>
      <c r="EQ652" s="1031">
        <f>+EQ618/EQ$626*100</f>
        <v>26.538991341560141</v>
      </c>
      <c r="ER652" s="98">
        <f>IF(ISERROR((EQ652/EI652-1)*100),"NA",IF(((EQ652/EI652-1)*100)&gt;100,"NM",IF(((EQ652/EI652-1)*100)&lt;-50,"NM",(EQ652/EI652-1)*100)))</f>
        <v>18.840703600681174</v>
      </c>
      <c r="ES652" s="1031">
        <f t="shared" ref="ES652" si="3850">+ES618/ES$626*100</f>
        <v>27.022254811792028</v>
      </c>
      <c r="ET652" s="98">
        <f t="shared" ref="ET652:ET659" si="3851">IF(ISERROR((ES652/EK652-1)*100),"NA",IF(((ES652/EK652-1)*100)&gt;100,"NM",IF(((ES652/EK652-1)*100)&lt;-50,"NM",(ES652/EK652-1)*100)))</f>
        <v>-2.2840398580036725</v>
      </c>
      <c r="EU652" s="1031">
        <f t="shared" ref="EU652" si="3852">+EU618/EU$626*100</f>
        <v>27.194601223373834</v>
      </c>
      <c r="EV652" s="98">
        <f t="shared" ref="EV652:EV659" si="3853">IF(ISERROR((EU652/EM652-1)*100),"NA",IF(((EU652/EM652-1)*100)&gt;100,"NM",IF(((EU652/EM652-1)*100)&lt;-50,"NM",(EU652/EM652-1)*100)))</f>
        <v>-3.433183553943242</v>
      </c>
      <c r="EW652" s="1031">
        <f t="shared" ref="EW652" si="3854">+EW618/EW$626*100</f>
        <v>27.168375917867188</v>
      </c>
      <c r="EX652" s="98">
        <f t="shared" ref="EX652:EX659" si="3855">IF(ISERROR((EW652/EO652-1)*100),"NA",IF(((EW652/EO652-1)*100)&gt;100,"NM",IF(((EW652/EO652-1)*100)&lt;-50,"NM",(EW652/EO652-1)*100)))</f>
        <v>-40.580132669954985</v>
      </c>
      <c r="EY652" s="117"/>
      <c r="EZ652" s="594"/>
      <c r="FA652" s="405"/>
      <c r="FB652" s="200"/>
      <c r="FC652" s="98"/>
      <c r="FD652" s="117"/>
      <c r="FE652" s="98"/>
      <c r="FF652" s="117"/>
      <c r="FG652" s="98"/>
      <c r="FH652" s="117"/>
      <c r="FI652" s="98"/>
      <c r="FJ652" s="117"/>
      <c r="FK652" s="98"/>
      <c r="FL652" s="117"/>
      <c r="FM652" s="98"/>
      <c r="FN652" s="117"/>
      <c r="FO652" s="98"/>
      <c r="FP652" s="117"/>
      <c r="FQ652" s="98"/>
      <c r="FR652" s="117">
        <f>+FR618/FR$626*100</f>
        <v>0</v>
      </c>
      <c r="FS652" s="98" t="str">
        <f>IF(ISERROR((FR652/FP652-1)*100),"NA",IF(((FR652/FP652-1)*100)&gt;100,"NM",IF(((FR652/FP652-1)*100)&lt;-50,"NM",(FR652/FP652-1)*100)))</f>
        <v>NA</v>
      </c>
      <c r="FT652" s="117">
        <f>+FT618/FT$626*100</f>
        <v>0</v>
      </c>
      <c r="FU652" s="98" t="str">
        <f>IF(ISERROR((FT652/FR652-1)*100),"NA",IF(((FT652/FR652-1)*100)&gt;100,"NM",IF(((FT652/FR652-1)*100)&lt;-50,"NM",(FT652/FR652-1)*100)))</f>
        <v>NA</v>
      </c>
      <c r="FV652" s="117">
        <f>+FV618/FV$626*100</f>
        <v>0</v>
      </c>
      <c r="FW652" s="98" t="str">
        <f>IF(ISERROR((FV652/FT652-1)*100),"NA",IF(((FV652/FT652-1)*100)&gt;100,"NM",IF(((FV652/FT652-1)*100)&lt;-50,"NM",(FV652/FT652-1)*100)))</f>
        <v>NA</v>
      </c>
      <c r="FX652" s="486">
        <f>+FX618/FX$626*100</f>
        <v>0</v>
      </c>
      <c r="FY652" s="98" t="str">
        <f>IF(ISERROR((FX652/FV652-1)*100),"NA",IF(((FX652/FV652-1)*100)&gt;100,"NM",IF(((FX652/FV652-1)*100)&lt;-50,"NM",(FX652/FV652-1)*100)))</f>
        <v>NA</v>
      </c>
      <c r="FZ652" s="117">
        <f>+FZ618/FZ$626*100</f>
        <v>7.3151750972762652</v>
      </c>
      <c r="GA652" s="98" t="str">
        <f>IF(ISERROR((FZ652/FX652-1)*100),"NA",IF(((FZ652/FX652-1)*100)&gt;100,"NM",IF(((FZ652/FX652-1)*100)&lt;-50,"NM",(FZ652/FX652-1)*100)))</f>
        <v>NA</v>
      </c>
      <c r="GB652" s="486">
        <f>+GB618/GB$626*100</f>
        <v>26.331538001196886</v>
      </c>
      <c r="GC652" s="98" t="str">
        <f>IF(ISERROR((GB652/FZ652-1)*100),"NA",IF(((GB652/FZ652-1)*100)&gt;100,"NM",IF(((GB652/FZ652-1)*100)&lt;-50,"NM",(GB652/FZ652-1)*100)))</f>
        <v>NM</v>
      </c>
      <c r="GD652" s="117">
        <f>+GD618/GD$626*100</f>
        <v>28.148751357220412</v>
      </c>
      <c r="GE652" s="98">
        <f>IF(ISERROR((GD652/GB652-1)*100),"NA",IF(((GD652/GB652-1)*100)&gt;100,"NM",IF(((GD652/GB652-1)*100)&lt;-50,"NM",(GD652/GB652-1)*100)))</f>
        <v>6.9012807225347972</v>
      </c>
      <c r="GF652" s="117">
        <f>+GF618/GF$626*100</f>
        <v>23.596358118361152</v>
      </c>
      <c r="GG652" s="98">
        <f>IF(ISERROR((GF652/GD652-1)*100),"NA",IF(((GF652/GD652-1)*100)&gt;100,"NM",IF(((GF652/GD652-1)*100)&lt;-50,"NM",(GF652/GD652-1)*100)))</f>
        <v>-16.172629404009175</v>
      </c>
      <c r="GH652" s="117">
        <f>+GH618/GH$626*100</f>
        <v>24.471072832802847</v>
      </c>
      <c r="GI652" s="98">
        <f>IF(ISERROR((GH652/GF652-1)*100),"NA",IF(((GH652/GF652-1)*100)&gt;100,"NM",IF(((GH652/GF652-1)*100)&lt;-50,"NM",(GH652/GF652-1)*100)))</f>
        <v>3.7069903332287879</v>
      </c>
      <c r="GJ652" s="117">
        <f>+GJ618/GJ$626*100</f>
        <v>34.751951649458576</v>
      </c>
      <c r="GK652" s="98">
        <f>IF(ISERROR((GJ652/GH652-1)*100),"NA",IF(((GJ652/GH652-1)*100)&gt;100,"NM",IF(((GJ652/GH652-1)*100)&lt;-50,"NM",(GJ652/GH652-1)*100)))</f>
        <v>42.012374720549552</v>
      </c>
      <c r="GL652" s="117">
        <f>+GL618/GL$626*100</f>
        <v>30.742574257425741</v>
      </c>
      <c r="GM652" s="98">
        <f>IF(ISERROR((GL652/GJ652-1)*100),"NA",IF(((GL652/GJ652-1)*100)&gt;100,"NM",IF(((GL652/GJ652-1)*100)&lt;-50,"NM",(GL652/GJ652-1)*100)))</f>
        <v>-11.537128712871292</v>
      </c>
      <c r="GN652" s="117">
        <f>+GN618/GN$626*100</f>
        <v>29.020070838252654</v>
      </c>
      <c r="GO652" s="98">
        <f>IF(ISERROR((GN652/GL652-1)*100),"NA",IF(((GN652/GL652-1)*100)&gt;100,"NM",IF(((GN652/GL652-1)*100)&lt;-50,"NM",(GN652/GL652-1)*100)))</f>
        <v>-5.6029901879704251</v>
      </c>
      <c r="GP652" s="117">
        <f>+GP618/GP$626*100</f>
        <v>26.982541470079141</v>
      </c>
      <c r="GQ652" s="98">
        <f>IF(ISERROR((GP652/GN652-1)*100),"NA",IF(((GP652/GN652-1)*100)&gt;100,"NM",IF(((GP652/GN652-1)*100)&lt;-50,"NM",(GP652/GN652-1)*100)))</f>
        <v>-7.0211040473676327</v>
      </c>
      <c r="GR652" s="117">
        <f>+GR618/GR$626*100</f>
        <v>27.705883054633574</v>
      </c>
      <c r="GS652" s="98">
        <f>IF(ISERROR((GR652/GP652-1)*100),"NA",IF(((GR652/GP652-1)*100)&gt;100,"NM",IF(((GR652/GP652-1)*100)&lt;-50,"NM",(GR652/GP652-1)*100)))</f>
        <v>2.6807763284883546</v>
      </c>
      <c r="GT652" s="117">
        <f>+GT618/GT$626*100</f>
        <v>27.996057347007014</v>
      </c>
      <c r="GU652" s="98">
        <f>IF(ISERROR((GT652/GR652-1)*100),"NA",IF(((GT652/GR652-1)*100)&gt;100,"NM",IF(((GT652/GR652-1)*100)&lt;-50,"NM",(GT652/GR652-1)*100)))</f>
        <v>1.0473381837396767</v>
      </c>
      <c r="GV652" s="117">
        <f>+GV618/GV$626*100</f>
        <v>28.713183859742351</v>
      </c>
      <c r="GW652" s="98">
        <f>IF(ISERROR((GV652/GT652-1)*100),"NA",IF(((GV652/GT652-1)*100)&gt;100,"NM",IF(((GV652/GT652-1)*100)&lt;-50,"NM",(GV652/GT652-1)*100)))</f>
        <v>2.5615268030303673</v>
      </c>
      <c r="GX652" s="117">
        <f>+GX618/GX$626*100</f>
        <v>29.418581124765819</v>
      </c>
      <c r="GY652" s="98">
        <f>IF(ISERROR((GX652/GV652-1)*100),"NA",IF(((GX652/GV652-1)*100)&gt;100,"NM",IF(((GX652/GV652-1)*100)&lt;-50,"NM",(GX652/GV652-1)*100)))</f>
        <v>2.4567016617494497</v>
      </c>
      <c r="GZ652" s="98">
        <f t="shared" ref="GZ652:GZ657" si="3856">IF(ISERROR(((GX652/GN652)^0.2-1)*100),"NA",IF((((GX652/GN652)^0.2-1)*100)&gt;100,"NM",IF((((GX652/GN652)^0.2-1)*100)&lt;-50,"NM",((GX652/GN652)^0.2-1)*100)))</f>
        <v>0.2731483178514349</v>
      </c>
      <c r="HA652" s="98"/>
      <c r="HB652" s="10"/>
      <c r="HC652"/>
      <c r="HD652"/>
      <c r="HE652"/>
      <c r="HF652"/>
      <c r="HG652"/>
      <c r="HH652"/>
      <c r="HI652" s="10"/>
    </row>
    <row r="653" spans="1:217" s="2" customFormat="1" ht="12.75" customHeight="1" x14ac:dyDescent="0.2">
      <c r="A653" s="2" t="s">
        <v>305</v>
      </c>
      <c r="B653" s="18" t="s">
        <v>227</v>
      </c>
      <c r="C653" s="117"/>
      <c r="D653" s="98"/>
      <c r="E653" s="117"/>
      <c r="F653" s="98"/>
      <c r="G653" s="117"/>
      <c r="H653" s="98"/>
      <c r="I653" s="117"/>
      <c r="J653" s="98"/>
      <c r="K653" s="117"/>
      <c r="L653" s="98"/>
      <c r="M653" s="117"/>
      <c r="N653" s="98"/>
      <c r="O653" s="117"/>
      <c r="P653" s="98"/>
      <c r="Q653" s="117"/>
      <c r="R653" s="98"/>
      <c r="S653" s="117"/>
      <c r="T653" s="98"/>
      <c r="U653" s="117"/>
      <c r="V653" s="98"/>
      <c r="W653" s="117"/>
      <c r="X653" s="98"/>
      <c r="Y653" s="117"/>
      <c r="Z653" s="98"/>
      <c r="AA653" s="117"/>
      <c r="AB653" s="98"/>
      <c r="AC653" s="117"/>
      <c r="AD653" s="98"/>
      <c r="AE653" s="117"/>
      <c r="AF653" s="98"/>
      <c r="AG653" s="117"/>
      <c r="AH653" s="98"/>
      <c r="AI653" s="117"/>
      <c r="AJ653" s="98"/>
      <c r="AK653" s="117"/>
      <c r="AL653" s="98"/>
      <c r="AM653" s="117"/>
      <c r="AN653" s="98"/>
      <c r="AO653" s="117"/>
      <c r="AP653" s="98"/>
      <c r="AQ653" s="117"/>
      <c r="AR653" s="98"/>
      <c r="AS653" s="117"/>
      <c r="AT653" s="98"/>
      <c r="AU653" s="117"/>
      <c r="AV653" s="98"/>
      <c r="AW653" s="117"/>
      <c r="AX653" s="98"/>
      <c r="AY653" s="117">
        <f>+AY619/AY$626*100</f>
        <v>0</v>
      </c>
      <c r="AZ653" s="98" t="str">
        <f t="shared" ref="AZ653:AZ659" si="3857">IF(ISERROR((AY653/AQ653-1)*100),"NA",IF(((AY653/AQ653-1)*100)&gt;100,"NM",IF(((AY653/AQ653-1)*100)&lt;-50,"NM",(AY653/AQ653-1)*100)))</f>
        <v>NA</v>
      </c>
      <c r="BA653" s="117">
        <f>+BA619/BA$626*100</f>
        <v>0</v>
      </c>
      <c r="BB653" s="98" t="str">
        <f t="shared" ref="BB653:BB659" si="3858">IF(ISERROR((BA653/AS653-1)*100),"NA",IF(((BA653/AS653-1)*100)&gt;100,"NM",IF(((BA653/AS653-1)*100)&lt;-50,"NM",(BA653/AS653-1)*100)))</f>
        <v>NA</v>
      </c>
      <c r="BC653" s="117">
        <f>+BC619/BC$626*100</f>
        <v>0</v>
      </c>
      <c r="BD653" s="98" t="str">
        <f t="shared" ref="BD653:BD659" si="3859">IF(ISERROR((BC653/AU653-1)*100),"NA",IF(((BC653/AU653-1)*100)&gt;100,"NM",IF(((BC653/AU653-1)*100)&lt;-50,"NM",(BC653/AU653-1)*100)))</f>
        <v>NA</v>
      </c>
      <c r="BE653" s="117">
        <f>+BE619/BE$626*100</f>
        <v>0</v>
      </c>
      <c r="BF653" s="98" t="str">
        <f t="shared" ref="BF653:BF659" si="3860">IF(ISERROR((BE653/AW653-1)*100),"NA",IF(((BE653/AW653-1)*100)&gt;100,"NM",IF(((BE653/AW653-1)*100)&lt;-50,"NM",(BE653/AW653-1)*100)))</f>
        <v>NA</v>
      </c>
      <c r="BG653" s="117">
        <f>+BG619/BG$626*100</f>
        <v>0</v>
      </c>
      <c r="BH653" s="98" t="str">
        <f t="shared" ref="BH653:BH659" si="3861">IF(ISERROR((BG653/AY653-1)*100),"NA",IF(((BG653/AY653-1)*100)&gt;100,"NM",IF(((BG653/AY653-1)*100)&lt;-50,"NM",(BG653/AY653-1)*100)))</f>
        <v>NA</v>
      </c>
      <c r="BI653" s="117">
        <f>+BI619/BI$626*100</f>
        <v>0</v>
      </c>
      <c r="BJ653" s="98" t="str">
        <f t="shared" ref="BJ653:BJ659" si="3862">IF(ISERROR((BI653/BA653-1)*100),"NA",IF(((BI653/BA653-1)*100)&gt;100,"NM",IF(((BI653/BA653-1)*100)&lt;-50,"NM",(BI653/BA653-1)*100)))</f>
        <v>NA</v>
      </c>
      <c r="BK653" s="117">
        <f>+BK619/BK$626*100</f>
        <v>0</v>
      </c>
      <c r="BL653" s="98" t="str">
        <f t="shared" ref="BL653:BL659" si="3863">IF(ISERROR((BK653/BC653-1)*100),"NA",IF(((BK653/BC653-1)*100)&gt;100,"NM",IF(((BK653/BC653-1)*100)&lt;-50,"NM",(BK653/BC653-1)*100)))</f>
        <v>NA</v>
      </c>
      <c r="BM653" s="117">
        <f>+BM619/BM$626*100</f>
        <v>0</v>
      </c>
      <c r="BN653" s="98" t="str">
        <f t="shared" ref="BN653:BN659" si="3864">IF(ISERROR((BM653/BE653-1)*100),"NA",IF(((BM653/BE653-1)*100)&gt;100,"NM",IF(((BM653/BE653-1)*100)&lt;-50,"NM",(BM653/BE653-1)*100)))</f>
        <v>NA</v>
      </c>
      <c r="BO653" s="117">
        <f>+BO619/BO$626*100</f>
        <v>0</v>
      </c>
      <c r="BP653" s="98" t="str">
        <f t="shared" ref="BP653:BP659" si="3865">IF(ISERROR((BO653/BG653-1)*100),"NA",IF(((BO653/BG653-1)*100)&gt;100,"NM",IF(((BO653/BG653-1)*100)&lt;-50,"NM",(BO653/BG653-1)*100)))</f>
        <v>NA</v>
      </c>
      <c r="BQ653" s="117">
        <f>+BQ619/BQ$626*100</f>
        <v>0</v>
      </c>
      <c r="BR653" s="98" t="str">
        <f t="shared" ref="BR653:BR659" si="3866">IF(ISERROR((BQ653/BI653-1)*100),"NA",IF(((BQ653/BI653-1)*100)&gt;100,"NM",IF(((BQ653/BI653-1)*100)&lt;-50,"NM",(BQ653/BI653-1)*100)))</f>
        <v>NA</v>
      </c>
      <c r="BS653" s="117">
        <f>+BS619/BS$626*100</f>
        <v>0</v>
      </c>
      <c r="BT653" s="98" t="str">
        <f t="shared" ref="BT653:BT659" si="3867">IF(ISERROR((BS653/BK653-1)*100),"NA",IF(((BS653/BK653-1)*100)&gt;100,"NM",IF(((BS653/BK653-1)*100)&lt;-50,"NM",(BS653/BK653-1)*100)))</f>
        <v>NA</v>
      </c>
      <c r="BU653" s="117">
        <f>+BU619/BU$626*100</f>
        <v>0</v>
      </c>
      <c r="BV653" s="98" t="str">
        <f t="shared" ref="BV653:BV659" si="3868">IF(ISERROR((BU653/BM653-1)*100),"NA",IF(((BU653/BM653-1)*100)&gt;100,"NM",IF(((BU653/BM653-1)*100)&lt;-50,"NM",(BU653/BM653-1)*100)))</f>
        <v>NA</v>
      </c>
      <c r="BW653" s="117">
        <f>+BW619/BW$626*100</f>
        <v>0</v>
      </c>
      <c r="BX653" s="98" t="str">
        <f t="shared" ref="BX653:BX659" si="3869">IF(ISERROR((BW653/BO653-1)*100),"NA",IF(((BW653/BO653-1)*100)&gt;100,"NM",IF(((BW653/BO653-1)*100)&lt;-50,"NM",(BW653/BO653-1)*100)))</f>
        <v>NA</v>
      </c>
      <c r="BY653" s="117">
        <f>+BY619/BY$626*100</f>
        <v>0</v>
      </c>
      <c r="BZ653" s="98" t="str">
        <f t="shared" ref="BZ653:BZ659" si="3870">IF(ISERROR((BY653/BQ653-1)*100),"NA",IF(((BY653/BQ653-1)*100)&gt;100,"NM",IF(((BY653/BQ653-1)*100)&lt;-50,"NM",(BY653/BQ653-1)*100)))</f>
        <v>NA</v>
      </c>
      <c r="CA653" s="117">
        <f>+CA619/CA$626*100</f>
        <v>0</v>
      </c>
      <c r="CB653" s="98" t="str">
        <f t="shared" ref="CB653:CB659" si="3871">IF(ISERROR((CA653/BS653-1)*100),"NA",IF(((CA653/BS653-1)*100)&gt;100,"NM",IF(((CA653/BS653-1)*100)&lt;-50,"NM",(CA653/BS653-1)*100)))</f>
        <v>NA</v>
      </c>
      <c r="CC653" s="117">
        <f>+CC619/CC$626*100</f>
        <v>0</v>
      </c>
      <c r="CD653" s="98" t="str">
        <f t="shared" ref="CD653:CD659" si="3872">IF(ISERROR((CC653/BU653-1)*100),"NA",IF(((CC653/BU653-1)*100)&gt;100,"NM",IF(((CC653/BU653-1)*100)&lt;-50,"NM",(CC653/BU653-1)*100)))</f>
        <v>NA</v>
      </c>
      <c r="CE653" s="117">
        <f>+CE619/CE$626*100</f>
        <v>0</v>
      </c>
      <c r="CF653" s="98" t="str">
        <f t="shared" ref="CF653:CF659" si="3873">IF(ISERROR((CE653/BW653-1)*100),"NA",IF(((CE653/BW653-1)*100)&gt;100,"NM",IF(((CE653/BW653-1)*100)&lt;-50,"NM",(CE653/BW653-1)*100)))</f>
        <v>NA</v>
      </c>
      <c r="CG653" s="117">
        <f>+CG619/CG$626*100</f>
        <v>0</v>
      </c>
      <c r="CH653" s="98" t="str">
        <f t="shared" ref="CH653:CH659" si="3874">IF(ISERROR((CG653/BY653-1)*100),"NA",IF(((CG653/BY653-1)*100)&gt;100,"NM",IF(((CG653/BY653-1)*100)&lt;-50,"NM",(CG653/BY653-1)*100)))</f>
        <v>NA</v>
      </c>
      <c r="CI653" s="117">
        <f>+CI619/CI$626*100</f>
        <v>0</v>
      </c>
      <c r="CJ653" s="98" t="str">
        <f t="shared" ref="CJ653:CJ659" si="3875">IF(ISERROR((CI653/CA653-1)*100),"NA",IF(((CI653/CA653-1)*100)&gt;100,"NM",IF(((CI653/CA653-1)*100)&lt;-50,"NM",(CI653/CA653-1)*100)))</f>
        <v>NA</v>
      </c>
      <c r="CK653" s="117">
        <f>+CK619/CK$626*100</f>
        <v>0</v>
      </c>
      <c r="CL653" s="98" t="str">
        <f t="shared" ref="CL653:CL659" si="3876">IF(ISERROR((CK653/CC653-1)*100),"NA",IF(((CK653/CC653-1)*100)&gt;100,"NM",IF(((CK653/CC653-1)*100)&lt;-50,"NM",(CK653/CC653-1)*100)))</f>
        <v>NA</v>
      </c>
      <c r="CM653" s="117">
        <f>+CM619/CM$626*100</f>
        <v>17.1875</v>
      </c>
      <c r="CN653" s="98" t="str">
        <f t="shared" ref="CN653:CN659" si="3877">IF(ISERROR((CM653/CE653-1)*100),"NA",IF(((CM653/CE653-1)*100)&gt;100,"NM",IF(((CM653/CE653-1)*100)&lt;-50,"NM",(CM653/CE653-1)*100)))</f>
        <v>NA</v>
      </c>
      <c r="CO653" s="117">
        <f>+CO619/CO$626*100</f>
        <v>19.96904024767802</v>
      </c>
      <c r="CP653" s="98" t="str">
        <f t="shared" ref="CP653:CP659" si="3878">IF(ISERROR((CO653/CG653-1)*100),"NA",IF(((CO653/CG653-1)*100)&gt;100,"NM",IF(((CO653/CG653-1)*100)&lt;-50,"NM",(CO653/CG653-1)*100)))</f>
        <v>NA</v>
      </c>
      <c r="CQ653" s="486">
        <f>+CQ619/CQ$626*100</f>
        <v>18.774966711051931</v>
      </c>
      <c r="CR653" s="98" t="str">
        <f t="shared" ref="CR653:CR659" si="3879">IF(ISERROR((CQ653/CI653-1)*100),"NA",IF(((CQ653/CI653-1)*100)&gt;100,"NM",IF(((CQ653/CI653-1)*100)&lt;-50,"NM",(CQ653/CI653-1)*100)))</f>
        <v>NA</v>
      </c>
      <c r="CS653" s="117">
        <f>+CS619/CS$626*100</f>
        <v>15.375</v>
      </c>
      <c r="CT653" s="98" t="str">
        <f t="shared" ref="CT653:CT659" si="3880">IF(ISERROR((CS653/CK653-1)*100),"NA",IF(((CS653/CK653-1)*100)&gt;100,"NM",IF(((CS653/CK653-1)*100)&lt;-50,"NM",(CS653/CK653-1)*100)))</f>
        <v>NA</v>
      </c>
      <c r="CU653" s="117">
        <f>+CU619/CU$626*100</f>
        <v>14.874371859296481</v>
      </c>
      <c r="CV653" s="98">
        <f t="shared" ref="CV653:CV659" si="3881">IF(ISERROR((CU653/CM653-1)*100),"NA",IF(((CU653/CM653-1)*100)&gt;100,"NM",IF(((CU653/CM653-1)*100)&lt;-50,"NM",(CU653/CM653-1)*100)))</f>
        <v>-13.458200091365924</v>
      </c>
      <c r="CW653" s="117">
        <f>+CW619/CW$626*100</f>
        <v>13.18359375</v>
      </c>
      <c r="CX653" s="98">
        <f t="shared" ref="CX653:CX659" si="3882">IF(ISERROR((CW653/CO653-1)*100),"NA",IF(((CW653/CO653-1)*100)&gt;100,"NM",IF(((CW653/CO653-1)*100)&lt;-50,"NM",(CW653/CO653-1)*100)))</f>
        <v>-33.979832848837212</v>
      </c>
      <c r="CY653" s="117">
        <f>+CY619/CY$626*100</f>
        <v>16.432432432432432</v>
      </c>
      <c r="CZ653" s="98">
        <f t="shared" ref="CZ653:CZ659" si="3883">IF(ISERROR((CY653/CQ653-1)*100),"NA",IF(((CY653/CQ653-1)*100)&gt;100,"NM",IF(((CY653/CQ653-1)*100)&lt;-50,"NM",(CY653/CQ653-1)*100)))</f>
        <v>-12.476902434349245</v>
      </c>
      <c r="DA653" s="117">
        <f>+DA619/DA$626*100</f>
        <v>20</v>
      </c>
      <c r="DB653" s="98">
        <f t="shared" ref="DB653:DB659" si="3884">IF(ISERROR((DA653/CS653-1)*100),"NA",IF(((DA653/CS653-1)*100)&gt;100,"NM",IF(((DA653/CS653-1)*100)&lt;-50,"NM",(DA653/CS653-1)*100)))</f>
        <v>30.081300813008127</v>
      </c>
      <c r="DC653" s="117">
        <f>+DC619/DC$626*100</f>
        <v>14.285714285714285</v>
      </c>
      <c r="DD653" s="98">
        <f t="shared" ref="DD653:DD659" si="3885">IF(ISERROR((DC653/CU653-1)*100),"NA",IF(((DC653/CU653-1)*100)&gt;100,"NM",IF(((DC653/CU653-1)*100)&lt;-50,"NM",(DC653/CU653-1)*100)))</f>
        <v>-3.9575289575289552</v>
      </c>
      <c r="DE653" s="117">
        <f>+DE619/DE$626*100</f>
        <v>12.450199203187251</v>
      </c>
      <c r="DF653" s="98">
        <f t="shared" ref="DF653:DF659" si="3886">IF(ISERROR((DE653/CW653-1)*100),"NA",IF(((DE653/CW653-1)*100)&gt;100,"NM",IF(((DE653/CW653-1)*100)&lt;-50,"NM",(DE653/CW653-1)*100)))</f>
        <v>-5.5629334513796591</v>
      </c>
      <c r="DG653" s="117">
        <f>+DG619/DG$626*100</f>
        <v>15.909090909090908</v>
      </c>
      <c r="DH653" s="98">
        <f t="shared" ref="DH653:DH659" si="3887">IF(ISERROR((DG653/CY653-1)*100),"NA",IF(((DG653/CY653-1)*100)&gt;100,"NM",IF(((DG653/CY653-1)*100)&lt;-50,"NM",(DG653/CY653-1)*100)))</f>
        <v>-3.1848086124401931</v>
      </c>
      <c r="DI653" s="117">
        <f>+DI619/DI$626*100</f>
        <v>19.308035714285715</v>
      </c>
      <c r="DJ653" s="98">
        <f t="shared" ref="DJ653:DJ659" si="3888">IF(ISERROR((DI653/DA653-1)*100),"NA",IF(((DI653/DA653-1)*100)&gt;100,"NM",IF(((DI653/DA653-1)*100)&lt;-50,"NM",(DI653/DA653-1)*100)))</f>
        <v>-3.4598214285714191</v>
      </c>
      <c r="DK653" s="117">
        <f>+DK619/DK$626*100</f>
        <v>17.062634989200866</v>
      </c>
      <c r="DL653" s="98">
        <f t="shared" ref="DL653:DL659" si="3889">IF(ISERROR((DK653/DC653-1)*100),"NA",IF(((DK653/DC653-1)*100)&gt;100,"NM",IF(((DK653/DC653-1)*100)&lt;-50,"NM",(DK653/DC653-1)*100)))</f>
        <v>19.438444924406074</v>
      </c>
      <c r="DM653" s="117">
        <f>+DM619/DM$626*100</f>
        <v>14.895947426067908</v>
      </c>
      <c r="DN653" s="98">
        <f t="shared" ref="DN653:DZ659" si="3890">IF(ISERROR((DM653/DE653-1)*100),"NA",IF(((DM653/DE653-1)*100)&gt;100,"NM",IF(((DM653/DE653-1)*100)&lt;-50,"NM",(DM653/DE653-1)*100)))</f>
        <v>19.644249726177421</v>
      </c>
      <c r="DO653" s="117">
        <f>+DO619/DO$626*100</f>
        <v>11.73076923076923</v>
      </c>
      <c r="DP653" s="98">
        <f t="shared" si="3890"/>
        <v>-26.26373626373627</v>
      </c>
      <c r="DQ653" s="117">
        <f>+DQ619/DQ$626*100</f>
        <v>17.572254335260116</v>
      </c>
      <c r="DR653" s="98">
        <f t="shared" si="3890"/>
        <v>-8.9899428647799873</v>
      </c>
      <c r="DS653" s="117">
        <f>+DS619/DS$626*100</f>
        <v>11.769352290679306</v>
      </c>
      <c r="DT653" s="98">
        <f t="shared" si="3890"/>
        <v>-31.022656828044081</v>
      </c>
      <c r="DU653" s="117">
        <f>+DU619/DU$626*100</f>
        <v>10.007358351729213</v>
      </c>
      <c r="DV653" s="98">
        <f t="shared" si="3890"/>
        <v>-32.818248712288444</v>
      </c>
      <c r="DW653" s="117">
        <f>+DW619/DW$626*100</f>
        <v>51.117318435754186</v>
      </c>
      <c r="DX653" s="98" t="str">
        <f t="shared" si="3890"/>
        <v>NM</v>
      </c>
      <c r="DY653" s="117">
        <f>+DY619/DY$626*100</f>
        <v>15.890688259109313</v>
      </c>
      <c r="DZ653" s="98">
        <f t="shared" si="3890"/>
        <v>-9.5694385254634469</v>
      </c>
      <c r="EA653" s="117">
        <f>+EA619/EA$626*100</f>
        <v>15.069860279441119</v>
      </c>
      <c r="EB653" s="98">
        <f t="shared" ref="EB653:EB659" si="3891">IF(ISERROR((EA653/DS653-1)*100),"NA",IF(((EA653/DS653-1)*100)&gt;100,"NM",IF(((EA653/DS653-1)*100)&lt;-50,"NM",(EA653/DS653-1)*100)))</f>
        <v>28.043242374311774</v>
      </c>
      <c r="EC653" s="117">
        <f>+EC619/EC$626*100</f>
        <v>21.884984025559106</v>
      </c>
      <c r="ED653" s="98" t="str">
        <f t="shared" ref="ED653:ED659" si="3892">IF(ISERROR((EC653/DU653-1)*100),"NA",IF(((EC653/DU653-1)*100)&gt;100,"NM",IF(((EC653/DU653-1)*100)&lt;-50,"NM",(EC653/DU653-1)*100)))</f>
        <v>NM</v>
      </c>
      <c r="EE653" s="117">
        <f>+EE619/EE$626*100</f>
        <v>9.815498154981551</v>
      </c>
      <c r="EF653" s="860" t="str">
        <f t="shared" ref="EF653:EF659" si="3893">IF(ISERROR((EE653/DW653-1)*100),"NA",IF(((EE653/DW653-1)*100)&gt;100,"NM",IF(((EE653/DW653-1)*100)&lt;-50,"NM",(EE653/DW653-1)*100)))</f>
        <v>NM</v>
      </c>
      <c r="EG653" s="117">
        <f>+EG619/EG$626*100</f>
        <v>11.542100283822137</v>
      </c>
      <c r="EH653" s="860">
        <f t="shared" ref="EH653:EH659" si="3894">IF(ISERROR((EG653/DY653-1)*100),"NA",IF(((EG653/DY653-1)*100)&gt;100,"NM",IF(((EG653/DY653-1)*100)&lt;-50,"NM",(EG653/DY653-1)*100)))</f>
        <v>-27.365636430469607</v>
      </c>
      <c r="EI653" s="117">
        <f>+EI619/EI$626*100</f>
        <v>10.825132475397426</v>
      </c>
      <c r="EJ653" s="860">
        <f t="shared" ref="EJ653:EJ659" si="3895">IF(ISERROR((EI653/EA653-1)*100),"NA",IF(((EI653/EA653-1)*100)&gt;100,"NM",IF(((EI653/EA653-1)*100)&lt;-50,"NM",(EI653/EA653-1)*100)))</f>
        <v>-28.167001719548214</v>
      </c>
      <c r="EK653" s="117">
        <f>+EK619/EK$626*100</f>
        <v>13.737734165923282</v>
      </c>
      <c r="EL653" s="860">
        <f t="shared" ref="EL653:EL659" si="3896">IF(ISERROR((EK653/EC653-1)*100),"NA",IF(((EK653/EC653-1)*100)&gt;100,"NM",IF(((EK653/EC653-1)*100)&lt;-50,"NM",(EK653/EC653-1)*100)))</f>
        <v>-37.227579650598727</v>
      </c>
      <c r="EM653" s="117">
        <f>+EM619/EM$626*100</f>
        <v>14.618834080717487</v>
      </c>
      <c r="EN653" s="860">
        <f t="shared" ref="EN653:EN659" si="3897">IF(ISERROR((EM653/EE653-1)*100),"NA",IF(((EM653/EE653-1)*100)&gt;100,"NM",IF(((EM653/EE653-1)*100)&lt;-50,"NM",(EM653/EE653-1)*100)))</f>
        <v>48.93624195016686</v>
      </c>
      <c r="EO653" s="117">
        <f>+EO619/EO$626*100</f>
        <v>18.436578171091444</v>
      </c>
      <c r="EP653" s="98">
        <f t="shared" ref="EP653:EP659" si="3898">IF(ISERROR((EO653/EG653-1)*100),"NA",IF(((EO653/EG653-1)*100)&gt;100,"NM",IF(((EO653/EG653-1)*100)&lt;-50,"NM",(EO653/EG653-1)*100)))</f>
        <v>59.733304318390637</v>
      </c>
      <c r="EQ653" s="1031">
        <f>+EQ619/EQ$626*100</f>
        <v>12.957550267933771</v>
      </c>
      <c r="ER653" s="98">
        <f t="shared" ref="ER653:ER659" si="3899">IF(ISERROR((EQ653/EI653-1)*100),"NA",IF(((EQ653/EI653-1)*100)&gt;100,"NM",IF(((EQ653/EI653-1)*100)&lt;-50,"NM",(EQ653/EI653-1)*100)))</f>
        <v>19.69876855902455</v>
      </c>
      <c r="ES653" s="1031">
        <f t="shared" ref="ES653" si="3900">+ES619/ES$626*100</f>
        <v>13.375983517151106</v>
      </c>
      <c r="ET653" s="98">
        <f t="shared" si="3851"/>
        <v>-2.6332628394390212</v>
      </c>
      <c r="EU653" s="1031">
        <f t="shared" ref="EU653" si="3901">+EU619/EU$626*100</f>
        <v>13.957357659688336</v>
      </c>
      <c r="EV653" s="98">
        <f t="shared" si="3853"/>
        <v>-4.5248233708435777</v>
      </c>
      <c r="EW653" s="1031">
        <f t="shared" ref="EW653" si="3902">+EW619/EW$626*100</f>
        <v>11.38697012210706</v>
      </c>
      <c r="EX653" s="98">
        <f t="shared" si="3855"/>
        <v>-38.237074057691302</v>
      </c>
      <c r="EY653" s="117"/>
      <c r="EZ653" s="594"/>
      <c r="FA653" s="405"/>
      <c r="FB653" s="200"/>
      <c r="FC653" s="98"/>
      <c r="FD653" s="117"/>
      <c r="FE653" s="98"/>
      <c r="FF653" s="117"/>
      <c r="FG653" s="98"/>
      <c r="FH653" s="117"/>
      <c r="FI653" s="98"/>
      <c r="FJ653" s="117"/>
      <c r="FK653" s="98"/>
      <c r="FL653" s="117"/>
      <c r="FM653" s="98"/>
      <c r="FN653" s="117"/>
      <c r="FO653" s="98"/>
      <c r="FP653" s="117"/>
      <c r="FQ653" s="98"/>
      <c r="FR653" s="117">
        <f>+FR619/FR$626*100</f>
        <v>0</v>
      </c>
      <c r="FS653" s="98" t="str">
        <f t="shared" ref="FS653:FS659" si="3903">IF(ISERROR((FR653/FP653-1)*100),"NA",IF(((FR653/FP653-1)*100)&gt;100,"NM",IF(((FR653/FP653-1)*100)&lt;-50,"NM",(FR653/FP653-1)*100)))</f>
        <v>NA</v>
      </c>
      <c r="FT653" s="117">
        <f>+FT619/FT$626*100</f>
        <v>0</v>
      </c>
      <c r="FU653" s="98" t="str">
        <f t="shared" ref="FU653:FU659" si="3904">IF(ISERROR((FT653/FR653-1)*100),"NA",IF(((FT653/FR653-1)*100)&gt;100,"NM",IF(((FT653/FR653-1)*100)&lt;-50,"NM",(FT653/FR653-1)*100)))</f>
        <v>NA</v>
      </c>
      <c r="FV653" s="117">
        <f>+FV619/FV$626*100</f>
        <v>0</v>
      </c>
      <c r="FW653" s="98" t="str">
        <f t="shared" ref="FW653:FW659" si="3905">IF(ISERROR((FV653/FT653-1)*100),"NA",IF(((FV653/FT653-1)*100)&gt;100,"NM",IF(((FV653/FT653-1)*100)&lt;-50,"NM",(FV653/FT653-1)*100)))</f>
        <v>NA</v>
      </c>
      <c r="FX653" s="486">
        <f>+FX619/FX$626*100</f>
        <v>0</v>
      </c>
      <c r="FY653" s="98" t="str">
        <f t="shared" ref="FY653:FY659" si="3906">IF(ISERROR((FX653/FV653-1)*100),"NA",IF(((FX653/FV653-1)*100)&gt;100,"NM",IF(((FX653/FV653-1)*100)&lt;-50,"NM",(FX653/FV653-1)*100)))</f>
        <v>NA</v>
      </c>
      <c r="FZ653" s="117">
        <f>+FZ619/FZ$626*100</f>
        <v>0</v>
      </c>
      <c r="GA653" s="98" t="str">
        <f t="shared" ref="GA653:GA659" si="3907">IF(ISERROR((FZ653/FX653-1)*100),"NA",IF(((FZ653/FX653-1)*100)&gt;100,"NM",IF(((FZ653/FX653-1)*100)&lt;-50,"NM",(FZ653/FX653-1)*100)))</f>
        <v>NA</v>
      </c>
      <c r="GB653" s="486">
        <f>+GB619/GB$626*100</f>
        <v>15.380011968880911</v>
      </c>
      <c r="GC653" s="98" t="str">
        <f t="shared" ref="GC653:GC659" si="3908">IF(ISERROR((GB653/FZ653-1)*100),"NA",IF(((GB653/FZ653-1)*100)&gt;100,"NM",IF(((GB653/FZ653-1)*100)&lt;-50,"NM",(GB653/FZ653-1)*100)))</f>
        <v>NA</v>
      </c>
      <c r="GD653" s="117">
        <f>+GD619/GD$626*100</f>
        <v>15.825190010857762</v>
      </c>
      <c r="GE653" s="98">
        <f t="shared" ref="GE653:GW659" si="3909">IF(ISERROR((GD653/GB653-1)*100),"NA",IF(((GD653/GB653-1)*100)&gt;100,"NM",IF(((GD653/GB653-1)*100)&lt;-50,"NM",(GD653/GB653-1)*100)))</f>
        <v>2.8945233779895663</v>
      </c>
      <c r="GF653" s="117">
        <f>+GF619/GF$626*100</f>
        <v>10.887708649468893</v>
      </c>
      <c r="GG653" s="98">
        <f t="shared" si="3909"/>
        <v>-31.200139511760881</v>
      </c>
      <c r="GH653" s="117">
        <f>+GH619/GH$626*100</f>
        <v>10.634712600636584</v>
      </c>
      <c r="GI653" s="98">
        <f t="shared" si="3909"/>
        <v>-2.3236849641880331</v>
      </c>
      <c r="GJ653" s="117">
        <f>+GJ619/GJ$626*100</f>
        <v>15.739108536892472</v>
      </c>
      <c r="GK653" s="98">
        <f t="shared" si="3909"/>
        <v>47.997497703420237</v>
      </c>
      <c r="GL653" s="117">
        <f>+GL619/GL$626*100</f>
        <v>13.440594059405942</v>
      </c>
      <c r="GM653" s="98">
        <f t="shared" si="3909"/>
        <v>-14.603841584158417</v>
      </c>
      <c r="GN653" s="117">
        <f>+GN619/GN$626*100</f>
        <v>13.813459268004721</v>
      </c>
      <c r="GO653" s="98">
        <f t="shared" si="3909"/>
        <v>2.7741720860756214</v>
      </c>
      <c r="GP653" s="117">
        <f>+GP619/GP$626*100</f>
        <v>12.914382575561016</v>
      </c>
      <c r="GQ653" s="98">
        <f t="shared" si="3909"/>
        <v>-6.5087004999984437</v>
      </c>
      <c r="GR653" s="117">
        <f>+GR619/GR$626*100</f>
        <v>13.434142349553499</v>
      </c>
      <c r="GS653" s="98">
        <f t="shared" si="3909"/>
        <v>4.0246583292032012</v>
      </c>
      <c r="GT653" s="117">
        <f>+GT619/GT$626*100</f>
        <v>13.704127473486267</v>
      </c>
      <c r="GU653" s="98">
        <f t="shared" si="3909"/>
        <v>2.0096937854893415</v>
      </c>
      <c r="GV653" s="117">
        <f>+GV619/GV$626*100</f>
        <v>14.108004576081093</v>
      </c>
      <c r="GW653" s="98">
        <f t="shared" si="3909"/>
        <v>2.9471201532254909</v>
      </c>
      <c r="GX653" s="117">
        <f>+GX619/GX$626*100</f>
        <v>14.40038561521842</v>
      </c>
      <c r="GY653" s="98">
        <f t="shared" ref="GY653:GY659" si="3910">IF(ISERROR((GX653/GV653-1)*100),"NA",IF(((GX653/GV653-1)*100)&gt;100,"NM",IF(((GX653/GV653-1)*100)&lt;-50,"NM",(GX653/GV653-1)*100)))</f>
        <v>2.072447861500093</v>
      </c>
      <c r="GZ653" s="98">
        <f t="shared" si="3856"/>
        <v>0.83570384902091899</v>
      </c>
      <c r="HA653" s="98"/>
      <c r="HB653" s="10"/>
      <c r="HC653"/>
      <c r="HD653"/>
      <c r="HE653"/>
      <c r="HF653"/>
      <c r="HG653"/>
      <c r="HH653"/>
      <c r="HI653" s="10"/>
    </row>
    <row r="654" spans="1:217" s="2" customFormat="1" ht="12.75" customHeight="1" x14ac:dyDescent="0.2">
      <c r="A654" s="2" t="s">
        <v>305</v>
      </c>
      <c r="B654" s="18" t="s">
        <v>229</v>
      </c>
      <c r="C654" s="117"/>
      <c r="D654" s="98"/>
      <c r="E654" s="117"/>
      <c r="F654" s="98"/>
      <c r="G654" s="117"/>
      <c r="H654" s="98"/>
      <c r="I654" s="117"/>
      <c r="J654" s="98"/>
      <c r="K654" s="117"/>
      <c r="L654" s="98"/>
      <c r="M654" s="117"/>
      <c r="N654" s="98"/>
      <c r="O654" s="117"/>
      <c r="P654" s="98"/>
      <c r="Q654" s="117"/>
      <c r="R654" s="98"/>
      <c r="S654" s="117"/>
      <c r="T654" s="98"/>
      <c r="U654" s="117"/>
      <c r="V654" s="98"/>
      <c r="W654" s="117"/>
      <c r="X654" s="98"/>
      <c r="Y654" s="117"/>
      <c r="Z654" s="98"/>
      <c r="AA654" s="117"/>
      <c r="AB654" s="98"/>
      <c r="AC654" s="117"/>
      <c r="AD654" s="98"/>
      <c r="AE654" s="117"/>
      <c r="AF654" s="98"/>
      <c r="AG654" s="117"/>
      <c r="AH654" s="98"/>
      <c r="AI654" s="117"/>
      <c r="AJ654" s="98"/>
      <c r="AK654" s="117"/>
      <c r="AL654" s="98"/>
      <c r="AM654" s="117"/>
      <c r="AN654" s="98"/>
      <c r="AO654" s="117"/>
      <c r="AP654" s="98"/>
      <c r="AQ654" s="117"/>
      <c r="AR654" s="98"/>
      <c r="AS654" s="117"/>
      <c r="AT654" s="98"/>
      <c r="AU654" s="117"/>
      <c r="AV654" s="98"/>
      <c r="AW654" s="117"/>
      <c r="AX654" s="98"/>
      <c r="AY654" s="117">
        <f>+AY620/AY$626*100</f>
        <v>7.4074074074074066</v>
      </c>
      <c r="AZ654" s="98" t="str">
        <f t="shared" si="3857"/>
        <v>NA</v>
      </c>
      <c r="BA654" s="117">
        <f>+BA620/BA$626*100</f>
        <v>6.5040650406504072</v>
      </c>
      <c r="BB654" s="98" t="str">
        <f t="shared" si="3858"/>
        <v>NA</v>
      </c>
      <c r="BC654" s="117">
        <f>+BC620/BC$626*100</f>
        <v>7.5156576200417531</v>
      </c>
      <c r="BD654" s="98" t="str">
        <f t="shared" si="3859"/>
        <v>NA</v>
      </c>
      <c r="BE654" s="117">
        <f>+BE620/BE$626*100</f>
        <v>1.5180265654648957</v>
      </c>
      <c r="BF654" s="98" t="str">
        <f t="shared" si="3860"/>
        <v>NA</v>
      </c>
      <c r="BG654" s="117">
        <f>+BG620/BG$626*100</f>
        <v>11.460258780036968</v>
      </c>
      <c r="BH654" s="98">
        <f t="shared" si="3861"/>
        <v>54.713493530499079</v>
      </c>
      <c r="BI654" s="117">
        <f>+BI620/BI$626*100</f>
        <v>8.9244851258581246</v>
      </c>
      <c r="BJ654" s="98">
        <f t="shared" si="3862"/>
        <v>37.213958810068661</v>
      </c>
      <c r="BK654" s="117">
        <f>+BK620/BK$626*100</f>
        <v>12.039532794249777</v>
      </c>
      <c r="BL654" s="98">
        <f t="shared" si="3863"/>
        <v>60.192672456823423</v>
      </c>
      <c r="BM654" s="117">
        <f>+BM620/BM$626*100</f>
        <v>16.623600344530576</v>
      </c>
      <c r="BN654" s="98" t="str">
        <f t="shared" si="3864"/>
        <v>NM</v>
      </c>
      <c r="BO654" s="117">
        <f>+BO620/BO$626*100</f>
        <v>12.686567164179104</v>
      </c>
      <c r="BP654" s="98">
        <f t="shared" si="3865"/>
        <v>10.700529610014442</v>
      </c>
      <c r="BQ654" s="117">
        <f>+BQ620/BQ$626*100</f>
        <v>16.57271702367531</v>
      </c>
      <c r="BR654" s="98">
        <f t="shared" si="3866"/>
        <v>85.699418957592542</v>
      </c>
      <c r="BS654" s="117">
        <f>+BS620/BS$626*100</f>
        <v>23.684210526315788</v>
      </c>
      <c r="BT654" s="98">
        <f t="shared" si="3867"/>
        <v>96.720345640219918</v>
      </c>
      <c r="BU654" s="117">
        <f>+BU620/BU$626*100</f>
        <v>-165.95744680851064</v>
      </c>
      <c r="BV654" s="98" t="str">
        <f t="shared" si="3868"/>
        <v>NM</v>
      </c>
      <c r="BW654" s="117">
        <f>+BW620/BW$626*100</f>
        <v>-222.03389830508473</v>
      </c>
      <c r="BX654" s="98" t="str">
        <f t="shared" si="3869"/>
        <v>NM</v>
      </c>
      <c r="BY654" s="117">
        <f>+BY620/BY$626*100</f>
        <v>110.48951048951048</v>
      </c>
      <c r="BZ654" s="98" t="str">
        <f t="shared" si="3870"/>
        <v>NM</v>
      </c>
      <c r="CA654" s="117">
        <f>+CA620/CA$626*100</f>
        <v>105.51724137931035</v>
      </c>
      <c r="CB654" s="98" t="str">
        <f t="shared" si="3871"/>
        <v>NM</v>
      </c>
      <c r="CC654" s="117">
        <f>+CC620/CC$626*100</f>
        <v>63.636363636363633</v>
      </c>
      <c r="CD654" s="98" t="str">
        <f t="shared" si="3872"/>
        <v>NM</v>
      </c>
      <c r="CE654" s="117">
        <f>+CE620/CE$626*100</f>
        <v>61.250000000000007</v>
      </c>
      <c r="CF654" s="98" t="str">
        <f t="shared" si="3873"/>
        <v>NM</v>
      </c>
      <c r="CG654" s="117">
        <f>+CG620/CG$626*100</f>
        <v>52.788104089219331</v>
      </c>
      <c r="CH654" s="98" t="str">
        <f t="shared" si="3874"/>
        <v>NM</v>
      </c>
      <c r="CI654" s="117">
        <f>+CI620/CI$626*100</f>
        <v>97.92746113989638</v>
      </c>
      <c r="CJ654" s="98">
        <f t="shared" si="3875"/>
        <v>-7.192928985065528</v>
      </c>
      <c r="CK654" s="117">
        <f>+CK620/CK$626*100</f>
        <v>35.677530017152662</v>
      </c>
      <c r="CL654" s="98">
        <f t="shared" si="3876"/>
        <v>-43.935309973045811</v>
      </c>
      <c r="CM654" s="117">
        <f>+CM620/CM$626*100</f>
        <v>11.221590909090908</v>
      </c>
      <c r="CN654" s="98" t="str">
        <f t="shared" si="3877"/>
        <v>NM</v>
      </c>
      <c r="CO654" s="117">
        <f>+CO620/CO$626*100</f>
        <v>9.9071207430340564</v>
      </c>
      <c r="CP654" s="98" t="str">
        <f t="shared" si="3878"/>
        <v>NM</v>
      </c>
      <c r="CQ654" s="486">
        <f>+CQ620/CQ$626*100</f>
        <v>8.6551264980026623</v>
      </c>
      <c r="CR654" s="98" t="str">
        <f t="shared" si="3879"/>
        <v>NM</v>
      </c>
      <c r="CS654" s="117">
        <f>+CS620/CS$626*100</f>
        <v>5.875</v>
      </c>
      <c r="CT654" s="98" t="str">
        <f t="shared" si="3880"/>
        <v>NM</v>
      </c>
      <c r="CU654" s="117">
        <f>+CU620/CU$626*100</f>
        <v>7.2361809045226124</v>
      </c>
      <c r="CV654" s="98">
        <f t="shared" si="3881"/>
        <v>-35.515552445773167</v>
      </c>
      <c r="CW654" s="117">
        <f>+CW620/CW$626*100</f>
        <v>7.6171875</v>
      </c>
      <c r="CX654" s="98">
        <f t="shared" si="3882"/>
        <v>-23.114013671875</v>
      </c>
      <c r="CY654" s="117">
        <f>+CY620/CY$626*100</f>
        <v>6.7027027027027026</v>
      </c>
      <c r="CZ654" s="98">
        <f t="shared" si="3883"/>
        <v>-22.558004158004152</v>
      </c>
      <c r="DA654" s="117">
        <f>+DA620/DA$626*100</f>
        <v>7.9729729729729737</v>
      </c>
      <c r="DB654" s="98">
        <f t="shared" si="3884"/>
        <v>35.710178263369777</v>
      </c>
      <c r="DC654" s="117">
        <f>+DC620/DC$626*100</f>
        <v>8.6913086913086914</v>
      </c>
      <c r="DD654" s="98">
        <f t="shared" si="3885"/>
        <v>20.109057609057611</v>
      </c>
      <c r="DE654" s="117">
        <f>+DE620/DE$626*100</f>
        <v>6.7729083665338639</v>
      </c>
      <c r="DF654" s="98">
        <f t="shared" si="3886"/>
        <v>-11.083869649606715</v>
      </c>
      <c r="DG654" s="117">
        <f>+DG620/DG$626*100</f>
        <v>10.167464114832537</v>
      </c>
      <c r="DH654" s="98">
        <f t="shared" si="3887"/>
        <v>51.692004939033829</v>
      </c>
      <c r="DI654" s="117">
        <f>+DI620/DI$626*100</f>
        <v>9.9330357142857135</v>
      </c>
      <c r="DJ654" s="98">
        <f t="shared" si="3888"/>
        <v>24.583837772397075</v>
      </c>
      <c r="DK654" s="117">
        <f>+DK620/DK$626*100</f>
        <v>7.6673866090712739</v>
      </c>
      <c r="DL654" s="98">
        <f t="shared" si="3889"/>
        <v>-11.780988555398331</v>
      </c>
      <c r="DM654" s="117">
        <f>+DM620/DM$626*100</f>
        <v>7.8860898138006581</v>
      </c>
      <c r="DN654" s="98">
        <f t="shared" si="3890"/>
        <v>16.435796662586188</v>
      </c>
      <c r="DO654" s="117">
        <f>+DO620/DO$626*100</f>
        <v>7.5</v>
      </c>
      <c r="DP654" s="98">
        <f t="shared" si="3890"/>
        <v>-26.235294117647069</v>
      </c>
      <c r="DQ654" s="117">
        <f>+DQ620/DQ$626*100</f>
        <v>7.3988439306358389</v>
      </c>
      <c r="DR654" s="98">
        <f t="shared" si="3890"/>
        <v>-25.512762226407727</v>
      </c>
      <c r="DS654" s="117">
        <f>+DS620/DS$626*100</f>
        <v>5.5292259083728279</v>
      </c>
      <c r="DT654" s="98">
        <f t="shared" si="3890"/>
        <v>-27.886433927419173</v>
      </c>
      <c r="DU654" s="117">
        <f>+DU620/DU$626*100</f>
        <v>3.6791758646063282</v>
      </c>
      <c r="DV654" s="98" t="str">
        <f t="shared" si="3890"/>
        <v>NM</v>
      </c>
      <c r="DW654" s="117">
        <f>+DW620/DW$626*100</f>
        <v>18.435754189944134</v>
      </c>
      <c r="DX654" s="98" t="str">
        <f t="shared" si="3890"/>
        <v>NM</v>
      </c>
      <c r="DY654" s="117">
        <f>+DY620/DY$626*100</f>
        <v>5.4655870445344128</v>
      </c>
      <c r="DZ654" s="98">
        <f t="shared" si="3890"/>
        <v>-26.129175101214585</v>
      </c>
      <c r="EA654" s="117">
        <f>+EA620/EA$626*100</f>
        <v>6.2874251497005984</v>
      </c>
      <c r="EB654" s="98">
        <f t="shared" si="3891"/>
        <v>13.712574850299397</v>
      </c>
      <c r="EC654" s="117">
        <f>+EC620/EC$626*100</f>
        <v>10.223642172523961</v>
      </c>
      <c r="ED654" s="98" t="str">
        <f t="shared" si="3892"/>
        <v>NM</v>
      </c>
      <c r="EE654" s="117">
        <f>+EE620/EE$626*100</f>
        <v>5.4612546125461261</v>
      </c>
      <c r="EF654" s="860" t="str">
        <f t="shared" si="3893"/>
        <v>NM</v>
      </c>
      <c r="EG654" s="117">
        <f>+EG620/EG$626*100</f>
        <v>6.8117313150425742</v>
      </c>
      <c r="EH654" s="860">
        <f t="shared" si="3894"/>
        <v>24.629454430778953</v>
      </c>
      <c r="EI654" s="117">
        <f>+EI620/EI$626*100</f>
        <v>5.6775170325510977</v>
      </c>
      <c r="EJ654" s="860">
        <f t="shared" si="3895"/>
        <v>-9.7004433870444444</v>
      </c>
      <c r="EK654" s="117">
        <f>+EK620/EK$626*100</f>
        <v>6.4228367528991974</v>
      </c>
      <c r="EL654" s="860">
        <f t="shared" si="3896"/>
        <v>-37.176628010704725</v>
      </c>
      <c r="EM654" s="117">
        <f>+EM620/EM$626*100</f>
        <v>6.3677130044843047</v>
      </c>
      <c r="EN654" s="860">
        <f t="shared" si="3897"/>
        <v>16.597988122651785</v>
      </c>
      <c r="EO654" s="117">
        <f>+EO620/EO$626*100</f>
        <v>11.651917404129794</v>
      </c>
      <c r="EP654" s="98">
        <f t="shared" si="3898"/>
        <v>71.056620780072095</v>
      </c>
      <c r="EQ654" s="1031">
        <f>+EQ620/EQ$626*100</f>
        <v>6.2926564211213218</v>
      </c>
      <c r="ER654" s="98">
        <f t="shared" si="3899"/>
        <v>10.834655097350222</v>
      </c>
      <c r="ES654" s="1031">
        <f t="shared" ref="ES654" si="3911">+ES620/ES$626*100</f>
        <v>6.3954313390277022</v>
      </c>
      <c r="ET654" s="98">
        <f t="shared" si="3851"/>
        <v>-0.42668706874925411</v>
      </c>
      <c r="EU654" s="1031">
        <f t="shared" ref="EU654" si="3912">+EU620/EU$626*100</f>
        <v>6.4242157008901586</v>
      </c>
      <c r="EV654" s="98">
        <f t="shared" si="3853"/>
        <v>0.88733107735954331</v>
      </c>
      <c r="EW654" s="1031">
        <f t="shared" ref="EW654" si="3913">+EW620/EW$626*100</f>
        <v>6.4621058210718552</v>
      </c>
      <c r="EX654" s="98">
        <f t="shared" si="3855"/>
        <v>-44.540408269788379</v>
      </c>
      <c r="EY654" s="117"/>
      <c r="EZ654" s="594"/>
      <c r="FA654" s="405"/>
      <c r="FB654" s="200"/>
      <c r="FC654" s="98"/>
      <c r="FD654" s="117"/>
      <c r="FE654" s="98"/>
      <c r="FF654" s="117"/>
      <c r="FG654" s="98"/>
      <c r="FH654" s="117"/>
      <c r="FI654" s="98"/>
      <c r="FJ654" s="117"/>
      <c r="FK654" s="98"/>
      <c r="FL654" s="117"/>
      <c r="FM654" s="98"/>
      <c r="FN654" s="117"/>
      <c r="FO654" s="98"/>
      <c r="FP654" s="117"/>
      <c r="FQ654" s="98"/>
      <c r="FR654" s="117">
        <f>+FR620/FR$626*100</f>
        <v>5.6688214818498261</v>
      </c>
      <c r="FS654" s="98" t="str">
        <f t="shared" si="3903"/>
        <v>NA</v>
      </c>
      <c r="FT654" s="117">
        <f>+FT620/FT$626*100</f>
        <v>12.170559245768159</v>
      </c>
      <c r="FU654" s="98" t="str">
        <f t="shared" si="3904"/>
        <v>NM</v>
      </c>
      <c r="FV654" s="117">
        <f>+FV620/FV$626*100</f>
        <v>19.007936507936506</v>
      </c>
      <c r="FW654" s="98">
        <f t="shared" si="3905"/>
        <v>56.179647328414937</v>
      </c>
      <c r="FX654" s="486">
        <f>+FX620/FX$626*100</f>
        <v>176.71755725190837</v>
      </c>
      <c r="FY654" s="98" t="str">
        <f t="shared" si="3906"/>
        <v>NM</v>
      </c>
      <c r="FZ654" s="117">
        <f>+FZ620/FZ$626*100</f>
        <v>53.385214007782103</v>
      </c>
      <c r="GA654" s="98" t="str">
        <f t="shared" si="3907"/>
        <v>NM</v>
      </c>
      <c r="GB654" s="486">
        <f>+GB620/GB$626*100</f>
        <v>7.5104727707959311</v>
      </c>
      <c r="GC654" s="98" t="str">
        <f t="shared" si="3908"/>
        <v>NM</v>
      </c>
      <c r="GD654" s="117">
        <f>+GD620/GD$626*100</f>
        <v>7.3561346362649296</v>
      </c>
      <c r="GE654" s="98">
        <f t="shared" si="3909"/>
        <v>-2.0549722932374781</v>
      </c>
      <c r="GF654" s="117">
        <f>+GF620/GF$626*100</f>
        <v>6.24051593323217</v>
      </c>
      <c r="GG654" s="98">
        <f t="shared" si="3909"/>
        <v>-15.165827682556031</v>
      </c>
      <c r="GH654" s="117">
        <f>+GH620/GH$626*100</f>
        <v>5.336079385882794</v>
      </c>
      <c r="GI654" s="98">
        <f t="shared" si="3909"/>
        <v>-14.492977135641061</v>
      </c>
      <c r="GJ654" s="117">
        <f>+GJ620/GJ$626*100</f>
        <v>6.0438176781667092</v>
      </c>
      <c r="GK654" s="98">
        <f t="shared" si="3909"/>
        <v>13.263263926625935</v>
      </c>
      <c r="GL654" s="117">
        <f>+GL620/GL$626*100</f>
        <v>6.7574257425742577</v>
      </c>
      <c r="GM654" s="98">
        <f t="shared" si="3909"/>
        <v>11.807240099009885</v>
      </c>
      <c r="GN654" s="117">
        <f>+GN620/GN$626*100</f>
        <v>7.0129870129870122</v>
      </c>
      <c r="GO654" s="98">
        <f t="shared" si="3909"/>
        <v>3.7819323533609062</v>
      </c>
      <c r="GP654" s="117">
        <f>+GP620/GP$626*100</f>
        <v>6.3940250143691273</v>
      </c>
      <c r="GQ654" s="98">
        <f t="shared" si="3909"/>
        <v>-8.8259396099216954</v>
      </c>
      <c r="GR654" s="117">
        <f>+GR620/GR$626*100</f>
        <v>7.1918099012104069</v>
      </c>
      <c r="GS654" s="98">
        <f t="shared" si="3909"/>
        <v>12.477037312935725</v>
      </c>
      <c r="GT654" s="117">
        <f>+GT620/GT$626*100</f>
        <v>7.5439756142137622</v>
      </c>
      <c r="GU654" s="98">
        <f t="shared" si="3909"/>
        <v>4.8967605907392686</v>
      </c>
      <c r="GV654" s="117">
        <f>+GV620/GV$626*100</f>
        <v>7.9861067429105468</v>
      </c>
      <c r="GW654" s="98">
        <f t="shared" si="3909"/>
        <v>5.8607178934109605</v>
      </c>
      <c r="GX654" s="117">
        <f>+GX620/GX$626*100</f>
        <v>8.0533137281426921</v>
      </c>
      <c r="GY654" s="98">
        <f t="shared" si="3910"/>
        <v>0.84154879712579067</v>
      </c>
      <c r="GZ654" s="98">
        <f t="shared" si="3856"/>
        <v>2.805018759018596</v>
      </c>
      <c r="HA654" s="98"/>
      <c r="HB654" s="10"/>
      <c r="HC654"/>
      <c r="HD654"/>
      <c r="HE654"/>
      <c r="HF654"/>
      <c r="HG654"/>
      <c r="HH654"/>
      <c r="HI654" s="10"/>
    </row>
    <row r="655" spans="1:217" s="2" customFormat="1" ht="12.75" customHeight="1" x14ac:dyDescent="0.2">
      <c r="A655" s="2" t="s">
        <v>305</v>
      </c>
      <c r="B655" s="19" t="s">
        <v>232</v>
      </c>
      <c r="C655" s="182"/>
      <c r="D655" s="230"/>
      <c r="E655" s="182"/>
      <c r="F655" s="98"/>
      <c r="G655" s="182"/>
      <c r="H655" s="98"/>
      <c r="I655" s="182"/>
      <c r="J655" s="98"/>
      <c r="K655" s="182"/>
      <c r="L655" s="98"/>
      <c r="M655" s="182"/>
      <c r="N655" s="98"/>
      <c r="O655" s="182"/>
      <c r="P655" s="98"/>
      <c r="Q655" s="182"/>
      <c r="R655" s="98"/>
      <c r="S655" s="182"/>
      <c r="T655" s="98"/>
      <c r="U655" s="182"/>
      <c r="V655" s="98"/>
      <c r="W655" s="182"/>
      <c r="X655" s="98"/>
      <c r="Y655" s="182"/>
      <c r="Z655" s="98"/>
      <c r="AA655" s="182"/>
      <c r="AB655" s="98"/>
      <c r="AC655" s="182"/>
      <c r="AD655" s="98"/>
      <c r="AE655" s="182"/>
      <c r="AF655" s="98"/>
      <c r="AG655" s="182"/>
      <c r="AH655" s="98"/>
      <c r="AI655" s="182"/>
      <c r="AJ655" s="98"/>
      <c r="AK655" s="182"/>
      <c r="AL655" s="98"/>
      <c r="AM655" s="182"/>
      <c r="AN655" s="98"/>
      <c r="AO655" s="182"/>
      <c r="AP655" s="98"/>
      <c r="AQ655" s="182"/>
      <c r="AR655" s="98"/>
      <c r="AS655" s="182"/>
      <c r="AT655" s="98"/>
      <c r="AU655" s="182"/>
      <c r="AV655" s="98"/>
      <c r="AW655" s="182"/>
      <c r="AX655" s="98"/>
      <c r="AY655" s="182">
        <f>+AY621/AY$626*100</f>
        <v>7.4074074074074066</v>
      </c>
      <c r="AZ655" s="98" t="str">
        <f t="shared" si="3857"/>
        <v>NA</v>
      </c>
      <c r="BA655" s="182">
        <f>+BA621/BA$626*100</f>
        <v>6.5040650406504072</v>
      </c>
      <c r="BB655" s="98" t="str">
        <f t="shared" si="3858"/>
        <v>NA</v>
      </c>
      <c r="BC655" s="182">
        <f>+BC621/BC$626*100</f>
        <v>7.5156576200417531</v>
      </c>
      <c r="BD655" s="98" t="str">
        <f t="shared" si="3859"/>
        <v>NA</v>
      </c>
      <c r="BE655" s="182">
        <f>+BE621/BE$626*100</f>
        <v>1.5180265654648957</v>
      </c>
      <c r="BF655" s="98" t="str">
        <f t="shared" si="3860"/>
        <v>NA</v>
      </c>
      <c r="BG655" s="182">
        <f>+BG621/BG$626*100</f>
        <v>11.460258780036968</v>
      </c>
      <c r="BH655" s="98">
        <f t="shared" si="3861"/>
        <v>54.713493530499079</v>
      </c>
      <c r="BI655" s="182">
        <f>+BI621/BI$626*100</f>
        <v>8.9244851258581246</v>
      </c>
      <c r="BJ655" s="98">
        <f t="shared" si="3862"/>
        <v>37.213958810068661</v>
      </c>
      <c r="BK655" s="182">
        <f>+BK621/BK$626*100</f>
        <v>12.039532794249777</v>
      </c>
      <c r="BL655" s="98">
        <f t="shared" si="3863"/>
        <v>60.192672456823423</v>
      </c>
      <c r="BM655" s="182">
        <f>+BM621/BM$626*100</f>
        <v>16.623600344530576</v>
      </c>
      <c r="BN655" s="98" t="str">
        <f t="shared" si="3864"/>
        <v>NM</v>
      </c>
      <c r="BO655" s="182">
        <f>+BO621/BO$626*100</f>
        <v>12.686567164179104</v>
      </c>
      <c r="BP655" s="98">
        <f t="shared" si="3865"/>
        <v>10.700529610014442</v>
      </c>
      <c r="BQ655" s="182">
        <f>+BQ621/BQ$626*100</f>
        <v>16.57271702367531</v>
      </c>
      <c r="BR655" s="98">
        <f t="shared" si="3866"/>
        <v>85.699418957592542</v>
      </c>
      <c r="BS655" s="182">
        <f>+BS621/BS$626*100</f>
        <v>23.684210526315788</v>
      </c>
      <c r="BT655" s="98">
        <f t="shared" si="3867"/>
        <v>96.720345640219918</v>
      </c>
      <c r="BU655" s="182">
        <f>+BU621/BU$626*100</f>
        <v>-165.95744680851064</v>
      </c>
      <c r="BV655" s="98" t="str">
        <f t="shared" si="3868"/>
        <v>NM</v>
      </c>
      <c r="BW655" s="182">
        <f>+BW621/BW$626*100</f>
        <v>-222.03389830508473</v>
      </c>
      <c r="BX655" s="98" t="str">
        <f t="shared" si="3869"/>
        <v>NM</v>
      </c>
      <c r="BY655" s="182">
        <f>+BY621/BY$626*100</f>
        <v>110.48951048951048</v>
      </c>
      <c r="BZ655" s="98" t="str">
        <f t="shared" si="3870"/>
        <v>NM</v>
      </c>
      <c r="CA655" s="182">
        <f>+CA621/CA$626*100</f>
        <v>105.51724137931035</v>
      </c>
      <c r="CB655" s="98" t="str">
        <f t="shared" si="3871"/>
        <v>NM</v>
      </c>
      <c r="CC655" s="182">
        <f>+CC621/CC$626*100</f>
        <v>63.636363636363633</v>
      </c>
      <c r="CD655" s="98" t="str">
        <f t="shared" si="3872"/>
        <v>NM</v>
      </c>
      <c r="CE655" s="182">
        <f>+CE621/CE$626*100</f>
        <v>61.250000000000007</v>
      </c>
      <c r="CF655" s="98" t="str">
        <f t="shared" si="3873"/>
        <v>NM</v>
      </c>
      <c r="CG655" s="182">
        <f>+CG621/CG$626*100</f>
        <v>52.788104089219331</v>
      </c>
      <c r="CH655" s="98" t="str">
        <f t="shared" si="3874"/>
        <v>NM</v>
      </c>
      <c r="CI655" s="182">
        <f>+CI621/CI$626*100</f>
        <v>97.92746113989638</v>
      </c>
      <c r="CJ655" s="98">
        <f t="shared" si="3875"/>
        <v>-7.192928985065528</v>
      </c>
      <c r="CK655" s="182">
        <f>+CK621/CK$626*100</f>
        <v>51.801029159519729</v>
      </c>
      <c r="CL655" s="98">
        <f t="shared" si="3876"/>
        <v>-18.598382749326138</v>
      </c>
      <c r="CM655" s="182">
        <f>+CM621/CM$626*100</f>
        <v>60.227272727272727</v>
      </c>
      <c r="CN655" s="98">
        <f t="shared" si="3877"/>
        <v>-1.6697588126159735</v>
      </c>
      <c r="CO655" s="182">
        <f>+CO621/CO$626*100</f>
        <v>56.346749226006189</v>
      </c>
      <c r="CP655" s="98">
        <f t="shared" si="3878"/>
        <v>6.7413770548990559</v>
      </c>
      <c r="CQ655" s="566">
        <f>+CQ621/CQ$626*100</f>
        <v>56.99067909454061</v>
      </c>
      <c r="CR655" s="98">
        <f t="shared" si="3879"/>
        <v>-41.803168966950601</v>
      </c>
      <c r="CS655" s="336">
        <f>+CS621/CS$626*100</f>
        <v>53.625</v>
      </c>
      <c r="CT655" s="98">
        <f t="shared" si="3880"/>
        <v>3.5211092715231818</v>
      </c>
      <c r="CU655" s="336">
        <f>+CU621/CU$626*100</f>
        <v>52.361809045226124</v>
      </c>
      <c r="CV655" s="98">
        <f t="shared" si="3881"/>
        <v>-13.05963781170002</v>
      </c>
      <c r="CW655" s="336">
        <f>+CW621/CW$626*100</f>
        <v>48.046875</v>
      </c>
      <c r="CX655" s="98">
        <f t="shared" si="3882"/>
        <v>-14.729996565934055</v>
      </c>
      <c r="CY655" s="336">
        <f>+CY621/CY$626*100</f>
        <v>51.135135135135137</v>
      </c>
      <c r="CZ655" s="98">
        <f t="shared" si="3883"/>
        <v>-10.27456428391007</v>
      </c>
      <c r="DA655" s="336">
        <f>+DA621/DA$626*100</f>
        <v>54.729729729729726</v>
      </c>
      <c r="DB655" s="98">
        <f t="shared" si="3884"/>
        <v>2.0601020601020537</v>
      </c>
      <c r="DC655" s="336">
        <f>+DC621/DC$626*100</f>
        <v>56.243756243756252</v>
      </c>
      <c r="DD655" s="98">
        <f t="shared" si="3885"/>
        <v>7.4136995442178</v>
      </c>
      <c r="DE655" s="336">
        <f>+DE621/DE$626*100</f>
        <v>52.091633466135455</v>
      </c>
      <c r="DF655" s="98">
        <f t="shared" si="3886"/>
        <v>8.4183590839892464</v>
      </c>
      <c r="DG655" s="336">
        <f>+DG621/DG$626*100</f>
        <v>56.81818181818182</v>
      </c>
      <c r="DH655" s="98">
        <f t="shared" si="3887"/>
        <v>11.113780511243521</v>
      </c>
      <c r="DI655" s="336">
        <f>+DI621/DI$626*100</f>
        <v>65.401785714285708</v>
      </c>
      <c r="DJ655" s="98">
        <f t="shared" si="3888"/>
        <v>19.499559082892404</v>
      </c>
      <c r="DK655" s="336">
        <f>+DK621/DK$626*100</f>
        <v>60.69114470842333</v>
      </c>
      <c r="DL655" s="98">
        <f t="shared" si="3889"/>
        <v>7.9073460979249388</v>
      </c>
      <c r="DM655" s="336">
        <f>+DM621/DM$626*100</f>
        <v>58.26944140197152</v>
      </c>
      <c r="DN655" s="98">
        <f t="shared" si="3890"/>
        <v>11.859501276442463</v>
      </c>
      <c r="DO655" s="336">
        <f>+DO621/DO$626*100</f>
        <v>49.038461538461533</v>
      </c>
      <c r="DP655" s="98">
        <f t="shared" si="3890"/>
        <v>-13.692307692307704</v>
      </c>
      <c r="DQ655" s="336">
        <f>+DQ621/DQ$626*100</f>
        <v>64.27745664739885</v>
      </c>
      <c r="DR655" s="98">
        <f t="shared" si="3890"/>
        <v>-1.7191106551717183</v>
      </c>
      <c r="DS655" s="336">
        <f>+DS621/DS$626*100</f>
        <v>43.127962085308056</v>
      </c>
      <c r="DT655" s="98">
        <f t="shared" si="3890"/>
        <v>-28.938624749118759</v>
      </c>
      <c r="DU655" s="336">
        <f>+DU621/DU$626*100</f>
        <v>44.959529065489328</v>
      </c>
      <c r="DV655" s="98">
        <f t="shared" si="3890"/>
        <v>-22.842011209038048</v>
      </c>
      <c r="DW655" s="336">
        <f>+DW621/DW$626*100</f>
        <v>163.96648044692736</v>
      </c>
      <c r="DX655" s="98" t="str">
        <f t="shared" si="3890"/>
        <v>NM</v>
      </c>
      <c r="DY655" s="336">
        <f>+DY621/DY$626*100</f>
        <v>50.708502024291505</v>
      </c>
      <c r="DZ655" s="98">
        <f t="shared" si="3890"/>
        <v>-21.109974368683194</v>
      </c>
      <c r="EA655" s="336">
        <f>+EA621/EA$626*100</f>
        <v>51.796407185628745</v>
      </c>
      <c r="EB655" s="98">
        <f t="shared" si="3891"/>
        <v>20.099361716128183</v>
      </c>
      <c r="EC655" s="336">
        <f>+EC621/EC$626*100</f>
        <v>73.482428115015978</v>
      </c>
      <c r="ED655" s="98">
        <f t="shared" si="3892"/>
        <v>63.441276282007728</v>
      </c>
      <c r="EE655" s="336">
        <f>+EE621/EE$626*100</f>
        <v>39.188191881918819</v>
      </c>
      <c r="EF655" s="860" t="str">
        <f t="shared" si="3893"/>
        <v>NM</v>
      </c>
      <c r="EG655" s="336">
        <f>+EG621/EG$626*100</f>
        <v>51.844843897824035</v>
      </c>
      <c r="EH655" s="860">
        <f t="shared" si="3894"/>
        <v>2.2409296827348157</v>
      </c>
      <c r="EI655" s="336">
        <f>+EI621/EI$626*100</f>
        <v>38.834216502649511</v>
      </c>
      <c r="EJ655" s="860">
        <f t="shared" si="3895"/>
        <v>-25.025269873497479</v>
      </c>
      <c r="EK655" s="336">
        <f>+EK621/EK$626*100</f>
        <v>47.814451382694024</v>
      </c>
      <c r="EL655" s="860">
        <f t="shared" si="3896"/>
        <v>-34.930768335725091</v>
      </c>
      <c r="EM655" s="336">
        <f>+EM621/EM$626*100</f>
        <v>49.147982062780272</v>
      </c>
      <c r="EN655" s="860">
        <f t="shared" si="3897"/>
        <v>25.415283794853604</v>
      </c>
      <c r="EO655" s="336">
        <f>+EO621/EO$626*100</f>
        <v>75.811209439528028</v>
      </c>
      <c r="EP655" s="98">
        <f t="shared" si="3898"/>
        <v>46.2270955795276</v>
      </c>
      <c r="EQ655" s="1021">
        <f>+EQ621/EQ$626*100</f>
        <v>45.789198030615239</v>
      </c>
      <c r="ER655" s="98">
        <f t="shared" si="3899"/>
        <v>17.909416371233377</v>
      </c>
      <c r="ES655" s="1021">
        <f t="shared" ref="ES655" si="3914">+ES621/ES$626*100</f>
        <v>46.793669667970839</v>
      </c>
      <c r="ET655" s="98">
        <f t="shared" si="3851"/>
        <v>-2.1348811608296492</v>
      </c>
      <c r="EU655" s="1021">
        <f t="shared" ref="EU655" si="3915">+EU621/EU$626*100</f>
        <v>47.576174583952323</v>
      </c>
      <c r="EV655" s="98">
        <f t="shared" si="3853"/>
        <v>-3.1981119322867957</v>
      </c>
      <c r="EW655" s="1021">
        <f t="shared" ref="EW655" si="3916">+EW621/EW$626*100</f>
        <v>45.017451861046112</v>
      </c>
      <c r="EX655" s="98">
        <f t="shared" si="3855"/>
        <v>-40.619003187180425</v>
      </c>
      <c r="EY655" s="182"/>
      <c r="EZ655" s="594"/>
      <c r="FA655" s="405"/>
      <c r="FB655" s="182"/>
      <c r="FC655" s="117"/>
      <c r="FD655" s="197"/>
      <c r="FE655" s="98"/>
      <c r="FF655" s="197"/>
      <c r="FG655" s="98"/>
      <c r="FH655" s="197"/>
      <c r="FI655" s="98"/>
      <c r="FJ655" s="197"/>
      <c r="FK655" s="98"/>
      <c r="FL655" s="197"/>
      <c r="FM655" s="98"/>
      <c r="FN655" s="197"/>
      <c r="FO655" s="98"/>
      <c r="FP655" s="197"/>
      <c r="FQ655" s="98"/>
      <c r="FR655" s="197">
        <f>+FR621/FR$626*100</f>
        <v>5.6688214818498261</v>
      </c>
      <c r="FS655" s="98" t="str">
        <f t="shared" si="3903"/>
        <v>NA</v>
      </c>
      <c r="FT655" s="197">
        <f>+FT621/FT$626*100</f>
        <v>12.170559245768159</v>
      </c>
      <c r="FU655" s="98" t="str">
        <f t="shared" si="3904"/>
        <v>NM</v>
      </c>
      <c r="FV655" s="197">
        <f>+FV621/FV$626*100</f>
        <v>19.007936507936506</v>
      </c>
      <c r="FW655" s="98">
        <f t="shared" si="3905"/>
        <v>56.179647328414937</v>
      </c>
      <c r="FX655" s="502">
        <f>+FX621/FX$626*100</f>
        <v>176.71755725190837</v>
      </c>
      <c r="FY655" s="98" t="str">
        <f t="shared" si="3906"/>
        <v>NM</v>
      </c>
      <c r="FZ655" s="197">
        <f>+FZ621/FZ$626*100</f>
        <v>60.700389105058363</v>
      </c>
      <c r="GA655" s="98" t="str">
        <f t="shared" si="3907"/>
        <v>NM</v>
      </c>
      <c r="GB655" s="502">
        <f>+GB621/GB$626*100</f>
        <v>49.222022740873726</v>
      </c>
      <c r="GC655" s="98">
        <f t="shared" si="3908"/>
        <v>-18.909872792278538</v>
      </c>
      <c r="GD655" s="197">
        <f>+GD621/GD$626*100</f>
        <v>51.330076004343105</v>
      </c>
      <c r="GE655" s="98">
        <f t="shared" si="3909"/>
        <v>4.2827440769086067</v>
      </c>
      <c r="GF655" s="197">
        <f>+GF621/GF$626*100</f>
        <v>40.724582701062218</v>
      </c>
      <c r="GG655" s="98">
        <f t="shared" si="3909"/>
        <v>-20.661362945154305</v>
      </c>
      <c r="GH655" s="197">
        <f>+GH621/GH$626*100</f>
        <v>40.441864819322227</v>
      </c>
      <c r="GI655" s="98">
        <f t="shared" si="3909"/>
        <v>-0.69421922335036745</v>
      </c>
      <c r="GJ655" s="197">
        <f>+GJ621/GJ$626*100</f>
        <v>56.534877864517753</v>
      </c>
      <c r="GK655" s="98">
        <f t="shared" si="3909"/>
        <v>39.792954941846894</v>
      </c>
      <c r="GL655" s="197">
        <f>+GL621/GL$626*100</f>
        <v>50.940594059405939</v>
      </c>
      <c r="GM655" s="98">
        <f t="shared" si="3909"/>
        <v>-9.8952788374605856</v>
      </c>
      <c r="GN655" s="197">
        <f>+GN621/GN$626*100</f>
        <v>49.846517119244396</v>
      </c>
      <c r="GO655" s="98">
        <f t="shared" si="3909"/>
        <v>-2.1477506502685317</v>
      </c>
      <c r="GP655" s="197">
        <f>+GP621/GP$626*100</f>
        <v>46.290949060009289</v>
      </c>
      <c r="GQ655" s="98">
        <f t="shared" si="3909"/>
        <v>-7.133032084727942</v>
      </c>
      <c r="GR655" s="182">
        <f>+GR621/GR$626*100</f>
        <v>48.331835305397476</v>
      </c>
      <c r="GS655" s="98">
        <f t="shared" si="3909"/>
        <v>4.4088235104933426</v>
      </c>
      <c r="GT655" s="182">
        <f>+GT621/GT$626*100</f>
        <v>49.244160434707048</v>
      </c>
      <c r="GU655" s="98">
        <f t="shared" si="3909"/>
        <v>1.8876277375870387</v>
      </c>
      <c r="GV655" s="182">
        <f>+GV621/GV$626*100</f>
        <v>50.807295178733995</v>
      </c>
      <c r="GW655" s="98">
        <f t="shared" si="3909"/>
        <v>3.1742540236816774</v>
      </c>
      <c r="GX655" s="182">
        <f>+GX621/GX$626*100</f>
        <v>51.872280468126931</v>
      </c>
      <c r="GY655" s="98">
        <f t="shared" si="3910"/>
        <v>2.0961267189021582</v>
      </c>
      <c r="GZ655" s="98">
        <f t="shared" si="3856"/>
        <v>0.79990076183782399</v>
      </c>
      <c r="HA655" s="98"/>
      <c r="HB655" s="10"/>
      <c r="HC655"/>
      <c r="HD655"/>
      <c r="HE655"/>
      <c r="HF655"/>
      <c r="HG655"/>
      <c r="HH655"/>
      <c r="HI655" s="10"/>
    </row>
    <row r="656" spans="1:217" s="2" customFormat="1" ht="12.75" customHeight="1" x14ac:dyDescent="0.2">
      <c r="A656" s="2" t="s">
        <v>305</v>
      </c>
      <c r="B656" s="18" t="s">
        <v>704</v>
      </c>
      <c r="C656" s="117"/>
      <c r="D656" s="98"/>
      <c r="E656" s="117"/>
      <c r="F656" s="98"/>
      <c r="G656" s="117"/>
      <c r="H656" s="98"/>
      <c r="I656" s="117"/>
      <c r="J656" s="98"/>
      <c r="K656" s="117"/>
      <c r="L656" s="98"/>
      <c r="M656" s="117"/>
      <c r="N656" s="98"/>
      <c r="O656" s="117"/>
      <c r="P656" s="98"/>
      <c r="Q656" s="117"/>
      <c r="R656" s="98"/>
      <c r="S656" s="117"/>
      <c r="T656" s="98"/>
      <c r="U656" s="117"/>
      <c r="V656" s="98"/>
      <c r="W656" s="117"/>
      <c r="X656" s="98"/>
      <c r="Y656" s="117"/>
      <c r="Z656" s="98"/>
      <c r="AA656" s="117"/>
      <c r="AB656" s="98"/>
      <c r="AC656" s="117"/>
      <c r="AD656" s="98"/>
      <c r="AE656" s="117"/>
      <c r="AF656" s="98"/>
      <c r="AG656" s="117"/>
      <c r="AH656" s="98"/>
      <c r="AI656" s="117"/>
      <c r="AJ656" s="98"/>
      <c r="AK656" s="117"/>
      <c r="AL656" s="98"/>
      <c r="AM656" s="117"/>
      <c r="AN656" s="98"/>
      <c r="AO656" s="117"/>
      <c r="AP656" s="98"/>
      <c r="AQ656" s="117"/>
      <c r="AR656" s="98"/>
      <c r="AS656" s="117"/>
      <c r="AT656" s="98"/>
      <c r="AU656" s="117"/>
      <c r="AV656" s="98"/>
      <c r="AW656" s="117"/>
      <c r="AX656" s="98"/>
      <c r="AY656" s="117">
        <f>+AY622/AY$626*100</f>
        <v>0</v>
      </c>
      <c r="AZ656" s="98" t="str">
        <f t="shared" ref="AZ656" si="3917">IF(ISERROR((AY656/AQ656-1)*100),"NA",IF(((AY656/AQ656-1)*100)&gt;100,"NM",IF(((AY656/AQ656-1)*100)&lt;-50,"NM",(AY656/AQ656-1)*100)))</f>
        <v>NA</v>
      </c>
      <c r="BA656" s="117">
        <f>+BA622/BA$626*100</f>
        <v>0</v>
      </c>
      <c r="BB656" s="98" t="str">
        <f t="shared" ref="BB656" si="3918">IF(ISERROR((BA656/AS656-1)*100),"NA",IF(((BA656/AS656-1)*100)&gt;100,"NM",IF(((BA656/AS656-1)*100)&lt;-50,"NM",(BA656/AS656-1)*100)))</f>
        <v>NA</v>
      </c>
      <c r="BC656" s="117">
        <f>+BC622/BC$626*100</f>
        <v>0</v>
      </c>
      <c r="BD656" s="98" t="str">
        <f t="shared" ref="BD656" si="3919">IF(ISERROR((BC656/AU656-1)*100),"NA",IF(((BC656/AU656-1)*100)&gt;100,"NM",IF(((BC656/AU656-1)*100)&lt;-50,"NM",(BC656/AU656-1)*100)))</f>
        <v>NA</v>
      </c>
      <c r="BE656" s="117">
        <f>+BE622/BE$626*100</f>
        <v>0</v>
      </c>
      <c r="BF656" s="98" t="str">
        <f t="shared" ref="BF656" si="3920">IF(ISERROR((BE656/AW656-1)*100),"NA",IF(((BE656/AW656-1)*100)&gt;100,"NM",IF(((BE656/AW656-1)*100)&lt;-50,"NM",(BE656/AW656-1)*100)))</f>
        <v>NA</v>
      </c>
      <c r="BG656" s="117">
        <f>+BG622/BG$626*100</f>
        <v>0</v>
      </c>
      <c r="BH656" s="98" t="str">
        <f t="shared" ref="BH656" si="3921">IF(ISERROR((BG656/AY656-1)*100),"NA",IF(((BG656/AY656-1)*100)&gt;100,"NM",IF(((BG656/AY656-1)*100)&lt;-50,"NM",(BG656/AY656-1)*100)))</f>
        <v>NA</v>
      </c>
      <c r="BI656" s="117">
        <f>+BI622/BI$626*100</f>
        <v>0</v>
      </c>
      <c r="BJ656" s="98" t="str">
        <f t="shared" ref="BJ656" si="3922">IF(ISERROR((BI656/BA656-1)*100),"NA",IF(((BI656/BA656-1)*100)&gt;100,"NM",IF(((BI656/BA656-1)*100)&lt;-50,"NM",(BI656/BA656-1)*100)))</f>
        <v>NA</v>
      </c>
      <c r="BK656" s="117">
        <f>+BK622/BK$626*100</f>
        <v>0</v>
      </c>
      <c r="BL656" s="98" t="str">
        <f t="shared" ref="BL656" si="3923">IF(ISERROR((BK656/BC656-1)*100),"NA",IF(((BK656/BC656-1)*100)&gt;100,"NM",IF(((BK656/BC656-1)*100)&lt;-50,"NM",(BK656/BC656-1)*100)))</f>
        <v>NA</v>
      </c>
      <c r="BM656" s="117">
        <f>+BM622/BM$626*100</f>
        <v>0</v>
      </c>
      <c r="BN656" s="98" t="str">
        <f t="shared" ref="BN656" si="3924">IF(ISERROR((BM656/BE656-1)*100),"NA",IF(((BM656/BE656-1)*100)&gt;100,"NM",IF(((BM656/BE656-1)*100)&lt;-50,"NM",(BM656/BE656-1)*100)))</f>
        <v>NA</v>
      </c>
      <c r="BO656" s="117">
        <f>+BO622/BO$626*100</f>
        <v>0</v>
      </c>
      <c r="BP656" s="98" t="str">
        <f t="shared" ref="BP656" si="3925">IF(ISERROR((BO656/BG656-1)*100),"NA",IF(((BO656/BG656-1)*100)&gt;100,"NM",IF(((BO656/BG656-1)*100)&lt;-50,"NM",(BO656/BG656-1)*100)))</f>
        <v>NA</v>
      </c>
      <c r="BQ656" s="117">
        <f>+BQ622/BQ$626*100</f>
        <v>0</v>
      </c>
      <c r="BR656" s="98" t="str">
        <f t="shared" ref="BR656" si="3926">IF(ISERROR((BQ656/BI656-1)*100),"NA",IF(((BQ656/BI656-1)*100)&gt;100,"NM",IF(((BQ656/BI656-1)*100)&lt;-50,"NM",(BQ656/BI656-1)*100)))</f>
        <v>NA</v>
      </c>
      <c r="BS656" s="117">
        <f>+BS622/BS$626*100</f>
        <v>0</v>
      </c>
      <c r="BT656" s="98" t="str">
        <f t="shared" ref="BT656" si="3927">IF(ISERROR((BS656/BK656-1)*100),"NA",IF(((BS656/BK656-1)*100)&gt;100,"NM",IF(((BS656/BK656-1)*100)&lt;-50,"NM",(BS656/BK656-1)*100)))</f>
        <v>NA</v>
      </c>
      <c r="BU656" s="117">
        <f>+BU622/BU$626*100</f>
        <v>0</v>
      </c>
      <c r="BV656" s="98" t="str">
        <f t="shared" ref="BV656" si="3928">IF(ISERROR((BU656/BM656-1)*100),"NA",IF(((BU656/BM656-1)*100)&gt;100,"NM",IF(((BU656/BM656-1)*100)&lt;-50,"NM",(BU656/BM656-1)*100)))</f>
        <v>NA</v>
      </c>
      <c r="BW656" s="117">
        <f>+BW622/BW$626*100</f>
        <v>0</v>
      </c>
      <c r="BX656" s="98" t="str">
        <f t="shared" ref="BX656" si="3929">IF(ISERROR((BW656/BO656-1)*100),"NA",IF(((BW656/BO656-1)*100)&gt;100,"NM",IF(((BW656/BO656-1)*100)&lt;-50,"NM",(BW656/BO656-1)*100)))</f>
        <v>NA</v>
      </c>
      <c r="BY656" s="117">
        <f>+BY622/BY$626*100</f>
        <v>0</v>
      </c>
      <c r="BZ656" s="98" t="str">
        <f t="shared" ref="BZ656" si="3930">IF(ISERROR((BY656/BQ656-1)*100),"NA",IF(((BY656/BQ656-1)*100)&gt;100,"NM",IF(((BY656/BQ656-1)*100)&lt;-50,"NM",(BY656/BQ656-1)*100)))</f>
        <v>NA</v>
      </c>
      <c r="CA656" s="117">
        <f>+CA622/CA$626*100</f>
        <v>0</v>
      </c>
      <c r="CB656" s="98" t="str">
        <f t="shared" ref="CB656" si="3931">IF(ISERROR((CA656/BS656-1)*100),"NA",IF(((CA656/BS656-1)*100)&gt;100,"NM",IF(((CA656/BS656-1)*100)&lt;-50,"NM",(CA656/BS656-1)*100)))</f>
        <v>NA</v>
      </c>
      <c r="CC656" s="117">
        <f>+CC622/CC$626*100</f>
        <v>0</v>
      </c>
      <c r="CD656" s="98" t="str">
        <f t="shared" ref="CD656" si="3932">IF(ISERROR((CC656/BU656-1)*100),"NA",IF(((CC656/BU656-1)*100)&gt;100,"NM",IF(((CC656/BU656-1)*100)&lt;-50,"NM",(CC656/BU656-1)*100)))</f>
        <v>NA</v>
      </c>
      <c r="CE656" s="117">
        <f>+CE622/CE$626*100</f>
        <v>0</v>
      </c>
      <c r="CF656" s="98" t="str">
        <f t="shared" ref="CF656" si="3933">IF(ISERROR((CE656/BW656-1)*100),"NA",IF(((CE656/BW656-1)*100)&gt;100,"NM",IF(((CE656/BW656-1)*100)&lt;-50,"NM",(CE656/BW656-1)*100)))</f>
        <v>NA</v>
      </c>
      <c r="CG656" s="117">
        <f>+CG622/CG$626*100</f>
        <v>0</v>
      </c>
      <c r="CH656" s="98" t="str">
        <f t="shared" ref="CH656" si="3934">IF(ISERROR((CG656/BY656-1)*100),"NA",IF(((CG656/BY656-1)*100)&gt;100,"NM",IF(((CG656/BY656-1)*100)&lt;-50,"NM",(CG656/BY656-1)*100)))</f>
        <v>NA</v>
      </c>
      <c r="CI656" s="117">
        <f>+CI622/CI$626*100</f>
        <v>0</v>
      </c>
      <c r="CJ656" s="98" t="str">
        <f t="shared" ref="CJ656" si="3935">IF(ISERROR((CI656/CA656-1)*100),"NA",IF(((CI656/CA656-1)*100)&gt;100,"NM",IF(((CI656/CA656-1)*100)&lt;-50,"NM",(CI656/CA656-1)*100)))</f>
        <v>NA</v>
      </c>
      <c r="CK656" s="117">
        <f>+CK622/CK$626*100</f>
        <v>0</v>
      </c>
      <c r="CL656" s="98" t="str">
        <f t="shared" ref="CL656" si="3936">IF(ISERROR((CK656/CC656-1)*100),"NA",IF(((CK656/CC656-1)*100)&gt;100,"NM",IF(((CK656/CC656-1)*100)&lt;-50,"NM",(CK656/CC656-1)*100)))</f>
        <v>NA</v>
      </c>
      <c r="CM656" s="117">
        <f>+CM622/CM$626*100</f>
        <v>0</v>
      </c>
      <c r="CN656" s="98" t="str">
        <f t="shared" ref="CN656" si="3937">IF(ISERROR((CM656/CE656-1)*100),"NA",IF(((CM656/CE656-1)*100)&gt;100,"NM",IF(((CM656/CE656-1)*100)&lt;-50,"NM",(CM656/CE656-1)*100)))</f>
        <v>NA</v>
      </c>
      <c r="CO656" s="117">
        <f>+CO622/CO$626*100</f>
        <v>0</v>
      </c>
      <c r="CP656" s="98" t="str">
        <f t="shared" ref="CP656" si="3938">IF(ISERROR((CO656/CG656-1)*100),"NA",IF(((CO656/CG656-1)*100)&gt;100,"NM",IF(((CO656/CG656-1)*100)&lt;-50,"NM",(CO656/CG656-1)*100)))</f>
        <v>NA</v>
      </c>
      <c r="CQ656" s="486">
        <f>+CQ622/CQ$626*100</f>
        <v>0</v>
      </c>
      <c r="CR656" s="98" t="str">
        <f t="shared" ref="CR656" si="3939">IF(ISERROR((CQ656/CI656-1)*100),"NA",IF(((CQ656/CI656-1)*100)&gt;100,"NM",IF(((CQ656/CI656-1)*100)&lt;-50,"NM",(CQ656/CI656-1)*100)))</f>
        <v>NA</v>
      </c>
      <c r="CS656" s="117">
        <f>+CS622/CS$626*100</f>
        <v>0</v>
      </c>
      <c r="CT656" s="98" t="str">
        <f t="shared" ref="CT656" si="3940">IF(ISERROR((CS656/CK656-1)*100),"NA",IF(((CS656/CK656-1)*100)&gt;100,"NM",IF(((CS656/CK656-1)*100)&lt;-50,"NM",(CS656/CK656-1)*100)))</f>
        <v>NA</v>
      </c>
      <c r="CU656" s="117">
        <f>+CU622/CU$626*100</f>
        <v>0</v>
      </c>
      <c r="CV656" s="98" t="str">
        <f t="shared" ref="CV656" si="3941">IF(ISERROR((CU656/CM656-1)*100),"NA",IF(((CU656/CM656-1)*100)&gt;100,"NM",IF(((CU656/CM656-1)*100)&lt;-50,"NM",(CU656/CM656-1)*100)))</f>
        <v>NA</v>
      </c>
      <c r="CW656" s="117">
        <f>+CW622/CW$626*100</f>
        <v>0</v>
      </c>
      <c r="CX656" s="98" t="str">
        <f t="shared" ref="CX656" si="3942">IF(ISERROR((CW656/CO656-1)*100),"NA",IF(((CW656/CO656-1)*100)&gt;100,"NM",IF(((CW656/CO656-1)*100)&lt;-50,"NM",(CW656/CO656-1)*100)))</f>
        <v>NA</v>
      </c>
      <c r="CY656" s="117">
        <f>+CY622/CY$626*100</f>
        <v>0</v>
      </c>
      <c r="CZ656" s="98" t="str">
        <f t="shared" ref="CZ656" si="3943">IF(ISERROR((CY656/CQ656-1)*100),"NA",IF(((CY656/CQ656-1)*100)&gt;100,"NM",IF(((CY656/CQ656-1)*100)&lt;-50,"NM",(CY656/CQ656-1)*100)))</f>
        <v>NA</v>
      </c>
      <c r="DA656" s="117">
        <f>+DA622/DA$626*100</f>
        <v>0</v>
      </c>
      <c r="DB656" s="98" t="str">
        <f t="shared" ref="DB656" si="3944">IF(ISERROR((DA656/CS656-1)*100),"NA",IF(((DA656/CS656-1)*100)&gt;100,"NM",IF(((DA656/CS656-1)*100)&lt;-50,"NM",(DA656/CS656-1)*100)))</f>
        <v>NA</v>
      </c>
      <c r="DC656" s="117">
        <f>+DC622/DC$626*100</f>
        <v>0</v>
      </c>
      <c r="DD656" s="98" t="str">
        <f t="shared" ref="DD656" si="3945">IF(ISERROR((DC656/CU656-1)*100),"NA",IF(((DC656/CU656-1)*100)&gt;100,"NM",IF(((DC656/CU656-1)*100)&lt;-50,"NM",(DC656/CU656-1)*100)))</f>
        <v>NA</v>
      </c>
      <c r="DE656" s="117">
        <f>+DE622/DE$626*100</f>
        <v>0</v>
      </c>
      <c r="DF656" s="98" t="str">
        <f t="shared" ref="DF656" si="3946">IF(ISERROR((DE656/CW656-1)*100),"NA",IF(((DE656/CW656-1)*100)&gt;100,"NM",IF(((DE656/CW656-1)*100)&lt;-50,"NM",(DE656/CW656-1)*100)))</f>
        <v>NA</v>
      </c>
      <c r="DG656" s="117">
        <f>+DG622/DG$626*100</f>
        <v>0</v>
      </c>
      <c r="DH656" s="98" t="str">
        <f t="shared" ref="DH656" si="3947">IF(ISERROR((DG656/CY656-1)*100),"NA",IF(((DG656/CY656-1)*100)&gt;100,"NM",IF(((DG656/CY656-1)*100)&lt;-50,"NM",(DG656/CY656-1)*100)))</f>
        <v>NA</v>
      </c>
      <c r="DI656" s="117">
        <f>+DI622/DI$626*100</f>
        <v>0</v>
      </c>
      <c r="DJ656" s="98" t="str">
        <f t="shared" ref="DJ656" si="3948">IF(ISERROR((DI656/DA656-1)*100),"NA",IF(((DI656/DA656-1)*100)&gt;100,"NM",IF(((DI656/DA656-1)*100)&lt;-50,"NM",(DI656/DA656-1)*100)))</f>
        <v>NA</v>
      </c>
      <c r="DK656" s="117">
        <f>+DK622/DK$626*100</f>
        <v>0</v>
      </c>
      <c r="DL656" s="98" t="str">
        <f t="shared" ref="DL656" si="3949">IF(ISERROR((DK656/DC656-1)*100),"NA",IF(((DK656/DC656-1)*100)&gt;100,"NM",IF(((DK656/DC656-1)*100)&lt;-50,"NM",(DK656/DC656-1)*100)))</f>
        <v>NA</v>
      </c>
      <c r="DM656" s="117">
        <f>+DM622/DM$626*100</f>
        <v>0</v>
      </c>
      <c r="DN656" s="98" t="str">
        <f t="shared" ref="DN656" si="3950">IF(ISERROR((DM656/DE656-1)*100),"NA",IF(((DM656/DE656-1)*100)&gt;100,"NM",IF(((DM656/DE656-1)*100)&lt;-50,"NM",(DM656/DE656-1)*100)))</f>
        <v>NA</v>
      </c>
      <c r="DO656" s="117">
        <f>+DO622/DO$626*100</f>
        <v>0</v>
      </c>
      <c r="DP656" s="98" t="str">
        <f t="shared" ref="DP656" si="3951">IF(ISERROR((DO656/DG656-1)*100),"NA",IF(((DO656/DG656-1)*100)&gt;100,"NM",IF(((DO656/DG656-1)*100)&lt;-50,"NM",(DO656/DG656-1)*100)))</f>
        <v>NA</v>
      </c>
      <c r="DQ656" s="117">
        <f>+DQ622/DQ$626*100</f>
        <v>0</v>
      </c>
      <c r="DR656" s="98" t="str">
        <f t="shared" ref="DR656" si="3952">IF(ISERROR((DQ656/DI656-1)*100),"NA",IF(((DQ656/DI656-1)*100)&gt;100,"NM",IF(((DQ656/DI656-1)*100)&lt;-50,"NM",(DQ656/DI656-1)*100)))</f>
        <v>NA</v>
      </c>
      <c r="DS656" s="117">
        <f>+DS622/DS$626*100</f>
        <v>28.515007898894158</v>
      </c>
      <c r="DT656" s="98" t="str">
        <f t="shared" ref="DT656" si="3953">IF(ISERROR((DS656/DK656-1)*100),"NA",IF(((DS656/DK656-1)*100)&gt;100,"NM",IF(((DS656/DK656-1)*100)&lt;-50,"NM",(DS656/DK656-1)*100)))</f>
        <v>NA</v>
      </c>
      <c r="DU656" s="117">
        <f>+DU622/DU$626*100</f>
        <v>27.446651949963208</v>
      </c>
      <c r="DV656" s="98" t="str">
        <f t="shared" ref="DV656" si="3954">IF(ISERROR((DU656/DM656-1)*100),"NA",IF(((DU656/DM656-1)*100)&gt;100,"NM",IF(((DU656/DM656-1)*100)&lt;-50,"NM",(DU656/DM656-1)*100)))</f>
        <v>NA</v>
      </c>
      <c r="DW656" s="117">
        <f>+DW622/DW$626*100</f>
        <v>67.877094972067042</v>
      </c>
      <c r="DX656" s="98" t="str">
        <f t="shared" ref="DX656" si="3955">IF(ISERROR((DW656/DO656-1)*100),"NA",IF(((DW656/DO656-1)*100)&gt;100,"NM",IF(((DW656/DO656-1)*100)&lt;-50,"NM",(DW656/DO656-1)*100)))</f>
        <v>NA</v>
      </c>
      <c r="DY656" s="117">
        <f>+DY622/DY$626*100</f>
        <v>26.821862348178136</v>
      </c>
      <c r="DZ656" s="98" t="str">
        <f t="shared" ref="DZ656" si="3956">IF(ISERROR((DY656/DQ656-1)*100),"NA",IF(((DY656/DQ656-1)*100)&gt;100,"NM",IF(((DY656/DQ656-1)*100)&lt;-50,"NM",(DY656/DQ656-1)*100)))</f>
        <v>NA</v>
      </c>
      <c r="EA656" s="117">
        <f>+EA622/EA$626*100</f>
        <v>26.646706586826348</v>
      </c>
      <c r="EB656" s="98">
        <f t="shared" ref="EB656" si="3957">IF(ISERROR((EA656/DS656-1)*100),"NA",IF(((EA656/DS656-1)*100)&gt;100,"NM",IF(((EA656/DS656-1)*100)&lt;-50,"NM",(EA656/DS656-1)*100)))</f>
        <v>-6.5519929669746517</v>
      </c>
      <c r="EC656" s="117">
        <f>+EC622/EC$626*100</f>
        <v>-5.2715654952076676</v>
      </c>
      <c r="ED656" s="98" t="str">
        <f t="shared" ref="ED656" si="3958">IF(ISERROR((EC656/DU656-1)*100),"NA",IF(((EC656/DU656-1)*100)&gt;100,"NM",IF(((EC656/DU656-1)*100)&lt;-50,"NM",(EC656/DU656-1)*100)))</f>
        <v>NM</v>
      </c>
      <c r="EE656" s="117">
        <f>+EE622/EE$626*100</f>
        <v>19.630996309963102</v>
      </c>
      <c r="EF656" s="860" t="str">
        <f t="shared" si="3893"/>
        <v>NM</v>
      </c>
      <c r="EG656" s="117">
        <f>+EG622/EG$626*100</f>
        <v>19.01608325449385</v>
      </c>
      <c r="EH656" s="860">
        <f t="shared" si="3894"/>
        <v>-29.102300922868206</v>
      </c>
      <c r="EI656" s="117">
        <f>+EI622/EI$626*100</f>
        <v>29.295987887963665</v>
      </c>
      <c r="EJ656" s="860">
        <f t="shared" si="3895"/>
        <v>9.9422466806726284</v>
      </c>
      <c r="EK656" s="117">
        <f>+EK622/EK$626*100</f>
        <v>21.141837644959857</v>
      </c>
      <c r="EL656" s="860" t="str">
        <f t="shared" si="3896"/>
        <v>NM</v>
      </c>
      <c r="EM656" s="117">
        <f>+EM622/EM$626*100</f>
        <v>32.645739910313907</v>
      </c>
      <c r="EN656" s="860">
        <f t="shared" si="3897"/>
        <v>66.296908189756905</v>
      </c>
      <c r="EO656" s="117">
        <f>+EO622/EO$626*100</f>
        <v>28.613569321533923</v>
      </c>
      <c r="EP656" s="98">
        <f t="shared" ref="EP656" si="3959">IF(ISERROR((EO656/EG656-1)*100),"NA",IF(((EO656/EG656-1)*100)&gt;100,"NM",IF(((EO656/EG656-1)*100)&lt;-50,"NM",(EO656/EG656-1)*100)))</f>
        <v>50.470362054036613</v>
      </c>
      <c r="EQ656" s="1031">
        <f>+EQ622/EQ$626*100</f>
        <v>20.431382042061902</v>
      </c>
      <c r="ER656" s="98">
        <f t="shared" si="3899"/>
        <v>-30.258770859008344</v>
      </c>
      <c r="ES656" s="1031">
        <f t="shared" ref="ES656" si="3960">+ES622/ES$626*100</f>
        <v>20.093489234700748</v>
      </c>
      <c r="ET656" s="98">
        <f t="shared" si="3851"/>
        <v>-4.9586437464154471</v>
      </c>
      <c r="EU656" s="1031">
        <f t="shared" ref="EU656" si="3961">+EU622/EU$626*100</f>
        <v>19.666372337616423</v>
      </c>
      <c r="EV656" s="98">
        <f t="shared" si="3853"/>
        <v>-39.758227592191467</v>
      </c>
      <c r="EW656" s="1031">
        <f t="shared" ref="EW656" si="3962">+EW622/EW$626*100</f>
        <v>19.227098468096209</v>
      </c>
      <c r="EX656" s="98">
        <f t="shared" si="3855"/>
        <v>-32.804264116653457</v>
      </c>
      <c r="EY656" s="117"/>
      <c r="EZ656" s="594"/>
      <c r="FA656" s="405"/>
      <c r="FB656" s="200"/>
      <c r="FC656" s="98"/>
      <c r="FD656" s="117"/>
      <c r="FE656" s="98"/>
      <c r="FF656" s="117"/>
      <c r="FG656" s="98"/>
      <c r="FH656" s="117"/>
      <c r="FI656" s="98"/>
      <c r="FJ656" s="117"/>
      <c r="FK656" s="98"/>
      <c r="FL656" s="117"/>
      <c r="FM656" s="98"/>
      <c r="FN656" s="117"/>
      <c r="FO656" s="98"/>
      <c r="FP656" s="117"/>
      <c r="FQ656" s="98"/>
      <c r="FR656" s="117">
        <f>+FR622/FR$626*100</f>
        <v>21.233217304823469</v>
      </c>
      <c r="FS656" s="98" t="str">
        <f t="shared" ref="FS656" si="3963">IF(ISERROR((FR656/FP656-1)*100),"NA",IF(((FR656/FP656-1)*100)&gt;100,"NM",IF(((FR656/FP656-1)*100)&lt;-50,"NM",(FR656/FP656-1)*100)))</f>
        <v>NA</v>
      </c>
      <c r="FT656" s="117">
        <f>+FT622/FT$626*100</f>
        <v>19.305763874008999</v>
      </c>
      <c r="FU656" s="98">
        <f t="shared" ref="FU656" si="3964">IF(ISERROR((FT656/FR656-1)*100),"NA",IF(((FT656/FR656-1)*100)&gt;100,"NM",IF(((FT656/FR656-1)*100)&lt;-50,"NM",(FT656/FR656-1)*100)))</f>
        <v>-9.0775382889177969</v>
      </c>
      <c r="FV656" s="117">
        <f>+FV622/FV$626*100</f>
        <v>7.6587301587301591</v>
      </c>
      <c r="FW656" s="98" t="str">
        <f t="shared" ref="FW656" si="3965">IF(ISERROR((FV656/FT656-1)*100),"NA",IF(((FV656/FT656-1)*100)&gt;100,"NM",IF(((FV656/FT656-1)*100)&lt;-50,"NM",(FV656/FT656-1)*100)))</f>
        <v>NM</v>
      </c>
      <c r="FX656" s="486">
        <f>+FX622/FX$626*100</f>
        <v>130.15267175572518</v>
      </c>
      <c r="FY656" s="98" t="str">
        <f t="shared" ref="FY656" si="3966">IF(ISERROR((FX656/FV656-1)*100),"NA",IF(((FX656/FV656-1)*100)&gt;100,"NM",IF(((FX656/FV656-1)*100)&lt;-50,"NM",(FX656/FV656-1)*100)))</f>
        <v>NM</v>
      </c>
      <c r="FZ656" s="117">
        <f>+FZ622/FZ$626*100</f>
        <v>62.490272373540854</v>
      </c>
      <c r="GA656" s="98" t="str">
        <f t="shared" ref="GA656" si="3967">IF(ISERROR((FZ656/FX656-1)*100),"NA",IF(((FZ656/FX656-1)*100)&gt;100,"NM",IF(((FZ656/FX656-1)*100)&lt;-50,"NM",(FZ656/FX656-1)*100)))</f>
        <v>NM</v>
      </c>
      <c r="GB656" s="486">
        <f>+GB622/GB$626*100</f>
        <v>0</v>
      </c>
      <c r="GC656" s="98" t="str">
        <f t="shared" ref="GC656" si="3968">IF(ISERROR((GB656/FZ656-1)*100),"NA",IF(((GB656/FZ656-1)*100)&gt;100,"NM",IF(((GB656/FZ656-1)*100)&lt;-50,"NM",(GB656/FZ656-1)*100)))</f>
        <v>NM</v>
      </c>
      <c r="GD656" s="117">
        <f>+GD622/GD$626*100</f>
        <v>34.147665580890333</v>
      </c>
      <c r="GE656" s="98" t="str">
        <f t="shared" ref="GE656" si="3969">IF(ISERROR((GD656/GB656-1)*100),"NA",IF(((GD656/GB656-1)*100)&gt;100,"NM",IF(((GD656/GB656-1)*100)&lt;-50,"NM",(GD656/GB656-1)*100)))</f>
        <v>NA</v>
      </c>
      <c r="GF656" s="117">
        <f>+GF622/GF$626*100</f>
        <v>29.116084977238238</v>
      </c>
      <c r="GG656" s="98">
        <f t="shared" ref="GG656" si="3970">IF(ISERROR((GF656/GD656-1)*100),"NA",IF(((GF656/GD656-1)*100)&gt;100,"NM",IF(((GF656/GD656-1)*100)&lt;-50,"NM",(GF656/GD656-1)*100)))</f>
        <v>-14.734771815464487</v>
      </c>
      <c r="GH656" s="117">
        <f>+GH622/GH$626*100</f>
        <v>29.900767646508143</v>
      </c>
      <c r="GI656" s="98">
        <f t="shared" ref="GI656" si="3971">IF(ISERROR((GH656/GF656-1)*100),"NA",IF(((GH656/GF656-1)*100)&gt;100,"NM",IF(((GH656/GF656-1)*100)&lt;-50,"NM",(GH656/GF656-1)*100)))</f>
        <v>2.6950143533491566</v>
      </c>
      <c r="GJ656" s="117">
        <f>+GJ622/GJ$626*100</f>
        <v>31.27675648451272</v>
      </c>
      <c r="GK656" s="98">
        <f t="shared" ref="GK656" si="3972">IF(ISERROR((GJ656/GH656-1)*100),"NA",IF(((GJ656/GH656-1)*100)&gt;100,"NM",IF(((GJ656/GH656-1)*100)&lt;-50,"NM",(GJ656/GH656-1)*100)))</f>
        <v>4.6018512108844334</v>
      </c>
      <c r="GL656" s="117">
        <f>+GL622/GL$626*100</f>
        <v>17.35148514851485</v>
      </c>
      <c r="GM656" s="98">
        <f t="shared" ref="GM656:GW656" si="3973">IF(ISERROR((GL656/GJ656-1)*100),"NA",IF(((GL656/GJ656-1)*100)&gt;100,"NM",IF(((GL656/GJ656-1)*100)&lt;-50,"NM",(GL656/GJ656-1)*100)))</f>
        <v>-44.522747564611542</v>
      </c>
      <c r="GN656" s="117">
        <f>+GN622/GN$626*100</f>
        <v>27.910271546635183</v>
      </c>
      <c r="GO656" s="98">
        <f t="shared" si="3973"/>
        <v>60.852349569766261</v>
      </c>
      <c r="GP656" s="117">
        <f>+GP622/GP$626*100</f>
        <v>19.850909602494056</v>
      </c>
      <c r="GQ656" s="98">
        <f t="shared" si="3973"/>
        <v>-28.875971094278906</v>
      </c>
      <c r="GR656" s="117">
        <f>+GR622/GR$626*100</f>
        <v>17.364648725004255</v>
      </c>
      <c r="GS656" s="98">
        <f t="shared" si="3973"/>
        <v>-12.524669787310039</v>
      </c>
      <c r="GT656" s="117">
        <f>+GT622/GT$626*100</f>
        <v>15.058187166368221</v>
      </c>
      <c r="GU656" s="98">
        <f t="shared" si="3973"/>
        <v>-13.282512045952544</v>
      </c>
      <c r="GV656" s="117">
        <f>+GV622/GV$626*100</f>
        <v>13.150472971125222</v>
      </c>
      <c r="GW656" s="98">
        <f t="shared" si="3973"/>
        <v>-12.668949948396124</v>
      </c>
      <c r="GX656" s="117">
        <f>+GX622/GX$626*100</f>
        <v>11.362527593301955</v>
      </c>
      <c r="GY656" s="98">
        <f t="shared" si="3910"/>
        <v>-13.596053782621331</v>
      </c>
      <c r="GZ656" s="98">
        <f t="shared" si="3856"/>
        <v>-16.450822699105171</v>
      </c>
      <c r="HA656" s="98"/>
      <c r="HB656" s="10"/>
      <c r="HC656"/>
      <c r="HD656"/>
      <c r="HE656"/>
      <c r="HF656"/>
      <c r="HG656"/>
      <c r="HH656"/>
      <c r="HI656" s="10"/>
    </row>
    <row r="657" spans="1:217" s="2" customFormat="1" ht="12.75" customHeight="1" x14ac:dyDescent="0.2">
      <c r="A657" s="2" t="s">
        <v>305</v>
      </c>
      <c r="B657" s="18" t="s">
        <v>705</v>
      </c>
      <c r="C657" s="117"/>
      <c r="D657" s="98"/>
      <c r="E657" s="117"/>
      <c r="F657" s="98"/>
      <c r="G657" s="117"/>
      <c r="H657" s="98"/>
      <c r="I657" s="117"/>
      <c r="J657" s="98"/>
      <c r="K657" s="117"/>
      <c r="L657" s="98"/>
      <c r="M657" s="117"/>
      <c r="N657" s="98"/>
      <c r="O657" s="117"/>
      <c r="P657" s="98"/>
      <c r="Q657" s="117"/>
      <c r="R657" s="98"/>
      <c r="S657" s="117"/>
      <c r="T657" s="98"/>
      <c r="U657" s="117"/>
      <c r="V657" s="98"/>
      <c r="W657" s="117"/>
      <c r="X657" s="98"/>
      <c r="Y657" s="117"/>
      <c r="Z657" s="98"/>
      <c r="AA657" s="117"/>
      <c r="AB657" s="98"/>
      <c r="AC657" s="117"/>
      <c r="AD657" s="98"/>
      <c r="AE657" s="117"/>
      <c r="AF657" s="98"/>
      <c r="AG657" s="117"/>
      <c r="AH657" s="98"/>
      <c r="AI657" s="117"/>
      <c r="AJ657" s="98"/>
      <c r="AK657" s="117"/>
      <c r="AL657" s="98"/>
      <c r="AM657" s="117"/>
      <c r="AN657" s="98"/>
      <c r="AO657" s="117"/>
      <c r="AP657" s="98"/>
      <c r="AQ657" s="117"/>
      <c r="AR657" s="98"/>
      <c r="AS657" s="117"/>
      <c r="AT657" s="98"/>
      <c r="AU657" s="117"/>
      <c r="AV657" s="98"/>
      <c r="AW657" s="117"/>
      <c r="AX657" s="98"/>
      <c r="AY657" s="117">
        <f>+AY625/AY$626*100</f>
        <v>0</v>
      </c>
      <c r="AZ657" s="98" t="str">
        <f t="shared" ref="AZ657" si="3974">IF(ISERROR((AY657/AQ657-1)*100),"NA",IF(((AY657/AQ657-1)*100)&gt;100,"NM",IF(((AY657/AQ657-1)*100)&lt;-50,"NM",(AY657/AQ657-1)*100)))</f>
        <v>NA</v>
      </c>
      <c r="BA657" s="117">
        <f>+BA625/BA$626*100</f>
        <v>0</v>
      </c>
      <c r="BB657" s="98" t="str">
        <f t="shared" ref="BB657" si="3975">IF(ISERROR((BA657/AS657-1)*100),"NA",IF(((BA657/AS657-1)*100)&gt;100,"NM",IF(((BA657/AS657-1)*100)&lt;-50,"NM",(BA657/AS657-1)*100)))</f>
        <v>NA</v>
      </c>
      <c r="BC657" s="117">
        <f>+BC625/BC$626*100</f>
        <v>0</v>
      </c>
      <c r="BD657" s="98" t="str">
        <f t="shared" ref="BD657" si="3976">IF(ISERROR((BC657/AU657-1)*100),"NA",IF(((BC657/AU657-1)*100)&gt;100,"NM",IF(((BC657/AU657-1)*100)&lt;-50,"NM",(BC657/AU657-1)*100)))</f>
        <v>NA</v>
      </c>
      <c r="BE657" s="117">
        <f>+BE625/BE$626*100</f>
        <v>0</v>
      </c>
      <c r="BF657" s="98" t="str">
        <f t="shared" ref="BF657" si="3977">IF(ISERROR((BE657/AW657-1)*100),"NA",IF(((BE657/AW657-1)*100)&gt;100,"NM",IF(((BE657/AW657-1)*100)&lt;-50,"NM",(BE657/AW657-1)*100)))</f>
        <v>NA</v>
      </c>
      <c r="BG657" s="117">
        <f>+BG625/BG$626*100</f>
        <v>0</v>
      </c>
      <c r="BH657" s="98" t="str">
        <f t="shared" ref="BH657" si="3978">IF(ISERROR((BG657/AY657-1)*100),"NA",IF(((BG657/AY657-1)*100)&gt;100,"NM",IF(((BG657/AY657-1)*100)&lt;-50,"NM",(BG657/AY657-1)*100)))</f>
        <v>NA</v>
      </c>
      <c r="BI657" s="117">
        <f>+BI625/BI$626*100</f>
        <v>0</v>
      </c>
      <c r="BJ657" s="98" t="str">
        <f t="shared" ref="BJ657" si="3979">IF(ISERROR((BI657/BA657-1)*100),"NA",IF(((BI657/BA657-1)*100)&gt;100,"NM",IF(((BI657/BA657-1)*100)&lt;-50,"NM",(BI657/BA657-1)*100)))</f>
        <v>NA</v>
      </c>
      <c r="BK657" s="117">
        <f>+BK625/BK$626*100</f>
        <v>0</v>
      </c>
      <c r="BL657" s="98" t="str">
        <f t="shared" ref="BL657" si="3980">IF(ISERROR((BK657/BC657-1)*100),"NA",IF(((BK657/BC657-1)*100)&gt;100,"NM",IF(((BK657/BC657-1)*100)&lt;-50,"NM",(BK657/BC657-1)*100)))</f>
        <v>NA</v>
      </c>
      <c r="BM657" s="117">
        <f>+BM625/BM$626*100</f>
        <v>0</v>
      </c>
      <c r="BN657" s="98" t="str">
        <f t="shared" ref="BN657" si="3981">IF(ISERROR((BM657/BE657-1)*100),"NA",IF(((BM657/BE657-1)*100)&gt;100,"NM",IF(((BM657/BE657-1)*100)&lt;-50,"NM",(BM657/BE657-1)*100)))</f>
        <v>NA</v>
      </c>
      <c r="BO657" s="117">
        <f>+BO625/BO$626*100</f>
        <v>0</v>
      </c>
      <c r="BP657" s="98" t="str">
        <f t="shared" ref="BP657" si="3982">IF(ISERROR((BO657/BG657-1)*100),"NA",IF(((BO657/BG657-1)*100)&gt;100,"NM",IF(((BO657/BG657-1)*100)&lt;-50,"NM",(BO657/BG657-1)*100)))</f>
        <v>NA</v>
      </c>
      <c r="BQ657" s="117">
        <f>+BQ625/BQ$626*100</f>
        <v>0</v>
      </c>
      <c r="BR657" s="98" t="str">
        <f t="shared" ref="BR657" si="3983">IF(ISERROR((BQ657/BI657-1)*100),"NA",IF(((BQ657/BI657-1)*100)&gt;100,"NM",IF(((BQ657/BI657-1)*100)&lt;-50,"NM",(BQ657/BI657-1)*100)))</f>
        <v>NA</v>
      </c>
      <c r="BS657" s="117">
        <f>+BS625/BS$626*100</f>
        <v>0</v>
      </c>
      <c r="BT657" s="98" t="str">
        <f t="shared" ref="BT657" si="3984">IF(ISERROR((BS657/BK657-1)*100),"NA",IF(((BS657/BK657-1)*100)&gt;100,"NM",IF(((BS657/BK657-1)*100)&lt;-50,"NM",(BS657/BK657-1)*100)))</f>
        <v>NA</v>
      </c>
      <c r="BU657" s="117">
        <f>+BU625/BU$626*100</f>
        <v>0</v>
      </c>
      <c r="BV657" s="98" t="str">
        <f t="shared" ref="BV657" si="3985">IF(ISERROR((BU657/BM657-1)*100),"NA",IF(((BU657/BM657-1)*100)&gt;100,"NM",IF(((BU657/BM657-1)*100)&lt;-50,"NM",(BU657/BM657-1)*100)))</f>
        <v>NA</v>
      </c>
      <c r="BW657" s="117">
        <f>+BW625/BW$626*100</f>
        <v>0</v>
      </c>
      <c r="BX657" s="98" t="str">
        <f t="shared" ref="BX657" si="3986">IF(ISERROR((BW657/BO657-1)*100),"NA",IF(((BW657/BO657-1)*100)&gt;100,"NM",IF(((BW657/BO657-1)*100)&lt;-50,"NM",(BW657/BO657-1)*100)))</f>
        <v>NA</v>
      </c>
      <c r="BY657" s="117">
        <f>+BY625/BY$626*100</f>
        <v>0</v>
      </c>
      <c r="BZ657" s="98" t="str">
        <f t="shared" ref="BZ657" si="3987">IF(ISERROR((BY657/BQ657-1)*100),"NA",IF(((BY657/BQ657-1)*100)&gt;100,"NM",IF(((BY657/BQ657-1)*100)&lt;-50,"NM",(BY657/BQ657-1)*100)))</f>
        <v>NA</v>
      </c>
      <c r="CA657" s="117">
        <f>+CA625/CA$626*100</f>
        <v>0</v>
      </c>
      <c r="CB657" s="98" t="str">
        <f t="shared" ref="CB657" si="3988">IF(ISERROR((CA657/BS657-1)*100),"NA",IF(((CA657/BS657-1)*100)&gt;100,"NM",IF(((CA657/BS657-1)*100)&lt;-50,"NM",(CA657/BS657-1)*100)))</f>
        <v>NA</v>
      </c>
      <c r="CC657" s="117">
        <f>+CC625/CC$626*100</f>
        <v>0</v>
      </c>
      <c r="CD657" s="98" t="str">
        <f t="shared" ref="CD657" si="3989">IF(ISERROR((CC657/BU657-1)*100),"NA",IF(((CC657/BU657-1)*100)&gt;100,"NM",IF(((CC657/BU657-1)*100)&lt;-50,"NM",(CC657/BU657-1)*100)))</f>
        <v>NA</v>
      </c>
      <c r="CE657" s="117">
        <f>+CE625/CE$626*100</f>
        <v>0</v>
      </c>
      <c r="CF657" s="98" t="str">
        <f t="shared" ref="CF657" si="3990">IF(ISERROR((CE657/BW657-1)*100),"NA",IF(((CE657/BW657-1)*100)&gt;100,"NM",IF(((CE657/BW657-1)*100)&lt;-50,"NM",(CE657/BW657-1)*100)))</f>
        <v>NA</v>
      </c>
      <c r="CG657" s="117">
        <f>+CG625/CG$626*100</f>
        <v>0</v>
      </c>
      <c r="CH657" s="98" t="str">
        <f t="shared" ref="CH657" si="3991">IF(ISERROR((CG657/BY657-1)*100),"NA",IF(((CG657/BY657-1)*100)&gt;100,"NM",IF(((CG657/BY657-1)*100)&lt;-50,"NM",(CG657/BY657-1)*100)))</f>
        <v>NA</v>
      </c>
      <c r="CI657" s="117">
        <f>+CI625/CI$626*100</f>
        <v>0</v>
      </c>
      <c r="CJ657" s="98" t="str">
        <f t="shared" ref="CJ657" si="3992">IF(ISERROR((CI657/CA657-1)*100),"NA",IF(((CI657/CA657-1)*100)&gt;100,"NM",IF(((CI657/CA657-1)*100)&lt;-50,"NM",(CI657/CA657-1)*100)))</f>
        <v>NA</v>
      </c>
      <c r="CK657" s="117">
        <f>+CK625/CK$626*100</f>
        <v>0</v>
      </c>
      <c r="CL657" s="98" t="str">
        <f t="shared" ref="CL657" si="3993">IF(ISERROR((CK657/CC657-1)*100),"NA",IF(((CK657/CC657-1)*100)&gt;100,"NM",IF(((CK657/CC657-1)*100)&lt;-50,"NM",(CK657/CC657-1)*100)))</f>
        <v>NA</v>
      </c>
      <c r="CM657" s="117">
        <f>+CM625/CM$626*100</f>
        <v>0</v>
      </c>
      <c r="CN657" s="98" t="str">
        <f t="shared" ref="CN657" si="3994">IF(ISERROR((CM657/CE657-1)*100),"NA",IF(((CM657/CE657-1)*100)&gt;100,"NM",IF(((CM657/CE657-1)*100)&lt;-50,"NM",(CM657/CE657-1)*100)))</f>
        <v>NA</v>
      </c>
      <c r="CO657" s="117">
        <f>+CO625/CO$626*100</f>
        <v>0</v>
      </c>
      <c r="CP657" s="98" t="str">
        <f t="shared" ref="CP657" si="3995">IF(ISERROR((CO657/CG657-1)*100),"NA",IF(((CO657/CG657-1)*100)&gt;100,"NM",IF(((CO657/CG657-1)*100)&lt;-50,"NM",(CO657/CG657-1)*100)))</f>
        <v>NA</v>
      </c>
      <c r="CQ657" s="486">
        <f>+CQ625/CQ$626*100</f>
        <v>0</v>
      </c>
      <c r="CR657" s="98" t="str">
        <f t="shared" ref="CR657" si="3996">IF(ISERROR((CQ657/CI657-1)*100),"NA",IF(((CQ657/CI657-1)*100)&gt;100,"NM",IF(((CQ657/CI657-1)*100)&lt;-50,"NM",(CQ657/CI657-1)*100)))</f>
        <v>NA</v>
      </c>
      <c r="CS657" s="117">
        <f>+CS625/CS$626*100</f>
        <v>0</v>
      </c>
      <c r="CT657" s="98" t="str">
        <f t="shared" ref="CT657" si="3997">IF(ISERROR((CS657/CK657-1)*100),"NA",IF(((CS657/CK657-1)*100)&gt;100,"NM",IF(((CS657/CK657-1)*100)&lt;-50,"NM",(CS657/CK657-1)*100)))</f>
        <v>NA</v>
      </c>
      <c r="CU657" s="117">
        <f>+CU625/CU$626*100</f>
        <v>0</v>
      </c>
      <c r="CV657" s="98" t="str">
        <f t="shared" ref="CV657" si="3998">IF(ISERROR((CU657/CM657-1)*100),"NA",IF(((CU657/CM657-1)*100)&gt;100,"NM",IF(((CU657/CM657-1)*100)&lt;-50,"NM",(CU657/CM657-1)*100)))</f>
        <v>NA</v>
      </c>
      <c r="CW657" s="117">
        <f>+CW625/CW$626*100</f>
        <v>0</v>
      </c>
      <c r="CX657" s="98" t="str">
        <f t="shared" ref="CX657" si="3999">IF(ISERROR((CW657/CO657-1)*100),"NA",IF(((CW657/CO657-1)*100)&gt;100,"NM",IF(((CW657/CO657-1)*100)&lt;-50,"NM",(CW657/CO657-1)*100)))</f>
        <v>NA</v>
      </c>
      <c r="CY657" s="117">
        <f>+CY625/CY$626*100</f>
        <v>0</v>
      </c>
      <c r="CZ657" s="98" t="str">
        <f t="shared" ref="CZ657" si="4000">IF(ISERROR((CY657/CQ657-1)*100),"NA",IF(((CY657/CQ657-1)*100)&gt;100,"NM",IF(((CY657/CQ657-1)*100)&lt;-50,"NM",(CY657/CQ657-1)*100)))</f>
        <v>NA</v>
      </c>
      <c r="DA657" s="117">
        <f>+DA625/DA$626*100</f>
        <v>0</v>
      </c>
      <c r="DB657" s="98" t="str">
        <f t="shared" ref="DB657" si="4001">IF(ISERROR((DA657/CS657-1)*100),"NA",IF(((DA657/CS657-1)*100)&gt;100,"NM",IF(((DA657/CS657-1)*100)&lt;-50,"NM",(DA657/CS657-1)*100)))</f>
        <v>NA</v>
      </c>
      <c r="DC657" s="117">
        <f>+DC625/DC$626*100</f>
        <v>0</v>
      </c>
      <c r="DD657" s="98" t="str">
        <f t="shared" ref="DD657" si="4002">IF(ISERROR((DC657/CU657-1)*100),"NA",IF(((DC657/CU657-1)*100)&gt;100,"NM",IF(((DC657/CU657-1)*100)&lt;-50,"NM",(DC657/CU657-1)*100)))</f>
        <v>NA</v>
      </c>
      <c r="DE657" s="117">
        <f>+DE625/DE$626*100</f>
        <v>0</v>
      </c>
      <c r="DF657" s="98" t="str">
        <f t="shared" ref="DF657" si="4003">IF(ISERROR((DE657/CW657-1)*100),"NA",IF(((DE657/CW657-1)*100)&gt;100,"NM",IF(((DE657/CW657-1)*100)&lt;-50,"NM",(DE657/CW657-1)*100)))</f>
        <v>NA</v>
      </c>
      <c r="DG657" s="117">
        <f>+DG625/DG$626*100</f>
        <v>0</v>
      </c>
      <c r="DH657" s="98" t="str">
        <f t="shared" ref="DH657" si="4004">IF(ISERROR((DG657/CY657-1)*100),"NA",IF(((DG657/CY657-1)*100)&gt;100,"NM",IF(((DG657/CY657-1)*100)&lt;-50,"NM",(DG657/CY657-1)*100)))</f>
        <v>NA</v>
      </c>
      <c r="DI657" s="117">
        <f>+DI625/DI$626*100</f>
        <v>0</v>
      </c>
      <c r="DJ657" s="98" t="str">
        <f t="shared" ref="DJ657" si="4005">IF(ISERROR((DI657/DA657-1)*100),"NA",IF(((DI657/DA657-1)*100)&gt;100,"NM",IF(((DI657/DA657-1)*100)&lt;-50,"NM",(DI657/DA657-1)*100)))</f>
        <v>NA</v>
      </c>
      <c r="DK657" s="117">
        <f>+DK625/DK$626*100</f>
        <v>0</v>
      </c>
      <c r="DL657" s="98" t="str">
        <f t="shared" ref="DL657" si="4006">IF(ISERROR((DK657/DC657-1)*100),"NA",IF(((DK657/DC657-1)*100)&gt;100,"NM",IF(((DK657/DC657-1)*100)&lt;-50,"NM",(DK657/DC657-1)*100)))</f>
        <v>NA</v>
      </c>
      <c r="DM657" s="117">
        <f>+DM625/DM$626*100</f>
        <v>0</v>
      </c>
      <c r="DN657" s="98" t="str">
        <f t="shared" ref="DN657" si="4007">IF(ISERROR((DM657/DE657-1)*100),"NA",IF(((DM657/DE657-1)*100)&gt;100,"NM",IF(((DM657/DE657-1)*100)&lt;-50,"NM",(DM657/DE657-1)*100)))</f>
        <v>NA</v>
      </c>
      <c r="DO657" s="117">
        <f>+DO625/DO$626*100</f>
        <v>0</v>
      </c>
      <c r="DP657" s="98" t="str">
        <f t="shared" ref="DP657" si="4008">IF(ISERROR((DO657/DG657-1)*100),"NA",IF(((DO657/DG657-1)*100)&gt;100,"NM",IF(((DO657/DG657-1)*100)&lt;-50,"NM",(DO657/DG657-1)*100)))</f>
        <v>NA</v>
      </c>
      <c r="DQ657" s="117">
        <f>+DQ625/DQ$626*100</f>
        <v>0</v>
      </c>
      <c r="DR657" s="98" t="str">
        <f t="shared" ref="DR657" si="4009">IF(ISERROR((DQ657/DI657-1)*100),"NA",IF(((DQ657/DI657-1)*100)&gt;100,"NM",IF(((DQ657/DI657-1)*100)&lt;-50,"NM",(DQ657/DI657-1)*100)))</f>
        <v>NA</v>
      </c>
      <c r="DS657" s="117">
        <f>+DS625/DS$626*100</f>
        <v>0</v>
      </c>
      <c r="DT657" s="98" t="str">
        <f t="shared" ref="DT657" si="4010">IF(ISERROR((DS657/DK657-1)*100),"NA",IF(((DS657/DK657-1)*100)&gt;100,"NM",IF(((DS657/DK657-1)*100)&lt;-50,"NM",(DS657/DK657-1)*100)))</f>
        <v>NA</v>
      </c>
      <c r="DU657" s="117">
        <f>+DU625/DU$626*100</f>
        <v>0</v>
      </c>
      <c r="DV657" s="98" t="str">
        <f t="shared" ref="DV657" si="4011">IF(ISERROR((DU657/DM657-1)*100),"NA",IF(((DU657/DM657-1)*100)&gt;100,"NM",IF(((DU657/DM657-1)*100)&lt;-50,"NM",(DU657/DM657-1)*100)))</f>
        <v>NA</v>
      </c>
      <c r="DW657" s="117">
        <f>+DW625/DW$626*100</f>
        <v>0</v>
      </c>
      <c r="DX657" s="98" t="str">
        <f t="shared" ref="DX657" si="4012">IF(ISERROR((DW657/DO657-1)*100),"NA",IF(((DW657/DO657-1)*100)&gt;100,"NM",IF(((DW657/DO657-1)*100)&lt;-50,"NM",(DW657/DO657-1)*100)))</f>
        <v>NA</v>
      </c>
      <c r="DY657" s="117">
        <f>+DY625/DY$626*100</f>
        <v>0</v>
      </c>
      <c r="DZ657" s="98" t="str">
        <f t="shared" ref="DZ657" si="4013">IF(ISERROR((DY657/DQ657-1)*100),"NA",IF(((DY657/DQ657-1)*100)&gt;100,"NM",IF(((DY657/DQ657-1)*100)&lt;-50,"NM",(DY657/DQ657-1)*100)))</f>
        <v>NA</v>
      </c>
      <c r="EA657" s="117">
        <f>+EA625/EA$626*100</f>
        <v>0</v>
      </c>
      <c r="EB657" s="98" t="str">
        <f t="shared" ref="EB657" si="4014">IF(ISERROR((EA657/DS657-1)*100),"NA",IF(((EA657/DS657-1)*100)&gt;100,"NM",IF(((EA657/DS657-1)*100)&lt;-50,"NM",(EA657/DS657-1)*100)))</f>
        <v>NA</v>
      </c>
      <c r="EC657" s="117">
        <f>+EC625/EC$626*100</f>
        <v>0</v>
      </c>
      <c r="ED657" s="98" t="str">
        <f t="shared" ref="ED657" si="4015">IF(ISERROR((EC657/DU657-1)*100),"NA",IF(((EC657/DU657-1)*100)&gt;100,"NM",IF(((EC657/DU657-1)*100)&lt;-50,"NM",(EC657/DU657-1)*100)))</f>
        <v>NA</v>
      </c>
      <c r="EE657" s="117">
        <f>+EE625/EE$626*100</f>
        <v>0</v>
      </c>
      <c r="EF657" s="860" t="str">
        <f t="shared" si="3893"/>
        <v>NA</v>
      </c>
      <c r="EG657" s="117">
        <f>+EG625/EG$626*100</f>
        <v>0</v>
      </c>
      <c r="EH657" s="860" t="str">
        <f t="shared" si="3894"/>
        <v>NA</v>
      </c>
      <c r="EI657" s="117">
        <f>+EI625/EI$626*100</f>
        <v>0</v>
      </c>
      <c r="EJ657" s="860" t="str">
        <f t="shared" si="3895"/>
        <v>NA</v>
      </c>
      <c r="EK657" s="117">
        <f>+EK625/EK$626*100</f>
        <v>0</v>
      </c>
      <c r="EL657" s="860" t="str">
        <f t="shared" si="3896"/>
        <v>NA</v>
      </c>
      <c r="EM657" s="117">
        <f>+EM625/EM$626*100</f>
        <v>0</v>
      </c>
      <c r="EN657" s="860" t="str">
        <f t="shared" si="3897"/>
        <v>NA</v>
      </c>
      <c r="EO657" s="117">
        <f>+EO625/EO$626*100</f>
        <v>0</v>
      </c>
      <c r="EP657" s="98" t="str">
        <f t="shared" ref="EP657" si="4016">IF(ISERROR((EO657/EG657-1)*100),"NA",IF(((EO657/EG657-1)*100)&gt;100,"NM",IF(((EO657/EG657-1)*100)&lt;-50,"NM",(EO657/EG657-1)*100)))</f>
        <v>NA</v>
      </c>
      <c r="EQ657" s="1031">
        <f>+EQ625/EQ$626*100</f>
        <v>0</v>
      </c>
      <c r="ER657" s="98" t="str">
        <f t="shared" si="3899"/>
        <v>NA</v>
      </c>
      <c r="ES657" s="1031">
        <f t="shared" ref="ES657" si="4017">+ES625/ES$626*100</f>
        <v>0</v>
      </c>
      <c r="ET657" s="98" t="str">
        <f t="shared" si="3851"/>
        <v>NA</v>
      </c>
      <c r="EU657" s="1031">
        <f t="shared" ref="EU657" si="4018">+EU625/EU$626*100</f>
        <v>0</v>
      </c>
      <c r="EV657" s="98" t="str">
        <f t="shared" si="3853"/>
        <v>NA</v>
      </c>
      <c r="EW657" s="1031">
        <f t="shared" ref="EW657" si="4019">+EW625/EW$626*100</f>
        <v>0</v>
      </c>
      <c r="EX657" s="98" t="str">
        <f t="shared" si="3855"/>
        <v>NA</v>
      </c>
      <c r="EY657" s="117"/>
      <c r="EZ657" s="594"/>
      <c r="FA657" s="405"/>
      <c r="FB657" s="200"/>
      <c r="FC657" s="98"/>
      <c r="FD657" s="117"/>
      <c r="FE657" s="98"/>
      <c r="FF657" s="117"/>
      <c r="FG657" s="98"/>
      <c r="FH657" s="117"/>
      <c r="FI657" s="98"/>
      <c r="FJ657" s="117"/>
      <c r="FK657" s="98"/>
      <c r="FL657" s="117"/>
      <c r="FM657" s="98"/>
      <c r="FN657" s="117"/>
      <c r="FO657" s="98"/>
      <c r="FP657" s="117"/>
      <c r="FQ657" s="98"/>
      <c r="FR657" s="117">
        <f>+FR625/FR$626*100</f>
        <v>0</v>
      </c>
      <c r="FS657" s="98" t="str">
        <f t="shared" ref="FS657" si="4020">IF(ISERROR((FR657/FP657-1)*100),"NA",IF(((FR657/FP657-1)*100)&gt;100,"NM",IF(((FR657/FP657-1)*100)&lt;-50,"NM",(FR657/FP657-1)*100)))</f>
        <v>NA</v>
      </c>
      <c r="FT657" s="117">
        <f>+FT625/FT$626*100</f>
        <v>0</v>
      </c>
      <c r="FU657" s="98" t="str">
        <f t="shared" ref="FU657" si="4021">IF(ISERROR((FT657/FR657-1)*100),"NA",IF(((FT657/FR657-1)*100)&gt;100,"NM",IF(((FT657/FR657-1)*100)&lt;-50,"NM",(FT657/FR657-1)*100)))</f>
        <v>NA</v>
      </c>
      <c r="FV657" s="117">
        <f>+FV625/FV$626*100</f>
        <v>0</v>
      </c>
      <c r="FW657" s="98" t="str">
        <f t="shared" ref="FW657" si="4022">IF(ISERROR((FV657/FT657-1)*100),"NA",IF(((FV657/FT657-1)*100)&gt;100,"NM",IF(((FV657/FT657-1)*100)&lt;-50,"NM",(FV657/FT657-1)*100)))</f>
        <v>NA</v>
      </c>
      <c r="FX657" s="486">
        <f>+FX625/FX$626*100</f>
        <v>0</v>
      </c>
      <c r="FY657" s="98" t="str">
        <f t="shared" ref="FY657" si="4023">IF(ISERROR((FX657/FV657-1)*100),"NA",IF(((FX657/FV657-1)*100)&gt;100,"NM",IF(((FX657/FV657-1)*100)&lt;-50,"NM",(FX657/FV657-1)*100)))</f>
        <v>NA</v>
      </c>
      <c r="FZ657" s="117">
        <f>+FZ625/FZ$626*100</f>
        <v>0</v>
      </c>
      <c r="GA657" s="98" t="str">
        <f t="shared" ref="GA657" si="4024">IF(ISERROR((FZ657/FX657-1)*100),"NA",IF(((FZ657/FX657-1)*100)&gt;100,"NM",IF(((FZ657/FX657-1)*100)&lt;-50,"NM",(FZ657/FX657-1)*100)))</f>
        <v>NA</v>
      </c>
      <c r="GB657" s="486">
        <f>+GB625/GB$626*100</f>
        <v>0</v>
      </c>
      <c r="GC657" s="98" t="str">
        <f t="shared" ref="GC657" si="4025">IF(ISERROR((GB657/FZ657-1)*100),"NA",IF(((GB657/FZ657-1)*100)&gt;100,"NM",IF(((GB657/FZ657-1)*100)&lt;-50,"NM",(GB657/FZ657-1)*100)))</f>
        <v>NA</v>
      </c>
      <c r="GD657" s="117">
        <f>+GD625/GD$626*100</f>
        <v>0</v>
      </c>
      <c r="GE657" s="98" t="str">
        <f t="shared" ref="GE657" si="4026">IF(ISERROR((GD657/GB657-1)*100),"NA",IF(((GD657/GB657-1)*100)&gt;100,"NM",IF(((GD657/GB657-1)*100)&lt;-50,"NM",(GD657/GB657-1)*100)))</f>
        <v>NA</v>
      </c>
      <c r="GF657" s="117">
        <f>+GF625/GF$626*100</f>
        <v>0</v>
      </c>
      <c r="GG657" s="98" t="str">
        <f t="shared" ref="GG657" si="4027">IF(ISERROR((GF657/GD657-1)*100),"NA",IF(((GF657/GD657-1)*100)&gt;100,"NM",IF(((GF657/GD657-1)*100)&lt;-50,"NM",(GF657/GD657-1)*100)))</f>
        <v>NA</v>
      </c>
      <c r="GH657" s="117">
        <f>+GH625/GH$626*100</f>
        <v>0</v>
      </c>
      <c r="GI657" s="98" t="str">
        <f t="shared" ref="GI657" si="4028">IF(ISERROR((GH657/GF657-1)*100),"NA",IF(((GH657/GF657-1)*100)&gt;100,"NM",IF(((GH657/GF657-1)*100)&lt;-50,"NM",(GH657/GF657-1)*100)))</f>
        <v>NA</v>
      </c>
      <c r="GJ657" s="117">
        <f>+GJ625/GJ$626*100</f>
        <v>0</v>
      </c>
      <c r="GK657" s="98" t="str">
        <f t="shared" ref="GK657" si="4029">IF(ISERROR((GJ657/GH657-1)*100),"NA",IF(((GJ657/GH657-1)*100)&gt;100,"NM",IF(((GJ657/GH657-1)*100)&lt;-50,"NM",(GJ657/GH657-1)*100)))</f>
        <v>NA</v>
      </c>
      <c r="GL657" s="117">
        <f>+GL625/GL$626*100</f>
        <v>0</v>
      </c>
      <c r="GM657" s="98" t="str">
        <f t="shared" ref="GM657:GW657" si="4030">IF(ISERROR((GL657/GJ657-1)*100),"NA",IF(((GL657/GJ657-1)*100)&gt;100,"NM",IF(((GL657/GJ657-1)*100)&lt;-50,"NM",(GL657/GJ657-1)*100)))</f>
        <v>NA</v>
      </c>
      <c r="GN657" s="117">
        <f>+GN625/GN$626*100</f>
        <v>0</v>
      </c>
      <c r="GO657" s="98" t="str">
        <f t="shared" si="4030"/>
        <v>NA</v>
      </c>
      <c r="GP657" s="117">
        <f>+GP625/GP$626*100</f>
        <v>0</v>
      </c>
      <c r="GQ657" s="98" t="str">
        <f t="shared" si="4030"/>
        <v>NA</v>
      </c>
      <c r="GR657" s="117">
        <f>+GR625/GR$626*100</f>
        <v>0</v>
      </c>
      <c r="GS657" s="98" t="str">
        <f t="shared" si="4030"/>
        <v>NA</v>
      </c>
      <c r="GT657" s="117">
        <f>+GT625/GT$626*100</f>
        <v>0</v>
      </c>
      <c r="GU657" s="98" t="str">
        <f t="shared" si="4030"/>
        <v>NA</v>
      </c>
      <c r="GV657" s="117">
        <f>+GV625/GV$626*100</f>
        <v>0</v>
      </c>
      <c r="GW657" s="98" t="str">
        <f t="shared" si="4030"/>
        <v>NA</v>
      </c>
      <c r="GX657" s="117">
        <f>+GX625/GX$626*100</f>
        <v>0</v>
      </c>
      <c r="GY657" s="98" t="str">
        <f t="shared" si="3910"/>
        <v>NA</v>
      </c>
      <c r="GZ657" s="98" t="str">
        <f t="shared" si="3856"/>
        <v>NA</v>
      </c>
      <c r="HA657" s="98"/>
      <c r="HB657" s="10"/>
      <c r="HC657"/>
      <c r="HD657"/>
      <c r="HE657"/>
      <c r="HF657"/>
      <c r="HG657"/>
      <c r="HH657"/>
      <c r="HI657" s="10"/>
    </row>
    <row r="658" spans="1:217" s="2" customFormat="1" ht="12.75" customHeight="1" x14ac:dyDescent="0.2">
      <c r="B658" s="18" t="s">
        <v>181</v>
      </c>
      <c r="C658" s="117"/>
      <c r="D658" s="98"/>
      <c r="E658" s="117"/>
      <c r="F658" s="98"/>
      <c r="G658" s="117"/>
      <c r="H658" s="98"/>
      <c r="I658" s="117"/>
      <c r="J658" s="98"/>
      <c r="K658" s="117"/>
      <c r="L658" s="98"/>
      <c r="M658" s="117"/>
      <c r="N658" s="98"/>
      <c r="O658" s="117"/>
      <c r="P658" s="98"/>
      <c r="Q658" s="117"/>
      <c r="R658" s="98"/>
      <c r="S658" s="117"/>
      <c r="T658" s="98"/>
      <c r="U658" s="117"/>
      <c r="V658" s="98"/>
      <c r="W658" s="117"/>
      <c r="X658" s="98"/>
      <c r="Y658" s="117"/>
      <c r="Z658" s="98"/>
      <c r="AA658" s="117"/>
      <c r="AB658" s="98"/>
      <c r="AC658" s="117"/>
      <c r="AD658" s="98"/>
      <c r="AE658" s="117"/>
      <c r="AF658" s="98"/>
      <c r="AG658" s="117"/>
      <c r="AH658" s="98"/>
      <c r="AI658" s="117"/>
      <c r="AJ658" s="98"/>
      <c r="AK658" s="117"/>
      <c r="AL658" s="98"/>
      <c r="AM658" s="117"/>
      <c r="AN658" s="98"/>
      <c r="AO658" s="117"/>
      <c r="AP658" s="98"/>
      <c r="AQ658" s="117"/>
      <c r="AR658" s="98"/>
      <c r="AS658" s="117"/>
      <c r="AT658" s="98"/>
      <c r="AU658" s="117"/>
      <c r="AV658" s="98"/>
      <c r="AW658" s="117"/>
      <c r="AX658" s="98"/>
      <c r="AY658" s="117">
        <f>+AY624/AY$626*100</f>
        <v>0.8771929824561403</v>
      </c>
      <c r="AZ658" s="98" t="str">
        <f t="shared" si="3857"/>
        <v>NA</v>
      </c>
      <c r="BA658" s="117">
        <f>+BA624/BA$626*100</f>
        <v>-1.4227642276422763</v>
      </c>
      <c r="BB658" s="98" t="str">
        <f t="shared" si="3858"/>
        <v>NA</v>
      </c>
      <c r="BC658" s="117">
        <f>+BC624/BC$626*100</f>
        <v>-0.73068893528183709</v>
      </c>
      <c r="BD658" s="98" t="str">
        <f t="shared" si="3859"/>
        <v>NA</v>
      </c>
      <c r="BE658" s="117">
        <f>+BE624/BE$626*100</f>
        <v>3.225806451612903</v>
      </c>
      <c r="BF658" s="98" t="str">
        <f t="shared" si="3860"/>
        <v>NA</v>
      </c>
      <c r="BG658" s="117">
        <f>+BG624/BG$626*100</f>
        <v>4.1589648798521255</v>
      </c>
      <c r="BH658" s="98" t="str">
        <f t="shared" si="3861"/>
        <v>NM</v>
      </c>
      <c r="BI658" s="117">
        <f>+BI624/BI$626*100</f>
        <v>5.9496567505720828</v>
      </c>
      <c r="BJ658" s="98" t="str">
        <f t="shared" si="3862"/>
        <v>NM</v>
      </c>
      <c r="BK658" s="117">
        <f>+BK624/BK$626*100</f>
        <v>4.0431266846361185</v>
      </c>
      <c r="BL658" s="98" t="str">
        <f t="shared" si="3863"/>
        <v>NM</v>
      </c>
      <c r="BM658" s="117">
        <f>+BM624/BM$626*100</f>
        <v>-3.1007751937984498</v>
      </c>
      <c r="BN658" s="98" t="str">
        <f t="shared" si="3864"/>
        <v>NM</v>
      </c>
      <c r="BO658" s="117">
        <f>+BO624/BO$626*100</f>
        <v>-2.1455223880597014</v>
      </c>
      <c r="BP658" s="98" t="str">
        <f t="shared" si="3865"/>
        <v>NM</v>
      </c>
      <c r="BQ658" s="117">
        <f>+BQ624/BQ$626*100</f>
        <v>-9.1319052987598646</v>
      </c>
      <c r="BR658" s="98" t="str">
        <f t="shared" si="3866"/>
        <v>NM</v>
      </c>
      <c r="BS658" s="117">
        <f>+BS624/BS$626*100</f>
        <v>-36.184210526315788</v>
      </c>
      <c r="BT658" s="98" t="str">
        <f t="shared" si="3867"/>
        <v>NM</v>
      </c>
      <c r="BU658" s="117">
        <f>+BU624/BU$626*100</f>
        <v>502.12765957446805</v>
      </c>
      <c r="BV658" s="98" t="str">
        <f t="shared" si="3868"/>
        <v>NM</v>
      </c>
      <c r="BW658" s="117">
        <f>+BW624/BW$626*100</f>
        <v>432.20338983050846</v>
      </c>
      <c r="BX658" s="98" t="str">
        <f t="shared" si="3869"/>
        <v>NM</v>
      </c>
      <c r="BY658" s="117">
        <f>+BY624/BY$626*100</f>
        <v>-118.88111888111888</v>
      </c>
      <c r="BZ658" s="98" t="str">
        <f t="shared" si="3870"/>
        <v>NM</v>
      </c>
      <c r="CA658" s="117">
        <f>+CA624/CA$626*100</f>
        <v>-102.06896551724138</v>
      </c>
      <c r="CB658" s="98" t="str">
        <f t="shared" si="3871"/>
        <v>NM</v>
      </c>
      <c r="CC658" s="117">
        <f>+CC624/CC$626*100</f>
        <v>-530.30303030303025</v>
      </c>
      <c r="CD658" s="98" t="str">
        <f t="shared" si="3872"/>
        <v>NM</v>
      </c>
      <c r="CE658" s="117">
        <f>+CE624/CE$626*100</f>
        <v>-52.916666666666664</v>
      </c>
      <c r="CF658" s="98" t="str">
        <f t="shared" si="3873"/>
        <v>NM</v>
      </c>
      <c r="CG658" s="117">
        <f>+CG624/CG$626*100</f>
        <v>-40.148698884758367</v>
      </c>
      <c r="CH658" s="98" t="str">
        <f t="shared" si="3874"/>
        <v>NM</v>
      </c>
      <c r="CI658" s="117">
        <f>+CI624/CI$626*100</f>
        <v>-92.2279792746114</v>
      </c>
      <c r="CJ658" s="98">
        <f t="shared" si="3875"/>
        <v>-9.6415067917658632</v>
      </c>
      <c r="CK658" s="117">
        <f>+CK624/CK$626*100</f>
        <v>-0.34305317324185247</v>
      </c>
      <c r="CL658" s="98" t="str">
        <f t="shared" si="3876"/>
        <v>NM</v>
      </c>
      <c r="CM658" s="117">
        <f>+CM624/CM$626*100</f>
        <v>-1.2784090909090911</v>
      </c>
      <c r="CN658" s="98" t="str">
        <f t="shared" si="3877"/>
        <v>NM</v>
      </c>
      <c r="CO658" s="117">
        <f>+CO624/CO$626*100</f>
        <v>-6.6563467492260067</v>
      </c>
      <c r="CP658" s="98" t="str">
        <f t="shared" si="3878"/>
        <v>NM</v>
      </c>
      <c r="CQ658" s="486">
        <f>+CQ624/CQ$626*100</f>
        <v>-13.581890812250332</v>
      </c>
      <c r="CR658" s="98" t="str">
        <f t="shared" si="3879"/>
        <v>NM</v>
      </c>
      <c r="CS658" s="117">
        <f>+CS624/CS$626*100</f>
        <v>-11.875</v>
      </c>
      <c r="CT658" s="98" t="str">
        <f t="shared" si="3880"/>
        <v>NM</v>
      </c>
      <c r="CU658" s="117">
        <f>+CU624/CU$626*100</f>
        <v>-6.733668341708543</v>
      </c>
      <c r="CV658" s="98" t="str">
        <f t="shared" si="3881"/>
        <v>NM</v>
      </c>
      <c r="CW658" s="117">
        <f>+CW624/CW$626*100</f>
        <v>-5.17578125</v>
      </c>
      <c r="CX658" s="98">
        <f t="shared" si="3882"/>
        <v>-22.242914244186053</v>
      </c>
      <c r="CY658" s="117">
        <f>+CY624/CY$626*100</f>
        <v>-14.486486486486486</v>
      </c>
      <c r="CZ658" s="98">
        <f t="shared" si="3883"/>
        <v>6.6603073661897216</v>
      </c>
      <c r="DA658" s="117">
        <f>+DA624/DA$626*100</f>
        <v>-18.513513513513512</v>
      </c>
      <c r="DB658" s="98">
        <f t="shared" si="3884"/>
        <v>55.903271692745363</v>
      </c>
      <c r="DC658" s="117">
        <f>+DC624/DC$626*100</f>
        <v>-8.5914085914085927</v>
      </c>
      <c r="DD658" s="98">
        <f t="shared" si="3885"/>
        <v>27.588829081366416</v>
      </c>
      <c r="DE658" s="117">
        <f>+DE624/DE$626*100</f>
        <v>-13.944223107569719</v>
      </c>
      <c r="DF658" s="98" t="str">
        <f t="shared" si="3886"/>
        <v>NM</v>
      </c>
      <c r="DG658" s="117">
        <f>+DG624/DG$626*100</f>
        <v>-19.497607655502392</v>
      </c>
      <c r="DH658" s="98">
        <f t="shared" si="3887"/>
        <v>34.591694636863537</v>
      </c>
      <c r="DI658" s="117">
        <f>+DI624/DI$626*100</f>
        <v>-31.026785714285715</v>
      </c>
      <c r="DJ658" s="98">
        <f t="shared" si="3888"/>
        <v>67.589937434827974</v>
      </c>
      <c r="DK658" s="117">
        <f>+DK624/DK$626*100</f>
        <v>-17.92656587473002</v>
      </c>
      <c r="DL658" s="98" t="str">
        <f t="shared" si="3889"/>
        <v>NM</v>
      </c>
      <c r="DM658" s="117">
        <f>+DM624/DM$626*100</f>
        <v>-20.920043811610075</v>
      </c>
      <c r="DN658" s="98">
        <f t="shared" si="3890"/>
        <v>50.026599906117973</v>
      </c>
      <c r="DO658" s="117">
        <f>+DO624/DO$626*100</f>
        <v>-10.192307692307692</v>
      </c>
      <c r="DP658" s="98">
        <f t="shared" si="3890"/>
        <v>-47.725342142520056</v>
      </c>
      <c r="DQ658" s="117">
        <f>+DQ624/DQ$626*100</f>
        <v>-33.410404624277454</v>
      </c>
      <c r="DR658" s="98">
        <f t="shared" si="3890"/>
        <v>7.6824551919158157</v>
      </c>
      <c r="DS658" s="117">
        <f>+DS624/DS$626*100</f>
        <v>-11.927330173775671</v>
      </c>
      <c r="DT658" s="98">
        <f t="shared" si="3890"/>
        <v>-33.465616018576668</v>
      </c>
      <c r="DU658" s="117">
        <f>+DU624/DU$626*100</f>
        <v>-12.950699043414277</v>
      </c>
      <c r="DV658" s="98">
        <f t="shared" si="3890"/>
        <v>-38.094302478339081</v>
      </c>
      <c r="DW658" s="117">
        <f>+DW624/DW$626*100</f>
        <v>-274.5810055865922</v>
      </c>
      <c r="DX658" s="98" t="str">
        <f t="shared" si="3890"/>
        <v>NM</v>
      </c>
      <c r="DY658" s="117">
        <f>+DY624/DY$626*100</f>
        <v>-21.25506072874494</v>
      </c>
      <c r="DZ658" s="98">
        <f t="shared" si="3890"/>
        <v>-36.381911659638845</v>
      </c>
      <c r="EA658" s="117">
        <f>+EA624/EA$626*100</f>
        <v>-18.962075848303392</v>
      </c>
      <c r="EB658" s="98">
        <f t="shared" si="3891"/>
        <v>58.980053138755608</v>
      </c>
      <c r="EC658" s="117">
        <f>+EC624/EC$626*100</f>
        <v>-38.977635782747605</v>
      </c>
      <c r="ED658" s="98" t="str">
        <f t="shared" si="3892"/>
        <v>NM</v>
      </c>
      <c r="EE658" s="117">
        <f>+EE624/EE$626*100</f>
        <v>0.44280442804428044</v>
      </c>
      <c r="EF658" s="860" t="str">
        <f t="shared" si="3893"/>
        <v>NM</v>
      </c>
      <c r="EG658" s="117">
        <f>+EG624/EG$626*100</f>
        <v>-19.205298013245034</v>
      </c>
      <c r="EH658" s="860">
        <f t="shared" si="3894"/>
        <v>-9.6436455376852752</v>
      </c>
      <c r="EI658" s="117">
        <f>+EI624/EI$626*100</f>
        <v>-5.7532172596517794</v>
      </c>
      <c r="EJ658" s="860" t="str">
        <f t="shared" si="3895"/>
        <v>NM</v>
      </c>
      <c r="EK658" s="117">
        <f>+EK624/EK$626*100</f>
        <v>-12.934879571810884</v>
      </c>
      <c r="EL658" s="860" t="str">
        <f t="shared" si="3896"/>
        <v>NM</v>
      </c>
      <c r="EM658" s="117">
        <f>+EM624/EM$626*100</f>
        <v>-30.134529147982065</v>
      </c>
      <c r="EN658" s="860" t="str">
        <f t="shared" si="3897"/>
        <v>NM</v>
      </c>
      <c r="EO658" s="117">
        <f>+EO624/EO$626*100</f>
        <v>-77.876106194690266</v>
      </c>
      <c r="EP658" s="98" t="str">
        <f t="shared" si="3898"/>
        <v>NM</v>
      </c>
      <c r="EQ658" s="1031">
        <f>+EQ624/EQ$626*100</f>
        <v>-16.500730987626998</v>
      </c>
      <c r="ER658" s="98" t="str">
        <f t="shared" si="3899"/>
        <v>NM</v>
      </c>
      <c r="ES658" s="1031">
        <f t="shared" ref="ES658" si="4031">+ES624/ES$626*100</f>
        <v>-16.596019668662308</v>
      </c>
      <c r="ET658" s="98">
        <f t="shared" si="3851"/>
        <v>28.304400334968594</v>
      </c>
      <c r="EU658" s="1031">
        <f t="shared" ref="EU658" si="4032">+EU624/EU$626*100</f>
        <v>-16.497901351631931</v>
      </c>
      <c r="EV658" s="98">
        <f t="shared" si="3853"/>
        <v>-45.252499978959513</v>
      </c>
      <c r="EW658" s="1031">
        <f t="shared" ref="EW658" si="4033">+EW624/EW$626*100</f>
        <v>-16.423536723053161</v>
      </c>
      <c r="EX658" s="98" t="str">
        <f t="shared" si="3855"/>
        <v>NM</v>
      </c>
      <c r="EY658" s="117"/>
      <c r="EZ658" s="594"/>
      <c r="FA658" s="405"/>
      <c r="FB658" s="200"/>
      <c r="FC658" s="98"/>
      <c r="FD658" s="117"/>
      <c r="FE658" s="98"/>
      <c r="FF658" s="117"/>
      <c r="FG658" s="98"/>
      <c r="FH658" s="117"/>
      <c r="FI658" s="98"/>
      <c r="FJ658" s="117"/>
      <c r="FK658" s="98"/>
      <c r="FL658" s="117"/>
      <c r="FM658" s="98"/>
      <c r="FN658" s="117"/>
      <c r="FO658" s="98"/>
      <c r="FP658" s="117"/>
      <c r="FQ658" s="98"/>
      <c r="FR658" s="117">
        <f>+FR624/FR$626*100</f>
        <v>0.5469915464942815</v>
      </c>
      <c r="FS658" s="98" t="str">
        <f t="shared" si="3903"/>
        <v>NA</v>
      </c>
      <c r="FT658" s="117">
        <f>+FT624/FT$626*100</f>
        <v>2.8283694021855581</v>
      </c>
      <c r="FU658" s="98" t="str">
        <f t="shared" si="3904"/>
        <v>NM</v>
      </c>
      <c r="FV658" s="117">
        <f>+FV624/FV$626*100</f>
        <v>-24.126984126984127</v>
      </c>
      <c r="FW658" s="98" t="str">
        <f t="shared" si="3905"/>
        <v>NM</v>
      </c>
      <c r="FX658" s="486">
        <f>+FX624/FX$626*100</f>
        <v>-285.49618320610688</v>
      </c>
      <c r="FY658" s="98" t="str">
        <f t="shared" si="3906"/>
        <v>NM</v>
      </c>
      <c r="FZ658" s="117">
        <f>+FZ624/FZ$626*100</f>
        <v>-32.295719844357976</v>
      </c>
      <c r="GA658" s="98" t="str">
        <f t="shared" si="3907"/>
        <v>NM</v>
      </c>
      <c r="GB658" s="486">
        <f>+GB624/GB$626*100</f>
        <v>-9.1561938958707358</v>
      </c>
      <c r="GC658" s="98" t="str">
        <f t="shared" si="3908"/>
        <v>NM</v>
      </c>
      <c r="GD658" s="117">
        <f>+GD624/GD$626*100</f>
        <v>-10.613463626492942</v>
      </c>
      <c r="GE658" s="98">
        <f t="shared" si="3909"/>
        <v>15.915671371697426</v>
      </c>
      <c r="GF658" s="117">
        <f>+GF624/GF$626*100</f>
        <v>-12.65174506828528</v>
      </c>
      <c r="GG658" s="98">
        <f t="shared" si="3909"/>
        <v>19.204677318575381</v>
      </c>
      <c r="GH658" s="117">
        <f>+GH624/GH$626*100</f>
        <v>-14.079760344504773</v>
      </c>
      <c r="GI658" s="98">
        <f t="shared" si="3909"/>
        <v>11.287101253716902</v>
      </c>
      <c r="GJ658" s="117">
        <f>+GJ624/GJ$626*100</f>
        <v>-38.277511961722489</v>
      </c>
      <c r="GK658" s="98" t="str">
        <f t="shared" si="3909"/>
        <v>NM</v>
      </c>
      <c r="GL658" s="117">
        <f>+GL624/GL$626*100</f>
        <v>-15.618811881188119</v>
      </c>
      <c r="GM658" s="98" t="str">
        <f t="shared" si="3909"/>
        <v>NM</v>
      </c>
      <c r="GN658" s="117">
        <f>+GN624/GN$626*100</f>
        <v>-25.619834710743799</v>
      </c>
      <c r="GO658" s="98">
        <f t="shared" si="3909"/>
        <v>64.0319052795641</v>
      </c>
      <c r="GP658" s="117">
        <f>+GP624/GP$626*100</f>
        <v>-16.504108177353547</v>
      </c>
      <c r="GQ658" s="98">
        <f t="shared" si="3909"/>
        <v>-35.580739049684531</v>
      </c>
      <c r="GR658" s="117">
        <f>+GR624/GR$626*100</f>
        <v>-15.91406351000505</v>
      </c>
      <c r="GS658" s="98">
        <f t="shared" si="3909"/>
        <v>-3.5751381474713018</v>
      </c>
      <c r="GT658" s="117">
        <f>+GT624/GT$626*100</f>
        <v>-13.750018323221253</v>
      </c>
      <c r="GU658" s="98">
        <f t="shared" si="3909"/>
        <v>-13.598319407380011</v>
      </c>
      <c r="GV658" s="117">
        <f>+GV624/GV$626*100</f>
        <v>-13.10919332249774</v>
      </c>
      <c r="GW658" s="98">
        <f t="shared" si="3909"/>
        <v>-4.6605392491825048</v>
      </c>
      <c r="GX658" s="117">
        <f>+GX624/GX$626*100</f>
        <v>-12.611740302966339</v>
      </c>
      <c r="GY658" s="98">
        <f t="shared" si="3910"/>
        <v>-3.7946882565053186</v>
      </c>
      <c r="GZ658" s="98" t="str">
        <f>IF(ISERROR((#REF!/#REF!-1)*100),"NA",IF(((#REF!/#REF!-1)*100)&gt;100,"NM",IF(((#REF!/#REF!-1)*100)&lt;-50,"NM",(#REF!/#REF!-1)*100)))</f>
        <v>NA</v>
      </c>
      <c r="HA658" s="98"/>
      <c r="HB658" s="10"/>
      <c r="HC658"/>
      <c r="HD658"/>
      <c r="HE658"/>
      <c r="HF658"/>
      <c r="HG658"/>
      <c r="HH658"/>
      <c r="HI658" s="10"/>
    </row>
    <row r="659" spans="1:217" s="2" customFormat="1" ht="12.75" customHeight="1" x14ac:dyDescent="0.2">
      <c r="B659" s="19" t="s">
        <v>233</v>
      </c>
      <c r="C659" s="182"/>
      <c r="D659" s="230"/>
      <c r="E659" s="182"/>
      <c r="F659" s="98"/>
      <c r="G659" s="182"/>
      <c r="H659" s="98"/>
      <c r="I659" s="182"/>
      <c r="J659" s="98"/>
      <c r="K659" s="182"/>
      <c r="L659" s="98"/>
      <c r="M659" s="182"/>
      <c r="N659" s="98"/>
      <c r="O659" s="182"/>
      <c r="P659" s="98"/>
      <c r="Q659" s="182"/>
      <c r="R659" s="98"/>
      <c r="S659" s="182"/>
      <c r="T659" s="98"/>
      <c r="U659" s="182"/>
      <c r="V659" s="98"/>
      <c r="W659" s="182"/>
      <c r="X659" s="98"/>
      <c r="Y659" s="182"/>
      <c r="Z659" s="98"/>
      <c r="AA659" s="182"/>
      <c r="AB659" s="98"/>
      <c r="AC659" s="182"/>
      <c r="AD659" s="98"/>
      <c r="AE659" s="182"/>
      <c r="AF659" s="98"/>
      <c r="AG659" s="182"/>
      <c r="AH659" s="98"/>
      <c r="AI659" s="182"/>
      <c r="AJ659" s="98"/>
      <c r="AK659" s="182"/>
      <c r="AL659" s="98"/>
      <c r="AM659" s="182"/>
      <c r="AN659" s="98"/>
      <c r="AO659" s="182"/>
      <c r="AP659" s="98"/>
      <c r="AQ659" s="182"/>
      <c r="AR659" s="98"/>
      <c r="AS659" s="182"/>
      <c r="AT659" s="98"/>
      <c r="AU659" s="182"/>
      <c r="AV659" s="98"/>
      <c r="AW659" s="182"/>
      <c r="AX659" s="98"/>
      <c r="AY659" s="182">
        <f>AY650+AY655+AY658</f>
        <v>33.723196881091617</v>
      </c>
      <c r="AZ659" s="98" t="str">
        <f t="shared" si="3857"/>
        <v>NA</v>
      </c>
      <c r="BA659" s="182">
        <f>BA650+BA655+BA658</f>
        <v>27.540650406504064</v>
      </c>
      <c r="BB659" s="98" t="str">
        <f t="shared" si="3858"/>
        <v>NA</v>
      </c>
      <c r="BC659" s="182">
        <f>BC650+BC655+BC658</f>
        <v>27.76617954070981</v>
      </c>
      <c r="BD659" s="98" t="str">
        <f t="shared" si="3859"/>
        <v>NA</v>
      </c>
      <c r="BE659" s="182">
        <f>BE650+BE655+BE658</f>
        <v>30.550284629981025</v>
      </c>
      <c r="BF659" s="98" t="str">
        <f t="shared" si="3860"/>
        <v>NA</v>
      </c>
      <c r="BG659" s="182">
        <f>BG650+BG655+BG658</f>
        <v>40.203327171903886</v>
      </c>
      <c r="BH659" s="98">
        <f t="shared" si="3861"/>
        <v>19.21564646928724</v>
      </c>
      <c r="BI659" s="182">
        <f>BI650+BI655+BI658</f>
        <v>37.681159420289852</v>
      </c>
      <c r="BJ659" s="98">
        <f t="shared" si="3862"/>
        <v>36.820150810203756</v>
      </c>
      <c r="BK659" s="182">
        <f>BK650+BK655+BK658</f>
        <v>37.6460017969452</v>
      </c>
      <c r="BL659" s="98">
        <f t="shared" si="3863"/>
        <v>35.582216998020691</v>
      </c>
      <c r="BM659" s="182">
        <f>BM650+BM655+BM658</f>
        <v>42.46339362618432</v>
      </c>
      <c r="BN659" s="98">
        <f t="shared" si="3864"/>
        <v>38.995083484466697</v>
      </c>
      <c r="BO659" s="182">
        <f>BO650+BO655+BO658</f>
        <v>40.485074626865668</v>
      </c>
      <c r="BP659" s="98">
        <f t="shared" si="3865"/>
        <v>0.70080631326125964</v>
      </c>
      <c r="BQ659" s="182">
        <f>BQ650+BQ655+BQ658</f>
        <v>32.130777903043963</v>
      </c>
      <c r="BR659" s="98">
        <f t="shared" si="3866"/>
        <v>-14.729858641921778</v>
      </c>
      <c r="BS659" s="182">
        <f>BS650+BS655+BS658</f>
        <v>19.57236842105263</v>
      </c>
      <c r="BT659" s="98">
        <f t="shared" si="3867"/>
        <v>-48.009436628564259</v>
      </c>
      <c r="BU659" s="182">
        <f>BU650+BU655+BU658</f>
        <v>99.999999999999943</v>
      </c>
      <c r="BV659" s="98" t="str">
        <f t="shared" si="3868"/>
        <v>NM</v>
      </c>
      <c r="BW659" s="182">
        <f>BW650+BW655+BW658</f>
        <v>100</v>
      </c>
      <c r="BX659" s="98" t="str">
        <f t="shared" si="3869"/>
        <v>NM</v>
      </c>
      <c r="BY659" s="182">
        <f>BY650+BY655+BY658</f>
        <v>100</v>
      </c>
      <c r="BZ659" s="98" t="str">
        <f t="shared" si="3870"/>
        <v>NM</v>
      </c>
      <c r="CA659" s="182">
        <f>CA650+CA655+CA658</f>
        <v>100.00000000000001</v>
      </c>
      <c r="CB659" s="98" t="str">
        <f t="shared" si="3871"/>
        <v>NM</v>
      </c>
      <c r="CC659" s="182">
        <f>CC650+CC655+CC658</f>
        <v>100.00000000000011</v>
      </c>
      <c r="CD659" s="98">
        <f t="shared" si="3872"/>
        <v>1.7763568394002505E-13</v>
      </c>
      <c r="CE659" s="182">
        <f>CE650+CE655+CE658</f>
        <v>100</v>
      </c>
      <c r="CF659" s="98">
        <f t="shared" si="3873"/>
        <v>0</v>
      </c>
      <c r="CG659" s="182">
        <f>CG650+CG655+CG658</f>
        <v>100</v>
      </c>
      <c r="CH659" s="98">
        <f t="shared" si="3874"/>
        <v>0</v>
      </c>
      <c r="CI659" s="182">
        <f>CI650+CI655+CI658</f>
        <v>100.00000000000001</v>
      </c>
      <c r="CJ659" s="98">
        <f t="shared" si="3875"/>
        <v>0</v>
      </c>
      <c r="CK659" s="182">
        <f>CK650+CK655+CK658</f>
        <v>100</v>
      </c>
      <c r="CL659" s="98">
        <f t="shared" si="3876"/>
        <v>-1.1102230246251565E-13</v>
      </c>
      <c r="CM659" s="182">
        <f>CM650+CM655+CM658</f>
        <v>100</v>
      </c>
      <c r="CN659" s="98">
        <f t="shared" si="3877"/>
        <v>0</v>
      </c>
      <c r="CO659" s="182">
        <f>CO650+CO655+CO658</f>
        <v>100</v>
      </c>
      <c r="CP659" s="98">
        <f t="shared" si="3878"/>
        <v>0</v>
      </c>
      <c r="CQ659" s="512">
        <f>CQ650+CQ655+CQ658</f>
        <v>99.999999999999986</v>
      </c>
      <c r="CR659" s="98">
        <f t="shared" si="3879"/>
        <v>-3.3306690738754696E-14</v>
      </c>
      <c r="CS659" s="182">
        <f>CS650+CS655+CS658</f>
        <v>100</v>
      </c>
      <c r="CT659" s="98">
        <f t="shared" si="3880"/>
        <v>0</v>
      </c>
      <c r="CU659" s="182">
        <f>CU650+CU655+CU658</f>
        <v>100.00000000000001</v>
      </c>
      <c r="CV659" s="98">
        <f t="shared" si="3881"/>
        <v>2.2204460492503131E-14</v>
      </c>
      <c r="CW659" s="182">
        <f>CW650+CW655+CW658</f>
        <v>100</v>
      </c>
      <c r="CX659" s="98">
        <f t="shared" si="3882"/>
        <v>0</v>
      </c>
      <c r="CY659" s="182">
        <f>CY650+CY655+CY658</f>
        <v>100</v>
      </c>
      <c r="CZ659" s="98">
        <f t="shared" si="3883"/>
        <v>2.2204460492503131E-14</v>
      </c>
      <c r="DA659" s="182">
        <f>DA650+DA655+DA658</f>
        <v>100</v>
      </c>
      <c r="DB659" s="98">
        <f t="shared" si="3884"/>
        <v>0</v>
      </c>
      <c r="DC659" s="182">
        <f>DC650+DC655+DC658</f>
        <v>100</v>
      </c>
      <c r="DD659" s="98">
        <f t="shared" si="3885"/>
        <v>-1.1102230246251565E-14</v>
      </c>
      <c r="DE659" s="182">
        <f>DE650+DE655+DE658</f>
        <v>100</v>
      </c>
      <c r="DF659" s="98">
        <f t="shared" si="3886"/>
        <v>0</v>
      </c>
      <c r="DG659" s="182">
        <f>DG650+DG655+DG658</f>
        <v>100.00000000000001</v>
      </c>
      <c r="DH659" s="98">
        <f t="shared" si="3887"/>
        <v>2.2204460492503131E-14</v>
      </c>
      <c r="DI659" s="182">
        <f>DI650+DI655+DI658</f>
        <v>100</v>
      </c>
      <c r="DJ659" s="98">
        <f t="shared" si="3888"/>
        <v>0</v>
      </c>
      <c r="DK659" s="182">
        <f>DK650+DK655+DK658</f>
        <v>100.00000000000001</v>
      </c>
      <c r="DL659" s="98">
        <f t="shared" si="3889"/>
        <v>2.2204460492503131E-14</v>
      </c>
      <c r="DM659" s="182">
        <f>DM650+DM655+DM658</f>
        <v>100</v>
      </c>
      <c r="DN659" s="98">
        <f t="shared" si="3890"/>
        <v>0</v>
      </c>
      <c r="DO659" s="182">
        <f>DO650+DO655+DO658</f>
        <v>100</v>
      </c>
      <c r="DP659" s="98">
        <f t="shared" si="3890"/>
        <v>-1.1102230246251565E-14</v>
      </c>
      <c r="DQ659" s="182">
        <f>DQ650+DQ655+DQ658</f>
        <v>100.00000000000003</v>
      </c>
      <c r="DR659" s="98">
        <f t="shared" si="3890"/>
        <v>2.2204460492503131E-14</v>
      </c>
      <c r="DS659" s="182">
        <f>DS650+DS655+DS658+DS656+DS657</f>
        <v>100</v>
      </c>
      <c r="DT659" s="98">
        <f t="shared" si="3890"/>
        <v>-1.1102230246251565E-14</v>
      </c>
      <c r="DU659" s="182">
        <f>DU650+DU655+DU658+DU656+DU657</f>
        <v>100</v>
      </c>
      <c r="DV659" s="98">
        <f t="shared" si="3890"/>
        <v>0</v>
      </c>
      <c r="DW659" s="182">
        <f>DW650+DW655+DW658+DW656+DW657</f>
        <v>100.00000000000001</v>
      </c>
      <c r="DX659" s="98">
        <f t="shared" si="3890"/>
        <v>2.2204460492503131E-14</v>
      </c>
      <c r="DY659" s="182">
        <f>DY650+DY655+DY658+DY656+DY657</f>
        <v>100</v>
      </c>
      <c r="DZ659" s="98">
        <f t="shared" si="3890"/>
        <v>-3.3306690738754696E-14</v>
      </c>
      <c r="EA659" s="182">
        <f>EA650+EA655+EA658+EA656+EA657</f>
        <v>100</v>
      </c>
      <c r="EB659" s="98">
        <f t="shared" si="3891"/>
        <v>0</v>
      </c>
      <c r="EC659" s="182">
        <f>EC650+EC655+EC658+EC656+EC657</f>
        <v>100.00000000000001</v>
      </c>
      <c r="ED659" s="98">
        <f t="shared" si="3892"/>
        <v>2.2204460492503131E-14</v>
      </c>
      <c r="EE659" s="182">
        <f>EE650+EE655+EE658+EE656+EE657</f>
        <v>100</v>
      </c>
      <c r="EF659" s="860">
        <f t="shared" si="3893"/>
        <v>-1.1102230246251565E-14</v>
      </c>
      <c r="EG659" s="182">
        <f>EG650+EG655+EG658+EG656+EG657</f>
        <v>100</v>
      </c>
      <c r="EH659" s="860">
        <f t="shared" si="3894"/>
        <v>0</v>
      </c>
      <c r="EI659" s="182">
        <f>EI650+EI655+EI658+EI656+EI657</f>
        <v>100.00000000000001</v>
      </c>
      <c r="EJ659" s="860">
        <f t="shared" si="3895"/>
        <v>2.2204460492503131E-14</v>
      </c>
      <c r="EK659" s="182">
        <f>EK650+EK655+EK658+EK656</f>
        <v>100</v>
      </c>
      <c r="EL659" s="860">
        <f t="shared" si="3896"/>
        <v>-1.1102230246251565E-14</v>
      </c>
      <c r="EM659" s="182">
        <f>EM650+EM655+EM658+EM656+EM657</f>
        <v>100</v>
      </c>
      <c r="EN659" s="860">
        <f t="shared" si="3897"/>
        <v>0</v>
      </c>
      <c r="EO659" s="182">
        <f>EO650+EO655+EO658+EO656+EO657</f>
        <v>100.00000000000003</v>
      </c>
      <c r="EP659" s="98">
        <f t="shared" si="3898"/>
        <v>2.2204460492503131E-14</v>
      </c>
      <c r="EQ659" s="1021">
        <f>EQ650+EQ655+EQ658+EQ656+EQ657</f>
        <v>99.999999999999986</v>
      </c>
      <c r="ER659" s="98">
        <f t="shared" si="3899"/>
        <v>-3.3306690738754696E-14</v>
      </c>
      <c r="ES659" s="1021">
        <f t="shared" ref="ES659" si="4034">ES650+ES655+ES658+ES656+ES657</f>
        <v>100</v>
      </c>
      <c r="ET659" s="98">
        <f t="shared" si="3851"/>
        <v>0</v>
      </c>
      <c r="EU659" s="1021">
        <f t="shared" ref="EU659" si="4035">EU650+EU655+EU658+EU656+EU657</f>
        <v>100</v>
      </c>
      <c r="EV659" s="98">
        <f t="shared" si="3853"/>
        <v>0</v>
      </c>
      <c r="EW659" s="1021">
        <f t="shared" ref="EW659" si="4036">EW650+EW655+EW658+EW656+EW657</f>
        <v>100.00000000000003</v>
      </c>
      <c r="EX659" s="98">
        <f t="shared" si="3855"/>
        <v>0</v>
      </c>
      <c r="EY659" s="182"/>
      <c r="EZ659" s="594"/>
      <c r="FA659" s="405"/>
      <c r="FB659" s="182"/>
      <c r="FC659" s="117"/>
      <c r="FD659" s="197"/>
      <c r="FE659" s="98"/>
      <c r="FF659" s="197"/>
      <c r="FG659" s="98"/>
      <c r="FH659" s="197"/>
      <c r="FI659" s="98"/>
      <c r="FJ659" s="197"/>
      <c r="FK659" s="98"/>
      <c r="FL659" s="197"/>
      <c r="FM659" s="98"/>
      <c r="FN659" s="197"/>
      <c r="FO659" s="98"/>
      <c r="FP659" s="197"/>
      <c r="FQ659" s="98"/>
      <c r="FR659" s="182">
        <f>FR650+FR655+FR658</f>
        <v>29.960218796618598</v>
      </c>
      <c r="FS659" s="98" t="str">
        <f t="shared" si="3903"/>
        <v>NA</v>
      </c>
      <c r="FT659" s="182">
        <f>FT650+FT655+FT658</f>
        <v>39.447182344118275</v>
      </c>
      <c r="FU659" s="98">
        <f t="shared" si="3904"/>
        <v>31.665201151903478</v>
      </c>
      <c r="FV659" s="182">
        <f>FV650+FV655+FV658</f>
        <v>31.111111111111107</v>
      </c>
      <c r="FW659" s="98">
        <f t="shared" si="3905"/>
        <v>-21.132234896493461</v>
      </c>
      <c r="FX659" s="512">
        <f>FX650+FX655+FX658</f>
        <v>99.999999999999943</v>
      </c>
      <c r="FY659" s="98" t="str">
        <f t="shared" si="3906"/>
        <v>NM</v>
      </c>
      <c r="FZ659" s="182">
        <f>FZ650+FZ655+FZ658</f>
        <v>99.999999999999986</v>
      </c>
      <c r="GA659" s="98">
        <f t="shared" si="3907"/>
        <v>4.4408920985006262E-14</v>
      </c>
      <c r="GB659" s="512">
        <f>GB650+GB655+GB658</f>
        <v>100</v>
      </c>
      <c r="GC659" s="98">
        <f t="shared" si="3908"/>
        <v>2.2204460492503131E-14</v>
      </c>
      <c r="GD659" s="182">
        <f>GD650+GD655+GD658</f>
        <v>100</v>
      </c>
      <c r="GE659" s="98">
        <f t="shared" si="3909"/>
        <v>0</v>
      </c>
      <c r="GF659" s="182">
        <f>GF650+GF655+GF658</f>
        <v>70.883915022761769</v>
      </c>
      <c r="GG659" s="98">
        <f t="shared" si="3909"/>
        <v>-29.116084977238231</v>
      </c>
      <c r="GH659" s="182">
        <f>GH650+GH655+GH658</f>
        <v>70.099232353491843</v>
      </c>
      <c r="GI659" s="98">
        <f t="shared" si="3909"/>
        <v>-1.106996797535742</v>
      </c>
      <c r="GJ659" s="182">
        <f>GJ650+GJ655+GJ658+GJ656+GJ657</f>
        <v>99.999999999999986</v>
      </c>
      <c r="GK659" s="98">
        <f t="shared" si="3909"/>
        <v>42.654914529914542</v>
      </c>
      <c r="GL659" s="182">
        <f>GL650+GL655+GL658+GL656+GL657</f>
        <v>100</v>
      </c>
      <c r="GM659" s="98">
        <f t="shared" si="3909"/>
        <v>2.2204460492503131E-14</v>
      </c>
      <c r="GN659" s="182">
        <f>GN650+GN655+GN658+GN656+GN657</f>
        <v>100.00000000000001</v>
      </c>
      <c r="GO659" s="98">
        <f t="shared" si="3909"/>
        <v>2.2204460492503131E-14</v>
      </c>
      <c r="GP659" s="182">
        <f>GP650+GP655+GP658+GP656+GP657</f>
        <v>100</v>
      </c>
      <c r="GQ659" s="98">
        <f t="shared" si="3909"/>
        <v>-1.1102230246251565E-14</v>
      </c>
      <c r="GR659" s="182">
        <f>GR650+GR655+GR658+GR656+GR657</f>
        <v>100</v>
      </c>
      <c r="GS659" s="98">
        <f t="shared" si="3909"/>
        <v>0</v>
      </c>
      <c r="GT659" s="182">
        <f>GT650+GT655+GT658+GT656+GT657</f>
        <v>100</v>
      </c>
      <c r="GU659" s="98">
        <f t="shared" si="3909"/>
        <v>0</v>
      </c>
      <c r="GV659" s="182">
        <f>GV650+GV655+GV658+GV656+GV657</f>
        <v>100</v>
      </c>
      <c r="GW659" s="98">
        <f t="shared" si="3909"/>
        <v>0</v>
      </c>
      <c r="GX659" s="182">
        <f>GX650+GX655+GX658+GX656+GX657</f>
        <v>100</v>
      </c>
      <c r="GY659" s="98">
        <f t="shared" si="3910"/>
        <v>0</v>
      </c>
      <c r="GZ659" s="98" t="str">
        <f>IF(ISERROR((#REF!/#REF!-1)*100),"NA",IF(((#REF!/#REF!-1)*100)&gt;100,"NM",IF(((#REF!/#REF!-1)*100)&lt;-50,"NM",(#REF!/#REF!-1)*100)))</f>
        <v>NA</v>
      </c>
      <c r="HA659" s="98"/>
      <c r="HB659" s="10"/>
      <c r="HC659"/>
      <c r="HD659"/>
      <c r="HE659"/>
      <c r="HF659"/>
      <c r="HG659"/>
      <c r="HH659"/>
      <c r="HI659" s="10"/>
    </row>
    <row r="660" spans="1:217" s="2" customFormat="1" ht="12.75" customHeight="1" x14ac:dyDescent="0.2">
      <c r="B660" s="10"/>
      <c r="C660" s="125"/>
      <c r="D660" s="98"/>
      <c r="E660" s="125"/>
      <c r="F660" s="98"/>
      <c r="G660" s="125"/>
      <c r="H660" s="98"/>
      <c r="I660" s="125"/>
      <c r="J660" s="233"/>
      <c r="K660" s="125"/>
      <c r="L660" s="233"/>
      <c r="M660" s="125"/>
      <c r="N660" s="233"/>
      <c r="O660" s="125"/>
      <c r="P660" s="233"/>
      <c r="Q660" s="125"/>
      <c r="R660" s="233"/>
      <c r="S660" s="125"/>
      <c r="T660" s="233"/>
      <c r="U660" s="125"/>
      <c r="V660" s="233"/>
      <c r="W660" s="125"/>
      <c r="X660" s="233"/>
      <c r="Y660" s="125"/>
      <c r="Z660" s="233"/>
      <c r="AA660" s="125"/>
      <c r="AB660" s="233"/>
      <c r="AC660" s="125"/>
      <c r="AD660" s="233"/>
      <c r="AE660" s="125"/>
      <c r="AF660" s="233"/>
      <c r="AG660" s="125"/>
      <c r="AH660" s="233"/>
      <c r="AI660" s="125"/>
      <c r="AJ660" s="233"/>
      <c r="AK660" s="125"/>
      <c r="AL660" s="233"/>
      <c r="AM660" s="125"/>
      <c r="AN660" s="233"/>
      <c r="AO660" s="125"/>
      <c r="AP660" s="233"/>
      <c r="AQ660" s="125"/>
      <c r="AR660" s="233"/>
      <c r="AS660" s="125"/>
      <c r="AT660" s="233"/>
      <c r="AU660" s="125"/>
      <c r="AV660" s="233"/>
      <c r="AW660" s="125"/>
      <c r="AX660" s="233"/>
      <c r="AY660" s="125"/>
      <c r="AZ660" s="233"/>
      <c r="BA660" s="125"/>
      <c r="BB660" s="233"/>
      <c r="BC660" s="125"/>
      <c r="BD660" s="233"/>
      <c r="BE660" s="125"/>
      <c r="BF660" s="233"/>
      <c r="BG660" s="125"/>
      <c r="BH660" s="233"/>
      <c r="BI660" s="125"/>
      <c r="BJ660" s="233"/>
      <c r="BK660" s="125"/>
      <c r="BL660" s="233"/>
      <c r="BM660" s="125"/>
      <c r="BN660" s="233"/>
      <c r="BO660" s="125"/>
      <c r="BP660" s="233"/>
      <c r="BQ660" s="125"/>
      <c r="BR660" s="233"/>
      <c r="BS660" s="125"/>
      <c r="BT660" s="233"/>
      <c r="BU660" s="125"/>
      <c r="BV660" s="233"/>
      <c r="BW660" s="125"/>
      <c r="BX660" s="233"/>
      <c r="BY660" s="125"/>
      <c r="BZ660" s="233"/>
      <c r="CA660" s="125"/>
      <c r="CB660" s="233"/>
      <c r="CC660" s="125"/>
      <c r="CD660" s="233"/>
      <c r="CE660" s="125"/>
      <c r="CF660" s="233"/>
      <c r="CG660" s="125"/>
      <c r="CH660" s="233"/>
      <c r="CI660" s="125"/>
      <c r="CJ660" s="233"/>
      <c r="CK660" s="125"/>
      <c r="CL660" s="233"/>
      <c r="CM660" s="125"/>
      <c r="CN660" s="233"/>
      <c r="CO660" s="125"/>
      <c r="CP660" s="233"/>
      <c r="CQ660" s="526"/>
      <c r="CR660" s="233"/>
      <c r="CS660" s="125"/>
      <c r="CT660" s="233"/>
      <c r="CU660" s="125"/>
      <c r="CV660" s="233"/>
      <c r="CW660" s="125"/>
      <c r="CX660" s="233"/>
      <c r="CY660" s="125"/>
      <c r="CZ660" s="233"/>
      <c r="DA660" s="125"/>
      <c r="DB660" s="233"/>
      <c r="DC660" s="125"/>
      <c r="DD660" s="233"/>
      <c r="DE660" s="125"/>
      <c r="DF660" s="233"/>
      <c r="DG660" s="125"/>
      <c r="DH660" s="233"/>
      <c r="DI660" s="125"/>
      <c r="DJ660" s="233"/>
      <c r="DK660" s="125"/>
      <c r="DL660" s="233"/>
      <c r="DM660" s="125"/>
      <c r="DN660" s="233"/>
      <c r="DO660" s="125"/>
      <c r="DP660" s="233"/>
      <c r="DQ660" s="125"/>
      <c r="DR660" s="233"/>
      <c r="DS660" s="125"/>
      <c r="DT660" s="233"/>
      <c r="DU660" s="125"/>
      <c r="DV660" s="233"/>
      <c r="DW660" s="125"/>
      <c r="DX660" s="233"/>
      <c r="DY660" s="125"/>
      <c r="DZ660" s="233"/>
      <c r="EA660" s="125"/>
      <c r="EB660" s="233"/>
      <c r="EC660" s="125"/>
      <c r="ED660" s="233"/>
      <c r="EE660" s="125"/>
      <c r="EF660" s="872"/>
      <c r="EG660" s="125"/>
      <c r="EH660" s="872"/>
      <c r="EI660" s="125"/>
      <c r="EJ660" s="872"/>
      <c r="EK660" s="125"/>
      <c r="EL660" s="872"/>
      <c r="EM660" s="125"/>
      <c r="EN660" s="872"/>
      <c r="EO660" s="125"/>
      <c r="EP660" s="233"/>
      <c r="EQ660" s="818"/>
      <c r="ER660" s="233"/>
      <c r="ES660" s="818"/>
      <c r="ET660" s="233"/>
      <c r="EU660" s="818"/>
      <c r="EV660" s="233"/>
      <c r="EW660" s="818"/>
      <c r="EX660" s="233"/>
      <c r="EY660" s="125"/>
      <c r="EZ660" s="594"/>
      <c r="FA660" s="411"/>
      <c r="FB660" s="242"/>
      <c r="FC660" s="233"/>
      <c r="FD660" s="125"/>
      <c r="FE660" s="233"/>
      <c r="FF660" s="125"/>
      <c r="FG660" s="233"/>
      <c r="FH660" s="125"/>
      <c r="FI660" s="233"/>
      <c r="FJ660" s="125"/>
      <c r="FK660" s="233"/>
      <c r="FL660" s="125"/>
      <c r="FM660" s="233"/>
      <c r="FN660" s="125"/>
      <c r="FO660" s="233"/>
      <c r="FP660" s="125"/>
      <c r="FQ660" s="233"/>
      <c r="FR660" s="125"/>
      <c r="FS660" s="233"/>
      <c r="FT660" s="125"/>
      <c r="FU660" s="233"/>
      <c r="FV660" s="125"/>
      <c r="FW660" s="233"/>
      <c r="FX660" s="526"/>
      <c r="FY660" s="233"/>
      <c r="FZ660" s="125"/>
      <c r="GA660" s="233"/>
      <c r="GB660" s="526"/>
      <c r="GC660" s="233"/>
      <c r="GD660" s="125"/>
      <c r="GE660" s="233"/>
      <c r="GF660" s="125"/>
      <c r="GG660" s="233"/>
      <c r="GH660" s="125"/>
      <c r="GI660" s="233"/>
      <c r="GJ660" s="125"/>
      <c r="GK660" s="233"/>
      <c r="GL660" s="125"/>
      <c r="GM660" s="233"/>
      <c r="GN660" s="125"/>
      <c r="GO660" s="233"/>
      <c r="GP660" s="125"/>
      <c r="GQ660" s="233"/>
      <c r="GR660" s="125"/>
      <c r="GS660" s="233"/>
      <c r="GT660" s="125"/>
      <c r="GU660" s="233"/>
      <c r="GV660" s="125"/>
      <c r="GW660" s="233"/>
      <c r="GX660" s="125"/>
      <c r="GY660" s="233"/>
      <c r="GZ660" s="233"/>
      <c r="HA660" s="233"/>
      <c r="HB660" s="10"/>
      <c r="HC660"/>
      <c r="HD660"/>
      <c r="HE660"/>
      <c r="HF660"/>
      <c r="HG660"/>
      <c r="HH660"/>
      <c r="HI660" s="10"/>
    </row>
    <row r="661" spans="1:217" s="708" customFormat="1" ht="12.75" customHeight="1" collapsed="1" x14ac:dyDescent="0.2">
      <c r="B661" s="709" t="s">
        <v>701</v>
      </c>
      <c r="C661" s="710"/>
      <c r="D661" s="710"/>
      <c r="E661" s="710"/>
      <c r="F661" s="710"/>
      <c r="G661" s="710"/>
      <c r="H661" s="710"/>
      <c r="I661" s="710"/>
      <c r="J661" s="710"/>
      <c r="K661" s="710"/>
      <c r="L661" s="710"/>
      <c r="M661" s="710"/>
      <c r="N661" s="710"/>
      <c r="O661" s="710"/>
      <c r="P661" s="710"/>
      <c r="Q661" s="710"/>
      <c r="R661" s="710"/>
      <c r="S661" s="710"/>
      <c r="T661" s="710"/>
      <c r="U661" s="710"/>
      <c r="V661" s="710"/>
      <c r="W661" s="710"/>
      <c r="X661" s="710"/>
      <c r="Y661" s="710"/>
      <c r="Z661" s="710"/>
      <c r="AA661" s="710"/>
      <c r="AB661" s="710"/>
      <c r="AC661" s="710"/>
      <c r="AD661" s="710"/>
      <c r="AE661" s="710"/>
      <c r="AF661" s="710"/>
      <c r="AG661" s="710"/>
      <c r="AH661" s="710"/>
      <c r="AI661" s="710"/>
      <c r="AJ661" s="710"/>
      <c r="AK661" s="710"/>
      <c r="AL661" s="710"/>
      <c r="AM661" s="710"/>
      <c r="AN661" s="710"/>
      <c r="AO661" s="710"/>
      <c r="AP661" s="710"/>
      <c r="AQ661" s="710"/>
      <c r="AR661" s="710"/>
      <c r="AS661" s="710"/>
      <c r="AT661" s="710"/>
      <c r="AU661" s="710"/>
      <c r="AV661" s="710"/>
      <c r="AW661" s="710"/>
      <c r="AX661" s="710"/>
      <c r="AY661" s="710"/>
      <c r="AZ661" s="710"/>
      <c r="BA661" s="710"/>
      <c r="BB661" s="710"/>
      <c r="BC661" s="710"/>
      <c r="BD661" s="710"/>
      <c r="BE661" s="710"/>
      <c r="BF661" s="710"/>
      <c r="BG661" s="710"/>
      <c r="BH661" s="710"/>
      <c r="BI661" s="710"/>
      <c r="BJ661" s="710"/>
      <c r="BK661" s="710"/>
      <c r="BL661" s="710"/>
      <c r="BM661" s="710"/>
      <c r="BN661" s="710"/>
      <c r="BO661" s="710"/>
      <c r="BP661" s="710"/>
      <c r="BQ661" s="710"/>
      <c r="BR661" s="710"/>
      <c r="BS661" s="711"/>
      <c r="BT661" s="710"/>
      <c r="BU661" s="711"/>
      <c r="BV661" s="710"/>
      <c r="BW661" s="711"/>
      <c r="BX661" s="710"/>
      <c r="BY661" s="711"/>
      <c r="BZ661" s="710"/>
      <c r="CA661" s="711"/>
      <c r="CB661" s="710"/>
      <c r="CC661" s="711"/>
      <c r="CD661" s="710"/>
      <c r="CE661" s="711"/>
      <c r="CF661" s="710"/>
      <c r="CG661" s="711"/>
      <c r="CH661" s="710"/>
      <c r="CI661" s="711"/>
      <c r="CJ661" s="710"/>
      <c r="CK661" s="711"/>
      <c r="CL661" s="710"/>
      <c r="CM661" s="711"/>
      <c r="CN661" s="710"/>
      <c r="CO661" s="711"/>
      <c r="CP661" s="710"/>
      <c r="CQ661" s="711"/>
      <c r="CR661" s="710"/>
      <c r="CS661" s="711"/>
      <c r="CT661" s="710"/>
      <c r="CU661" s="711"/>
      <c r="CV661" s="710"/>
      <c r="CW661" s="711"/>
      <c r="CX661" s="710"/>
      <c r="CY661" s="711"/>
      <c r="CZ661" s="710"/>
      <c r="DA661" s="711"/>
      <c r="DB661" s="710"/>
      <c r="DC661" s="711"/>
      <c r="DD661" s="710"/>
      <c r="DE661" s="711"/>
      <c r="DF661" s="710"/>
      <c r="DG661" s="711"/>
      <c r="DH661" s="710"/>
      <c r="DI661" s="711"/>
      <c r="DJ661" s="710"/>
      <c r="DK661" s="711"/>
      <c r="DL661" s="710"/>
      <c r="DM661" s="711"/>
      <c r="DN661" s="710"/>
      <c r="DO661" s="711"/>
      <c r="DP661" s="710"/>
      <c r="DQ661" s="711"/>
      <c r="DR661" s="710"/>
      <c r="DS661" s="711"/>
      <c r="DT661" s="710"/>
      <c r="DU661" s="711"/>
      <c r="DV661" s="710"/>
      <c r="DW661" s="711"/>
      <c r="DX661" s="710"/>
      <c r="DY661" s="711"/>
      <c r="DZ661" s="710"/>
      <c r="EA661" s="711"/>
      <c r="EB661" s="710"/>
      <c r="EC661" s="711"/>
      <c r="ED661" s="711"/>
      <c r="EE661" s="711"/>
      <c r="EF661" s="711"/>
      <c r="EG661" s="711"/>
      <c r="EH661" s="711"/>
      <c r="EI661" s="711"/>
      <c r="EJ661" s="711"/>
      <c r="EK661" s="711"/>
      <c r="EL661" s="711"/>
      <c r="EM661" s="711"/>
      <c r="EN661" s="711"/>
      <c r="EO661" s="711"/>
      <c r="EP661" s="710"/>
      <c r="EQ661" s="711"/>
      <c r="ER661" s="710"/>
      <c r="ES661" s="711"/>
      <c r="ET661" s="710"/>
      <c r="EU661" s="711"/>
      <c r="EV661" s="710"/>
      <c r="EW661" s="711"/>
      <c r="EX661" s="710"/>
      <c r="EY661" s="712"/>
      <c r="EZ661" s="713"/>
      <c r="FA661" s="714"/>
      <c r="FB661" s="711"/>
      <c r="FC661" s="710"/>
      <c r="FD661" s="711"/>
      <c r="FE661" s="710"/>
      <c r="FF661" s="712"/>
      <c r="FG661" s="710"/>
      <c r="FH661" s="712"/>
      <c r="FI661" s="710"/>
      <c r="FJ661" s="712"/>
      <c r="FK661" s="710"/>
      <c r="FL661" s="712"/>
      <c r="FM661" s="710"/>
      <c r="FN661" s="712"/>
      <c r="FO661" s="710"/>
      <c r="FP661" s="712"/>
      <c r="FQ661" s="710"/>
      <c r="FR661" s="712"/>
      <c r="FS661" s="715"/>
      <c r="FT661" s="712"/>
      <c r="FU661" s="715"/>
      <c r="FV661" s="712"/>
      <c r="FW661" s="710"/>
      <c r="FX661" s="716"/>
      <c r="FY661" s="710"/>
      <c r="FZ661" s="712"/>
      <c r="GA661" s="710"/>
      <c r="GB661" s="716"/>
      <c r="GC661" s="710"/>
      <c r="GD661" s="712"/>
      <c r="GE661" s="710"/>
      <c r="GF661" s="712"/>
      <c r="GG661" s="710"/>
      <c r="GH661" s="712"/>
      <c r="GI661" s="710"/>
      <c r="GJ661" s="712"/>
      <c r="GK661" s="710"/>
      <c r="GL661" s="712"/>
      <c r="GM661" s="710"/>
      <c r="GN661" s="712"/>
      <c r="GO661" s="710"/>
      <c r="GP661" s="712"/>
      <c r="GQ661" s="710"/>
      <c r="GR661" s="712"/>
      <c r="GS661" s="710"/>
      <c r="GT661" s="712"/>
      <c r="GU661" s="710"/>
      <c r="GV661" s="712"/>
      <c r="GW661" s="710"/>
      <c r="GX661" s="712"/>
      <c r="GY661" s="710"/>
      <c r="GZ661" s="710"/>
      <c r="HA661" s="710"/>
      <c r="HC661"/>
      <c r="HD661"/>
      <c r="HE661"/>
      <c r="HF661"/>
      <c r="HG661"/>
      <c r="HH661"/>
    </row>
    <row r="662" spans="1:217" s="2" customFormat="1" ht="12.75" customHeight="1" x14ac:dyDescent="0.2">
      <c r="C662" s="244"/>
      <c r="D662" s="113"/>
      <c r="E662" s="244"/>
      <c r="F662" s="113"/>
      <c r="G662" s="244"/>
      <c r="H662" s="113"/>
      <c r="I662" s="244"/>
      <c r="J662" s="113"/>
      <c r="K662" s="244"/>
      <c r="L662" s="113"/>
      <c r="M662" s="244"/>
      <c r="N662" s="113"/>
      <c r="O662" s="244"/>
      <c r="P662" s="113"/>
      <c r="Q662" s="244"/>
      <c r="R662" s="113"/>
      <c r="S662" s="244"/>
      <c r="T662" s="113"/>
      <c r="U662" s="244"/>
      <c r="V662" s="113"/>
      <c r="W662" s="244"/>
      <c r="X662" s="113"/>
      <c r="Y662" s="244"/>
      <c r="Z662" s="113"/>
      <c r="AA662" s="244"/>
      <c r="AB662" s="113"/>
      <c r="AC662" s="244"/>
      <c r="AD662" s="113"/>
      <c r="AE662" s="244"/>
      <c r="AF662" s="113"/>
      <c r="AG662" s="95"/>
      <c r="AH662" s="113"/>
      <c r="AI662" s="95"/>
      <c r="AJ662" s="113"/>
      <c r="AK662" s="95"/>
      <c r="AL662" s="113"/>
      <c r="AM662" s="95"/>
      <c r="AN662" s="113"/>
      <c r="AO662" s="95"/>
      <c r="AP662" s="113"/>
      <c r="AQ662" s="95"/>
      <c r="AR662" s="113"/>
      <c r="AS662" s="95"/>
      <c r="AT662" s="113"/>
      <c r="AU662" s="95"/>
      <c r="AV662" s="113"/>
      <c r="AW662" s="95"/>
      <c r="AX662" s="113"/>
      <c r="AY662" s="95"/>
      <c r="AZ662" s="113"/>
      <c r="BA662" s="95"/>
      <c r="BB662" s="113"/>
      <c r="BC662" s="95"/>
      <c r="BD662" s="113"/>
      <c r="BE662" s="95"/>
      <c r="BF662" s="113"/>
      <c r="BG662" s="95"/>
      <c r="BH662" s="113"/>
      <c r="BI662" s="95"/>
      <c r="BJ662" s="113"/>
      <c r="BK662" s="95"/>
      <c r="BL662" s="113"/>
      <c r="BM662" s="95"/>
      <c r="BN662" s="113"/>
      <c r="BO662" s="95"/>
      <c r="BP662" s="113"/>
      <c r="BQ662" s="95"/>
      <c r="BR662" s="113"/>
      <c r="BS662" s="95"/>
      <c r="BT662" s="113"/>
      <c r="BU662" s="95"/>
      <c r="BV662" s="113"/>
      <c r="BW662" s="95"/>
      <c r="BX662" s="113"/>
      <c r="BY662" s="95"/>
      <c r="BZ662" s="113"/>
      <c r="CA662" s="95"/>
      <c r="CB662" s="113"/>
      <c r="CC662" s="95"/>
      <c r="CD662" s="113"/>
      <c r="CE662" s="95"/>
      <c r="CF662" s="113"/>
      <c r="CG662" s="95"/>
      <c r="CH662" s="113"/>
      <c r="CI662" s="95"/>
      <c r="CJ662" s="113"/>
      <c r="CK662" s="95"/>
      <c r="CL662" s="113"/>
      <c r="CM662" s="95"/>
      <c r="CN662" s="113"/>
      <c r="CO662" s="95"/>
      <c r="CP662" s="113"/>
      <c r="CQ662" s="506"/>
      <c r="CR662" s="113"/>
      <c r="CS662" s="95"/>
      <c r="CT662" s="113"/>
      <c r="CU662" s="95"/>
      <c r="CV662" s="113"/>
      <c r="CW662" s="95"/>
      <c r="CX662" s="113"/>
      <c r="CY662" s="95"/>
      <c r="CZ662" s="113"/>
      <c r="DA662" s="95"/>
      <c r="DB662" s="113"/>
      <c r="DC662" s="95"/>
      <c r="DD662" s="113"/>
      <c r="DE662" s="95"/>
      <c r="DF662" s="113"/>
      <c r="DG662" s="95"/>
      <c r="DH662" s="113"/>
      <c r="DI662" s="95"/>
      <c r="DJ662" s="113"/>
      <c r="DK662" s="95"/>
      <c r="DL662" s="113"/>
      <c r="DM662" s="95"/>
      <c r="DN662" s="113"/>
      <c r="DO662" s="95"/>
      <c r="DP662" s="113"/>
      <c r="DQ662" s="95"/>
      <c r="DR662" s="113"/>
      <c r="DS662" s="95"/>
      <c r="DT662" s="113"/>
      <c r="DU662" s="95"/>
      <c r="DV662" s="113"/>
      <c r="DW662" s="95"/>
      <c r="DX662" s="113"/>
      <c r="DY662" s="95"/>
      <c r="DZ662" s="113"/>
      <c r="EA662" s="95"/>
      <c r="EB662" s="113"/>
      <c r="EC662" s="95"/>
      <c r="ED662" s="95"/>
      <c r="EE662" s="95"/>
      <c r="EF662" s="95"/>
      <c r="EG662" s="95"/>
      <c r="EH662" s="95"/>
      <c r="EI662" s="95"/>
      <c r="EJ662" s="95"/>
      <c r="EK662" s="95"/>
      <c r="EL662" s="95"/>
      <c r="EM662" s="95"/>
      <c r="EN662" s="95"/>
      <c r="EO662" s="95"/>
      <c r="EP662" s="113"/>
      <c r="EQ662" s="95"/>
      <c r="ER662" s="113"/>
      <c r="ES662" s="95"/>
      <c r="ET662" s="113"/>
      <c r="EU662" s="95"/>
      <c r="EV662" s="113"/>
      <c r="EW662" s="95"/>
      <c r="EX662" s="113"/>
      <c r="EY662" s="244"/>
      <c r="EZ662" s="594"/>
      <c r="FA662" s="405"/>
      <c r="FB662" s="244"/>
      <c r="FC662" s="113"/>
      <c r="FD662" s="244"/>
      <c r="FE662" s="113"/>
      <c r="FF662" s="244"/>
      <c r="FG662" s="113"/>
      <c r="FH662" s="244"/>
      <c r="FI662" s="113"/>
      <c r="FJ662" s="244"/>
      <c r="FK662" s="113"/>
      <c r="FL662" s="244"/>
      <c r="FM662" s="113"/>
      <c r="FN662" s="244"/>
      <c r="FO662" s="113"/>
      <c r="FP662" s="244"/>
      <c r="FQ662" s="113"/>
      <c r="FR662" s="245"/>
      <c r="FS662" s="116"/>
      <c r="FT662" s="245"/>
      <c r="FU662" s="116"/>
      <c r="FV662" s="245"/>
      <c r="FW662" s="113"/>
      <c r="FX662" s="480"/>
      <c r="FY662" s="113"/>
      <c r="FZ662" s="245"/>
      <c r="GA662" s="113"/>
      <c r="GB662" s="480"/>
      <c r="GC662" s="113"/>
      <c r="GD662" s="245"/>
      <c r="GE662" s="113"/>
      <c r="GF662" s="245"/>
      <c r="GG662" s="113"/>
      <c r="GH662" s="245"/>
      <c r="GI662" s="113"/>
      <c r="GJ662" s="245"/>
      <c r="GK662" s="113"/>
      <c r="GL662" s="245"/>
      <c r="GM662" s="113"/>
      <c r="GN662" s="245"/>
      <c r="GO662" s="113"/>
      <c r="GP662" s="245"/>
      <c r="GQ662" s="113"/>
      <c r="GR662" s="244"/>
      <c r="GS662" s="113"/>
      <c r="GT662" s="244"/>
      <c r="GU662" s="113"/>
      <c r="GV662" s="244"/>
      <c r="GW662" s="113"/>
      <c r="GX662" s="244"/>
      <c r="GY662" s="113"/>
      <c r="GZ662" s="113"/>
      <c r="HA662" s="113"/>
      <c r="HB662" s="10"/>
      <c r="HC662"/>
      <c r="HD662"/>
      <c r="HE662"/>
      <c r="HF662"/>
      <c r="HG662"/>
      <c r="HH662"/>
      <c r="HI662" s="10"/>
    </row>
    <row r="663" spans="1:217" s="2" customFormat="1" ht="12.75" customHeight="1" x14ac:dyDescent="0.2">
      <c r="A663" s="2" t="s">
        <v>531</v>
      </c>
      <c r="B663" s="18" t="s">
        <v>506</v>
      </c>
      <c r="C663" s="343">
        <v>0</v>
      </c>
      <c r="D663" s="98"/>
      <c r="E663" s="343">
        <v>0</v>
      </c>
      <c r="F663" s="98"/>
      <c r="G663" s="343">
        <v>0</v>
      </c>
      <c r="H663" s="98"/>
      <c r="I663" s="344">
        <v>0.2</v>
      </c>
      <c r="J663" s="98"/>
      <c r="K663" s="343">
        <v>0</v>
      </c>
      <c r="L663" s="98" t="str">
        <f>IF(ISERROR((K663/C663-1)*100),"NA",IF(((K663/C663-1)*100)&gt;100,"NM",IF(((K663/C663-1)*100)&lt;-50,"NM",(K663/C663-1)*100)))</f>
        <v>NA</v>
      </c>
      <c r="M663" s="343">
        <v>0</v>
      </c>
      <c r="N663" s="98" t="str">
        <f>IF(ISERROR((M663/E663-1)*100),"NA",IF(((M663/E663-1)*100)&gt;100,"NM",IF(((M663/E663-1)*100)&lt;-50,"NM",(M663/E663-1)*100)))</f>
        <v>NA</v>
      </c>
      <c r="O663" s="343">
        <v>0</v>
      </c>
      <c r="P663" s="98" t="str">
        <f>IF(ISERROR((O663/G663-1)*100),"NA",IF(((O663/G663-1)*100)&gt;100,"NM",IF(((O663/G663-1)*100)&lt;-50,"NM",(O663/G663-1)*100)))</f>
        <v>NA</v>
      </c>
      <c r="Q663" s="345">
        <v>0.2</v>
      </c>
      <c r="R663" s="98">
        <f>IF(ISERROR((Q663/I663-1)*100),"NA",IF(((Q663/I663-1)*100)&gt;100,"NM",IF(((Q663/I663-1)*100)&lt;-50,"NM",(Q663/I663-1)*100)))</f>
        <v>0</v>
      </c>
      <c r="S663" s="345">
        <v>0</v>
      </c>
      <c r="T663" s="98" t="str">
        <f>IF(ISERROR((S663/K663-1)*100),"NA",IF(((S663/K663-1)*100)&gt;100,"NM",IF(((S663/K663-1)*100)&lt;-50,"NM",(S663/K663-1)*100)))</f>
        <v>NA</v>
      </c>
      <c r="U663" s="345">
        <v>0</v>
      </c>
      <c r="V663" s="98" t="str">
        <f>IF(ISERROR((U663/M663-1)*100),"NA",IF(((U663/M663-1)*100)&gt;100,"NM",IF(((U663/M663-1)*100)&lt;-50,"NM",(U663/M663-1)*100)))</f>
        <v>NA</v>
      </c>
      <c r="W663" s="345">
        <v>0</v>
      </c>
      <c r="X663" s="98" t="str">
        <f>IF(ISERROR((W663/O663-1)*100),"NA",IF(((W663/O663-1)*100)&gt;100,"NM",IF(((W663/O663-1)*100)&lt;-50,"NM",(W663/O663-1)*100)))</f>
        <v>NA</v>
      </c>
      <c r="Y663" s="345">
        <v>0.21</v>
      </c>
      <c r="Z663" s="98">
        <f>IF(ISERROR((Y663/Q663-1)*100),"NA",IF(((Y663/Q663-1)*100)&gt;100,"NM",IF(((Y663/Q663-1)*100)&lt;-50,"NM",(Y663/Q663-1)*100)))</f>
        <v>4.9999999999999822</v>
      </c>
      <c r="AA663" s="345">
        <v>0</v>
      </c>
      <c r="AB663" s="98" t="str">
        <f>IF(ISERROR((AA663/S663-1)*100),"NA",IF(((AA663/S663-1)*100)&gt;100,"NM",IF(((AA663/S663-1)*100)&lt;-50,"NM",(AA663/S663-1)*100)))</f>
        <v>NA</v>
      </c>
      <c r="AC663" s="345">
        <v>0</v>
      </c>
      <c r="AD663" s="98" t="str">
        <f>IF(ISERROR((AC663/U663-1)*100),"NA",IF(((AC663/U663-1)*100)&gt;100,"NM",IF(((AC663/U663-1)*100)&lt;-50,"NM",(AC663/U663-1)*100)))</f>
        <v>NA</v>
      </c>
      <c r="AE663" s="345">
        <v>0</v>
      </c>
      <c r="AF663" s="98" t="str">
        <f>IF(ISERROR((AE663/W663-1)*100),"NA",IF(((AE663/W663-1)*100)&gt;100,"NM",IF(((AE663/W663-1)*100)&lt;-50,"NM",(AE663/W663-1)*100)))</f>
        <v>NA</v>
      </c>
      <c r="AG663" s="195">
        <v>0.23</v>
      </c>
      <c r="AH663" s="98">
        <f>IF(ISERROR((AG663/Y663-1)*100),"NA",IF(((AG663/Y663-1)*100)&gt;100,"NM",IF(((AG663/Y663-1)*100)&lt;-50,"NM",(AG663/Y663-1)*100)))</f>
        <v>9.5238095238095344</v>
      </c>
      <c r="AI663" s="195">
        <v>0</v>
      </c>
      <c r="AJ663" s="98" t="str">
        <f>IF(ISERROR((AI663/AA663-1)*100),"NA",IF(((AI663/AA663-1)*100)&gt;100,"NM",IF(((AI663/AA663-1)*100)&lt;-50,"NM",(AI663/AA663-1)*100)))</f>
        <v>NA</v>
      </c>
      <c r="AK663" s="195">
        <v>0</v>
      </c>
      <c r="AL663" s="98" t="str">
        <f>IF(ISERROR((AK663/AC663-1)*100),"NA",IF(((AK663/AC663-1)*100)&gt;100,"NM",IF(((AK663/AC663-1)*100)&lt;-50,"NM",(AK663/AC663-1)*100)))</f>
        <v>NA</v>
      </c>
      <c r="AM663" s="195">
        <v>0</v>
      </c>
      <c r="AN663" s="98" t="str">
        <f>IF(ISERROR((AM663/AE663-1)*100),"NA",IF(((AM663/AE663-1)*100)&gt;100,"NM",IF(((AM663/AE663-1)*100)&lt;-50,"NM",(AM663/AE663-1)*100)))</f>
        <v>NA</v>
      </c>
      <c r="AO663" s="195">
        <v>0.46</v>
      </c>
      <c r="AP663" s="98">
        <f>IF(ISERROR((AO663/AG663-1)*100),"NA",IF(((AO663/AG663-1)*100)&gt;100,"NM",IF(((AO663/AG663-1)*100)&lt;-50,"NM",(AO663/AG663-1)*100)))</f>
        <v>100</v>
      </c>
      <c r="AQ663" s="195">
        <v>0</v>
      </c>
      <c r="AR663" s="98" t="str">
        <f>IF(ISERROR((AQ663/AI663-1)*100),"NA",IF(((AQ663/AI663-1)*100)&gt;100,"NM",IF(((AQ663/AI663-1)*100)&lt;-50,"NM",(AQ663/AI663-1)*100)))</f>
        <v>NA</v>
      </c>
      <c r="AS663" s="195">
        <v>0</v>
      </c>
      <c r="AT663" s="98" t="str">
        <f>IF(ISERROR((AS663/AK663-1)*100),"NA",IF(((AS663/AK663-1)*100)&gt;100,"NM",IF(((AS663/AK663-1)*100)&lt;-50,"NM",(AS663/AK663-1)*100)))</f>
        <v>NA</v>
      </c>
      <c r="AU663" s="195">
        <v>0</v>
      </c>
      <c r="AV663" s="98" t="str">
        <f>IF(ISERROR((AU663/AM663-1)*100),"NA",IF(((AU663/AM663-1)*100)&gt;100,"NM",IF(((AU663/AM663-1)*100)&lt;-50,"NM",(AU663/AM663-1)*100)))</f>
        <v>NA</v>
      </c>
      <c r="AW663" s="195">
        <v>0.52</v>
      </c>
      <c r="AX663" s="98">
        <f>IF(ISERROR((AW663/AO663-1)*100),"NA",IF(((AW663/AO663-1)*100)&gt;100,"NM",IF(((AW663/AO663-1)*100)&lt;-50,"NM",(AW663/AO663-1)*100)))</f>
        <v>13.043478260869556</v>
      </c>
      <c r="AY663" s="218">
        <v>0</v>
      </c>
      <c r="AZ663" s="98" t="str">
        <f>IF(ISERROR((AY663/AQ663-1)*100),"NA",IF(((AY663/AQ663-1)*100)&gt;100,"NM",IF(((AY663/AQ663-1)*100)&lt;-50,"NM",(AY663/AQ663-1)*100)))</f>
        <v>NA</v>
      </c>
      <c r="BA663" s="218">
        <v>0</v>
      </c>
      <c r="BB663" s="98" t="str">
        <f>IF(ISERROR((BA663/AS663-1)*100),"NA",IF(((BA663/AS663-1)*100)&gt;100,"NM",IF(((BA663/AS663-1)*100)&lt;-50,"NM",(BA663/AS663-1)*100)))</f>
        <v>NA</v>
      </c>
      <c r="BC663" s="218">
        <v>0</v>
      </c>
      <c r="BD663" s="98" t="str">
        <f>IF(ISERROR((BC663/AU663-1)*100),"NA",IF(((BC663/AU663-1)*100)&gt;100,"NM",IF(((BC663/AU663-1)*100)&lt;-50,"NM",(BC663/AU663-1)*100)))</f>
        <v>NA</v>
      </c>
      <c r="BE663" s="218">
        <v>0.59</v>
      </c>
      <c r="BF663" s="98">
        <f>IF(ISERROR((BE663/AW663-1)*100),"NA",IF(((BE663/AW663-1)*100)&gt;100,"NM",IF(((BE663/AW663-1)*100)&lt;-50,"NM",(BE663/AW663-1)*100)))</f>
        <v>13.461538461538458</v>
      </c>
      <c r="BG663" s="218">
        <v>0</v>
      </c>
      <c r="BH663" s="98" t="str">
        <f>IF(ISERROR((BG663/AY663-1)*100),"NA",IF(((BG663/AY663-1)*100)&gt;100,"NM",IF(((BG663/AY663-1)*100)&lt;-50,"NM",(BG663/AY663-1)*100)))</f>
        <v>NA</v>
      </c>
      <c r="BI663" s="218">
        <v>0</v>
      </c>
      <c r="BJ663" s="98" t="str">
        <f>IF(ISERROR((BI663/BA663-1)*100),"NA",IF(((BI663/BA663-1)*100)&gt;100,"NM",IF(((BI663/BA663-1)*100)&lt;-50,"NM",(BI663/BA663-1)*100)))</f>
        <v>NA</v>
      </c>
      <c r="BK663" s="218">
        <v>0</v>
      </c>
      <c r="BL663" s="98" t="str">
        <f>IF(ISERROR((BK663/BC663-1)*100),"NA",IF(((BK663/BC663-1)*100)&gt;100,"NM",IF(((BK663/BC663-1)*100)&lt;-50,"NM",(BK663/BC663-1)*100)))</f>
        <v>NA</v>
      </c>
      <c r="BM663" s="218">
        <v>0.74</v>
      </c>
      <c r="BN663" s="98">
        <f>IF(ISERROR((BM663/BE663-1)*100),"NA",IF(((BM663/BE663-1)*100)&gt;100,"NM",IF(((BM663/BE663-1)*100)&lt;-50,"NM",(BM663/BE663-1)*100)))</f>
        <v>25.423728813559322</v>
      </c>
      <c r="BO663" s="218">
        <v>0</v>
      </c>
      <c r="BP663" s="98" t="str">
        <f>IF(ISERROR((BO663/BG663-1)*100),"NA",IF(((BO663/BG663-1)*100)&gt;100,"NM",IF(((BO663/BG663-1)*100)&lt;-50,"NM",(BO663/BG663-1)*100)))</f>
        <v>NA</v>
      </c>
      <c r="BQ663" s="218">
        <v>0</v>
      </c>
      <c r="BR663" s="98" t="str">
        <f>IF(ISERROR((BQ663/BI663-1)*100),"NA",IF(((BQ663/BI663-1)*100)&gt;100,"NM",IF(((BQ663/BI663-1)*100)&lt;-50,"NM",(BQ663/BI663-1)*100)))</f>
        <v>NA</v>
      </c>
      <c r="BS663" s="218">
        <v>0</v>
      </c>
      <c r="BT663" s="98" t="str">
        <f>IF(ISERROR((BS663/BK663-1)*100),"NA",IF(((BS663/BK663-1)*100)&gt;100,"NM",IF(((BS663/BK663-1)*100)&lt;-50,"NM",(BS663/BK663-1)*100)))</f>
        <v>NA</v>
      </c>
      <c r="BU663" s="218">
        <v>0.74</v>
      </c>
      <c r="BV663" s="98">
        <f>IF(ISERROR((BU663/BM663-1)*100),"NA",IF(((BU663/BM663-1)*100)&gt;100,"NM",IF(((BU663/BM663-1)*100)&lt;-50,"NM",(BU663/BM663-1)*100)))</f>
        <v>0</v>
      </c>
      <c r="BW663" s="218">
        <v>0</v>
      </c>
      <c r="BX663" s="98" t="str">
        <f>IF(ISERROR((BW663/BO663-1)*100),"NA",IF(((BW663/BO663-1)*100)&gt;100,"NM",IF(((BW663/BO663-1)*100)&lt;-50,"NM",(BW663/BO663-1)*100)))</f>
        <v>NA</v>
      </c>
      <c r="BY663" s="218">
        <v>0</v>
      </c>
      <c r="BZ663" s="98" t="str">
        <f>IF(ISERROR((BY663/BQ663-1)*100),"NA",IF(((BY663/BQ663-1)*100)&gt;100,"NM",IF(((BY663/BQ663-1)*100)&lt;-50,"NM",(BY663/BQ663-1)*100)))</f>
        <v>NA</v>
      </c>
      <c r="CA663" s="218">
        <v>0</v>
      </c>
      <c r="CB663" s="98" t="str">
        <f>IF(ISERROR((CA663/BS663-1)*100),"NA",IF(((CA663/BS663-1)*100)&gt;100,"NM",IF(((CA663/BS663-1)*100)&lt;-50,"NM",(CA663/BS663-1)*100)))</f>
        <v>NA</v>
      </c>
      <c r="CC663" s="218">
        <v>0.74</v>
      </c>
      <c r="CD663" s="98">
        <f>IF(ISERROR((CC663/BU663-1)*100),"NA",IF(((CC663/BU663-1)*100)&gt;100,"NM",IF(((CC663/BU663-1)*100)&lt;-50,"NM",(CC663/BU663-1)*100)))</f>
        <v>0</v>
      </c>
      <c r="CE663" s="218">
        <v>0</v>
      </c>
      <c r="CF663" s="98" t="str">
        <f>IF(ISERROR((CE663/BW663-1)*100),"NA",IF(((CE663/BW663-1)*100)&gt;100,"NM",IF(((CE663/BW663-1)*100)&lt;-50,"NM",(CE663/BW663-1)*100)))</f>
        <v>NA</v>
      </c>
      <c r="CG663" s="218">
        <v>0</v>
      </c>
      <c r="CH663" s="98" t="str">
        <f>IF(ISERROR((CG663/BY663-1)*100),"NA",IF(((CG663/BY663-1)*100)&gt;100,"NM",IF(((CG663/BY663-1)*100)&lt;-50,"NM",(CG663/BY663-1)*100)))</f>
        <v>NA</v>
      </c>
      <c r="CI663" s="218">
        <v>0</v>
      </c>
      <c r="CJ663" s="98" t="str">
        <f>IF(ISERROR((CI663/CA663-1)*100),"NA",IF(((CI663/CA663-1)*100)&gt;100,"NM",IF(((CI663/CA663-1)*100)&lt;-50,"NM",(CI663/CA663-1)*100)))</f>
        <v>NA</v>
      </c>
      <c r="CK663" s="39">
        <v>0.74</v>
      </c>
      <c r="CL663" s="98">
        <f>IF(ISERROR((CK663/CC663-1)*100),"NA",IF(((CK663/CC663-1)*100)&gt;100,"NM",IF(((CK663/CC663-1)*100)&lt;-50,"NM",(CK663/CC663-1)*100)))</f>
        <v>0</v>
      </c>
      <c r="CM663" s="39">
        <v>0</v>
      </c>
      <c r="CN663" s="98" t="str">
        <f>IF(ISERROR((CM663/CE663-1)*100),"NA",IF(((CM663/CE663-1)*100)&gt;100,"NM",IF(((CM663/CE663-1)*100)&lt;-50,"NM",(CM663/CE663-1)*100)))</f>
        <v>NA</v>
      </c>
      <c r="CO663" s="39">
        <v>0</v>
      </c>
      <c r="CP663" s="98" t="str">
        <f>IF(ISERROR((CO663/CG663-1)*100),"NA",IF(((CO663/CG663-1)*100)&gt;100,"NM",IF(((CO663/CG663-1)*100)&lt;-50,"NM",(CO663/CG663-1)*100)))</f>
        <v>NA</v>
      </c>
      <c r="CQ663" s="568">
        <v>0</v>
      </c>
      <c r="CR663" s="98" t="str">
        <f>IF(ISERROR((CQ663/CI663-1)*100),"NA",IF(((CQ663/CI663-1)*100)&gt;100,"NM",IF(((CQ663/CI663-1)*100)&lt;-50,"NM",(CQ663/CI663-1)*100)))</f>
        <v>NA</v>
      </c>
      <c r="CS663" s="39">
        <v>0.74</v>
      </c>
      <c r="CT663" s="98">
        <f>IF(ISERROR((CS663/CK663-1)*100),"NA",IF(((CS663/CK663-1)*100)&gt;100,"NM",IF(((CS663/CK663-1)*100)&lt;-50,"NM",(CS663/CK663-1)*100)))</f>
        <v>0</v>
      </c>
      <c r="CU663" s="39">
        <v>0</v>
      </c>
      <c r="CV663" s="98" t="str">
        <f>IF(ISERROR((CU663/CM663-1)*100),"NA",IF(((CU663/CM663-1)*100)&gt;100,"NM",IF(((CU663/CM663-1)*100)&lt;-50,"NM",(CU663/CM663-1)*100)))</f>
        <v>NA</v>
      </c>
      <c r="CW663" s="39">
        <v>0</v>
      </c>
      <c r="CX663" s="98" t="str">
        <f>IF(ISERROR((CW663/CO663-1)*100),"NA",IF(((CW663/CO663-1)*100)&gt;100,"NM",IF(((CW663/CO663-1)*100)&lt;-50,"NM",(CW663/CO663-1)*100)))</f>
        <v>NA</v>
      </c>
      <c r="CY663" s="39">
        <v>0</v>
      </c>
      <c r="CZ663" s="98" t="str">
        <f>IF(ISERROR((CY663/CQ663-1)*100),"NA",IF(((CY663/CQ663-1)*100)&gt;100,"NM",IF(((CY663/CQ663-1)*100)&lt;-50,"NM",(CY663/CQ663-1)*100)))</f>
        <v>NA</v>
      </c>
      <c r="DA663" s="39">
        <v>0.74</v>
      </c>
      <c r="DB663" s="98">
        <f>IF(ISERROR((DA663/CS663-1)*100),"NA",IF(((DA663/CS663-1)*100)&gt;100,"NM",IF(((DA663/CS663-1)*100)&lt;-50,"NM",(DA663/CS663-1)*100)))</f>
        <v>0</v>
      </c>
      <c r="DC663" s="39">
        <v>0.185</v>
      </c>
      <c r="DD663" s="98" t="str">
        <f>IF(ISERROR((DC663/CU663-1)*100),"NA",IF(((DC663/CU663-1)*100)&gt;100,"NM",IF(((DC663/CU663-1)*100)&lt;-50,"NM",(DC663/CU663-1)*100)))</f>
        <v>NA</v>
      </c>
      <c r="DE663" s="39">
        <v>0.27500000000000002</v>
      </c>
      <c r="DF663" s="98" t="str">
        <f>IF(ISERROR((DE663/CW663-1)*100),"NA",IF(((DE663/CW663-1)*100)&gt;100,"NM",IF(((DE663/CW663-1)*100)&lt;-50,"NM",(DE663/CW663-1)*100)))</f>
        <v>NA</v>
      </c>
      <c r="DG663" s="39">
        <v>0.27500000000000002</v>
      </c>
      <c r="DH663" s="98" t="str">
        <f>IF(ISERROR((DG663/CY663-1)*100),"NA",IF(((DG663/CY663-1)*100)&gt;100,"NM",IF(((DG663/CY663-1)*100)&lt;-50,"NM",(DG663/CY663-1)*100)))</f>
        <v>NA</v>
      </c>
      <c r="DI663" s="39">
        <v>0.27500000000000002</v>
      </c>
      <c r="DJ663" s="98" t="str">
        <f>IF(ISERROR((DI663/DA663-1)*100),"NA",IF(((DI663/DA663-1)*100)&gt;100,"NM",IF(((DI663/DA663-1)*100)&lt;-50,"NM",(DI663/DA663-1)*100)))</f>
        <v>NM</v>
      </c>
      <c r="DK663" s="39">
        <v>0.27500000000000002</v>
      </c>
      <c r="DL663" s="98">
        <f>IF(ISERROR((DK663/DC663-1)*100),"NA",IF(((DK663/DC663-1)*100)&gt;100,"NM",IF(((DK663/DC663-1)*100)&lt;-50,"NM",(DK663/DC663-1)*100)))</f>
        <v>48.64864864864866</v>
      </c>
      <c r="DM663" s="39">
        <v>0.35</v>
      </c>
      <c r="DN663" s="98">
        <f>IF(ISERROR((DM663/DE663-1)*100),"NA",IF(((DM663/DE663-1)*100)&gt;100,"NM",IF(((DM663/DE663-1)*100)&lt;-50,"NM",(DM663/DE663-1)*100)))</f>
        <v>27.272727272727249</v>
      </c>
      <c r="DO663" s="39">
        <v>0.35</v>
      </c>
      <c r="DP663" s="98">
        <f>IF(ISERROR((DO663/DG663-1)*100),"NA",IF(((DO663/DG663-1)*100)&gt;100,"NM",IF(((DO663/DG663-1)*100)&lt;-50,"NM",(DO663/DG663-1)*100)))</f>
        <v>27.272727272727249</v>
      </c>
      <c r="DQ663" s="39">
        <v>0.35</v>
      </c>
      <c r="DR663" s="98">
        <f>IF(ISERROR((DQ663/DI663-1)*100),"NA",IF(((DQ663/DI663-1)*100)&gt;100,"NM",IF(((DQ663/DI663-1)*100)&lt;-50,"NM",(DQ663/DI663-1)*100)))</f>
        <v>27.272727272727249</v>
      </c>
      <c r="DS663" s="39">
        <v>0.375</v>
      </c>
      <c r="DT663" s="98">
        <f>IF(ISERROR((DS663/DK663-1)*100),"NA",IF(((DS663/DK663-1)*100)&gt;100,"NM",IF(((DS663/DK663-1)*100)&lt;-50,"NM",(DS663/DK663-1)*100)))</f>
        <v>36.363636363636353</v>
      </c>
      <c r="DU663" s="39">
        <v>0.375</v>
      </c>
      <c r="DV663" s="98">
        <f>IF(ISERROR((DU663/DM663-1)*100),"NA",IF(((DU663/DM663-1)*100)&gt;100,"NM",IF(((DU663/DM663-1)*100)&lt;-50,"NM",(DU663/DM663-1)*100)))</f>
        <v>7.1428571428571397</v>
      </c>
      <c r="DW663" s="39">
        <v>0.375</v>
      </c>
      <c r="DX663" s="98">
        <f>IF(ISERROR((DW663/DO663-1)*100),"NA",IF(((DW663/DO663-1)*100)&gt;100,"NM",IF(((DW663/DO663-1)*100)&lt;-50,"NM",(DW663/DO663-1)*100)))</f>
        <v>7.1428571428571397</v>
      </c>
      <c r="DY663" s="39">
        <v>0.375</v>
      </c>
      <c r="DZ663" s="98">
        <f>IF(ISERROR((DY663/DQ663-1)*100),"NA",IF(((DY663/DQ663-1)*100)&gt;100,"NM",IF(((DY663/DQ663-1)*100)&lt;-50,"NM",(DY663/DQ663-1)*100)))</f>
        <v>7.1428571428571397</v>
      </c>
      <c r="EA663" s="39">
        <v>0.375</v>
      </c>
      <c r="EB663" s="98">
        <f>IF(ISERROR((EA663/DS663-1)*100),"NA",IF(((EA663/DS663-1)*100)&gt;100,"NM",IF(((EA663/DS663-1)*100)&lt;-50,"NM",(EA663/DS663-1)*100)))</f>
        <v>0</v>
      </c>
      <c r="EC663" s="39">
        <v>0.375</v>
      </c>
      <c r="ED663" s="98">
        <f>IF(ISERROR((EC663/DU663-1)*100),"NA",IF(((EC663/DU663-1)*100)&gt;100,"NM",IF(((EC663/DU663-1)*100)&lt;-50,"NM",(EC663/DU663-1)*100)))</f>
        <v>0</v>
      </c>
      <c r="EE663" s="39">
        <v>0.375</v>
      </c>
      <c r="EF663" s="860">
        <f>IF(ISERROR((EE663/DW663-1)*100),"NA",IF(((EE663/DW663-1)*100)&gt;100,"NM",IF(((EE663/DW663-1)*100)&lt;-50,"NM",(EE663/DW663-1)*100)))</f>
        <v>0</v>
      </c>
      <c r="EG663" s="1014">
        <v>0.4</v>
      </c>
      <c r="EH663" s="860">
        <f>IF(ISERROR((EG663/DY663-1)*100),"NA",IF(((EG663/DY663-1)*100)&gt;100,"NM",IF(((EG663/DY663-1)*100)&lt;-50,"NM",(EG663/DY663-1)*100)))</f>
        <v>6.6666666666666652</v>
      </c>
      <c r="EI663" s="1014">
        <v>0.4</v>
      </c>
      <c r="EJ663" s="860">
        <f t="shared" ref="EJ663:EJ665" si="4037">IF(ISERROR((EI663/EA663-1)*100),"NA",IF(((EI663/EA663-1)*100)&gt;100,"NM",IF(((EI663/EA663-1)*100)&lt;-50,"NM",(EI663/EA663-1)*100)))</f>
        <v>6.6666666666666652</v>
      </c>
      <c r="EK663" s="1014">
        <v>0.4</v>
      </c>
      <c r="EL663" s="860">
        <f t="shared" ref="EL663:EL665" si="4038">IF(ISERROR((EK663/EC663-1)*100),"NA",IF(((EK663/EC663-1)*100)&gt;100,"NM",IF(((EK663/EC663-1)*100)&lt;-50,"NM",(EK663/EC663-1)*100)))</f>
        <v>6.6666666666666652</v>
      </c>
      <c r="EM663" s="1014">
        <v>0.4</v>
      </c>
      <c r="EN663" s="860">
        <f t="shared" ref="EN663:EN665" si="4039">IF(ISERROR((EM663/EE663-1)*100),"NA",IF(((EM663/EE663-1)*100)&gt;100,"NM",IF(((EM663/EE663-1)*100)&lt;-50,"NM",(EM663/EE663-1)*100)))</f>
        <v>6.6666666666666652</v>
      </c>
      <c r="EO663" s="1014">
        <v>0.4</v>
      </c>
      <c r="EP663" s="98">
        <f t="shared" ref="EP663:EP665" si="4040">IF(ISERROR((EO663/EG663-1)*100),"NA",IF(((EO663/EG663-1)*100)&gt;100,"NM",IF(((EO663/EG663-1)*100)&lt;-50,"NM",(EO663/EG663-1)*100)))</f>
        <v>0</v>
      </c>
      <c r="EQ663" s="1014">
        <f t="shared" ref="EQ663" si="4041">EO663</f>
        <v>0.4</v>
      </c>
      <c r="ER663" s="98">
        <f t="shared" ref="ER663:ER665" si="4042">IF(ISERROR((EQ663/EI663-1)*100),"NA",IF(((EQ663/EI663-1)*100)&gt;100,"NM",IF(((EQ663/EI663-1)*100)&lt;-50,"NM",(EQ663/EI663-1)*100)))</f>
        <v>0</v>
      </c>
      <c r="ES663" s="1014">
        <f t="shared" ref="ES663" si="4043">EQ663</f>
        <v>0.4</v>
      </c>
      <c r="ET663" s="98">
        <f t="shared" ref="ET663:ET665" si="4044">IF(ISERROR((ES663/EK663-1)*100),"NA",IF(((ES663/EK663-1)*100)&gt;100,"NM",IF(((ES663/EK663-1)*100)&lt;-50,"NM",(ES663/EK663-1)*100)))</f>
        <v>0</v>
      </c>
      <c r="EU663" s="1014">
        <f t="shared" ref="EU663" si="4045">ES663</f>
        <v>0.4</v>
      </c>
      <c r="EV663" s="98">
        <f t="shared" ref="EV663:EV665" si="4046">IF(ISERROR((EU663/EM663-1)*100),"NA",IF(((EU663/EM663-1)*100)&gt;100,"NM",IF(((EU663/EM663-1)*100)&lt;-50,"NM",(EU663/EM663-1)*100)))</f>
        <v>0</v>
      </c>
      <c r="EW663" s="1014">
        <f>EU663*1.075</f>
        <v>0.43</v>
      </c>
      <c r="EX663" s="98">
        <f t="shared" ref="EX663:EX665" si="4047">IF(ISERROR((EW663/EO663-1)*100),"NA",IF(((EW663/EO663-1)*100)&gt;100,"NM",IF(((EW663/EO663-1)*100)&lt;-50,"NM",(EW663/EO663-1)*100)))</f>
        <v>7.4999999999999956</v>
      </c>
      <c r="EY663" s="345"/>
      <c r="EZ663" s="594"/>
      <c r="FA663" s="405"/>
      <c r="FB663" s="244"/>
      <c r="FC663" s="98"/>
      <c r="FD663" s="244"/>
      <c r="FE663" s="98"/>
      <c r="FF663" s="35">
        <v>0.2</v>
      </c>
      <c r="FG663" s="98" t="str">
        <f>IF(ISERROR((FF663/FD663-1)*100),"NA",IF(((FF663/FD663-1)*100)&gt;100,"NM",IF(((FF663/FD663-1)*100)&lt;-50,"NM",(FF663/FD663-1)*100)))</f>
        <v>NA</v>
      </c>
      <c r="FH663" s="35">
        <f>(K663+M663+O663+Q663)</f>
        <v>0.2</v>
      </c>
      <c r="FI663" s="98">
        <f>IF(ISERROR((FH663/FF663-1)*100),"NA",IF(((FH663/FF663-1)*100)&gt;100,"NM",IF(((FH663/FF663-1)*100)&lt;-50,"NM",(FH663/FF663-1)*100)))</f>
        <v>0</v>
      </c>
      <c r="FJ663" s="35">
        <v>0.21</v>
      </c>
      <c r="FK663" s="98">
        <f>IF(ISERROR((FJ663/FH663-1)*100),"NA",IF(((FJ663/FH663-1)*100)&gt;100,"NM",IF(((FJ663/FH663-1)*100)&lt;-50,"NM",(FJ663/FH663-1)*100)))</f>
        <v>4.9999999999999822</v>
      </c>
      <c r="FL663" s="35">
        <f>+AG663</f>
        <v>0.23</v>
      </c>
      <c r="FM663" s="98">
        <f>IF(ISERROR((FL663/FJ663-1)*100),"NA",IF(((FL663/FJ663-1)*100)&gt;100,"NM",IF(((FL663/FJ663-1)*100)&lt;-50,"NM",(FL663/FJ663-1)*100)))</f>
        <v>9.5238095238095344</v>
      </c>
      <c r="FN663" s="35">
        <f>+AO663</f>
        <v>0.46</v>
      </c>
      <c r="FO663" s="98">
        <f>IF(ISERROR((FN663/FL663-1)*100),"NA",IF(((FN663/FL663-1)*100)&gt;100,"NM",IF(((FN663/FL663-1)*100)&lt;-50,"NM",(FN663/FL663-1)*100)))</f>
        <v>100</v>
      </c>
      <c r="FP663" s="35">
        <f>+AW663</f>
        <v>0.52</v>
      </c>
      <c r="FQ663" s="98">
        <f>IF(ISERROR((FP663/FN663-1)*100),"NA",IF(((FP663/FN663-1)*100)&gt;100,"NM",IF(((FP663/FN663-1)*100)&lt;-50,"NM",(FP663/FN663-1)*100)))</f>
        <v>13.043478260869556</v>
      </c>
      <c r="FR663" s="346">
        <v>0.59</v>
      </c>
      <c r="FS663" s="120">
        <f>IF(ISERROR((FR663/FP663-1)*100),"NA",IF(((FR663/FP663-1)*100)&gt;100,"NM",IF(((FR663/FP663-1)*100)&lt;-50,"NM",(FR663/FP663-1)*100)))</f>
        <v>13.461538461538458</v>
      </c>
      <c r="FT663" s="346">
        <f>BM663</f>
        <v>0.74</v>
      </c>
      <c r="FU663" s="120">
        <f>IF(ISERROR((FT663/FR663-1)*100),"NA",IF(((FT663/FR663-1)*100)&gt;100,"NM",IF(((FT663/FR663-1)*100)&lt;-50,"NM",(FT663/FR663-1)*100)))</f>
        <v>25.423728813559322</v>
      </c>
      <c r="FV663" s="346">
        <f>BU663</f>
        <v>0.74</v>
      </c>
      <c r="FW663" s="98">
        <f>IF(ISERROR((FV663/FT663-1)*100),"NA",IF(((FV663/FT663-1)*100)&gt;100,"NM",IF(((FV663/FT663-1)*100)&lt;-50,"NM",(FV663/FT663-1)*100)))</f>
        <v>0</v>
      </c>
      <c r="FX663" s="501">
        <f>CC663</f>
        <v>0.74</v>
      </c>
      <c r="FY663" s="98">
        <f>IF(ISERROR((FX663/FV663-1)*100),"NA",IF(((FX663/FV663-1)*100)&gt;100,"NM",IF(((FX663/FV663-1)*100)&lt;-50,"NM",(FX663/FV663-1)*100)))</f>
        <v>0</v>
      </c>
      <c r="FZ663" s="346">
        <f>CK663</f>
        <v>0.74</v>
      </c>
      <c r="GA663" s="98">
        <f>IF(ISERROR((FZ663/FX663-1)*100),"NA",IF(((FZ663/FX663-1)*100)&gt;100,"NM",IF(((FZ663/FX663-1)*100)&lt;-50,"NM",(FZ663/FX663-1)*100)))</f>
        <v>0</v>
      </c>
      <c r="GB663" s="501">
        <f>CS663</f>
        <v>0.74</v>
      </c>
      <c r="GC663" s="98">
        <f>IF(ISERROR((GB663/FZ663-1)*100),"NA",IF(((GB663/FZ663-1)*100)&gt;100,"NM",IF(((GB663/FZ663-1)*100)&lt;-50,"NM",(GB663/FZ663-1)*100)))</f>
        <v>0</v>
      </c>
      <c r="GD663" s="347">
        <f>DA663</f>
        <v>0.74</v>
      </c>
      <c r="GE663" s="98">
        <f>IF(ISERROR((GD663/GB663-1)*100),"NA",IF(((GD663/GB663-1)*100)&gt;100,"NM",IF(((GD663/GB663-1)*100)&lt;-50,"NM",(GD663/GB663-1)*100)))</f>
        <v>0</v>
      </c>
      <c r="GF663" s="347">
        <f>DC663+DE663+DG663+DI663</f>
        <v>1.0100000000000002</v>
      </c>
      <c r="GG663" s="98">
        <f>IF(ISERROR((GF663/GD663-1)*100),"NA",IF(((GF663/GD663-1)*100)&gt;100,"NM",IF(((GF663/GD663-1)*100)&lt;-50,"NM",(GF663/GD663-1)*100)))</f>
        <v>36.486486486486513</v>
      </c>
      <c r="GH663" s="347">
        <f>DK663+DM663+DO663+DQ663</f>
        <v>1.325</v>
      </c>
      <c r="GI663" s="98">
        <f>IF(ISERROR((GH663/GF663-1)*100),"NA",IF(((GH663/GF663-1)*100)&gt;100,"NM",IF(((GH663/GF663-1)*100)&lt;-50,"NM",(GH663/GF663-1)*100)))</f>
        <v>31.18811881188115</v>
      </c>
      <c r="GJ663" s="347">
        <f>DS663+DU663+DW663+DY663</f>
        <v>1.5</v>
      </c>
      <c r="GK663" s="98">
        <f>IF(ISERROR((GJ663/GH663-1)*100),"NA",IF(((GJ663/GH663-1)*100)&gt;100,"NM",IF(((GJ663/GH663-1)*100)&lt;-50,"NM",(GJ663/GH663-1)*100)))</f>
        <v>13.207547169811317</v>
      </c>
      <c r="GL663" s="347">
        <f>EA663+EC663+EE663+EG663</f>
        <v>1.5249999999999999</v>
      </c>
      <c r="GM663" s="98">
        <f>IF(ISERROR((GL663/GJ663-1)*100),"NA",IF(((GL663/GJ663-1)*100)&gt;100,"NM",IF(((GL663/GJ663-1)*100)&lt;-50,"NM",(GL663/GJ663-1)*100)))</f>
        <v>1.6666666666666607</v>
      </c>
      <c r="GN663" s="347">
        <f>EI663+EK663+EM663+EO663</f>
        <v>1.6</v>
      </c>
      <c r="GO663" s="98">
        <f>IF(ISERROR((GN663/GL663-1)*100),"NA",IF(((GN663/GL663-1)*100)&gt;100,"NM",IF(((GN663/GL663-1)*100)&lt;-50,"NM",(GN663/GL663-1)*100)))</f>
        <v>4.9180327868852514</v>
      </c>
      <c r="GP663" s="347">
        <f>EQ663+ES663+EU663+EW663</f>
        <v>1.6300000000000001</v>
      </c>
      <c r="GQ663" s="98">
        <f>IF(ISERROR((GP663/GN663-1)*100),"NA",IF(((GP663/GN663-1)*100)&gt;100,"NM",IF(((GP663/GN663-1)*100)&lt;-50,"NM",(GP663/GN663-1)*100)))</f>
        <v>1.8750000000000044</v>
      </c>
      <c r="GR663" s="345">
        <f>GP663*1.09</f>
        <v>1.7767000000000002</v>
      </c>
      <c r="GS663" s="98">
        <f>IF(ISERROR((GR663/GP663-1)*100),"NA",IF(((GR663/GP663-1)*100)&gt;100,"NM",IF(((GR663/GP663-1)*100)&lt;-50,"NM",(GR663/GP663-1)*100)))</f>
        <v>9.0000000000000071</v>
      </c>
      <c r="GT663" s="345">
        <f>GR663*1.1</f>
        <v>1.9543700000000004</v>
      </c>
      <c r="GU663" s="98">
        <f>IF(ISERROR((GT663/GR663-1)*100),"NA",IF(((GT663/GR663-1)*100)&gt;100,"NM",IF(((GT663/GR663-1)*100)&lt;-50,"NM",(GT663/GR663-1)*100)))</f>
        <v>10.000000000000009</v>
      </c>
      <c r="GV663" s="345">
        <f>GT663*1.1</f>
        <v>2.1498070000000005</v>
      </c>
      <c r="GW663" s="98">
        <f>IF(ISERROR((GV663/GT663-1)*100),"NA",IF(((GV663/GT663-1)*100)&gt;100,"NM",IF(((GV663/GT663-1)*100)&lt;-50,"NM",(GV663/GT663-1)*100)))</f>
        <v>10.000000000000009</v>
      </c>
      <c r="GX663" s="345">
        <f>GV663*1.1</f>
        <v>2.3647877000000008</v>
      </c>
      <c r="GY663" s="98">
        <f>IF(ISERROR((GX663/GV663-1)*100),"NA",IF(((GX663/GV663-1)*100)&gt;100,"NM",IF(((GX663/GV663-1)*100)&lt;-50,"NM",(GX663/GV663-1)*100)))</f>
        <v>10.000000000000009</v>
      </c>
      <c r="GZ663" s="98">
        <f>IF(ISERROR(((GX663/GN663)^0.2-1)*100),"NA",IF((((GX663/GN663)^0.2-1)*100)&gt;100,"NM",IF((((GX663/GN663)^0.2-1)*100)&lt;-50,"NM",((GX663/GN663)^0.2-1)*100)))</f>
        <v>8.1270700709339181</v>
      </c>
      <c r="HA663" s="98"/>
      <c r="HB663" s="10"/>
      <c r="HC663"/>
      <c r="HD663"/>
      <c r="HE663"/>
      <c r="HF663"/>
      <c r="HG663"/>
      <c r="HH663"/>
      <c r="HI663" s="10"/>
    </row>
    <row r="664" spans="1:217" s="2" customFormat="1" ht="12.75" customHeight="1" x14ac:dyDescent="0.2">
      <c r="A664" s="2" t="s">
        <v>303</v>
      </c>
      <c r="B664" s="18" t="s">
        <v>507</v>
      </c>
      <c r="C664" s="348">
        <v>0</v>
      </c>
      <c r="D664" s="98"/>
      <c r="E664" s="348">
        <v>0</v>
      </c>
      <c r="F664" s="98"/>
      <c r="G664" s="348">
        <v>0</v>
      </c>
      <c r="H664" s="98"/>
      <c r="I664" s="125">
        <f>+I663/I690*100</f>
        <v>26.666666666666668</v>
      </c>
      <c r="J664" s="98"/>
      <c r="K664" s="35">
        <v>0</v>
      </c>
      <c r="L664" s="98" t="str">
        <f>IF(ISERROR((K664/C664-1)*100),"NA",IF(((K664/C664-1)*100)&gt;100,"NM",IF(((K664/C664-1)*100)&lt;-50,"NM",(K664/C664-1)*100)))</f>
        <v>NA</v>
      </c>
      <c r="M664" s="35">
        <v>0</v>
      </c>
      <c r="N664" s="98" t="str">
        <f>IF(ISERROR((M664/E664-1)*100),"NA",IF(((M664/E664-1)*100)&gt;100,"NM",IF(((M664/E664-1)*100)&lt;-50,"NM",(M664/E664-1)*100)))</f>
        <v>NA</v>
      </c>
      <c r="O664" s="35">
        <v>0</v>
      </c>
      <c r="P664" s="98" t="str">
        <f>IF(ISERROR((O664/G664-1)*100),"NA",IF(((O664/G664-1)*100)&gt;100,"NM",IF(((O664/G664-1)*100)&lt;-50,"NM",(O664/G664-1)*100)))</f>
        <v>NA</v>
      </c>
      <c r="Q664" s="218">
        <f>+Q663/FN690</f>
        <v>5.4794520547945209E-2</v>
      </c>
      <c r="R664" s="98" t="str">
        <f>IF(ISERROR((Q664/I664-1)*100),"NA",IF(((Q664/I664-1)*100)&gt;100,"NM",IF(((Q664/I664-1)*100)&lt;-50,"NM",(Q664/I664-1)*100)))</f>
        <v>NM</v>
      </c>
      <c r="S664" s="125">
        <f>+S663/S690*100</f>
        <v>0</v>
      </c>
      <c r="T664" s="98" t="str">
        <f>IF(ISERROR((S664/K664-1)*100),"NA",IF(((S664/K664-1)*100)&gt;100,"NM",IF(((S664/K664-1)*100)&lt;-50,"NM",(S664/K664-1)*100)))</f>
        <v>NA</v>
      </c>
      <c r="U664" s="125">
        <f>+U663/U690*100</f>
        <v>0</v>
      </c>
      <c r="V664" s="98" t="str">
        <f>IF(ISERROR((U664/M664-1)*100),"NA",IF(((U664/M664-1)*100)&gt;100,"NM",IF(((U664/M664-1)*100)&lt;-50,"NM",(U664/M664-1)*100)))</f>
        <v>NA</v>
      </c>
      <c r="W664" s="125">
        <f>+W663/W690*100</f>
        <v>0</v>
      </c>
      <c r="X664" s="98" t="str">
        <f>IF(ISERROR((W664/O664-1)*100),"NA",IF(((W664/O664-1)*100)&gt;100,"NM",IF(((W664/O664-1)*100)&lt;-50,"NM",(W664/O664-1)*100)))</f>
        <v>NA</v>
      </c>
      <c r="Y664" s="125">
        <f>+Y663/Y690*100</f>
        <v>26.923076923076923</v>
      </c>
      <c r="Z664" s="98" t="str">
        <f>IF(ISERROR((Y664/Q664-1)*100),"NA",IF(((Y664/Q664-1)*100)&gt;100,"NM",IF(((Y664/Q664-1)*100)&lt;-50,"NM",(Y664/Q664-1)*100)))</f>
        <v>NM</v>
      </c>
      <c r="AA664" s="125">
        <f>+AA663/AA690*100</f>
        <v>0</v>
      </c>
      <c r="AB664" s="98" t="str">
        <f>IF(ISERROR((AA664/S664-1)*100),"NA",IF(((AA664/S664-1)*100)&gt;100,"NM",IF(((AA664/S664-1)*100)&lt;-50,"NM",(AA664/S664-1)*100)))</f>
        <v>NA</v>
      </c>
      <c r="AC664" s="125">
        <f>+AC663/AC690*100</f>
        <v>0</v>
      </c>
      <c r="AD664" s="98" t="str">
        <f>IF(ISERROR((AC664/U664-1)*100),"NA",IF(((AC664/U664-1)*100)&gt;100,"NM",IF(((AC664/U664-1)*100)&lt;-50,"NM",(AC664/U664-1)*100)))</f>
        <v>NA</v>
      </c>
      <c r="AE664" s="125">
        <f>+AE663/AE690*100</f>
        <v>0</v>
      </c>
      <c r="AF664" s="98" t="str">
        <f>IF(ISERROR((AE664/W664-1)*100),"NA",IF(((AE664/W664-1)*100)&gt;100,"NM",IF(((AE664/W664-1)*100)&lt;-50,"NM",(AE664/W664-1)*100)))</f>
        <v>NA</v>
      </c>
      <c r="AG664" s="125">
        <f>+AG663/AG690*100</f>
        <v>25</v>
      </c>
      <c r="AH664" s="98">
        <f>IF(ISERROR((AG664/Y664-1)*100),"NA",IF(((AG664/Y664-1)*100)&gt;100,"NM",IF(((AG664/Y664-1)*100)&lt;-50,"NM",(AG664/Y664-1)*100)))</f>
        <v>-7.1428571428571397</v>
      </c>
      <c r="AI664" s="125">
        <f>+AI663/AI690*100</f>
        <v>0</v>
      </c>
      <c r="AJ664" s="98" t="str">
        <f>IF(ISERROR((AI664/AA664-1)*100),"NA",IF(((AI664/AA664-1)*100)&gt;100,"NM",IF(((AI664/AA664-1)*100)&lt;-50,"NM",(AI664/AA664-1)*100)))</f>
        <v>NA</v>
      </c>
      <c r="AK664" s="125">
        <f>+AK663/AK690*100</f>
        <v>0</v>
      </c>
      <c r="AL664" s="98" t="str">
        <f>IF(ISERROR((AK664/AC664-1)*100),"NA",IF(((AK664/AC664-1)*100)&gt;100,"NM",IF(((AK664/AC664-1)*100)&lt;-50,"NM",(AK664/AC664-1)*100)))</f>
        <v>NA</v>
      </c>
      <c r="AM664" s="125">
        <f>+AM663/AM690*100</f>
        <v>0</v>
      </c>
      <c r="AN664" s="98" t="str">
        <f>IF(ISERROR((AM664/AE664-1)*100),"NA",IF(((AM664/AE664-1)*100)&gt;100,"NM",IF(((AM664/AE664-1)*100)&lt;-50,"NM",(AM664/AE664-1)*100)))</f>
        <v>NA</v>
      </c>
      <c r="AO664" s="125">
        <f>+AO663/AO690*100</f>
        <v>67.647058823529406</v>
      </c>
      <c r="AP664" s="98" t="str">
        <f>IF(ISERROR((AO664/AG664-1)*100),"NA",IF(((AO664/AG664-1)*100)&gt;100,"NM",IF(((AO664/AG664-1)*100)&lt;-50,"NM",(AO664/AG664-1)*100)))</f>
        <v>NM</v>
      </c>
      <c r="AQ664" s="125">
        <f>+AQ663/AQ690*100</f>
        <v>0</v>
      </c>
      <c r="AR664" s="98" t="str">
        <f>IF(ISERROR((AQ664/AI664-1)*100),"NA",IF(((AQ664/AI664-1)*100)&gt;100,"NM",IF(((AQ664/AI664-1)*100)&lt;-50,"NM",(AQ664/AI664-1)*100)))</f>
        <v>NA</v>
      </c>
      <c r="AS664" s="125">
        <f>+AS663/AS690*100</f>
        <v>0</v>
      </c>
      <c r="AT664" s="98" t="str">
        <f>IF(ISERROR((AS664/AK664-1)*100),"NA",IF(((AS664/AK664-1)*100)&gt;100,"NM",IF(((AS664/AK664-1)*100)&lt;-50,"NM",(AS664/AK664-1)*100)))</f>
        <v>NA</v>
      </c>
      <c r="AU664" s="125">
        <f>+AU663/AU690*100</f>
        <v>0</v>
      </c>
      <c r="AV664" s="98" t="str">
        <f>IF(ISERROR((AU664/AM664-1)*100),"NA",IF(((AU664/AM664-1)*100)&gt;100,"NM",IF(((AU664/AM664-1)*100)&lt;-50,"NM",(AU664/AM664-1)*100)))</f>
        <v>NA</v>
      </c>
      <c r="AW664" s="125">
        <f>+AW663/AW690*100</f>
        <v>59.090909090909093</v>
      </c>
      <c r="AX664" s="98">
        <f>IF(ISERROR((AW664/AO664-1)*100),"NA",IF(((AW664/AO664-1)*100)&gt;100,"NM",IF(((AW664/AO664-1)*100)&lt;-50,"NM",(AW664/AO664-1)*100)))</f>
        <v>-12.648221343873512</v>
      </c>
      <c r="AY664" s="125">
        <f>+AY663/AY690*100</f>
        <v>0</v>
      </c>
      <c r="AZ664" s="98" t="str">
        <f>IF(ISERROR((AY664/AQ664-1)*100),"NA",IF(((AY664/AQ664-1)*100)&gt;100,"NM",IF(((AY664/AQ664-1)*100)&lt;-50,"NM",(AY664/AQ664-1)*100)))</f>
        <v>NA</v>
      </c>
      <c r="BA664" s="125">
        <f>+BA663/BA690*100</f>
        <v>0</v>
      </c>
      <c r="BB664" s="98" t="str">
        <f>IF(ISERROR((BA664/AS664-1)*100),"NA",IF(((BA664/AS664-1)*100)&gt;100,"NM",IF(((BA664/AS664-1)*100)&lt;-50,"NM",(BA664/AS664-1)*100)))</f>
        <v>NA</v>
      </c>
      <c r="BC664" s="125">
        <f>+BC663/BC690*100</f>
        <v>0</v>
      </c>
      <c r="BD664" s="98" t="str">
        <f>IF(ISERROR((BC664/AU664-1)*100),"NA",IF(((BC664/AU664-1)*100)&gt;100,"NM",IF(((BC664/AU664-1)*100)&lt;-50,"NM",(BC664/AU664-1)*100)))</f>
        <v>NA</v>
      </c>
      <c r="BE664" s="125">
        <f>+BE663/BE690*100</f>
        <v>11.919191919191919</v>
      </c>
      <c r="BF664" s="98" t="str">
        <f>IF(ISERROR((BE664/AW664-1)*100),"NA",IF(((BE664/AW664-1)*100)&gt;100,"NM",IF(((BE664/AW664-1)*100)&lt;-50,"NM",(BE664/AW664-1)*100)))</f>
        <v>NM</v>
      </c>
      <c r="BG664" s="125">
        <f>+BG663/BG690*100</f>
        <v>0</v>
      </c>
      <c r="BH664" s="98" t="str">
        <f>IF(ISERROR((BG664/AY664-1)*100),"NA",IF(((BG664/AY664-1)*100)&gt;100,"NM",IF(((BG664/AY664-1)*100)&lt;-50,"NM",(BG664/AY664-1)*100)))</f>
        <v>NA</v>
      </c>
      <c r="BI664" s="125">
        <f>+BI663/BI690*100</f>
        <v>0</v>
      </c>
      <c r="BJ664" s="98" t="str">
        <f>IF(ISERROR((BI664/BA664-1)*100),"NA",IF(((BI664/BA664-1)*100)&gt;100,"NM",IF(((BI664/BA664-1)*100)&lt;-50,"NM",(BI664/BA664-1)*100)))</f>
        <v>NA</v>
      </c>
      <c r="BK664" s="125">
        <f>+BK663/BK690*100</f>
        <v>0</v>
      </c>
      <c r="BL664" s="98" t="str">
        <f>IF(ISERROR((BK664/BC664-1)*100),"NA",IF(((BK664/BC664-1)*100)&gt;100,"NM",IF(((BK664/BC664-1)*100)&lt;-50,"NM",(BK664/BC664-1)*100)))</f>
        <v>NA</v>
      </c>
      <c r="BM664" s="125">
        <f>+BM663/BM690*100</f>
        <v>51.388888888888893</v>
      </c>
      <c r="BN664" s="98" t="str">
        <f>IF(ISERROR((BM664/BE664-1)*100),"NA",IF(((BM664/BE664-1)*100)&gt;100,"NM",IF(((BM664/BE664-1)*100)&lt;-50,"NM",(BM664/BE664-1)*100)))</f>
        <v>NM</v>
      </c>
      <c r="BO664" s="125">
        <f>+BO663/BO690*100</f>
        <v>0</v>
      </c>
      <c r="BP664" s="98" t="str">
        <f>IF(ISERROR((BO664/BG664-1)*100),"NA",IF(((BO664/BG664-1)*100)&gt;100,"NM",IF(((BO664/BG664-1)*100)&lt;-50,"NM",(BO664/BG664-1)*100)))</f>
        <v>NA</v>
      </c>
      <c r="BQ664" s="125">
        <f>+BQ663/BQ690*100</f>
        <v>0</v>
      </c>
      <c r="BR664" s="98" t="str">
        <f>IF(ISERROR((BQ664/BI664-1)*100),"NA",IF(((BQ664/BI664-1)*100)&gt;100,"NM",IF(((BQ664/BI664-1)*100)&lt;-50,"NM",(BQ664/BI664-1)*100)))</f>
        <v>NA</v>
      </c>
      <c r="BS664" s="125">
        <f>+BS663/BS690*100</f>
        <v>0</v>
      </c>
      <c r="BT664" s="98" t="str">
        <f>IF(ISERROR((BS664/BK664-1)*100),"NA",IF(((BS664/BK664-1)*100)&gt;100,"NM",IF(((BS664/BK664-1)*100)&lt;-50,"NM",(BS664/BK664-1)*100)))</f>
        <v>NA</v>
      </c>
      <c r="BU664" s="125">
        <f>+BU663/BU690*100</f>
        <v>75.510204081632651</v>
      </c>
      <c r="BV664" s="98">
        <f>IF(ISERROR((BU664/BM664-1)*100),"NA",IF(((BU664/BM664-1)*100)&gt;100,"NM",IF(((BU664/BM664-1)*100)&lt;-50,"NM",(BU664/BM664-1)*100)))</f>
        <v>46.938775510204067</v>
      </c>
      <c r="BW664" s="125">
        <f>+BW663/BW690*100</f>
        <v>0</v>
      </c>
      <c r="BX664" s="98" t="str">
        <f>IF(ISERROR((BW664/BO664-1)*100),"NA",IF(((BW664/BO664-1)*100)&gt;100,"NM",IF(((BW664/BO664-1)*100)&lt;-50,"NM",(BW664/BO664-1)*100)))</f>
        <v>NA</v>
      </c>
      <c r="BY664" s="125">
        <f>+BY663/BY690*100</f>
        <v>0</v>
      </c>
      <c r="BZ664" s="98" t="str">
        <f>IF(ISERROR((BY664/BQ664-1)*100),"NA",IF(((BY664/BQ664-1)*100)&gt;100,"NM",IF(((BY664/BQ664-1)*100)&lt;-50,"NM",(BY664/BQ664-1)*100)))</f>
        <v>NA</v>
      </c>
      <c r="CA664" s="125">
        <f>+CA663/CA690*100</f>
        <v>0</v>
      </c>
      <c r="CB664" s="98" t="str">
        <f>IF(ISERROR((CA664/BS664-1)*100),"NA",IF(((CA664/BS664-1)*100)&gt;100,"NM",IF(((CA664/BS664-1)*100)&lt;-50,"NM",(CA664/BS664-1)*100)))</f>
        <v>NA</v>
      </c>
      <c r="CC664" s="125">
        <f>+CC663/CC690*100</f>
        <v>-129.82456140350877</v>
      </c>
      <c r="CD664" s="98" t="str">
        <f>IF(ISERROR((CC664/BU664-1)*100),"NA",IF(((CC664/BU664-1)*100)&gt;100,"NM",IF(((CC664/BU664-1)*100)&lt;-50,"NM",(CC664/BU664-1)*100)))</f>
        <v>NM</v>
      </c>
      <c r="CE664" s="125">
        <f>+CE663/CE690*100</f>
        <v>0</v>
      </c>
      <c r="CF664" s="98" t="str">
        <f>IF(ISERROR((CE664/BW664-1)*100),"NA",IF(((CE664/BW664-1)*100)&gt;100,"NM",IF(((CE664/BW664-1)*100)&lt;-50,"NM",(CE664/BW664-1)*100)))</f>
        <v>NA</v>
      </c>
      <c r="CG664" s="125">
        <f>+CG663/CG690*100</f>
        <v>0</v>
      </c>
      <c r="CH664" s="98" t="str">
        <f>IF(ISERROR((CG664/BY664-1)*100),"NA",IF(((CG664/BY664-1)*100)&gt;100,"NM",IF(((CG664/BY664-1)*100)&lt;-50,"NM",(CG664/BY664-1)*100)))</f>
        <v>NA</v>
      </c>
      <c r="CI664" s="125">
        <f>+CI663/CI690*100</f>
        <v>0</v>
      </c>
      <c r="CJ664" s="98" t="str">
        <f>IF(ISERROR((CI664/CA664-1)*100),"NA",IF(((CI664/CA664-1)*100)&gt;100,"NM",IF(((CI664/CA664-1)*100)&lt;-50,"NM",(CI664/CA664-1)*100)))</f>
        <v>NA</v>
      </c>
      <c r="CK664" s="125">
        <f>+CK663/CK690*100</f>
        <v>-134.54545454545453</v>
      </c>
      <c r="CL664" s="98">
        <f>IF(ISERROR((CK664/CC664-1)*100),"NA",IF(((CK664/CC664-1)*100)&gt;100,"NM",IF(((CK664/CC664-1)*100)&lt;-50,"NM",(CK664/CC664-1)*100)))</f>
        <v>3.6363636363636376</v>
      </c>
      <c r="CM664" s="125">
        <f>+CM663/CM690*100</f>
        <v>0</v>
      </c>
      <c r="CN664" s="98" t="str">
        <f>IF(ISERROR((CM664/CE664-1)*100),"NA",IF(((CM664/CE664-1)*100)&gt;100,"NM",IF(((CM664/CE664-1)*100)&lt;-50,"NM",(CM664/CE664-1)*100)))</f>
        <v>NA</v>
      </c>
      <c r="CO664" s="125">
        <f>+CO663/CO690*100</f>
        <v>0</v>
      </c>
      <c r="CP664" s="98" t="str">
        <f>IF(ISERROR((CO664/CG664-1)*100),"NA",IF(((CO664/CG664-1)*100)&gt;100,"NM",IF(((CO664/CG664-1)*100)&lt;-50,"NM",(CO664/CG664-1)*100)))</f>
        <v>NA</v>
      </c>
      <c r="CQ664" s="526">
        <f>+CQ663/CQ690*100</f>
        <v>0</v>
      </c>
      <c r="CR664" s="98" t="str">
        <f>IF(ISERROR((CQ664/CI664-1)*100),"NA",IF(((CQ664/CI664-1)*100)&gt;100,"NM",IF(((CQ664/CI664-1)*100)&lt;-50,"NM",(CQ664/CI664-1)*100)))</f>
        <v>NA</v>
      </c>
      <c r="CS664" s="125">
        <f>+CS663/CS690*100</f>
        <v>154.16666666666669</v>
      </c>
      <c r="CT664" s="98" t="str">
        <f>IF(ISERROR((CS664/CK664-1)*100),"NA",IF(((CS664/CK664-1)*100)&gt;100,"NM",IF(((CS664/CK664-1)*100)&lt;-50,"NM",(CS664/CK664-1)*100)))</f>
        <v>NM</v>
      </c>
      <c r="CU664" s="125">
        <f>+CU663/CU690*100</f>
        <v>0</v>
      </c>
      <c r="CV664" s="98" t="str">
        <f>IF(ISERROR((CU664/CM664-1)*100),"NA",IF(((CU664/CM664-1)*100)&gt;100,"NM",IF(((CU664/CM664-1)*100)&lt;-50,"NM",(CU664/CM664-1)*100)))</f>
        <v>NA</v>
      </c>
      <c r="CW664" s="125">
        <f>+CW663/CW690*100</f>
        <v>0</v>
      </c>
      <c r="CX664" s="98" t="str">
        <f>IF(ISERROR((CW664/CO664-1)*100),"NA",IF(((CW664/CO664-1)*100)&gt;100,"NM",IF(((CW664/CO664-1)*100)&lt;-50,"NM",(CW664/CO664-1)*100)))</f>
        <v>NA</v>
      </c>
      <c r="CY664" s="125">
        <f>+CY663/CY690*100</f>
        <v>0</v>
      </c>
      <c r="CZ664" s="98" t="str">
        <f>IF(ISERROR((CY664/CQ664-1)*100),"NA",IF(((CY664/CQ664-1)*100)&gt;100,"NM",IF(((CY664/CQ664-1)*100)&lt;-50,"NM",(CY664/CQ664-1)*100)))</f>
        <v>NA</v>
      </c>
      <c r="DA664" s="125">
        <f>+DA663/DA690*100</f>
        <v>-151.0204081632653</v>
      </c>
      <c r="DB664" s="98" t="str">
        <f>IF(ISERROR((DA664/CS664-1)*100),"NA",IF(((DA664/CS664-1)*100)&gt;100,"NM",IF(((DA664/CS664-1)*100)&lt;-50,"NM",(DA664/CS664-1)*100)))</f>
        <v>NM</v>
      </c>
      <c r="DC664" s="125">
        <f>+DC663/DC690*100</f>
        <v>61.666666666666671</v>
      </c>
      <c r="DD664" s="98" t="str">
        <f>IF(ISERROR((DC664/CU664-1)*100),"NA",IF(((DC664/CU664-1)*100)&gt;100,"NM",IF(((DC664/CU664-1)*100)&lt;-50,"NM",(DC664/CU664-1)*100)))</f>
        <v>NA</v>
      </c>
      <c r="DE664" s="125">
        <f>+DE663/DE690*100</f>
        <v>-275</v>
      </c>
      <c r="DF664" s="98" t="str">
        <f>IF(ISERROR((DE664/CW664-1)*100),"NA",IF(((DE664/CW664-1)*100)&gt;100,"NM",IF(((DE664/CW664-1)*100)&lt;-50,"NM",(DE664/CW664-1)*100)))</f>
        <v>NA</v>
      </c>
      <c r="DG664" s="125">
        <f>+DG663/DG690*100</f>
        <v>110.00000000000001</v>
      </c>
      <c r="DH664" s="98" t="str">
        <f>IF(ISERROR((DG664/CY664-1)*100),"NA",IF(((DG664/CY664-1)*100)&gt;100,"NM",IF(((DG664/CY664-1)*100)&lt;-50,"NM",(DG664/CY664-1)*100)))</f>
        <v>NA</v>
      </c>
      <c r="DI664" s="125">
        <f>+DI663/DI690*100</f>
        <v>144.73684210526315</v>
      </c>
      <c r="DJ664" s="98" t="str">
        <f>IF(ISERROR((DI664/DA664-1)*100),"NA",IF(((DI664/DA664-1)*100)&gt;100,"NM",IF(((DI664/DA664-1)*100)&lt;-50,"NM",(DI664/DA664-1)*100)))</f>
        <v>NM</v>
      </c>
      <c r="DK664" s="125">
        <f>+DK663/DK690*100</f>
        <v>47.413793103448285</v>
      </c>
      <c r="DL664" s="98">
        <f>IF(ISERROR((DK664/DC664-1)*100),"NA",IF(((DK664/DC664-1)*100)&gt;100,"NM",IF(((DK664/DC664-1)*100)&lt;-50,"NM",(DK664/DC664-1)*100)))</f>
        <v>-23.112767940354139</v>
      </c>
      <c r="DM664" s="125">
        <f>+DM663/DM690*100</f>
        <v>60.344827586206897</v>
      </c>
      <c r="DN664" s="98" t="str">
        <f>IF(ISERROR((DM664/DE664-1)*100),"NA",IF(((DM664/DE664-1)*100)&gt;100,"NM",IF(((DM664/DE664-1)*100)&lt;-50,"NM",(DM664/DE664-1)*100)))</f>
        <v>NM</v>
      </c>
      <c r="DO664" s="125">
        <f>+DO663/DO690*100</f>
        <v>31.249999999999993</v>
      </c>
      <c r="DP664" s="98" t="str">
        <f>IF(ISERROR((DO664/DG664-1)*100),"NA",IF(((DO664/DG664-1)*100)&gt;100,"NM",IF(((DO664/DG664-1)*100)&lt;-50,"NM",(DO664/DG664-1)*100)))</f>
        <v>NM</v>
      </c>
      <c r="DQ664" s="125">
        <f>+DQ663/DQ690*100</f>
        <v>52.238805970149251</v>
      </c>
      <c r="DR664" s="98" t="str">
        <f>IF(ISERROR((DQ664/DI664-1)*100),"NA",IF(((DQ664/DI664-1)*100)&gt;100,"NM",IF(((DQ664/DI664-1)*100)&lt;-50,"NM",(DQ664/DI664-1)*100)))</f>
        <v>NM</v>
      </c>
      <c r="DS664" s="125">
        <f>+DS663/DS690*100</f>
        <v>24.193548387096772</v>
      </c>
      <c r="DT664" s="98">
        <f>IF(ISERROR((DS664/DK664-1)*100),"NA",IF(((DS664/DK664-1)*100)&gt;100,"NM",IF(((DS664/DK664-1)*100)&lt;-50,"NM",(DS664/DK664-1)*100)))</f>
        <v>-48.973607038123177</v>
      </c>
      <c r="DU664" s="125">
        <f>+DU663/DU690*100</f>
        <v>66.964285714285708</v>
      </c>
      <c r="DV664" s="98">
        <f>IF(ISERROR((DU664/DM664-1)*100),"NA",IF(((DU664/DM664-1)*100)&gt;100,"NM",IF(((DU664/DM664-1)*100)&lt;-50,"NM",(DU664/DM664-1)*100)))</f>
        <v>10.969387755102034</v>
      </c>
      <c r="DW664" s="125">
        <f>+DW663/DW690*100</f>
        <v>50</v>
      </c>
      <c r="DX664" s="98">
        <f>IF(ISERROR((DW664/DO664-1)*100),"NA",IF(((DW664/DO664-1)*100)&gt;100,"NM",IF(((DW664/DO664-1)*100)&lt;-50,"NM",(DW664/DO664-1)*100)))</f>
        <v>60.000000000000028</v>
      </c>
      <c r="DY664" s="125">
        <f>+DY663/DY690*100</f>
        <v>107.14285714285714</v>
      </c>
      <c r="DZ664" s="98" t="str">
        <f>IF(ISERROR((DY664/DQ664-1)*100),"NA",IF(((DY664/DQ664-1)*100)&gt;100,"NM",IF(((DY664/DQ664-1)*100)&lt;-50,"NM",(DY664/DQ664-1)*100)))</f>
        <v>NM</v>
      </c>
      <c r="EA664" s="125">
        <f>+EA663/EA690*100</f>
        <v>17.857142857142858</v>
      </c>
      <c r="EB664" s="98">
        <f>IF(ISERROR((EA664/DS664-1)*100),"NA",IF(((EA664/DS664-1)*100)&gt;100,"NM",IF(((EA664/DS664-1)*100)&lt;-50,"NM",(EA664/DS664-1)*100)))</f>
        <v>-26.190476190476186</v>
      </c>
      <c r="EC664" s="125">
        <f>+EC663/EC690*100</f>
        <v>150</v>
      </c>
      <c r="ED664" s="98" t="str">
        <f>IF(ISERROR((EC664/DU664-1)*100),"NA",IF(((EC664/DU664-1)*100)&gt;100,"NM",IF(((EC664/DU664-1)*100)&lt;-50,"NM",(EC664/DU664-1)*100)))</f>
        <v>NM</v>
      </c>
      <c r="EE664" s="125">
        <f>+EE663/EE690*100</f>
        <v>78.125</v>
      </c>
      <c r="EF664" s="860">
        <f>IF(ISERROR((EE664/DW664-1)*100),"NA",IF(((EE664/DW664-1)*100)&gt;100,"NM",IF(((EE664/DW664-1)*100)&lt;-50,"NM",(EE664/DW664-1)*100)))</f>
        <v>56.25</v>
      </c>
      <c r="EG664" s="125">
        <f>+EG663/EG690*100</f>
        <v>-18.433179723502306</v>
      </c>
      <c r="EH664" s="860" t="str">
        <f>IF(ISERROR((EG664/DY664-1)*100),"NA",IF(((EG664/DY664-1)*100)&gt;100,"NM",IF(((EG664/DY664-1)*100)&lt;-50,"NM",(EG664/DY664-1)*100)))</f>
        <v>NM</v>
      </c>
      <c r="EI664" s="125">
        <f>+EI663/EI690*100</f>
        <v>50.632911392405063</v>
      </c>
      <c r="EJ664" s="860" t="str">
        <f t="shared" si="4037"/>
        <v>NM</v>
      </c>
      <c r="EK664" s="125">
        <f>+EK663/EK690*100</f>
        <v>50</v>
      </c>
      <c r="EL664" s="860" t="str">
        <f t="shared" si="4038"/>
        <v>NM</v>
      </c>
      <c r="EM664" s="125">
        <f>+EM663/EM690*100</f>
        <v>-444.44444444444446</v>
      </c>
      <c r="EN664" s="860" t="str">
        <f t="shared" si="4039"/>
        <v>NM</v>
      </c>
      <c r="EO664" s="125">
        <f>+EO663/EO690*100</f>
        <v>18.691588785046729</v>
      </c>
      <c r="EP664" s="98" t="str">
        <f t="shared" si="4040"/>
        <v>NM</v>
      </c>
      <c r="EQ664" s="818">
        <f t="shared" ref="EQ664" si="4048">+EQ663/EQ690*100</f>
        <v>133.33333333333334</v>
      </c>
      <c r="ER664" s="98" t="str">
        <f t="shared" si="4042"/>
        <v>NM</v>
      </c>
      <c r="ES664" s="818">
        <f t="shared" ref="ES664" si="4049">+ES663/ES690*100</f>
        <v>33.898305084745765</v>
      </c>
      <c r="ET664" s="98">
        <f t="shared" si="4044"/>
        <v>-32.203389830508463</v>
      </c>
      <c r="EU664" s="818">
        <f t="shared" ref="EU664" si="4050">+EU663/EU690*100</f>
        <v>32.786885245901644</v>
      </c>
      <c r="EV664" s="98" t="str">
        <f t="shared" si="4046"/>
        <v>NM</v>
      </c>
      <c r="EW664" s="818">
        <f t="shared" ref="EW664" si="4051">+EW663/EW690*100</f>
        <v>34.4</v>
      </c>
      <c r="EX664" s="98">
        <f t="shared" si="4047"/>
        <v>84.039999999999978</v>
      </c>
      <c r="EY664" s="125"/>
      <c r="EZ664" s="594"/>
      <c r="FA664" s="405"/>
      <c r="FB664" s="35"/>
      <c r="FC664" s="98"/>
      <c r="FD664" s="35"/>
      <c r="FE664" s="98"/>
      <c r="FF664" s="218">
        <f>+FF663/FF690*100</f>
        <v>13.888888888888889</v>
      </c>
      <c r="FG664" s="98" t="str">
        <f>IF(ISERROR((FF664/FD664-1)*100),"NA",IF(((FF664/FD664-1)*100)&gt;100,"NM",IF(((FF664/FD664-1)*100)&lt;-50,"NM",(FF664/FD664-1)*100)))</f>
        <v>NA</v>
      </c>
      <c r="FH664" s="218">
        <f>+FH663/FH690*100</f>
        <v>34.482758620689651</v>
      </c>
      <c r="FI664" s="98" t="str">
        <f>IF(ISERROR((FH664/FF664-1)*100),"NA",IF(((FH664/FF664-1)*100)&gt;100,"NM",IF(((FH664/FF664-1)*100)&lt;-50,"NM",(FH664/FF664-1)*100)))</f>
        <v>NM</v>
      </c>
      <c r="FJ664" s="218">
        <f>+FJ663/FJ690*100</f>
        <v>9.545454545454545</v>
      </c>
      <c r="FK664" s="98" t="str">
        <f>IF(ISERROR((FJ664/FH664-1)*100),"NA",IF(((FJ664/FH664-1)*100)&gt;100,"NM",IF(((FJ664/FH664-1)*100)&lt;-50,"NM",(FJ664/FH664-1)*100)))</f>
        <v>NM</v>
      </c>
      <c r="FL664" s="218">
        <f>+FL663/FL690*100</f>
        <v>7.8498293515358375</v>
      </c>
      <c r="FM664" s="98">
        <f>IF(ISERROR((FL664/FJ664-1)*100),"NA",IF(((FL664/FJ664-1)*100)&gt;100,"NM",IF(((FL664/FJ664-1)*100)&lt;-50,"NM",(FL664/FJ664-1)*100)))</f>
        <v>-17.763692507719796</v>
      </c>
      <c r="FN664" s="218">
        <f>+FN663/FN690*100</f>
        <v>12.602739726027398</v>
      </c>
      <c r="FO664" s="98">
        <f>IF(ISERROR((FN664/FL664-1)*100),"NA",IF(((FN664/FL664-1)*100)&gt;100,"NM",IF(((FN664/FL664-1)*100)&lt;-50,"NM",(FN664/FL664-1)*100)))</f>
        <v>60.547945205479436</v>
      </c>
      <c r="FP664" s="218">
        <f>+FP663/FP690*100</f>
        <v>8.3870967741935498</v>
      </c>
      <c r="FQ664" s="98">
        <f>IF(ISERROR((FP664/FN664-1)*100),"NA",IF(((FP664/FN664-1)*100)&gt;100,"NM",IF(((FP664/FN664-1)*100)&lt;-50,"NM",(FP664/FN664-1)*100)))</f>
        <v>-33.450210378681625</v>
      </c>
      <c r="FR664" s="130">
        <f>+FR663/FR690*100</f>
        <v>7.3934837092731822</v>
      </c>
      <c r="FS664" s="120">
        <f>IF(ISERROR((FR664/FP664-1)*100),"NA",IF(((FR664/FP664-1)*100)&gt;100,"NM",IF(((FR664/FP664-1)*100)&lt;-50,"NM",(FR664/FP664-1)*100)))</f>
        <v>-11.846925004819763</v>
      </c>
      <c r="FT664" s="130">
        <f>+FT663/FT690*100</f>
        <v>13.503649635036496</v>
      </c>
      <c r="FU664" s="120">
        <f>IF(ISERROR((FT664/FR664-1)*100),"NA",IF(((FT664/FR664-1)*100)&gt;100,"NM",IF(((FT664/FR664-1)*100)&lt;-50,"NM",(FT664/FR664-1)*100)))</f>
        <v>82.642583199307197</v>
      </c>
      <c r="FV664" s="130">
        <f>+FV663/FV690*100</f>
        <v>18.974358974358974</v>
      </c>
      <c r="FW664" s="98">
        <f>IF(ISERROR((FV664/FT664-1)*100),"NA",IF(((FV664/FT664-1)*100)&gt;100,"NM",IF(((FV664/FT664-1)*100)&lt;-50,"NM",(FV664/FT664-1)*100)))</f>
        <v>40.512820512820525</v>
      </c>
      <c r="FX664" s="487">
        <f>+FX663/FX690*100</f>
        <v>-13.627992633517497</v>
      </c>
      <c r="FY664" s="98" t="str">
        <f>IF(ISERROR((FX664/FV664-1)*100),"NA",IF(((FX664/FV664-1)*100)&gt;100,"NM",IF(((FX664/FV664-1)*100)&lt;-50,"NM",(FX664/FV664-1)*100)))</f>
        <v>NM</v>
      </c>
      <c r="FZ664" s="130">
        <f>+FZ663/FZ690*100</f>
        <v>3700</v>
      </c>
      <c r="GA664" s="98" t="str">
        <f>IF(ISERROR((FZ664/FX664-1)*100),"NA",IF(((FZ664/FX664-1)*100)&gt;100,"NM",IF(((FZ664/FX664-1)*100)&lt;-50,"NM",(FZ664/FX664-1)*100)))</f>
        <v>NM</v>
      </c>
      <c r="GB664" s="487">
        <f>+GB663/GB690*100</f>
        <v>16.4079822616408</v>
      </c>
      <c r="GC664" s="98" t="str">
        <f>IF(ISERROR((GB664/FZ664-1)*100),"NA",IF(((GB664/FZ664-1)*100)&gt;100,"NM",IF(((GB664/FZ664-1)*100)&lt;-50,"NM",(GB664/FZ664-1)*100)))</f>
        <v>NM</v>
      </c>
      <c r="GD664" s="130">
        <f>+GD663/GD690*100</f>
        <v>-100</v>
      </c>
      <c r="GE664" s="98" t="str">
        <f>IF(ISERROR((GD664/GB664-1)*100),"NA",IF(((GD664/GB664-1)*100)&gt;100,"NM",IF(((GD664/GB664-1)*100)&lt;-50,"NM",(GD664/GB664-1)*100)))</f>
        <v>NM</v>
      </c>
      <c r="GF664" s="130">
        <f>+GF663/GF690*100</f>
        <v>50.000000000000014</v>
      </c>
      <c r="GG664" s="98" t="str">
        <f>IF(ISERROR((GF664/GD664-1)*100),"NA",IF(((GF664/GD664-1)*100)&gt;100,"NM",IF(((GF664/GD664-1)*100)&lt;-50,"NM",(GF664/GD664-1)*100)))</f>
        <v>NM</v>
      </c>
      <c r="GH664" s="130">
        <f>+GH663/GH690*100</f>
        <v>30.459770114942529</v>
      </c>
      <c r="GI664" s="98">
        <f>IF(ISERROR((GH664/GF664-1)*100),"NA",IF(((GH664/GF664-1)*100)&gt;100,"NM",IF(((GH664/GF664-1)*100)&lt;-50,"NM",(GH664/GF664-1)*100)))</f>
        <v>-39.080459770114963</v>
      </c>
      <c r="GJ664" s="130">
        <f>+GJ663/GJ690*100</f>
        <v>46.58385093167702</v>
      </c>
      <c r="GK664" s="98">
        <f>IF(ISERROR((GJ664/GH664-1)*100),"NA",IF(((GJ664/GH664-1)*100)&gt;100,"NM",IF(((GJ664/GH664-1)*100)&lt;-50,"NM",(GJ664/GH664-1)*100)))</f>
        <v>52.935661549279267</v>
      </c>
      <c r="GL664" s="130">
        <f>+GL663/GL690*100</f>
        <v>227.61194029850742</v>
      </c>
      <c r="GM664" s="98" t="str">
        <f>IF(ISERROR((GL664/GJ664-1)*100),"NA",IF(((GL664/GJ664-1)*100)&gt;100,"NM",IF(((GL664/GJ664-1)*100)&lt;-50,"NM",(GL664/GJ664-1)*100)))</f>
        <v>NM</v>
      </c>
      <c r="GN664" s="130">
        <f>+GN663/GN690*100</f>
        <v>44.19889502762431</v>
      </c>
      <c r="GO664" s="98" t="str">
        <f>IF(ISERROR((GN664/GL664-1)*100),"NA",IF(((GN664/GL664-1)*100)&gt;100,"NM",IF(((GN664/GL664-1)*100)&lt;-50,"NM",(GN664/GL664-1)*100)))</f>
        <v>NM</v>
      </c>
      <c r="GP664" s="130">
        <f>+GP663/GP690*100</f>
        <v>41.475826972010175</v>
      </c>
      <c r="GQ664" s="98">
        <f>IF(ISERROR((GP664/GN664-1)*100),"NA",IF(((GP664/GN664-1)*100)&gt;100,"NM",IF(((GP664/GN664-1)*100)&lt;-50,"NM",(GP664/GN664-1)*100)))</f>
        <v>-6.1609414758269754</v>
      </c>
      <c r="GR664" s="125">
        <f>+GR663/GR690*100</f>
        <v>33.522641509433967</v>
      </c>
      <c r="GS664" s="98">
        <f>IF(ISERROR((GR664/GP664-1)*100),"NA",IF(((GR664/GP664-1)*100)&gt;100,"NM",IF(((GR664/GP664-1)*100)&lt;-50,"NM",(GR664/GP664-1)*100)))</f>
        <v>-19.175471698113189</v>
      </c>
      <c r="GT664" s="125">
        <f>+GT663/GT690*100</f>
        <v>33.696034482758627</v>
      </c>
      <c r="GU664" s="98">
        <f>IF(ISERROR((GT664/GR664-1)*100),"NA",IF(((GT664/GR664-1)*100)&gt;100,"NM",IF(((GT664/GR664-1)*100)&lt;-50,"NM",(GT664/GR664-1)*100)))</f>
        <v>0.51724137931035141</v>
      </c>
      <c r="GV664" s="125">
        <f>+GV663/GV690*100</f>
        <v>33.855228346456698</v>
      </c>
      <c r="GW664" s="98">
        <f>IF(ISERROR((GV664/GT664-1)*100),"NA",IF(((GV664/GT664-1)*100)&gt;100,"NM",IF(((GV664/GT664-1)*100)&lt;-50,"NM",(GV664/GT664-1)*100)))</f>
        <v>0.47244094488188004</v>
      </c>
      <c r="GX664" s="125">
        <f>+GX663/GX690*100</f>
        <v>34.572919590643288</v>
      </c>
      <c r="GY664" s="98">
        <f>IF(ISERROR((GX664/GV664-1)*100),"NA",IF(((GX664/GV664-1)*100)&gt;100,"NM",IF(((GX664/GV664-1)*100)&lt;-50,"NM",(GX664/GV664-1)*100)))</f>
        <v>2.1198830409356884</v>
      </c>
      <c r="GZ664" s="98">
        <f>IF(ISERROR(((GX664/GN664)^0.2-1)*100),"NA",IF((((GX664/GN664)^0.2-1)*100)&gt;100,"NM",IF((((GX664/GN664)^0.2-1)*100)&lt;-50,"NM",((GX664/GN664)^0.2-1)*100)))</f>
        <v>-4.793866325662</v>
      </c>
      <c r="HA664" s="98"/>
      <c r="HB664" s="10"/>
      <c r="HC664"/>
      <c r="HD664"/>
      <c r="HE664"/>
      <c r="HF664"/>
      <c r="HG664"/>
      <c r="HH664"/>
      <c r="HI664" s="10"/>
    </row>
    <row r="665" spans="1:217" s="2" customFormat="1" ht="12.75" customHeight="1" x14ac:dyDescent="0.2">
      <c r="A665" s="2" t="s">
        <v>532</v>
      </c>
      <c r="B665" s="18" t="s">
        <v>331</v>
      </c>
      <c r="C665" s="343">
        <v>0</v>
      </c>
      <c r="D665" s="98"/>
      <c r="E665" s="343">
        <v>0</v>
      </c>
      <c r="F665" s="98"/>
      <c r="G665" s="343">
        <v>0</v>
      </c>
      <c r="H665" s="98"/>
      <c r="I665" s="349">
        <f>I663*I684</f>
        <v>152.14000000000001</v>
      </c>
      <c r="J665" s="98"/>
      <c r="K665" s="343">
        <v>0</v>
      </c>
      <c r="L665" s="98" t="str">
        <f>IF(ISERROR((K665/C665-1)*100),"NA",IF(((K665/C665-1)*100)&gt;100,"NM",IF(((K665/C665-1)*100)&lt;-50,"NM",(K665/C665-1)*100)))</f>
        <v>NA</v>
      </c>
      <c r="M665" s="343">
        <v>0</v>
      </c>
      <c r="N665" s="98" t="str">
        <f>IF(ISERROR((M665/E665-1)*100),"NA",IF(((M665/E665-1)*100)&gt;100,"NM",IF(((M665/E665-1)*100)&lt;-50,"NM",(M665/E665-1)*100)))</f>
        <v>NA</v>
      </c>
      <c r="O665" s="343">
        <v>0</v>
      </c>
      <c r="P665" s="98" t="str">
        <f>IF(ISERROR((O665/G665-1)*100),"NA",IF(((O665/G665-1)*100)&gt;100,"NM",IF(((O665/G665-1)*100)&lt;-50,"NM",(O665/G665-1)*100)))</f>
        <v>NA</v>
      </c>
      <c r="Q665" s="349">
        <f>Q663*Q684</f>
        <v>143.1</v>
      </c>
      <c r="R665" s="98">
        <f>IF(ISERROR((Q665/I665-1)*100),"NA",IF(((Q665/I665-1)*100)&gt;100,"NM",IF(((Q665/I665-1)*100)&lt;-50,"NM",(Q665/I665-1)*100)))</f>
        <v>-5.9418956224530195</v>
      </c>
      <c r="S665" s="349">
        <f>S663*S684</f>
        <v>0</v>
      </c>
      <c r="T665" s="98" t="str">
        <f>IF(ISERROR((S665/K665-1)*100),"NA",IF(((S665/K665-1)*100)&gt;100,"NM",IF(((S665/K665-1)*100)&lt;-50,"NM",(S665/K665-1)*100)))</f>
        <v>NA</v>
      </c>
      <c r="U665" s="349">
        <f>U663*U684</f>
        <v>0</v>
      </c>
      <c r="V665" s="98" t="str">
        <f>IF(ISERROR((U665/M665-1)*100),"NA",IF(((U665/M665-1)*100)&gt;100,"NM",IF(((U665/M665-1)*100)&lt;-50,"NM",(U665/M665-1)*100)))</f>
        <v>NA</v>
      </c>
      <c r="W665" s="349">
        <f>W663*W684</f>
        <v>0</v>
      </c>
      <c r="X665" s="98" t="str">
        <f>IF(ISERROR((W665/O665-1)*100),"NA",IF(((W665/O665-1)*100)&gt;100,"NM",IF(((W665/O665-1)*100)&lt;-50,"NM",(W665/O665-1)*100)))</f>
        <v>NA</v>
      </c>
      <c r="Y665" s="350">
        <f>Y663*Y684</f>
        <v>147.06299999999999</v>
      </c>
      <c r="Z665" s="98">
        <f>IF(ISERROR((Y665/Q665-1)*100),"NA",IF(((Y665/Q665-1)*100)&gt;100,"NM",IF(((Y665/Q665-1)*100)&lt;-50,"NM",(Y665/Q665-1)*100)))</f>
        <v>2.7693920335429834</v>
      </c>
      <c r="AA665" s="349">
        <f>AA663*AA684</f>
        <v>0</v>
      </c>
      <c r="AB665" s="98" t="str">
        <f>IF(ISERROR((AA665/S665-1)*100),"NA",IF(((AA665/S665-1)*100)&gt;100,"NM",IF(((AA665/S665-1)*100)&lt;-50,"NM",(AA665/S665-1)*100)))</f>
        <v>NA</v>
      </c>
      <c r="AC665" s="349">
        <f>AC663*AC684</f>
        <v>0</v>
      </c>
      <c r="AD665" s="98" t="str">
        <f>IF(ISERROR((AC665/U665-1)*100),"NA",IF(((AC665/U665-1)*100)&gt;100,"NM",IF(((AC665/U665-1)*100)&lt;-50,"NM",(AC665/U665-1)*100)))</f>
        <v>NA</v>
      </c>
      <c r="AE665" s="349">
        <f>AE663*AE684</f>
        <v>0</v>
      </c>
      <c r="AF665" s="98" t="str">
        <f>IF(ISERROR((AE665/W665-1)*100),"NA",IF(((AE665/W665-1)*100)&gt;100,"NM",IF(((AE665/W665-1)*100)&lt;-50,"NM",(AE665/W665-1)*100)))</f>
        <v>NA</v>
      </c>
      <c r="AG665" s="118">
        <f>AG663*AG684</f>
        <v>174.15600000000001</v>
      </c>
      <c r="AH665" s="98">
        <f>IF(ISERROR((AG665/Y665-1)*100),"NA",IF(((AG665/Y665-1)*100)&gt;100,"NM",IF(((AG665/Y665-1)*100)&lt;-50,"NM",(AG665/Y665-1)*100)))</f>
        <v>18.422716794843041</v>
      </c>
      <c r="AI665" s="118">
        <f>AI663*AI684</f>
        <v>0</v>
      </c>
      <c r="AJ665" s="98" t="str">
        <f>IF(ISERROR((AI665/AA665-1)*100),"NA",IF(((AI665/AA665-1)*100)&gt;100,"NM",IF(((AI665/AA665-1)*100)&lt;-50,"NM",(AI665/AA665-1)*100)))</f>
        <v>NA</v>
      </c>
      <c r="AK665" s="118">
        <f>AK663*AK684</f>
        <v>0</v>
      </c>
      <c r="AL665" s="98" t="str">
        <f>IF(ISERROR((AK665/AC665-1)*100),"NA",IF(((AK665/AC665-1)*100)&gt;100,"NM",IF(((AK665/AC665-1)*100)&lt;-50,"NM",(AK665/AC665-1)*100)))</f>
        <v>NA</v>
      </c>
      <c r="AM665" s="118">
        <f>AM663*AM684</f>
        <v>0</v>
      </c>
      <c r="AN665" s="98" t="str">
        <f>IF(ISERROR((AM665/AE665-1)*100),"NA",IF(((AM665/AE665-1)*100)&gt;100,"NM",IF(((AM665/AE665-1)*100)&lt;-50,"NM",(AM665/AE665-1)*100)))</f>
        <v>NA</v>
      </c>
      <c r="AO665" s="118">
        <f>AO663*AO684</f>
        <v>336.95</v>
      </c>
      <c r="AP665" s="98">
        <f>IF(ISERROR((AO665/AG665-1)*100),"NA",IF(((AO665/AG665-1)*100)&gt;100,"NM",IF(((AO665/AG665-1)*100)&lt;-50,"NM",(AO665/AG665-1)*100)))</f>
        <v>93.47596407818277</v>
      </c>
      <c r="AQ665" s="118">
        <f>AQ663*AQ684</f>
        <v>0</v>
      </c>
      <c r="AR665" s="98" t="str">
        <f>IF(ISERROR((AQ665/AI665-1)*100),"NA",IF(((AQ665/AI665-1)*100)&gt;100,"NM",IF(((AQ665/AI665-1)*100)&lt;-50,"NM",(AQ665/AI665-1)*100)))</f>
        <v>NA</v>
      </c>
      <c r="AS665" s="118">
        <f>AS663*AS684</f>
        <v>0</v>
      </c>
      <c r="AT665" s="98" t="str">
        <f>IF(ISERROR((AS665/AK665-1)*100),"NA",IF(((AS665/AK665-1)*100)&gt;100,"NM",IF(((AS665/AK665-1)*100)&lt;-50,"NM",(AS665/AK665-1)*100)))</f>
        <v>NA</v>
      </c>
      <c r="AU665" s="118">
        <f>AU663*AU684</f>
        <v>0</v>
      </c>
      <c r="AV665" s="98" t="str">
        <f>IF(ISERROR((AU665/AM665-1)*100),"NA",IF(((AU665/AM665-1)*100)&gt;100,"NM",IF(((AU665/AM665-1)*100)&lt;-50,"NM",(AU665/AM665-1)*100)))</f>
        <v>NA</v>
      </c>
      <c r="AW665" s="118">
        <f>AW663*AW684</f>
        <v>393.90000000000003</v>
      </c>
      <c r="AX665" s="98">
        <f>IF(ISERROR((AW665/AO665-1)*100),"NA",IF(((AW665/AO665-1)*100)&gt;100,"NM",IF(((AW665/AO665-1)*100)&lt;-50,"NM",(AW665/AO665-1)*100)))</f>
        <v>16.901617450660346</v>
      </c>
      <c r="AY665" s="118">
        <f>AY663*AY684</f>
        <v>0</v>
      </c>
      <c r="AZ665" s="98" t="str">
        <f>IF(ISERROR((AY665/AQ665-1)*100),"NA",IF(((AY665/AQ665-1)*100)&gt;100,"NM",IF(((AY665/AQ665-1)*100)&lt;-50,"NM",(AY665/AQ665-1)*100)))</f>
        <v>NA</v>
      </c>
      <c r="BA665" s="118">
        <f>BA663*BA684</f>
        <v>0</v>
      </c>
      <c r="BB665" s="98" t="str">
        <f>IF(ISERROR((BA665/AS665-1)*100),"NA",IF(((BA665/AS665-1)*100)&gt;100,"NM",IF(((BA665/AS665-1)*100)&lt;-50,"NM",(BA665/AS665-1)*100)))</f>
        <v>NA</v>
      </c>
      <c r="BC665" s="118">
        <f>BC663*BC684</f>
        <v>0</v>
      </c>
      <c r="BD665" s="98" t="str">
        <f>IF(ISERROR((BC665/AU665-1)*100),"NA",IF(((BC665/AU665-1)*100)&gt;100,"NM",IF(((BC665/AU665-1)*100)&lt;-50,"NM",(BC665/AU665-1)*100)))</f>
        <v>NA</v>
      </c>
      <c r="BE665" s="118">
        <f>BE663*BE684</f>
        <v>443.67999999999995</v>
      </c>
      <c r="BF665" s="98">
        <f>IF(ISERROR((BE665/AW665-1)*100),"NA",IF(((BE665/AW665-1)*100)&gt;100,"NM",IF(((BE665/AW665-1)*100)&lt;-50,"NM",(BE665/AW665-1)*100)))</f>
        <v>12.637725310992609</v>
      </c>
      <c r="BG665" s="118">
        <f>BG663*BG684</f>
        <v>0</v>
      </c>
      <c r="BH665" s="98" t="str">
        <f>IF(ISERROR((BG665/AY665-1)*100),"NA",IF(((BG665/AY665-1)*100)&gt;100,"NM",IF(((BG665/AY665-1)*100)&lt;-50,"NM",(BG665/AY665-1)*100)))</f>
        <v>NA</v>
      </c>
      <c r="BI665" s="118">
        <f>BI663*BI684</f>
        <v>0</v>
      </c>
      <c r="BJ665" s="98" t="str">
        <f>IF(ISERROR((BI665/BA665-1)*100),"NA",IF(((BI665/BA665-1)*100)&gt;100,"NM",IF(((BI665/BA665-1)*100)&lt;-50,"NM",(BI665/BA665-1)*100)))</f>
        <v>NA</v>
      </c>
      <c r="BK665" s="118">
        <f>BK663*BK684</f>
        <v>0</v>
      </c>
      <c r="BL665" s="98" t="str">
        <f>IF(ISERROR((BK665/BC665-1)*100),"NA",IF(((BK665/BC665-1)*100)&gt;100,"NM",IF(((BK665/BC665-1)*100)&lt;-50,"NM",(BK665/BC665-1)*100)))</f>
        <v>NA</v>
      </c>
      <c r="BM665" s="118">
        <f>BM663*BM684</f>
        <v>539.60800000000006</v>
      </c>
      <c r="BN665" s="98">
        <f>IF(ISERROR((BM665/BE665-1)*100),"NA",IF(((BM665/BE665-1)*100)&gt;100,"NM",IF(((BM665/BE665-1)*100)&lt;-50,"NM",(BM665/BE665-1)*100)))</f>
        <v>21.620988099531214</v>
      </c>
      <c r="BO665" s="118">
        <f>BO663*BO684</f>
        <v>0</v>
      </c>
      <c r="BP665" s="98" t="str">
        <f>IF(ISERROR((BO665/BG665-1)*100),"NA",IF(((BO665/BG665-1)*100)&gt;100,"NM",IF(((BO665/BG665-1)*100)&lt;-50,"NM",(BO665/BG665-1)*100)))</f>
        <v>NA</v>
      </c>
      <c r="BQ665" s="118">
        <f>BQ663*BQ684</f>
        <v>0</v>
      </c>
      <c r="BR665" s="98" t="str">
        <f>IF(ISERROR((BQ665/BI665-1)*100),"NA",IF(((BQ665/BI665-1)*100)&gt;100,"NM",IF(((BQ665/BI665-1)*100)&lt;-50,"NM",(BQ665/BI665-1)*100)))</f>
        <v>NA</v>
      </c>
      <c r="BS665" s="118">
        <f>BS663*BS684</f>
        <v>0</v>
      </c>
      <c r="BT665" s="98" t="str">
        <f>IF(ISERROR((BS665/BK665-1)*100),"NA",IF(((BS665/BK665-1)*100)&gt;100,"NM",IF(((BS665/BK665-1)*100)&lt;-50,"NM",(BS665/BK665-1)*100)))</f>
        <v>NA</v>
      </c>
      <c r="BU665" s="118">
        <f>BU663*BU684</f>
        <v>587.26400000000001</v>
      </c>
      <c r="BV665" s="98">
        <f>IF(ISERROR((BU665/BM665-1)*100),"NA",IF(((BU665/BM665-1)*100)&gt;100,"NM",IF(((BU665/BM665-1)*100)&lt;-50,"NM",(BU665/BM665-1)*100)))</f>
        <v>8.8315962698847894</v>
      </c>
      <c r="BW665" s="118">
        <f>BW663*BW684</f>
        <v>0</v>
      </c>
      <c r="BX665" s="98" t="str">
        <f>IF(ISERROR((BW665/BO665-1)*100),"NA",IF(((BW665/BO665-1)*100)&gt;100,"NM",IF(((BW665/BO665-1)*100)&lt;-50,"NM",(BW665/BO665-1)*100)))</f>
        <v>NA</v>
      </c>
      <c r="BY665" s="118">
        <f>BY663*BY684</f>
        <v>0</v>
      </c>
      <c r="BZ665" s="98" t="str">
        <f>IF(ISERROR((BY665/BQ665-1)*100),"NA",IF(((BY665/BQ665-1)*100)&gt;100,"NM",IF(((BY665/BQ665-1)*100)&lt;-50,"NM",(BY665/BQ665-1)*100)))</f>
        <v>NA</v>
      </c>
      <c r="CA665" s="118">
        <f>CA663*CA684</f>
        <v>0</v>
      </c>
      <c r="CB665" s="98" t="str">
        <f>IF(ISERROR((CA665/BS665-1)*100),"NA",IF(((CA665/BS665-1)*100)&gt;100,"NM",IF(((CA665/BS665-1)*100)&lt;-50,"NM",(CA665/BS665-1)*100)))</f>
        <v>NA</v>
      </c>
      <c r="CC665" s="118">
        <f>CC663*CC684</f>
        <v>605.91199999999992</v>
      </c>
      <c r="CD665" s="98">
        <f>IF(ISERROR((CC665/BU665-1)*100),"NA",IF(((CC665/BU665-1)*100)&gt;100,"NM",IF(((CC665/BU665-1)*100)&lt;-50,"NM",(CC665/BU665-1)*100)))</f>
        <v>3.175403225806428</v>
      </c>
      <c r="CE665" s="118">
        <f>CE663*CE684</f>
        <v>0</v>
      </c>
      <c r="CF665" s="98" t="str">
        <f>IF(ISERROR((CE665/BW665-1)*100),"NA",IF(((CE665/BW665-1)*100)&gt;100,"NM",IF(((CE665/BW665-1)*100)&lt;-50,"NM",(CE665/BW665-1)*100)))</f>
        <v>NA</v>
      </c>
      <c r="CG665" s="118">
        <f>CG663*CG684</f>
        <v>0</v>
      </c>
      <c r="CH665" s="98" t="str">
        <f>IF(ISERROR((CG665/BY665-1)*100),"NA",IF(((CG665/BY665-1)*100)&gt;100,"NM",IF(((CG665/BY665-1)*100)&lt;-50,"NM",(CG665/BY665-1)*100)))</f>
        <v>NA</v>
      </c>
      <c r="CI665" s="118">
        <f>CI663*CI684</f>
        <v>0</v>
      </c>
      <c r="CJ665" s="98" t="str">
        <f>IF(ISERROR((CI665/CA665-1)*100),"NA",IF(((CI665/CA665-1)*100)&gt;100,"NM",IF(((CI665/CA665-1)*100)&lt;-50,"NM",(CI665/CA665-1)*100)))</f>
        <v>NA</v>
      </c>
      <c r="CK665" s="118">
        <f>CK663*CK684</f>
        <v>780.25600000000009</v>
      </c>
      <c r="CL665" s="98">
        <f>IF(ISERROR((CK665/CC665-1)*100),"NA",IF(((CK665/CC665-1)*100)&gt;100,"NM",IF(((CK665/CC665-1)*100)&lt;-50,"NM",(CK665/CC665-1)*100)))</f>
        <v>28.773815339521281</v>
      </c>
      <c r="CM665" s="118">
        <f>CM663*CM684</f>
        <v>0</v>
      </c>
      <c r="CN665" s="98" t="str">
        <f>IF(ISERROR((CM665/CE665-1)*100),"NA",IF(((CM665/CE665-1)*100)&gt;100,"NM",IF(((CM665/CE665-1)*100)&lt;-50,"NM",(CM665/CE665-1)*100)))</f>
        <v>NA</v>
      </c>
      <c r="CO665" s="118">
        <f>CO663*CO684</f>
        <v>0</v>
      </c>
      <c r="CP665" s="98" t="str">
        <f>IF(ISERROR((CO665/CG665-1)*100),"NA",IF(((CO665/CG665-1)*100)&gt;100,"NM",IF(((CO665/CG665-1)*100)&lt;-50,"NM",(CO665/CG665-1)*100)))</f>
        <v>NA</v>
      </c>
      <c r="CQ665" s="510">
        <f>CQ663*CQ684</f>
        <v>0</v>
      </c>
      <c r="CR665" s="98" t="str">
        <f>IF(ISERROR((CQ665/CI665-1)*100),"NA",IF(((CQ665/CI665-1)*100)&gt;100,"NM",IF(((CQ665/CI665-1)*100)&lt;-50,"NM",(CQ665/CI665-1)*100)))</f>
        <v>NA</v>
      </c>
      <c r="CS665" s="118">
        <f>CS663*CS684</f>
        <v>782.9348</v>
      </c>
      <c r="CT665" s="98">
        <f>IF(ISERROR((CS665/CK665-1)*100),"NA",IF(((CS665/CK665-1)*100)&gt;100,"NM",IF(((CS665/CK665-1)*100)&lt;-50,"NM",(CS665/CK665-1)*100)))</f>
        <v>0.34332321699543922</v>
      </c>
      <c r="CU665" s="118">
        <f>CU663*CU684</f>
        <v>0</v>
      </c>
      <c r="CV665" s="98" t="str">
        <f>IF(ISERROR((CU665/CM665-1)*100),"NA",IF(((CU665/CM665-1)*100)&gt;100,"NM",IF(((CU665/CM665-1)*100)&lt;-50,"NM",(CU665/CM665-1)*100)))</f>
        <v>NA</v>
      </c>
      <c r="CW665" s="118">
        <f>CW663*CW684</f>
        <v>0</v>
      </c>
      <c r="CX665" s="98" t="str">
        <f>IF(ISERROR((CW665/CO665-1)*100),"NA",IF(((CW665/CO665-1)*100)&gt;100,"NM",IF(((CW665/CO665-1)*100)&lt;-50,"NM",(CW665/CO665-1)*100)))</f>
        <v>NA</v>
      </c>
      <c r="CY665" s="118">
        <f>CY663*CY684</f>
        <v>0</v>
      </c>
      <c r="CZ665" s="98" t="str">
        <f>IF(ISERROR((CY665/CQ665-1)*100),"NA",IF(((CY665/CQ665-1)*100)&gt;100,"NM",IF(((CY665/CQ665-1)*100)&lt;-50,"NM",(CY665/CQ665-1)*100)))</f>
        <v>NA</v>
      </c>
      <c r="DA665" s="118">
        <f>DA663*DA684</f>
        <v>807.85799999999983</v>
      </c>
      <c r="DB665" s="98">
        <f>IF(ISERROR((DA665/CS665-1)*100),"NA",IF(((DA665/CS665-1)*100)&gt;100,"NM",IF(((DA665/CS665-1)*100)&lt;-50,"NM",(DA665/CS665-1)*100)))</f>
        <v>3.1833046634278883</v>
      </c>
      <c r="DC665" s="118">
        <f>DC663*DC684</f>
        <v>202.42699999999996</v>
      </c>
      <c r="DD665" s="98" t="str">
        <f>IF(ISERROR((DC665/CU665-1)*100),"NA",IF(((DC665/CU665-1)*100)&gt;100,"NM",IF(((DC665/CU665-1)*100)&lt;-50,"NM",(DC665/CU665-1)*100)))</f>
        <v>NA</v>
      </c>
      <c r="DE665" s="118">
        <f>DE663*DE684</f>
        <v>301.565</v>
      </c>
      <c r="DF665" s="98" t="str">
        <f>IF(ISERROR((DE665/CW665-1)*100),"NA",IF(((DE665/CW665-1)*100)&gt;100,"NM",IF(((DE665/CW665-1)*100)&lt;-50,"NM",(DE665/CW665-1)*100)))</f>
        <v>NA</v>
      </c>
      <c r="DG665" s="118">
        <f>DG663*DG684</f>
        <v>308.22000000000003</v>
      </c>
      <c r="DH665" s="98" t="str">
        <f>IF(ISERROR((DG665/CY665-1)*100),"NA",IF(((DG665/CY665-1)*100)&gt;100,"NM",IF(((DG665/CY665-1)*100)&lt;-50,"NM",(DG665/CY665-1)*100)))</f>
        <v>NA</v>
      </c>
      <c r="DI665" s="118">
        <f>DI663*DI684</f>
        <v>308.55</v>
      </c>
      <c r="DJ665" s="98" t="str">
        <f>IF(ISERROR((DI665/DA665-1)*100),"NA",IF(((DI665/DA665-1)*100)&gt;100,"NM",IF(((DI665/DA665-1)*100)&lt;-50,"NM",(DI665/DA665-1)*100)))</f>
        <v>NM</v>
      </c>
      <c r="DK665" s="118">
        <f>DK663*DK684</f>
        <v>309.32</v>
      </c>
      <c r="DL665" s="98">
        <f>IF(ISERROR((DK665/DC665-1)*100),"NA",IF(((DK665/DC665-1)*100)&gt;100,"NM",IF(((DK665/DC665-1)*100)&lt;-50,"NM",(DK665/DC665-1)*100)))</f>
        <v>52.805702796563715</v>
      </c>
      <c r="DM665" s="118">
        <f>DM663*DM684</f>
        <v>394.30999999999995</v>
      </c>
      <c r="DN665" s="98">
        <f>IF(ISERROR((DM665/DE665-1)*100),"NA",IF(((DM665/DE665-1)*100)&gt;100,"NM",IF(((DM665/DE665-1)*100)&lt;-50,"NM",(DM665/DE665-1)*100)))</f>
        <v>30.754563692736212</v>
      </c>
      <c r="DO665" s="118">
        <f>DO663*DO684</f>
        <v>391.68499999999995</v>
      </c>
      <c r="DP665" s="98">
        <f>IF(ISERROR((DO665/DG665-1)*100),"NA",IF(((DO665/DG665-1)*100)&gt;100,"NM",IF(((DO665/DG665-1)*100)&lt;-50,"NM",(DO665/DG665-1)*100)))</f>
        <v>27.079683343066606</v>
      </c>
      <c r="DQ665" s="118">
        <f>DQ663*DQ684</f>
        <v>396.16499999999991</v>
      </c>
      <c r="DR665" s="98">
        <f>IF(ISERROR((DQ665/DI665-1)*100),"NA",IF(((DQ665/DI665-1)*100)&gt;100,"NM",IF(((DQ665/DI665-1)*100)&lt;-50,"NM",(DQ665/DI665-1)*100)))</f>
        <v>28.395721925133664</v>
      </c>
      <c r="DS665" s="118">
        <f>DS663*DS684</f>
        <v>417.8624999999999</v>
      </c>
      <c r="DT665" s="98">
        <f>IF(ISERROR((DS665/DK665-1)*100),"NA",IF(((DS665/DK665-1)*100)&gt;100,"NM",IF(((DS665/DK665-1)*100)&lt;-50,"NM",(DS665/DK665-1)*100)))</f>
        <v>35.090682788051183</v>
      </c>
      <c r="DU665" s="118">
        <f>DU663*DU684</f>
        <v>418.7999999999999</v>
      </c>
      <c r="DV665" s="98">
        <f>IF(ISERROR((DU665/DM665-1)*100),"NA",IF(((DU665/DM665-1)*100)&gt;100,"NM",IF(((DU665/DM665-1)*100)&lt;-50,"NM",(DU665/DM665-1)*100)))</f>
        <v>6.2108493317440505</v>
      </c>
      <c r="DW665" s="118">
        <f>DW663*DW684</f>
        <v>418.0499999999999</v>
      </c>
      <c r="DX665" s="98">
        <f>IF(ISERROR((DW665/DO665-1)*100),"NA",IF(((DW665/DO665-1)*100)&gt;100,"NM",IF(((DW665/DO665-1)*100)&lt;-50,"NM",(DW665/DO665-1)*100)))</f>
        <v>6.731174285458974</v>
      </c>
      <c r="DY665" s="118">
        <f>DY663*DY684</f>
        <v>411.74999999999989</v>
      </c>
      <c r="DZ665" s="98">
        <f>IF(ISERROR((DY665/DQ665-1)*100),"NA",IF(((DY665/DQ665-1)*100)&gt;100,"NM",IF(((DY665/DQ665-1)*100)&lt;-50,"NM",(DY665/DQ665-1)*100)))</f>
        <v>3.9339669077278261</v>
      </c>
      <c r="EA665" s="118">
        <f>EA663*EA684</f>
        <v>411.93749999999989</v>
      </c>
      <c r="EB665" s="98">
        <f>IF(ISERROR((EA665/DS665-1)*100),"NA",IF(((EA665/DS665-1)*100)&gt;100,"NM",IF(((EA665/DS665-1)*100)&lt;-50,"NM",(EA665/DS665-1)*100)))</f>
        <v>-1.4179305393520636</v>
      </c>
      <c r="EC665" s="118">
        <f>EC663*EC684</f>
        <v>412.0499999999999</v>
      </c>
      <c r="ED665" s="98">
        <f>IF(ISERROR((EC665/DU665-1)*100),"NA",IF(((EC665/DU665-1)*100)&gt;100,"NM",IF(((EC665/DU665-1)*100)&lt;-50,"NM",(EC665/DU665-1)*100)))</f>
        <v>-1.6117478510028649</v>
      </c>
      <c r="EE665" s="118">
        <f>EE663*EE684</f>
        <v>412.12499999999989</v>
      </c>
      <c r="EF665" s="860">
        <f>IF(ISERROR((EE665/DW665-1)*100),"NA",IF(((EE665/DW665-1)*100)&gt;100,"NM",IF(((EE665/DW665-1)*100)&lt;-50,"NM",(EE665/DW665-1)*100)))</f>
        <v>-1.4172945819878047</v>
      </c>
      <c r="EG665" s="118">
        <f>EG663*EG684</f>
        <v>438.19999999999993</v>
      </c>
      <c r="EH665" s="860">
        <f>IF(ISERROR((EG665/DY665-1)*100),"NA",IF(((EG665/DY665-1)*100)&gt;100,"NM",IF(((EG665/DY665-1)*100)&lt;-50,"NM",(EG665/DY665-1)*100)))</f>
        <v>6.4238008500303811</v>
      </c>
      <c r="EI665" s="118">
        <f>EI663*EI684</f>
        <v>432.51999999999992</v>
      </c>
      <c r="EJ665" s="860">
        <f t="shared" si="4037"/>
        <v>4.9965103929601185</v>
      </c>
      <c r="EK665" s="118">
        <f>EK663*EK684</f>
        <v>425.39999999999992</v>
      </c>
      <c r="EL665" s="860">
        <f t="shared" si="4038"/>
        <v>3.2398980706225045</v>
      </c>
      <c r="EM665" s="118">
        <f>EM663*EM684</f>
        <v>421.71999999999991</v>
      </c>
      <c r="EN665" s="860">
        <f t="shared" si="4039"/>
        <v>2.3281771307249066</v>
      </c>
      <c r="EO665" s="118">
        <f>EO663*EO684</f>
        <v>417.43999999999988</v>
      </c>
      <c r="EP665" s="98">
        <f t="shared" si="4040"/>
        <v>-4.7375627567320944</v>
      </c>
      <c r="EQ665" s="840">
        <f t="shared" ref="EQ665" si="4052">EQ663*EQ684</f>
        <v>410.42055479175883</v>
      </c>
      <c r="ER665" s="98">
        <f t="shared" si="4042"/>
        <v>-5.1094620383429934</v>
      </c>
      <c r="ES665" s="840">
        <f t="shared" ref="ES665" si="4053">ES663*ES684</f>
        <v>403.48732034887735</v>
      </c>
      <c r="ET665" s="98">
        <f t="shared" si="4044"/>
        <v>-5.1510765517448487</v>
      </c>
      <c r="EU665" s="840">
        <f t="shared" ref="EU665" si="4054">EU663*EU684</f>
        <v>397.44524101076058</v>
      </c>
      <c r="EV665" s="98">
        <f t="shared" si="4046"/>
        <v>-5.7561317910555188</v>
      </c>
      <c r="EW665" s="840">
        <f t="shared" ref="EW665" si="4055">EW663*EW684</f>
        <v>420.83607379619593</v>
      </c>
      <c r="EX665" s="98">
        <f t="shared" si="4047"/>
        <v>0.81354776643254301</v>
      </c>
      <c r="EY665" s="349"/>
      <c r="EZ665" s="594"/>
      <c r="FA665" s="405"/>
      <c r="FB665" s="244"/>
      <c r="FC665" s="98"/>
      <c r="FD665" s="244"/>
      <c r="FE665" s="98"/>
      <c r="FF665" s="349">
        <f>FF663*FF684</f>
        <v>152.14000000000001</v>
      </c>
      <c r="FG665" s="98" t="str">
        <f>IF(ISERROR((FF665/FD665-1)*100),"NA",IF(((FF665/FD665-1)*100)&gt;100,"NM",IF(((FF665/FD665-1)*100)&lt;-50,"NM",(FF665/FD665-1)*100)))</f>
        <v>NA</v>
      </c>
      <c r="FH665" s="349">
        <f>FH663*FH684</f>
        <v>143.1</v>
      </c>
      <c r="FI665" s="98">
        <f>IF(ISERROR((FH665/FF665-1)*100),"NA",IF(((FH665/FF665-1)*100)&gt;100,"NM",IF(((FH665/FF665-1)*100)&lt;-50,"NM",(FH665/FF665-1)*100)))</f>
        <v>-5.9418956224530195</v>
      </c>
      <c r="FJ665" s="349">
        <f>FJ663*FJ684</f>
        <v>147.06299999999999</v>
      </c>
      <c r="FK665" s="98">
        <f>IF(ISERROR((FJ665/FH665-1)*100),"NA",IF(((FJ665/FH665-1)*100)&gt;100,"NM",IF(((FJ665/FH665-1)*100)&lt;-50,"NM",(FJ665/FH665-1)*100)))</f>
        <v>2.7693920335429834</v>
      </c>
      <c r="FL665" s="349">
        <f>FL663*FL684</f>
        <v>174.15600000000001</v>
      </c>
      <c r="FM665" s="98">
        <f>IF(ISERROR((FL665/FJ665-1)*100),"NA",IF(((FL665/FJ665-1)*100)&gt;100,"NM",IF(((FL665/FJ665-1)*100)&lt;-50,"NM",(FL665/FJ665-1)*100)))</f>
        <v>18.422716794843041</v>
      </c>
      <c r="FN665" s="349">
        <f>FN663*FN684</f>
        <v>336.95</v>
      </c>
      <c r="FO665" s="98">
        <f>IF(ISERROR((FN665/FL665-1)*100),"NA",IF(((FN665/FL665-1)*100)&gt;100,"NM",IF(((FN665/FL665-1)*100)&lt;-50,"NM",(FN665/FL665-1)*100)))</f>
        <v>93.47596407818277</v>
      </c>
      <c r="FP665" s="349">
        <f>FP663*FP684</f>
        <v>393.90000000000003</v>
      </c>
      <c r="FQ665" s="98">
        <f>IF(ISERROR((FP665/FN665-1)*100),"NA",IF(((FP665/FN665-1)*100)&gt;100,"NM",IF(((FP665/FN665-1)*100)&lt;-50,"NM",(FP665/FN665-1)*100)))</f>
        <v>16.901617450660346</v>
      </c>
      <c r="FR665" s="350">
        <f>FR663*FR684</f>
        <v>443.67999999999995</v>
      </c>
      <c r="FS665" s="120">
        <f>IF(ISERROR((FR665/FP665-1)*100),"NA",IF(((FR665/FP665-1)*100)&gt;100,"NM",IF(((FR665/FP665-1)*100)&lt;-50,"NM",(FR665/FP665-1)*100)))</f>
        <v>12.637725310992609</v>
      </c>
      <c r="FT665" s="350">
        <f>FT663*FT684</f>
        <v>539.60800000000006</v>
      </c>
      <c r="FU665" s="120">
        <f>IF(ISERROR((FT665/FR665-1)*100),"NA",IF(((FT665/FR665-1)*100)&gt;100,"NM",IF(((FT665/FR665-1)*100)&lt;-50,"NM",(FT665/FR665-1)*100)))</f>
        <v>21.620988099531214</v>
      </c>
      <c r="FV665" s="350">
        <f>FV663*FV684</f>
        <v>587.26400000000001</v>
      </c>
      <c r="FW665" s="98">
        <f>IF(ISERROR((FV665/FT665-1)*100),"NA",IF(((FV665/FT665-1)*100)&gt;100,"NM",IF(((FV665/FT665-1)*100)&lt;-50,"NM",(FV665/FT665-1)*100)))</f>
        <v>8.8315962698847894</v>
      </c>
      <c r="FX665" s="485">
        <f>FX663*FX684</f>
        <v>605.91199999999992</v>
      </c>
      <c r="FY665" s="98">
        <f>IF(ISERROR((FX665/FV665-1)*100),"NA",IF(((FX665/FV665-1)*100)&gt;100,"NM",IF(((FX665/FV665-1)*100)&lt;-50,"NM",(FX665/FV665-1)*100)))</f>
        <v>3.175403225806428</v>
      </c>
      <c r="FZ665" s="350">
        <f>FZ663*FZ684</f>
        <v>780.25600000000009</v>
      </c>
      <c r="GA665" s="98">
        <f>IF(ISERROR((FZ665/FX665-1)*100),"NA",IF(((FZ665/FX665-1)*100)&gt;100,"NM",IF(((FZ665/FX665-1)*100)&lt;-50,"NM",(FZ665/FX665-1)*100)))</f>
        <v>28.773815339521281</v>
      </c>
      <c r="GB665" s="485">
        <f>GB663*GB684</f>
        <v>782.9348</v>
      </c>
      <c r="GC665" s="98">
        <f>IF(ISERROR((GB665/FZ665-1)*100),"NA",IF(((GB665/FZ665-1)*100)&gt;100,"NM",IF(((GB665/FZ665-1)*100)&lt;-50,"NM",(GB665/FZ665-1)*100)))</f>
        <v>0.34332321699543922</v>
      </c>
      <c r="GD665" s="350">
        <f>GD663*GD684</f>
        <v>807.87279999999998</v>
      </c>
      <c r="GE665" s="98">
        <f>IF(ISERROR((GD665/GB665-1)*100),"NA",IF(((GD665/GB665-1)*100)&gt;100,"NM",IF(((GD665/GB665-1)*100)&lt;-50,"NM",(GD665/GB665-1)*100)))</f>
        <v>3.1851949868622498</v>
      </c>
      <c r="GF665" s="350">
        <f>GF663*GF684</f>
        <v>1133.2402000000002</v>
      </c>
      <c r="GG665" s="98">
        <f>IF(ISERROR((GF665/GD665-1)*100),"NA",IF(((GF665/GD665-1)*100)&gt;100,"NM",IF(((GF665/GD665-1)*100)&lt;-50,"NM",(GF665/GD665-1)*100)))</f>
        <v>40.274582830366398</v>
      </c>
      <c r="GH665" s="350">
        <f>GH663*GH684</f>
        <v>1499.7940000000001</v>
      </c>
      <c r="GI665" s="98">
        <f>IF(ISERROR((GH665/GF665-1)*100),"NA",IF(((GH665/GF665-1)*100)&gt;100,"NM",IF(((GH665/GF665-1)*100)&lt;-50,"NM",(GH665/GF665-1)*100)))</f>
        <v>32.345640403508447</v>
      </c>
      <c r="GJ665" s="350">
        <f>GJ663*GJ684</f>
        <v>1647.03</v>
      </c>
      <c r="GK665" s="98">
        <f>IF(ISERROR((GJ665/GH665-1)*100),"NA",IF(((GJ665/GH665-1)*100)&gt;100,"NM",IF(((GJ665/GH665-1)*100)&lt;-50,"NM",(GJ665/GH665-1)*100)))</f>
        <v>9.8170815458656246</v>
      </c>
      <c r="GL665" s="350">
        <f>GL663*GL684</f>
        <v>1670.6679999999999</v>
      </c>
      <c r="GM665" s="98">
        <f>IF(ISERROR((GL665/GJ665-1)*100),"NA",IF(((GL665/GJ665-1)*100)&gt;100,"NM",IF(((GL665/GJ665-1)*100)&lt;-50,"NM",(GL665/GJ665-1)*100)))</f>
        <v>1.4351894015288025</v>
      </c>
      <c r="GN665" s="350">
        <f>GN663*GN684</f>
        <v>1669.7920000000004</v>
      </c>
      <c r="GO665" s="98">
        <f>IF(ISERROR((GN665/GL665-1)*100),"NA",IF(((GN665/GL665-1)*100)&gt;100,"NM",IF(((GN665/GL665-1)*100)&lt;-50,"NM",(GN665/GL665-1)*100)))</f>
        <v>-5.2434116173860623E-2</v>
      </c>
      <c r="GP665" s="350">
        <f>GP663*GP684</f>
        <v>1595.2949262506972</v>
      </c>
      <c r="GQ665" s="98">
        <f>IF(ISERROR((GP665/GN665-1)*100),"NA",IF(((GP665/GN665-1)*100)&gt;100,"NM",IF(((GP665/GN665-1)*100)&lt;-50,"NM",(GP665/GN665-1)*100)))</f>
        <v>-4.4614582983571127</v>
      </c>
      <c r="GR665" s="349">
        <f>GR663*GR684</f>
        <v>1642.5906083832169</v>
      </c>
      <c r="GS665" s="98">
        <f>IF(ISERROR((GR665/GP665-1)*100),"NA",IF(((GR665/GP665-1)*100)&gt;100,"NM",IF(((GR665/GP665-1)*100)&lt;-50,"NM",(GR665/GP665-1)*100)))</f>
        <v>2.9646983359794987</v>
      </c>
      <c r="GT665" s="349">
        <f>GT663*GT684</f>
        <v>1705.5342553365444</v>
      </c>
      <c r="GU665" s="98">
        <f>IF(ISERROR((GT665/GR665-1)*100),"NA",IF(((GT665/GR665-1)*100)&gt;100,"NM",IF(((GT665/GR665-1)*100)&lt;-50,"NM",(GT665/GR665-1)*100)))</f>
        <v>3.8319741165013799</v>
      </c>
      <c r="GV665" s="349">
        <f>GV663*GV684</f>
        <v>1769.2561778479228</v>
      </c>
      <c r="GW665" s="98">
        <f>IF(ISERROR((GV665/GT665-1)*100),"NA",IF(((GV665/GT665-1)*100)&gt;100,"NM",IF(((GV665/GT665-1)*100)&lt;-50,"NM",(GV665/GT665-1)*100)))</f>
        <v>3.7361854393715754</v>
      </c>
      <c r="GX665" s="349">
        <f>GX663*GX684</f>
        <v>1833.2772435900597</v>
      </c>
      <c r="GY665" s="98">
        <f>IF(ISERROR((GX665/GV665-1)*100),"NA",IF(((GX665/GV665-1)*100)&gt;100,"NM",IF(((GX665/GV665-1)*100)&lt;-50,"NM",(GX665/GV665-1)*100)))</f>
        <v>3.6185300096004402</v>
      </c>
      <c r="GZ665" s="98">
        <f>IF(ISERROR(((GX665/GN665)^0.2-1)*100),"NA",IF((((GX665/GN665)^0.2-1)*100)&gt;100,"NM",IF((((GX665/GN665)^0.2-1)*100)&lt;-50,"NM",((GX665/GN665)^0.2-1)*100)))</f>
        <v>1.8856814009971634</v>
      </c>
      <c r="HA665" s="98"/>
      <c r="HB665" s="10"/>
      <c r="HC665"/>
      <c r="HD665"/>
      <c r="HE665"/>
      <c r="HF665"/>
      <c r="HG665"/>
      <c r="HH665"/>
      <c r="HI665" s="10"/>
    </row>
    <row r="666" spans="1:217" s="2" customFormat="1" ht="12.75" customHeight="1" x14ac:dyDescent="0.2">
      <c r="A666" s="351"/>
      <c r="B666" s="18"/>
      <c r="C666" s="244"/>
      <c r="D666" s="113"/>
      <c r="E666" s="244"/>
      <c r="F666" s="113"/>
      <c r="G666" s="244"/>
      <c r="H666" s="113"/>
      <c r="I666" s="244"/>
      <c r="J666" s="113"/>
      <c r="K666" s="244"/>
      <c r="L666" s="113"/>
      <c r="M666" s="244"/>
      <c r="N666" s="113"/>
      <c r="O666" s="244"/>
      <c r="P666" s="113"/>
      <c r="Q666" s="244"/>
      <c r="R666" s="113"/>
      <c r="S666" s="244"/>
      <c r="T666" s="113"/>
      <c r="U666" s="244"/>
      <c r="V666" s="113"/>
      <c r="W666" s="244"/>
      <c r="X666" s="113"/>
      <c r="Y666" s="244"/>
      <c r="Z666" s="113"/>
      <c r="AA666" s="244"/>
      <c r="AB666" s="113"/>
      <c r="AC666" s="244"/>
      <c r="AD666" s="113"/>
      <c r="AE666" s="244"/>
      <c r="AF666" s="113"/>
      <c r="AG666" s="95"/>
      <c r="AH666" s="113"/>
      <c r="AI666" s="95"/>
      <c r="AJ666" s="113"/>
      <c r="AK666" s="95"/>
      <c r="AL666" s="113"/>
      <c r="AM666" s="95"/>
      <c r="AN666" s="113"/>
      <c r="AO666" s="95"/>
      <c r="AP666" s="113"/>
      <c r="AQ666" s="95"/>
      <c r="AR666" s="113"/>
      <c r="AS666" s="95"/>
      <c r="AT666" s="113"/>
      <c r="AU666" s="95"/>
      <c r="AV666" s="113"/>
      <c r="AW666" s="95"/>
      <c r="AX666" s="113"/>
      <c r="AY666" s="95"/>
      <c r="AZ666" s="113"/>
      <c r="BA666" s="95"/>
      <c r="BB666" s="113"/>
      <c r="BC666" s="95"/>
      <c r="BD666" s="113"/>
      <c r="BE666" s="95"/>
      <c r="BF666" s="113"/>
      <c r="BG666" s="95"/>
      <c r="BH666" s="113"/>
      <c r="BI666" s="95"/>
      <c r="BJ666" s="113"/>
      <c r="BK666" s="95"/>
      <c r="BL666" s="113"/>
      <c r="BM666" s="95"/>
      <c r="BN666" s="113"/>
      <c r="BO666" s="95"/>
      <c r="BP666" s="113"/>
      <c r="BQ666" s="95"/>
      <c r="BR666" s="113"/>
      <c r="BS666" s="95"/>
      <c r="BT666" s="113"/>
      <c r="BU666" s="95"/>
      <c r="BV666" s="113"/>
      <c r="BW666" s="95"/>
      <c r="BX666" s="113"/>
      <c r="BY666" s="95"/>
      <c r="BZ666" s="113"/>
      <c r="CA666" s="95"/>
      <c r="CB666" s="113"/>
      <c r="CC666" s="95"/>
      <c r="CD666" s="113"/>
      <c r="CE666" s="95"/>
      <c r="CF666" s="113"/>
      <c r="CG666" s="95"/>
      <c r="CH666" s="113"/>
      <c r="CI666" s="95"/>
      <c r="CJ666" s="113"/>
      <c r="CK666" s="95"/>
      <c r="CL666" s="113"/>
      <c r="CM666" s="95"/>
      <c r="CN666" s="113"/>
      <c r="CO666" s="95"/>
      <c r="CP666" s="113"/>
      <c r="CQ666" s="506"/>
      <c r="CR666" s="113"/>
      <c r="CS666" s="95"/>
      <c r="CT666" s="113"/>
      <c r="CU666" s="95"/>
      <c r="CV666" s="113"/>
      <c r="CW666" s="95"/>
      <c r="CX666" s="113"/>
      <c r="CY666" s="95"/>
      <c r="CZ666" s="113"/>
      <c r="DA666" s="95"/>
      <c r="DB666" s="113"/>
      <c r="DC666" s="95"/>
      <c r="DD666" s="113"/>
      <c r="DE666" s="95"/>
      <c r="DF666" s="113"/>
      <c r="DG666" s="95"/>
      <c r="DH666" s="113"/>
      <c r="DI666" s="95"/>
      <c r="DJ666" s="113"/>
      <c r="DK666" s="95"/>
      <c r="DL666" s="113"/>
      <c r="DM666" s="95"/>
      <c r="DN666" s="113"/>
      <c r="DO666" s="95"/>
      <c r="DP666" s="113"/>
      <c r="DQ666" s="95"/>
      <c r="DR666" s="113"/>
      <c r="DS666" s="95"/>
      <c r="DT666" s="113"/>
      <c r="DU666" s="95"/>
      <c r="DV666" s="113"/>
      <c r="DW666" s="95"/>
      <c r="DX666" s="113"/>
      <c r="DY666" s="95"/>
      <c r="DZ666" s="113"/>
      <c r="EA666" s="95"/>
      <c r="EB666" s="113"/>
      <c r="EC666" s="95"/>
      <c r="ED666" s="113"/>
      <c r="EE666" s="95"/>
      <c r="EF666" s="859"/>
      <c r="EG666" s="95"/>
      <c r="EH666" s="859"/>
      <c r="EI666" s="95"/>
      <c r="EJ666" s="859"/>
      <c r="EK666" s="95"/>
      <c r="EL666" s="859"/>
      <c r="EM666" s="95"/>
      <c r="EN666" s="859"/>
      <c r="EO666" s="95"/>
      <c r="EP666" s="113"/>
      <c r="EQ666" s="823"/>
      <c r="ER666" s="113"/>
      <c r="ES666" s="823"/>
      <c r="ET666" s="113"/>
      <c r="EU666" s="823"/>
      <c r="EV666" s="113"/>
      <c r="EW666" s="823"/>
      <c r="EX666" s="113"/>
      <c r="EY666" s="244"/>
      <c r="EZ666" s="594"/>
      <c r="FA666" s="405"/>
      <c r="FB666" s="244"/>
      <c r="FC666" s="113"/>
      <c r="FD666" s="244"/>
      <c r="FE666" s="113"/>
      <c r="FF666" s="244"/>
      <c r="FG666" s="113"/>
      <c r="FH666" s="244"/>
      <c r="FI666" s="113"/>
      <c r="FJ666" s="244"/>
      <c r="FK666" s="113"/>
      <c r="FL666" s="244"/>
      <c r="FM666" s="113"/>
      <c r="FN666" s="244"/>
      <c r="FO666" s="113"/>
      <c r="FP666" s="244"/>
      <c r="FQ666" s="113"/>
      <c r="FR666" s="245"/>
      <c r="FS666" s="116"/>
      <c r="FT666" s="245"/>
      <c r="FU666" s="116"/>
      <c r="FV666" s="245"/>
      <c r="FW666" s="113"/>
      <c r="FX666" s="480"/>
      <c r="FY666" s="113"/>
      <c r="FZ666" s="245"/>
      <c r="GA666" s="113"/>
      <c r="GB666" s="480"/>
      <c r="GC666" s="113"/>
      <c r="GD666" s="245"/>
      <c r="GE666" s="113"/>
      <c r="GF666" s="245"/>
      <c r="GG666" s="113"/>
      <c r="GH666" s="245"/>
      <c r="GI666" s="113"/>
      <c r="GJ666" s="245"/>
      <c r="GK666" s="113"/>
      <c r="GL666" s="245"/>
      <c r="GM666" s="113"/>
      <c r="GN666" s="245"/>
      <c r="GO666" s="113"/>
      <c r="GP666" s="245"/>
      <c r="GQ666" s="113"/>
      <c r="GR666" s="244"/>
      <c r="GS666" s="113"/>
      <c r="GT666" s="244"/>
      <c r="GU666" s="113"/>
      <c r="GV666" s="244"/>
      <c r="GW666" s="113"/>
      <c r="GX666" s="244"/>
      <c r="GY666" s="113"/>
      <c r="GZ666" s="113"/>
      <c r="HA666" s="113"/>
      <c r="HB666" s="10"/>
      <c r="HC666"/>
      <c r="HD666"/>
      <c r="HE666"/>
      <c r="HF666"/>
      <c r="HG666"/>
      <c r="HH666"/>
      <c r="HI666" s="10"/>
    </row>
    <row r="667" spans="1:217" s="2" customFormat="1" ht="12.75" customHeight="1" x14ac:dyDescent="0.2">
      <c r="A667" s="351"/>
      <c r="B667" s="19" t="s">
        <v>529</v>
      </c>
      <c r="C667" s="243"/>
      <c r="D667" s="113"/>
      <c r="E667" s="243"/>
      <c r="F667" s="113"/>
      <c r="G667" s="243"/>
      <c r="H667" s="113"/>
      <c r="I667" s="243"/>
      <c r="J667" s="113"/>
      <c r="K667" s="243"/>
      <c r="L667" s="113"/>
      <c r="M667" s="243"/>
      <c r="N667" s="113"/>
      <c r="O667" s="243"/>
      <c r="P667" s="113"/>
      <c r="Q667" s="243"/>
      <c r="R667" s="113"/>
      <c r="S667" s="243"/>
      <c r="T667" s="113"/>
      <c r="U667" s="243"/>
      <c r="V667" s="113"/>
      <c r="W667" s="243"/>
      <c r="X667" s="113"/>
      <c r="Y667" s="243"/>
      <c r="Z667" s="113"/>
      <c r="AA667" s="243"/>
      <c r="AB667" s="113"/>
      <c r="AC667" s="243"/>
      <c r="AD667" s="113"/>
      <c r="AE667" s="243"/>
      <c r="AF667" s="113"/>
      <c r="AG667" s="94"/>
      <c r="AH667" s="113"/>
      <c r="AI667" s="94"/>
      <c r="AJ667" s="113"/>
      <c r="AK667" s="94"/>
      <c r="AL667" s="113"/>
      <c r="AM667" s="94"/>
      <c r="AN667" s="113"/>
      <c r="AO667" s="94"/>
      <c r="AP667" s="113"/>
      <c r="AQ667" s="94"/>
      <c r="AR667" s="113"/>
      <c r="AS667" s="94"/>
      <c r="AT667" s="113"/>
      <c r="AU667" s="94"/>
      <c r="AV667" s="113"/>
      <c r="AW667" s="94"/>
      <c r="AX667" s="113"/>
      <c r="AY667" s="94"/>
      <c r="AZ667" s="113"/>
      <c r="BA667" s="94"/>
      <c r="BB667" s="113"/>
      <c r="BC667" s="94"/>
      <c r="BD667" s="113"/>
      <c r="BE667" s="94"/>
      <c r="BF667" s="113"/>
      <c r="BG667" s="94"/>
      <c r="BH667" s="113"/>
      <c r="BI667" s="94"/>
      <c r="BJ667" s="113"/>
      <c r="BK667" s="94"/>
      <c r="BL667" s="113"/>
      <c r="BM667" s="94"/>
      <c r="BN667" s="113"/>
      <c r="BO667" s="94"/>
      <c r="BP667" s="113"/>
      <c r="BQ667" s="94"/>
      <c r="BR667" s="113"/>
      <c r="BS667" s="94"/>
      <c r="BT667" s="113"/>
      <c r="BU667" s="94"/>
      <c r="BV667" s="113"/>
      <c r="BW667" s="94"/>
      <c r="BX667" s="113"/>
      <c r="BY667" s="94"/>
      <c r="BZ667" s="113"/>
      <c r="CA667" s="94"/>
      <c r="CB667" s="113"/>
      <c r="CC667" s="94"/>
      <c r="CD667" s="113"/>
      <c r="CE667" s="94"/>
      <c r="CF667" s="113"/>
      <c r="CG667" s="94"/>
      <c r="CH667" s="113"/>
      <c r="CI667" s="94"/>
      <c r="CJ667" s="113"/>
      <c r="CK667" s="94"/>
      <c r="CL667" s="113"/>
      <c r="CM667" s="94"/>
      <c r="CN667" s="113"/>
      <c r="CO667" s="94"/>
      <c r="CP667" s="113"/>
      <c r="CQ667" s="533"/>
      <c r="CR667" s="113"/>
      <c r="CS667" s="94"/>
      <c r="CT667" s="113"/>
      <c r="CU667" s="94"/>
      <c r="CV667" s="113"/>
      <c r="CW667" s="94"/>
      <c r="CX667" s="113"/>
      <c r="CY667" s="94"/>
      <c r="CZ667" s="113"/>
      <c r="DA667" s="94"/>
      <c r="DB667" s="113"/>
      <c r="DC667" s="94"/>
      <c r="DD667" s="113"/>
      <c r="DE667" s="94"/>
      <c r="DF667" s="113"/>
      <c r="DG667" s="94"/>
      <c r="DH667" s="113"/>
      <c r="DI667" s="94"/>
      <c r="DJ667" s="113"/>
      <c r="DK667" s="94"/>
      <c r="DL667" s="113"/>
      <c r="DM667" s="94"/>
      <c r="DN667" s="113"/>
      <c r="DO667" s="94"/>
      <c r="DP667" s="113"/>
      <c r="DQ667" s="94"/>
      <c r="DR667" s="113"/>
      <c r="DS667" s="94"/>
      <c r="DT667" s="113"/>
      <c r="DU667" s="94"/>
      <c r="DV667" s="113"/>
      <c r="DW667" s="94"/>
      <c r="DX667" s="113"/>
      <c r="DY667" s="94"/>
      <c r="DZ667" s="113"/>
      <c r="EA667" s="94"/>
      <c r="EB667" s="113"/>
      <c r="EC667" s="94"/>
      <c r="ED667" s="113"/>
      <c r="EE667" s="94"/>
      <c r="EF667" s="859"/>
      <c r="EG667" s="94"/>
      <c r="EH667" s="859"/>
      <c r="EI667" s="94"/>
      <c r="EJ667" s="859"/>
      <c r="EK667" s="94"/>
      <c r="EL667" s="859"/>
      <c r="EM667" s="94"/>
      <c r="EN667" s="859"/>
      <c r="EO667" s="94"/>
      <c r="EP667" s="113"/>
      <c r="EQ667" s="823"/>
      <c r="ER667" s="113"/>
      <c r="ES667" s="823"/>
      <c r="ET667" s="113"/>
      <c r="EU667" s="823"/>
      <c r="EV667" s="113"/>
      <c r="EW667" s="823"/>
      <c r="EX667" s="113"/>
      <c r="EY667" s="244"/>
      <c r="EZ667" s="594"/>
      <c r="FA667" s="405"/>
      <c r="FB667" s="244"/>
      <c r="FC667" s="113"/>
      <c r="FD667" s="243"/>
      <c r="FE667" s="113"/>
      <c r="FF667" s="244"/>
      <c r="FG667" s="113"/>
      <c r="FH667" s="244"/>
      <c r="FI667" s="113"/>
      <c r="FJ667" s="244"/>
      <c r="FK667" s="113"/>
      <c r="FL667" s="244"/>
      <c r="FM667" s="113"/>
      <c r="FN667" s="244"/>
      <c r="FO667" s="113"/>
      <c r="FP667" s="244"/>
      <c r="FQ667" s="113"/>
      <c r="FR667" s="245"/>
      <c r="FS667" s="116"/>
      <c r="FT667" s="245"/>
      <c r="FU667" s="116"/>
      <c r="FV667" s="245"/>
      <c r="FW667" s="113"/>
      <c r="FX667" s="480"/>
      <c r="FY667" s="113"/>
      <c r="FZ667" s="245"/>
      <c r="GA667" s="113"/>
      <c r="GB667" s="480"/>
      <c r="GC667" s="113"/>
      <c r="GD667" s="245"/>
      <c r="GE667" s="113"/>
      <c r="GF667" s="245"/>
      <c r="GG667" s="113"/>
      <c r="GH667" s="245"/>
      <c r="GI667" s="113"/>
      <c r="GJ667" s="245"/>
      <c r="GK667" s="113"/>
      <c r="GL667" s="245"/>
      <c r="GM667" s="113"/>
      <c r="GN667" s="245"/>
      <c r="GO667" s="113"/>
      <c r="GP667" s="245"/>
      <c r="GQ667" s="113"/>
      <c r="GR667" s="244"/>
      <c r="GS667" s="113"/>
      <c r="GT667" s="244"/>
      <c r="GU667" s="113"/>
      <c r="GV667" s="244"/>
      <c r="GW667" s="113"/>
      <c r="GX667" s="244"/>
      <c r="GY667" s="113"/>
      <c r="GZ667" s="113"/>
      <c r="HA667" s="113"/>
      <c r="HB667" s="10"/>
      <c r="HC667"/>
      <c r="HD667"/>
      <c r="HE667"/>
      <c r="HF667"/>
      <c r="HG667"/>
      <c r="HH667"/>
      <c r="HI667" s="10"/>
    </row>
    <row r="668" spans="1:217" s="2" customFormat="1" ht="12.75" customHeight="1" x14ac:dyDescent="0.2">
      <c r="A668" s="351" t="s">
        <v>287</v>
      </c>
      <c r="B668" s="18" t="s">
        <v>464</v>
      </c>
      <c r="C668" s="40">
        <f>179+73</f>
        <v>252</v>
      </c>
      <c r="D668" s="98"/>
      <c r="E668" s="352">
        <v>0</v>
      </c>
      <c r="F668" s="98"/>
      <c r="G668" s="352">
        <v>0</v>
      </c>
      <c r="H668" s="98"/>
      <c r="I668" s="352">
        <v>0</v>
      </c>
      <c r="J668" s="98"/>
      <c r="K668" s="352">
        <v>0</v>
      </c>
      <c r="L668" s="98" t="str">
        <f>IF(ISERROR((K668/C668-1)*100),"NA",IF(((K668/C668-1)*100)&gt;100,"NM",IF(((K668/C668-1)*100)&lt;-50,"NM",(K668/C668-1)*100)))</f>
        <v>NM</v>
      </c>
      <c r="M668" s="352">
        <v>0</v>
      </c>
      <c r="N668" s="98" t="str">
        <f>IF(ISERROR((M668/E668-1)*100),"NA",IF(((M668/E668-1)*100)&gt;100,"NM",IF(((M668/E668-1)*100)&lt;-50,"NM",(M668/E668-1)*100)))</f>
        <v>NA</v>
      </c>
      <c r="O668" s="352">
        <v>0</v>
      </c>
      <c r="P668" s="98" t="str">
        <f>IF(ISERROR((O668/G668-1)*100),"NA",IF(((O668/G668-1)*100)&gt;100,"NM",IF(((O668/G668-1)*100)&lt;-50,"NM",(O668/G668-1)*100)))</f>
        <v>NA</v>
      </c>
      <c r="Q668" s="352">
        <v>0</v>
      </c>
      <c r="R668" s="98" t="str">
        <f>IF(ISERROR((Q668/I668-1)*100),"NA",IF(((Q668/I668-1)*100)&gt;100,"NM",IF(((Q668/I668-1)*100)&lt;-50,"NM",(Q668/I668-1)*100)))</f>
        <v>NA</v>
      </c>
      <c r="S668" s="352">
        <v>0</v>
      </c>
      <c r="T668" s="98" t="str">
        <f>IF(ISERROR((S668/K668-1)*100),"NA",IF(((S668/K668-1)*100)&gt;100,"NM",IF(((S668/K668-1)*100)&lt;-50,"NM",(S668/K668-1)*100)))</f>
        <v>NA</v>
      </c>
      <c r="U668" s="352">
        <v>0</v>
      </c>
      <c r="V668" s="98" t="str">
        <f>IF(ISERROR((U668/M668-1)*100),"NA",IF(((U668/M668-1)*100)&gt;100,"NM",IF(((U668/M668-1)*100)&lt;-50,"NM",(U668/M668-1)*100)))</f>
        <v>NA</v>
      </c>
      <c r="W668" s="352">
        <v>0</v>
      </c>
      <c r="X668" s="98" t="str">
        <f>IF(ISERROR((W668/O668-1)*100),"NA",IF(((W668/O668-1)*100)&gt;100,"NM",IF(((W668/O668-1)*100)&lt;-50,"NM",(W668/O668-1)*100)))</f>
        <v>NA</v>
      </c>
      <c r="Y668" s="101">
        <v>0</v>
      </c>
      <c r="Z668" s="98" t="str">
        <f>IF(ISERROR((Y668/Q668-1)*100),"NA",IF(((Y668/Q668-1)*100)&gt;100,"NM",IF(((Y668/Q668-1)*100)&lt;-50,"NM",(Y668/Q668-1)*100)))</f>
        <v>NA</v>
      </c>
      <c r="AA668" s="352">
        <v>0</v>
      </c>
      <c r="AB668" s="98" t="str">
        <f>IF(ISERROR((AA668/S668-1)*100),"NA",IF(((AA668/S668-1)*100)&gt;100,"NM",IF(((AA668/S668-1)*100)&lt;-50,"NM",(AA668/S668-1)*100)))</f>
        <v>NA</v>
      </c>
      <c r="AC668" s="352">
        <v>0</v>
      </c>
      <c r="AD668" s="98" t="str">
        <f>IF(ISERROR((AC668/U668-1)*100),"NA",IF(((AC668/U668-1)*100)&gt;100,"NM",IF(((AC668/U668-1)*100)&lt;-50,"NM",(AC668/U668-1)*100)))</f>
        <v>NA</v>
      </c>
      <c r="AE668" s="352">
        <v>0</v>
      </c>
      <c r="AF668" s="98" t="str">
        <f>IF(ISERROR((AE668/W668-1)*100),"NA",IF(((AE668/W668-1)*100)&gt;100,"NM",IF(((AE668/W668-1)*100)&lt;-50,"NM",(AE668/W668-1)*100)))</f>
        <v>NA</v>
      </c>
      <c r="AG668" s="281">
        <v>0</v>
      </c>
      <c r="AH668" s="98" t="str">
        <f>IF(ISERROR((AG668/Y668-1)*100),"NA",IF(((AG668/Y668-1)*100)&gt;100,"NM",IF(((AG668/Y668-1)*100)&lt;-50,"NM",(AG668/Y668-1)*100)))</f>
        <v>NA</v>
      </c>
      <c r="AI668" s="281">
        <v>0</v>
      </c>
      <c r="AJ668" s="98" t="str">
        <f>IF(ISERROR((AI668/AA668-1)*100),"NA",IF(((AI668/AA668-1)*100)&gt;100,"NM",IF(((AI668/AA668-1)*100)&lt;-50,"NM",(AI668/AA668-1)*100)))</f>
        <v>NA</v>
      </c>
      <c r="AK668" s="281">
        <v>0</v>
      </c>
      <c r="AL668" s="98" t="str">
        <f>IF(ISERROR((AK668/AC668-1)*100),"NA",IF(((AK668/AC668-1)*100)&gt;100,"NM",IF(((AK668/AC668-1)*100)&lt;-50,"NM",(AK668/AC668-1)*100)))</f>
        <v>NA</v>
      </c>
      <c r="AM668" s="281">
        <v>0</v>
      </c>
      <c r="AN668" s="98" t="str">
        <f>IF(ISERROR((AM668/AE668-1)*100),"NA",IF(((AM668/AE668-1)*100)&gt;100,"NM",IF(((AM668/AE668-1)*100)&lt;-50,"NM",(AM668/AE668-1)*100)))</f>
        <v>NA</v>
      </c>
      <c r="AO668" s="281">
        <v>0</v>
      </c>
      <c r="AP668" s="98" t="str">
        <f>IF(ISERROR((AO668/AG668-1)*100),"NA",IF(((AO668/AG668-1)*100)&gt;100,"NM",IF(((AO668/AG668-1)*100)&lt;-50,"NM",(AO668/AG668-1)*100)))</f>
        <v>NA</v>
      </c>
      <c r="AQ668" s="281">
        <v>0</v>
      </c>
      <c r="AR668" s="98" t="str">
        <f>IF(ISERROR((AQ668/AI668-1)*100),"NA",IF(((AQ668/AI668-1)*100)&gt;100,"NM",IF(((AQ668/AI668-1)*100)&lt;-50,"NM",(AQ668/AI668-1)*100)))</f>
        <v>NA</v>
      </c>
      <c r="AS668" s="281">
        <v>0</v>
      </c>
      <c r="AT668" s="98" t="str">
        <f>IF(ISERROR((AS668/AK668-1)*100),"NA",IF(((AS668/AK668-1)*100)&gt;100,"NM",IF(((AS668/AK668-1)*100)&lt;-50,"NM",(AS668/AK668-1)*100)))</f>
        <v>NA</v>
      </c>
      <c r="AU668" s="281">
        <v>0</v>
      </c>
      <c r="AV668" s="98" t="str">
        <f>IF(ISERROR((AU668/AM668-1)*100),"NA",IF(((AU668/AM668-1)*100)&gt;100,"NM",IF(((AU668/AM668-1)*100)&lt;-50,"NM",(AU668/AM668-1)*100)))</f>
        <v>NA</v>
      </c>
      <c r="AW668" s="281">
        <v>0</v>
      </c>
      <c r="AX668" s="98" t="str">
        <f>IF(ISERROR((AW668/AO668-1)*100),"NA",IF(((AW668/AO668-1)*100)&gt;100,"NM",IF(((AW668/AO668-1)*100)&lt;-50,"NM",(AW668/AO668-1)*100)))</f>
        <v>NA</v>
      </c>
      <c r="AY668" s="135">
        <v>0</v>
      </c>
      <c r="AZ668" s="98" t="str">
        <f>IF(ISERROR((AY668/AQ668-1)*100),"NA",IF(((AY668/AQ668-1)*100)&gt;100,"NM",IF(((AY668/AQ668-1)*100)&lt;-50,"NM",(AY668/AQ668-1)*100)))</f>
        <v>NA</v>
      </c>
      <c r="BA668" s="135">
        <v>0</v>
      </c>
      <c r="BB668" s="98" t="str">
        <f>IF(ISERROR((BA668/AS668-1)*100),"NA",IF(((BA668/AS668-1)*100)&gt;100,"NM",IF(((BA668/AS668-1)*100)&lt;-50,"NM",(BA668/AS668-1)*100)))</f>
        <v>NA</v>
      </c>
      <c r="BC668" s="135">
        <v>0</v>
      </c>
      <c r="BD668" s="98" t="str">
        <f>IF(ISERROR((BC668/AU668-1)*100),"NA",IF(((BC668/AU668-1)*100)&gt;100,"NM",IF(((BC668/AU668-1)*100)&lt;-50,"NM",(BC668/AU668-1)*100)))</f>
        <v>NA</v>
      </c>
      <c r="BE668" s="135">
        <v>0</v>
      </c>
      <c r="BF668" s="98" t="str">
        <f>IF(ISERROR((BE668/AW668-1)*100),"NA",IF(((BE668/AW668-1)*100)&gt;100,"NM",IF(((BE668/AW668-1)*100)&lt;-50,"NM",(BE668/AW668-1)*100)))</f>
        <v>NA</v>
      </c>
      <c r="BG668" s="135">
        <v>0</v>
      </c>
      <c r="BH668" s="98" t="str">
        <f>IF(ISERROR((BG668/AY668-1)*100),"NA",IF(((BG668/AY668-1)*100)&gt;100,"NM",IF(((BG668/AY668-1)*100)&lt;-50,"NM",(BG668/AY668-1)*100)))</f>
        <v>NA</v>
      </c>
      <c r="BI668" s="135">
        <v>0</v>
      </c>
      <c r="BJ668" s="98" t="str">
        <f>IF(ISERROR((BI668/BA668-1)*100),"NA",IF(((BI668/BA668-1)*100)&gt;100,"NM",IF(((BI668/BA668-1)*100)&lt;-50,"NM",(BI668/BA668-1)*100)))</f>
        <v>NA</v>
      </c>
      <c r="BK668" s="135">
        <v>0</v>
      </c>
      <c r="BL668" s="98" t="str">
        <f>IF(ISERROR((BK668/BC668-1)*100),"NA",IF(((BK668/BC668-1)*100)&gt;100,"NM",IF(((BK668/BC668-1)*100)&lt;-50,"NM",(BK668/BC668-1)*100)))</f>
        <v>NA</v>
      </c>
      <c r="BM668" s="135">
        <v>0</v>
      </c>
      <c r="BN668" s="98" t="str">
        <f>IF(ISERROR((BM668/BE668-1)*100),"NA",IF(((BM668/BE668-1)*100)&gt;100,"NM",IF(((BM668/BE668-1)*100)&lt;-50,"NM",(BM668/BE668-1)*100)))</f>
        <v>NA</v>
      </c>
      <c r="BO668" s="135">
        <v>0</v>
      </c>
      <c r="BP668" s="98" t="str">
        <f>IF(ISERROR((BO668/BG668-1)*100),"NA",IF(((BO668/BG668-1)*100)&gt;100,"NM",IF(((BO668/BG668-1)*100)&lt;-50,"NM",(BO668/BG668-1)*100)))</f>
        <v>NA</v>
      </c>
      <c r="BQ668" s="135">
        <v>0</v>
      </c>
      <c r="BR668" s="98" t="str">
        <f>IF(ISERROR((BQ668/BI668-1)*100),"NA",IF(((BQ668/BI668-1)*100)&gt;100,"NM",IF(((BQ668/BI668-1)*100)&lt;-50,"NM",(BQ668/BI668-1)*100)))</f>
        <v>NA</v>
      </c>
      <c r="BS668" s="135">
        <v>86.25</v>
      </c>
      <c r="BT668" s="98" t="str">
        <f>IF(ISERROR((BS668/BK668-1)*100),"NA",IF(((BS668/BK668-1)*100)&gt;100,"NM",IF(((BS668/BK668-1)*100)&lt;-50,"NM",(BS668/BK668-1)*100)))</f>
        <v>NA</v>
      </c>
      <c r="BU668" s="135">
        <v>11.3</v>
      </c>
      <c r="BV668" s="98" t="str">
        <f>IF(ISERROR((BU668/BM668-1)*100),"NA",IF(((BU668/BM668-1)*100)&gt;100,"NM",IF(((BU668/BM668-1)*100)&lt;-50,"NM",(BU668/BM668-1)*100)))</f>
        <v>NA</v>
      </c>
      <c r="BW668" s="135">
        <v>24.4</v>
      </c>
      <c r="BX668" s="98" t="str">
        <f>IF(ISERROR((BW668/BO668-1)*100),"NA",IF(((BW668/BO668-1)*100)&gt;100,"NM",IF(((BW668/BO668-1)*100)&lt;-50,"NM",(BW668/BO668-1)*100)))</f>
        <v>NA</v>
      </c>
      <c r="BY668" s="135">
        <v>0</v>
      </c>
      <c r="BZ668" s="98" t="str">
        <f>IF(ISERROR((BY668/BQ668-1)*100),"NA",IF(((BY668/BQ668-1)*100)&gt;100,"NM",IF(((BY668/BQ668-1)*100)&lt;-50,"NM",(BY668/BQ668-1)*100)))</f>
        <v>NA</v>
      </c>
      <c r="CA668" s="135">
        <v>0</v>
      </c>
      <c r="CB668" s="98" t="str">
        <f>IF(ISERROR((CA668/BS668-1)*100),"NA",IF(((CA668/BS668-1)*100)&gt;100,"NM",IF(((CA668/BS668-1)*100)&lt;-50,"NM",(CA668/BS668-1)*100)))</f>
        <v>NM</v>
      </c>
      <c r="CC668" s="135">
        <v>0</v>
      </c>
      <c r="CD668" s="98" t="str">
        <f>IF(ISERROR((CC668/BU668-1)*100),"NA",IF(((CC668/BU668-1)*100)&gt;100,"NM",IF(((CC668/BU668-1)*100)&lt;-50,"NM",(CC668/BU668-1)*100)))</f>
        <v>NM</v>
      </c>
      <c r="CE668" s="135">
        <f>0.3</f>
        <v>0.3</v>
      </c>
      <c r="CF668" s="98" t="str">
        <f>IF(ISERROR((CE668/BW668-1)*100),"NA",IF(((CE668/BW668-1)*100)&gt;100,"NM",IF(((CE668/BW668-1)*100)&lt;-50,"NM",(CE668/BW668-1)*100)))</f>
        <v>NM</v>
      </c>
      <c r="CG668" s="135">
        <v>1</v>
      </c>
      <c r="CH668" s="98" t="str">
        <f>IF(ISERROR((CG668/BY668-1)*100),"NA",IF(((CG668/BY668-1)*100)&gt;100,"NM",IF(((CG668/BY668-1)*100)&lt;-50,"NM",(CG668/BY668-1)*100)))</f>
        <v>NA</v>
      </c>
      <c r="CI668" s="877">
        <v>86.5</v>
      </c>
      <c r="CJ668" s="98" t="str">
        <f>IF(ISERROR((CI668/CA668-1)*100),"NA",IF(((CI668/CA668-1)*100)&gt;100,"NM",IF(((CI668/CA668-1)*100)&lt;-50,"NM",(CI668/CA668-1)*100)))</f>
        <v>NA</v>
      </c>
      <c r="CK668" s="135">
        <v>147.5</v>
      </c>
      <c r="CL668" s="98" t="str">
        <f>IF(ISERROR((CK668/CC668-1)*100),"NA",IF(((CK668/CC668-1)*100)&gt;100,"NM",IF(((CK668/CC668-1)*100)&lt;-50,"NM",(CK668/CC668-1)*100)))</f>
        <v>NA</v>
      </c>
      <c r="CM668" s="135">
        <v>1.7</v>
      </c>
      <c r="CN668" s="98" t="str">
        <f>IF(ISERROR((CM668/CE668-1)*100),"NA",IF(((CM668/CE668-1)*100)&gt;100,"NM",IF(((CM668/CE668-1)*100)&lt;-50,"NM",(CM668/CE668-1)*100)))</f>
        <v>NM</v>
      </c>
      <c r="CO668" s="135">
        <v>1.3</v>
      </c>
      <c r="CP668" s="98">
        <f>IF(ISERROR((CO668/CG668-1)*100),"NA",IF(((CO668/CG668-1)*100)&gt;100,"NM",IF(((CO668/CG668-1)*100)&lt;-50,"NM",(CO668/CG668-1)*100)))</f>
        <v>30.000000000000004</v>
      </c>
      <c r="CQ668" s="554">
        <v>0.2</v>
      </c>
      <c r="CR668" s="98" t="str">
        <f>IF(ISERROR((CQ668/CI668-1)*100),"NA",IF(((CQ668/CI668-1)*100)&gt;100,"NM",IF(((CQ668/CI668-1)*100)&lt;-50,"NM",(CQ668/CI668-1)*100)))</f>
        <v>NM</v>
      </c>
      <c r="CS668" s="135">
        <v>0.4</v>
      </c>
      <c r="CT668" s="98" t="str">
        <f>IF(ISERROR((CS668/CK668-1)*100),"NA",IF(((CS668/CK668-1)*100)&gt;100,"NM",IF(((CS668/CK668-1)*100)&lt;-50,"NM",(CS668/CK668-1)*100)))</f>
        <v>NM</v>
      </c>
      <c r="CU668" s="135">
        <v>2.9</v>
      </c>
      <c r="CV668" s="98">
        <f>IF(ISERROR((CU668/CM668-1)*100),"NA",IF(((CU668/CM668-1)*100)&gt;100,"NM",IF(((CU668/CM668-1)*100)&lt;-50,"NM",(CU668/CM668-1)*100)))</f>
        <v>70.588235294117638</v>
      </c>
      <c r="CW668" s="135">
        <v>1.3</v>
      </c>
      <c r="CX668" s="98">
        <f>IF(ISERROR((CW668/CO668-1)*100),"NA",IF(((CW668/CO668-1)*100)&gt;100,"NM",IF(((CW668/CO668-1)*100)&lt;-50,"NM",(CW668/CO668-1)*100)))</f>
        <v>0</v>
      </c>
      <c r="CY668" s="135">
        <v>0.4</v>
      </c>
      <c r="CZ668" s="98">
        <f>IF(ISERROR((CY668/CQ668-1)*100),"NA",IF(((CY668/CQ668-1)*100)&gt;100,"NM",IF(((CY668/CQ668-1)*100)&lt;-50,"NM",(CY668/CQ668-1)*100)))</f>
        <v>100</v>
      </c>
      <c r="DA668" s="135">
        <v>29.1</v>
      </c>
      <c r="DB668" s="98" t="str">
        <f>IF(ISERROR((DA668/CS668-1)*100),"NA",IF(((DA668/CS668-1)*100)&gt;100,"NM",IF(((DA668/CS668-1)*100)&lt;-50,"NM",(DA668/CS668-1)*100)))</f>
        <v>NM</v>
      </c>
      <c r="DC668" s="135">
        <v>2.5</v>
      </c>
      <c r="DD668" s="98">
        <f>IF(ISERROR((DC668/CU668-1)*100),"NA",IF(((DC668/CU668-1)*100)&gt;100,"NM",IF(((DC668/CU668-1)*100)&lt;-50,"NM",(DC668/CU668-1)*100)))</f>
        <v>-13.793103448275856</v>
      </c>
      <c r="DE668" s="135">
        <v>2.4</v>
      </c>
      <c r="DF668" s="98">
        <f>IF(ISERROR((DE668/CW668-1)*100),"NA",IF(((DE668/CW668-1)*100)&gt;100,"NM",IF(((DE668/CW668-1)*100)&lt;-50,"NM",(DE668/CW668-1)*100)))</f>
        <v>84.615384615384599</v>
      </c>
      <c r="DG668" s="135">
        <v>24.2</v>
      </c>
      <c r="DH668" s="98" t="str">
        <f>IF(ISERROR((DG668/CY668-1)*100),"NA",IF(((DG668/CY668-1)*100)&gt;100,"NM",IF(((DG668/CY668-1)*100)&lt;-50,"NM",(DG668/CY668-1)*100)))</f>
        <v>NM</v>
      </c>
      <c r="DI668" s="135">
        <v>1.2</v>
      </c>
      <c r="DJ668" s="98" t="str">
        <f>IF(ISERROR((DI668/DA668-1)*100),"NA",IF(((DI668/DA668-1)*100)&gt;100,"NM",IF(((DI668/DA668-1)*100)&lt;-50,"NM",(DI668/DA668-1)*100)))</f>
        <v>NM</v>
      </c>
      <c r="DK668" s="135">
        <v>2.8</v>
      </c>
      <c r="DL668" s="98">
        <f>IF(ISERROR((DK668/DC668-1)*100),"NA",IF(((DK668/DC668-1)*100)&gt;100,"NM",IF(((DK668/DC668-1)*100)&lt;-50,"NM",(DK668/DC668-1)*100)))</f>
        <v>11.999999999999989</v>
      </c>
      <c r="DM668" s="135">
        <v>1.8</v>
      </c>
      <c r="DN668" s="98">
        <f>IF(ISERROR((DM668/DE668-1)*100),"NA",IF(((DM668/DE668-1)*100)&gt;100,"NM",IF(((DM668/DE668-1)*100)&lt;-50,"NM",(DM668/DE668-1)*100)))</f>
        <v>-25</v>
      </c>
      <c r="DO668" s="135">
        <v>0.6</v>
      </c>
      <c r="DP668" s="98" t="str">
        <f>IF(ISERROR((DO668/DG668-1)*100),"NA",IF(((DO668/DG668-1)*100)&gt;100,"NM",IF(((DO668/DG668-1)*100)&lt;-50,"NM",(DO668/DG668-1)*100)))</f>
        <v>NM</v>
      </c>
      <c r="DQ668" s="135">
        <v>23.5</v>
      </c>
      <c r="DR668" s="98" t="str">
        <f>IF(ISERROR((DQ668/DI668-1)*100),"NA",IF(((DQ668/DI668-1)*100)&gt;100,"NM",IF(((DQ668/DI668-1)*100)&lt;-50,"NM",(DQ668/DI668-1)*100)))</f>
        <v>NM</v>
      </c>
      <c r="DS668" s="135">
        <v>2.2999999999999998</v>
      </c>
      <c r="DT668" s="98">
        <f>IF(ISERROR((DS668/DK668-1)*100),"NA",IF(((DS668/DK668-1)*100)&gt;100,"NM",IF(((DS668/DK668-1)*100)&lt;-50,"NM",(DS668/DK668-1)*100)))</f>
        <v>-17.857142857142861</v>
      </c>
      <c r="DU668" s="135">
        <v>2.7</v>
      </c>
      <c r="DV668" s="135">
        <f>IF(ISERROR((DU668/DM668-1)*100),"NA",IF(((DU668/DM668-1)*100)&gt;100,"NM",IF(((DU668/DM668-1)*100)&lt;-50,"NM",(DU668/DM668-1)*100)))</f>
        <v>50</v>
      </c>
      <c r="DW668" s="135">
        <v>0.3</v>
      </c>
      <c r="DX668" s="135">
        <f>IF(ISERROR((DW668/DO668-1)*100),"NA",IF(((DW668/DO668-1)*100)&gt;100,"NM",IF(((DW668/DO668-1)*100)&lt;-50,"NM",(DW668/DO668-1)*100)))</f>
        <v>-50</v>
      </c>
      <c r="DY668" s="135">
        <v>0.3</v>
      </c>
      <c r="DZ668" s="135" t="str">
        <f>IF(ISERROR((DY668/DQ668-1)*100),"NA",IF(((DY668/DQ668-1)*100)&gt;100,"NM",IF(((DY668/DQ668-1)*100)&lt;-50,"NM",(DY668/DQ668-1)*100)))</f>
        <v>NM</v>
      </c>
      <c r="EA668" s="135">
        <v>1.9</v>
      </c>
      <c r="EB668" s="135">
        <f>IF(ISERROR((EA668/DS668-1)*100),"NA",IF(((EA668/DS668-1)*100)&gt;100,"NM",IF(((EA668/DS668-1)*100)&lt;-50,"NM",(EA668/DS668-1)*100)))</f>
        <v>-17.391304347826086</v>
      </c>
      <c r="EC668" s="135">
        <v>0.3</v>
      </c>
      <c r="ED668" s="135" t="str">
        <f>IF(ISERROR((EC668/DU668-1)*100),"NA",IF(((EC668/DU668-1)*100)&gt;100,"NM",IF(((EC668/DU668-1)*100)&lt;-50,"NM",(EC668/DU668-1)*100)))</f>
        <v>NM</v>
      </c>
      <c r="EE668" s="135">
        <v>0.2</v>
      </c>
      <c r="EF668" s="877">
        <f>IF(ISERROR((EE668/DW668-1)*100),"NA",IF(((EE668/DW668-1)*100)&gt;100,"NM",IF(((EE668/DW668-1)*100)&lt;-50,"NM",(EE668/DW668-1)*100)))</f>
        <v>-33.333333333333329</v>
      </c>
      <c r="EG668" s="135">
        <v>2</v>
      </c>
      <c r="EH668" s="860" t="str">
        <f>IF(ISERROR((EG668/DY668-1)*100),"NA",IF(((EG668/DY668-1)*100)&gt;100,"NM",IF(((EG668/DY668-1)*100)&lt;-50,"NM",(EG668/DY668-1)*100)))</f>
        <v>NM</v>
      </c>
      <c r="EI668" s="135">
        <v>1.8</v>
      </c>
      <c r="EJ668" s="860">
        <f t="shared" ref="EJ668:EJ671" si="4056">IF(ISERROR((EI668/EA668-1)*100),"NA",IF(((EI668/EA668-1)*100)&gt;100,"NM",IF(((EI668/EA668-1)*100)&lt;-50,"NM",(EI668/EA668-1)*100)))</f>
        <v>-5.2631578947368363</v>
      </c>
      <c r="EK668" s="135">
        <v>0.5</v>
      </c>
      <c r="EL668" s="860">
        <f t="shared" ref="EL668:EL671" si="4057">IF(ISERROR((EK668/EC668-1)*100),"NA",IF(((EK668/EC668-1)*100)&gt;100,"NM",IF(((EK668/EC668-1)*100)&lt;-50,"NM",(EK668/EC668-1)*100)))</f>
        <v>66.666666666666671</v>
      </c>
      <c r="EM668" s="135">
        <v>1.2</v>
      </c>
      <c r="EN668" s="860" t="str">
        <f t="shared" ref="EN668:EN671" si="4058">IF(ISERROR((EM668/EE668-1)*100),"NA",IF(((EM668/EE668-1)*100)&gt;100,"NM",IF(((EM668/EE668-1)*100)&lt;-50,"NM",(EM668/EE668-1)*100)))</f>
        <v>NM</v>
      </c>
      <c r="EO668" s="135">
        <v>1.2</v>
      </c>
      <c r="EP668" s="98">
        <f t="shared" ref="EP668:EP671" si="4059">IF(ISERROR((EO668/EG668-1)*100),"NA",IF(((EO668/EG668-1)*100)&gt;100,"NM",IF(((EO668/EG668-1)*100)&lt;-50,"NM",(EO668/EG668-1)*100)))</f>
        <v>-40</v>
      </c>
      <c r="EQ668" s="877">
        <v>1</v>
      </c>
      <c r="ER668" s="98">
        <f t="shared" ref="ER668:ER671" si="4060">IF(ISERROR((EQ668/EI668-1)*100),"NA",IF(((EQ668/EI668-1)*100)&gt;100,"NM",IF(((EQ668/EI668-1)*100)&lt;-50,"NM",(EQ668/EI668-1)*100)))</f>
        <v>-44.444444444444443</v>
      </c>
      <c r="ES668" s="877">
        <f t="shared" ref="ES668" si="4061">EQ668</f>
        <v>1</v>
      </c>
      <c r="ET668" s="98">
        <f t="shared" ref="ET668:ET671" si="4062">IF(ISERROR((ES668/EK668-1)*100),"NA",IF(((ES668/EK668-1)*100)&gt;100,"NM",IF(((ES668/EK668-1)*100)&lt;-50,"NM",(ES668/EK668-1)*100)))</f>
        <v>100</v>
      </c>
      <c r="EU668" s="877">
        <f t="shared" ref="EU668" si="4063">ES668</f>
        <v>1</v>
      </c>
      <c r="EV668" s="98">
        <f t="shared" ref="EV668:EV671" si="4064">IF(ISERROR((EU668/EM668-1)*100),"NA",IF(((EU668/EM668-1)*100)&gt;100,"NM",IF(((EU668/EM668-1)*100)&lt;-50,"NM",(EU668/EM668-1)*100)))</f>
        <v>-16.666666666666664</v>
      </c>
      <c r="EW668" s="877">
        <f t="shared" ref="EW668" si="4065">EU668</f>
        <v>1</v>
      </c>
      <c r="EX668" s="98">
        <f t="shared" ref="EX668:EX671" si="4066">IF(ISERROR((EW668/EO668-1)*100),"NA",IF(((EW668/EO668-1)*100)&gt;100,"NM",IF(((EW668/EO668-1)*100)&lt;-50,"NM",(EW668/EO668-1)*100)))</f>
        <v>-16.666666666666664</v>
      </c>
      <c r="EY668" s="306"/>
      <c r="EZ668" s="594"/>
      <c r="FA668" s="413"/>
      <c r="FB668" s="306"/>
      <c r="FC668" s="315"/>
      <c r="FD668" s="306"/>
      <c r="FE668" s="315"/>
      <c r="FF668" s="353">
        <f>C668</f>
        <v>252</v>
      </c>
      <c r="FG668" s="315" t="str">
        <f>IF(ISERROR((FF668/FD668-1)*100),"NA",IF(((FF668/FD668-1)*100)&gt;100,"NM",IF(((FF668/FD668-1)*100)&lt;-50,"NM",(FF668/FD668-1)*100)))</f>
        <v>NA</v>
      </c>
      <c r="FH668" s="353">
        <f>K668</f>
        <v>0</v>
      </c>
      <c r="FI668" s="315" t="str">
        <f>IF(ISERROR((FH668/FF668-1)*100),"NA",IF(((FH668/FF668-1)*100)&gt;100,"NM",IF(((FH668/FF668-1)*100)&lt;-50,"NM",(FH668/FF668-1)*100)))</f>
        <v>NM</v>
      </c>
      <c r="FJ668" s="353">
        <f>S668</f>
        <v>0</v>
      </c>
      <c r="FK668" s="315" t="str">
        <f>IF(ISERROR((FJ668/FH668-1)*100),"NA",IF(((FJ668/FH668-1)*100)&gt;100,"NM",IF(((FJ668/FH668-1)*100)&lt;-50,"NM",(FJ668/FH668-1)*100)))</f>
        <v>NA</v>
      </c>
      <c r="FL668" s="353">
        <f>AA668+AC668+AE668+AG668</f>
        <v>0</v>
      </c>
      <c r="FM668" s="315" t="str">
        <f>IF(ISERROR((FL668/FJ668-1)*100),"NA",IF(((FL668/FJ668-1)*100)&gt;100,"NM",IF(((FL668/FJ668-1)*100)&lt;-50,"NM",(FL668/FJ668-1)*100)))</f>
        <v>NA</v>
      </c>
      <c r="FN668" s="353">
        <f>AI668+AK668+AM668+AO668</f>
        <v>0</v>
      </c>
      <c r="FO668" s="315" t="str">
        <f>IF(ISERROR((FN668/FL668-1)*100),"NA",IF(((FN668/FL668-1)*100)&gt;100,"NM",IF(((FN668/FL668-1)*100)&lt;-50,"NM",(FN668/FL668-1)*100)))</f>
        <v>NA</v>
      </c>
      <c r="FP668" s="353">
        <f>AQ668+AS668+AU668+AW668</f>
        <v>0</v>
      </c>
      <c r="FQ668" s="315" t="str">
        <f>IF(ISERROR((FP668/FN668-1)*100),"NA",IF(((FP668/FN668-1)*100)&gt;100,"NM",IF(((FP668/FN668-1)*100)&lt;-50,"NM",(FP668/FN668-1)*100)))</f>
        <v>NA</v>
      </c>
      <c r="FR668" s="307">
        <f>AY668+BA668+BC668+BE668</f>
        <v>0</v>
      </c>
      <c r="FS668" s="120" t="str">
        <f>IF(ISERROR((FR668/FP668-1)*100),"NA",IF(((FR668/FP668-1)*100)&gt;100,"NM",IF(((FR668/FP668-1)*100)&lt;-50,"NM",(FR668/FP668-1)*100)))</f>
        <v>NA</v>
      </c>
      <c r="FT668" s="307">
        <f>BG668+BI668+BK668+BM668</f>
        <v>0</v>
      </c>
      <c r="FU668" s="120" t="str">
        <f>IF(ISERROR((FT668/FR668-1)*100),"NA",IF(((FT668/FR668-1)*100)&gt;100,"NM",IF(((FT668/FR668-1)*100)&lt;-50,"NM",(FT668/FR668-1)*100)))</f>
        <v>NA</v>
      </c>
      <c r="FV668" s="307">
        <f>BO668+BQ668+BS668+BU668</f>
        <v>97.55</v>
      </c>
      <c r="FW668" s="98" t="str">
        <f>IF(ISERROR((FV668/FT668-1)*100),"NA",IF(((FV668/FT668-1)*100)&gt;100,"NM",IF(((FV668/FT668-1)*100)&lt;-50,"NM",(FV668/FT668-1)*100)))</f>
        <v>NA</v>
      </c>
      <c r="FX668" s="493">
        <f>BW668+BY668+CA668+CC668</f>
        <v>24.4</v>
      </c>
      <c r="FY668" s="98" t="str">
        <f>IF(ISERROR((FX668/FV668-1)*100),"NA",IF(((FX668/FV668-1)*100)&gt;100,"NM",IF(((FX668/FV668-1)*100)&lt;-50,"NM",(FX668/FV668-1)*100)))</f>
        <v>NM</v>
      </c>
      <c r="FZ668" s="307">
        <f>CE668+CG668+CI668+CK668</f>
        <v>235.3</v>
      </c>
      <c r="GA668" s="98" t="str">
        <f>IF(ISERROR((FZ668/FX668-1)*100),"NA",IF(((FZ668/FX668-1)*100)&gt;100,"NM",IF(((FZ668/FX668-1)*100)&lt;-50,"NM",(FZ668/FX668-1)*100)))</f>
        <v>NM</v>
      </c>
      <c r="GB668" s="493">
        <f>CM668+CO668+CQ668+CS668</f>
        <v>3.6</v>
      </c>
      <c r="GC668" s="98" t="str">
        <f>IF(ISERROR((GB668/FZ668-1)*100),"NA",IF(((GB668/FZ668-1)*100)&gt;100,"NM",IF(((GB668/FZ668-1)*100)&lt;-50,"NM",(GB668/FZ668-1)*100)))</f>
        <v>NM</v>
      </c>
      <c r="GD668" s="239">
        <f>CU668+CW668+CY668+DA668</f>
        <v>33.700000000000003</v>
      </c>
      <c r="GE668" s="98" t="str">
        <f>IF(ISERROR((GD668/GB668-1)*100),"NA",IF(((GD668/GB668-1)*100)&gt;100,"NM",IF(((GD668/GB668-1)*100)&lt;-50,"NM",(GD668/GB668-1)*100)))</f>
        <v>NM</v>
      </c>
      <c r="GF668" s="239">
        <f>DC668+DE668+DG668+DI668</f>
        <v>30.3</v>
      </c>
      <c r="GG668" s="98">
        <f>IF(ISERROR((GF668/GD668-1)*100),"NA",IF(((GF668/GD668-1)*100)&gt;100,"NM",IF(((GF668/GD668-1)*100)&lt;-50,"NM",(GF668/GD668-1)*100)))</f>
        <v>-10.089020771513358</v>
      </c>
      <c r="GH668" s="239">
        <f>DK668+DM668+DO668+DQ668</f>
        <v>28.7</v>
      </c>
      <c r="GI668" s="98">
        <f>IF(ISERROR((GH668/GF668-1)*100),"NA",IF(((GH668/GF668-1)*100)&gt;100,"NM",IF(((GH668/GF668-1)*100)&lt;-50,"NM",(GH668/GF668-1)*100)))</f>
        <v>-5.2805280528052894</v>
      </c>
      <c r="GJ668" s="239">
        <f>DS668+DU668+DW668+DY668</f>
        <v>5.6</v>
      </c>
      <c r="GK668" s="98" t="str">
        <f>IF(ISERROR((GJ668/GH668-1)*100),"NA",IF(((GJ668/GH668-1)*100)&gt;100,"NM",IF(((GJ668/GH668-1)*100)&lt;-50,"NM",(GJ668/GH668-1)*100)))</f>
        <v>NM</v>
      </c>
      <c r="GL668" s="239">
        <f>EA668+EC668+EE668+EG668</f>
        <v>4.4000000000000004</v>
      </c>
      <c r="GM668" s="98">
        <f>IF(ISERROR((GL668/GJ668-1)*100),"NA",IF(((GL668/GJ668-1)*100)&gt;100,"NM",IF(((GL668/GJ668-1)*100)&lt;-50,"NM",(GL668/GJ668-1)*100)))</f>
        <v>-21.42857142857142</v>
      </c>
      <c r="GN668" s="239">
        <f>EI668+EK668+EM668+EO668</f>
        <v>4.7</v>
      </c>
      <c r="GO668" s="98">
        <f>IF(ISERROR((GN668/GL668-1)*100),"NA",IF(((GN668/GL668-1)*100)&gt;100,"NM",IF(((GN668/GL668-1)*100)&lt;-50,"NM",(GN668/GL668-1)*100)))</f>
        <v>6.8181818181818121</v>
      </c>
      <c r="GP668" s="239">
        <f>EQ668+ES668+EU668+EW668</f>
        <v>4</v>
      </c>
      <c r="GQ668" s="98">
        <f>IF(ISERROR((GP668/GN668-1)*100),"NA",IF(((GP668/GN668-1)*100)&gt;100,"NM",IF(((GP668/GN668-1)*100)&lt;-50,"NM",(GP668/GN668-1)*100)))</f>
        <v>-14.893617021276595</v>
      </c>
      <c r="GR668" s="307">
        <f>GP668</f>
        <v>4</v>
      </c>
      <c r="GS668" s="98">
        <f>IF(ISERROR((GR668/GP668-1)*100),"NA",IF(((GR668/GP668-1)*100)&gt;100,"NM",IF(((GR668/GP668-1)*100)&lt;-50,"NM",(GR668/GP668-1)*100)))</f>
        <v>0</v>
      </c>
      <c r="GT668" s="307">
        <f>GR668</f>
        <v>4</v>
      </c>
      <c r="GU668" s="98">
        <f>IF(ISERROR((GT668/GR668-1)*100),"NA",IF(((GT668/GR668-1)*100)&gt;100,"NM",IF(((GT668/GR668-1)*100)&lt;-50,"NM",(GT668/GR668-1)*100)))</f>
        <v>0</v>
      </c>
      <c r="GV668" s="307">
        <f>GT668</f>
        <v>4</v>
      </c>
      <c r="GW668" s="98">
        <f>IF(ISERROR((GV668/GT668-1)*100),"NA",IF(((GV668/GT668-1)*100)&gt;100,"NM",IF(((GV668/GT668-1)*100)&lt;-50,"NM",(GV668/GT668-1)*100)))</f>
        <v>0</v>
      </c>
      <c r="GX668" s="307">
        <f>GV668</f>
        <v>4</v>
      </c>
      <c r="GY668" s="98">
        <f>IF(ISERROR((GX668/GV668-1)*100),"NA",IF(((GX668/GV668-1)*100)&gt;100,"NM",IF(((GX668/GV668-1)*100)&lt;-50,"NM",(GX668/GV668-1)*100)))</f>
        <v>0</v>
      </c>
      <c r="GZ668" s="98">
        <f>IF(ISERROR(((GX668/GN668)^0.2-1)*100),"NA",IF((((GX668/GN668)^0.2-1)*100)&gt;100,"NM",IF((((GX668/GN668)^0.2-1)*100)&lt;-50,"NM",((GX668/GN668)^0.2-1)*100)))</f>
        <v>-3.1739028631201038</v>
      </c>
      <c r="HA668" s="98"/>
      <c r="HB668" s="10"/>
      <c r="HC668"/>
      <c r="HD668"/>
      <c r="HE668"/>
      <c r="HF668"/>
      <c r="HG668"/>
      <c r="HH668"/>
      <c r="HI668" s="10"/>
    </row>
    <row r="669" spans="1:217" s="2" customFormat="1" ht="12.75" customHeight="1" x14ac:dyDescent="0.2">
      <c r="A669" s="351"/>
      <c r="B669" s="18" t="s">
        <v>332</v>
      </c>
      <c r="C669" s="40">
        <v>14.25</v>
      </c>
      <c r="D669" s="98"/>
      <c r="E669" s="352">
        <v>0</v>
      </c>
      <c r="F669" s="98"/>
      <c r="G669" s="352">
        <v>0</v>
      </c>
      <c r="H669" s="98"/>
      <c r="I669" s="352">
        <v>0</v>
      </c>
      <c r="J669" s="98"/>
      <c r="K669" s="352">
        <v>0</v>
      </c>
      <c r="L669" s="98" t="str">
        <f>IF(ISERROR((K669/C669-1)*100),"NA",IF(((K669/C669-1)*100)&gt;100,"NM",IF(((K669/C669-1)*100)&lt;-50,"NM",(K669/C669-1)*100)))</f>
        <v>NM</v>
      </c>
      <c r="M669" s="352">
        <v>0</v>
      </c>
      <c r="N669" s="98" t="str">
        <f>IF(ISERROR((M669/E669-1)*100),"NA",IF(((M669/E669-1)*100)&gt;100,"NM",IF(((M669/E669-1)*100)&lt;-50,"NM",(M669/E669-1)*100)))</f>
        <v>NA</v>
      </c>
      <c r="O669" s="352">
        <v>0</v>
      </c>
      <c r="P669" s="98" t="str">
        <f>IF(ISERROR((O669/G669-1)*100),"NA",IF(((O669/G669-1)*100)&gt;100,"NM",IF(((O669/G669-1)*100)&lt;-50,"NM",(O669/G669-1)*100)))</f>
        <v>NA</v>
      </c>
      <c r="Q669" s="352">
        <v>0</v>
      </c>
      <c r="R669" s="98" t="str">
        <f>IF(ISERROR((Q669/I669-1)*100),"NA",IF(((Q669/I669-1)*100)&gt;100,"NM",IF(((Q669/I669-1)*100)&lt;-50,"NM",(Q669/I669-1)*100)))</f>
        <v>NA</v>
      </c>
      <c r="S669" s="352">
        <v>0</v>
      </c>
      <c r="T669" s="98" t="str">
        <f>IF(ISERROR((S669/K669-1)*100),"NA",IF(((S669/K669-1)*100)&gt;100,"NM",IF(((S669/K669-1)*100)&lt;-50,"NM",(S669/K669-1)*100)))</f>
        <v>NA</v>
      </c>
      <c r="U669" s="352">
        <v>0</v>
      </c>
      <c r="V669" s="98" t="str">
        <f>IF(ISERROR((U669/M669-1)*100),"NA",IF(((U669/M669-1)*100)&gt;100,"NM",IF(((U669/M669-1)*100)&lt;-50,"NM",(U669/M669-1)*100)))</f>
        <v>NA</v>
      </c>
      <c r="W669" s="352">
        <v>0</v>
      </c>
      <c r="X669" s="98" t="str">
        <f>IF(ISERROR((W669/O669-1)*100),"NA",IF(((W669/O669-1)*100)&gt;100,"NM",IF(((W669/O669-1)*100)&lt;-50,"NM",(W669/O669-1)*100)))</f>
        <v>NA</v>
      </c>
      <c r="Y669" s="101">
        <v>0</v>
      </c>
      <c r="Z669" s="98" t="str">
        <f>IF(ISERROR((Y669/Q669-1)*100),"NA",IF(((Y669/Q669-1)*100)&gt;100,"NM",IF(((Y669/Q669-1)*100)&lt;-50,"NM",(Y669/Q669-1)*100)))</f>
        <v>NA</v>
      </c>
      <c r="AA669" s="352">
        <v>0</v>
      </c>
      <c r="AB669" s="98" t="str">
        <f>IF(ISERROR((AA669/S669-1)*100),"NA",IF(((AA669/S669-1)*100)&gt;100,"NM",IF(((AA669/S669-1)*100)&lt;-50,"NM",(AA669/S669-1)*100)))</f>
        <v>NA</v>
      </c>
      <c r="AC669" s="352">
        <v>0</v>
      </c>
      <c r="AD669" s="98" t="str">
        <f>IF(ISERROR((AC669/U669-1)*100),"NA",IF(((AC669/U669-1)*100)&gt;100,"NM",IF(((AC669/U669-1)*100)&lt;-50,"NM",(AC669/U669-1)*100)))</f>
        <v>NA</v>
      </c>
      <c r="AE669" s="352">
        <v>0</v>
      </c>
      <c r="AF669" s="98" t="str">
        <f>IF(ISERROR((AE669/W669-1)*100),"NA",IF(((AE669/W669-1)*100)&gt;100,"NM",IF(((AE669/W669-1)*100)&lt;-50,"NM",(AE669/W669-1)*100)))</f>
        <v>NA</v>
      </c>
      <c r="AG669" s="281">
        <v>0</v>
      </c>
      <c r="AH669" s="98" t="str">
        <f>IF(ISERROR((AG669/Y669-1)*100),"NA",IF(((AG669/Y669-1)*100)&gt;100,"NM",IF(((AG669/Y669-1)*100)&lt;-50,"NM",(AG669/Y669-1)*100)))</f>
        <v>NA</v>
      </c>
      <c r="AI669" s="281">
        <v>0</v>
      </c>
      <c r="AJ669" s="98" t="str">
        <f>IF(ISERROR((AI669/AA669-1)*100),"NA",IF(((AI669/AA669-1)*100)&gt;100,"NM",IF(((AI669/AA669-1)*100)&lt;-50,"NM",(AI669/AA669-1)*100)))</f>
        <v>NA</v>
      </c>
      <c r="AK669" s="281">
        <v>0</v>
      </c>
      <c r="AL669" s="98" t="str">
        <f>IF(ISERROR((AK669/AC669-1)*100),"NA",IF(((AK669/AC669-1)*100)&gt;100,"NM",IF(((AK669/AC669-1)*100)&lt;-50,"NM",(AK669/AC669-1)*100)))</f>
        <v>NA</v>
      </c>
      <c r="AM669" s="281">
        <v>0</v>
      </c>
      <c r="AN669" s="98" t="str">
        <f>IF(ISERROR((AM669/AE669-1)*100),"NA",IF(((AM669/AE669-1)*100)&gt;100,"NM",IF(((AM669/AE669-1)*100)&lt;-50,"NM",(AM669/AE669-1)*100)))</f>
        <v>NA</v>
      </c>
      <c r="AO669" s="281">
        <v>0</v>
      </c>
      <c r="AP669" s="98" t="str">
        <f>IF(ISERROR((AO669/AG669-1)*100),"NA",IF(((AO669/AG669-1)*100)&gt;100,"NM",IF(((AO669/AG669-1)*100)&lt;-50,"NM",(AO669/AG669-1)*100)))</f>
        <v>NA</v>
      </c>
      <c r="AQ669" s="281">
        <v>0</v>
      </c>
      <c r="AR669" s="98" t="str">
        <f>IF(ISERROR((AQ669/AI669-1)*100),"NA",IF(((AQ669/AI669-1)*100)&gt;100,"NM",IF(((AQ669/AI669-1)*100)&lt;-50,"NM",(AQ669/AI669-1)*100)))</f>
        <v>NA</v>
      </c>
      <c r="AS669" s="281">
        <v>0</v>
      </c>
      <c r="AT669" s="98" t="str">
        <f>IF(ISERROR((AS669/AK669-1)*100),"NA",IF(((AS669/AK669-1)*100)&gt;100,"NM",IF(((AS669/AK669-1)*100)&lt;-50,"NM",(AS669/AK669-1)*100)))</f>
        <v>NA</v>
      </c>
      <c r="AU669" s="281">
        <v>0</v>
      </c>
      <c r="AV669" s="98" t="str">
        <f>IF(ISERROR((AU669/AM669-1)*100),"NA",IF(((AU669/AM669-1)*100)&gt;100,"NM",IF(((AU669/AM669-1)*100)&lt;-50,"NM",(AU669/AM669-1)*100)))</f>
        <v>NA</v>
      </c>
      <c r="AW669" s="281">
        <v>0</v>
      </c>
      <c r="AX669" s="98" t="str">
        <f>IF(ISERROR((AW669/AO669-1)*100),"NA",IF(((AW669/AO669-1)*100)&gt;100,"NM",IF(((AW669/AO669-1)*100)&lt;-50,"NM",(AW669/AO669-1)*100)))</f>
        <v>NA</v>
      </c>
      <c r="AY669" s="313">
        <v>0</v>
      </c>
      <c r="AZ669" s="98" t="str">
        <f>IF(ISERROR((AY669/AQ669-1)*100),"NA",IF(((AY669/AQ669-1)*100)&gt;100,"NM",IF(((AY669/AQ669-1)*100)&lt;-50,"NM",(AY669/AQ669-1)*100)))</f>
        <v>NA</v>
      </c>
      <c r="BA669" s="313">
        <v>0</v>
      </c>
      <c r="BB669" s="98" t="str">
        <f>IF(ISERROR((BA669/AS669-1)*100),"NA",IF(((BA669/AS669-1)*100)&gt;100,"NM",IF(((BA669/AS669-1)*100)&lt;-50,"NM",(BA669/AS669-1)*100)))</f>
        <v>NA</v>
      </c>
      <c r="BC669" s="313">
        <v>0</v>
      </c>
      <c r="BD669" s="98" t="str">
        <f>IF(ISERROR((BC669/AU669-1)*100),"NA",IF(((BC669/AU669-1)*100)&gt;100,"NM",IF(((BC669/AU669-1)*100)&lt;-50,"NM",(BC669/AU669-1)*100)))</f>
        <v>NA</v>
      </c>
      <c r="BE669" s="313">
        <v>0</v>
      </c>
      <c r="BF669" s="98" t="str">
        <f>IF(ISERROR((BE669/AW669-1)*100),"NA",IF(((BE669/AW669-1)*100)&gt;100,"NM",IF(((BE669/AW669-1)*100)&lt;-50,"NM",(BE669/AW669-1)*100)))</f>
        <v>NA</v>
      </c>
      <c r="BG669" s="215">
        <v>0</v>
      </c>
      <c r="BH669" s="98" t="str">
        <f>IF(ISERROR((BG669/AY669-1)*100),"NA",IF(((BG669/AY669-1)*100)&gt;100,"NM",IF(((BG669/AY669-1)*100)&lt;-50,"NM",(BG669/AY669-1)*100)))</f>
        <v>NA</v>
      </c>
      <c r="BI669" s="215">
        <v>0</v>
      </c>
      <c r="BJ669" s="98" t="str">
        <f>IF(ISERROR((BI669/BA669-1)*100),"NA",IF(((BI669/BA669-1)*100)&gt;100,"NM",IF(((BI669/BA669-1)*100)&lt;-50,"NM",(BI669/BA669-1)*100)))</f>
        <v>NA</v>
      </c>
      <c r="BK669" s="215">
        <v>0</v>
      </c>
      <c r="BL669" s="98" t="str">
        <f>IF(ISERROR((BK669/BC669-1)*100),"NA",IF(((BK669/BC669-1)*100)&gt;100,"NM",IF(((BK669/BC669-1)*100)&lt;-50,"NM",(BK669/BC669-1)*100)))</f>
        <v>NA</v>
      </c>
      <c r="BM669" s="215">
        <v>0</v>
      </c>
      <c r="BN669" s="98" t="str">
        <f>IF(ISERROR((BM669/BE669-1)*100),"NA",IF(((BM669/BE669-1)*100)&gt;100,"NM",IF(((BM669/BE669-1)*100)&lt;-50,"NM",(BM669/BE669-1)*100)))</f>
        <v>NA</v>
      </c>
      <c r="BO669" s="215">
        <v>0</v>
      </c>
      <c r="BP669" s="98" t="str">
        <f>IF(ISERROR((BO669/BG669-1)*100),"NA",IF(((BO669/BG669-1)*100)&gt;100,"NM",IF(((BO669/BG669-1)*100)&lt;-50,"NM",(BO669/BG669-1)*100)))</f>
        <v>NA</v>
      </c>
      <c r="BQ669" s="215">
        <v>0</v>
      </c>
      <c r="BR669" s="98" t="str">
        <f>IF(ISERROR((BQ669/BI669-1)*100),"NA",IF(((BQ669/BI669-1)*100)&gt;100,"NM",IF(((BQ669/BI669-1)*100)&lt;-50,"NM",(BQ669/BI669-1)*100)))</f>
        <v>NA</v>
      </c>
      <c r="BS669" s="216">
        <f>BS671/BS668</f>
        <v>26.666666666666668</v>
      </c>
      <c r="BT669" s="98" t="str">
        <f>IF(ISERROR((BS669/BK669-1)*100),"NA",IF(((BS669/BK669-1)*100)&gt;100,"NM",IF(((BS669/BK669-1)*100)&lt;-50,"NM",(BS669/BK669-1)*100)))</f>
        <v>NA</v>
      </c>
      <c r="BU669" s="215">
        <f>BU674*0.75</f>
        <v>23.287500000000001</v>
      </c>
      <c r="BV669" s="98" t="str">
        <f>IF(ISERROR((BU669/BM669-1)*100),"NA",IF(((BU669/BM669-1)*100)&gt;100,"NM",IF(((BU669/BM669-1)*100)&lt;-50,"NM",(BU669/BM669-1)*100)))</f>
        <v>NA</v>
      </c>
      <c r="BW669" s="215">
        <f>BW674*0.75</f>
        <v>18.577500000000001</v>
      </c>
      <c r="BX669" s="98" t="str">
        <f>IF(ISERROR((BW669/BO669-1)*100),"NA",IF(((BW669/BO669-1)*100)&gt;100,"NM",IF(((BW669/BO669-1)*100)&lt;-50,"NM",(BW669/BO669-1)*100)))</f>
        <v>NA</v>
      </c>
      <c r="BY669" s="215">
        <v>0</v>
      </c>
      <c r="BZ669" s="98" t="str">
        <f>IF(ISERROR((BY669/BQ669-1)*100),"NA",IF(((BY669/BQ669-1)*100)&gt;100,"NM",IF(((BY669/BQ669-1)*100)&lt;-50,"NM",(BY669/BQ669-1)*100)))</f>
        <v>NA</v>
      </c>
      <c r="CA669" s="215">
        <v>0</v>
      </c>
      <c r="CB669" s="98" t="str">
        <f>IF(ISERROR((CA669/BS669-1)*100),"NA",IF(((CA669/BS669-1)*100)&gt;100,"NM",IF(((CA669/BS669-1)*100)&lt;-50,"NM",(CA669/BS669-1)*100)))</f>
        <v>NM</v>
      </c>
      <c r="CC669" s="215">
        <v>0</v>
      </c>
      <c r="CD669" s="98" t="str">
        <f>IF(ISERROR((CC669/BU669-1)*100),"NA",IF(((CC669/BU669-1)*100)&gt;100,"NM",IF(((CC669/BU669-1)*100)&lt;-50,"NM",(CC669/BU669-1)*100)))</f>
        <v>NM</v>
      </c>
      <c r="CE669" s="215">
        <f>CE674*0.75</f>
        <v>28.567500000000003</v>
      </c>
      <c r="CF669" s="98">
        <f>IF(ISERROR((CE669/BW669-1)*100),"NA",IF(((CE669/BW669-1)*100)&gt;100,"NM",IF(((CE669/BW669-1)*100)&lt;-50,"NM",(CE669/BW669-1)*100)))</f>
        <v>53.774727492935014</v>
      </c>
      <c r="CG669" s="215">
        <f>CG674*0.75</f>
        <v>31.807499999999997</v>
      </c>
      <c r="CH669" s="98" t="str">
        <f>IF(ISERROR((CG669/BY669-1)*100),"NA",IF(((CG669/BY669-1)*100)&gt;100,"NM",IF(((CG669/BY669-1)*100)&lt;-50,"NM",(CG669/BY669-1)*100)))</f>
        <v>NA</v>
      </c>
      <c r="CI669" s="215">
        <v>42</v>
      </c>
      <c r="CJ669" s="98" t="str">
        <f>IF(ISERROR((CI669/CA669-1)*100),"NA",IF(((CI669/CA669-1)*100)&gt;100,"NM",IF(((CI669/CA669-1)*100)&lt;-50,"NM",(CI669/CA669-1)*100)))</f>
        <v>NA</v>
      </c>
      <c r="CK669" s="215">
        <v>40.9</v>
      </c>
      <c r="CL669" s="98" t="str">
        <f>IF(ISERROR((CK669/CC669-1)*100),"NA",IF(((CK669/CC669-1)*100)&gt;100,"NM",IF(((CK669/CC669-1)*100)&lt;-50,"NM",(CK669/CC669-1)*100)))</f>
        <v>NA</v>
      </c>
      <c r="CM669" s="215">
        <f>CM674*0.75</f>
        <v>34.454999999999998</v>
      </c>
      <c r="CN669" s="98">
        <f>IF(ISERROR((CM669/CE669-1)*100),"NA",IF(((CM669/CE669-1)*100)&gt;100,"NM",IF(((CM669/CE669-1)*100)&lt;-50,"NM",(CM669/CE669-1)*100)))</f>
        <v>20.609083749015468</v>
      </c>
      <c r="CO669" s="215">
        <f>CO674*0.75</f>
        <v>32.677500000000002</v>
      </c>
      <c r="CP669" s="876">
        <f>IF(ISERROR((CO669/CG669-1)*100),"NA",IF(((CO669/CG669-1)*100)&gt;100,"NM",IF(((CO669/CG669-1)*100)&lt;-50,"NM",(CO669/CG669-1)*100)))</f>
        <v>2.7352039613298906</v>
      </c>
      <c r="CQ669" s="215">
        <f>CQ674*0.75</f>
        <v>26.355</v>
      </c>
      <c r="CR669" s="98">
        <f>IF(ISERROR((CQ669/CI669-1)*100),"NA",IF(((CQ669/CI669-1)*100)&gt;100,"NM",IF(((CQ669/CI669-1)*100)&lt;-50,"NM",(CQ669/CI669-1)*100)))</f>
        <v>-37.249999999999993</v>
      </c>
      <c r="CS669" s="215">
        <f>CS674*0.75</f>
        <v>23.647500000000001</v>
      </c>
      <c r="CT669" s="98">
        <f>IF(ISERROR((CS669/CK669-1)*100),"NA",IF(((CS669/CK669-1)*100)&gt;100,"NM",IF(((CS669/CK669-1)*100)&lt;-50,"NM",(CS669/CK669-1)*100)))</f>
        <v>-42.182151589242046</v>
      </c>
      <c r="CU669" s="215">
        <f>CU674*0.75</f>
        <v>27.72</v>
      </c>
      <c r="CV669" s="98">
        <f>IF(ISERROR((CU669/CM669-1)*100),"NA",IF(((CU669/CM669-1)*100)&gt;100,"NM",IF(((CU669/CM669-1)*100)&lt;-50,"NM",(CU669/CM669-1)*100)))</f>
        <v>-19.547235524597294</v>
      </c>
      <c r="CW669" s="215">
        <f>CW674*0.75</f>
        <v>24.494999999999997</v>
      </c>
      <c r="CX669" s="98">
        <f>IF(ISERROR((CW669/CO669-1)*100),"NA",IF(((CW669/CO669-1)*100)&gt;100,"NM",IF(((CW669/CO669-1)*100)&lt;-50,"NM",(CW669/CO669-1)*100)))</f>
        <v>-25.040165251319724</v>
      </c>
      <c r="CY669" s="215">
        <f>CY674*0.75</f>
        <v>24.817500000000003</v>
      </c>
      <c r="CZ669" s="98">
        <f>IF(ISERROR((CY669/CQ669-1)*100),"NA",IF(((CY669/CQ669-1)*100)&gt;100,"NM",IF(((CY669/CQ669-1)*100)&lt;-50,"NM",(CY669/CQ669-1)*100)))</f>
        <v>-5.8338076266363004</v>
      </c>
      <c r="DA669" s="216">
        <f>DA671/DA668</f>
        <v>37.800687285223368</v>
      </c>
      <c r="DB669" s="98">
        <f>IF(ISERROR((DA669/CS669-1)*100),"NA",IF(((DA669/CS669-1)*100)&gt;100,"NM",IF(((DA669/CS669-1)*100)&lt;-50,"NM",(DA669/CS669-1)*100)))</f>
        <v>59.85067041007872</v>
      </c>
      <c r="DC669" s="215">
        <f>DC674*0.75</f>
        <v>27.8325</v>
      </c>
      <c r="DD669" s="98">
        <f>IF(ISERROR((DC669/CU669-1)*100),"NA",IF(((DC669/CU669-1)*100)&gt;100,"NM",IF(((DC669/CU669-1)*100)&lt;-50,"NM",(DC669/CU669-1)*100)))</f>
        <v>0.40584415584414835</v>
      </c>
      <c r="DE669" s="215">
        <f>DE674*0.75</f>
        <v>30.945</v>
      </c>
      <c r="DF669" s="98">
        <f>IF(ISERROR((DE669/CW669-1)*100),"NA",IF(((DE669/CW669-1)*100)&gt;100,"NM",IF(((DE669/CW669-1)*100)&lt;-50,"NM",(DE669/CW669-1)*100)))</f>
        <v>26.331904470300071</v>
      </c>
      <c r="DG669" s="216">
        <f>DG671/DG668</f>
        <v>41.32231404958678</v>
      </c>
      <c r="DH669" s="98">
        <f>IF(ISERROR((DG669/CY669-1)*100),"NA",IF(((DG669/CY669-1)*100)&gt;100,"NM",IF(((DG669/CY669-1)*100)&lt;-50,"NM",(DG669/CY669-1)*100)))</f>
        <v>66.504740806232604</v>
      </c>
      <c r="DI669" s="215">
        <f>DI674*0.75</f>
        <v>37.724999999999994</v>
      </c>
      <c r="DJ669" s="98">
        <f>IF(ISERROR((DI669/DA669-1)*100),"NA",IF(((DI669/DA669-1)*100)&gt;100,"NM",IF(((DI669/DA669-1)*100)&lt;-50,"NM",(DI669/DA669-1)*100)))</f>
        <v>-0.20022727272729357</v>
      </c>
      <c r="DK669" s="215">
        <f>DK674*0.75</f>
        <v>38.655000000000001</v>
      </c>
      <c r="DL669" s="98">
        <f>IF(ISERROR((DK669/DC669-1)*100),"NA",IF(((DK669/DC669-1)*100)&gt;100,"NM",IF(((DK669/DC669-1)*100)&lt;-50,"NM",(DK669/DC669-1)*100)))</f>
        <v>38.884397736459178</v>
      </c>
      <c r="DM669" s="215">
        <f>DM674*0.75</f>
        <v>39.375</v>
      </c>
      <c r="DN669" s="98">
        <f>IF(ISERROR((DM669/DE669-1)*100),"NA",IF(((DM669/DE669-1)*100)&gt;100,"NM",IF(((DM669/DE669-1)*100)&lt;-50,"NM",(DM669/DE669-1)*100)))</f>
        <v>27.241880756180326</v>
      </c>
      <c r="DO669" s="215">
        <f>DO674*0.75</f>
        <v>40.555555555555557</v>
      </c>
      <c r="DP669" s="98">
        <f>IF(ISERROR((DO669/DG669-1)*100),"NA",IF(((DO669/DG669-1)*100)&gt;100,"NM",IF(((DO669/DG669-1)*100)&lt;-50,"NM",(DO669/DG669-1)*100)))</f>
        <v>-1.8555555555555547</v>
      </c>
      <c r="DQ669" s="215">
        <f>DQ674*0.75</f>
        <v>39.042056074766357</v>
      </c>
      <c r="DR669" s="98">
        <f>IF(ISERROR((DQ669/DI669-1)*100),"NA",IF(((DQ669/DI669-1)*100)&gt;100,"NM",IF(((DQ669/DI669-1)*100)&lt;-50,"NM",(DQ669/DI669-1)*100)))</f>
        <v>3.491202318797515</v>
      </c>
      <c r="DS669" s="215">
        <f>DS674*0.75</f>
        <v>38.25</v>
      </c>
      <c r="DT669" s="98">
        <f>IF(ISERROR((DS669/DK669-1)*100),"NA",IF(((DS669/DK669-1)*100)&gt;100,"NM",IF(((DS669/DK669-1)*100)&lt;-50,"NM",(DS669/DK669-1)*100)))</f>
        <v>-1.0477299185098987</v>
      </c>
      <c r="DU669" s="215">
        <f>DU674*0.75</f>
        <v>39.847500000000004</v>
      </c>
      <c r="DV669" s="41">
        <f>IF(ISERROR((DU669/DM669-1)*100),"NA",IF(((DU669/DM669-1)*100)&gt;100,"NM",IF(((DU669/DM669-1)*100)&lt;-50,"NM",(DU669/DM669-1)*100)))</f>
        <v>1.2000000000000011</v>
      </c>
      <c r="DW669" s="215">
        <f>DW674*0.75</f>
        <v>34.891304347826093</v>
      </c>
      <c r="DX669" s="41">
        <f>IF(ISERROR((DW669/DO669-1)*100),"NA",IF(((DW669/DO669-1)*100)&gt;100,"NM",IF(((DW669/DO669-1)*100)&lt;-50,"NM",(DW669/DO669-1)*100)))</f>
        <v>-13.966646813579498</v>
      </c>
      <c r="DY669" s="215">
        <f>DY674*0.75</f>
        <v>36.052631578947363</v>
      </c>
      <c r="DZ669" s="41">
        <f>IF(ISERROR((DY669/DQ669-1)*100),"NA",IF(((DY669/DQ669-1)*100)&gt;100,"NM",IF(((DY669/DQ669-1)*100)&lt;-50,"NM",(DY669/DQ669-1)*100)))</f>
        <v>-7.6569340766638465</v>
      </c>
      <c r="EA669" s="215">
        <f>EA674*0.75</f>
        <v>32.142857142857146</v>
      </c>
      <c r="EB669" s="41">
        <f>IF(ISERROR((EA669/DS669-1)*100),"NA",IF(((EA669/DS669-1)*100)&gt;100,"NM",IF(((EA669/DS669-1)*100)&lt;-50,"NM",(EA669/DS669-1)*100)))</f>
        <v>-15.966386554621836</v>
      </c>
      <c r="EC669" s="215">
        <f>EC674*0.75</f>
        <v>32.142857142857146</v>
      </c>
      <c r="ED669" s="41">
        <f>IF(ISERROR((EC669/DU669-1)*100),"NA",IF(((EC669/DU669-1)*100)&gt;100,"NM",IF(((EC669/DU669-1)*100)&lt;-50,"NM",(EC669/DU669-1)*100)))</f>
        <v>-19.33532306203114</v>
      </c>
      <c r="EE669" s="215">
        <f>EE674*0.75</f>
        <v>32.142857142857146</v>
      </c>
      <c r="EF669" s="1059">
        <f>IF(ISERROR((EE669/DW669-1)*100),"NA",IF(((EE669/DW669-1)*100)&gt;100,"NM",IF(((EE669/DW669-1)*100)&lt;-50,"NM",(EE669/DW669-1)*100)))</f>
        <v>-7.8771695594125557</v>
      </c>
      <c r="EG669" s="215">
        <f>EG674*0.75</f>
        <v>41.18181818181818</v>
      </c>
      <c r="EH669" s="860">
        <f>IF(ISERROR((EG669/DY669-1)*100),"NA",IF(((EG669/DY669-1)*100)&gt;100,"NM",IF(((EG669/DY669-1)*100)&lt;-50,"NM",(EG669/DY669-1)*100)))</f>
        <v>14.226940942269417</v>
      </c>
      <c r="EI669" s="215">
        <f>EI674*0.75</f>
        <v>40.21875</v>
      </c>
      <c r="EJ669" s="860">
        <f t="shared" si="4056"/>
        <v>25.124999999999996</v>
      </c>
      <c r="EK669" s="215">
        <f>EK674*0.75</f>
        <v>39.016393442622949</v>
      </c>
      <c r="EL669" s="860">
        <f t="shared" si="4057"/>
        <v>21.384335154826939</v>
      </c>
      <c r="EM669" s="215">
        <f>EM674*0.75</f>
        <v>36.418269230769226</v>
      </c>
      <c r="EN669" s="860">
        <f t="shared" si="4058"/>
        <v>13.301282051282026</v>
      </c>
      <c r="EO669" s="215">
        <f>EO674*0.75</f>
        <v>39.201680672268907</v>
      </c>
      <c r="EP669" s="98">
        <f t="shared" si="4059"/>
        <v>-4.80828092826534</v>
      </c>
      <c r="EQ669" s="1059">
        <f t="shared" ref="EQ669" si="4067">EQ674*0.75</f>
        <v>36.390861098360659</v>
      </c>
      <c r="ER669" s="98">
        <f t="shared" si="4060"/>
        <v>-9.5176724827085391</v>
      </c>
      <c r="ES669" s="1059">
        <f t="shared" ref="ES669" si="4068">ES674*0.75</f>
        <v>36.818678320327876</v>
      </c>
      <c r="ET669" s="98">
        <f t="shared" si="4062"/>
        <v>-5.6327992630251895</v>
      </c>
      <c r="EU669" s="1059">
        <f t="shared" ref="EU669" si="4069">EU674*0.75</f>
        <v>37.255051886734435</v>
      </c>
      <c r="EV669" s="98">
        <f t="shared" si="4064"/>
        <v>2.2977002302410954</v>
      </c>
      <c r="EW669" s="1059">
        <f t="shared" ref="EW669" si="4070">EW674*0.75</f>
        <v>37.677652924469129</v>
      </c>
      <c r="EX669" s="98">
        <f t="shared" si="4066"/>
        <v>-3.8876592066060756</v>
      </c>
      <c r="EY669" s="35"/>
      <c r="EZ669" s="594"/>
      <c r="FA669" s="408"/>
      <c r="FB669" s="354"/>
      <c r="FC669" s="164"/>
      <c r="FD669" s="354"/>
      <c r="FE669" s="164"/>
      <c r="FF669" s="355">
        <f>C669</f>
        <v>14.25</v>
      </c>
      <c r="FG669" s="164" t="str">
        <f>IF(ISERROR((FF669/FD669-1)*100),"NA",IF(((FF669/FD669-1)*100)&gt;100,"NM",IF(((FF669/FD669-1)*100)&lt;-50,"NM",(FF669/FD669-1)*100)))</f>
        <v>NA</v>
      </c>
      <c r="FH669" s="355">
        <f>K669</f>
        <v>0</v>
      </c>
      <c r="FI669" s="164" t="str">
        <f>IF(ISERROR((FH669/FF669-1)*100),"NA",IF(((FH669/FF669-1)*100)&gt;100,"NM",IF(((FH669/FF669-1)*100)&lt;-50,"NM",(FH669/FF669-1)*100)))</f>
        <v>NM</v>
      </c>
      <c r="FJ669" s="354">
        <v>0</v>
      </c>
      <c r="FK669" s="164" t="str">
        <f>IF(ISERROR((FJ669/FH669-1)*100),"NA",IF(((FJ669/FH669-1)*100)&gt;100,"NM",IF(((FJ669/FH669-1)*100)&lt;-50,"NM",(FJ669/FH669-1)*100)))</f>
        <v>NA</v>
      </c>
      <c r="FL669" s="354">
        <v>0</v>
      </c>
      <c r="FM669" s="164" t="str">
        <f>IF(ISERROR((FL669/FJ669-1)*100),"NA",IF(((FL669/FJ669-1)*100)&gt;100,"NM",IF(((FL669/FJ669-1)*100)&lt;-50,"NM",(FL669/FJ669-1)*100)))</f>
        <v>NA</v>
      </c>
      <c r="FN669" s="354">
        <v>0</v>
      </c>
      <c r="FO669" s="164" t="str">
        <f>IF(ISERROR((FN669/FL669-1)*100),"NA",IF(((FN669/FL669-1)*100)&gt;100,"NM",IF(((FN669/FL669-1)*100)&lt;-50,"NM",(FN669/FL669-1)*100)))</f>
        <v>NA</v>
      </c>
      <c r="FP669" s="354">
        <v>0</v>
      </c>
      <c r="FQ669" s="164" t="str">
        <f>IF(ISERROR((FP669/FN669-1)*100),"NA",IF(((FP669/FN669-1)*100)&gt;100,"NM",IF(((FP669/FN669-1)*100)&lt;-50,"NM",(FP669/FN669-1)*100)))</f>
        <v>NA</v>
      </c>
      <c r="FR669" s="34">
        <f>0.5*FR674</f>
        <v>32</v>
      </c>
      <c r="FS669" s="120" t="str">
        <f>IF(ISERROR((FR669/FP669-1)*100),"NA",IF(((FR669/FP669-1)*100)&gt;100,"NM",IF(((FR669/FP669-1)*100)&lt;-50,"NM",(FR669/FP669-1)*100)))</f>
        <v>NA</v>
      </c>
      <c r="FT669" s="34">
        <f>0.5*FT674</f>
        <v>31.508620689655174</v>
      </c>
      <c r="FU669" s="120">
        <f>IF(ISERROR((FT669/FR669-1)*100),"NA",IF(((FT669/FR669-1)*100)&gt;100,"NM",IF(((FT669/FR669-1)*100)&lt;-50,"NM",(FT669/FR669-1)*100)))</f>
        <v>-1.5355603448275801</v>
      </c>
      <c r="FV669" s="34">
        <f>0.5*FV674</f>
        <v>15.525</v>
      </c>
      <c r="FW669" s="98" t="str">
        <f>IF(ISERROR((FV669/FT669-1)*100),"NA",IF(((FV669/FT669-1)*100)&gt;100,"NM",IF(((FV669/FT669-1)*100)&lt;-50,"NM",(FV669/FT669-1)*100)))</f>
        <v>NM</v>
      </c>
      <c r="FX669" s="472">
        <f>0.5*FX674</f>
        <v>17.82</v>
      </c>
      <c r="FY669" s="98">
        <f>IF(ISERROR((FX669/FV669-1)*100),"NA",IF(((FX669/FV669-1)*100)&gt;100,"NM",IF(((FX669/FV669-1)*100)&lt;-50,"NM",(FX669/FV669-1)*100)))</f>
        <v>14.782608695652177</v>
      </c>
      <c r="FZ669" s="34">
        <f>0.5*FZ674</f>
        <v>20.484999999999999</v>
      </c>
      <c r="GA669" s="98">
        <f>IF(ISERROR((FZ669/FX669-1)*100),"NA",IF(((FZ669/FX669-1)*100)&gt;100,"NM",IF(((FZ669/FX669-1)*100)&lt;-50,"NM",(FZ669/FX669-1)*100)))</f>
        <v>14.955106621773284</v>
      </c>
      <c r="GB669" s="472">
        <f>AVERAGE(CM669,CO669,CQ669,CS669)</f>
        <v>29.283749999999998</v>
      </c>
      <c r="GC669" s="98">
        <f>IF(ISERROR((GB669/FZ669-1)*100),"NA",IF(((GB669/FZ669-1)*100)&gt;100,"NM",IF(((GB669/FZ669-1)*100)&lt;-50,"NM",(GB669/FZ669-1)*100)))</f>
        <v>42.952160117158897</v>
      </c>
      <c r="GD669" s="35">
        <v>44.25</v>
      </c>
      <c r="GE669" s="98">
        <f>IF(ISERROR((GD669/GB669-1)*100),"NA",IF(((GD669/GB669-1)*100)&gt;100,"NM",IF(((GD669/GB669-1)*100)&lt;-50,"NM",(GD669/GB669-1)*100)))</f>
        <v>51.107696247919087</v>
      </c>
      <c r="GF669" s="34">
        <f>AVERAGE(DC669,DE669,DG669,DI669)</f>
        <v>34.456203512396698</v>
      </c>
      <c r="GG669" s="98">
        <f>IF(ISERROR((GF669/GD669-1)*100),"NA",IF(((GF669/GD669-1)*100)&gt;100,"NM",IF(((GF669/GD669-1)*100)&lt;-50,"NM",(GF669/GD669-1)*100)))</f>
        <v>-22.132873418312549</v>
      </c>
      <c r="GH669" s="34">
        <f>AVERAGE(DK669,DM669,DO669,DQ669)</f>
        <v>39.406902907580481</v>
      </c>
      <c r="GI669" s="98">
        <f>IF(ISERROR((GH669/GF669-1)*100),"NA",IF(((GH669/GF669-1)*100)&gt;100,"NM",IF(((GH669/GF669-1)*100)&lt;-50,"NM",(GH669/GF669-1)*100)))</f>
        <v>14.368093087802357</v>
      </c>
      <c r="GJ669" s="34">
        <f>AVERAGE(DS669,DU669,DW669,DY669)</f>
        <v>37.260358981693365</v>
      </c>
      <c r="GK669" s="98">
        <f>IF(ISERROR((GJ669/GH669-1)*100),"NA",IF(((GJ669/GH669-1)*100)&gt;100,"NM",IF(((GJ669/GH669-1)*100)&lt;-50,"NM",(GJ669/GH669-1)*100)))</f>
        <v>-5.4471266897612391</v>
      </c>
      <c r="GL669" s="34">
        <f>AVERAGE(EA669,EC669,EE669,EG669)</f>
        <v>34.402597402597408</v>
      </c>
      <c r="GM669" s="98">
        <f>IF(ISERROR((GL669/GJ669-1)*100),"NA",IF(((GL669/GJ669-1)*100)&gt;100,"NM",IF(((GL669/GJ669-1)*100)&lt;-50,"NM",(GL669/GJ669-1)*100)))</f>
        <v>-7.6697102690288732</v>
      </c>
      <c r="GN669" s="34">
        <f>AVERAGE(EI669,EK669,EM669,EO669)</f>
        <v>38.713773336415272</v>
      </c>
      <c r="GO669" s="98">
        <f>IF(ISERROR((GN669/GL669-1)*100),"NA",IF(((GN669/GL669-1)*100)&gt;100,"NM",IF(((GN669/GL669-1)*100)&lt;-50,"NM",(GN669/GL669-1)*100)))</f>
        <v>12.53154197448001</v>
      </c>
      <c r="GP669" s="34">
        <f>AVERAGE(EQ669,ES669,EU669,EW669)</f>
        <v>37.035561057473025</v>
      </c>
      <c r="GQ669" s="98">
        <f>IF(ISERROR((GP669/GN669-1)*100),"NA",IF(((GP669/GN669-1)*100)&gt;100,"NM",IF(((GP669/GN669-1)*100)&lt;-50,"NM",(GP669/GN669-1)*100)))</f>
        <v>-4.3349230372325191</v>
      </c>
      <c r="GR669" s="35">
        <f>GR674*0.75</f>
        <v>38.665880942070871</v>
      </c>
      <c r="GS669" s="98">
        <f>IF(ISERROR((GR669/GP669-1)*100),"NA",IF(((GR669/GP669-1)*100)&gt;100,"NM",IF(((GR669/GP669-1)*100)&lt;-50,"NM",(GR669/GP669-1)*100)))</f>
        <v>4.4020391160481065</v>
      </c>
      <c r="GT669" s="35">
        <f>GT674*0.75</f>
        <v>40.293373917436547</v>
      </c>
      <c r="GU669" s="98">
        <f>IF(ISERROR((GT669/GR669-1)*100),"NA",IF(((GT669/GR669-1)*100)&gt;100,"NM",IF(((GT669/GR669-1)*100)&lt;-50,"NM",(GT669/GR669-1)*100)))</f>
        <v>4.209119088231783</v>
      </c>
      <c r="GV669" s="35">
        <f>GV674*0.75</f>
        <v>41.904488580831469</v>
      </c>
      <c r="GW669" s="98">
        <f>IF(ISERROR((GV669/GT669-1)*100),"NA",IF(((GV669/GT669-1)*100)&gt;100,"NM",IF(((GV669/GT669-1)*100)&lt;-50,"NM",(GV669/GT669-1)*100)))</f>
        <v>3.9984605575501986</v>
      </c>
      <c r="GX669" s="35">
        <f>GX674*0.75</f>
        <v>43.483256892297995</v>
      </c>
      <c r="GY669" s="98">
        <f>IF(ISERROR((GX669/GV669-1)*100),"NA",IF(((GX669/GV669-1)*100)&gt;100,"NM",IF(((GX669/GV669-1)*100)&lt;-50,"NM",(GX669/GV669-1)*100)))</f>
        <v>3.7675398625165668</v>
      </c>
      <c r="GZ669" s="98">
        <f>IF(ISERROR(((GX669/GN669)^0.2-1)*100),"NA",IF((((GX669/GN669)^0.2-1)*100)&gt;100,"NM",IF((((GX669/GN669)^0.2-1)*100)&lt;-50,"NM",((GX669/GN669)^0.2-1)*100)))</f>
        <v>2.3508167049659967</v>
      </c>
      <c r="HA669" s="98"/>
      <c r="HB669" s="10"/>
      <c r="HC669"/>
      <c r="HD669"/>
      <c r="HE669"/>
      <c r="HF669"/>
      <c r="HG669"/>
      <c r="HH669"/>
      <c r="HI669" s="10"/>
    </row>
    <row r="670" spans="1:217" s="2" customFormat="1" ht="12.75" customHeight="1" x14ac:dyDescent="0.2">
      <c r="A670" s="351"/>
      <c r="B670" s="18" t="s">
        <v>289</v>
      </c>
      <c r="C670" s="40">
        <f>21/90</f>
        <v>0.23333333333333334</v>
      </c>
      <c r="D670" s="98"/>
      <c r="E670" s="352">
        <v>0</v>
      </c>
      <c r="F670" s="98"/>
      <c r="G670" s="352">
        <v>0</v>
      </c>
      <c r="H670" s="98"/>
      <c r="I670" s="352">
        <v>0</v>
      </c>
      <c r="J670" s="98"/>
      <c r="K670" s="352">
        <v>0</v>
      </c>
      <c r="L670" s="98" t="str">
        <f>IF(ISERROR((K670/C670-1)*100),"NA",IF(((K670/C670-1)*100)&gt;100,"NM",IF(((K670/C670-1)*100)&lt;-50,"NM",(K670/C670-1)*100)))</f>
        <v>NM</v>
      </c>
      <c r="M670" s="352">
        <v>0</v>
      </c>
      <c r="N670" s="98" t="str">
        <f>IF(ISERROR((M670/E670-1)*100),"NA",IF(((M670/E670-1)*100)&gt;100,"NM",IF(((M670/E670-1)*100)&lt;-50,"NM",(M670/E670-1)*100)))</f>
        <v>NA</v>
      </c>
      <c r="O670" s="352">
        <v>0</v>
      </c>
      <c r="P670" s="98" t="str">
        <f>IF(ISERROR((O670/G670-1)*100),"NA",IF(((O670/G670-1)*100)&gt;100,"NM",IF(((O670/G670-1)*100)&lt;-50,"NM",(O670/G670-1)*100)))</f>
        <v>NA</v>
      </c>
      <c r="Q670" s="352">
        <v>0</v>
      </c>
      <c r="R670" s="98" t="str">
        <f>IF(ISERROR((Q670/I670-1)*100),"NA",IF(((Q670/I670-1)*100)&gt;100,"NM",IF(((Q670/I670-1)*100)&lt;-50,"NM",(Q670/I670-1)*100)))</f>
        <v>NA</v>
      </c>
      <c r="S670" s="352">
        <v>0</v>
      </c>
      <c r="T670" s="98" t="str">
        <f>IF(ISERROR((S670/K670-1)*100),"NA",IF(((S670/K670-1)*100)&gt;100,"NM",IF(((S670/K670-1)*100)&lt;-50,"NM",(S670/K670-1)*100)))</f>
        <v>NA</v>
      </c>
      <c r="U670" s="352">
        <v>0</v>
      </c>
      <c r="V670" s="98" t="str">
        <f>IF(ISERROR((U670/M670-1)*100),"NA",IF(((U670/M670-1)*100)&gt;100,"NM",IF(((U670/M670-1)*100)&lt;-50,"NM",(U670/M670-1)*100)))</f>
        <v>NA</v>
      </c>
      <c r="W670" s="352">
        <v>0</v>
      </c>
      <c r="X670" s="98" t="str">
        <f>IF(ISERROR((W670/O670-1)*100),"NA",IF(((W670/O670-1)*100)&gt;100,"NM",IF(((W670/O670-1)*100)&lt;-50,"NM",(W670/O670-1)*100)))</f>
        <v>NA</v>
      </c>
      <c r="Y670" s="101">
        <v>0</v>
      </c>
      <c r="Z670" s="98" t="str">
        <f>IF(ISERROR((Y670/Q670-1)*100),"NA",IF(((Y670/Q670-1)*100)&gt;100,"NM",IF(((Y670/Q670-1)*100)&lt;-50,"NM",(Y670/Q670-1)*100)))</f>
        <v>NA</v>
      </c>
      <c r="AA670" s="352">
        <v>0</v>
      </c>
      <c r="AB670" s="98" t="str">
        <f>IF(ISERROR((AA670/S670-1)*100),"NA",IF(((AA670/S670-1)*100)&gt;100,"NM",IF(((AA670/S670-1)*100)&lt;-50,"NM",(AA670/S670-1)*100)))</f>
        <v>NA</v>
      </c>
      <c r="AC670" s="352">
        <v>0</v>
      </c>
      <c r="AD670" s="98" t="str">
        <f>IF(ISERROR((AC670/U670-1)*100),"NA",IF(((AC670/U670-1)*100)&gt;100,"NM",IF(((AC670/U670-1)*100)&lt;-50,"NM",(AC670/U670-1)*100)))</f>
        <v>NA</v>
      </c>
      <c r="AE670" s="352">
        <v>0</v>
      </c>
      <c r="AF670" s="98" t="str">
        <f>IF(ISERROR((AE670/W670-1)*100),"NA",IF(((AE670/W670-1)*100)&gt;100,"NM",IF(((AE670/W670-1)*100)&lt;-50,"NM",(AE670/W670-1)*100)))</f>
        <v>NA</v>
      </c>
      <c r="AG670" s="281">
        <v>0</v>
      </c>
      <c r="AH670" s="98" t="str">
        <f>IF(ISERROR((AG670/Y670-1)*100),"NA",IF(((AG670/Y670-1)*100)&gt;100,"NM",IF(((AG670/Y670-1)*100)&lt;-50,"NM",(AG670/Y670-1)*100)))</f>
        <v>NA</v>
      </c>
      <c r="AI670" s="281">
        <v>0</v>
      </c>
      <c r="AJ670" s="98" t="str">
        <f>IF(ISERROR((AI670/AA670-1)*100),"NA",IF(((AI670/AA670-1)*100)&gt;100,"NM",IF(((AI670/AA670-1)*100)&lt;-50,"NM",(AI670/AA670-1)*100)))</f>
        <v>NA</v>
      </c>
      <c r="AK670" s="281">
        <v>0</v>
      </c>
      <c r="AL670" s="98" t="str">
        <f>IF(ISERROR((AK670/AC670-1)*100),"NA",IF(((AK670/AC670-1)*100)&gt;100,"NM",IF(((AK670/AC670-1)*100)&lt;-50,"NM",(AK670/AC670-1)*100)))</f>
        <v>NA</v>
      </c>
      <c r="AM670" s="281">
        <v>0</v>
      </c>
      <c r="AN670" s="98" t="str">
        <f>IF(ISERROR((AM670/AE670-1)*100),"NA",IF(((AM670/AE670-1)*100)&gt;100,"NM",IF(((AM670/AE670-1)*100)&lt;-50,"NM",(AM670/AE670-1)*100)))</f>
        <v>NA</v>
      </c>
      <c r="AO670" s="281">
        <v>0</v>
      </c>
      <c r="AP670" s="98" t="str">
        <f>IF(ISERROR((AO670/AG670-1)*100),"NA",IF(((AO670/AG670-1)*100)&gt;100,"NM",IF(((AO670/AG670-1)*100)&lt;-50,"NM",(AO670/AG670-1)*100)))</f>
        <v>NA</v>
      </c>
      <c r="AQ670" s="281">
        <v>0</v>
      </c>
      <c r="AR670" s="98" t="str">
        <f>IF(ISERROR((AQ670/AI670-1)*100),"NA",IF(((AQ670/AI670-1)*100)&gt;100,"NM",IF(((AQ670/AI670-1)*100)&lt;-50,"NM",(AQ670/AI670-1)*100)))</f>
        <v>NA</v>
      </c>
      <c r="AS670" s="281">
        <v>0</v>
      </c>
      <c r="AT670" s="98" t="str">
        <f>IF(ISERROR((AS670/AK670-1)*100),"NA",IF(((AS670/AK670-1)*100)&gt;100,"NM",IF(((AS670/AK670-1)*100)&lt;-50,"NM",(AS670/AK670-1)*100)))</f>
        <v>NA</v>
      </c>
      <c r="AU670" s="281">
        <v>0</v>
      </c>
      <c r="AV670" s="98" t="str">
        <f>IF(ISERROR((AU670/AM670-1)*100),"NA",IF(((AU670/AM670-1)*100)&gt;100,"NM",IF(((AU670/AM670-1)*100)&lt;-50,"NM",(AU670/AM670-1)*100)))</f>
        <v>NA</v>
      </c>
      <c r="AW670" s="281">
        <v>0</v>
      </c>
      <c r="AX670" s="98" t="str">
        <f>IF(ISERROR((AW670/AO670-1)*100),"NA",IF(((AW670/AO670-1)*100)&gt;100,"NM",IF(((AW670/AO670-1)*100)&lt;-50,"NM",(AW670/AO670-1)*100)))</f>
        <v>NA</v>
      </c>
      <c r="AY670" s="121">
        <v>0</v>
      </c>
      <c r="AZ670" s="98" t="str">
        <f>IF(ISERROR((AY670/AQ670-1)*100),"NA",IF(((AY670/AQ670-1)*100)&gt;100,"NM",IF(((AY670/AQ670-1)*100)&lt;-50,"NM",(AY670/AQ670-1)*100)))</f>
        <v>NA</v>
      </c>
      <c r="BA670" s="121">
        <v>0</v>
      </c>
      <c r="BB670" s="98" t="str">
        <f>IF(ISERROR((BA670/AS670-1)*100),"NA",IF(((BA670/AS670-1)*100)&gt;100,"NM",IF(((BA670/AS670-1)*100)&lt;-50,"NM",(BA670/AS670-1)*100)))</f>
        <v>NA</v>
      </c>
      <c r="BC670" s="121">
        <v>0</v>
      </c>
      <c r="BD670" s="98" t="str">
        <f>IF(ISERROR((BC670/AU670-1)*100),"NA",IF(((BC670/AU670-1)*100)&gt;100,"NM",IF(((BC670/AU670-1)*100)&lt;-50,"NM",(BC670/AU670-1)*100)))</f>
        <v>NA</v>
      </c>
      <c r="BE670" s="121">
        <v>0</v>
      </c>
      <c r="BF670" s="98" t="str">
        <f>IF(ISERROR((BE670/AW670-1)*100),"NA",IF(((BE670/AW670-1)*100)&gt;100,"NM",IF(((BE670/AW670-1)*100)&lt;-50,"NM",(BE670/AW670-1)*100)))</f>
        <v>NA</v>
      </c>
      <c r="BG670" s="121">
        <v>0</v>
      </c>
      <c r="BH670" s="98" t="str">
        <f>IF(ISERROR((BG670/AY670-1)*100),"NA",IF(((BG670/AY670-1)*100)&gt;100,"NM",IF(((BG670/AY670-1)*100)&lt;-50,"NM",(BG670/AY670-1)*100)))</f>
        <v>NA</v>
      </c>
      <c r="BI670" s="121">
        <v>0</v>
      </c>
      <c r="BJ670" s="98" t="str">
        <f>IF(ISERROR((BI670/BA670-1)*100),"NA",IF(((BI670/BA670-1)*100)&gt;100,"NM",IF(((BI670/BA670-1)*100)&lt;-50,"NM",(BI670/BA670-1)*100)))</f>
        <v>NA</v>
      </c>
      <c r="BK670" s="121">
        <v>0</v>
      </c>
      <c r="BL670" s="98" t="str">
        <f>IF(ISERROR((BK670/BC670-1)*100),"NA",IF(((BK670/BC670-1)*100)&gt;100,"NM",IF(((BK670/BC670-1)*100)&lt;-50,"NM",(BK670/BC670-1)*100)))</f>
        <v>NA</v>
      </c>
      <c r="BM670" s="121">
        <v>0</v>
      </c>
      <c r="BN670" s="98" t="str">
        <f>IF(ISERROR((BM670/BE670-1)*100),"NA",IF(((BM670/BE670-1)*100)&gt;100,"NM",IF(((BM670/BE670-1)*100)&lt;-50,"NM",(BM670/BE670-1)*100)))</f>
        <v>NA</v>
      </c>
      <c r="BO670" s="121">
        <v>0</v>
      </c>
      <c r="BP670" s="98" t="str">
        <f>IF(ISERROR((BO670/BG670-1)*100),"NA",IF(((BO670/BG670-1)*100)&gt;100,"NM",IF(((BO670/BG670-1)*100)&lt;-50,"NM",(BO670/BG670-1)*100)))</f>
        <v>NA</v>
      </c>
      <c r="BQ670" s="121">
        <v>0</v>
      </c>
      <c r="BR670" s="98" t="str">
        <f>IF(ISERROR((BQ670/BI670-1)*100),"NA",IF(((BQ670/BI670-1)*100)&gt;100,"NM",IF(((BQ670/BI670-1)*100)&lt;-50,"NM",(BQ670/BI670-1)*100)))</f>
        <v>NA</v>
      </c>
      <c r="BS670" s="121">
        <v>0</v>
      </c>
      <c r="BT670" s="98" t="str">
        <f>IF(ISERROR((BS670/BK670-1)*100),"NA",IF(((BS670/BK670-1)*100)&gt;100,"NM",IF(((BS670/BK670-1)*100)&lt;-50,"NM",(BS670/BK670-1)*100)))</f>
        <v>NA</v>
      </c>
      <c r="BU670" s="121">
        <v>0</v>
      </c>
      <c r="BV670" s="98" t="str">
        <f>IF(ISERROR((BU670/BM670-1)*100),"NA",IF(((BU670/BM670-1)*100)&gt;100,"NM",IF(((BU670/BM670-1)*100)&lt;-50,"NM",(BU670/BM670-1)*100)))</f>
        <v>NA</v>
      </c>
      <c r="BW670" s="121">
        <v>0</v>
      </c>
      <c r="BX670" s="98" t="str">
        <f>IF(ISERROR((BW670/BO670-1)*100),"NA",IF(((BW670/BO670-1)*100)&gt;100,"NM",IF(((BW670/BO670-1)*100)&lt;-50,"NM",(BW670/BO670-1)*100)))</f>
        <v>NA</v>
      </c>
      <c r="BY670" s="121">
        <v>0</v>
      </c>
      <c r="BZ670" s="98" t="str">
        <f>IF(ISERROR((BY670/BQ670-1)*100),"NA",IF(((BY670/BQ670-1)*100)&gt;100,"NM",IF(((BY670/BQ670-1)*100)&lt;-50,"NM",(BY670/BQ670-1)*100)))</f>
        <v>NA</v>
      </c>
      <c r="CA670" s="121">
        <v>0</v>
      </c>
      <c r="CB670" s="98" t="str">
        <f>IF(ISERROR((CA670/BS670-1)*100),"NA",IF(((CA670/BS670-1)*100)&gt;100,"NM",IF(((CA670/BS670-1)*100)&lt;-50,"NM",(CA670/BS670-1)*100)))</f>
        <v>NA</v>
      </c>
      <c r="CC670" s="121">
        <v>0</v>
      </c>
      <c r="CD670" s="98" t="str">
        <f>IF(ISERROR((CC670/BU670-1)*100),"NA",IF(((CC670/BU670-1)*100)&gt;100,"NM",IF(((CC670/BU670-1)*100)&lt;-50,"NM",(CC670/BU670-1)*100)))</f>
        <v>NA</v>
      </c>
      <c r="CE670" s="121">
        <v>0</v>
      </c>
      <c r="CF670" s="98" t="str">
        <f>IF(ISERROR((CE670/BW670-1)*100),"NA",IF(((CE670/BW670-1)*100)&gt;100,"NM",IF(((CE670/BW670-1)*100)&lt;-50,"NM",(CE670/BW670-1)*100)))</f>
        <v>NA</v>
      </c>
      <c r="CG670" s="121">
        <v>0</v>
      </c>
      <c r="CH670" s="98" t="str">
        <f>IF(ISERROR((CG670/BY670-1)*100),"NA",IF(((CG670/BY670-1)*100)&gt;100,"NM",IF(((CG670/BY670-1)*100)&lt;-50,"NM",(CG670/BY670-1)*100)))</f>
        <v>NA</v>
      </c>
      <c r="CI670" s="121">
        <v>33</v>
      </c>
      <c r="CJ670" s="98" t="str">
        <f>IF(ISERROR((CI670/CA670-1)*100),"NA",IF(((CI670/CA670-1)*100)&gt;100,"NM",IF(((CI670/CA670-1)*100)&lt;-50,"NM",(CI670/CA670-1)*100)))</f>
        <v>NA</v>
      </c>
      <c r="CK670" s="121">
        <v>0</v>
      </c>
      <c r="CL670" s="98" t="str">
        <f>IF(ISERROR((CK670/CC670-1)*100),"NA",IF(((CK670/CC670-1)*100)&gt;100,"NM",IF(((CK670/CC670-1)*100)&lt;-50,"NM",(CK670/CC670-1)*100)))</f>
        <v>NA</v>
      </c>
      <c r="CM670" s="121">
        <v>0</v>
      </c>
      <c r="CN670" s="98" t="str">
        <f>IF(ISERROR((CM670/CE670-1)*100),"NA",IF(((CM670/CE670-1)*100)&gt;100,"NM",IF(((CM670/CE670-1)*100)&lt;-50,"NM",(CM670/CE670-1)*100)))</f>
        <v>NA</v>
      </c>
      <c r="CO670" s="121">
        <v>0</v>
      </c>
      <c r="CP670" s="98" t="str">
        <f>IF(ISERROR((CO670/CG670-1)*100),"NA",IF(((CO670/CG670-1)*100)&gt;100,"NM",IF(((CO670/CG670-1)*100)&lt;-50,"NM",(CO670/CG670-1)*100)))</f>
        <v>NA</v>
      </c>
      <c r="CQ670" s="557">
        <v>0</v>
      </c>
      <c r="CR670" s="98" t="str">
        <f>IF(ISERROR((CQ670/CI670-1)*100),"NA",IF(((CQ670/CI670-1)*100)&gt;100,"NM",IF(((CQ670/CI670-1)*100)&lt;-50,"NM",(CQ670/CI670-1)*100)))</f>
        <v>NM</v>
      </c>
      <c r="CS670" s="121">
        <v>0</v>
      </c>
      <c r="CT670" s="98" t="str">
        <f>IF(ISERROR((CS670/CK670-1)*100),"NA",IF(((CS670/CK670-1)*100)&gt;100,"NM",IF(((CS670/CK670-1)*100)&lt;-50,"NM",(CS670/CK670-1)*100)))</f>
        <v>NA</v>
      </c>
      <c r="CU670" s="121">
        <v>0</v>
      </c>
      <c r="CV670" s="98" t="str">
        <f>IF(ISERROR((CU670/CM670-1)*100),"NA",IF(((CU670/CM670-1)*100)&gt;100,"NM",IF(((CU670/CM670-1)*100)&lt;-50,"NM",(CU670/CM670-1)*100)))</f>
        <v>NA</v>
      </c>
      <c r="CW670" s="121">
        <v>0</v>
      </c>
      <c r="CX670" s="98" t="str">
        <f>IF(ISERROR((CW670/CO670-1)*100),"NA",IF(((CW670/CO670-1)*100)&gt;100,"NM",IF(((CW670/CO670-1)*100)&lt;-50,"NM",(CW670/CO670-1)*100)))</f>
        <v>NA</v>
      </c>
      <c r="CY670" s="121">
        <v>0</v>
      </c>
      <c r="CZ670" s="98" t="str">
        <f>IF(ISERROR((CY670/CQ670-1)*100),"NA",IF(((CY670/CQ670-1)*100)&gt;100,"NM",IF(((CY670/CQ670-1)*100)&lt;-50,"NM",(CY670/CQ670-1)*100)))</f>
        <v>NA</v>
      </c>
      <c r="DA670" s="121">
        <v>0</v>
      </c>
      <c r="DB670" s="98" t="str">
        <f>IF(ISERROR((DA670/CS670-1)*100),"NA",IF(((DA670/CS670-1)*100)&gt;100,"NM",IF(((DA670/CS670-1)*100)&lt;-50,"NM",(DA670/CS670-1)*100)))</f>
        <v>NA</v>
      </c>
      <c r="DC670" s="121">
        <v>0</v>
      </c>
      <c r="DD670" s="98" t="str">
        <f>IF(ISERROR((DC670/CU670-1)*100),"NA",IF(((DC670/CU670-1)*100)&gt;100,"NM",IF(((DC670/CU670-1)*100)&lt;-50,"NM",(DC670/CU670-1)*100)))</f>
        <v>NA</v>
      </c>
      <c r="DE670" s="121">
        <v>0</v>
      </c>
      <c r="DF670" s="98" t="str">
        <f>IF(ISERROR((DE670/CW670-1)*100),"NA",IF(((DE670/CW670-1)*100)&gt;100,"NM",IF(((DE670/CW670-1)*100)&lt;-50,"NM",(DE670/CW670-1)*100)))</f>
        <v>NA</v>
      </c>
      <c r="DG670" s="121">
        <v>0</v>
      </c>
      <c r="DH670" s="98" t="str">
        <f>IF(ISERROR((DG670/CY670-1)*100),"NA",IF(((DG670/CY670-1)*100)&gt;100,"NM",IF(((DG670/CY670-1)*100)&lt;-50,"NM",(DG670/CY670-1)*100)))</f>
        <v>NA</v>
      </c>
      <c r="DI670" s="121">
        <v>0</v>
      </c>
      <c r="DJ670" s="98" t="str">
        <f>IF(ISERROR((DI670/DA670-1)*100),"NA",IF(((DI670/DA670-1)*100)&gt;100,"NM",IF(((DI670/DA670-1)*100)&lt;-50,"NM",(DI670/DA670-1)*100)))</f>
        <v>NA</v>
      </c>
      <c r="DK670" s="121">
        <v>0</v>
      </c>
      <c r="DL670" s="98" t="str">
        <f>IF(ISERROR((DK670/DC670-1)*100),"NA",IF(((DK670/DC670-1)*100)&gt;100,"NM",IF(((DK670/DC670-1)*100)&lt;-50,"NM",(DK670/DC670-1)*100)))</f>
        <v>NA</v>
      </c>
      <c r="DM670" s="121">
        <v>0</v>
      </c>
      <c r="DN670" s="98" t="str">
        <f>IF(ISERROR((DM670/DE670-1)*100),"NA",IF(((DM670/DE670-1)*100)&gt;100,"NM",IF(((DM670/DE670-1)*100)&lt;-50,"NM",(DM670/DE670-1)*100)))</f>
        <v>NA</v>
      </c>
      <c r="DO670" s="121">
        <v>0</v>
      </c>
      <c r="DP670" s="98" t="str">
        <f>IF(ISERROR((DO670/DG670-1)*100),"NA",IF(((DO670/DG670-1)*100)&gt;100,"NM",IF(((DO670/DG670-1)*100)&lt;-50,"NM",(DO670/DG670-1)*100)))</f>
        <v>NA</v>
      </c>
      <c r="DQ670" s="121">
        <v>0</v>
      </c>
      <c r="DR670" s="98" t="str">
        <f>IF(ISERROR((DQ670/DI670-1)*100),"NA",IF(((DQ670/DI670-1)*100)&gt;100,"NM",IF(((DQ670/DI670-1)*100)&lt;-50,"NM",(DQ670/DI670-1)*100)))</f>
        <v>NA</v>
      </c>
      <c r="DS670" s="121">
        <v>0</v>
      </c>
      <c r="DT670" s="98" t="str">
        <f>IF(ISERROR((DS670/DK670-1)*100),"NA",IF(((DS670/DK670-1)*100)&gt;100,"NM",IF(((DS670/DK670-1)*100)&lt;-50,"NM",(DS670/DK670-1)*100)))</f>
        <v>NA</v>
      </c>
      <c r="DU670" s="121">
        <v>0</v>
      </c>
      <c r="DV670" s="98" t="str">
        <f>IF(ISERROR((DU670/DM670-1)*100),"NA",IF(((DU670/DM670-1)*100)&gt;100,"NM",IF(((DU670/DM670-1)*100)&lt;-50,"NM",(DU670/DM670-1)*100)))</f>
        <v>NA</v>
      </c>
      <c r="DW670" s="121">
        <v>0</v>
      </c>
      <c r="DX670" s="98" t="str">
        <f>IF(ISERROR((DW670/DO670-1)*100),"NA",IF(((DW670/DO670-1)*100)&gt;100,"NM",IF(((DW670/DO670-1)*100)&lt;-50,"NM",(DW670/DO670-1)*100)))</f>
        <v>NA</v>
      </c>
      <c r="DY670" s="121">
        <v>0</v>
      </c>
      <c r="DZ670" s="98" t="str">
        <f>IF(ISERROR((DY670/DQ670-1)*100),"NA",IF(((DY670/DQ670-1)*100)&gt;100,"NM",IF(((DY670/DQ670-1)*100)&lt;-50,"NM",(DY670/DQ670-1)*100)))</f>
        <v>NA</v>
      </c>
      <c r="EA670" s="121">
        <v>0</v>
      </c>
      <c r="EB670" s="98" t="str">
        <f>IF(ISERROR((EA670/DS670-1)*100),"NA",IF(((EA670/DS670-1)*100)&gt;100,"NM",IF(((EA670/DS670-1)*100)&lt;-50,"NM",(EA670/DS670-1)*100)))</f>
        <v>NA</v>
      </c>
      <c r="EC670" s="121">
        <v>0</v>
      </c>
      <c r="ED670" s="98" t="str">
        <f>IF(ISERROR((EC670/DU670-1)*100),"NA",IF(((EC670/DU670-1)*100)&gt;100,"NM",IF(((EC670/DU670-1)*100)&lt;-50,"NM",(EC670/DU670-1)*100)))</f>
        <v>NA</v>
      </c>
      <c r="EE670" s="121">
        <v>0</v>
      </c>
      <c r="EF670" s="860" t="str">
        <f>IF(ISERROR((EE670/DW670-1)*100),"NA",IF(((EE670/DW670-1)*100)&gt;100,"NM",IF(((EE670/DW670-1)*100)&lt;-50,"NM",(EE670/DW670-1)*100)))</f>
        <v>NA</v>
      </c>
      <c r="EG670" s="121">
        <v>0</v>
      </c>
      <c r="EH670" s="860" t="str">
        <f>IF(ISERROR((EG670/DY670-1)*100),"NA",IF(((EG670/DY670-1)*100)&gt;100,"NM",IF(((EG670/DY670-1)*100)&lt;-50,"NM",(EG670/DY670-1)*100)))</f>
        <v>NA</v>
      </c>
      <c r="EI670" s="121">
        <v>0</v>
      </c>
      <c r="EJ670" s="860" t="str">
        <f t="shared" si="4056"/>
        <v>NA</v>
      </c>
      <c r="EK670" s="121">
        <v>0</v>
      </c>
      <c r="EL670" s="860" t="str">
        <f t="shared" si="4057"/>
        <v>NA</v>
      </c>
      <c r="EM670" s="121">
        <v>0</v>
      </c>
      <c r="EN670" s="860" t="str">
        <f t="shared" si="4058"/>
        <v>NA</v>
      </c>
      <c r="EO670" s="121">
        <v>0</v>
      </c>
      <c r="EP670" s="98" t="str">
        <f t="shared" si="4059"/>
        <v>NA</v>
      </c>
      <c r="EQ670" s="952">
        <v>50</v>
      </c>
      <c r="ER670" s="98" t="str">
        <f t="shared" si="4060"/>
        <v>NA</v>
      </c>
      <c r="ES670" s="952">
        <v>50</v>
      </c>
      <c r="ET670" s="98" t="str">
        <f t="shared" si="4062"/>
        <v>NA</v>
      </c>
      <c r="EU670" s="952">
        <v>50</v>
      </c>
      <c r="EV670" s="98" t="str">
        <f t="shared" si="4064"/>
        <v>NA</v>
      </c>
      <c r="EW670" s="952">
        <v>50</v>
      </c>
      <c r="EX670" s="98" t="str">
        <f t="shared" si="4066"/>
        <v>NA</v>
      </c>
      <c r="EY670" s="40"/>
      <c r="EZ670" s="594"/>
      <c r="FA670" s="408"/>
      <c r="FB670" s="354"/>
      <c r="FC670" s="164"/>
      <c r="FD670" s="354"/>
      <c r="FE670" s="164"/>
      <c r="FF670" s="354">
        <v>50</v>
      </c>
      <c r="FG670" s="164" t="str">
        <f>IF(ISERROR((FF670/FD670-1)*100),"NA",IF(((FF670/FD670-1)*100)&gt;100,"NM",IF(((FF670/FD670-1)*100)&lt;-50,"NM",(FF670/FD670-1)*100)))</f>
        <v>NA</v>
      </c>
      <c r="FH670" s="354">
        <v>50</v>
      </c>
      <c r="FI670" s="164">
        <f>IF(ISERROR((FH670/FF670-1)*100),"NA",IF(((FH670/FF670-1)*100)&gt;100,"NM",IF(((FH670/FF670-1)*100)&lt;-50,"NM",(FH670/FF670-1)*100)))</f>
        <v>0</v>
      </c>
      <c r="FJ670" s="354">
        <v>50</v>
      </c>
      <c r="FK670" s="164">
        <f>IF(ISERROR((FJ670/FH670-1)*100),"NA",IF(((FJ670/FH670-1)*100)&gt;100,"NM",IF(((FJ670/FH670-1)*100)&lt;-50,"NM",(FJ670/FH670-1)*100)))</f>
        <v>0</v>
      </c>
      <c r="FL670" s="354">
        <v>50</v>
      </c>
      <c r="FM670" s="164">
        <f>IF(ISERROR((FL670/FJ670-1)*100),"NA",IF(((FL670/FJ670-1)*100)&gt;100,"NM",IF(((FL670/FJ670-1)*100)&lt;-50,"NM",(FL670/FJ670-1)*100)))</f>
        <v>0</v>
      </c>
      <c r="FN670" s="354">
        <v>50</v>
      </c>
      <c r="FO670" s="164">
        <f>IF(ISERROR((FN670/FL670-1)*100),"NA",IF(((FN670/FL670-1)*100)&gt;100,"NM",IF(((FN670/FL670-1)*100)&lt;-50,"NM",(FN670/FL670-1)*100)))</f>
        <v>0</v>
      </c>
      <c r="FP670" s="354">
        <v>50</v>
      </c>
      <c r="FQ670" s="164">
        <f>IF(ISERROR((FP670/FN670-1)*100),"NA",IF(((FP670/FN670-1)*100)&gt;100,"NM",IF(((FP670/FN670-1)*100)&lt;-50,"NM",(FP670/FN670-1)*100)))</f>
        <v>0</v>
      </c>
      <c r="FR670" s="350">
        <v>50</v>
      </c>
      <c r="FS670" s="120">
        <f>IF(ISERROR((FR670/FP670-1)*100),"NA",IF(((FR670/FP670-1)*100)&gt;100,"NM",IF(((FR670/FP670-1)*100)&lt;-50,"NM",(FR670/FP670-1)*100)))</f>
        <v>0</v>
      </c>
      <c r="FT670" s="350">
        <v>50</v>
      </c>
      <c r="FU670" s="120">
        <f>IF(ISERROR((FT670/FR670-1)*100),"NA",IF(((FT670/FR670-1)*100)&gt;100,"NM",IF(((FT670/FR670-1)*100)&lt;-50,"NM",(FT670/FR670-1)*100)))</f>
        <v>0</v>
      </c>
      <c r="FV670" s="350">
        <v>50</v>
      </c>
      <c r="FW670" s="98">
        <f>IF(ISERROR((FV670/FT670-1)*100),"NA",IF(((FV670/FT670-1)*100)&gt;100,"NM",IF(((FV670/FT670-1)*100)&lt;-50,"NM",(FV670/FT670-1)*100)))</f>
        <v>0</v>
      </c>
      <c r="FX670" s="485">
        <v>50</v>
      </c>
      <c r="FY670" s="98">
        <f>IF(ISERROR((FX670/FV670-1)*100),"NA",IF(((FX670/FV670-1)*100)&gt;100,"NM",IF(((FX670/FV670-1)*100)&lt;-50,"NM",(FX670/FV670-1)*100)))</f>
        <v>0</v>
      </c>
      <c r="FZ670" s="350">
        <v>50</v>
      </c>
      <c r="GA670" s="98">
        <f>IF(ISERROR((FZ670/FX670-1)*100),"NA",IF(((FZ670/FX670-1)*100)&gt;100,"NM",IF(((FZ670/FX670-1)*100)&lt;-50,"NM",(FZ670/FX670-1)*100)))</f>
        <v>0</v>
      </c>
      <c r="GB670" s="485">
        <v>50</v>
      </c>
      <c r="GC670" s="98">
        <f>IF(ISERROR((GB670/FZ670-1)*100),"NA",IF(((GB670/FZ670-1)*100)&gt;100,"NM",IF(((GB670/FZ670-1)*100)&lt;-50,"NM",(GB670/FZ670-1)*100)))</f>
        <v>0</v>
      </c>
      <c r="GD670" s="40">
        <f>+GB670</f>
        <v>50</v>
      </c>
      <c r="GE670" s="98">
        <f>IF(ISERROR((GD670/GB670-1)*100),"NA",IF(((GD670/GB670-1)*100)&gt;100,"NM",IF(((GD670/GB670-1)*100)&lt;-50,"NM",(GD670/GB670-1)*100)))</f>
        <v>0</v>
      </c>
      <c r="GF670" s="40">
        <v>50</v>
      </c>
      <c r="GG670" s="98">
        <f>IF(ISERROR((GF670/GD670-1)*100),"NA",IF(((GF670/GD670-1)*100)&gt;100,"NM",IF(((GF670/GD670-1)*100)&lt;-50,"NM",(GF670/GD670-1)*100)))</f>
        <v>0</v>
      </c>
      <c r="GH670" s="40">
        <v>50</v>
      </c>
      <c r="GI670" s="98">
        <f>IF(ISERROR((GH670/GF670-1)*100),"NA",IF(((GH670/GF670-1)*100)&gt;100,"NM",IF(((GH670/GF670-1)*100)&lt;-50,"NM",(GH670/GF670-1)*100)))</f>
        <v>0</v>
      </c>
      <c r="GJ670" s="40">
        <v>50</v>
      </c>
      <c r="GK670" s="98">
        <f>IF(ISERROR((GJ670/GH670-1)*100),"NA",IF(((GJ670/GH670-1)*100)&gt;100,"NM",IF(((GJ670/GH670-1)*100)&lt;-50,"NM",(GJ670/GH670-1)*100)))</f>
        <v>0</v>
      </c>
      <c r="GL670" s="40">
        <v>50</v>
      </c>
      <c r="GM670" s="98">
        <f>IF(ISERROR((GL670/GJ670-1)*100),"NA",IF(((GL670/GJ670-1)*100)&gt;100,"NM",IF(((GL670/GJ670-1)*100)&lt;-50,"NM",(GL670/GJ670-1)*100)))</f>
        <v>0</v>
      </c>
      <c r="GN670" s="40">
        <v>50</v>
      </c>
      <c r="GO670" s="98">
        <f>IF(ISERROR((GN670/GL670-1)*100),"NA",IF(((GN670/GL670-1)*100)&gt;100,"NM",IF(((GN670/GL670-1)*100)&lt;-50,"NM",(GN670/GL670-1)*100)))</f>
        <v>0</v>
      </c>
      <c r="GP670" s="40">
        <v>50</v>
      </c>
      <c r="GQ670" s="98">
        <f>IF(ISERROR((GP670/GN670-1)*100),"NA",IF(((GP670/GN670-1)*100)&gt;100,"NM",IF(((GP670/GN670-1)*100)&lt;-50,"NM",(GP670/GN670-1)*100)))</f>
        <v>0</v>
      </c>
      <c r="GR670" s="40">
        <v>50</v>
      </c>
      <c r="GS670" s="98">
        <f>IF(ISERROR((GR670/GP670-1)*100),"NA",IF(((GR670/GP670-1)*100)&gt;100,"NM",IF(((GR670/GP670-1)*100)&lt;-50,"NM",(GR670/GP670-1)*100)))</f>
        <v>0</v>
      </c>
      <c r="GT670" s="40">
        <v>50</v>
      </c>
      <c r="GU670" s="98">
        <f>IF(ISERROR((GT670/GR670-1)*100),"NA",IF(((GT670/GR670-1)*100)&gt;100,"NM",IF(((GT670/GR670-1)*100)&lt;-50,"NM",(GT670/GR670-1)*100)))</f>
        <v>0</v>
      </c>
      <c r="GV670" s="40">
        <v>50</v>
      </c>
      <c r="GW670" s="98">
        <f>IF(ISERROR((GV670/GT670-1)*100),"NA",IF(((GV670/GT670-1)*100)&gt;100,"NM",IF(((GV670/GT670-1)*100)&lt;-50,"NM",(GV670/GT670-1)*100)))</f>
        <v>0</v>
      </c>
      <c r="GX670" s="40">
        <v>50</v>
      </c>
      <c r="GY670" s="98">
        <f>IF(ISERROR((GX670/GV670-1)*100),"NA",IF(((GX670/GV670-1)*100)&gt;100,"NM",IF(((GX670/GV670-1)*100)&lt;-50,"NM",(GX670/GV670-1)*100)))</f>
        <v>0</v>
      </c>
      <c r="GZ670" s="98">
        <f>IF(ISERROR(((GX670/GN670)^0.2-1)*100),"NA",IF((((GX670/GN670)^0.2-1)*100)&gt;100,"NM",IF((((GX670/GN670)^0.2-1)*100)&lt;-50,"NM",((GX670/GN670)^0.2-1)*100)))</f>
        <v>0</v>
      </c>
      <c r="HA670" s="98"/>
      <c r="HB670" s="10"/>
      <c r="HC670"/>
      <c r="HD670"/>
      <c r="HE670"/>
      <c r="HF670"/>
      <c r="HG670"/>
      <c r="HH670"/>
      <c r="HI670" s="10"/>
    </row>
    <row r="671" spans="1:217" s="2" customFormat="1" ht="12.75" customHeight="1" x14ac:dyDescent="0.2">
      <c r="A671" s="351" t="s">
        <v>288</v>
      </c>
      <c r="B671" s="18" t="s">
        <v>522</v>
      </c>
      <c r="C671" s="349">
        <f>C668*C669</f>
        <v>3591</v>
      </c>
      <c r="D671" s="98"/>
      <c r="E671" s="352">
        <v>0</v>
      </c>
      <c r="F671" s="98"/>
      <c r="G671" s="352">
        <v>0</v>
      </c>
      <c r="H671" s="98"/>
      <c r="I671" s="352">
        <v>0</v>
      </c>
      <c r="J671" s="98"/>
      <c r="K671" s="352">
        <v>0</v>
      </c>
      <c r="L671" s="98" t="str">
        <f>IF(ISERROR((K671/C671-1)*100),"NA",IF(((K671/C671-1)*100)&gt;100,"NM",IF(((K671/C671-1)*100)&lt;-50,"NM",(K671/C671-1)*100)))</f>
        <v>NM</v>
      </c>
      <c r="M671" s="352">
        <v>0</v>
      </c>
      <c r="N671" s="98" t="str">
        <f>IF(ISERROR((M671/E671-1)*100),"NA",IF(((M671/E671-1)*100)&gt;100,"NM",IF(((M671/E671-1)*100)&lt;-50,"NM",(M671/E671-1)*100)))</f>
        <v>NA</v>
      </c>
      <c r="O671" s="352">
        <v>0</v>
      </c>
      <c r="P671" s="98" t="str">
        <f>IF(ISERROR((O671/G671-1)*100),"NA",IF(((O671/G671-1)*100)&gt;100,"NM",IF(((O671/G671-1)*100)&lt;-50,"NM",(O671/G671-1)*100)))</f>
        <v>NA</v>
      </c>
      <c r="Q671" s="352">
        <v>0</v>
      </c>
      <c r="R671" s="98" t="str">
        <f>IF(ISERROR((Q671/I671-1)*100),"NA",IF(((Q671/I671-1)*100)&gt;100,"NM",IF(((Q671/I671-1)*100)&lt;-50,"NM",(Q671/I671-1)*100)))</f>
        <v>NA</v>
      </c>
      <c r="S671" s="352">
        <v>0</v>
      </c>
      <c r="T671" s="98" t="str">
        <f>IF(ISERROR((S671/K671-1)*100),"NA",IF(((S671/K671-1)*100)&gt;100,"NM",IF(((S671/K671-1)*100)&lt;-50,"NM",(S671/K671-1)*100)))</f>
        <v>NA</v>
      </c>
      <c r="U671" s="352">
        <v>0</v>
      </c>
      <c r="V671" s="98" t="str">
        <f>IF(ISERROR((U671/M671-1)*100),"NA",IF(((U671/M671-1)*100)&gt;100,"NM",IF(((U671/M671-1)*100)&lt;-50,"NM",(U671/M671-1)*100)))</f>
        <v>NA</v>
      </c>
      <c r="W671" s="352">
        <v>0</v>
      </c>
      <c r="X671" s="98" t="str">
        <f>IF(ISERROR((W671/O671-1)*100),"NA",IF(((W671/O671-1)*100)&gt;100,"NM",IF(((W671/O671-1)*100)&lt;-50,"NM",(W671/O671-1)*100)))</f>
        <v>NA</v>
      </c>
      <c r="Y671" s="101">
        <v>0</v>
      </c>
      <c r="Z671" s="98" t="str">
        <f>IF(ISERROR((Y671/Q671-1)*100),"NA",IF(((Y671/Q671-1)*100)&gt;100,"NM",IF(((Y671/Q671-1)*100)&lt;-50,"NM",(Y671/Q671-1)*100)))</f>
        <v>NA</v>
      </c>
      <c r="AA671" s="352">
        <v>0</v>
      </c>
      <c r="AB671" s="98" t="str">
        <f>IF(ISERROR((AA671/S671-1)*100),"NA",IF(((AA671/S671-1)*100)&gt;100,"NM",IF(((AA671/S671-1)*100)&lt;-50,"NM",(AA671/S671-1)*100)))</f>
        <v>NA</v>
      </c>
      <c r="AC671" s="352">
        <v>0</v>
      </c>
      <c r="AD671" s="98" t="str">
        <f>IF(ISERROR((AC671/U671-1)*100),"NA",IF(((AC671/U671-1)*100)&gt;100,"NM",IF(((AC671/U671-1)*100)&lt;-50,"NM",(AC671/U671-1)*100)))</f>
        <v>NA</v>
      </c>
      <c r="AE671" s="352">
        <v>0</v>
      </c>
      <c r="AF671" s="98" t="str">
        <f>IF(ISERROR((AE671/W671-1)*100),"NA",IF(((AE671/W671-1)*100)&gt;100,"NM",IF(((AE671/W671-1)*100)&lt;-50,"NM",(AE671/W671-1)*100)))</f>
        <v>NA</v>
      </c>
      <c r="AG671" s="281">
        <v>0</v>
      </c>
      <c r="AH671" s="98" t="str">
        <f>IF(ISERROR((AG671/Y671-1)*100),"NA",IF(((AG671/Y671-1)*100)&gt;100,"NM",IF(((AG671/Y671-1)*100)&lt;-50,"NM",(AG671/Y671-1)*100)))</f>
        <v>NA</v>
      </c>
      <c r="AI671" s="281">
        <v>0</v>
      </c>
      <c r="AJ671" s="98" t="str">
        <f>IF(ISERROR((AI671/AA671-1)*100),"NA",IF(((AI671/AA671-1)*100)&gt;100,"NM",IF(((AI671/AA671-1)*100)&lt;-50,"NM",(AI671/AA671-1)*100)))</f>
        <v>NA</v>
      </c>
      <c r="AK671" s="281">
        <v>0</v>
      </c>
      <c r="AL671" s="98" t="str">
        <f>IF(ISERROR((AK671/AC671-1)*100),"NA",IF(((AK671/AC671-1)*100)&gt;100,"NM",IF(((AK671/AC671-1)*100)&lt;-50,"NM",(AK671/AC671-1)*100)))</f>
        <v>NA</v>
      </c>
      <c r="AM671" s="281">
        <v>0</v>
      </c>
      <c r="AN671" s="98" t="str">
        <f>IF(ISERROR((AM671/AE671-1)*100),"NA",IF(((AM671/AE671-1)*100)&gt;100,"NM",IF(((AM671/AE671-1)*100)&lt;-50,"NM",(AM671/AE671-1)*100)))</f>
        <v>NA</v>
      </c>
      <c r="AO671" s="281">
        <v>0</v>
      </c>
      <c r="AP671" s="98" t="str">
        <f>IF(ISERROR((AO671/AG671-1)*100),"NA",IF(((AO671/AG671-1)*100)&gt;100,"NM",IF(((AO671/AG671-1)*100)&lt;-50,"NM",(AO671/AG671-1)*100)))</f>
        <v>NA</v>
      </c>
      <c r="AQ671" s="281">
        <v>0</v>
      </c>
      <c r="AR671" s="98" t="str">
        <f>IF(ISERROR((AQ671/AI671-1)*100),"NA",IF(((AQ671/AI671-1)*100)&gt;100,"NM",IF(((AQ671/AI671-1)*100)&lt;-50,"NM",(AQ671/AI671-1)*100)))</f>
        <v>NA</v>
      </c>
      <c r="AS671" s="281">
        <v>0</v>
      </c>
      <c r="AT671" s="98" t="str">
        <f>IF(ISERROR((AS671/AK671-1)*100),"NA",IF(((AS671/AK671-1)*100)&gt;100,"NM",IF(((AS671/AK671-1)*100)&lt;-50,"NM",(AS671/AK671-1)*100)))</f>
        <v>NA</v>
      </c>
      <c r="AU671" s="281">
        <v>0</v>
      </c>
      <c r="AV671" s="98" t="str">
        <f>IF(ISERROR((AU671/AM671-1)*100),"NA",IF(((AU671/AM671-1)*100)&gt;100,"NM",IF(((AU671/AM671-1)*100)&lt;-50,"NM",(AU671/AM671-1)*100)))</f>
        <v>NA</v>
      </c>
      <c r="AW671" s="281">
        <v>0</v>
      </c>
      <c r="AX671" s="98" t="str">
        <f>IF(ISERROR((AW671/AO671-1)*100),"NA",IF(((AW671/AO671-1)*100)&gt;100,"NM",IF(((AW671/AO671-1)*100)&lt;-50,"NM",(AW671/AO671-1)*100)))</f>
        <v>NA</v>
      </c>
      <c r="AY671" s="121">
        <v>0</v>
      </c>
      <c r="AZ671" s="98" t="str">
        <f>IF(ISERROR((AY671/AQ671-1)*100),"NA",IF(((AY671/AQ671-1)*100)&gt;100,"NM",IF(((AY671/AQ671-1)*100)&lt;-50,"NM",(AY671/AQ671-1)*100)))</f>
        <v>NA</v>
      </c>
      <c r="BA671" s="121">
        <v>0</v>
      </c>
      <c r="BB671" s="98" t="str">
        <f>IF(ISERROR((BA671/AS671-1)*100),"NA",IF(((BA671/AS671-1)*100)&gt;100,"NM",IF(((BA671/AS671-1)*100)&lt;-50,"NM",(BA671/AS671-1)*100)))</f>
        <v>NA</v>
      </c>
      <c r="BC671" s="121">
        <v>0</v>
      </c>
      <c r="BD671" s="98" t="str">
        <f>IF(ISERROR((BC671/AU671-1)*100),"NA",IF(((BC671/AU671-1)*100)&gt;100,"NM",IF(((BC671/AU671-1)*100)&lt;-50,"NM",(BC671/AU671-1)*100)))</f>
        <v>NA</v>
      </c>
      <c r="BE671" s="121">
        <v>0</v>
      </c>
      <c r="BF671" s="98" t="str">
        <f>IF(ISERROR((BE671/AW671-1)*100),"NA",IF(((BE671/AW671-1)*100)&gt;100,"NM",IF(((BE671/AW671-1)*100)&lt;-50,"NM",(BE671/AW671-1)*100)))</f>
        <v>NA</v>
      </c>
      <c r="BG671" s="121">
        <v>0</v>
      </c>
      <c r="BH671" s="98" t="str">
        <f>IF(ISERROR((BG671/AY671-1)*100),"NA",IF(((BG671/AY671-1)*100)&gt;100,"NM",IF(((BG671/AY671-1)*100)&lt;-50,"NM",(BG671/AY671-1)*100)))</f>
        <v>NA</v>
      </c>
      <c r="BI671" s="121">
        <v>0</v>
      </c>
      <c r="BJ671" s="98" t="str">
        <f>IF(ISERROR((BI671/BA671-1)*100),"NA",IF(((BI671/BA671-1)*100)&gt;100,"NM",IF(((BI671/BA671-1)*100)&lt;-50,"NM",(BI671/BA671-1)*100)))</f>
        <v>NA</v>
      </c>
      <c r="BK671" s="121">
        <v>0</v>
      </c>
      <c r="BL671" s="98" t="str">
        <f>IF(ISERROR((BK671/BC671-1)*100),"NA",IF(((BK671/BC671-1)*100)&gt;100,"NM",IF(((BK671/BC671-1)*100)&lt;-50,"NM",(BK671/BC671-1)*100)))</f>
        <v>NA</v>
      </c>
      <c r="BM671" s="121">
        <v>0</v>
      </c>
      <c r="BN671" s="98" t="str">
        <f>IF(ISERROR((BM671/BE671-1)*100),"NA",IF(((BM671/BE671-1)*100)&gt;100,"NM",IF(((BM671/BE671-1)*100)&lt;-50,"NM",(BM671/BE671-1)*100)))</f>
        <v>NA</v>
      </c>
      <c r="BO671" s="121">
        <v>0</v>
      </c>
      <c r="BP671" s="98" t="str">
        <f>IF(ISERROR((BO671/BG671-1)*100),"NA",IF(((BO671/BG671-1)*100)&gt;100,"NM",IF(((BO671/BG671-1)*100)&lt;-50,"NM",(BO671/BG671-1)*100)))</f>
        <v>NA</v>
      </c>
      <c r="BQ671" s="121">
        <v>0</v>
      </c>
      <c r="BR671" s="98" t="str">
        <f>IF(ISERROR((BQ671/BI671-1)*100),"NA",IF(((BQ671/BI671-1)*100)&gt;100,"NM",IF(((BQ671/BI671-1)*100)&lt;-50,"NM",(BQ671/BI671-1)*100)))</f>
        <v>NA</v>
      </c>
      <c r="BS671" s="121">
        <v>2300</v>
      </c>
      <c r="BT671" s="98" t="str">
        <f>IF(ISERROR((BS671/BK671-1)*100),"NA",IF(((BS671/BK671-1)*100)&gt;100,"NM",IF(((BS671/BK671-1)*100)&lt;-50,"NM",(BS671/BK671-1)*100)))</f>
        <v>NA</v>
      </c>
      <c r="BU671" s="119">
        <f>BU668*BU669</f>
        <v>263.14875000000001</v>
      </c>
      <c r="BV671" s="98" t="str">
        <f>IF(ISERROR((BU671/BM671-1)*100),"NA",IF(((BU671/BM671-1)*100)&gt;100,"NM",IF(((BU671/BM671-1)*100)&lt;-50,"NM",(BU671/BM671-1)*100)))</f>
        <v>NA</v>
      </c>
      <c r="BW671" s="119">
        <f>BW668*BW669</f>
        <v>453.291</v>
      </c>
      <c r="BX671" s="98" t="str">
        <f>IF(ISERROR((BW671/BO671-1)*100),"NA",IF(((BW671/BO671-1)*100)&gt;100,"NM",IF(((BW671/BO671-1)*100)&lt;-50,"NM",(BW671/BO671-1)*100)))</f>
        <v>NA</v>
      </c>
      <c r="BY671" s="121">
        <v>0</v>
      </c>
      <c r="BZ671" s="98" t="str">
        <f>IF(ISERROR((BY671/BQ671-1)*100),"NA",IF(((BY671/BQ671-1)*100)&gt;100,"NM",IF(((BY671/BQ671-1)*100)&lt;-50,"NM",(BY671/BQ671-1)*100)))</f>
        <v>NA</v>
      </c>
      <c r="CA671" s="121">
        <v>0</v>
      </c>
      <c r="CB671" s="98" t="str">
        <f>IF(ISERROR((CA671/BS671-1)*100),"NA",IF(((CA671/BS671-1)*100)&gt;100,"NM",IF(((CA671/BS671-1)*100)&lt;-50,"NM",(CA671/BS671-1)*100)))</f>
        <v>NM</v>
      </c>
      <c r="CC671" s="121">
        <v>0</v>
      </c>
      <c r="CD671" s="98" t="str">
        <f>IF(ISERROR((CC671/BU671-1)*100),"NA",IF(((CC671/BU671-1)*100)&gt;100,"NM",IF(((CC671/BU671-1)*100)&lt;-50,"NM",(CC671/BU671-1)*100)))</f>
        <v>NM</v>
      </c>
      <c r="CE671" s="119">
        <f>CE668*CE669</f>
        <v>8.5702499999999997</v>
      </c>
      <c r="CF671" s="98" t="str">
        <f>IF(ISERROR((CE671/BW671-1)*100),"NA",IF(((CE671/BW671-1)*100)&gt;100,"NM",IF(((CE671/BW671-1)*100)&lt;-50,"NM",(CE671/BW671-1)*100)))</f>
        <v>NM</v>
      </c>
      <c r="CG671" s="119">
        <f>CG668*CG669</f>
        <v>31.807499999999997</v>
      </c>
      <c r="CH671" s="98" t="str">
        <f>IF(ISERROR((CG671/BY671-1)*100),"NA",IF(((CG671/BY671-1)*100)&gt;100,"NM",IF(((CG671/BY671-1)*100)&lt;-50,"NM",(CG671/BY671-1)*100)))</f>
        <v>NA</v>
      </c>
      <c r="CI671" s="119">
        <f>CI668*CI669</f>
        <v>3633</v>
      </c>
      <c r="CJ671" s="98" t="str">
        <f>IF(ISERROR((CI671/CA671-1)*100),"NA",IF(((CI671/CA671-1)*100)&gt;100,"NM",IF(((CI671/CA671-1)*100)&lt;-50,"NM",(CI671/CA671-1)*100)))</f>
        <v>NA</v>
      </c>
      <c r="CK671" s="119">
        <f>CK668*CK669</f>
        <v>6032.75</v>
      </c>
      <c r="CL671" s="98" t="str">
        <f>IF(ISERROR((CK671/CC671-1)*100),"NA",IF(((CK671/CC671-1)*100)&gt;100,"NM",IF(((CK671/CC671-1)*100)&lt;-50,"NM",(CK671/CC671-1)*100)))</f>
        <v>NA</v>
      </c>
      <c r="CM671" s="119">
        <f>CM668*CM669</f>
        <v>58.573499999999996</v>
      </c>
      <c r="CN671" s="98" t="str">
        <f>IF(ISERROR((CM671/CE671-1)*100),"NA",IF(((CM671/CE671-1)*100)&gt;100,"NM",IF(((CM671/CE671-1)*100)&lt;-50,"NM",(CM671/CE671-1)*100)))</f>
        <v>NM</v>
      </c>
      <c r="CO671" s="119">
        <f>CO668*CO669</f>
        <v>42.480750000000008</v>
      </c>
      <c r="CP671" s="98">
        <f>IF(ISERROR((CO671/CG671-1)*100),"NA",IF(((CO671/CG671-1)*100)&gt;100,"NM",IF(((CO671/CG671-1)*100)&lt;-50,"NM",(CO671/CG671-1)*100)))</f>
        <v>33.55576514972887</v>
      </c>
      <c r="CQ671" s="485">
        <f>CQ669*CQ668</f>
        <v>5.2710000000000008</v>
      </c>
      <c r="CR671" s="98" t="str">
        <f>IF(ISERROR((CQ671/CI671-1)*100),"NA",IF(((CQ671/CI671-1)*100)&gt;100,"NM",IF(((CQ671/CI671-1)*100)&lt;-50,"NM",(CQ671/CI671-1)*100)))</f>
        <v>NM</v>
      </c>
      <c r="CS671" s="119">
        <f>CS669*CS668</f>
        <v>9.4590000000000014</v>
      </c>
      <c r="CT671" s="98" t="str">
        <f>IF(ISERROR((CS671/CK671-1)*100),"NA",IF(((CS671/CK671-1)*100)&gt;100,"NM",IF(((CS671/CK671-1)*100)&lt;-50,"NM",(CS671/CK671-1)*100)))</f>
        <v>NM</v>
      </c>
      <c r="CU671" s="119">
        <f>CU669*CU668</f>
        <v>80.387999999999991</v>
      </c>
      <c r="CV671" s="98">
        <f>IF(ISERROR((CU671/CM671-1)*100),"NA",IF(((CU671/CM671-1)*100)&gt;100,"NM",IF(((CU671/CM671-1)*100)&lt;-50,"NM",(CU671/CM671-1)*100)))</f>
        <v>37.242951163922243</v>
      </c>
      <c r="CW671" s="119">
        <f>CW669*CW668</f>
        <v>31.843499999999999</v>
      </c>
      <c r="CX671" s="98">
        <f>IF(ISERROR((CW671/CO671-1)*100),"NA",IF(((CW671/CO671-1)*100)&gt;100,"NM",IF(((CW671/CO671-1)*100)&lt;-50,"NM",(CW671/CO671-1)*100)))</f>
        <v>-25.040165251319735</v>
      </c>
      <c r="CY671" s="119">
        <f>CY669*CY668</f>
        <v>9.9270000000000014</v>
      </c>
      <c r="CZ671" s="98">
        <f>IF(ISERROR((CY671/CQ671-1)*100),"NA",IF(((CY671/CQ671-1)*100)&gt;100,"NM",IF(((CY671/CQ671-1)*100)&lt;-50,"NM",(CY671/CQ671-1)*100)))</f>
        <v>88.332384746727371</v>
      </c>
      <c r="DA671" s="121">
        <v>1100</v>
      </c>
      <c r="DB671" s="98" t="str">
        <f>IF(ISERROR((DA671/CS671-1)*100),"NA",IF(((DA671/CS671-1)*100)&gt;100,"NM",IF(((DA671/CS671-1)*100)&lt;-50,"NM",(DA671/CS671-1)*100)))</f>
        <v>NM</v>
      </c>
      <c r="DC671" s="119">
        <f>DC669*DC668</f>
        <v>69.581249999999997</v>
      </c>
      <c r="DD671" s="98">
        <f>IF(ISERROR((DC671/CU671-1)*100),"NA",IF(((DC671/CU671-1)*100)&gt;100,"NM",IF(((DC671/CU671-1)*100)&lt;-50,"NM",(DC671/CU671-1)*100)))</f>
        <v>-13.44323779668607</v>
      </c>
      <c r="DE671" s="119">
        <f>DE669*DE668</f>
        <v>74.268000000000001</v>
      </c>
      <c r="DF671" s="98" t="str">
        <f>IF(ISERROR((DE671/CW671-1)*100),"NA",IF(((DE671/CW671-1)*100)&gt;100,"NM",IF(((DE671/CW671-1)*100)&lt;-50,"NM",(DE671/CW671-1)*100)))</f>
        <v>NM</v>
      </c>
      <c r="DG671" s="121">
        <v>1000</v>
      </c>
      <c r="DH671" s="98" t="str">
        <f>IF(ISERROR((DG671/CY671-1)*100),"NA",IF(((DG671/CY671-1)*100)&gt;100,"NM",IF(((DG671/CY671-1)*100)&lt;-50,"NM",(DG671/CY671-1)*100)))</f>
        <v>NM</v>
      </c>
      <c r="DI671" s="119">
        <f>DI669*DI668</f>
        <v>45.269999999999989</v>
      </c>
      <c r="DJ671" s="98" t="str">
        <f>IF(ISERROR((DI671/DA671-1)*100),"NA",IF(((DI671/DA671-1)*100)&gt;100,"NM",IF(((DI671/DA671-1)*100)&lt;-50,"NM",(DI671/DA671-1)*100)))</f>
        <v>NM</v>
      </c>
      <c r="DK671" s="119">
        <f>DK669*DK668</f>
        <v>108.23399999999999</v>
      </c>
      <c r="DL671" s="98">
        <f>IF(ISERROR((DK671/DC671-1)*100),"NA",IF(((DK671/DC671-1)*100)&gt;100,"NM",IF(((DK671/DC671-1)*100)&lt;-50,"NM",(DK671/DC671-1)*100)))</f>
        <v>55.55052546483428</v>
      </c>
      <c r="DM671" s="119">
        <f>DM669*DM668</f>
        <v>70.875</v>
      </c>
      <c r="DN671" s="98">
        <f>IF(ISERROR((DM671/DE671-1)*100),"NA",IF(((DM671/DE671-1)*100)&gt;100,"NM",IF(((DM671/DE671-1)*100)&lt;-50,"NM",(DM671/DE671-1)*100)))</f>
        <v>-4.5685894328647558</v>
      </c>
      <c r="DO671" s="119">
        <f>DO669*DO668</f>
        <v>24.333333333333332</v>
      </c>
      <c r="DP671" s="98" t="str">
        <f>IF(ISERROR((DO671/DG671-1)*100),"NA",IF(((DO671/DG671-1)*100)&gt;100,"NM",IF(((DO671/DG671-1)*100)&lt;-50,"NM",(DO671/DG671-1)*100)))</f>
        <v>NM</v>
      </c>
      <c r="DQ671" s="119">
        <f>DQ669*DQ668</f>
        <v>917.48831775700944</v>
      </c>
      <c r="DR671" s="98" t="str">
        <f>IF(ISERROR((DQ671/DI671-1)*100),"NA",IF(((DQ671/DI671-1)*100)&gt;100,"NM",IF(((DQ671/DI671-1)*100)&lt;-50,"NM",(DQ671/DI671-1)*100)))</f>
        <v>NM</v>
      </c>
      <c r="DS671" s="119">
        <f>DS669*DS668</f>
        <v>87.974999999999994</v>
      </c>
      <c r="DT671" s="98">
        <f>IF(ISERROR((DS671/DK671-1)*100),"NA",IF(((DS671/DK671-1)*100)&gt;100,"NM",IF(((DS671/DK671-1)*100)&lt;-50,"NM",(DS671/DK671-1)*100)))</f>
        <v>-18.717778147347421</v>
      </c>
      <c r="DU671" s="119">
        <f>DU669*DU668</f>
        <v>107.58825000000002</v>
      </c>
      <c r="DV671" s="119">
        <f>IF(ISERROR((DU671/DM671-1)*100),"NA",IF(((DU671/DM671-1)*100)&gt;100,"NM",IF(((DU671/DM671-1)*100)&lt;-50,"NM",(DU671/DM671-1)*100)))</f>
        <v>51.800000000000026</v>
      </c>
      <c r="DW671" s="119">
        <f>DW669*DW668</f>
        <v>10.467391304347828</v>
      </c>
      <c r="DX671" s="119" t="str">
        <f>IF(ISERROR((DW671/DO671-1)*100),"NA",IF(((DW671/DO671-1)*100)&gt;100,"NM",IF(((DW671/DO671-1)*100)&lt;-50,"NM",(DW671/DO671-1)*100)))</f>
        <v>NM</v>
      </c>
      <c r="DY671" s="119">
        <f>DY669*DY668</f>
        <v>10.815789473684209</v>
      </c>
      <c r="DZ671" s="119" t="str">
        <f>IF(ISERROR((DY671/DQ671-1)*100),"NA",IF(((DY671/DQ671-1)*100)&gt;100,"NM",IF(((DY671/DQ671-1)*100)&lt;-50,"NM",(DY671/DQ671-1)*100)))</f>
        <v>NM</v>
      </c>
      <c r="EA671" s="119">
        <f>EA669*EA668</f>
        <v>61.071428571428577</v>
      </c>
      <c r="EB671" s="119">
        <f>IF(ISERROR((EA671/DS671-1)*100),"NA",IF(((EA671/DS671-1)*100)&gt;100,"NM",IF(((EA671/DS671-1)*100)&lt;-50,"NM",(EA671/DS671-1)*100)))</f>
        <v>-30.580928023383258</v>
      </c>
      <c r="EC671" s="119">
        <f>EC669*EC668</f>
        <v>9.6428571428571441</v>
      </c>
      <c r="ED671" s="119" t="str">
        <f>IF(ISERROR((EC671/DU671-1)*100),"NA",IF(((EC671/DU671-1)*100)&gt;100,"NM",IF(((EC671/DU671-1)*100)&lt;-50,"NM",(EC671/DU671-1)*100)))</f>
        <v>NM</v>
      </c>
      <c r="EE671" s="119">
        <f>EE669*EE668</f>
        <v>6.4285714285714297</v>
      </c>
      <c r="EF671" s="1023">
        <f>IF(ISERROR((EE671/DW671-1)*100),"NA",IF(((EE671/DW671-1)*100)&gt;100,"NM",IF(((EE671/DW671-1)*100)&lt;-50,"NM",(EE671/DW671-1)*100)))</f>
        <v>-38.584779706275029</v>
      </c>
      <c r="EG671" s="119">
        <f>EG669*EG668</f>
        <v>82.36363636363636</v>
      </c>
      <c r="EH671" s="860" t="str">
        <f>IF(ISERROR((EG671/DY671-1)*100),"NA",IF(((EG671/DY671-1)*100)&gt;100,"NM",IF(((EG671/DY671-1)*100)&lt;-50,"NM",(EG671/DY671-1)*100)))</f>
        <v>NM</v>
      </c>
      <c r="EI671" s="119">
        <f>EI669*EI668</f>
        <v>72.393749999999997</v>
      </c>
      <c r="EJ671" s="860">
        <f t="shared" si="4056"/>
        <v>18.539473684210517</v>
      </c>
      <c r="EK671" s="119">
        <f>EK669*EK668</f>
        <v>19.508196721311474</v>
      </c>
      <c r="EL671" s="860" t="str">
        <f t="shared" si="4057"/>
        <v>NM</v>
      </c>
      <c r="EM671" s="119">
        <f>EM669*EM668</f>
        <v>43.701923076923073</v>
      </c>
      <c r="EN671" s="860" t="str">
        <f t="shared" si="4058"/>
        <v>NM</v>
      </c>
      <c r="EO671" s="119">
        <f>EO669*EO668</f>
        <v>47.042016806722685</v>
      </c>
      <c r="EP671" s="98">
        <f t="shared" si="4059"/>
        <v>-42.884968556959215</v>
      </c>
      <c r="EQ671" s="1023">
        <f t="shared" ref="EQ671" si="4071">EQ668*EQ669</f>
        <v>36.390861098360659</v>
      </c>
      <c r="ER671" s="98">
        <f t="shared" si="4060"/>
        <v>-49.73204026817141</v>
      </c>
      <c r="ES671" s="1023">
        <f t="shared" ref="ES671" si="4072">ES668*ES669</f>
        <v>36.818678320327876</v>
      </c>
      <c r="ET671" s="98">
        <f t="shared" si="4062"/>
        <v>88.734401473949617</v>
      </c>
      <c r="EU671" s="1023">
        <f t="shared" ref="EU671" si="4073">EU668*EU669</f>
        <v>37.255051886734435</v>
      </c>
      <c r="EV671" s="98">
        <f t="shared" si="4064"/>
        <v>-14.751916474799087</v>
      </c>
      <c r="EW671" s="1023">
        <f t="shared" ref="EW671" si="4074">EW668*EW669</f>
        <v>37.677652924469129</v>
      </c>
      <c r="EX671" s="98">
        <f t="shared" si="4066"/>
        <v>-19.906382672171731</v>
      </c>
      <c r="EY671" s="40"/>
      <c r="EZ671" s="594"/>
      <c r="FA671" s="405"/>
      <c r="FB671" s="244"/>
      <c r="FC671" s="98"/>
      <c r="FD671" s="244"/>
      <c r="FE671" s="98"/>
      <c r="FF671" s="349">
        <f>FF668*FF669</f>
        <v>3591</v>
      </c>
      <c r="FG671" s="98" t="str">
        <f>IF(ISERROR((FF671/FD671-1)*100),"NA",IF(((FF671/FD671-1)*100)&gt;100,"NM",IF(((FF671/FD671-1)*100)&lt;-50,"NM",(FF671/FD671-1)*100)))</f>
        <v>NA</v>
      </c>
      <c r="FH671" s="356">
        <f>FH668*FH669</f>
        <v>0</v>
      </c>
      <c r="FI671" s="98" t="str">
        <f>IF(ISERROR((FH671/FF671-1)*100),"NA",IF(((FH671/FF671-1)*100)&gt;100,"NM",IF(((FH671/FF671-1)*100)&lt;-50,"NM",(FH671/FF671-1)*100)))</f>
        <v>NM</v>
      </c>
      <c r="FJ671" s="356">
        <f>FJ668*FJ669</f>
        <v>0</v>
      </c>
      <c r="FK671" s="98" t="str">
        <f>IF(ISERROR((FJ671/FH671-1)*100),"NA",IF(((FJ671/FH671-1)*100)&gt;100,"NM",IF(((FJ671/FH671-1)*100)&lt;-50,"NM",(FJ671/FH671-1)*100)))</f>
        <v>NA</v>
      </c>
      <c r="FL671" s="356">
        <f>AA671+AC671+AE671+AG671</f>
        <v>0</v>
      </c>
      <c r="FM671" s="98" t="str">
        <f>IF(ISERROR((FL671/FJ671-1)*100),"NA",IF(((FL671/FJ671-1)*100)&gt;100,"NM",IF(((FL671/FJ671-1)*100)&lt;-50,"NM",(FL671/FJ671-1)*100)))</f>
        <v>NA</v>
      </c>
      <c r="FN671" s="356">
        <f>AI671+AK671+AM671+AO671</f>
        <v>0</v>
      </c>
      <c r="FO671" s="98" t="str">
        <f>IF(ISERROR((FN671/FL671-1)*100),"NA",IF(((FN671/FL671-1)*100)&gt;100,"NM",IF(((FN671/FL671-1)*100)&lt;-50,"NM",(FN671/FL671-1)*100)))</f>
        <v>NA</v>
      </c>
      <c r="FP671" s="356">
        <f>AQ671+AS671+AU671+AW671</f>
        <v>0</v>
      </c>
      <c r="FQ671" s="98" t="str">
        <f>IF(ISERROR((FP671/FN671-1)*100),"NA",IF(((FP671/FN671-1)*100)&gt;100,"NM",IF(((FP671/FN671-1)*100)&lt;-50,"NM",(FP671/FN671-1)*100)))</f>
        <v>NA</v>
      </c>
      <c r="FR671" s="350">
        <f>AY671+BA671+BC671+BE671</f>
        <v>0</v>
      </c>
      <c r="FS671" s="120" t="str">
        <f>IF(ISERROR((FR671/FP671-1)*100),"NA",IF(((FR671/FP671-1)*100)&gt;100,"NM",IF(((FR671/FP671-1)*100)&lt;-50,"NM",(FR671/FP671-1)*100)))</f>
        <v>NA</v>
      </c>
      <c r="FT671" s="350">
        <f>BG671+BI671+BK671+BM671</f>
        <v>0</v>
      </c>
      <c r="FU671" s="120" t="str">
        <f>IF(ISERROR((FT671/FR671-1)*100),"NA",IF(((FT671/FR671-1)*100)&gt;100,"NM",IF(((FT671/FR671-1)*100)&lt;-50,"NM",(FT671/FR671-1)*100)))</f>
        <v>NA</v>
      </c>
      <c r="FV671" s="350">
        <f>BO671+BQ671+BS671+BU671</f>
        <v>2563.1487499999998</v>
      </c>
      <c r="FW671" s="98" t="str">
        <f>IF(ISERROR((FV671/FT671-1)*100),"NA",IF(((FV671/FT671-1)*100)&gt;100,"NM",IF(((FV671/FT671-1)*100)&lt;-50,"NM",(FV671/FT671-1)*100)))</f>
        <v>NA</v>
      </c>
      <c r="FX671" s="480">
        <f>BW671+BY671+CA671+CC671</f>
        <v>453.291</v>
      </c>
      <c r="FY671" s="98" t="str">
        <f>IF(ISERROR((FX671/FV671-1)*100),"NA",IF(((FX671/FV671-1)*100)&gt;100,"NM",IF(((FX671/FV671-1)*100)&lt;-50,"NM",(FX671/FV671-1)*100)))</f>
        <v>NM</v>
      </c>
      <c r="FZ671" s="245">
        <f>CE671+CG671+CI671+CK671</f>
        <v>9706.1277499999997</v>
      </c>
      <c r="GA671" s="98" t="str">
        <f>IF(ISERROR((FZ671/FX671-1)*100),"NA",IF(((FZ671/FX671-1)*100)&gt;100,"NM",IF(((FZ671/FX671-1)*100)&lt;-50,"NM",(FZ671/FX671-1)*100)))</f>
        <v>NM</v>
      </c>
      <c r="GB671" s="779">
        <f>CM671+CO671+CQ671+CS671</f>
        <v>115.78425</v>
      </c>
      <c r="GC671" s="98" t="str">
        <f>IF(ISERROR((GB671/FZ671-1)*100),"NA",IF(((GB671/FZ671-1)*100)&gt;100,"NM",IF(((GB671/FZ671-1)*100)&lt;-50,"NM",(GB671/FZ671-1)*100)))</f>
        <v>NM</v>
      </c>
      <c r="GD671" s="160">
        <f>CU671+CW671+CY671+DA671</f>
        <v>1222.1585</v>
      </c>
      <c r="GE671" s="98" t="str">
        <f>IF(ISERROR((GD671/GB671-1)*100),"NA",IF(((GD671/GB671-1)*100)&gt;100,"NM",IF(((GD671/GB671-1)*100)&lt;-50,"NM",(GD671/GB671-1)*100)))</f>
        <v>NM</v>
      </c>
      <c r="GF671" s="878">
        <f>DC671+DE671+DG671+DI671</f>
        <v>1189.11925</v>
      </c>
      <c r="GG671" s="98">
        <f>IF(ISERROR((GF671/GD671-1)*100),"NA",IF(((GF671/GD671-1)*100)&gt;100,"NM",IF(((GF671/GD671-1)*100)&lt;-50,"NM",(GF671/GD671-1)*100)))</f>
        <v>-2.7033523065952636</v>
      </c>
      <c r="GH671" s="160">
        <f>DK671+DM671+DO671+DQ671</f>
        <v>1120.9306510903427</v>
      </c>
      <c r="GI671" s="98">
        <f>IF(ISERROR((GH671/GF671-1)*100),"NA",IF(((GH671/GF671-1)*100)&gt;100,"NM",IF(((GH671/GF671-1)*100)&lt;-50,"NM",(GH671/GF671-1)*100)))</f>
        <v>-5.7343785250854591</v>
      </c>
      <c r="GJ671" s="160">
        <f>DS671+DU671+DW671+DY671</f>
        <v>216.84643077803207</v>
      </c>
      <c r="GK671" s="98" t="str">
        <f>IF(ISERROR((GJ671/GH671-1)*100),"NA",IF(((GJ671/GH671-1)*100)&gt;100,"NM",IF(((GJ671/GH671-1)*100)&lt;-50,"NM",(GJ671/GH671-1)*100)))</f>
        <v>NM</v>
      </c>
      <c r="GL671" s="160">
        <f>EA671+EC671+EE671+EG671</f>
        <v>159.50649350649351</v>
      </c>
      <c r="GM671" s="98">
        <f>IF(ISERROR((GL671/GJ671-1)*100),"NA",IF(((GL671/GJ671-1)*100)&gt;100,"NM",IF(((GL671/GJ671-1)*100)&lt;-50,"NM",(GL671/GJ671-1)*100)))</f>
        <v>-26.442647483662185</v>
      </c>
      <c r="GN671" s="160">
        <f>EI671+EK671+EM671+EO671</f>
        <v>182.64588660495724</v>
      </c>
      <c r="GO671" s="98">
        <f>IF(ISERROR((GN671/GL671-1)*100),"NA",IF(((GN671/GL671-1)*100)&gt;100,"NM",IF(((GN671/GL671-1)*100)&lt;-50,"NM",(GN671/GL671-1)*100)))</f>
        <v>14.506865889771259</v>
      </c>
      <c r="GP671" s="160">
        <f>EQ671+ES671+EU671+EW671</f>
        <v>148.1422442298921</v>
      </c>
      <c r="GQ671" s="98">
        <f>IF(ISERROR((GP671/GN671-1)*100),"NA",IF(((GP671/GN671-1)*100)&gt;100,"NM",IF(((GP671/GN671-1)*100)&lt;-50,"NM",(GP671/GN671-1)*100)))</f>
        <v>-18.891004345305994</v>
      </c>
      <c r="GR671" s="121">
        <f>GR668*GR669</f>
        <v>154.66352376828348</v>
      </c>
      <c r="GS671" s="98">
        <f>IF(ISERROR((GR671/GP671-1)*100),"NA",IF(((GR671/GP671-1)*100)&gt;100,"NM",IF(((GR671/GP671-1)*100)&lt;-50,"NM",(GR671/GP671-1)*100)))</f>
        <v>4.4020391160481065</v>
      </c>
      <c r="GT671" s="121">
        <f>GT668*GT669</f>
        <v>161.17349566974619</v>
      </c>
      <c r="GU671" s="98">
        <f>IF(ISERROR((GT671/GR671-1)*100),"NA",IF(((GT671/GR671-1)*100)&gt;100,"NM",IF(((GT671/GR671-1)*100)&lt;-50,"NM",(GT671/GR671-1)*100)))</f>
        <v>4.209119088231783</v>
      </c>
      <c r="GV671" s="121">
        <f>GV668*GV669</f>
        <v>167.61795432332588</v>
      </c>
      <c r="GW671" s="98">
        <f>IF(ISERROR((GV671/GT671-1)*100),"NA",IF(((GV671/GT671-1)*100)&gt;100,"NM",IF(((GV671/GT671-1)*100)&lt;-50,"NM",(GV671/GT671-1)*100)))</f>
        <v>3.9984605575501986</v>
      </c>
      <c r="GX671" s="121">
        <f>GX668*GX669</f>
        <v>173.93302756919198</v>
      </c>
      <c r="GY671" s="98">
        <f>IF(ISERROR((GX671/GV671-1)*100),"NA",IF(((GX671/GV671-1)*100)&gt;100,"NM",IF(((GX671/GV671-1)*100)&lt;-50,"NM",(GX671/GV671-1)*100)))</f>
        <v>3.7675398625165668</v>
      </c>
      <c r="GZ671" s="98">
        <f>IF(ISERROR(((GX671/GN671)^0.2-1)*100),"NA",IF((((GX671/GN671)^0.2-1)*100)&gt;100,"NM",IF((((GX671/GN671)^0.2-1)*100)&lt;-50,"NM",((GX671/GN671)^0.2-1)*100)))</f>
        <v>-0.97281536264276491</v>
      </c>
      <c r="HA671" s="98"/>
      <c r="HB671" s="10"/>
      <c r="HC671"/>
      <c r="HD671"/>
      <c r="HE671"/>
      <c r="HF671"/>
      <c r="HG671"/>
      <c r="HH671"/>
      <c r="HI671" s="10"/>
    </row>
    <row r="672" spans="1:217" s="2" customFormat="1" ht="12.75" customHeight="1" x14ac:dyDescent="0.2">
      <c r="A672" s="351"/>
      <c r="B672" s="18"/>
      <c r="C672" s="244"/>
      <c r="D672" s="113"/>
      <c r="E672" s="244"/>
      <c r="F672" s="113"/>
      <c r="G672" s="244"/>
      <c r="H672" s="113"/>
      <c r="I672" s="244"/>
      <c r="J672" s="98"/>
      <c r="K672" s="244"/>
      <c r="L672" s="98"/>
      <c r="M672" s="244"/>
      <c r="N672" s="98"/>
      <c r="O672" s="244"/>
      <c r="P672" s="98"/>
      <c r="Q672" s="244"/>
      <c r="R672" s="98"/>
      <c r="S672" s="244"/>
      <c r="T672" s="98"/>
      <c r="U672" s="244"/>
      <c r="V672" s="98"/>
      <c r="W672" s="244"/>
      <c r="X672" s="98"/>
      <c r="Y672" s="244"/>
      <c r="Z672" s="98"/>
      <c r="AA672" s="244"/>
      <c r="AB672" s="98"/>
      <c r="AC672" s="244"/>
      <c r="AD672" s="98"/>
      <c r="AE672" s="244"/>
      <c r="AF672" s="98"/>
      <c r="AG672" s="95"/>
      <c r="AH672" s="98"/>
      <c r="AI672" s="95"/>
      <c r="AJ672" s="98"/>
      <c r="AK672" s="95"/>
      <c r="AL672" s="98"/>
      <c r="AM672" s="95"/>
      <c r="AN672" s="98"/>
      <c r="AO672" s="95"/>
      <c r="AP672" s="98"/>
      <c r="AQ672" s="95"/>
      <c r="AR672" s="98"/>
      <c r="AS672" s="95"/>
      <c r="AT672" s="98"/>
      <c r="AU672" s="95"/>
      <c r="AV672" s="98"/>
      <c r="AW672" s="95"/>
      <c r="AX672" s="98"/>
      <c r="AY672" s="95"/>
      <c r="AZ672" s="98"/>
      <c r="BA672" s="95"/>
      <c r="BB672" s="98"/>
      <c r="BC672" s="95"/>
      <c r="BD672" s="98"/>
      <c r="BE672" s="95"/>
      <c r="BF672" s="98"/>
      <c r="BG672" s="95"/>
      <c r="BH672" s="98"/>
      <c r="BI672" s="95"/>
      <c r="BJ672" s="98"/>
      <c r="BK672" s="95"/>
      <c r="BL672" s="98"/>
      <c r="BM672" s="95"/>
      <c r="BN672" s="98"/>
      <c r="BO672" s="95"/>
      <c r="BP672" s="98"/>
      <c r="BQ672" s="95"/>
      <c r="BR672" s="98"/>
      <c r="BS672" s="95"/>
      <c r="BT672" s="98"/>
      <c r="BU672" s="95"/>
      <c r="BV672" s="98"/>
      <c r="BW672" s="95"/>
      <c r="BX672" s="98"/>
      <c r="BY672" s="95"/>
      <c r="BZ672" s="98"/>
      <c r="CA672" s="95"/>
      <c r="CB672" s="98"/>
      <c r="CC672" s="95"/>
      <c r="CD672" s="98"/>
      <c r="CE672" s="95"/>
      <c r="CF672" s="98"/>
      <c r="CG672" s="95"/>
      <c r="CH672" s="98"/>
      <c r="CI672" s="95"/>
      <c r="CJ672" s="98"/>
      <c r="CK672" s="95"/>
      <c r="CL672" s="98"/>
      <c r="CM672" s="95"/>
      <c r="CN672" s="98"/>
      <c r="CO672" s="95"/>
      <c r="CP672" s="98"/>
      <c r="CQ672" s="506"/>
      <c r="CR672" s="98"/>
      <c r="CS672" s="95"/>
      <c r="CT672" s="98"/>
      <c r="CU672" s="95"/>
      <c r="CV672" s="98"/>
      <c r="CW672" s="95"/>
      <c r="CX672" s="98"/>
      <c r="CY672" s="95"/>
      <c r="CZ672" s="98"/>
      <c r="DA672" s="95"/>
      <c r="DB672" s="98"/>
      <c r="DC672" s="95"/>
      <c r="DD672" s="98"/>
      <c r="DE672" s="95"/>
      <c r="DF672" s="98"/>
      <c r="DG672" s="95"/>
      <c r="DH672" s="98"/>
      <c r="DI672" s="95"/>
      <c r="DJ672" s="98"/>
      <c r="DK672" s="95"/>
      <c r="DL672" s="98"/>
      <c r="DM672" s="95"/>
      <c r="DN672" s="98"/>
      <c r="DO672" s="95"/>
      <c r="DP672" s="98"/>
      <c r="DQ672" s="95"/>
      <c r="DR672" s="98"/>
      <c r="DS672" s="95"/>
      <c r="DT672" s="98"/>
      <c r="DU672" s="95"/>
      <c r="DV672" s="98"/>
      <c r="DW672" s="95"/>
      <c r="DX672" s="98"/>
      <c r="DY672" s="95"/>
      <c r="DZ672" s="98"/>
      <c r="EA672" s="95"/>
      <c r="EB672" s="98"/>
      <c r="EC672" s="95"/>
      <c r="ED672" s="98"/>
      <c r="EE672" s="95"/>
      <c r="EF672" s="860"/>
      <c r="EG672" s="95"/>
      <c r="EH672" s="860"/>
      <c r="EI672" s="95"/>
      <c r="EJ672" s="860"/>
      <c r="EK672" s="95"/>
      <c r="EL672" s="860"/>
      <c r="EM672" s="95"/>
      <c r="EN672" s="860"/>
      <c r="EO672" s="95"/>
      <c r="EP672" s="98"/>
      <c r="EQ672" s="823"/>
      <c r="ER672" s="98"/>
      <c r="ES672" s="823"/>
      <c r="ET672" s="98"/>
      <c r="EU672" s="823"/>
      <c r="EV672" s="98"/>
      <c r="EW672" s="823"/>
      <c r="EX672" s="98"/>
      <c r="EY672" s="244"/>
      <c r="EZ672" s="594"/>
      <c r="FA672" s="405"/>
      <c r="FB672" s="244"/>
      <c r="FC672" s="113"/>
      <c r="FD672" s="244"/>
      <c r="FE672" s="113"/>
      <c r="FF672" s="244"/>
      <c r="FG672" s="113"/>
      <c r="FH672" s="244"/>
      <c r="FI672" s="113"/>
      <c r="FJ672" s="244"/>
      <c r="FK672" s="113"/>
      <c r="FL672" s="244"/>
      <c r="FM672" s="113"/>
      <c r="FN672" s="244"/>
      <c r="FO672" s="113"/>
      <c r="FP672" s="244"/>
      <c r="FQ672" s="113"/>
      <c r="FR672" s="245"/>
      <c r="FS672" s="116"/>
      <c r="FT672" s="245"/>
      <c r="FU672" s="116"/>
      <c r="FV672" s="245"/>
      <c r="FW672" s="98"/>
      <c r="FX672" s="480"/>
      <c r="FY672" s="98"/>
      <c r="FZ672" s="245"/>
      <c r="GA672" s="98"/>
      <c r="GB672" s="480"/>
      <c r="GC672" s="98"/>
      <c r="GD672" s="245"/>
      <c r="GE672" s="98"/>
      <c r="GF672" s="245"/>
      <c r="GG672" s="98"/>
      <c r="GH672" s="245"/>
      <c r="GI672" s="98"/>
      <c r="GJ672" s="245"/>
      <c r="GK672" s="98"/>
      <c r="GL672" s="245"/>
      <c r="GM672" s="98"/>
      <c r="GN672" s="245"/>
      <c r="GO672" s="98"/>
      <c r="GP672" s="245"/>
      <c r="GQ672" s="98"/>
      <c r="GR672" s="244"/>
      <c r="GS672" s="98"/>
      <c r="GT672" s="244"/>
      <c r="GU672" s="98"/>
      <c r="GV672" s="244"/>
      <c r="GW672" s="98"/>
      <c r="GX672" s="244"/>
      <c r="GY672" s="98"/>
      <c r="GZ672" s="98"/>
      <c r="HA672" s="98"/>
      <c r="HB672" s="10"/>
      <c r="HC672"/>
      <c r="HD672"/>
      <c r="HE672"/>
      <c r="HF672"/>
      <c r="HG672"/>
      <c r="HH672"/>
      <c r="HI672" s="10"/>
    </row>
    <row r="673" spans="1:217" s="2" customFormat="1" ht="12.75" customHeight="1" x14ac:dyDescent="0.2">
      <c r="A673" s="2" t="s">
        <v>533</v>
      </c>
      <c r="B673" s="18" t="s">
        <v>1</v>
      </c>
      <c r="C673" s="357">
        <v>0</v>
      </c>
      <c r="D673" s="98"/>
      <c r="E673" s="294">
        <v>11.2</v>
      </c>
      <c r="F673" s="98"/>
      <c r="G673" s="294">
        <v>7.9</v>
      </c>
      <c r="H673" s="98"/>
      <c r="I673" s="357">
        <v>6.9</v>
      </c>
      <c r="J673" s="98"/>
      <c r="K673" s="357">
        <v>7.8</v>
      </c>
      <c r="L673" s="98" t="str">
        <f>IF(ISERROR((K673/C673-1)*100),"NA",IF(((K673/C673-1)*100)&gt;100,"NM",IF(((K673/C673-1)*100)&lt;-50,"NM",(K673/C673-1)*100)))</f>
        <v>NA</v>
      </c>
      <c r="M673" s="294">
        <v>9.1</v>
      </c>
      <c r="N673" s="98">
        <f>IF(ISERROR((M673/E673-1)*100),"NA",IF(((M673/E673-1)*100)&gt;100,"NM",IF(((M673/E673-1)*100)&lt;-50,"NM",(M673/E673-1)*100)))</f>
        <v>-18.75</v>
      </c>
      <c r="O673" s="294">
        <v>17.899999999999999</v>
      </c>
      <c r="P673" s="98" t="str">
        <f>IF(ISERROR((O673/G673-1)*100),"NA",IF(((O673/G673-1)*100)&gt;100,"NM",IF(((O673/G673-1)*100)&lt;-50,"NM",(O673/G673-1)*100)))</f>
        <v>NM</v>
      </c>
      <c r="Q673" s="357">
        <v>10.4</v>
      </c>
      <c r="R673" s="98">
        <f>IF(ISERROR((Q673/I673-1)*100),"NA",IF(((Q673/I673-1)*100)&gt;100,"NM",IF(((Q673/I673-1)*100)&lt;-50,"NM",(Q673/I673-1)*100)))</f>
        <v>50.724637681159422</v>
      </c>
      <c r="S673" s="357">
        <v>7.7</v>
      </c>
      <c r="T673" s="98">
        <f>IF(ISERROR((S673/K673-1)*100),"NA",IF(((S673/K673-1)*100)&gt;100,"NM",IF(((S673/K673-1)*100)&lt;-50,"NM",(S673/K673-1)*100)))</f>
        <v>-1.2820512820512775</v>
      </c>
      <c r="U673" s="357">
        <v>5.9</v>
      </c>
      <c r="V673" s="98">
        <f>IF(ISERROR((U673/M673-1)*100),"NA",IF(((U673/M673-1)*100)&gt;100,"NM",IF(((U673/M673-1)*100)&lt;-50,"NM",(U673/M673-1)*100)))</f>
        <v>-35.164835164835161</v>
      </c>
      <c r="W673" s="357">
        <v>1.6</v>
      </c>
      <c r="X673" s="98" t="str">
        <f>IF(ISERROR((W673/O673-1)*100),"NA",IF(((W673/O673-1)*100)&gt;100,"NM",IF(((W673/O673-1)*100)&lt;-50,"NM",(W673/O673-1)*100)))</f>
        <v>NM</v>
      </c>
      <c r="Y673" s="101">
        <v>0</v>
      </c>
      <c r="Z673" s="98" t="str">
        <f>IF(ISERROR((Y673/Q673-1)*100),"NA",IF(((Y673/Q673-1)*100)&gt;100,"NM",IF(((Y673/Q673-1)*100)&lt;-50,"NM",(Y673/Q673-1)*100)))</f>
        <v>NM</v>
      </c>
      <c r="AA673" s="357">
        <v>0</v>
      </c>
      <c r="AB673" s="98" t="str">
        <f>IF(ISERROR((AA673/S673-1)*100),"NA",IF(((AA673/S673-1)*100)&gt;100,"NM",IF(((AA673/S673-1)*100)&lt;-50,"NM",(AA673/S673-1)*100)))</f>
        <v>NM</v>
      </c>
      <c r="AC673" s="357">
        <v>0</v>
      </c>
      <c r="AD673" s="98" t="str">
        <f>IF(ISERROR((AC673/U673-1)*100),"NA",IF(((AC673/U673-1)*100)&gt;100,"NM",IF(((AC673/U673-1)*100)&lt;-50,"NM",(AC673/U673-1)*100)))</f>
        <v>NM</v>
      </c>
      <c r="AE673" s="357">
        <v>0</v>
      </c>
      <c r="AF673" s="98" t="str">
        <f>IF(ISERROR((AE673/W673-1)*100),"NA",IF(((AE673/W673-1)*100)&gt;100,"NM",IF(((AE673/W673-1)*100)&lt;-50,"NM",(AE673/W673-1)*100)))</f>
        <v>NM</v>
      </c>
      <c r="AG673" s="254">
        <v>3</v>
      </c>
      <c r="AH673" s="98" t="str">
        <f>IF(ISERROR((AG673/Y673-1)*100),"NA",IF(((AG673/Y673-1)*100)&gt;100,"NM",IF(((AG673/Y673-1)*100)&lt;-50,"NM",(AG673/Y673-1)*100)))</f>
        <v>NA</v>
      </c>
      <c r="AI673" s="254">
        <v>1.8</v>
      </c>
      <c r="AJ673" s="98" t="str">
        <f>IF(ISERROR((AI673/AA673-1)*100),"NA",IF(((AI673/AA673-1)*100)&gt;100,"NM",IF(((AI673/AA673-1)*100)&lt;-50,"NM",(AI673/AA673-1)*100)))</f>
        <v>NA</v>
      </c>
      <c r="AK673" s="254">
        <v>6.1</v>
      </c>
      <c r="AL673" s="98" t="str">
        <f>IF(ISERROR((AK673/AC673-1)*100),"NA",IF(((AK673/AC673-1)*100)&gt;100,"NM",IF(((AK673/AC673-1)*100)&lt;-50,"NM",(AK673/AC673-1)*100)))</f>
        <v>NA</v>
      </c>
      <c r="AM673" s="254">
        <v>6</v>
      </c>
      <c r="AN673" s="98" t="str">
        <f>IF(ISERROR((AM673/AE673-1)*100),"NA",IF(((AM673/AE673-1)*100)&gt;100,"NM",IF(((AM673/AE673-1)*100)&lt;-50,"NM",(AM673/AE673-1)*100)))</f>
        <v>NA</v>
      </c>
      <c r="AO673" s="254">
        <v>12.450025</v>
      </c>
      <c r="AP673" s="98" t="str">
        <f>IF(ISERROR((AO673/AG673-1)*100),"NA",IF(((AO673/AG673-1)*100)&gt;100,"NM",IF(((AO673/AG673-1)*100)&lt;-50,"NM",(AO673/AG673-1)*100)))</f>
        <v>NM</v>
      </c>
      <c r="AQ673" s="254">
        <v>9.9999999999999995E-7</v>
      </c>
      <c r="AR673" s="98" t="str">
        <f>IF(ISERROR((AQ673/AI673-1)*100),"NA",IF(((AQ673/AI673-1)*100)&gt;100,"NM",IF(((AQ673/AI673-1)*100)&lt;-50,"NM",(AQ673/AI673-1)*100)))</f>
        <v>NM</v>
      </c>
      <c r="AS673" s="254">
        <v>9.9999999999999995E-7</v>
      </c>
      <c r="AT673" s="98" t="str">
        <f>IF(ISERROR((AS673/AK673-1)*100),"NA",IF(((AS673/AK673-1)*100)&gt;100,"NM",IF(((AS673/AK673-1)*100)&lt;-50,"NM",(AS673/AK673-1)*100)))</f>
        <v>NM</v>
      </c>
      <c r="AU673" s="254">
        <v>9.9999999999999995E-7</v>
      </c>
      <c r="AV673" s="98" t="str">
        <f>IF(ISERROR((AU673/AM673-1)*100),"NA",IF(((AU673/AM673-1)*100)&gt;100,"NM",IF(((AU673/AM673-1)*100)&lt;-50,"NM",(AU673/AM673-1)*100)))</f>
        <v>NM</v>
      </c>
      <c r="AW673" s="254">
        <v>9.9999999999999995E-7</v>
      </c>
      <c r="AX673" s="98" t="str">
        <f>IF(ISERROR((AW673/AO673-1)*100),"NA",IF(((AW673/AO673-1)*100)&gt;100,"NM",IF(((AW673/AO673-1)*100)&lt;-50,"NM",(AW673/AO673-1)*100)))</f>
        <v>NM</v>
      </c>
      <c r="AY673" s="110">
        <v>9.9999999999999995E-7</v>
      </c>
      <c r="AZ673" s="98">
        <f>IF(ISERROR((AY673/AQ673-1)*100),"NA",IF(((AY673/AQ673-1)*100)&gt;100,"NM",IF(((AY673/AQ673-1)*100)&lt;-50,"NM",(AY673/AQ673-1)*100)))</f>
        <v>0</v>
      </c>
      <c r="BA673" s="110">
        <v>9.9999999999999995E-7</v>
      </c>
      <c r="BB673" s="98">
        <f>IF(ISERROR((BA673/AS673-1)*100),"NA",IF(((BA673/AS673-1)*100)&gt;100,"NM",IF(((BA673/AS673-1)*100)&lt;-50,"NM",(BA673/AS673-1)*100)))</f>
        <v>0</v>
      </c>
      <c r="BC673" s="110">
        <v>9.9999999999999995E-7</v>
      </c>
      <c r="BD673" s="98">
        <f>IF(ISERROR((BC673/AU673-1)*100),"NA",IF(((BC673/AU673-1)*100)&gt;100,"NM",IF(((BC673/AU673-1)*100)&lt;-50,"NM",(BC673/AU673-1)*100)))</f>
        <v>0</v>
      </c>
      <c r="BE673" s="110">
        <v>8.6</v>
      </c>
      <c r="BF673" s="98" t="str">
        <f>IF(ISERROR((BE673/AW673-1)*100),"NA",IF(((BE673/AW673-1)*100)&gt;100,"NM",IF(((BE673/AW673-1)*100)&lt;-50,"NM",(BE673/AW673-1)*100)))</f>
        <v>NM</v>
      </c>
      <c r="BG673" s="110">
        <v>11.9</v>
      </c>
      <c r="BH673" s="98" t="str">
        <f>IF(ISERROR((BG673/AY673-1)*100),"NA",IF(((BG673/AY673-1)*100)&gt;100,"NM",IF(((BG673/AY673-1)*100)&lt;-50,"NM",(BG673/AY673-1)*100)))</f>
        <v>NM</v>
      </c>
      <c r="BI673" s="110">
        <v>0</v>
      </c>
      <c r="BJ673" s="98" t="str">
        <f>IF(ISERROR((BI673/BA673-1)*100),"NA",IF(((BI673/BA673-1)*100)&gt;100,"NM",IF(((BI673/BA673-1)*100)&lt;-50,"NM",(BI673/BA673-1)*100)))</f>
        <v>NM</v>
      </c>
      <c r="BK673" s="110">
        <v>3.2</v>
      </c>
      <c r="BL673" s="98" t="str">
        <f>IF(ISERROR((BK673/BC673-1)*100),"NA",IF(((BK673/BC673-1)*100)&gt;100,"NM",IF(((BK673/BC673-1)*100)&lt;-50,"NM",(BK673/BC673-1)*100)))</f>
        <v>NM</v>
      </c>
      <c r="BM673" s="110">
        <v>11.6</v>
      </c>
      <c r="BN673" s="98">
        <f>IF(ISERROR((BM673/BE673-1)*100),"NA",IF(((BM673/BE673-1)*100)&gt;100,"NM",IF(((BM673/BE673-1)*100)&lt;-50,"NM",(BM673/BE673-1)*100)))</f>
        <v>34.883720930232556</v>
      </c>
      <c r="BO673" s="110">
        <v>20.399999999999999</v>
      </c>
      <c r="BP673" s="98">
        <f>IF(ISERROR((BO673/BG673-1)*100),"NA",IF(((BO673/BG673-1)*100)&gt;100,"NM",IF(((BO673/BG673-1)*100)&lt;-50,"NM",(BO673/BG673-1)*100)))</f>
        <v>71.428571428571416</v>
      </c>
      <c r="BQ673" s="110">
        <v>0.9</v>
      </c>
      <c r="BR673" s="98" t="str">
        <f>IF(ISERROR((BQ673/BI673-1)*100),"NA",IF(((BQ673/BI673-1)*100)&gt;100,"NM",IF(((BQ673/BI673-1)*100)&lt;-50,"NM",(BQ673/BI673-1)*100)))</f>
        <v>NA</v>
      </c>
      <c r="BS673" s="110">
        <v>0</v>
      </c>
      <c r="BT673" s="98" t="str">
        <f>IF(ISERROR((BS673/BK673-1)*100),"NA",IF(((BS673/BK673-1)*100)&gt;100,"NM",IF(((BS673/BK673-1)*100)&lt;-50,"NM",(BS673/BK673-1)*100)))</f>
        <v>NM</v>
      </c>
      <c r="BU673" s="110">
        <v>0</v>
      </c>
      <c r="BV673" s="98" t="str">
        <f>IF(ISERROR((BU673/BM673-1)*100),"NA",IF(((BU673/BM673-1)*100)&gt;100,"NM",IF(((BU673/BM673-1)*100)&lt;-50,"NM",(BU673/BM673-1)*100)))</f>
        <v>NM</v>
      </c>
      <c r="BW673" s="110">
        <v>0</v>
      </c>
      <c r="BX673" s="98" t="str">
        <f>IF(ISERROR((BW673/BO673-1)*100),"NA",IF(((BW673/BO673-1)*100)&gt;100,"NM",IF(((BW673/BO673-1)*100)&lt;-50,"NM",(BW673/BO673-1)*100)))</f>
        <v>NM</v>
      </c>
      <c r="BY673" s="110">
        <v>0</v>
      </c>
      <c r="BZ673" s="98" t="str">
        <f>IF(ISERROR((BY673/BQ673-1)*100),"NA",IF(((BY673/BQ673-1)*100)&gt;100,"NM",IF(((BY673/BQ673-1)*100)&lt;-50,"NM",(BY673/BQ673-1)*100)))</f>
        <v>NM</v>
      </c>
      <c r="CA673" s="110">
        <v>0</v>
      </c>
      <c r="CB673" s="98" t="str">
        <f>IF(ISERROR((CA673/BS673-1)*100),"NA",IF(((CA673/BS673-1)*100)&gt;100,"NM",IF(((CA673/BS673-1)*100)&lt;-50,"NM",(CA673/BS673-1)*100)))</f>
        <v>NA</v>
      </c>
      <c r="CC673" s="110">
        <v>0</v>
      </c>
      <c r="CD673" s="98" t="str">
        <f>IF(ISERROR((CC673/BU673-1)*100),"NA",IF(((CC673/BU673-1)*100)&gt;100,"NM",IF(((CC673/BU673-1)*100)&lt;-50,"NM",(CC673/BU673-1)*100)))</f>
        <v>NA</v>
      </c>
      <c r="CE673" s="110">
        <v>0</v>
      </c>
      <c r="CF673" s="98" t="str">
        <f>IF(ISERROR((CE673/BW673-1)*100),"NA",IF(((CE673/BW673-1)*100)&gt;100,"NM",IF(((CE673/BW673-1)*100)&lt;-50,"NM",(CE673/BW673-1)*100)))</f>
        <v>NA</v>
      </c>
      <c r="CG673" s="110">
        <v>0</v>
      </c>
      <c r="CH673" s="98" t="str">
        <f>IF(ISERROR((CG673/BY673-1)*100),"NA",IF(((CG673/BY673-1)*100)&gt;100,"NM",IF(((CG673/BY673-1)*100)&lt;-50,"NM",(CG673/BY673-1)*100)))</f>
        <v>NA</v>
      </c>
      <c r="CI673" s="110">
        <v>0</v>
      </c>
      <c r="CJ673" s="98" t="str">
        <f>IF(ISERROR((CI673/CA673-1)*100),"NA",IF(((CI673/CA673-1)*100)&gt;100,"NM",IF(((CI673/CA673-1)*100)&lt;-50,"NM",(CI673/CA673-1)*100)))</f>
        <v>NA</v>
      </c>
      <c r="CK673" s="110">
        <v>0</v>
      </c>
      <c r="CL673" s="98" t="str">
        <f>IF(ISERROR((CK673/CC673-1)*100),"NA",IF(((CK673/CC673-1)*100)&gt;100,"NM",IF(((CK673/CC673-1)*100)&lt;-50,"NM",(CK673/CC673-1)*100)))</f>
        <v>NA</v>
      </c>
      <c r="CM673" s="110">
        <v>0</v>
      </c>
      <c r="CN673" s="98" t="str">
        <f>IF(ISERROR((CM673/CE673-1)*100),"NA",IF(((CM673/CE673-1)*100)&gt;100,"NM",IF(((CM673/CE673-1)*100)&lt;-50,"NM",(CM673/CE673-1)*100)))</f>
        <v>NA</v>
      </c>
      <c r="CO673" s="110">
        <v>0</v>
      </c>
      <c r="CP673" s="98" t="str">
        <f>IF(ISERROR((CO673/CG673-1)*100),"NA",IF(((CO673/CG673-1)*100)&gt;100,"NM",IF(((CO673/CG673-1)*100)&lt;-50,"NM",(CO673/CG673-1)*100)))</f>
        <v>NA</v>
      </c>
      <c r="CQ673" s="544">
        <v>0</v>
      </c>
      <c r="CR673" s="98" t="str">
        <f>IF(ISERROR((CQ673/CI673-1)*100),"NA",IF(((CQ673/CI673-1)*100)&gt;100,"NM",IF(((CQ673/CI673-1)*100)&lt;-50,"NM",(CQ673/CI673-1)*100)))</f>
        <v>NA</v>
      </c>
      <c r="CS673" s="110">
        <v>0</v>
      </c>
      <c r="CT673" s="98" t="str">
        <f>IF(ISERROR((CS673/CK673-1)*100),"NA",IF(((CS673/CK673-1)*100)&gt;100,"NM",IF(((CS673/CK673-1)*100)&lt;-50,"NM",(CS673/CK673-1)*100)))</f>
        <v>NA</v>
      </c>
      <c r="CU673" s="110">
        <v>0</v>
      </c>
      <c r="CV673" s="98" t="str">
        <f>IF(ISERROR((CU673/CM673-1)*100),"NA",IF(((CU673/CM673-1)*100)&gt;100,"NM",IF(((CU673/CM673-1)*100)&lt;-50,"NM",(CU673/CM673-1)*100)))</f>
        <v>NA</v>
      </c>
      <c r="CW673" s="110">
        <v>0</v>
      </c>
      <c r="CX673" s="98" t="str">
        <f>IF(ISERROR((CW673/CO673-1)*100),"NA",IF(((CW673/CO673-1)*100)&gt;100,"NM",IF(((CW673/CO673-1)*100)&lt;-50,"NM",(CW673/CO673-1)*100)))</f>
        <v>NA</v>
      </c>
      <c r="CY673" s="110">
        <v>0</v>
      </c>
      <c r="CZ673" s="98" t="str">
        <f>IF(ISERROR((CY673/CQ673-1)*100),"NA",IF(((CY673/CQ673-1)*100)&gt;100,"NM",IF(((CY673/CQ673-1)*100)&lt;-50,"NM",(CY673/CQ673-1)*100)))</f>
        <v>NA</v>
      </c>
      <c r="DA673" s="110">
        <v>0</v>
      </c>
      <c r="DB673" s="98" t="str">
        <f>IF(ISERROR((DA673/CS673-1)*100),"NA",IF(((DA673/CS673-1)*100)&gt;100,"NM",IF(((DA673/CS673-1)*100)&lt;-50,"NM",(DA673/CS673-1)*100)))</f>
        <v>NA</v>
      </c>
      <c r="DC673" s="110">
        <v>0</v>
      </c>
      <c r="DD673" s="98" t="str">
        <f>IF(ISERROR((DC673/CU673-1)*100),"NA",IF(((DC673/CU673-1)*100)&gt;100,"NM",IF(((DC673/CU673-1)*100)&lt;-50,"NM",(DC673/CU673-1)*100)))</f>
        <v>NA</v>
      </c>
      <c r="DE673" s="110">
        <v>0</v>
      </c>
      <c r="DF673" s="98" t="str">
        <f>IF(ISERROR((DE673/CW673-1)*100),"NA",IF(((DE673/CW673-1)*100)&gt;100,"NM",IF(((DE673/CW673-1)*100)&lt;-50,"NM",(DE673/CW673-1)*100)))</f>
        <v>NA</v>
      </c>
      <c r="DG673" s="110">
        <v>0</v>
      </c>
      <c r="DH673" s="98" t="str">
        <f>IF(ISERROR((DG673/CY673-1)*100),"NA",IF(((DG673/CY673-1)*100)&gt;100,"NM",IF(((DG673/CY673-1)*100)&lt;-50,"NM",(DG673/CY673-1)*100)))</f>
        <v>NA</v>
      </c>
      <c r="DI673" s="110">
        <v>0</v>
      </c>
      <c r="DJ673" s="98" t="str">
        <f>IF(ISERROR((DI673/DA673-1)*100),"NA",IF(((DI673/DA673-1)*100)&gt;100,"NM",IF(((DI673/DA673-1)*100)&lt;-50,"NM",(DI673/DA673-1)*100)))</f>
        <v>NA</v>
      </c>
      <c r="DK673" s="110">
        <v>0</v>
      </c>
      <c r="DL673" s="98" t="str">
        <f>IF(ISERROR((DK673/DC673-1)*100),"NA",IF(((DK673/DC673-1)*100)&gt;100,"NM",IF(((DK673/DC673-1)*100)&lt;-50,"NM",(DK673/DC673-1)*100)))</f>
        <v>NA</v>
      </c>
      <c r="DM673" s="110">
        <v>0</v>
      </c>
      <c r="DN673" s="98" t="str">
        <f>IF(ISERROR((DM673/DE673-1)*100),"NA",IF(((DM673/DE673-1)*100)&gt;100,"NM",IF(((DM673/DE673-1)*100)&lt;-50,"NM",(DM673/DE673-1)*100)))</f>
        <v>NA</v>
      </c>
      <c r="DO673" s="110">
        <v>8.1</v>
      </c>
      <c r="DP673" s="98" t="str">
        <f>IF(ISERROR((DO673/DG673-1)*100),"NA",IF(((DO673/DG673-1)*100)&gt;100,"NM",IF(((DO673/DG673-1)*100)&lt;-50,"NM",(DO673/DG673-1)*100)))</f>
        <v>NA</v>
      </c>
      <c r="DQ673" s="110">
        <v>10.7</v>
      </c>
      <c r="DR673" s="98" t="str">
        <f>IF(ISERROR((DQ673/DI673-1)*100),"NA",IF(((DQ673/DI673-1)*100)&gt;100,"NM",IF(((DQ673/DI673-1)*100)&lt;-50,"NM",(DQ673/DI673-1)*100)))</f>
        <v>NA</v>
      </c>
      <c r="DS673" s="110">
        <v>19.899999999999999</v>
      </c>
      <c r="DT673" s="98" t="str">
        <f>IF(ISERROR((DS673/DK673-1)*100),"NA",IF(((DS673/DK673-1)*100)&gt;100,"NM",IF(((DS673/DK673-1)*100)&lt;-50,"NM",(DS673/DK673-1)*100)))</f>
        <v>NA</v>
      </c>
      <c r="DU673" s="110">
        <v>0.2</v>
      </c>
      <c r="DV673" s="98" t="str">
        <f>IF(ISERROR((DU673/DM673-1)*100),"NA",IF(((DU673/DM673-1)*100)&gt;100,"NM",IF(((DU673/DM673-1)*100)&lt;-50,"NM",(DU673/DM673-1)*100)))</f>
        <v>NA</v>
      </c>
      <c r="DW673" s="110">
        <v>2.2999999999999998</v>
      </c>
      <c r="DX673" s="98" t="str">
        <f>IF(ISERROR((DW673/DO673-1)*100),"NA",IF(((DW673/DO673-1)*100)&gt;100,"NM",IF(((DW673/DO673-1)*100)&lt;-50,"NM",(DW673/DO673-1)*100)))</f>
        <v>NM</v>
      </c>
      <c r="DY673" s="110">
        <v>17.100000000000001</v>
      </c>
      <c r="DZ673" s="98">
        <f>IF(ISERROR((DY673/DQ673-1)*100),"NA",IF(((DY673/DQ673-1)*100)&gt;100,"NM",IF(((DY673/DQ673-1)*100)&lt;-50,"NM",(DY673/DQ673-1)*100)))</f>
        <v>59.813084112149561</v>
      </c>
      <c r="EA673" s="110">
        <v>1.4</v>
      </c>
      <c r="EB673" s="98" t="str">
        <f>IF(ISERROR((EA673/DS673-1)*100),"NA",IF(((EA673/DS673-1)*100)&gt;100,"NM",IF(((EA673/DS673-1)*100)&lt;-50,"NM",(EA673/DS673-1)*100)))</f>
        <v>NM</v>
      </c>
      <c r="EC673" s="110">
        <v>0</v>
      </c>
      <c r="ED673" s="98" t="str">
        <f>IF(ISERROR((EC673/DU673-1)*100),"NA",IF(((EC673/DU673-1)*100)&gt;100,"NM",IF(((EC673/DU673-1)*100)&lt;-50,"NM",(EC673/DU673-1)*100)))</f>
        <v>NM</v>
      </c>
      <c r="EE673" s="110">
        <v>0</v>
      </c>
      <c r="EF673" s="860" t="str">
        <f>IF(ISERROR((EE673/DW673-1)*100),"NA",IF(((EE673/DW673-1)*100)&gt;100,"NM",IF(((EE673/DW673-1)*100)&lt;-50,"NM",(EE673/DW673-1)*100)))</f>
        <v>NM</v>
      </c>
      <c r="EG673" s="110">
        <v>5.5</v>
      </c>
      <c r="EH673" s="860" t="str">
        <f>IF(ISERROR((EG673/DY673-1)*100),"NA",IF(((EG673/DY673-1)*100)&gt;100,"NM",IF(((EG673/DY673-1)*100)&lt;-50,"NM",(EG673/DY673-1)*100)))</f>
        <v>NM</v>
      </c>
      <c r="EI673" s="110">
        <v>16</v>
      </c>
      <c r="EJ673" s="860" t="str">
        <f t="shared" ref="EJ673:EJ676" si="4075">IF(ISERROR((EI673/EA673-1)*100),"NA",IF(((EI673/EA673-1)*100)&gt;100,"NM",IF(((EI673/EA673-1)*100)&lt;-50,"NM",(EI673/EA673-1)*100)))</f>
        <v>NM</v>
      </c>
      <c r="EK673" s="110">
        <v>18.3</v>
      </c>
      <c r="EL673" s="860" t="str">
        <f t="shared" ref="EL673:EL676" si="4076">IF(ISERROR((EK673/EC673-1)*100),"NA",IF(((EK673/EC673-1)*100)&gt;100,"NM",IF(((EK673/EC673-1)*100)&lt;-50,"NM",(EK673/EC673-1)*100)))</f>
        <v>NA</v>
      </c>
      <c r="EM673" s="110">
        <v>10.4</v>
      </c>
      <c r="EN673" s="860" t="str">
        <f t="shared" ref="EN673:EN676" si="4077">IF(ISERROR((EM673/EE673-1)*100),"NA",IF(((EM673/EE673-1)*100)&gt;100,"NM",IF(((EM673/EE673-1)*100)&lt;-50,"NM",(EM673/EE673-1)*100)))</f>
        <v>NA</v>
      </c>
      <c r="EO673" s="110">
        <v>11.9</v>
      </c>
      <c r="EP673" s="98" t="str">
        <f t="shared" ref="EP673:EP676" si="4078">IF(ISERROR((EO673/EG673-1)*100),"NA",IF(((EO673/EG673-1)*100)&gt;100,"NM",IF(((EO673/EG673-1)*100)&lt;-50,"NM",(EO673/EG673-1)*100)))</f>
        <v>NM</v>
      </c>
      <c r="EQ673" s="1060">
        <f t="shared" ref="EQ673" si="4079">EQ676/EQ674</f>
        <v>18.548613020602787</v>
      </c>
      <c r="ER673" s="98">
        <f t="shared" ref="ER673:ER676" si="4080">IF(ISERROR((EQ673/EI673-1)*100),"NA",IF(((EQ673/EI673-1)*100)&gt;100,"NM",IF(((EQ673/EI673-1)*100)&lt;-50,"NM",(EQ673/EI673-1)*100)))</f>
        <v>15.928831378767416</v>
      </c>
      <c r="ES673" s="1060">
        <f t="shared" ref="ES673" si="4081">ES676/ES674</f>
        <v>18.333086107203563</v>
      </c>
      <c r="ET673" s="98">
        <f t="shared" ref="ET673:ET676" si="4082">IF(ISERROR((ES673/EK673-1)*100),"NA",IF(((ES673/EK673-1)*100)&gt;100,"NM",IF(((ES673/EK673-1)*100)&lt;-50,"NM",(ES673/EK673-1)*100)))</f>
        <v>0.18079840001947733</v>
      </c>
      <c r="EU673" s="1060">
        <f t="shared" ref="EU673" si="4083">EU676/EU674</f>
        <v>16.105198345291917</v>
      </c>
      <c r="EV673" s="98">
        <f t="shared" ref="EV673:EV676" si="4084">IF(ISERROR((EU673/EM673-1)*100),"NA",IF(((EU673/EM673-1)*100)&gt;100,"NM",IF(((EU673/EM673-1)*100)&lt;-50,"NM",(EU673/EM673-1)*100)))</f>
        <v>54.857676397037672</v>
      </c>
      <c r="EW673" s="1060">
        <f t="shared" ref="EW673" si="4085">EW676/EW674</f>
        <v>15.924558814817786</v>
      </c>
      <c r="EX673" s="98">
        <f t="shared" ref="EX673:EX676" si="4086">IF(ISERROR((EW673/EO673-1)*100),"NA",IF(((EW673/EO673-1)*100)&gt;100,"NM",IF(((EW673/EO673-1)*100)&lt;-50,"NM",(EW673/EO673-1)*100)))</f>
        <v>33.819821973258698</v>
      </c>
      <c r="EY673" s="289"/>
      <c r="EZ673" s="594"/>
      <c r="FA673" s="411"/>
      <c r="FB673" s="358"/>
      <c r="FC673" s="233"/>
      <c r="FD673" s="358"/>
      <c r="FE673" s="233"/>
      <c r="FF673" s="289">
        <f>C673+E673+G673+I673</f>
        <v>26</v>
      </c>
      <c r="FG673" s="233" t="str">
        <f>IF(ISERROR((FF673/FD673-1)*100),"NA",IF(((FF673/FD673-1)*100)&gt;100,"NM",IF(((FF673/FD673-1)*100)&lt;-50,"NM",(FF673/FD673-1)*100)))</f>
        <v>NA</v>
      </c>
      <c r="FH673" s="289">
        <f>K673+M673+O673+Q673</f>
        <v>45.199999999999996</v>
      </c>
      <c r="FI673" s="233">
        <f>IF(ISERROR((FH673/FF673-1)*100),"NA",IF(((FH673/FF673-1)*100)&gt;100,"NM",IF(((FH673/FF673-1)*100)&lt;-50,"NM",(FH673/FF673-1)*100)))</f>
        <v>73.846153846153825</v>
      </c>
      <c r="FJ673" s="289">
        <f>S673+U673+W673+Y673</f>
        <v>15.200000000000001</v>
      </c>
      <c r="FK673" s="233" t="str">
        <f>IF(ISERROR((FJ673/FH673-1)*100),"NA",IF(((FJ673/FH673-1)*100)&gt;100,"NM",IF(((FJ673/FH673-1)*100)&lt;-50,"NM",(FJ673/FH673-1)*100)))</f>
        <v>NM</v>
      </c>
      <c r="FL673" s="289">
        <f>AA673+AC673+AE673+AG673</f>
        <v>3</v>
      </c>
      <c r="FM673" s="233" t="str">
        <f>IF(ISERROR((FL673/FJ673-1)*100),"NA",IF(((FL673/FJ673-1)*100)&gt;100,"NM",IF(((FL673/FJ673-1)*100)&lt;-50,"NM",(FL673/FJ673-1)*100)))</f>
        <v>NM</v>
      </c>
      <c r="FN673" s="289">
        <f>AI673+AK673+AM673+AO673</f>
        <v>26.350024999999999</v>
      </c>
      <c r="FO673" s="233" t="str">
        <f>IF(ISERROR((FN673/FL673-1)*100),"NA",IF(((FN673/FL673-1)*100)&gt;100,"NM",IF(((FN673/FL673-1)*100)&lt;-50,"NM",(FN673/FL673-1)*100)))</f>
        <v>NM</v>
      </c>
      <c r="FP673" s="289">
        <f>AQ673+AS673+AU673+AW673</f>
        <v>3.9999999999999998E-6</v>
      </c>
      <c r="FQ673" s="233" t="str">
        <f>IF(ISERROR((FP673/FN673-1)*100),"NA",IF(((FP673/FN673-1)*100)&gt;100,"NM",IF(((FP673/FN673-1)*100)&lt;-50,"NM",(FP673/FN673-1)*100)))</f>
        <v>NM</v>
      </c>
      <c r="FR673" s="290">
        <f>AY673+BA673+BC673+BE673</f>
        <v>8.6000029999999992</v>
      </c>
      <c r="FS673" s="120" t="str">
        <f>IF(ISERROR((FR673/FP673-1)*100),"NA",IF(((FR673/FP673-1)*100)&gt;100,"NM",IF(((FR673/FP673-1)*100)&lt;-50,"NM",(FR673/FP673-1)*100)))</f>
        <v>NM</v>
      </c>
      <c r="FT673" s="290">
        <f>BG673+BI673+BK673+BM673</f>
        <v>26.700000000000003</v>
      </c>
      <c r="FU673" s="120" t="str">
        <f>IF(ISERROR((FT673/FR673-1)*100),"NA",IF(((FT673/FR673-1)*100)&gt;100,"NM",IF(((FT673/FR673-1)*100)&lt;-50,"NM",(FT673/FR673-1)*100)))</f>
        <v>NM</v>
      </c>
      <c r="FV673" s="290">
        <f>BO673+BQ673+BS673+BU673</f>
        <v>21.299999999999997</v>
      </c>
      <c r="FW673" s="98">
        <f>IF(ISERROR((FV673/FT673-1)*100),"NA",IF(((FV673/FT673-1)*100)&gt;100,"NM",IF(((FV673/FT673-1)*100)&lt;-50,"NM",(FV673/FT673-1)*100)))</f>
        <v>-20.224719101123611</v>
      </c>
      <c r="FX673" s="493">
        <f>BW673+BY673+CA673+CC673</f>
        <v>0</v>
      </c>
      <c r="FY673" s="98" t="str">
        <f>IF(ISERROR((FX673/FV673-1)*100),"NA",IF(((FX673/FV673-1)*100)&gt;100,"NM",IF(((FX673/FV673-1)*100)&lt;-50,"NM",(FX673/FV673-1)*100)))</f>
        <v>NM</v>
      </c>
      <c r="FZ673" s="307">
        <f>CE673+CG673+CI673+CK673</f>
        <v>0</v>
      </c>
      <c r="GA673" s="98" t="str">
        <f>IF(ISERROR((FZ673/FX673-1)*100),"NA",IF(((FZ673/FX673-1)*100)&gt;100,"NM",IF(((FZ673/FX673-1)*100)&lt;-50,"NM",(FZ673/FX673-1)*100)))</f>
        <v>NA</v>
      </c>
      <c r="GB673" s="493">
        <f>CM673+CO673+CQ673+CS673</f>
        <v>0</v>
      </c>
      <c r="GC673" s="98" t="str">
        <f>IF(ISERROR((GB673/FZ673-1)*100),"NA",IF(((GB673/FZ673-1)*100)&gt;100,"NM",IF(((GB673/FZ673-1)*100)&lt;-50,"NM",(GB673/FZ673-1)*100)))</f>
        <v>NA</v>
      </c>
      <c r="GD673" s="289">
        <f>CU673+CW673+CY673+DA673</f>
        <v>0</v>
      </c>
      <c r="GE673" s="98" t="str">
        <f>IF(ISERROR((GD673/GB673-1)*100),"NA",IF(((GD673/GB673-1)*100)&gt;100,"NM",IF(((GD673/GB673-1)*100)&lt;-50,"NM",(GD673/GB673-1)*100)))</f>
        <v>NA</v>
      </c>
      <c r="GF673" s="289">
        <f>DC673+DE673+DG673+DI673</f>
        <v>0</v>
      </c>
      <c r="GG673" s="98" t="str">
        <f>IF(ISERROR((GF673/GD673-1)*100),"NA",IF(((GF673/GD673-1)*100)&gt;100,"NM",IF(((GF673/GD673-1)*100)&lt;-50,"NM",(GF673/GD673-1)*100)))</f>
        <v>NA</v>
      </c>
      <c r="GH673" s="289">
        <f>DK673+DM673+DO673+DQ673</f>
        <v>18.799999999999997</v>
      </c>
      <c r="GI673" s="98" t="str">
        <f>IF(ISERROR((GH673/GF673-1)*100),"NA",IF(((GH673/GF673-1)*100)&gt;100,"NM",IF(((GH673/GF673-1)*100)&lt;-50,"NM",(GH673/GF673-1)*100)))</f>
        <v>NA</v>
      </c>
      <c r="GJ673" s="289">
        <f>DS673+DU673+DW673+DY673</f>
        <v>39.5</v>
      </c>
      <c r="GK673" s="98" t="str">
        <f>IF(ISERROR((GJ673/GH673-1)*100),"NA",IF(((GJ673/GH673-1)*100)&gt;100,"NM",IF(((GJ673/GH673-1)*100)&lt;-50,"NM",(GJ673/GH673-1)*100)))</f>
        <v>NM</v>
      </c>
      <c r="GL673" s="289">
        <f>EA673+EC673+EE673+EG673</f>
        <v>6.9</v>
      </c>
      <c r="GM673" s="98" t="str">
        <f>IF(ISERROR((GL673/GJ673-1)*100),"NA",IF(((GL673/GJ673-1)*100)&gt;100,"NM",IF(((GL673/GJ673-1)*100)&lt;-50,"NM",(GL673/GJ673-1)*100)))</f>
        <v>NM</v>
      </c>
      <c r="GN673" s="289">
        <f>EI673+EK673+EM673+EO673</f>
        <v>56.599999999999994</v>
      </c>
      <c r="GO673" s="98" t="str">
        <f>IF(ISERROR((GN673/GL673-1)*100),"NA",IF(((GN673/GL673-1)*100)&gt;100,"NM",IF(((GN673/GL673-1)*100)&lt;-50,"NM",(GN673/GL673-1)*100)))</f>
        <v>NM</v>
      </c>
      <c r="GP673" s="289">
        <f>EQ673+ES673+EU673+EW673</f>
        <v>68.911456287916053</v>
      </c>
      <c r="GQ673" s="98">
        <f>IF(ISERROR((GP673/GN673-1)*100),"NA",IF(((GP673/GN673-1)*100)&gt;100,"NM",IF(((GP673/GN673-1)*100)&lt;-50,"NM",(GP673/GN673-1)*100)))</f>
        <v>21.751689554622011</v>
      </c>
      <c r="GR673" s="289">
        <f>GR677/GR674</f>
        <v>58.190837637216767</v>
      </c>
      <c r="GS673" s="98">
        <f>IF(ISERROR((GR673/GP673-1)*100),"NA",IF(((GR673/GP673-1)*100)&gt;100,"NM",IF(((GR673/GP673-1)*100)&lt;-50,"NM",(GR673/GP673-1)*100)))</f>
        <v>-15.557091996297279</v>
      </c>
      <c r="GT673" s="289">
        <f>GT677/GT674</f>
        <v>55.840446734750486</v>
      </c>
      <c r="GU673" s="98">
        <f>IF(ISERROR((GT673/GR673-1)*100),"NA",IF(((GT673/GR673-1)*100)&gt;100,"NM",IF(((GT673/GR673-1)*100)&lt;-50,"NM",(GT673/GR673-1)*100)))</f>
        <v>-4.0391082134261236</v>
      </c>
      <c r="GV673" s="289">
        <f>GV677/GV674</f>
        <v>53.693532034399432</v>
      </c>
      <c r="GW673" s="98">
        <f>IF(ISERROR((GV673/GT673-1)*100),"NA",IF(((GV673/GT673-1)*100)&gt;100,"NM",IF(((GV673/GT673-1)*100)&lt;-50,"NM",(GV673/GT673-1)*100)))</f>
        <v>-3.8447305240038365</v>
      </c>
      <c r="GX673" s="289">
        <f>GX677/GX674</f>
        <v>51.744054167169182</v>
      </c>
      <c r="GY673" s="98">
        <f>IF(ISERROR((GX673/GV673-1)*100),"NA",IF(((GX673/GV673-1)*100)&gt;100,"NM",IF(((GX673/GV673-1)*100)&lt;-50,"NM",(GX673/GV673-1)*100)))</f>
        <v>-3.6307499122637199</v>
      </c>
      <c r="GZ673" s="98">
        <f>IF(ISERROR(((GX673/GN673)^0.2-1)*100),"NA",IF((((GX673/GN673)^0.2-1)*100)&gt;100,"NM",IF((((GX673/GN673)^0.2-1)*100)&lt;-50,"NM",((GX673/GN673)^0.2-1)*100)))</f>
        <v>-1.7779929146910622</v>
      </c>
      <c r="HA673" s="98"/>
      <c r="HB673" s="10"/>
      <c r="HC673"/>
      <c r="HD673"/>
      <c r="HE673"/>
      <c r="HF673"/>
      <c r="HG673"/>
      <c r="HH673"/>
      <c r="HI673" s="10"/>
    </row>
    <row r="674" spans="1:217" s="2" customFormat="1" ht="12.75" customHeight="1" x14ac:dyDescent="0.2">
      <c r="B674" s="18" t="s">
        <v>332</v>
      </c>
      <c r="C674" s="352">
        <v>0</v>
      </c>
      <c r="D674" s="98"/>
      <c r="E674" s="349">
        <f>E676/E673</f>
        <v>19.107142857142858</v>
      </c>
      <c r="F674" s="98"/>
      <c r="G674" s="349">
        <f>G676/G673</f>
        <v>24.430379746835442</v>
      </c>
      <c r="H674" s="98"/>
      <c r="I674" s="349">
        <f>I676/I673</f>
        <v>29.855072463768114</v>
      </c>
      <c r="J674" s="98"/>
      <c r="K674" s="349">
        <f>K676/K673</f>
        <v>30.512820512820515</v>
      </c>
      <c r="L674" s="98" t="str">
        <f>IF(ISERROR((K674/C674-1)*100),"NA",IF(((K674/C674-1)*100)&gt;100,"NM",IF(((K674/C674-1)*100)&lt;-50,"NM",(K674/C674-1)*100)))</f>
        <v>NA</v>
      </c>
      <c r="M674" s="349">
        <f>M676/M673</f>
        <v>30.219780219780223</v>
      </c>
      <c r="N674" s="98">
        <f>IF(ISERROR((M674/E674-1)*100),"NA",IF(((M674/E674-1)*100)&gt;100,"NM",IF(((M674/E674-1)*100)&lt;-50,"NM",(M674/E674-1)*100)))</f>
        <v>58.159597411933859</v>
      </c>
      <c r="O674" s="349">
        <f>O676/O673</f>
        <v>28.268156424581008</v>
      </c>
      <c r="P674" s="98">
        <f>IF(ISERROR((O674/G674-1)*100),"NA",IF(((O674/G674-1)*100)&gt;100,"NM",IF(((O674/G674-1)*100)&lt;-50,"NM",(O674/G674-1)*100)))</f>
        <v>15.709034069528482</v>
      </c>
      <c r="Q674" s="349">
        <f>Q676/Q673</f>
        <v>29.23076923076923</v>
      </c>
      <c r="R674" s="98">
        <f>IF(ISERROR((Q674/I674-1)*100),"NA",IF(((Q674/I674-1)*100)&gt;100,"NM",IF(((Q674/I674-1)*100)&lt;-50,"NM",(Q674/I674-1)*100)))</f>
        <v>-2.0911127707244126</v>
      </c>
      <c r="S674" s="349">
        <f>S676/S673</f>
        <v>31.168831168831169</v>
      </c>
      <c r="T674" s="98">
        <f>IF(ISERROR((S674/K674-1)*100),"NA",IF(((S674/K674-1)*100)&gt;100,"NM",IF(((S674/K674-1)*100)&lt;-50,"NM",(S674/K674-1)*100)))</f>
        <v>2.1499508894466723</v>
      </c>
      <c r="U674" s="349">
        <f>U676/U673</f>
        <v>32.372881355932201</v>
      </c>
      <c r="V674" s="98">
        <f>IF(ISERROR((U674/M674-1)*100),"NA",IF(((U674/M674-1)*100)&gt;100,"NM",IF(((U674/M674-1)*100)&lt;-50,"NM",(U674/M674-1)*100)))</f>
        <v>7.1248073959938152</v>
      </c>
      <c r="W674" s="349">
        <f>W676/W673</f>
        <v>25</v>
      </c>
      <c r="X674" s="98">
        <f>IF(ISERROR((W674/O674-1)*100),"NA",IF(((W674/O674-1)*100)&gt;100,"NM",IF(((W674/O674-1)*100)&lt;-50,"NM",(W674/O674-1)*100)))</f>
        <v>-11.561264822134397</v>
      </c>
      <c r="Y674" s="349" t="str">
        <f>IF(ISERROR(Y676/Y673),"NM",(Y676/Y673))</f>
        <v>NM</v>
      </c>
      <c r="Z674" s="98" t="str">
        <f>IF(ISERROR((Y674/Q674-1)*100),"NA",IF(((Y674/Q674-1)*100)&gt;100,"NM",IF(((Y674/Q674-1)*100)&lt;-50,"NM",(Y674/Q674-1)*100)))</f>
        <v>NA</v>
      </c>
      <c r="AA674" s="349" t="str">
        <f>IF(ISERROR(AA676/AA673),"NM",(AA676/AA673))</f>
        <v>NM</v>
      </c>
      <c r="AB674" s="98" t="str">
        <f>IF(ISERROR((AA674/S674-1)*100),"NA",IF(((AA674/S674-1)*100)&gt;100,"NM",IF(((AA674/S674-1)*100)&lt;-50,"NM",(AA674/S674-1)*100)))</f>
        <v>NA</v>
      </c>
      <c r="AC674" s="357">
        <v>0</v>
      </c>
      <c r="AD674" s="98" t="str">
        <f>IF(ISERROR((AC674/U674-1)*100),"NA",IF(((AC674/U674-1)*100)&gt;100,"NM",IF(((AC674/U674-1)*100)&lt;-50,"NM",(AC674/U674-1)*100)))</f>
        <v>NM</v>
      </c>
      <c r="AE674" s="357">
        <v>0</v>
      </c>
      <c r="AF674" s="98" t="str">
        <f>IF(ISERROR((AE674/W674-1)*100),"NA",IF(((AE674/W674-1)*100)&gt;100,"NM",IF(((AE674/W674-1)*100)&lt;-50,"NM",(AE674/W674-1)*100)))</f>
        <v>NM</v>
      </c>
      <c r="AG674" s="194">
        <f>97/AG673</f>
        <v>32.333333333333336</v>
      </c>
      <c r="AH674" s="98" t="str">
        <f>IF(ISERROR((AG674/Y674-1)*100),"NA",IF(((AG674/Y674-1)*100)&gt;100,"NM",IF(((AG674/Y674-1)*100)&lt;-50,"NM",(AG674/Y674-1)*100)))</f>
        <v>NA</v>
      </c>
      <c r="AI674" s="194">
        <f>65/AI673</f>
        <v>36.111111111111107</v>
      </c>
      <c r="AJ674" s="98" t="str">
        <f>IF(ISERROR((AI674/AA674-1)*100),"NA",IF(((AI674/AA674-1)*100)&gt;100,"NM",IF(((AI674/AA674-1)*100)&lt;-50,"NM",(AI674/AA674-1)*100)))</f>
        <v>NA</v>
      </c>
      <c r="AK674" s="194">
        <f>210/AK673</f>
        <v>34.426229508196727</v>
      </c>
      <c r="AL674" s="98" t="str">
        <f>IF(ISERROR((AK674/AC674-1)*100),"NA",IF(((AK674/AC674-1)*100)&gt;100,"NM",IF(((AK674/AC674-1)*100)&lt;-50,"NM",(AK674/AC674-1)*100)))</f>
        <v>NA</v>
      </c>
      <c r="AM674" s="194">
        <f>AM676/AM673</f>
        <v>36.833333333333336</v>
      </c>
      <c r="AN674" s="98" t="str">
        <f>IF(ISERROR((AM674/AE674-1)*100),"NA",IF(((AM674/AE674-1)*100)&gt;100,"NM",IF(((AM674/AE674-1)*100)&lt;-50,"NM",(AM674/AE674-1)*100)))</f>
        <v>NA</v>
      </c>
      <c r="AO674" s="194">
        <f>AO676/AO673</f>
        <v>40.429637691490584</v>
      </c>
      <c r="AP674" s="98">
        <f>IF(ISERROR((AO674/AG674-1)*100),"NA",IF(((AO674/AG674-1)*100)&gt;100,"NM",IF(((AO674/AG674-1)*100)&lt;-50,"NM",(AO674/AG674-1)*100)))</f>
        <v>25.040116571620352</v>
      </c>
      <c r="AQ674" s="194">
        <v>40</v>
      </c>
      <c r="AR674" s="98">
        <f>IF(ISERROR((AQ674/AI674-1)*100),"NA",IF(((AQ674/AI674-1)*100)&gt;100,"NM",IF(((AQ674/AI674-1)*100)&lt;-50,"NM",(AQ674/AI674-1)*100)))</f>
        <v>10.769230769230775</v>
      </c>
      <c r="AS674" s="194">
        <v>40</v>
      </c>
      <c r="AT674" s="98">
        <f>IF(ISERROR((AS674/AK674-1)*100),"NA",IF(((AS674/AK674-1)*100)&gt;100,"NM",IF(((AS674/AK674-1)*100)&lt;-50,"NM",(AS674/AK674-1)*100)))</f>
        <v>16.190476190476176</v>
      </c>
      <c r="AU674" s="194">
        <v>40</v>
      </c>
      <c r="AV674" s="98">
        <f>IF(ISERROR((AU674/AM674-1)*100),"NA",IF(((AU674/AM674-1)*100)&gt;100,"NM",IF(((AU674/AM674-1)*100)&lt;-50,"NM",(AU674/AM674-1)*100)))</f>
        <v>8.5972850678732939</v>
      </c>
      <c r="AW674" s="194">
        <v>40</v>
      </c>
      <c r="AX674" s="98">
        <f>IF(ISERROR((AW674/AO674-1)*100),"NA",IF(((AW674/AO674-1)*100)&gt;100,"NM",IF(((AW674/AO674-1)*100)&lt;-50,"NM",(AW674/AO674-1)*100)))</f>
        <v>-1.0626800437071759</v>
      </c>
      <c r="AY674" s="194">
        <v>52</v>
      </c>
      <c r="AZ674" s="98">
        <f>IF(ISERROR((AY674/AQ674-1)*100),"NA",IF(((AY674/AQ674-1)*100)&gt;100,"NM",IF(((AY674/AQ674-1)*100)&lt;-50,"NM",(AY674/AQ674-1)*100)))</f>
        <v>30.000000000000004</v>
      </c>
      <c r="BA674" s="194">
        <v>52</v>
      </c>
      <c r="BB674" s="98">
        <f>IF(ISERROR((BA674/AS674-1)*100),"NA",IF(((BA674/AS674-1)*100)&gt;100,"NM",IF(((BA674/AS674-1)*100)&lt;-50,"NM",(BA674/AS674-1)*100)))</f>
        <v>30.000000000000004</v>
      </c>
      <c r="BC674" s="194">
        <v>52</v>
      </c>
      <c r="BD674" s="98">
        <f>IF(ISERROR((BC674/AU674-1)*100),"NA",IF(((BC674/AU674-1)*100)&gt;100,"NM",IF(((BC674/AU674-1)*100)&lt;-50,"NM",(BC674/AU674-1)*100)))</f>
        <v>30.000000000000004</v>
      </c>
      <c r="BE674" s="194">
        <v>64</v>
      </c>
      <c r="BF674" s="98">
        <f>IF(ISERROR((BE674/AW674-1)*100),"NA",IF(((BE674/AW674-1)*100)&gt;100,"NM",IF(((BE674/AW674-1)*100)&lt;-50,"NM",(BE674/AW674-1)*100)))</f>
        <v>60.000000000000007</v>
      </c>
      <c r="BG674" s="879">
        <f>BG676/BG673</f>
        <v>63.02521008403361</v>
      </c>
      <c r="BH674" s="98">
        <f>IF(ISERROR((BG674/AY674-1)*100),"NA",IF(((BG674/AY674-1)*100)&gt;100,"NM",IF(((BG674/AY674-1)*100)&lt;-50,"NM",(BG674/AY674-1)*100)))</f>
        <v>21.202327084680018</v>
      </c>
      <c r="BI674" s="194">
        <v>69</v>
      </c>
      <c r="BJ674" s="98">
        <f>IF(ISERROR((BI674/BA674-1)*100),"NA",IF(((BI674/BA674-1)*100)&gt;100,"NM",IF(((BI674/BA674-1)*100)&lt;-50,"NM",(BI674/BA674-1)*100)))</f>
        <v>32.692307692307686</v>
      </c>
      <c r="BK674" s="879">
        <f>BK676/BK673</f>
        <v>62.5</v>
      </c>
      <c r="BL674" s="98">
        <f>IF(ISERROR((BK674/BC674-1)*100),"NA",IF(((BK674/BC674-1)*100)&gt;100,"NM",IF(((BK674/BC674-1)*100)&lt;-50,"NM",(BK674/BC674-1)*100)))</f>
        <v>20.192307692307686</v>
      </c>
      <c r="BM674" s="879">
        <f>BM676/BM673</f>
        <v>63.017241379310349</v>
      </c>
      <c r="BN674" s="98">
        <f>IF(ISERROR((BM674/BE674-1)*100),"NA",IF(((BM674/BE674-1)*100)&gt;100,"NM",IF(((BM674/BE674-1)*100)&lt;-50,"NM",(BM674/BE674-1)*100)))</f>
        <v>-1.5355603448275801</v>
      </c>
      <c r="BO674" s="879">
        <f>BO676/BO673</f>
        <v>61.274509803921575</v>
      </c>
      <c r="BP674" s="98">
        <f>IF(ISERROR((BO674/BG674-1)*100),"NA",IF(((BO674/BG674-1)*100)&gt;100,"NM",IF(((BO674/BG674-1)*100)&lt;-50,"NM",(BO674/BG674-1)*100)))</f>
        <v>-2.7777777777777679</v>
      </c>
      <c r="BQ674" s="879">
        <f>BQ676/BQ673</f>
        <v>0</v>
      </c>
      <c r="BR674" s="98" t="str">
        <f>IF(ISERROR((BQ674/BI674-1)*100),"NA",IF(((BQ674/BI674-1)*100)&gt;100,"NM",IF(((BQ674/BI674-1)*100)&lt;-50,"NM",(BQ674/BI674-1)*100)))</f>
        <v>NM</v>
      </c>
      <c r="BS674" s="194">
        <v>33.869999999999997</v>
      </c>
      <c r="BT674" s="98">
        <f>IF(ISERROR((BS674/BK674-1)*100),"NA",IF(((BS674/BK674-1)*100)&gt;100,"NM",IF(((BS674/BK674-1)*100)&lt;-50,"NM",(BS674/BK674-1)*100)))</f>
        <v>-45.808000000000007</v>
      </c>
      <c r="BU674" s="194">
        <v>31.05</v>
      </c>
      <c r="BV674" s="98" t="str">
        <f>IF(ISERROR((BU674/BM674-1)*100),"NA",IF(((BU674/BM674-1)*100)&gt;100,"NM",IF(((BU674/BM674-1)*100)&lt;-50,"NM",(BU674/BM674-1)*100)))</f>
        <v>NM</v>
      </c>
      <c r="BW674" s="194">
        <v>24.77</v>
      </c>
      <c r="BX674" s="98" t="str">
        <f>IF(ISERROR((BW674/BO674-1)*100),"NA",IF(((BW674/BO674-1)*100)&gt;100,"NM",IF(((BW674/BO674-1)*100)&lt;-50,"NM",(BW674/BO674-1)*100)))</f>
        <v>NM</v>
      </c>
      <c r="BY674" s="194">
        <v>29.44</v>
      </c>
      <c r="BZ674" s="98" t="str">
        <f>IF(ISERROR((BY674/BQ674-1)*100),"NA",IF(((BY674/BQ674-1)*100)&gt;100,"NM",IF(((BY674/BQ674-1)*100)&lt;-50,"NM",(BY674/BQ674-1)*100)))</f>
        <v>NA</v>
      </c>
      <c r="CA674" s="194">
        <v>35.119999999999997</v>
      </c>
      <c r="CB674" s="98">
        <f>IF(ISERROR((CA674/BS674-1)*100),"NA",IF(((CA674/BS674-1)*100)&gt;100,"NM",IF(((CA674/BS674-1)*100)&lt;-50,"NM",(CA674/BS674-1)*100)))</f>
        <v>3.6905816356657795</v>
      </c>
      <c r="CC674" s="194">
        <v>35.64</v>
      </c>
      <c r="CD674" s="98">
        <f>IF(ISERROR((CC674/BU674-1)*100),"NA",IF(((CC674/BU674-1)*100)&gt;100,"NM",IF(((CC674/BU674-1)*100)&lt;-50,"NM",(CC674/BU674-1)*100)))</f>
        <v>14.782608695652177</v>
      </c>
      <c r="CE674" s="194">
        <v>38.090000000000003</v>
      </c>
      <c r="CF674" s="98">
        <f>IF(ISERROR((CE674/BW674-1)*100),"NA",IF(((CE674/BW674-1)*100)&gt;100,"NM",IF(((CE674/BW674-1)*100)&lt;-50,"NM",(CE674/BW674-1)*100)))</f>
        <v>53.774727492935014</v>
      </c>
      <c r="CG674" s="194">
        <v>42.41</v>
      </c>
      <c r="CH674" s="98">
        <f>IF(ISERROR((CG674/BY674-1)*100),"NA",IF(((CG674/BY674-1)*100)&gt;100,"NM",IF(((CG674/BY674-1)*100)&lt;-50,"NM",(CG674/BY674-1)*100)))</f>
        <v>44.055706521739111</v>
      </c>
      <c r="CI674" s="194">
        <v>39.479999999999997</v>
      </c>
      <c r="CJ674" s="98">
        <f>IF(ISERROR((CI674/CA674-1)*100),"NA",IF(((CI674/CA674-1)*100)&gt;100,"NM",IF(((CI674/CA674-1)*100)&lt;-50,"NM",(CI674/CA674-1)*100)))</f>
        <v>12.414578587699321</v>
      </c>
      <c r="CK674" s="194">
        <v>40.97</v>
      </c>
      <c r="CL674" s="98">
        <f>IF(ISERROR((CK674/CC674-1)*100),"NA",IF(((CK674/CC674-1)*100)&gt;100,"NM",IF(((CK674/CC674-1)*100)&lt;-50,"NM",(CK674/CC674-1)*100)))</f>
        <v>14.955106621773284</v>
      </c>
      <c r="CM674" s="194">
        <v>45.94</v>
      </c>
      <c r="CN674" s="98">
        <f>IF(ISERROR((CM674/CE674-1)*100),"NA",IF(((CM674/CE674-1)*100)&gt;100,"NM",IF(((CM674/CE674-1)*100)&lt;-50,"NM",(CM674/CE674-1)*100)))</f>
        <v>20.609083749015468</v>
      </c>
      <c r="CO674" s="194">
        <v>43.57</v>
      </c>
      <c r="CP674" s="98">
        <f>IF(ISERROR((CO674/CG674-1)*100),"NA",IF(((CO674/CG674-1)*100)&gt;100,"NM",IF(((CO674/CG674-1)*100)&lt;-50,"NM",(CO674/CG674-1)*100)))</f>
        <v>2.7352039613298906</v>
      </c>
      <c r="CQ674" s="550">
        <v>35.14</v>
      </c>
      <c r="CR674" s="98">
        <f>IF(ISERROR((CQ674/CI674-1)*100),"NA",IF(((CQ674/CI674-1)*100)&gt;100,"NM",IF(((CQ674/CI674-1)*100)&lt;-50,"NM",(CQ674/CI674-1)*100)))</f>
        <v>-10.992907801418427</v>
      </c>
      <c r="CS674" s="194">
        <v>31.53</v>
      </c>
      <c r="CT674" s="98">
        <f>IF(ISERROR((CS674/CK674-1)*100),"NA",IF(((CS674/CK674-1)*100)&gt;100,"NM",IF(((CS674/CK674-1)*100)&lt;-50,"NM",(CS674/CK674-1)*100)))</f>
        <v>-23.041249694898703</v>
      </c>
      <c r="CU674" s="194">
        <v>36.96</v>
      </c>
      <c r="CV674" s="98">
        <f>IF(ISERROR((CU674/CM674-1)*100),"NA",IF(((CU674/CM674-1)*100)&gt;100,"NM",IF(((CU674/CM674-1)*100)&lt;-50,"NM",(CU674/CM674-1)*100)))</f>
        <v>-19.547235524597294</v>
      </c>
      <c r="CW674" s="194">
        <v>32.659999999999997</v>
      </c>
      <c r="CX674" s="98">
        <f>IF(ISERROR((CW674/CO674-1)*100),"NA",IF(((CW674/CO674-1)*100)&gt;100,"NM",IF(((CW674/CO674-1)*100)&lt;-50,"NM",(CW674/CO674-1)*100)))</f>
        <v>-25.040165251319724</v>
      </c>
      <c r="CY674" s="194">
        <v>33.090000000000003</v>
      </c>
      <c r="CZ674" s="98">
        <f>IF(ISERROR((CY674/CQ674-1)*100),"NA",IF(((CY674/CQ674-1)*100)&gt;100,"NM",IF(((CY674/CQ674-1)*100)&lt;-50,"NM",(CY674/CQ674-1)*100)))</f>
        <v>-5.8338076266363004</v>
      </c>
      <c r="DA674" s="194">
        <v>33.729999999999997</v>
      </c>
      <c r="DB674" s="98">
        <f>IF(ISERROR((DA674/CS674-1)*100),"NA",IF(((DA674/CS674-1)*100)&gt;100,"NM",IF(((DA674/CS674-1)*100)&lt;-50,"NM",(DA674/CS674-1)*100)))</f>
        <v>6.9774817633999175</v>
      </c>
      <c r="DC674" s="194">
        <v>37.11</v>
      </c>
      <c r="DD674" s="98">
        <f>IF(ISERROR((DC674/CU674-1)*100),"NA",IF(((DC674/CU674-1)*100)&gt;100,"NM",IF(((DC674/CU674-1)*100)&lt;-50,"NM",(DC674/CU674-1)*100)))</f>
        <v>0.40584415584414835</v>
      </c>
      <c r="DE674" s="194">
        <v>41.26</v>
      </c>
      <c r="DF674" s="98">
        <f>IF(ISERROR((DE674/CW674-1)*100),"NA",IF(((DE674/CW674-1)*100)&gt;100,"NM",IF(((DE674/CW674-1)*100)&lt;-50,"NM",(DE674/CW674-1)*100)))</f>
        <v>26.331904470300071</v>
      </c>
      <c r="DG674" s="194">
        <v>48.34</v>
      </c>
      <c r="DH674" s="98">
        <f>IF(ISERROR((DG674/CY674-1)*100),"NA",IF(((DG674/CY674-1)*100)&gt;100,"NM",IF(((DG674/CY674-1)*100)&lt;-50,"NM",(DG674/CY674-1)*100)))</f>
        <v>46.0864309459051</v>
      </c>
      <c r="DI674" s="194">
        <v>50.3</v>
      </c>
      <c r="DJ674" s="98">
        <f>IF(ISERROR((DI674/DA674-1)*100),"NA",IF(((DI674/DA674-1)*100)&gt;100,"NM",IF(((DI674/DA674-1)*100)&lt;-50,"NM",(DI674/DA674-1)*100)))</f>
        <v>49.125407648977173</v>
      </c>
      <c r="DK674" s="194">
        <v>51.54</v>
      </c>
      <c r="DL674" s="98">
        <f>IF(ISERROR((DK674/DC674-1)*100),"NA",IF(((DK674/DC674-1)*100)&gt;100,"NM",IF(((DK674/DC674-1)*100)&lt;-50,"NM",(DK674/DC674-1)*100)))</f>
        <v>38.884397736459178</v>
      </c>
      <c r="DM674" s="194">
        <v>52.5</v>
      </c>
      <c r="DN674" s="98">
        <f>IF(ISERROR((DM674/DE674-1)*100),"NA",IF(((DM674/DE674-1)*100)&gt;100,"NM",IF(((DM674/DE674-1)*100)&lt;-50,"NM",(DM674/DE674-1)*100)))</f>
        <v>27.241880756180326</v>
      </c>
      <c r="DO674" s="879">
        <f>DO676/DO673</f>
        <v>54.074074074074076</v>
      </c>
      <c r="DP674" s="98">
        <f>IF(ISERROR((DO674/DG674-1)*100),"NA",IF(((DO674/DG674-1)*100)&gt;100,"NM",IF(((DO674/DG674-1)*100)&lt;-50,"NM",(DO674/DG674-1)*100)))</f>
        <v>11.861965399408515</v>
      </c>
      <c r="DQ674" s="879">
        <f>DQ676/DQ673</f>
        <v>52.056074766355145</v>
      </c>
      <c r="DR674" s="98">
        <f>IF(ISERROR((DQ674/DI674-1)*100),"NA",IF(((DQ674/DI674-1)*100)&gt;100,"NM",IF(((DQ674/DI674-1)*100)&lt;-50,"NM",(DQ674/DI674-1)*100)))</f>
        <v>3.491202318797515</v>
      </c>
      <c r="DS674" s="879">
        <f>DS676/DS673</f>
        <v>51</v>
      </c>
      <c r="DT674" s="98">
        <f>IF(ISERROR((DS674/DK674-1)*100),"NA",IF(((DS674/DK674-1)*100)&gt;100,"NM",IF(((DS674/DK674-1)*100)&lt;-50,"NM",(DS674/DK674-1)*100)))</f>
        <v>-1.0477299185098987</v>
      </c>
      <c r="DU674" s="879">
        <v>53.13</v>
      </c>
      <c r="DV674" s="98">
        <f>IF(ISERROR((DU674/DM674-1)*100),"NA",IF(((DU674/DM674-1)*100)&gt;100,"NM",IF(((DU674/DM674-1)*100)&lt;-50,"NM",(DU674/DM674-1)*100)))</f>
        <v>1.2000000000000011</v>
      </c>
      <c r="DW674" s="879">
        <f>DW676/DW673</f>
        <v>46.521739130434788</v>
      </c>
      <c r="DX674" s="98">
        <f>IF(ISERROR((DW674/DO674-1)*100),"NA",IF(((DW674/DO674-1)*100)&gt;100,"NM",IF(((DW674/DO674-1)*100)&lt;-50,"NM",(DW674/DO674-1)*100)))</f>
        <v>-13.966646813579509</v>
      </c>
      <c r="DY674" s="879">
        <f>DY676/DY673</f>
        <v>48.070175438596486</v>
      </c>
      <c r="DZ674" s="98">
        <f>IF(ISERROR((DY674/DQ674-1)*100),"NA",IF(((DY674/DQ674-1)*100)&gt;100,"NM",IF(((DY674/DQ674-1)*100)&lt;-50,"NM",(DY674/DQ674-1)*100)))</f>
        <v>-7.6569340766638465</v>
      </c>
      <c r="EA674" s="879">
        <f>EA676/EA673</f>
        <v>42.857142857142861</v>
      </c>
      <c r="EB674" s="98">
        <f>IF(ISERROR((EA674/DS674-1)*100),"NA",IF(((EA674/DS674-1)*100)&gt;100,"NM",IF(((EA674/DS674-1)*100)&lt;-50,"NM",(EA674/DS674-1)*100)))</f>
        <v>-15.966386554621836</v>
      </c>
      <c r="EC674" s="879">
        <f>EA674</f>
        <v>42.857142857142861</v>
      </c>
      <c r="ED674" s="98">
        <f>IF(ISERROR((EC674/DU674-1)*100),"NA",IF(((EC674/DU674-1)*100)&gt;100,"NM",IF(((EC674/DU674-1)*100)&lt;-50,"NM",(EC674/DU674-1)*100)))</f>
        <v>-19.335323062031129</v>
      </c>
      <c r="EE674" s="879">
        <f>EC674</f>
        <v>42.857142857142861</v>
      </c>
      <c r="EF674" s="860">
        <f>IF(ISERROR((EE674/DW674-1)*100),"NA",IF(((EE674/DW674-1)*100)&gt;100,"NM",IF(((EE674/DW674-1)*100)&lt;-50,"NM",(EE674/DW674-1)*100)))</f>
        <v>-7.8771695594125557</v>
      </c>
      <c r="EG674" s="879">
        <f>EG676/EG673</f>
        <v>54.909090909090907</v>
      </c>
      <c r="EH674" s="860">
        <f>IF(ISERROR((EG674/DY674-1)*100),"NA",IF(((EG674/DY674-1)*100)&gt;100,"NM",IF(((EG674/DY674-1)*100)&lt;-50,"NM",(EG674/DY674-1)*100)))</f>
        <v>14.226940942269417</v>
      </c>
      <c r="EI674" s="879">
        <f>EI676/EI673</f>
        <v>53.625</v>
      </c>
      <c r="EJ674" s="860">
        <f t="shared" si="4075"/>
        <v>25.124999999999996</v>
      </c>
      <c r="EK674" s="879">
        <f>EK676/EK673</f>
        <v>52.021857923497265</v>
      </c>
      <c r="EL674" s="860">
        <f t="shared" si="4076"/>
        <v>21.384335154826939</v>
      </c>
      <c r="EM674" s="879">
        <f>EM676/EM673</f>
        <v>48.557692307692307</v>
      </c>
      <c r="EN674" s="860">
        <f t="shared" si="4077"/>
        <v>13.301282051282048</v>
      </c>
      <c r="EO674" s="879">
        <f>EO676/EO673</f>
        <v>52.268907563025209</v>
      </c>
      <c r="EP674" s="98">
        <f t="shared" si="4078"/>
        <v>-4.80828092826534</v>
      </c>
      <c r="EQ674" s="1061">
        <v>48.521148131147548</v>
      </c>
      <c r="ER674" s="98">
        <f t="shared" si="4080"/>
        <v>-9.5176724827085391</v>
      </c>
      <c r="ES674" s="1061">
        <f t="shared" ref="ES674" si="4087">EQ674*1.02-ES663</f>
        <v>49.091571093770504</v>
      </c>
      <c r="ET674" s="98">
        <f t="shared" si="4082"/>
        <v>-5.6327992630251789</v>
      </c>
      <c r="EU674" s="1061">
        <f t="shared" ref="EU674" si="4088">ES674*1.02-EU663</f>
        <v>49.673402515645918</v>
      </c>
      <c r="EV674" s="98">
        <f t="shared" si="4084"/>
        <v>2.2977002302410954</v>
      </c>
      <c r="EW674" s="1061">
        <f t="shared" ref="EW674" si="4089">EU674*1.02-EW663</f>
        <v>50.236870565958839</v>
      </c>
      <c r="EX674" s="98">
        <f t="shared" si="4086"/>
        <v>-3.8876592066060756</v>
      </c>
      <c r="EY674" s="35"/>
      <c r="EZ674" s="594"/>
      <c r="FA674" s="405"/>
      <c r="FB674" s="244"/>
      <c r="FC674" s="98"/>
      <c r="FD674" s="244"/>
      <c r="FE674" s="98"/>
      <c r="FF674" s="349">
        <f>ROUND(AVERAGE(E674,G674,I674),0)</f>
        <v>24</v>
      </c>
      <c r="FG674" s="98" t="str">
        <f>IF(ISERROR((FF674/FD674-1)*100),"NA",IF(((FF674/FD674-1)*100)&gt;100,"NM",IF(((FF674/FD674-1)*100)&lt;-50,"NM",(FF674/FD674-1)*100)))</f>
        <v>NA</v>
      </c>
      <c r="FH674" s="349">
        <f>ROUND(AVERAGE(M674,O674,Q674),0)</f>
        <v>29</v>
      </c>
      <c r="FI674" s="98">
        <f>IF(ISERROR((FH674/FF674-1)*100),"NA",IF(((FH674/FF674-1)*100)&gt;100,"NM",IF(((FH674/FF674-1)*100)&lt;-50,"NM",(FH674/FF674-1)*100)))</f>
        <v>20.833333333333325</v>
      </c>
      <c r="FJ674" s="26">
        <f>ROUND(AVERAGE(U674,W674,Y674),0)</f>
        <v>29</v>
      </c>
      <c r="FK674" s="98">
        <f>IF(ISERROR((FJ674/FH674-1)*100),"NA",IF(((FJ674/FH674-1)*100)&gt;100,"NM",IF(((FJ674/FH674-1)*100)&lt;-50,"NM",(FJ674/FH674-1)*100)))</f>
        <v>0</v>
      </c>
      <c r="FL674" s="35">
        <f>+AG674</f>
        <v>32.333333333333336</v>
      </c>
      <c r="FM674" s="98">
        <f>IF(ISERROR((FL674/FJ674-1)*100),"NA",IF(((FL674/FJ674-1)*100)&gt;100,"NM",IF(((FL674/FJ674-1)*100)&lt;-50,"NM",(FL674/FJ674-1)*100)))</f>
        <v>11.494252873563227</v>
      </c>
      <c r="FN674" s="35">
        <f>+AO674</f>
        <v>40.429637691490584</v>
      </c>
      <c r="FO674" s="98">
        <f>IF(ISERROR((FN674/FL674-1)*100),"NA",IF(((FN674/FL674-1)*100)&gt;100,"NM",IF(((FN674/FL674-1)*100)&lt;-50,"NM",(FN674/FL674-1)*100)))</f>
        <v>25.040116571620352</v>
      </c>
      <c r="FP674" s="35">
        <f>+AW674</f>
        <v>40</v>
      </c>
      <c r="FQ674" s="98">
        <f>IF(ISERROR((FP674/FN674-1)*100),"NA",IF(((FP674/FN674-1)*100)&gt;100,"NM",IF(((FP674/FN674-1)*100)&lt;-50,"NM",(FP674/FN674-1)*100)))</f>
        <v>-1.0626800437071759</v>
      </c>
      <c r="FR674" s="34">
        <f>BE674</f>
        <v>64</v>
      </c>
      <c r="FS674" s="120">
        <f>IF(ISERROR((FR674/FP674-1)*100),"NA",IF(((FR674/FP674-1)*100)&gt;100,"NM",IF(((FR674/FP674-1)*100)&lt;-50,"NM",(FR674/FP674-1)*100)))</f>
        <v>60.000000000000007</v>
      </c>
      <c r="FT674" s="34">
        <f>BM674</f>
        <v>63.017241379310349</v>
      </c>
      <c r="FU674" s="120">
        <f>IF(ISERROR((FT674/FR674-1)*100),"NA",IF(((FT674/FR674-1)*100)&gt;100,"NM",IF(((FT674/FR674-1)*100)&lt;-50,"NM",(FT674/FR674-1)*100)))</f>
        <v>-1.5355603448275801</v>
      </c>
      <c r="FV674" s="34">
        <f>BU674</f>
        <v>31.05</v>
      </c>
      <c r="FW674" s="98" t="str">
        <f>IF(ISERROR((FV674/FT674-1)*100),"NA",IF(((FV674/FT674-1)*100)&gt;100,"NM",IF(((FV674/FT674-1)*100)&lt;-50,"NM",(FV674/FT674-1)*100)))</f>
        <v>NM</v>
      </c>
      <c r="FX674" s="472">
        <f>CC674</f>
        <v>35.64</v>
      </c>
      <c r="FY674" s="98">
        <f>IF(ISERROR((FX674/FV674-1)*100),"NA",IF(((FX674/FV674-1)*100)&gt;100,"NM",IF(((FX674/FV674-1)*100)&lt;-50,"NM",(FX674/FV674-1)*100)))</f>
        <v>14.782608695652177</v>
      </c>
      <c r="FZ674" s="34">
        <f>CK674</f>
        <v>40.97</v>
      </c>
      <c r="GA674" s="98">
        <f>IF(ISERROR((FZ674/FX674-1)*100),"NA",IF(((FZ674/FX674-1)*100)&gt;100,"NM",IF(((FZ674/FX674-1)*100)&lt;-50,"NM",(FZ674/FX674-1)*100)))</f>
        <v>14.955106621773284</v>
      </c>
      <c r="GB674" s="472">
        <f>AVERAGE(CM674,CO674,CQ674,CS674)</f>
        <v>39.045000000000002</v>
      </c>
      <c r="GC674" s="98">
        <f>IF(ISERROR((GB674/FZ674-1)*100),"NA",IF(((GB674/FZ674-1)*100)&gt;100,"NM",IF(((GB674/FZ674-1)*100)&lt;-50,"NM",(GB674/FZ674-1)*100)))</f>
        <v>-4.6985599218940628</v>
      </c>
      <c r="GD674" s="34">
        <f>AVERAGE(CU674,CW674,CY674,DA674)</f>
        <v>34.11</v>
      </c>
      <c r="GE674" s="98">
        <f>IF(ISERROR((GD674/GB674-1)*100),"NA",IF(((GD674/GB674-1)*100)&gt;100,"NM",IF(((GD674/GB674-1)*100)&lt;-50,"NM",(GD674/GB674-1)*100)))</f>
        <v>-12.63926238955052</v>
      </c>
      <c r="GF674" s="34">
        <f>AVERAGE(DC674,DE674,DG674,DI674)</f>
        <v>44.252499999999998</v>
      </c>
      <c r="GG674" s="98">
        <f>IF(ISERROR((GF674/GD674-1)*100),"NA",IF(((GF674/GD674-1)*100)&gt;100,"NM",IF(((GF674/GD674-1)*100)&lt;-50,"NM",(GF674/GD674-1)*100)))</f>
        <v>29.734681911462914</v>
      </c>
      <c r="GH674" s="34">
        <f>AVERAGE(DK674,DM674,DO674,DQ674)</f>
        <v>52.542537210107305</v>
      </c>
      <c r="GI674" s="98">
        <f>IF(ISERROR((GH674/GF674-1)*100),"NA",IF(((GH674/GF674-1)*100)&gt;100,"NM",IF(((GH674/GF674-1)*100)&lt;-50,"NM",(GH674/GF674-1)*100)))</f>
        <v>18.733488978266323</v>
      </c>
      <c r="GJ674" s="34">
        <f>AVERAGE(DS674,DU674,DW674,DY674)</f>
        <v>49.680478642257818</v>
      </c>
      <c r="GK674" s="98">
        <f>IF(ISERROR((GJ674/GH674-1)*100),"NA",IF(((GJ674/GH674-1)*100)&gt;100,"NM",IF(((GJ674/GH674-1)*100)&lt;-50,"NM",(GJ674/GH674-1)*100)))</f>
        <v>-5.4471266897612391</v>
      </c>
      <c r="GL674" s="34">
        <f>AVERAGE(EA674,EC674,EE674,EG674)</f>
        <v>45.870129870129873</v>
      </c>
      <c r="GM674" s="98">
        <f>IF(ISERROR((GL674/GJ674-1)*100),"NA",IF(((GL674/GJ674-1)*100)&gt;100,"NM",IF(((GL674/GJ674-1)*100)&lt;-50,"NM",(GL674/GJ674-1)*100)))</f>
        <v>-7.6697102690288732</v>
      </c>
      <c r="GN674" s="34">
        <f>AVERAGE(EI674,EK674,EM674,EO674)</f>
        <v>51.618364448553692</v>
      </c>
      <c r="GO674" s="98">
        <f>IF(ISERROR((GN674/GL674-1)*100),"NA",IF(((GN674/GL674-1)*100)&gt;100,"NM",IF(((GN674/GL674-1)*100)&lt;-50,"NM",(GN674/GL674-1)*100)))</f>
        <v>12.53154197448001</v>
      </c>
      <c r="GP674" s="34">
        <f>AVERAGE(EQ674,ES674,EU674,EW674)</f>
        <v>49.380748076630702</v>
      </c>
      <c r="GQ674" s="98">
        <f>IF(ISERROR((GP674/GN674-1)*100),"NA",IF(((GP674/GN674-1)*100)&gt;100,"NM",IF(((GP674/GN674-1)*100)&lt;-50,"NM",(GP674/GN674-1)*100)))</f>
        <v>-4.3349230372325076</v>
      </c>
      <c r="GR674" s="35">
        <f>GP674*1.08-GR663</f>
        <v>51.554507922761161</v>
      </c>
      <c r="GS674" s="98">
        <f>IF(ISERROR((GR674/GP674-1)*100),"NA",IF(((GR674/GP674-1)*100)&gt;100,"NM",IF(((GR674/GP674-1)*100)&lt;-50,"NM",(GR674/GP674-1)*100)))</f>
        <v>4.4020391160481065</v>
      </c>
      <c r="GT674" s="35">
        <f>GR674*1.08-GT663</f>
        <v>53.724498556582063</v>
      </c>
      <c r="GU674" s="98">
        <f>IF(ISERROR((GT674/GR674-1)*100),"NA",IF(((GT674/GR674-1)*100)&gt;100,"NM",IF(((GT674/GR674-1)*100)&lt;-50,"NM",(GT674/GR674-1)*100)))</f>
        <v>4.209119088231783</v>
      </c>
      <c r="GV674" s="35">
        <f>GT674*1.08-GV663</f>
        <v>55.87265144110863</v>
      </c>
      <c r="GW674" s="98">
        <f>IF(ISERROR((GV674/GT674-1)*100),"NA",IF(((GV674/GT674-1)*100)&gt;100,"NM",IF(((GV674/GT674-1)*100)&lt;-50,"NM",(GV674/GT674-1)*100)))</f>
        <v>3.9984605575502208</v>
      </c>
      <c r="GX674" s="35">
        <f>GV674*1.08-GX663</f>
        <v>57.977675856397326</v>
      </c>
      <c r="GY674" s="98">
        <f>IF(ISERROR((GX674/GV674-1)*100),"NA",IF(((GX674/GV674-1)*100)&gt;100,"NM",IF(((GX674/GV674-1)*100)&lt;-50,"NM",(GX674/GV674-1)*100)))</f>
        <v>3.7675398625165446</v>
      </c>
      <c r="GZ674" s="98">
        <f>IF(ISERROR(((GX674/GN674)^0.2-1)*100),"NA",IF((((GX674/GN674)^0.2-1)*100)&gt;100,"NM",IF((((GX674/GN674)^0.2-1)*100)&lt;-50,"NM",((GX674/GN674)^0.2-1)*100)))</f>
        <v>2.3508167049659967</v>
      </c>
      <c r="HA674" s="98"/>
      <c r="HB674" s="10"/>
      <c r="HC674"/>
      <c r="HD674"/>
      <c r="HE674"/>
      <c r="HF674"/>
      <c r="HG674"/>
      <c r="HH674"/>
      <c r="HI674" s="10"/>
    </row>
    <row r="675" spans="1:217" s="2" customFormat="1" ht="12.75" customHeight="1" x14ac:dyDescent="0.2">
      <c r="B675" s="18" t="s">
        <v>289</v>
      </c>
      <c r="C675" s="352">
        <v>0</v>
      </c>
      <c r="D675" s="98"/>
      <c r="E675" s="40">
        <v>2</v>
      </c>
      <c r="F675" s="98"/>
      <c r="G675" s="40">
        <v>2</v>
      </c>
      <c r="H675" s="98"/>
      <c r="I675" s="352">
        <v>2</v>
      </c>
      <c r="J675" s="98"/>
      <c r="K675" s="352">
        <v>2</v>
      </c>
      <c r="L675" s="98" t="str">
        <f>IF(ISERROR((K675/C675-1)*100),"NA",IF(((K675/C675-1)*100)&gt;100,"NM",IF(((K675/C675-1)*100)&lt;-50,"NM",(K675/C675-1)*100)))</f>
        <v>NA</v>
      </c>
      <c r="M675" s="40">
        <v>2</v>
      </c>
      <c r="N675" s="98">
        <f>IF(ISERROR((M675/E675-1)*100),"NA",IF(((M675/E675-1)*100)&gt;100,"NM",IF(((M675/E675-1)*100)&lt;-50,"NM",(M675/E675-1)*100)))</f>
        <v>0</v>
      </c>
      <c r="O675" s="40">
        <v>2</v>
      </c>
      <c r="P675" s="98">
        <f>IF(ISERROR((O675/G675-1)*100),"NA",IF(((O675/G675-1)*100)&gt;100,"NM",IF(((O675/G675-1)*100)&lt;-50,"NM",(O675/G675-1)*100)))</f>
        <v>0</v>
      </c>
      <c r="Q675" s="352">
        <v>2</v>
      </c>
      <c r="R675" s="98">
        <f>IF(ISERROR((Q675/I675-1)*100),"NA",IF(((Q675/I675-1)*100)&gt;100,"NM",IF(((Q675/I675-1)*100)&lt;-50,"NM",(Q675/I675-1)*100)))</f>
        <v>0</v>
      </c>
      <c r="S675" s="352">
        <v>2</v>
      </c>
      <c r="T675" s="98">
        <f>IF(ISERROR((S675/K675-1)*100),"NA",IF(((S675/K675-1)*100)&gt;100,"NM",IF(((S675/K675-1)*100)&lt;-50,"NM",(S675/K675-1)*100)))</f>
        <v>0</v>
      </c>
      <c r="U675" s="352">
        <v>2</v>
      </c>
      <c r="V675" s="98">
        <f>IF(ISERROR((U675/M675-1)*100),"NA",IF(((U675/M675-1)*100)&gt;100,"NM",IF(((U675/M675-1)*100)&lt;-50,"NM",(U675/M675-1)*100)))</f>
        <v>0</v>
      </c>
      <c r="W675" s="352">
        <v>6.5</v>
      </c>
      <c r="X675" s="98" t="str">
        <f>IF(ISERROR((W675/O675-1)*100),"NA",IF(((W675/O675-1)*100)&gt;100,"NM",IF(((W675/O675-1)*100)&lt;-50,"NM",(W675/O675-1)*100)))</f>
        <v>NM</v>
      </c>
      <c r="Y675" s="352">
        <v>2</v>
      </c>
      <c r="Z675" s="98">
        <f>IF(ISERROR((Y675/Q675-1)*100),"NA",IF(((Y675/Q675-1)*100)&gt;100,"NM",IF(((Y675/Q675-1)*100)&lt;-50,"NM",(Y675/Q675-1)*100)))</f>
        <v>0</v>
      </c>
      <c r="AA675" s="352">
        <v>2</v>
      </c>
      <c r="AB675" s="98">
        <f>IF(ISERROR((AA675/S675-1)*100),"NA",IF(((AA675/S675-1)*100)&gt;100,"NM",IF(((AA675/S675-1)*100)&lt;-50,"NM",(AA675/S675-1)*100)))</f>
        <v>0</v>
      </c>
      <c r="AC675" s="352">
        <v>0</v>
      </c>
      <c r="AD675" s="98" t="str">
        <f>IF(ISERROR((AC675/U675-1)*100),"NA",IF(((AC675/U675-1)*100)&gt;100,"NM",IF(((AC675/U675-1)*100)&lt;-50,"NM",(AC675/U675-1)*100)))</f>
        <v>NM</v>
      </c>
      <c r="AE675" s="352">
        <v>0</v>
      </c>
      <c r="AF675" s="98" t="str">
        <f>IF(ISERROR((AE675/W675-1)*100),"NA",IF(((AE675/W675-1)*100)&gt;100,"NM",IF(((AE675/W675-1)*100)&lt;-50,"NM",(AE675/W675-1)*100)))</f>
        <v>NM</v>
      </c>
      <c r="AG675" s="281">
        <v>0</v>
      </c>
      <c r="AH675" s="98" t="str">
        <f>IF(ISERROR((AG675/Y675-1)*100),"NA",IF(((AG675/Y675-1)*100)&gt;100,"NM",IF(((AG675/Y675-1)*100)&lt;-50,"NM",(AG675/Y675-1)*100)))</f>
        <v>NM</v>
      </c>
      <c r="AI675" s="281">
        <v>0</v>
      </c>
      <c r="AJ675" s="98" t="str">
        <f>IF(ISERROR((AI675/AA675-1)*100),"NA",IF(((AI675/AA675-1)*100)&gt;100,"NM",IF(((AI675/AA675-1)*100)&lt;-50,"NM",(AI675/AA675-1)*100)))</f>
        <v>NM</v>
      </c>
      <c r="AK675" s="281">
        <v>0</v>
      </c>
      <c r="AL675" s="98" t="str">
        <f>IF(ISERROR((AK675/AC675-1)*100),"NA",IF(((AK675/AC675-1)*100)&gt;100,"NM",IF(((AK675/AC675-1)*100)&lt;-50,"NM",(AK675/AC675-1)*100)))</f>
        <v>NA</v>
      </c>
      <c r="AM675" s="281">
        <v>0</v>
      </c>
      <c r="AN675" s="98" t="str">
        <f>IF(ISERROR((AM675/AE675-1)*100),"NA",IF(((AM675/AE675-1)*100)&gt;100,"NM",IF(((AM675/AE675-1)*100)&lt;-50,"NM",(AM675/AE675-1)*100)))</f>
        <v>NA</v>
      </c>
      <c r="AO675" s="281">
        <v>0</v>
      </c>
      <c r="AP675" s="98" t="str">
        <f>IF(ISERROR((AO675/AG675-1)*100),"NA",IF(((AO675/AG675-1)*100)&gt;100,"NM",IF(((AO675/AG675-1)*100)&lt;-50,"NM",(AO675/AG675-1)*100)))</f>
        <v>NA</v>
      </c>
      <c r="AQ675" s="281">
        <v>0</v>
      </c>
      <c r="AR675" s="98" t="str">
        <f>IF(ISERROR((AQ675/AI675-1)*100),"NA",IF(((AQ675/AI675-1)*100)&gt;100,"NM",IF(((AQ675/AI675-1)*100)&lt;-50,"NM",(AQ675/AI675-1)*100)))</f>
        <v>NA</v>
      </c>
      <c r="AS675" s="281">
        <v>0</v>
      </c>
      <c r="AT675" s="98" t="str">
        <f>IF(ISERROR((AS675/AK675-1)*100),"NA",IF(((AS675/AK675-1)*100)&gt;100,"NM",IF(((AS675/AK675-1)*100)&lt;-50,"NM",(AS675/AK675-1)*100)))</f>
        <v>NA</v>
      </c>
      <c r="AU675" s="281">
        <v>0</v>
      </c>
      <c r="AV675" s="98" t="str">
        <f>IF(ISERROR((AU675/AM675-1)*100),"NA",IF(((AU675/AM675-1)*100)&gt;100,"NM",IF(((AU675/AM675-1)*100)&lt;-50,"NM",(AU675/AM675-1)*100)))</f>
        <v>NA</v>
      </c>
      <c r="AW675" s="281">
        <v>0</v>
      </c>
      <c r="AX675" s="98" t="str">
        <f>IF(ISERROR((AW675/AO675-1)*100),"NA",IF(((AW675/AO675-1)*100)&gt;100,"NM",IF(((AW675/AO675-1)*100)&lt;-50,"NM",(AW675/AO675-1)*100)))</f>
        <v>NA</v>
      </c>
      <c r="AY675" s="95">
        <v>0</v>
      </c>
      <c r="AZ675" s="98" t="str">
        <f>IF(ISERROR((AY675/AQ675-1)*100),"NA",IF(((AY675/AQ675-1)*100)&gt;100,"NM",IF(((AY675/AQ675-1)*100)&lt;-50,"NM",(AY675/AQ675-1)*100)))</f>
        <v>NA</v>
      </c>
      <c r="BA675" s="95">
        <v>0</v>
      </c>
      <c r="BB675" s="98" t="str">
        <f>IF(ISERROR((BA675/AS675-1)*100),"NA",IF(((BA675/AS675-1)*100)&gt;100,"NM",IF(((BA675/AS675-1)*100)&lt;-50,"NM",(BA675/AS675-1)*100)))</f>
        <v>NA</v>
      </c>
      <c r="BC675" s="95">
        <v>0</v>
      </c>
      <c r="BD675" s="98" t="str">
        <f>IF(ISERROR((BC675/AU675-1)*100),"NA",IF(((BC675/AU675-1)*100)&gt;100,"NM",IF(((BC675/AU675-1)*100)&lt;-50,"NM",(BC675/AU675-1)*100)))</f>
        <v>NA</v>
      </c>
      <c r="BE675" s="95">
        <v>0</v>
      </c>
      <c r="BF675" s="98" t="str">
        <f>IF(ISERROR((BE675/AW675-1)*100),"NA",IF(((BE675/AW675-1)*100)&gt;100,"NM",IF(((BE675/AW675-1)*100)&lt;-50,"NM",(BE675/AW675-1)*100)))</f>
        <v>NA</v>
      </c>
      <c r="BG675" s="95">
        <v>0</v>
      </c>
      <c r="BH675" s="98" t="str">
        <f>IF(ISERROR((BG675/AY675-1)*100),"NA",IF(((BG675/AY675-1)*100)&gt;100,"NM",IF(((BG675/AY675-1)*100)&lt;-50,"NM",(BG675/AY675-1)*100)))</f>
        <v>NA</v>
      </c>
      <c r="BI675" s="95">
        <v>0</v>
      </c>
      <c r="BJ675" s="98" t="str">
        <f>IF(ISERROR((BI675/BA675-1)*100),"NA",IF(((BI675/BA675-1)*100)&gt;100,"NM",IF(((BI675/BA675-1)*100)&lt;-50,"NM",(BI675/BA675-1)*100)))</f>
        <v>NA</v>
      </c>
      <c r="BK675" s="95">
        <v>0</v>
      </c>
      <c r="BL675" s="98" t="str">
        <f>IF(ISERROR((BK675/BC675-1)*100),"NA",IF(((BK675/BC675-1)*100)&gt;100,"NM",IF(((BK675/BC675-1)*100)&lt;-50,"NM",(BK675/BC675-1)*100)))</f>
        <v>NA</v>
      </c>
      <c r="BM675" s="95">
        <v>0</v>
      </c>
      <c r="BN675" s="98" t="str">
        <f>IF(ISERROR((BM675/BE675-1)*100),"NA",IF(((BM675/BE675-1)*100)&gt;100,"NM",IF(((BM675/BE675-1)*100)&lt;-50,"NM",(BM675/BE675-1)*100)))</f>
        <v>NA</v>
      </c>
      <c r="BO675" s="95">
        <v>0</v>
      </c>
      <c r="BP675" s="98" t="str">
        <f>IF(ISERROR((BO675/BG675-1)*100),"NA",IF(((BO675/BG675-1)*100)&gt;100,"NM",IF(((BO675/BG675-1)*100)&lt;-50,"NM",(BO675/BG675-1)*100)))</f>
        <v>NA</v>
      </c>
      <c r="BQ675" s="95">
        <v>0</v>
      </c>
      <c r="BR675" s="98" t="str">
        <f>IF(ISERROR((BQ675/BI675-1)*100),"NA",IF(((BQ675/BI675-1)*100)&gt;100,"NM",IF(((BQ675/BI675-1)*100)&lt;-50,"NM",(BQ675/BI675-1)*100)))</f>
        <v>NA</v>
      </c>
      <c r="BS675" s="95">
        <v>0</v>
      </c>
      <c r="BT675" s="98" t="str">
        <f>IF(ISERROR((BS675/BK675-1)*100),"NA",IF(((BS675/BK675-1)*100)&gt;100,"NM",IF(((BS675/BK675-1)*100)&lt;-50,"NM",(BS675/BK675-1)*100)))</f>
        <v>NA</v>
      </c>
      <c r="BU675" s="95">
        <v>0</v>
      </c>
      <c r="BV675" s="98" t="str">
        <f>IF(ISERROR((BU675/BM675-1)*100),"NA",IF(((BU675/BM675-1)*100)&gt;100,"NM",IF(((BU675/BM675-1)*100)&lt;-50,"NM",(BU675/BM675-1)*100)))</f>
        <v>NA</v>
      </c>
      <c r="BW675" s="95">
        <v>0</v>
      </c>
      <c r="BX675" s="98" t="str">
        <f>IF(ISERROR((BW675/BO675-1)*100),"NA",IF(((BW675/BO675-1)*100)&gt;100,"NM",IF(((BW675/BO675-1)*100)&lt;-50,"NM",(BW675/BO675-1)*100)))</f>
        <v>NA</v>
      </c>
      <c r="BY675" s="95">
        <v>0</v>
      </c>
      <c r="BZ675" s="98" t="str">
        <f>IF(ISERROR((BY675/BQ675-1)*100),"NA",IF(((BY675/BQ675-1)*100)&gt;100,"NM",IF(((BY675/BQ675-1)*100)&lt;-50,"NM",(BY675/BQ675-1)*100)))</f>
        <v>NA</v>
      </c>
      <c r="CA675" s="95">
        <v>0</v>
      </c>
      <c r="CB675" s="98" t="str">
        <f>IF(ISERROR((CA675/BS675-1)*100),"NA",IF(((CA675/BS675-1)*100)&gt;100,"NM",IF(((CA675/BS675-1)*100)&lt;-50,"NM",(CA675/BS675-1)*100)))</f>
        <v>NA</v>
      </c>
      <c r="CC675" s="95">
        <v>0</v>
      </c>
      <c r="CD675" s="98" t="str">
        <f>IF(ISERROR((CC675/BU675-1)*100),"NA",IF(((CC675/BU675-1)*100)&gt;100,"NM",IF(((CC675/BU675-1)*100)&lt;-50,"NM",(CC675/BU675-1)*100)))</f>
        <v>NA</v>
      </c>
      <c r="CE675" s="95">
        <v>0</v>
      </c>
      <c r="CF675" s="98" t="str">
        <f>IF(ISERROR((CE675/BW675-1)*100),"NA",IF(((CE675/BW675-1)*100)&gt;100,"NM",IF(((CE675/BW675-1)*100)&lt;-50,"NM",(CE675/BW675-1)*100)))</f>
        <v>NA</v>
      </c>
      <c r="CG675" s="95">
        <v>0</v>
      </c>
      <c r="CH675" s="98" t="str">
        <f>IF(ISERROR((CG675/BY675-1)*100),"NA",IF(((CG675/BY675-1)*100)&gt;100,"NM",IF(((CG675/BY675-1)*100)&lt;-50,"NM",(CG675/BY675-1)*100)))</f>
        <v>NA</v>
      </c>
      <c r="CI675" s="95">
        <v>0</v>
      </c>
      <c r="CJ675" s="98" t="str">
        <f>IF(ISERROR((CI675/CA675-1)*100),"NA",IF(((CI675/CA675-1)*100)&gt;100,"NM",IF(((CI675/CA675-1)*100)&lt;-50,"NM",(CI675/CA675-1)*100)))</f>
        <v>NA</v>
      </c>
      <c r="CK675" s="95">
        <v>0</v>
      </c>
      <c r="CL675" s="98" t="str">
        <f>IF(ISERROR((CK675/CC675-1)*100),"NA",IF(((CK675/CC675-1)*100)&gt;100,"NM",IF(((CK675/CC675-1)*100)&lt;-50,"NM",(CK675/CC675-1)*100)))</f>
        <v>NA</v>
      </c>
      <c r="CM675" s="95">
        <v>0</v>
      </c>
      <c r="CN675" s="98" t="str">
        <f>IF(ISERROR((CM675/CE675-1)*100),"NA",IF(((CM675/CE675-1)*100)&gt;100,"NM",IF(((CM675/CE675-1)*100)&lt;-50,"NM",(CM675/CE675-1)*100)))</f>
        <v>NA</v>
      </c>
      <c r="CO675" s="95">
        <v>0</v>
      </c>
      <c r="CP675" s="98" t="str">
        <f>IF(ISERROR((CO675/CG675-1)*100),"NA",IF(((CO675/CG675-1)*100)&gt;100,"NM",IF(((CO675/CG675-1)*100)&lt;-50,"NM",(CO675/CG675-1)*100)))</f>
        <v>NA</v>
      </c>
      <c r="CQ675" s="506">
        <v>0</v>
      </c>
      <c r="CR675" s="98" t="str">
        <f>IF(ISERROR((CQ675/CI675-1)*100),"NA",IF(((CQ675/CI675-1)*100)&gt;100,"NM",IF(((CQ675/CI675-1)*100)&lt;-50,"NM",(CQ675/CI675-1)*100)))</f>
        <v>NA</v>
      </c>
      <c r="CS675" s="95">
        <v>0</v>
      </c>
      <c r="CT675" s="98" t="str">
        <f>IF(ISERROR((CS675/CK675-1)*100),"NA",IF(((CS675/CK675-1)*100)&gt;100,"NM",IF(((CS675/CK675-1)*100)&lt;-50,"NM",(CS675/CK675-1)*100)))</f>
        <v>NA</v>
      </c>
      <c r="CU675" s="95">
        <v>0</v>
      </c>
      <c r="CV675" s="98" t="str">
        <f>IF(ISERROR((CU675/CM675-1)*100),"NA",IF(((CU675/CM675-1)*100)&gt;100,"NM",IF(((CU675/CM675-1)*100)&lt;-50,"NM",(CU675/CM675-1)*100)))</f>
        <v>NA</v>
      </c>
      <c r="CW675" s="95">
        <v>0</v>
      </c>
      <c r="CX675" s="98" t="str">
        <f>IF(ISERROR((CW675/CO675-1)*100),"NA",IF(((CW675/CO675-1)*100)&gt;100,"NM",IF(((CW675/CO675-1)*100)&lt;-50,"NM",(CW675/CO675-1)*100)))</f>
        <v>NA</v>
      </c>
      <c r="CY675" s="95">
        <v>0</v>
      </c>
      <c r="CZ675" s="98" t="str">
        <f>IF(ISERROR((CY675/CQ675-1)*100),"NA",IF(((CY675/CQ675-1)*100)&gt;100,"NM",IF(((CY675/CQ675-1)*100)&lt;-50,"NM",(CY675/CQ675-1)*100)))</f>
        <v>NA</v>
      </c>
      <c r="DA675" s="95">
        <v>0</v>
      </c>
      <c r="DB675" s="98" t="str">
        <f>IF(ISERROR((DA675/CS675-1)*100),"NA",IF(((DA675/CS675-1)*100)&gt;100,"NM",IF(((DA675/CS675-1)*100)&lt;-50,"NM",(DA675/CS675-1)*100)))</f>
        <v>NA</v>
      </c>
      <c r="DC675" s="95">
        <v>0</v>
      </c>
      <c r="DD675" s="98" t="str">
        <f>IF(ISERROR((DC675/CU675-1)*100),"NA",IF(((DC675/CU675-1)*100)&gt;100,"NM",IF(((DC675/CU675-1)*100)&lt;-50,"NM",(DC675/CU675-1)*100)))</f>
        <v>NA</v>
      </c>
      <c r="DE675" s="95">
        <v>0</v>
      </c>
      <c r="DF675" s="98" t="str">
        <f>IF(ISERROR((DE675/CW675-1)*100),"NA",IF(((DE675/CW675-1)*100)&gt;100,"NM",IF(((DE675/CW675-1)*100)&lt;-50,"NM",(DE675/CW675-1)*100)))</f>
        <v>NA</v>
      </c>
      <c r="DG675" s="95">
        <v>0</v>
      </c>
      <c r="DH675" s="98" t="str">
        <f>IF(ISERROR((DG675/CY675-1)*100),"NA",IF(((DG675/CY675-1)*100)&gt;100,"NM",IF(((DG675/CY675-1)*100)&lt;-50,"NM",(DG675/CY675-1)*100)))</f>
        <v>NA</v>
      </c>
      <c r="DI675" s="95">
        <v>0</v>
      </c>
      <c r="DJ675" s="98" t="str">
        <f>IF(ISERROR((DI675/DA675-1)*100),"NA",IF(((DI675/DA675-1)*100)&gt;100,"NM",IF(((DI675/DA675-1)*100)&lt;-50,"NM",(DI675/DA675-1)*100)))</f>
        <v>NA</v>
      </c>
      <c r="DK675" s="95">
        <v>0</v>
      </c>
      <c r="DL675" s="98" t="str">
        <f>IF(ISERROR((DK675/DC675-1)*100),"NA",IF(((DK675/DC675-1)*100)&gt;100,"NM",IF(((DK675/DC675-1)*100)&lt;-50,"NM",(DK675/DC675-1)*100)))</f>
        <v>NA</v>
      </c>
      <c r="DM675" s="95">
        <v>0</v>
      </c>
      <c r="DN675" s="98" t="str">
        <f>IF(ISERROR((DM675/DE675-1)*100),"NA",IF(((DM675/DE675-1)*100)&gt;100,"NM",IF(((DM675/DE675-1)*100)&lt;-50,"NM",(DM675/DE675-1)*100)))</f>
        <v>NA</v>
      </c>
      <c r="DO675" s="95">
        <v>0</v>
      </c>
      <c r="DP675" s="98" t="str">
        <f>IF(ISERROR((DO675/DG675-1)*100),"NA",IF(((DO675/DG675-1)*100)&gt;100,"NM",IF(((DO675/DG675-1)*100)&lt;-50,"NM",(DO675/DG675-1)*100)))</f>
        <v>NA</v>
      </c>
      <c r="DQ675" s="95">
        <v>0</v>
      </c>
      <c r="DR675" s="98" t="str">
        <f>IF(ISERROR((DQ675/DI675-1)*100),"NA",IF(((DQ675/DI675-1)*100)&gt;100,"NM",IF(((DQ675/DI675-1)*100)&lt;-50,"NM",(DQ675/DI675-1)*100)))</f>
        <v>NA</v>
      </c>
      <c r="DS675" s="95">
        <v>0</v>
      </c>
      <c r="DT675" s="98" t="str">
        <f>IF(ISERROR((DS675/DK675-1)*100),"NA",IF(((DS675/DK675-1)*100)&gt;100,"NM",IF(((DS675/DK675-1)*100)&lt;-50,"NM",(DS675/DK675-1)*100)))</f>
        <v>NA</v>
      </c>
      <c r="DU675" s="95">
        <v>0</v>
      </c>
      <c r="DV675" s="98" t="str">
        <f>IF(ISERROR((DU675/DM675-1)*100),"NA",IF(((DU675/DM675-1)*100)&gt;100,"NM",IF(((DU675/DM675-1)*100)&lt;-50,"NM",(DU675/DM675-1)*100)))</f>
        <v>NA</v>
      </c>
      <c r="DW675" s="95">
        <v>0</v>
      </c>
      <c r="DX675" s="98" t="str">
        <f>IF(ISERROR((DW675/DO675-1)*100),"NA",IF(((DW675/DO675-1)*100)&gt;100,"NM",IF(((DW675/DO675-1)*100)&lt;-50,"NM",(DW675/DO675-1)*100)))</f>
        <v>NA</v>
      </c>
      <c r="DY675" s="95">
        <v>0</v>
      </c>
      <c r="DZ675" s="98" t="str">
        <f>IF(ISERROR((DY675/DQ675-1)*100),"NA",IF(((DY675/DQ675-1)*100)&gt;100,"NM",IF(((DY675/DQ675-1)*100)&lt;-50,"NM",(DY675/DQ675-1)*100)))</f>
        <v>NA</v>
      </c>
      <c r="EA675" s="95">
        <v>0</v>
      </c>
      <c r="EB675" s="98" t="str">
        <f>IF(ISERROR((EA675/DS675-1)*100),"NA",IF(((EA675/DS675-1)*100)&gt;100,"NM",IF(((EA675/DS675-1)*100)&lt;-50,"NM",(EA675/DS675-1)*100)))</f>
        <v>NA</v>
      </c>
      <c r="EC675" s="95">
        <v>0</v>
      </c>
      <c r="ED675" s="98" t="str">
        <f>IF(ISERROR((EC675/DU675-1)*100),"NA",IF(((EC675/DU675-1)*100)&gt;100,"NM",IF(((EC675/DU675-1)*100)&lt;-50,"NM",(EC675/DU675-1)*100)))</f>
        <v>NA</v>
      </c>
      <c r="EE675" s="95">
        <v>0</v>
      </c>
      <c r="EF675" s="860" t="str">
        <f>IF(ISERROR((EE675/DW675-1)*100),"NA",IF(((EE675/DW675-1)*100)&gt;100,"NM",IF(((EE675/DW675-1)*100)&lt;-50,"NM",(EE675/DW675-1)*100)))</f>
        <v>NA</v>
      </c>
      <c r="EG675" s="95">
        <v>0</v>
      </c>
      <c r="EH675" s="860" t="str">
        <f>IF(ISERROR((EG675/DY675-1)*100),"NA",IF(((EG675/DY675-1)*100)&gt;100,"NM",IF(((EG675/DY675-1)*100)&lt;-50,"NM",(EG675/DY675-1)*100)))</f>
        <v>NA</v>
      </c>
      <c r="EI675" s="95">
        <v>0</v>
      </c>
      <c r="EJ675" s="860" t="str">
        <f t="shared" si="4075"/>
        <v>NA</v>
      </c>
      <c r="EK675" s="95">
        <v>0</v>
      </c>
      <c r="EL675" s="860" t="str">
        <f t="shared" si="4076"/>
        <v>NA</v>
      </c>
      <c r="EM675" s="95">
        <v>0</v>
      </c>
      <c r="EN675" s="860" t="str">
        <f t="shared" si="4077"/>
        <v>NA</v>
      </c>
      <c r="EO675" s="95">
        <v>0</v>
      </c>
      <c r="EP675" s="98" t="str">
        <f t="shared" si="4078"/>
        <v>NA</v>
      </c>
      <c r="EQ675" s="1062">
        <v>50</v>
      </c>
      <c r="ER675" s="98" t="str">
        <f t="shared" si="4080"/>
        <v>NA</v>
      </c>
      <c r="ES675" s="1062">
        <v>50</v>
      </c>
      <c r="ET675" s="98" t="str">
        <f t="shared" si="4082"/>
        <v>NA</v>
      </c>
      <c r="EU675" s="1062">
        <v>50</v>
      </c>
      <c r="EV675" s="98" t="str">
        <f t="shared" si="4084"/>
        <v>NA</v>
      </c>
      <c r="EW675" s="1062">
        <v>50</v>
      </c>
      <c r="EX675" s="98" t="str">
        <f t="shared" si="4086"/>
        <v>NA</v>
      </c>
      <c r="EY675" s="40"/>
      <c r="EZ675" s="594"/>
      <c r="FA675" s="405"/>
      <c r="FB675" s="244"/>
      <c r="FC675" s="98"/>
      <c r="FD675" s="244"/>
      <c r="FE675" s="98"/>
      <c r="FF675" s="40">
        <v>50</v>
      </c>
      <c r="FG675" s="98" t="str">
        <f>IF(ISERROR((FF675/FD675-1)*100),"NA",IF(((FF675/FD675-1)*100)&gt;100,"NM",IF(((FF675/FD675-1)*100)&lt;-50,"NM",(FF675/FD675-1)*100)))</f>
        <v>NA</v>
      </c>
      <c r="FH675" s="40">
        <v>50</v>
      </c>
      <c r="FI675" s="98">
        <f>IF(ISERROR((FH675/FF675-1)*100),"NA",IF(((FH675/FF675-1)*100)&gt;100,"NM",IF(((FH675/FF675-1)*100)&lt;-50,"NM",(FH675/FF675-1)*100)))</f>
        <v>0</v>
      </c>
      <c r="FJ675" s="40">
        <v>50</v>
      </c>
      <c r="FK675" s="98">
        <f>IF(ISERROR((FJ675/FH675-1)*100),"NA",IF(((FJ675/FH675-1)*100)&gt;100,"NM",IF(((FJ675/FH675-1)*100)&lt;-50,"NM",(FJ675/FH675-1)*100)))</f>
        <v>0</v>
      </c>
      <c r="FL675" s="40">
        <v>50</v>
      </c>
      <c r="FM675" s="98">
        <f>IF(ISERROR((FL675/FJ675-1)*100),"NA",IF(((FL675/FJ675-1)*100)&gt;100,"NM",IF(((FL675/FJ675-1)*100)&lt;-50,"NM",(FL675/FJ675-1)*100)))</f>
        <v>0</v>
      </c>
      <c r="FN675" s="40">
        <v>50</v>
      </c>
      <c r="FO675" s="98">
        <f>IF(ISERROR((FN675/FL675-1)*100),"NA",IF(((FN675/FL675-1)*100)&gt;100,"NM",IF(((FN675/FL675-1)*100)&lt;-50,"NM",(FN675/FL675-1)*100)))</f>
        <v>0</v>
      </c>
      <c r="FP675" s="40">
        <v>50</v>
      </c>
      <c r="FQ675" s="98">
        <f>IF(ISERROR((FP675/FN675-1)*100),"NA",IF(((FP675/FN675-1)*100)&gt;100,"NM",IF(((FP675/FN675-1)*100)&lt;-50,"NM",(FP675/FN675-1)*100)))</f>
        <v>0</v>
      </c>
      <c r="FR675" s="350">
        <v>50</v>
      </c>
      <c r="FS675" s="120">
        <f>IF(ISERROR((FR675/FP675-1)*100),"NA",IF(((FR675/FP675-1)*100)&gt;100,"NM",IF(((FR675/FP675-1)*100)&lt;-50,"NM",(FR675/FP675-1)*100)))</f>
        <v>0</v>
      </c>
      <c r="FT675" s="350">
        <v>50</v>
      </c>
      <c r="FU675" s="120">
        <f>IF(ISERROR((FT675/FR675-1)*100),"NA",IF(((FT675/FR675-1)*100)&gt;100,"NM",IF(((FT675/FR675-1)*100)&lt;-50,"NM",(FT675/FR675-1)*100)))</f>
        <v>0</v>
      </c>
      <c r="FV675" s="350"/>
      <c r="FW675" s="98" t="str">
        <f>IF(ISERROR((FV675/FT675-1)*100),"NA",IF(((FV675/FT675-1)*100)&gt;100,"NM",IF(((FV675/FT675-1)*100)&lt;-50,"NM",(FV675/FT675-1)*100)))</f>
        <v>NM</v>
      </c>
      <c r="FX675" s="485"/>
      <c r="FY675" s="98" t="str">
        <f>IF(ISERROR((FX675/FV675-1)*100),"NA",IF(((FX675/FV675-1)*100)&gt;100,"NM",IF(((FX675/FV675-1)*100)&lt;-50,"NM",(FX675/FV675-1)*100)))</f>
        <v>NA</v>
      </c>
      <c r="FZ675" s="350"/>
      <c r="GA675" s="98" t="str">
        <f>IF(ISERROR((FZ675/FX675-1)*100),"NA",IF(((FZ675/FX675-1)*100)&gt;100,"NM",IF(((FZ675/FX675-1)*100)&lt;-50,"NM",(FZ675/FX675-1)*100)))</f>
        <v>NA</v>
      </c>
      <c r="GB675" s="485"/>
      <c r="GC675" s="98" t="str">
        <f>IF(ISERROR((GB675/FZ675-1)*100),"NA",IF(((GB675/FZ675-1)*100)&gt;100,"NM",IF(((GB675/FZ675-1)*100)&lt;-50,"NM",(GB675/FZ675-1)*100)))</f>
        <v>NA</v>
      </c>
      <c r="GD675" s="40">
        <v>85</v>
      </c>
      <c r="GE675" s="98" t="str">
        <f>IF(ISERROR((GD675/GB675-1)*100),"NA",IF(((GD675/GB675-1)*100)&gt;100,"NM",IF(((GD675/GB675-1)*100)&lt;-50,"NM",(GD675/GB675-1)*100)))</f>
        <v>NA</v>
      </c>
      <c r="GF675" s="40">
        <v>65</v>
      </c>
      <c r="GG675" s="98">
        <f>IF(ISERROR((GF675/GD675-1)*100),"NA",IF(((GF675/GD675-1)*100)&gt;100,"NM",IF(((GF675/GD675-1)*100)&lt;-50,"NM",(GF675/GD675-1)*100)))</f>
        <v>-23.529411764705888</v>
      </c>
      <c r="GH675" s="40">
        <v>50</v>
      </c>
      <c r="GI675" s="98">
        <f>IF(ISERROR((GH675/GF675-1)*100),"NA",IF(((GH675/GF675-1)*100)&gt;100,"NM",IF(((GH675/GF675-1)*100)&lt;-50,"NM",(GH675/GF675-1)*100)))</f>
        <v>-23.076923076923073</v>
      </c>
      <c r="GJ675" s="40">
        <v>50</v>
      </c>
      <c r="GK675" s="98">
        <f>IF(ISERROR((GJ675/GH675-1)*100),"NA",IF(((GJ675/GH675-1)*100)&gt;100,"NM",IF(((GJ675/GH675-1)*100)&lt;-50,"NM",(GJ675/GH675-1)*100)))</f>
        <v>0</v>
      </c>
      <c r="GL675" s="40">
        <v>50</v>
      </c>
      <c r="GM675" s="98">
        <f>IF(ISERROR((GL675/GJ675-1)*100),"NA",IF(((GL675/GJ675-1)*100)&gt;100,"NM",IF(((GL675/GJ675-1)*100)&lt;-50,"NM",(GL675/GJ675-1)*100)))</f>
        <v>0</v>
      </c>
      <c r="GN675" s="40">
        <v>50</v>
      </c>
      <c r="GO675" s="98">
        <f>IF(ISERROR((GN675/GL675-1)*100),"NA",IF(((GN675/GL675-1)*100)&gt;100,"NM",IF(((GN675/GL675-1)*100)&lt;-50,"NM",(GN675/GL675-1)*100)))</f>
        <v>0</v>
      </c>
      <c r="GP675" s="40">
        <v>50</v>
      </c>
      <c r="GQ675" s="98">
        <f>IF(ISERROR((GP675/GN675-1)*100),"NA",IF(((GP675/GN675-1)*100)&gt;100,"NM",IF(((GP675/GN675-1)*100)&lt;-50,"NM",(GP675/GN675-1)*100)))</f>
        <v>0</v>
      </c>
      <c r="GR675" s="40">
        <v>48</v>
      </c>
      <c r="GS675" s="98">
        <f>IF(ISERROR((GR675/GP675-1)*100),"NA",IF(((GR675/GP675-1)*100)&gt;100,"NM",IF(((GR675/GP675-1)*100)&lt;-50,"NM",(GR675/GP675-1)*100)))</f>
        <v>-4.0000000000000036</v>
      </c>
      <c r="GT675" s="40">
        <v>58</v>
      </c>
      <c r="GU675" s="98">
        <f>IF(ISERROR((GT675/GR675-1)*100),"NA",IF(((GT675/GR675-1)*100)&gt;100,"NM",IF(((GT675/GR675-1)*100)&lt;-50,"NM",(GT675/GR675-1)*100)))</f>
        <v>20.833333333333325</v>
      </c>
      <c r="GV675" s="40">
        <v>52</v>
      </c>
      <c r="GW675" s="98">
        <f>IF(ISERROR((GV675/GT675-1)*100),"NA",IF(((GV675/GT675-1)*100)&gt;100,"NM",IF(((GV675/GT675-1)*100)&lt;-50,"NM",(GV675/GT675-1)*100)))</f>
        <v>-10.344827586206895</v>
      </c>
      <c r="GX675" s="40">
        <v>57</v>
      </c>
      <c r="GY675" s="98">
        <f>IF(ISERROR((GX675/GV675-1)*100),"NA",IF(((GX675/GV675-1)*100)&gt;100,"NM",IF(((GX675/GV675-1)*100)&lt;-50,"NM",(GX675/GV675-1)*100)))</f>
        <v>9.6153846153846256</v>
      </c>
      <c r="GZ675" s="98">
        <f>IF(ISERROR(((GX675/GN675)^0.2-1)*100),"NA",IF((((GX675/GN675)^0.2-1)*100)&gt;100,"NM",IF((((GX675/GN675)^0.2-1)*100)&lt;-50,"NM",((GX675/GN675)^0.2-1)*100)))</f>
        <v>2.6552039741113198</v>
      </c>
      <c r="HA675" s="98"/>
      <c r="HB675" s="10"/>
      <c r="HC675"/>
      <c r="HD675"/>
      <c r="HE675"/>
      <c r="HF675"/>
      <c r="HG675"/>
      <c r="HH675"/>
      <c r="HI675" s="10"/>
    </row>
    <row r="676" spans="1:217" s="2" customFormat="1" ht="12.75" customHeight="1" x14ac:dyDescent="0.2">
      <c r="A676" s="2" t="s">
        <v>555</v>
      </c>
      <c r="B676" s="18" t="s">
        <v>523</v>
      </c>
      <c r="C676" s="357">
        <v>0</v>
      </c>
      <c r="D676" s="98"/>
      <c r="E676" s="294">
        <v>214</v>
      </c>
      <c r="F676" s="98"/>
      <c r="G676" s="294">
        <v>193</v>
      </c>
      <c r="H676" s="98"/>
      <c r="I676" s="357">
        <f>613-407</f>
        <v>206</v>
      </c>
      <c r="J676" s="98"/>
      <c r="K676" s="357">
        <v>238</v>
      </c>
      <c r="L676" s="98" t="str">
        <f>IF(ISERROR((K676/C676-1)*100),"NA",IF(((K676/C676-1)*100)&gt;100,"NM",IF(((K676/C676-1)*100)&lt;-50,"NM",(K676/C676-1)*100)))</f>
        <v>NA</v>
      </c>
      <c r="M676" s="294">
        <v>275</v>
      </c>
      <c r="N676" s="98">
        <f>IF(ISERROR((M676/E676-1)*100),"NA",IF(((M676/E676-1)*100)&gt;100,"NM",IF(((M676/E676-1)*100)&lt;-50,"NM",(M676/E676-1)*100)))</f>
        <v>28.504672897196272</v>
      </c>
      <c r="O676" s="294">
        <v>506</v>
      </c>
      <c r="P676" s="98" t="str">
        <f>IF(ISERROR((O676/G676-1)*100),"NA",IF(((O676/G676-1)*100)&gt;100,"NM",IF(((O676/G676-1)*100)&lt;-50,"NM",(O676/G676-1)*100)))</f>
        <v>NM</v>
      </c>
      <c r="Q676" s="357">
        <v>304</v>
      </c>
      <c r="R676" s="98">
        <f>IF(ISERROR((Q676/I676-1)*100),"NA",IF(((Q676/I676-1)*100)&gt;100,"NM",IF(((Q676/I676-1)*100)&lt;-50,"NM",(Q676/I676-1)*100)))</f>
        <v>47.572815533980581</v>
      </c>
      <c r="S676" s="357">
        <v>240</v>
      </c>
      <c r="T676" s="98">
        <f>IF(ISERROR((S676/K676-1)*100),"NA",IF(((S676/K676-1)*100)&gt;100,"NM",IF(((S676/K676-1)*100)&lt;-50,"NM",(S676/K676-1)*100)))</f>
        <v>0.84033613445377853</v>
      </c>
      <c r="U676" s="357">
        <v>191</v>
      </c>
      <c r="V676" s="98">
        <f>IF(ISERROR((U676/M676-1)*100),"NA",IF(((U676/M676-1)*100)&gt;100,"NM",IF(((U676/M676-1)*100)&lt;-50,"NM",(U676/M676-1)*100)))</f>
        <v>-30.545454545454543</v>
      </c>
      <c r="W676" s="357">
        <v>40</v>
      </c>
      <c r="X676" s="98" t="str">
        <f>IF(ISERROR((W676/O676-1)*100),"NA",IF(((W676/O676-1)*100)&gt;100,"NM",IF(((W676/O676-1)*100)&lt;-50,"NM",(W676/O676-1)*100)))</f>
        <v>NM</v>
      </c>
      <c r="Y676" s="101">
        <v>0</v>
      </c>
      <c r="Z676" s="98" t="str">
        <f>IF(ISERROR((Y676/Q676-1)*100),"NA",IF(((Y676/Q676-1)*100)&gt;100,"NM",IF(((Y676/Q676-1)*100)&lt;-50,"NM",(Y676/Q676-1)*100)))</f>
        <v>NM</v>
      </c>
      <c r="AA676" s="357">
        <v>0</v>
      </c>
      <c r="AB676" s="98" t="str">
        <f>IF(ISERROR((AA676/S676-1)*100),"NA",IF(((AA676/S676-1)*100)&gt;100,"NM",IF(((AA676/S676-1)*100)&lt;-50,"NM",(AA676/S676-1)*100)))</f>
        <v>NM</v>
      </c>
      <c r="AC676" s="357">
        <v>0</v>
      </c>
      <c r="AD676" s="98" t="str">
        <f>IF(ISERROR((AC676/U676-1)*100),"NA",IF(((AC676/U676-1)*100)&gt;100,"NM",IF(((AC676/U676-1)*100)&lt;-50,"NM",(AC676/U676-1)*100)))</f>
        <v>NM</v>
      </c>
      <c r="AE676" s="357">
        <v>0</v>
      </c>
      <c r="AF676" s="98" t="str">
        <f>IF(ISERROR((AE676/W676-1)*100),"NA",IF(((AE676/W676-1)*100)&gt;100,"NM",IF(((AE676/W676-1)*100)&lt;-50,"NM",(AE676/W676-1)*100)))</f>
        <v>NM</v>
      </c>
      <c r="AG676" s="333">
        <f>AG673*AG674</f>
        <v>97</v>
      </c>
      <c r="AH676" s="98" t="str">
        <f>IF(ISERROR((AG676/Y676-1)*100),"NA",IF(((AG676/Y676-1)*100)&gt;100,"NM",IF(((AG676/Y676-1)*100)&lt;-50,"NM",(AG676/Y676-1)*100)))</f>
        <v>NA</v>
      </c>
      <c r="AI676" s="254">
        <f>AI674*AI673</f>
        <v>65</v>
      </c>
      <c r="AJ676" s="98" t="str">
        <f>IF(ISERROR((AI676/AA676-1)*100),"NA",IF(((AI676/AA676-1)*100)&gt;100,"NM",IF(((AI676/AA676-1)*100)&lt;-50,"NM",(AI676/AA676-1)*100)))</f>
        <v>NA</v>
      </c>
      <c r="AK676" s="254">
        <f>AK674*AK673</f>
        <v>210.00000000000003</v>
      </c>
      <c r="AL676" s="98" t="str">
        <f>IF(ISERROR((AK676/AC676-1)*100),"NA",IF(((AK676/AC676-1)*100)&gt;100,"NM",IF(((AK676/AC676-1)*100)&lt;-50,"NM",(AK676/AC676-1)*100)))</f>
        <v>NA</v>
      </c>
      <c r="AM676" s="254">
        <v>221</v>
      </c>
      <c r="AN676" s="98" t="str">
        <f>IF(ISERROR((AM676/AE676-1)*100),"NA",IF(((AM676/AE676-1)*100)&gt;100,"NM",IF(((AM676/AE676-1)*100)&lt;-50,"NM",(AM676/AE676-1)*100)))</f>
        <v>NA</v>
      </c>
      <c r="AO676" s="254">
        <v>503.35</v>
      </c>
      <c r="AP676" s="98" t="str">
        <f>IF(ISERROR((AO676/AG676-1)*100),"NA",IF(((AO676/AG676-1)*100)&gt;100,"NM",IF(((AO676/AG676-1)*100)&lt;-50,"NM",(AO676/AG676-1)*100)))</f>
        <v>NM</v>
      </c>
      <c r="AQ676" s="40">
        <v>0</v>
      </c>
      <c r="AR676" s="98" t="str">
        <f>IF(ISERROR((AQ676/AI676-1)*100),"NA",IF(((AQ676/AI676-1)*100)&gt;100,"NM",IF(((AQ676/AI676-1)*100)&lt;-50,"NM",(AQ676/AI676-1)*100)))</f>
        <v>NM</v>
      </c>
      <c r="AS676" s="40">
        <v>0</v>
      </c>
      <c r="AT676" s="98" t="str">
        <f>IF(ISERROR((AS676/AK676-1)*100),"NA",IF(((AS676/AK676-1)*100)&gt;100,"NM",IF(((AS676/AK676-1)*100)&lt;-50,"NM",(AS676/AK676-1)*100)))</f>
        <v>NM</v>
      </c>
      <c r="AU676" s="40">
        <v>0</v>
      </c>
      <c r="AV676" s="98" t="str">
        <f>IF(ISERROR((AU676/AM676-1)*100),"NA",IF(((AU676/AM676-1)*100)&gt;100,"NM",IF(((AU676/AM676-1)*100)&lt;-50,"NM",(AU676/AM676-1)*100)))</f>
        <v>NM</v>
      </c>
      <c r="AW676" s="40">
        <v>0</v>
      </c>
      <c r="AX676" s="98" t="str">
        <f>IF(ISERROR((AW676/AO676-1)*100),"NA",IF(((AW676/AO676-1)*100)&gt;100,"NM",IF(((AW676/AO676-1)*100)&lt;-50,"NM",(AW676/AO676-1)*100)))</f>
        <v>NM</v>
      </c>
      <c r="AY676" s="40">
        <v>0</v>
      </c>
      <c r="AZ676" s="98" t="str">
        <f>IF(ISERROR((AY676/AQ676-1)*100),"NA",IF(((AY676/AQ676-1)*100)&gt;100,"NM",IF(((AY676/AQ676-1)*100)&lt;-50,"NM",(AY676/AQ676-1)*100)))</f>
        <v>NA</v>
      </c>
      <c r="BA676" s="40">
        <v>0</v>
      </c>
      <c r="BB676" s="98" t="str">
        <f>IF(ISERROR((BA676/AS676-1)*100),"NA",IF(((BA676/AS676-1)*100)&gt;100,"NM",IF(((BA676/AS676-1)*100)&lt;-50,"NM",(BA676/AS676-1)*100)))</f>
        <v>NA</v>
      </c>
      <c r="BC676" s="40">
        <v>0</v>
      </c>
      <c r="BD676" s="98" t="str">
        <f>IF(ISERROR((BC676/AU676-1)*100),"NA",IF(((BC676/AU676-1)*100)&gt;100,"NM",IF(((BC676/AU676-1)*100)&lt;-50,"NM",(BC676/AU676-1)*100)))</f>
        <v>NA</v>
      </c>
      <c r="BE676" s="40">
        <v>500</v>
      </c>
      <c r="BF676" s="98" t="str">
        <f>IF(ISERROR((BE676/AW676-1)*100),"NA",IF(((BE676/AW676-1)*100)&gt;100,"NM",IF(((BE676/AW676-1)*100)&lt;-50,"NM",(BE676/AW676-1)*100)))</f>
        <v>NA</v>
      </c>
      <c r="BG676" s="40">
        <v>750</v>
      </c>
      <c r="BH676" s="98" t="str">
        <f>IF(ISERROR((BG676/AY676-1)*100),"NA",IF(((BG676/AY676-1)*100)&gt;100,"NM",IF(((BG676/AY676-1)*100)&lt;-50,"NM",(BG676/AY676-1)*100)))</f>
        <v>NA</v>
      </c>
      <c r="BI676" s="40">
        <v>0</v>
      </c>
      <c r="BJ676" s="98" t="str">
        <f>IF(ISERROR((BI676/BA676-1)*100),"NA",IF(((BI676/BA676-1)*100)&gt;100,"NM",IF(((BI676/BA676-1)*100)&lt;-50,"NM",(BI676/BA676-1)*100)))</f>
        <v>NA</v>
      </c>
      <c r="BK676" s="40">
        <v>200</v>
      </c>
      <c r="BL676" s="98" t="str">
        <f>IF(ISERROR((BK676/BC676-1)*100),"NA",IF(((BK676/BC676-1)*100)&gt;100,"NM",IF(((BK676/BC676-1)*100)&lt;-50,"NM",(BK676/BC676-1)*100)))</f>
        <v>NA</v>
      </c>
      <c r="BM676" s="40">
        <v>731</v>
      </c>
      <c r="BN676" s="98">
        <f>IF(ISERROR((BM676/BE676-1)*100),"NA",IF(((BM676/BE676-1)*100)&gt;100,"NM",IF(((BM676/BE676-1)*100)&lt;-50,"NM",(BM676/BE676-1)*100)))</f>
        <v>46.199999999999996</v>
      </c>
      <c r="BO676" s="40">
        <v>1250</v>
      </c>
      <c r="BP676" s="98">
        <f>IF(ISERROR((BO676/BG676-1)*100),"NA",IF(((BO676/BG676-1)*100)&gt;100,"NM",IF(((BO676/BG676-1)*100)&lt;-50,"NM",(BO676/BG676-1)*100)))</f>
        <v>66.666666666666671</v>
      </c>
      <c r="BQ676" s="40">
        <f>1250-BO676</f>
        <v>0</v>
      </c>
      <c r="BR676" s="98" t="str">
        <f>IF(ISERROR((BQ676/BI676-1)*100),"NA",IF(((BQ676/BI676-1)*100)&gt;100,"NM",IF(((BQ676/BI676-1)*100)&lt;-50,"NM",(BQ676/BI676-1)*100)))</f>
        <v>NA</v>
      </c>
      <c r="BS676" s="40">
        <v>0</v>
      </c>
      <c r="BT676" s="98" t="str">
        <f>IF(ISERROR((BS676/BK676-1)*100),"NA",IF(((BS676/BK676-1)*100)&gt;100,"NM",IF(((BS676/BK676-1)*100)&lt;-50,"NM",(BS676/BK676-1)*100)))</f>
        <v>NM</v>
      </c>
      <c r="BU676" s="40">
        <v>0</v>
      </c>
      <c r="BV676" s="98" t="str">
        <f>IF(ISERROR((BU676/BM676-1)*100),"NA",IF(((BU676/BM676-1)*100)&gt;100,"NM",IF(((BU676/BM676-1)*100)&lt;-50,"NM",(BU676/BM676-1)*100)))</f>
        <v>NM</v>
      </c>
      <c r="BW676" s="40">
        <v>0</v>
      </c>
      <c r="BX676" s="98" t="str">
        <f>IF(ISERROR((BW676/BO676-1)*100),"NA",IF(((BW676/BO676-1)*100)&gt;100,"NM",IF(((BW676/BO676-1)*100)&lt;-50,"NM",(BW676/BO676-1)*100)))</f>
        <v>NM</v>
      </c>
      <c r="BY676" s="40">
        <v>0</v>
      </c>
      <c r="BZ676" s="98" t="str">
        <f>IF(ISERROR((BY676/BQ676-1)*100),"NA",IF(((BY676/BQ676-1)*100)&gt;100,"NM",IF(((BY676/BQ676-1)*100)&lt;-50,"NM",(BY676/BQ676-1)*100)))</f>
        <v>NA</v>
      </c>
      <c r="CA676" s="40">
        <v>0</v>
      </c>
      <c r="CB676" s="98" t="str">
        <f>IF(ISERROR((CA676/BS676-1)*100),"NA",IF(((CA676/BS676-1)*100)&gt;100,"NM",IF(((CA676/BS676-1)*100)&lt;-50,"NM",(CA676/BS676-1)*100)))</f>
        <v>NA</v>
      </c>
      <c r="CC676" s="40">
        <v>0</v>
      </c>
      <c r="CD676" s="98" t="str">
        <f>IF(ISERROR((CC676/BU676-1)*100),"NA",IF(((CC676/BU676-1)*100)&gt;100,"NM",IF(((CC676/BU676-1)*100)&lt;-50,"NM",(CC676/BU676-1)*100)))</f>
        <v>NA</v>
      </c>
      <c r="CE676" s="40">
        <v>0</v>
      </c>
      <c r="CF676" s="98" t="str">
        <f>IF(ISERROR((CE676/BW676-1)*100),"NA",IF(((CE676/BW676-1)*100)&gt;100,"NM",IF(((CE676/BW676-1)*100)&lt;-50,"NM",(CE676/BW676-1)*100)))</f>
        <v>NA</v>
      </c>
      <c r="CG676" s="40">
        <v>0</v>
      </c>
      <c r="CH676" s="98" t="str">
        <f>IF(ISERROR((CG676/BY676-1)*100),"NA",IF(((CG676/BY676-1)*100)&gt;100,"NM",IF(((CG676/BY676-1)*100)&lt;-50,"NM",(CG676/BY676-1)*100)))</f>
        <v>NA</v>
      </c>
      <c r="CI676" s="40">
        <v>0</v>
      </c>
      <c r="CJ676" s="98" t="str">
        <f>IF(ISERROR((CI676/CA676-1)*100),"NA",IF(((CI676/CA676-1)*100)&gt;100,"NM",IF(((CI676/CA676-1)*100)&lt;-50,"NM",(CI676/CA676-1)*100)))</f>
        <v>NA</v>
      </c>
      <c r="CK676" s="40">
        <v>0</v>
      </c>
      <c r="CL676" s="98" t="str">
        <f>IF(ISERROR((CK676/CC676-1)*100),"NA",IF(((CK676/CC676-1)*100)&gt;100,"NM",IF(((CK676/CC676-1)*100)&lt;-50,"NM",(CK676/CC676-1)*100)))</f>
        <v>NA</v>
      </c>
      <c r="CM676" s="40">
        <v>0</v>
      </c>
      <c r="CN676" s="98" t="str">
        <f>IF(ISERROR((CM676/CE676-1)*100),"NA",IF(((CM676/CE676-1)*100)&gt;100,"NM",IF(((CM676/CE676-1)*100)&lt;-50,"NM",(CM676/CE676-1)*100)))</f>
        <v>NA</v>
      </c>
      <c r="CO676" s="40">
        <v>0</v>
      </c>
      <c r="CP676" s="98" t="str">
        <f>IF(ISERROR((CO676/CG676-1)*100),"NA",IF(((CO676/CG676-1)*100)&gt;100,"NM",IF(((CO676/CG676-1)*100)&lt;-50,"NM",(CO676/CG676-1)*100)))</f>
        <v>NA</v>
      </c>
      <c r="CQ676" s="557">
        <v>0</v>
      </c>
      <c r="CR676" s="98" t="str">
        <f>IF(ISERROR((CQ676/CI676-1)*100),"NA",IF(((CQ676/CI676-1)*100)&gt;100,"NM",IF(((CQ676/CI676-1)*100)&lt;-50,"NM",(CQ676/CI676-1)*100)))</f>
        <v>NA</v>
      </c>
      <c r="CS676" s="40">
        <v>0</v>
      </c>
      <c r="CT676" s="98" t="str">
        <f>IF(ISERROR((CS676/CK676-1)*100),"NA",IF(((CS676/CK676-1)*100)&gt;100,"NM",IF(((CS676/CK676-1)*100)&lt;-50,"NM",(CS676/CK676-1)*100)))</f>
        <v>NA</v>
      </c>
      <c r="CU676" s="40">
        <v>0</v>
      </c>
      <c r="CV676" s="98" t="str">
        <f>IF(ISERROR((CU676/CM676-1)*100),"NA",IF(((CU676/CM676-1)*100)&gt;100,"NM",IF(((CU676/CM676-1)*100)&lt;-50,"NM",(CU676/CM676-1)*100)))</f>
        <v>NA</v>
      </c>
      <c r="CW676" s="40">
        <v>0</v>
      </c>
      <c r="CX676" s="98" t="str">
        <f>IF(ISERROR((CW676/CO676-1)*100),"NA",IF(((CW676/CO676-1)*100)&gt;100,"NM",IF(((CW676/CO676-1)*100)&lt;-50,"NM",(CW676/CO676-1)*100)))</f>
        <v>NA</v>
      </c>
      <c r="CY676" s="40">
        <v>0</v>
      </c>
      <c r="CZ676" s="98" t="str">
        <f>IF(ISERROR((CY676/CQ676-1)*100),"NA",IF(((CY676/CQ676-1)*100)&gt;100,"NM",IF(((CY676/CQ676-1)*100)&lt;-50,"NM",(CY676/CQ676-1)*100)))</f>
        <v>NA</v>
      </c>
      <c r="DA676" s="40">
        <v>0</v>
      </c>
      <c r="DB676" s="98" t="str">
        <f>IF(ISERROR((DA676/CS676-1)*100),"NA",IF(((DA676/CS676-1)*100)&gt;100,"NM",IF(((DA676/CS676-1)*100)&lt;-50,"NM",(DA676/CS676-1)*100)))</f>
        <v>NA</v>
      </c>
      <c r="DC676" s="40">
        <v>0</v>
      </c>
      <c r="DD676" s="98" t="str">
        <f>IF(ISERROR((DC676/CU676-1)*100),"NA",IF(((DC676/CU676-1)*100)&gt;100,"NM",IF(((DC676/CU676-1)*100)&lt;-50,"NM",(DC676/CU676-1)*100)))</f>
        <v>NA</v>
      </c>
      <c r="DE676" s="40">
        <v>0</v>
      </c>
      <c r="DF676" s="98" t="str">
        <f>IF(ISERROR((DE676/CW676-1)*100),"NA",IF(((DE676/CW676-1)*100)&gt;100,"NM",IF(((DE676/CW676-1)*100)&lt;-50,"NM",(DE676/CW676-1)*100)))</f>
        <v>NA</v>
      </c>
      <c r="DG676" s="40">
        <v>0</v>
      </c>
      <c r="DH676" s="98" t="str">
        <f>IF(ISERROR((DG676/CY676-1)*100),"NA",IF(((DG676/CY676-1)*100)&gt;100,"NM",IF(((DG676/CY676-1)*100)&lt;-50,"NM",(DG676/CY676-1)*100)))</f>
        <v>NA</v>
      </c>
      <c r="DI676" s="40">
        <v>0</v>
      </c>
      <c r="DJ676" s="98" t="str">
        <f>IF(ISERROR((DI676/DA676-1)*100),"NA",IF(((DI676/DA676-1)*100)&gt;100,"NM",IF(((DI676/DA676-1)*100)&lt;-50,"NM",(DI676/DA676-1)*100)))</f>
        <v>NA</v>
      </c>
      <c r="DK676" s="40">
        <v>0</v>
      </c>
      <c r="DL676" s="98" t="str">
        <f>IF(ISERROR((DK676/DC676-1)*100),"NA",IF(((DK676/DC676-1)*100)&gt;100,"NM",IF(((DK676/DC676-1)*100)&lt;-50,"NM",(DK676/DC676-1)*100)))</f>
        <v>NA</v>
      </c>
      <c r="DM676" s="40">
        <v>0</v>
      </c>
      <c r="DN676" s="98" t="str">
        <f>IF(ISERROR((DM676/DE676-1)*100),"NA",IF(((DM676/DE676-1)*100)&gt;100,"NM",IF(((DM676/DE676-1)*100)&lt;-50,"NM",(DM676/DE676-1)*100)))</f>
        <v>NA</v>
      </c>
      <c r="DO676" s="40">
        <v>438</v>
      </c>
      <c r="DP676" s="98" t="str">
        <f>IF(ISERROR((DO676/DG676-1)*100),"NA",IF(((DO676/DG676-1)*100)&gt;100,"NM",IF(((DO676/DG676-1)*100)&lt;-50,"NM",(DO676/DG676-1)*100)))</f>
        <v>NA</v>
      </c>
      <c r="DQ676" s="890">
        <v>557</v>
      </c>
      <c r="DR676" s="98" t="str">
        <f>IF(ISERROR((DQ676/DI676-1)*100),"NA",IF(((DQ676/DI676-1)*100)&gt;100,"NM",IF(((DQ676/DI676-1)*100)&lt;-50,"NM",(DQ676/DI676-1)*100)))</f>
        <v>NA</v>
      </c>
      <c r="DS676" s="890">
        <f>19.9*51</f>
        <v>1014.9</v>
      </c>
      <c r="DT676" s="98" t="str">
        <f>IF(ISERROR((DS676/DK676-1)*100),"NA",IF(((DS676/DK676-1)*100)&gt;100,"NM",IF(((DS676/DK676-1)*100)&lt;-50,"NM",(DS676/DK676-1)*100)))</f>
        <v>NA</v>
      </c>
      <c r="DU676" s="890">
        <f>DU674*DU673</f>
        <v>10.626000000000001</v>
      </c>
      <c r="DV676" s="98" t="str">
        <f>IF(ISERROR((DU676/DM676-1)*100),"NA",IF(((DU676/DM676-1)*100)&gt;100,"NM",IF(((DU676/DM676-1)*100)&lt;-50,"NM",(DU676/DM676-1)*100)))</f>
        <v>NA</v>
      </c>
      <c r="DW676" s="890">
        <v>107</v>
      </c>
      <c r="DX676" s="98" t="str">
        <f>IF(ISERROR((DW676/DO676-1)*100),"NA",IF(((DW676/DO676-1)*100)&gt;100,"NM",IF(((DW676/DO676-1)*100)&lt;-50,"NM",(DW676/DO676-1)*100)))</f>
        <v>NM</v>
      </c>
      <c r="DY676" s="890">
        <v>822</v>
      </c>
      <c r="DZ676" s="98">
        <f>IF(ISERROR((DY676/DQ676-1)*100),"NA",IF(((DY676/DQ676-1)*100)&gt;100,"NM",IF(((DY676/DQ676-1)*100)&lt;-50,"NM",(DY676/DQ676-1)*100)))</f>
        <v>47.576301615798933</v>
      </c>
      <c r="EA676" s="890">
        <v>60</v>
      </c>
      <c r="EB676" s="98" t="str">
        <f>IF(ISERROR((EA676/DS676-1)*100),"NA",IF(((EA676/DS676-1)*100)&gt;100,"NM",IF(((EA676/DS676-1)*100)&lt;-50,"NM",(EA676/DS676-1)*100)))</f>
        <v>NM</v>
      </c>
      <c r="EC676" s="890">
        <v>0</v>
      </c>
      <c r="ED676" s="98" t="str">
        <f>IF(ISERROR((EC676/DU676-1)*100),"NA",IF(((EC676/DU676-1)*100)&gt;100,"NM",IF(((EC676/DU676-1)*100)&lt;-50,"NM",(EC676/DU676-1)*100)))</f>
        <v>NM</v>
      </c>
      <c r="EE676" s="890">
        <v>0</v>
      </c>
      <c r="EF676" s="860" t="str">
        <f>IF(ISERROR((EE676/DW676-1)*100),"NA",IF(((EE676/DW676-1)*100)&gt;100,"NM",IF(((EE676/DW676-1)*100)&lt;-50,"NM",(EE676/DW676-1)*100)))</f>
        <v>NM</v>
      </c>
      <c r="EG676" s="890">
        <v>302</v>
      </c>
      <c r="EH676" s="860" t="str">
        <f>IF(ISERROR((EG676/DY676-1)*100),"NA",IF(((EG676/DY676-1)*100)&gt;100,"NM",IF(((EG676/DY676-1)*100)&lt;-50,"NM",(EG676/DY676-1)*100)))</f>
        <v>NM</v>
      </c>
      <c r="EI676" s="890">
        <v>858</v>
      </c>
      <c r="EJ676" s="860" t="str">
        <f t="shared" si="4075"/>
        <v>NM</v>
      </c>
      <c r="EK676" s="890">
        <f>5284-4332</f>
        <v>952</v>
      </c>
      <c r="EL676" s="860" t="str">
        <f t="shared" si="4076"/>
        <v>NA</v>
      </c>
      <c r="EM676" s="890">
        <v>505</v>
      </c>
      <c r="EN676" s="860" t="str">
        <f t="shared" si="4077"/>
        <v>NA</v>
      </c>
      <c r="EO676" s="890">
        <f>6401-5779</f>
        <v>622</v>
      </c>
      <c r="EP676" s="98" t="str">
        <f t="shared" si="4078"/>
        <v>NM</v>
      </c>
      <c r="EQ676" s="1062">
        <v>900</v>
      </c>
      <c r="ER676" s="98">
        <f t="shared" si="4080"/>
        <v>4.8951048951048959</v>
      </c>
      <c r="ES676" s="1062">
        <f>EQ676</f>
        <v>900</v>
      </c>
      <c r="ET676" s="98">
        <f t="shared" si="4082"/>
        <v>-5.4621848739495826</v>
      </c>
      <c r="EU676" s="1062">
        <v>800</v>
      </c>
      <c r="EV676" s="98">
        <f t="shared" si="4084"/>
        <v>58.415841584158422</v>
      </c>
      <c r="EW676" s="1062">
        <f>EU676</f>
        <v>800</v>
      </c>
      <c r="EX676" s="98">
        <f t="shared" si="4086"/>
        <v>28.617363344051448</v>
      </c>
      <c r="EY676" s="40"/>
      <c r="EZ676" s="594"/>
      <c r="FA676" s="405"/>
      <c r="FB676" s="244"/>
      <c r="FC676" s="98"/>
      <c r="FD676" s="244"/>
      <c r="FE676" s="98"/>
      <c r="FF676" s="349">
        <f>C676+E676+G676+I676</f>
        <v>613</v>
      </c>
      <c r="FG676" s="98" t="str">
        <f>IF(ISERROR((FF676/FD676-1)*100),"NA",IF(((FF676/FD676-1)*100)&gt;100,"NM",IF(((FF676/FD676-1)*100)&lt;-50,"NM",(FF676/FD676-1)*100)))</f>
        <v>NA</v>
      </c>
      <c r="FH676" s="349">
        <f>K676+M676+O676+Q676</f>
        <v>1323</v>
      </c>
      <c r="FI676" s="98" t="str">
        <f>IF(ISERROR((FH676/FF676-1)*100),"NA",IF(((FH676/FF676-1)*100)&gt;100,"NM",IF(((FH676/FF676-1)*100)&lt;-50,"NM",(FH676/FF676-1)*100)))</f>
        <v>NM</v>
      </c>
      <c r="FJ676" s="349">
        <f>S676+U676+W676+Y676</f>
        <v>471</v>
      </c>
      <c r="FK676" s="98" t="str">
        <f>IF(ISERROR((FJ676/FH676-1)*100),"NA",IF(((FJ676/FH676-1)*100)&gt;100,"NM",IF(((FJ676/FH676-1)*100)&lt;-50,"NM",(FJ676/FH676-1)*100)))</f>
        <v>NM</v>
      </c>
      <c r="FL676" s="349">
        <f>AA676+AC676+AE676+AG676</f>
        <v>97</v>
      </c>
      <c r="FM676" s="98" t="str">
        <f>IF(ISERROR((FL676/FJ676-1)*100),"NA",IF(((FL676/FJ676-1)*100)&gt;100,"NM",IF(((FL676/FJ676-1)*100)&lt;-50,"NM",(FL676/FJ676-1)*100)))</f>
        <v>NM</v>
      </c>
      <c r="FN676" s="349">
        <f>AI676+AK676+AM676+AO676</f>
        <v>999.35</v>
      </c>
      <c r="FO676" s="98" t="str">
        <f>IF(ISERROR((FN676/FL676-1)*100),"NA",IF(((FN676/FL676-1)*100)&gt;100,"NM",IF(((FN676/FL676-1)*100)&lt;-50,"NM",(FN676/FL676-1)*100)))</f>
        <v>NM</v>
      </c>
      <c r="FP676" s="349">
        <f>AQ676+AS676+AU676+AW676</f>
        <v>0</v>
      </c>
      <c r="FQ676" s="98" t="str">
        <f>IF(ISERROR((FP676/FN676-1)*100),"NA",IF(((FP676/FN676-1)*100)&gt;100,"NM",IF(((FP676/FN676-1)*100)&lt;-50,"NM",(FP676/FN676-1)*100)))</f>
        <v>NM</v>
      </c>
      <c r="FR676" s="350">
        <f>AY676+BA676+BC676+BE676</f>
        <v>500</v>
      </c>
      <c r="FS676" s="120" t="str">
        <f>IF(ISERROR((FR676/FP676-1)*100),"NA",IF(((FR676/FP676-1)*100)&gt;100,"NM",IF(((FR676/FP676-1)*100)&lt;-50,"NM",(FR676/FP676-1)*100)))</f>
        <v>NA</v>
      </c>
      <c r="FT676" s="350">
        <f>BG676+BI676+BK676+BM676</f>
        <v>1681</v>
      </c>
      <c r="FU676" s="120" t="str">
        <f>IF(ISERROR((FT676/FR676-1)*100),"NA",IF(((FT676/FR676-1)*100)&gt;100,"NM",IF(((FT676/FR676-1)*100)&lt;-50,"NM",(FT676/FR676-1)*100)))</f>
        <v>NM</v>
      </c>
      <c r="FV676" s="350">
        <f>BO676+BQ676+BS676+BU676</f>
        <v>1250</v>
      </c>
      <c r="FW676" s="98">
        <f>IF(ISERROR((FV676/FT676-1)*100),"NA",IF(((FV676/FT676-1)*100)&gt;100,"NM",IF(((FV676/FT676-1)*100)&lt;-50,"NM",(FV676/FT676-1)*100)))</f>
        <v>-25.639500297441998</v>
      </c>
      <c r="FX676" s="480">
        <f>BW676+BY676+CA676+CC676</f>
        <v>0</v>
      </c>
      <c r="FY676" s="98" t="str">
        <f>IF(ISERROR((FX676/FV676-1)*100),"NA",IF(((FX676/FV676-1)*100)&gt;100,"NM",IF(((FX676/FV676-1)*100)&lt;-50,"NM",(FX676/FV676-1)*100)))</f>
        <v>NM</v>
      </c>
      <c r="FZ676" s="245">
        <f>CE676+CG676+CI676+CK676</f>
        <v>0</v>
      </c>
      <c r="GA676" s="98" t="str">
        <f>IF(ISERROR((FZ676/FX676-1)*100),"NA",IF(((FZ676/FX676-1)*100)&gt;100,"NM",IF(((FZ676/FX676-1)*100)&lt;-50,"NM",(FZ676/FX676-1)*100)))</f>
        <v>NA</v>
      </c>
      <c r="GB676" s="480">
        <f>CM676+CO676+CQ676+CS676</f>
        <v>0</v>
      </c>
      <c r="GC676" s="98" t="str">
        <f>IF(ISERROR((GB676/FZ676-1)*100),"NA",IF(((GB676/FZ676-1)*100)&gt;100,"NM",IF(((GB676/FZ676-1)*100)&lt;-50,"NM",(GB676/FZ676-1)*100)))</f>
        <v>NA</v>
      </c>
      <c r="GD676" s="160">
        <f>CU676+CW676+CY676+DA676</f>
        <v>0</v>
      </c>
      <c r="GE676" s="98" t="str">
        <f>IF(ISERROR((GD676/GB676-1)*100),"NA",IF(((GD676/GB676-1)*100)&gt;100,"NM",IF(((GD676/GB676-1)*100)&lt;-50,"NM",(GD676/GB676-1)*100)))</f>
        <v>NA</v>
      </c>
      <c r="GF676" s="160">
        <f>DC676+DE676+DG676+DI676</f>
        <v>0</v>
      </c>
      <c r="GG676" s="98" t="str">
        <f>IF(ISERROR((GF676/GD676-1)*100),"NA",IF(((GF676/GD676-1)*100)&gt;100,"NM",IF(((GF676/GD676-1)*100)&lt;-50,"NM",(GF676/GD676-1)*100)))</f>
        <v>NA</v>
      </c>
      <c r="GH676" s="160">
        <f>DK676+DM676+DO676+DQ676</f>
        <v>995</v>
      </c>
      <c r="GI676" s="98" t="str">
        <f>IF(ISERROR((GH676/GF676-1)*100),"NA",IF(((GH676/GF676-1)*100)&gt;100,"NM",IF(((GH676/GF676-1)*100)&lt;-50,"NM",(GH676/GF676-1)*100)))</f>
        <v>NA</v>
      </c>
      <c r="GJ676" s="160">
        <f>DS676+DU676+DW676+DY676</f>
        <v>1954.5260000000001</v>
      </c>
      <c r="GK676" s="98">
        <f>IF(ISERROR((GJ676/GH676-1)*100),"NA",IF(((GJ676/GH676-1)*100)&gt;100,"NM",IF(((GJ676/GH676-1)*100)&lt;-50,"NM",(GJ676/GH676-1)*100)))</f>
        <v>96.434773869346742</v>
      </c>
      <c r="GL676" s="160">
        <f>EA676+EC676+EE676+EG676</f>
        <v>362</v>
      </c>
      <c r="GM676" s="98" t="str">
        <f>IF(ISERROR((GL676/GJ676-1)*100),"NA",IF(((GL676/GJ676-1)*100)&gt;100,"NM",IF(((GL676/GJ676-1)*100)&lt;-50,"NM",(GL676/GJ676-1)*100)))</f>
        <v>NM</v>
      </c>
      <c r="GN676" s="160">
        <f>EI676+EK676+EM676+EO676</f>
        <v>2937</v>
      </c>
      <c r="GO676" s="98" t="str">
        <f>IF(ISERROR((GN676/GL676-1)*100),"NA",IF(((GN676/GL676-1)*100)&gt;100,"NM",IF(((GN676/GL676-1)*100)&lt;-50,"NM",(GN676/GL676-1)*100)))</f>
        <v>NM</v>
      </c>
      <c r="GP676" s="160">
        <f>EQ676+ES676+EU676+EW676</f>
        <v>3400</v>
      </c>
      <c r="GQ676" s="98">
        <f>IF(ISERROR((GP676/GN676-1)*100),"NA",IF(((GP676/GN676-1)*100)&gt;100,"NM",IF(((GP676/GN676-1)*100)&lt;-50,"NM",(GP676/GN676-1)*100)))</f>
        <v>15.764385427306781</v>
      </c>
      <c r="GR676" s="40">
        <v>3000</v>
      </c>
      <c r="GS676" s="98">
        <f>IF(ISERROR((GR676/GP676-1)*100),"NA",IF(((GR676/GP676-1)*100)&gt;100,"NM",IF(((GR676/GP676-1)*100)&lt;-50,"NM",(GR676/GP676-1)*100)))</f>
        <v>-11.764705882352944</v>
      </c>
      <c r="GT676" s="40">
        <v>3000</v>
      </c>
      <c r="GU676" s="98">
        <f>IF(ISERROR((GT676/GR676-1)*100),"NA",IF(((GT676/GR676-1)*100)&gt;100,"NM",IF(((GT676/GR676-1)*100)&lt;-50,"NM",(GT676/GR676-1)*100)))</f>
        <v>0</v>
      </c>
      <c r="GV676" s="40">
        <v>3000</v>
      </c>
      <c r="GW676" s="98">
        <f>IF(ISERROR((GV676/GT676-1)*100),"NA",IF(((GV676/GT676-1)*100)&gt;100,"NM",IF(((GV676/GT676-1)*100)&lt;-50,"NM",(GV676/GT676-1)*100)))</f>
        <v>0</v>
      </c>
      <c r="GX676" s="40">
        <v>3000</v>
      </c>
      <c r="GY676" s="98">
        <f>IF(ISERROR((GX676/GV676-1)*100),"NA",IF(((GX676/GV676-1)*100)&gt;100,"NM",IF(((GX676/GV676-1)*100)&lt;-50,"NM",(GX676/GV676-1)*100)))</f>
        <v>0</v>
      </c>
      <c r="GZ676" s="98">
        <f>IF(ISERROR(((GX676/GN676)^0.2-1)*100),"NA",IF((((GX676/GN676)^0.2-1)*100)&gt;100,"NM",IF((((GX676/GN676)^0.2-1)*100)&lt;-50,"NM",((GX676/GN676)^0.2-1)*100)))</f>
        <v>0.42537489054588207</v>
      </c>
      <c r="HA676" s="98"/>
      <c r="HB676" s="10"/>
      <c r="HC676"/>
      <c r="HD676"/>
      <c r="HE676"/>
      <c r="HF676"/>
      <c r="HG676"/>
      <c r="HH676"/>
      <c r="HI676" s="10"/>
    </row>
    <row r="677" spans="1:217" s="143" customFormat="1" ht="12.75" hidden="1" customHeight="1" outlineLevel="1" x14ac:dyDescent="0.2">
      <c r="B677" s="359" t="s">
        <v>43</v>
      </c>
      <c r="C677" s="360"/>
      <c r="D677" s="104"/>
      <c r="E677" s="361"/>
      <c r="F677" s="104"/>
      <c r="G677" s="361"/>
      <c r="H677" s="104"/>
      <c r="I677" s="360"/>
      <c r="J677" s="104"/>
      <c r="K677" s="360"/>
      <c r="L677" s="104"/>
      <c r="M677" s="361"/>
      <c r="N677" s="104"/>
      <c r="O677" s="361"/>
      <c r="P677" s="104"/>
      <c r="Q677" s="360"/>
      <c r="R677" s="104"/>
      <c r="S677" s="360"/>
      <c r="T677" s="104"/>
      <c r="U677" s="360"/>
      <c r="V677" s="104"/>
      <c r="W677" s="360"/>
      <c r="X677" s="104"/>
      <c r="Y677" s="360"/>
      <c r="Z677" s="104"/>
      <c r="AA677" s="360"/>
      <c r="AB677" s="104"/>
      <c r="AC677" s="360"/>
      <c r="AD677" s="104"/>
      <c r="AE677" s="360"/>
      <c r="AF677" s="104"/>
      <c r="AG677" s="362"/>
      <c r="AH677" s="104"/>
      <c r="AI677" s="362"/>
      <c r="AJ677" s="104"/>
      <c r="AK677" s="362"/>
      <c r="AL677" s="104"/>
      <c r="AM677" s="362"/>
      <c r="AN677" s="104"/>
      <c r="AO677" s="362"/>
      <c r="AP677" s="104"/>
      <c r="AQ677" s="363"/>
      <c r="AR677" s="104"/>
      <c r="AS677" s="363"/>
      <c r="AT677" s="104"/>
      <c r="AU677" s="363"/>
      <c r="AV677" s="104"/>
      <c r="AW677" s="363"/>
      <c r="AX677" s="104"/>
      <c r="AY677" s="363"/>
      <c r="AZ677" s="104"/>
      <c r="BA677" s="363"/>
      <c r="BB677" s="104"/>
      <c r="BC677" s="363"/>
      <c r="BD677" s="104"/>
      <c r="BE677" s="363"/>
      <c r="BF677" s="104"/>
      <c r="BG677" s="363"/>
      <c r="BH677" s="104"/>
      <c r="BI677" s="363"/>
      <c r="BJ677" s="104"/>
      <c r="BK677" s="363"/>
      <c r="BL677" s="104"/>
      <c r="BM677" s="363"/>
      <c r="BN677" s="104"/>
      <c r="BO677" s="363"/>
      <c r="BP677" s="104"/>
      <c r="BQ677" s="363"/>
      <c r="BR677" s="104"/>
      <c r="BS677" s="363"/>
      <c r="BT677" s="104"/>
      <c r="BU677" s="363"/>
      <c r="BV677" s="104"/>
      <c r="BW677" s="363"/>
      <c r="BX677" s="104"/>
      <c r="BY677" s="363"/>
      <c r="BZ677" s="104"/>
      <c r="CA677" s="363"/>
      <c r="CB677" s="104"/>
      <c r="CC677" s="363"/>
      <c r="CD677" s="104"/>
      <c r="CE677" s="363"/>
      <c r="CF677" s="104"/>
      <c r="CG677" s="363"/>
      <c r="CH677" s="104"/>
      <c r="CI677" s="363"/>
      <c r="CJ677" s="104"/>
      <c r="CK677" s="363"/>
      <c r="CL677" s="104"/>
      <c r="CM677" s="363"/>
      <c r="CN677" s="104"/>
      <c r="CO677" s="363"/>
      <c r="CP677" s="104"/>
      <c r="CQ677" s="569"/>
      <c r="CR677" s="104"/>
      <c r="CS677" s="363"/>
      <c r="CT677" s="104"/>
      <c r="CU677" s="363"/>
      <c r="CV677" s="104"/>
      <c r="CW677" s="363"/>
      <c r="CX677" s="104"/>
      <c r="CY677" s="363"/>
      <c r="CZ677" s="104"/>
      <c r="DA677" s="363"/>
      <c r="DB677" s="104"/>
      <c r="DC677" s="363"/>
      <c r="DD677" s="104"/>
      <c r="DE677" s="363"/>
      <c r="DF677" s="104"/>
      <c r="DG677" s="363"/>
      <c r="DH677" s="104"/>
      <c r="DI677" s="363"/>
      <c r="DJ677" s="104"/>
      <c r="DK677" s="363"/>
      <c r="DL677" s="104"/>
      <c r="DM677" s="363"/>
      <c r="DN677" s="104"/>
      <c r="DO677" s="363"/>
      <c r="DP677" s="104"/>
      <c r="DQ677" s="363"/>
      <c r="DR677" s="104"/>
      <c r="DS677" s="363"/>
      <c r="DT677" s="104"/>
      <c r="DU677" s="363"/>
      <c r="DV677" s="104"/>
      <c r="DW677" s="363"/>
      <c r="DX677" s="104"/>
      <c r="DY677" s="363"/>
      <c r="DZ677" s="104"/>
      <c r="EA677" s="363"/>
      <c r="EB677" s="104"/>
      <c r="EC677" s="363"/>
      <c r="ED677" s="104"/>
      <c r="EE677" s="363"/>
      <c r="EF677" s="1019"/>
      <c r="EG677" s="363"/>
      <c r="EH677" s="1019"/>
      <c r="EI677" s="363"/>
      <c r="EJ677" s="1019"/>
      <c r="EK677" s="363"/>
      <c r="EL677" s="1019"/>
      <c r="EM677" s="363"/>
      <c r="EN677" s="1019"/>
      <c r="EO677" s="363"/>
      <c r="EP677" s="104"/>
      <c r="EQ677" s="1063">
        <f>IF($B$6=1,EQ676,IF($B$6=2,EQ676+EQ879,IF($B$6=3,EQ676+EQ880)))</f>
        <v>900</v>
      </c>
      <c r="ER677" s="104"/>
      <c r="ES677" s="1063">
        <f t="shared" ref="ES677" si="4090">IF($B$6=1,ES676,IF($B$6=2,ES676+ES879,IF($B$6=3,ES676+ES880)))</f>
        <v>900</v>
      </c>
      <c r="ET677" s="104"/>
      <c r="EU677" s="1063">
        <f t="shared" ref="EU677" si="4091">IF($B$6=1,EU676,IF($B$6=2,EU676+EU879,IF($B$6=3,EU676+EU880)))</f>
        <v>800</v>
      </c>
      <c r="EV677" s="104"/>
      <c r="EW677" s="1063">
        <f t="shared" ref="EW677" si="4092">IF($B$6=1,EW676,IF($B$6=2,EW676+EW879,IF($B$6=3,EW676+EW880)))</f>
        <v>800</v>
      </c>
      <c r="EX677" s="104"/>
      <c r="EY677" s="364"/>
      <c r="EZ677" s="595"/>
      <c r="FA677" s="406"/>
      <c r="FB677" s="365"/>
      <c r="FC677" s="104"/>
      <c r="FD677" s="365"/>
      <c r="FE677" s="104"/>
      <c r="FF677" s="363"/>
      <c r="FG677" s="104"/>
      <c r="FH677" s="363"/>
      <c r="FI677" s="104"/>
      <c r="FJ677" s="363"/>
      <c r="FK677" s="104"/>
      <c r="FL677" s="363"/>
      <c r="FM677" s="104"/>
      <c r="FN677" s="363"/>
      <c r="FO677" s="104"/>
      <c r="FP677" s="363"/>
      <c r="FQ677" s="104"/>
      <c r="FR677" s="364"/>
      <c r="FS677" s="109"/>
      <c r="FT677" s="364"/>
      <c r="FU677" s="109"/>
      <c r="FV677" s="364"/>
      <c r="FW677" s="104"/>
      <c r="FX677" s="527"/>
      <c r="FY677" s="104"/>
      <c r="FZ677" s="364"/>
      <c r="GA677" s="104"/>
      <c r="GB677" s="527"/>
      <c r="GC677" s="104"/>
      <c r="GD677" s="364"/>
      <c r="GE677" s="104"/>
      <c r="GF677" s="364"/>
      <c r="GG677" s="104"/>
      <c r="GH677" s="364"/>
      <c r="GI677" s="104"/>
      <c r="GJ677" s="364"/>
      <c r="GK677" s="104"/>
      <c r="GL677" s="364"/>
      <c r="GM677" s="104"/>
      <c r="GN677" s="364"/>
      <c r="GO677" s="104"/>
      <c r="GP677" s="364"/>
      <c r="GQ677" s="104"/>
      <c r="GR677" s="364">
        <f>IF($B$6=1,GR676,IF($B$6=2,GR676+GR879,IF($B$6=3,GR676+GR880)))</f>
        <v>3000</v>
      </c>
      <c r="GS677" s="104"/>
      <c r="GT677" s="364">
        <f>IF($B$6=1,GT676,IF($B$6=2,GT676+GT879,IF($B$6=3,GT676+GT880)))</f>
        <v>3000</v>
      </c>
      <c r="GU677" s="104"/>
      <c r="GV677" s="364">
        <f>IF($B$6=1,GV676,IF($B$6=2,GV676+GV879,IF($B$6=3,GV676+GV880)))</f>
        <v>3000</v>
      </c>
      <c r="GW677" s="104"/>
      <c r="GX677" s="364">
        <f>IF($B$6=1,GX676,IF($B$6=2,GX676+GX879,IF($B$6=3,GX676+GX880)))</f>
        <v>3000</v>
      </c>
      <c r="GY677" s="104"/>
      <c r="GZ677" s="104"/>
      <c r="HA677" s="104"/>
      <c r="HB677" s="111"/>
      <c r="HC677"/>
      <c r="HD677"/>
      <c r="HE677"/>
      <c r="HF677"/>
      <c r="HG677"/>
      <c r="HH677"/>
      <c r="HI677" s="111"/>
    </row>
    <row r="678" spans="1:217" s="10" customFormat="1" ht="12.75" hidden="1" customHeight="1" outlineLevel="1" x14ac:dyDescent="0.2">
      <c r="B678" s="18" t="s">
        <v>325</v>
      </c>
      <c r="C678" s="366"/>
      <c r="D678" s="33"/>
      <c r="E678" s="366"/>
      <c r="F678" s="33"/>
      <c r="G678" s="366"/>
      <c r="H678" s="33"/>
      <c r="I678" s="366"/>
      <c r="J678" s="33"/>
      <c r="K678" s="366"/>
      <c r="L678" s="33"/>
      <c r="M678" s="366"/>
      <c r="N678" s="33"/>
      <c r="O678" s="366"/>
      <c r="P678" s="33"/>
      <c r="Q678" s="366"/>
      <c r="R678" s="33"/>
      <c r="S678" s="366"/>
      <c r="T678" s="33"/>
      <c r="U678" s="366"/>
      <c r="V678" s="33"/>
      <c r="W678" s="366"/>
      <c r="X678" s="33"/>
      <c r="Y678" s="366"/>
      <c r="Z678" s="33"/>
      <c r="AA678" s="366"/>
      <c r="AB678" s="33"/>
      <c r="AC678" s="366"/>
      <c r="AD678" s="33"/>
      <c r="AE678" s="366"/>
      <c r="AF678" s="33"/>
      <c r="AG678" s="366"/>
      <c r="AH678" s="33"/>
      <c r="AI678" s="366"/>
      <c r="AJ678" s="33"/>
      <c r="AK678" s="366"/>
      <c r="AL678" s="33"/>
      <c r="AM678" s="366"/>
      <c r="AN678" s="33"/>
      <c r="AO678" s="366"/>
      <c r="AP678" s="33"/>
      <c r="AQ678" s="366"/>
      <c r="AR678" s="33"/>
      <c r="AS678" s="366"/>
      <c r="AT678" s="33"/>
      <c r="AU678" s="366"/>
      <c r="AV678" s="33"/>
      <c r="AW678" s="366"/>
      <c r="AX678" s="33"/>
      <c r="AY678" s="366">
        <f>+AY729+AY665-AY642+(AW732-AY732)-AW729</f>
        <v>74</v>
      </c>
      <c r="AZ678" s="33" t="str">
        <f>IF(ISERROR((AY678/AQ678-1)*100),"NA",IF(((AY678/AQ678-1)*100)&gt;100,"NM",IF(((AY678/AQ678-1)*100)&lt;-50,"NM",(AY678/AQ678-1)*100)))</f>
        <v>NA</v>
      </c>
      <c r="BA678" s="366">
        <f>+BA729+BA665-BA642+(AY732-BA732)-AY729</f>
        <v>78</v>
      </c>
      <c r="BB678" s="33" t="str">
        <f>IF(ISERROR((BA678/AS678-1)*100),"NA",IF(((BA678/AS678-1)*100)&gt;100,"NM",IF(((BA678/AS678-1)*100)&lt;-50,"NM",(BA678/AS678-1)*100)))</f>
        <v>NA</v>
      </c>
      <c r="BC678" s="366">
        <f>+BC729+BC665-BC642+(BA732-BC732)-BA729</f>
        <v>52</v>
      </c>
      <c r="BD678" s="33" t="str">
        <f>IF(ISERROR((BC678/AU678-1)*100),"NA",IF(((BC678/AU678-1)*100)&gt;100,"NM",IF(((BC678/AU678-1)*100)&lt;-50,"NM",(BC678/AU678-1)*100)))</f>
        <v>NA</v>
      </c>
      <c r="BE678" s="366">
        <f>+BE729+BE665-BE642+(BC732-BE732)-BC729</f>
        <v>-428.31999999999971</v>
      </c>
      <c r="BF678" s="33" t="str">
        <f>IF(ISERROR((BE678/AW678-1)*100),"NA",IF(((BE678/AW678-1)*100)&gt;100,"NM",IF(((BE678/AW678-1)*100)&lt;-50,"NM",(BE678/AW678-1)*100)))</f>
        <v>NA</v>
      </c>
      <c r="BG678" s="366">
        <f>+BG729+BG665-BG642+(BE732-BG732)-BE729</f>
        <v>-996</v>
      </c>
      <c r="BH678" s="33" t="str">
        <f>IF(ISERROR((BG678/AY678-1)*100),"NA",IF(((BG678/AY678-1)*100)&gt;100,"NM",IF(((BG678/AY678-1)*100)&lt;-50,"NM",(BG678/AY678-1)*100)))</f>
        <v>NM</v>
      </c>
      <c r="BI678" s="366">
        <f>+BI729+BI665-BI642+(BG732-BI732)-BG729</f>
        <v>51</v>
      </c>
      <c r="BJ678" s="33">
        <f>IF(ISERROR((BI678/BA678-1)*100),"NA",IF(((BI678/BA678-1)*100)&gt;100,"NM",IF(((BI678/BA678-1)*100)&lt;-50,"NM",(BI678/BA678-1)*100)))</f>
        <v>-34.615384615384613</v>
      </c>
      <c r="BK678" s="366">
        <f>+BK729+BK665-BK642+(BI732-BK732)-BI729</f>
        <v>-142</v>
      </c>
      <c r="BL678" s="33" t="str">
        <f>IF(ISERROR((BK678/BC678-1)*100),"NA",IF(((BK678/BC678-1)*100)&gt;100,"NM",IF(((BK678/BC678-1)*100)&lt;-50,"NM",(BK678/BC678-1)*100)))</f>
        <v>NM</v>
      </c>
      <c r="BM678" s="366">
        <f>+BM729+BM665-BM642+(BK732-BM732)-BK729</f>
        <v>-1132.7059999999983</v>
      </c>
      <c r="BN678" s="33" t="str">
        <f>IF(ISERROR((BM678/BE678-1)*100),"NA",IF(((BM678/BE678-1)*100)&gt;100,"NM",IF(((BM678/BE678-1)*100)&lt;-50,"NM",(BM678/BE678-1)*100)))</f>
        <v>NM</v>
      </c>
      <c r="BO678" s="366">
        <f>+BO729+BO665-BO642+(BM732-BO732)-BM729</f>
        <v>-689</v>
      </c>
      <c r="BP678" s="33">
        <f>IF(ISERROR((BO678/BG678-1)*100),"NA",IF(((BO678/BG678-1)*100)&gt;100,"NM",IF(((BO678/BG678-1)*100)&lt;-50,"NM",(BO678/BG678-1)*100)))</f>
        <v>-30.823293172690757</v>
      </c>
      <c r="BQ678" s="366">
        <f>+BQ729+BQ665-BQ642+(BO732-BQ732)-BO729</f>
        <v>108</v>
      </c>
      <c r="BR678" s="33" t="str">
        <f>IF(ISERROR((BQ678/BI678-1)*100),"NA",IF(((BQ678/BI678-1)*100)&gt;100,"NM",IF(((BQ678/BI678-1)*100)&lt;-50,"NM",(BQ678/BI678-1)*100)))</f>
        <v>NM</v>
      </c>
      <c r="BS678" s="366">
        <f>+BS729+BS665-BS642+(BQ732-BS732)-BQ729</f>
        <v>-277</v>
      </c>
      <c r="BT678" s="33">
        <f>IF(ISERROR((BS678/BK678-1)*100),"NA",IF(((BS678/BK678-1)*100)&gt;100,"NM",IF(((BS678/BK678-1)*100)&lt;-50,"NM",(BS678/BK678-1)*100)))</f>
        <v>95.070422535211279</v>
      </c>
      <c r="BU678" s="366">
        <f>+BU729+BU665-BU642+(BS732-BU732)-BS729</f>
        <v>2426.2639999999992</v>
      </c>
      <c r="BV678" s="33" t="str">
        <f>IF(ISERROR((BU678/BM678-1)*100),"NA",IF(((BU678/BM678-1)*100)&gt;100,"NM",IF(((BU678/BM678-1)*100)&lt;-50,"NM",(BU678/BM678-1)*100)))</f>
        <v>NM</v>
      </c>
      <c r="BW678" s="366">
        <f>+BW729+BW665-BW642+(BU732-BW732)-BU729</f>
        <v>1244</v>
      </c>
      <c r="BX678" s="33" t="str">
        <f>IF(ISERROR((BW678/BO678-1)*100),"NA",IF(((BW678/BO678-1)*100)&gt;100,"NM",IF(((BW678/BO678-1)*100)&lt;-50,"NM",(BW678/BO678-1)*100)))</f>
        <v>NM</v>
      </c>
      <c r="BY678" s="366">
        <f>+BY729+BY665-BY642+(BW732-BY732)-BW729</f>
        <v>672</v>
      </c>
      <c r="BZ678" s="33" t="str">
        <f>IF(ISERROR((BY678/BQ678-1)*100),"NA",IF(((BY678/BQ678-1)*100)&gt;100,"NM",IF(((BY678/BQ678-1)*100)&lt;-50,"NM",(BY678/BQ678-1)*100)))</f>
        <v>NM</v>
      </c>
      <c r="CA678" s="366">
        <f>+CA729+CA665-CA642+(BY732-CA732)-BY729</f>
        <v>598</v>
      </c>
      <c r="CB678" s="33" t="str">
        <f>IF(ISERROR((CA678/BS678-1)*100),"NA",IF(((CA678/BS678-1)*100)&gt;100,"NM",IF(((CA678/BS678-1)*100)&lt;-50,"NM",(CA678/BS678-1)*100)))</f>
        <v>NM</v>
      </c>
      <c r="CC678" s="366">
        <f>+CC729+CC665-CC642+(CA732-CC732)-CA729</f>
        <v>753.91199999999662</v>
      </c>
      <c r="CD678" s="33" t="str">
        <f>IF(ISERROR((CC678/BU678-1)*100),"NA",IF(((CC678/BU678-1)*100)&gt;100,"NM",IF(((CC678/BU678-1)*100)&lt;-50,"NM",(CC678/BU678-1)*100)))</f>
        <v>NM</v>
      </c>
      <c r="CE678" s="366">
        <f>+CE729+CE665-CE642+(CC732-CE732)-CC729</f>
        <v>642</v>
      </c>
      <c r="CF678" s="33">
        <f>IF(ISERROR((CE678/BW678-1)*100),"NA",IF(((CE678/BW678-1)*100)&gt;100,"NM",IF(((CE678/BW678-1)*100)&lt;-50,"NM",(CE678/BW678-1)*100)))</f>
        <v>-48.39228295819936</v>
      </c>
      <c r="CG678" s="366">
        <f>+CG729+CG665-CG642+(CE732-CG732)-CE729</f>
        <v>670</v>
      </c>
      <c r="CH678" s="33">
        <f>IF(ISERROR((CG678/BY678-1)*100),"NA",IF(((CG678/BY678-1)*100)&gt;100,"NM",IF(((CG678/BY678-1)*100)&lt;-50,"NM",(CG678/BY678-1)*100)))</f>
        <v>-0.29761904761904656</v>
      </c>
      <c r="CI678" s="366">
        <f>+CI729+CI665-CI642+(CG732-CI732)-CG729</f>
        <v>4312</v>
      </c>
      <c r="CJ678" s="33" t="str">
        <f>IF(ISERROR((CI678/CA678-1)*100),"NA",IF(((CI678/CA678-1)*100)&gt;100,"NM",IF(((CI678/CA678-1)*100)&lt;-50,"NM",(CI678/CA678-1)*100)))</f>
        <v>NM</v>
      </c>
      <c r="CK678" s="366">
        <f>+CK729+CK665-CK642+(CI732-CK732)-CI729</f>
        <v>6580.2560000000012</v>
      </c>
      <c r="CL678" s="33" t="str">
        <f>IF(ISERROR((CK678/CC678-1)*100),"NA",IF(((CK678/CC678-1)*100)&gt;100,"NM",IF(((CK678/CC678-1)*100)&lt;-50,"NM",(CK678/CC678-1)*100)))</f>
        <v>NM</v>
      </c>
      <c r="CM678" s="366">
        <f>+CM729+CM665-CM642+(CK732-CM732)-CK729</f>
        <v>-1057.1999999999971</v>
      </c>
      <c r="CN678" s="33" t="str">
        <f>IF(ISERROR((CM678/CE678-1)*100),"NA",IF(((CM678/CE678-1)*100)&gt;100,"NM",IF(((CM678/CE678-1)*100)&lt;-50,"NM",(CM678/CE678-1)*100)))</f>
        <v>NM</v>
      </c>
      <c r="CO678" s="366">
        <f>+CO729+CO665-CO642+(CM732-CO732)-CM729</f>
        <v>607</v>
      </c>
      <c r="CP678" s="33">
        <f>IF(ISERROR((CO678/CG678-1)*100),"NA",IF(((CO678/CG678-1)*100)&gt;100,"NM",IF(((CO678/CG678-1)*100)&lt;-50,"NM",(CO678/CG678-1)*100)))</f>
        <v>-9.4029850746268693</v>
      </c>
      <c r="CQ678" s="528">
        <f>+CQ729+CQ665-CQ642+(CO732-CQ732)-CO729</f>
        <v>244</v>
      </c>
      <c r="CR678" s="33" t="str">
        <f>IF(ISERROR((CQ678/CI678-1)*100),"NA",IF(((CQ678/CI678-1)*100)&gt;100,"NM",IF(((CQ678/CI678-1)*100)&lt;-50,"NM",(CQ678/CI678-1)*100)))</f>
        <v>NM</v>
      </c>
      <c r="CS678" s="366">
        <f>+CS729+CS665-CS642+(CQ732-CS732)-CQ729</f>
        <v>478.33480000000418</v>
      </c>
      <c r="CT678" s="33" t="str">
        <f>IF(ISERROR((CS678/CK678-1)*100),"NA",IF(((CS678/CK678-1)*100)&gt;100,"NM",IF(((CS678/CK678-1)*100)&lt;-50,"NM",(CS678/CK678-1)*100)))</f>
        <v>NM</v>
      </c>
      <c r="CU678" s="366">
        <f>+CU729+CU665-CU642+(CS732-CU732)-CS729</f>
        <v>607</v>
      </c>
      <c r="CV678" s="33" t="str">
        <f>IF(ISERROR((CU678/CM678-1)*100),"NA",IF(((CU678/CM678-1)*100)&gt;100,"NM",IF(((CU678/CM678-1)*100)&lt;-50,"NM",(CU678/CM678-1)*100)))</f>
        <v>NM</v>
      </c>
      <c r="CW678" s="366">
        <f>+CW729+CW665-CW642+(CU732-CW732)-CU729</f>
        <v>414</v>
      </c>
      <c r="CX678" s="33">
        <f>IF(ISERROR((CW678/CO678-1)*100),"NA",IF(((CW678/CO678-1)*100)&gt;100,"NM",IF(((CW678/CO678-1)*100)&lt;-50,"NM",(CW678/CO678-1)*100)))</f>
        <v>-31.795716639209225</v>
      </c>
      <c r="CY678" s="366">
        <f>+CY729+CY665-CY642+(CW732-CY732)-CW729</f>
        <v>530</v>
      </c>
      <c r="CZ678" s="33" t="str">
        <f>IF(ISERROR((CY678/CQ678-1)*100),"NA",IF(((CY678/CQ678-1)*100)&gt;100,"NM",IF(((CY678/CQ678-1)*100)&lt;-50,"NM",(CY678/CQ678-1)*100)))</f>
        <v>NM</v>
      </c>
      <c r="DA678" s="366">
        <f>+DA729+DA665-DA642+(CY732-DA732)-CY729</f>
        <v>1676.8580000000075</v>
      </c>
      <c r="DB678" s="33" t="str">
        <f>IF(ISERROR((DA678/CS678-1)*100),"NA",IF(((DA678/CS678-1)*100)&gt;100,"NM",IF(((DA678/CS678-1)*100)&lt;-50,"NM",(DA678/CS678-1)*100)))</f>
        <v>NM</v>
      </c>
      <c r="DC678" s="366">
        <f>+DC729+DC665-DC642+(DA732-DC732)-DA729</f>
        <v>686.42700000000332</v>
      </c>
      <c r="DD678" s="33">
        <f>IF(ISERROR((DC678/CU678-1)*100),"NA",IF(((DC678/CU678-1)*100)&gt;100,"NM",IF(((DC678/CU678-1)*100)&lt;-50,"NM",(DC678/CU678-1)*100)))</f>
        <v>13.085172981878635</v>
      </c>
      <c r="DE678" s="366">
        <f>+DE729+DE665-DE642+(DC732-DE732)-DC729</f>
        <v>342.56500000000233</v>
      </c>
      <c r="DF678" s="33">
        <f>IF(ISERROR((DE678/CW678-1)*100),"NA",IF(((DE678/CW678-1)*100)&gt;100,"NM",IF(((DE678/CW678-1)*100)&lt;-50,"NM",(DE678/CW678-1)*100)))</f>
        <v>-17.254830917873832</v>
      </c>
      <c r="DG678" s="366">
        <f>+DG729+DG665-DG642+(DE732-DG732)-DE729</f>
        <v>2051.2200000000012</v>
      </c>
      <c r="DH678" s="33" t="str">
        <f>IF(ISERROR((DG678/CY678-1)*100),"NA",IF(((DG678/CY678-1)*100)&gt;100,"NM",IF(((DG678/CY678-1)*100)&lt;-50,"NM",(DG678/CY678-1)*100)))</f>
        <v>NM</v>
      </c>
      <c r="DI678" s="366">
        <f>+DI729+DI665-DI642+(DG732-DI732)-DG729</f>
        <v>-947.44999999999709</v>
      </c>
      <c r="DJ678" s="33" t="str">
        <f>IF(ISERROR((DI678/DA678-1)*100),"NA",IF(((DI678/DA678-1)*100)&gt;100,"NM",IF(((DI678/DA678-1)*100)&lt;-50,"NM",(DI678/DA678-1)*100)))</f>
        <v>NM</v>
      </c>
      <c r="DK678" s="366">
        <f>+DK729+DK665-DK642+(DI732-DK732)-DI729</f>
        <v>557.32000000000698</v>
      </c>
      <c r="DL678" s="33">
        <f>IF(ISERROR((DK678/DC678-1)*100),"NA",IF(((DK678/DC678-1)*100)&gt;100,"NM",IF(((DK678/DC678-1)*100)&lt;-50,"NM",(DK678/DC678-1)*100)))</f>
        <v>-18.808555024787154</v>
      </c>
      <c r="DM678" s="366">
        <f>+DM729+DM665-DM642+(DK732-DM732)-DK729</f>
        <v>830.30999999999767</v>
      </c>
      <c r="DN678" s="33" t="str">
        <f>IF(ISERROR((DM678/DE678-1)*100),"NA",IF(((DM678/DE678-1)*100)&gt;100,"NM",IF(((DM678/DE678-1)*100)&lt;-50,"NM",(DM678/DE678-1)*100)))</f>
        <v>NM</v>
      </c>
      <c r="DO678" s="366">
        <f>+DO729+DO665-DO642+(DM732-DO732)-DM729</f>
        <v>-28.315000000002328</v>
      </c>
      <c r="DP678" s="33" t="str">
        <f>IF(ISERROR((DO678/DG678-1)*100),"NA",IF(((DO678/DG678-1)*100)&gt;100,"NM",IF(((DO678/DG678-1)*100)&lt;-50,"NM",(DO678/DG678-1)*100)))</f>
        <v>NM</v>
      </c>
      <c r="DQ678" s="366">
        <f>+DQ729+DQ665-DQ642+(DO732-DQ732)-DO729</f>
        <v>72.164999999993597</v>
      </c>
      <c r="DR678" s="33" t="str">
        <f>IF(ISERROR((DQ678/DI678-1)*100),"NA",IF(((DQ678/DI678-1)*100)&gt;100,"NM",IF(((DQ678/DI678-1)*100)&lt;-50,"NM",(DQ678/DI678-1)*100)))</f>
        <v>NM</v>
      </c>
      <c r="DS678" s="366">
        <f>+DS729+DS665-DS642+(DQ732-DS732)-DQ729</f>
        <v>-1184.1374999999971</v>
      </c>
      <c r="DT678" s="33" t="str">
        <f>IF(ISERROR((DS678/DK678-1)*100),"NA",IF(((DS678/DK678-1)*100)&gt;100,"NM",IF(((DS678/DK678-1)*100)&lt;-50,"NM",(DS678/DK678-1)*100)))</f>
        <v>NM</v>
      </c>
      <c r="DU678" s="366">
        <f>+DU729+DU665-DU642+(DS732-DU732)-DS729</f>
        <v>247.80000000000291</v>
      </c>
      <c r="DV678" s="33" t="str">
        <f>IF(ISERROR((DU678/DM678-1)*100),"NA",IF(((DU678/DM678-1)*100)&gt;100,"NM",IF(((DU678/DM678-1)*100)&lt;-50,"NM",(DU678/DM678-1)*100)))</f>
        <v>NM</v>
      </c>
      <c r="DW678" s="366">
        <f>+DW729+DW665-DW642+(DU732-DW732)-DU729</f>
        <v>-113.94999999999709</v>
      </c>
      <c r="DX678" s="33" t="str">
        <f>IF(ISERROR((DW678/DO678-1)*100),"NA",IF(((DW678/DO678-1)*100)&gt;100,"NM",IF(((DW678/DO678-1)*100)&lt;-50,"NM",(DW678/DO678-1)*100)))</f>
        <v>NM</v>
      </c>
      <c r="DY678" s="366">
        <f>+DY729+DY665-DY642+(DW732-DY732)-DW729</f>
        <v>-795.25</v>
      </c>
      <c r="DZ678" s="33" t="str">
        <f>IF(ISERROR((DY678/DQ678-1)*100),"NA",IF(((DY678/DQ678-1)*100)&gt;100,"NM",IF(((DY678/DQ678-1)*100)&lt;-50,"NM",(DY678/DQ678-1)*100)))</f>
        <v>NM</v>
      </c>
      <c r="EA678" s="366">
        <f>+EA729+EA665-EA642+(DY732-EA732)-DY729</f>
        <v>487.9375</v>
      </c>
      <c r="EB678" s="33" t="str">
        <f>IF(ISERROR((EA678/DS678-1)*100),"NA",IF(((EA678/DS678-1)*100)&gt;100,"NM",IF(((EA678/DS678-1)*100)&lt;-50,"NM",(EA678/DS678-1)*100)))</f>
        <v>NM</v>
      </c>
      <c r="EC678" s="366">
        <f>+EC729+EC665-EC642+(EA732-EC732)-EA729</f>
        <v>36.05000000000291</v>
      </c>
      <c r="ED678" s="33" t="str">
        <f>IF(ISERROR((EC678/DU678-1)*100),"NA",IF(((EC678/DU678-1)*100)&gt;100,"NM",IF(((EC678/DU678-1)*100)&lt;-50,"NM",(EC678/DU678-1)*100)))</f>
        <v>NM</v>
      </c>
      <c r="EE678" s="366">
        <f>+EE729+EE665-EE642+(EC732-EE732)-EC729</f>
        <v>99.125</v>
      </c>
      <c r="EF678" s="771" t="str">
        <f>IF(ISERROR((EE678/DW678-1)*100),"NA",IF(((EE678/DW678-1)*100)&gt;100,"NM",IF(((EE678/DW678-1)*100)&lt;-50,"NM",(EE678/DW678-1)*100)))</f>
        <v>NM</v>
      </c>
      <c r="EG678" s="366">
        <f>+EG729+EG665-EG642+(EE732-EG732)-EE729</f>
        <v>-1051.8000000000029</v>
      </c>
      <c r="EH678" s="771">
        <f>IF(ISERROR((EG678/DY678-1)*100),"NA",IF(((EG678/DY678-1)*100)&gt;100,"NM",IF(((EG678/DY678-1)*100)&lt;-50,"NM",(EG678/DY678-1)*100)))</f>
        <v>32.260295504558691</v>
      </c>
      <c r="EI678" s="366">
        <f>+EI729+EI665-EI642+(EG732-EI732)-EG729</f>
        <v>-818.47999999999593</v>
      </c>
      <c r="EJ678" s="771" t="str">
        <f t="shared" ref="EJ678" si="4093">IF(ISERROR((EI678/EA678-1)*100),"NA",IF(((EI678/EA678-1)*100)&gt;100,"NM",IF(((EI678/EA678-1)*100)&lt;-50,"NM",(EI678/EA678-1)*100)))</f>
        <v>NM</v>
      </c>
      <c r="EK678" s="366">
        <f>+EK729+EK665-EK642+(EI732-EK732)-EI729</f>
        <v>-794.60000000000582</v>
      </c>
      <c r="EL678" s="771" t="str">
        <f t="shared" ref="EL678" si="4094">IF(ISERROR((EK678/EC678-1)*100),"NA",IF(((EK678/EC678-1)*100)&gt;100,"NM",IF(((EK678/EC678-1)*100)&lt;-50,"NM",(EK678/EC678-1)*100)))</f>
        <v>NM</v>
      </c>
      <c r="EM678" s="366">
        <f>+EM729+EM665-EM642+(EK732-EM732)-EK729</f>
        <v>-10625.279999999999</v>
      </c>
      <c r="EN678" s="771" t="str">
        <f t="shared" ref="EN678" si="4095">IF(ISERROR((EM678/EE678-1)*100),"NA",IF(((EM678/EE678-1)*100)&gt;100,"NM",IF(((EM678/EE678-1)*100)&lt;-50,"NM",(EM678/EE678-1)*100)))</f>
        <v>NM</v>
      </c>
      <c r="EO678" s="366">
        <f>+EO729+EO665-EO642+(EM732-EO732)-EM729</f>
        <v>15.440000000002328</v>
      </c>
      <c r="EP678" s="33" t="str">
        <f t="shared" ref="EP678" si="4096">IF(ISERROR((EO678/EG678-1)*100),"NA",IF(((EO678/EG678-1)*100)&gt;100,"NM",IF(((EO678/EG678-1)*100)&lt;-50,"NM",(EO678/EG678-1)*100)))</f>
        <v>NM</v>
      </c>
      <c r="EQ678" s="1064">
        <f>+EQ729+EQ665-EQ642+(EO732-EQ732)-EO729</f>
        <v>-863.60913890163647</v>
      </c>
      <c r="ER678" s="33">
        <f t="shared" ref="ER678" si="4097">IF(ISERROR((EQ678/EI678-1)*100),"NA",IF(((EQ678/EI678-1)*100)&gt;100,"NM",IF(((EQ678/EI678-1)*100)&lt;-50,"NM",(EQ678/EI678-1)*100)))</f>
        <v>5.5137741791663641</v>
      </c>
      <c r="ES678" s="1064">
        <f t="shared" ref="ES678" si="4098">+ES729+ES665-ES642+(EQ732-ES732)-EQ729</f>
        <v>-863.18132167967269</v>
      </c>
      <c r="ET678" s="33">
        <f t="shared" ref="ET678" si="4099">IF(ISERROR((ES678/EK678-1)*100),"NA",IF(((ES678/EK678-1)*100)&gt;100,"NM",IF(((ES678/EK678-1)*100)&lt;-50,"NM",(ES678/EK678-1)*100)))</f>
        <v>8.6309239465978358</v>
      </c>
      <c r="EU678" s="1064">
        <f t="shared" ref="EU678" si="4100">+EU729+EU665-EU642+(ES732-EU732)-ES729</f>
        <v>-762.7449481132644</v>
      </c>
      <c r="EV678" s="33" t="str">
        <f t="shared" ref="EV678" si="4101">IF(ISERROR((EU678/EM678-1)*100),"NA",IF(((EU678/EM678-1)*100)&gt;100,"NM",IF(((EU678/EM678-1)*100)&lt;-50,"NM",(EU678/EM678-1)*100)))</f>
        <v>NM</v>
      </c>
      <c r="EW678" s="1064">
        <f t="shared" ref="EW678" si="4102">+EW729+EW665-EW642+(EU732-EW732)-EU729</f>
        <v>-762.32234707553289</v>
      </c>
      <c r="EX678" s="33" t="str">
        <f t="shared" ref="EX678" si="4103">IF(ISERROR((EW678/EO678-1)*100),"NA",IF(((EW678/EO678-1)*100)&gt;100,"NM",IF(((EW678/EO678-1)*100)&lt;-50,"NM",(EW678/EO678-1)*100)))</f>
        <v>NM</v>
      </c>
      <c r="EY678" s="366"/>
      <c r="EZ678" s="602"/>
      <c r="FA678" s="266"/>
      <c r="FB678" s="245"/>
      <c r="FC678" s="33"/>
      <c r="FD678" s="245"/>
      <c r="FE678" s="33"/>
      <c r="FF678" s="366"/>
      <c r="FG678" s="33"/>
      <c r="FH678" s="366"/>
      <c r="FI678" s="33"/>
      <c r="FJ678" s="366"/>
      <c r="FK678" s="33"/>
      <c r="FL678" s="366"/>
      <c r="FM678" s="33"/>
      <c r="FN678" s="366"/>
      <c r="FO678" s="33"/>
      <c r="FP678" s="366"/>
      <c r="FQ678" s="33"/>
      <c r="FR678" s="366">
        <f>+FR729+FR665-FR642+(FP732-FR732)-FP729</f>
        <v>-224.31999999999971</v>
      </c>
      <c r="FS678" s="33" t="str">
        <f>IF(ISERROR((FR678/FJ678-1)*100),"NA",IF(((FR678/FJ678-1)*100)&gt;100,"NM",IF(((FR678/FJ678-1)*100)&lt;-50,"NM",(FR678/FJ678-1)*100)))</f>
        <v>NA</v>
      </c>
      <c r="FT678" s="366">
        <f>+FT729+FT665-FT642+(FR732-FT732)-FR729</f>
        <v>-2219.7059999999983</v>
      </c>
      <c r="FU678" s="33" t="str">
        <f>IF(ISERROR((FT678/FL678-1)*100),"NA",IF(((FT678/FL678-1)*100)&gt;100,"NM",IF(((FT678/FL678-1)*100)&lt;-50,"NM",(FT678/FL678-1)*100)))</f>
        <v>NA</v>
      </c>
      <c r="FV678" s="366">
        <f>+FV729+FV665-FV642+(FT732-FV732)-FT729</f>
        <v>1568.2639999999956</v>
      </c>
      <c r="FW678" s="33" t="str">
        <f>IF(ISERROR((FV678/FN678-1)*100),"NA",IF(((FV678/FN678-1)*100)&gt;100,"NM",IF(((FV678/FN678-1)*100)&lt;-50,"NM",(FV678/FN678-1)*100)))</f>
        <v>NA</v>
      </c>
      <c r="FX678" s="528">
        <f>+FX729+FX665-FX642+(FV732-FX732)-FV729</f>
        <v>3267.9119999999966</v>
      </c>
      <c r="FY678" s="33" t="str">
        <f>IF(ISERROR((FX678/FP678-1)*100),"NA",IF(((FX678/FP678-1)*100)&gt;100,"NM",IF(((FX678/FP678-1)*100)&lt;-50,"NM",(FX678/FP678-1)*100)))</f>
        <v>NA</v>
      </c>
      <c r="FZ678" s="366">
        <f>+FZ729+FZ665-FZ642+(FX732-FZ732)-FX729</f>
        <v>12204.256000000001</v>
      </c>
      <c r="GA678" s="33" t="str">
        <f>IF(ISERROR((FZ678/FR678-1)*100),"NA",IF(((FZ678/FR678-1)*100)&gt;100,"NM",IF(((FZ678/FR678-1)*100)&lt;-50,"NM",(FZ678/FR678-1)*100)))</f>
        <v>NM</v>
      </c>
      <c r="GB678" s="528">
        <f>+GB729+GB665-GB642+(FZ732-GB732)-FZ729</f>
        <v>-226.06519999999728</v>
      </c>
      <c r="GC678" s="33" t="str">
        <f>IF(ISERROR((GB678/FT678-1)*100),"NA",IF(((GB678/FT678-1)*100)&gt;100,"NM",IF(((GB678/FT678-1)*100)&lt;-50,"NM",(GB678/FT678-1)*100)))</f>
        <v>NM</v>
      </c>
      <c r="GD678" s="366">
        <f>+GD729+GD665-GD642+(GB732-GD732)-GB729</f>
        <v>3227.8727999999974</v>
      </c>
      <c r="GE678" s="33" t="str">
        <f>IF(ISERROR((GD678/FV678-1)*100),"NA",IF(((GD678/FV678-1)*100)&gt;100,"NM",IF(((GD678/FV678-1)*100)&lt;-50,"NM",(GD678/FV678-1)*100)))</f>
        <v>NM</v>
      </c>
      <c r="GF678" s="366">
        <f>+GF729+GF665-GF642+(GD732-GF732)-GD729</f>
        <v>2145.2402000000002</v>
      </c>
      <c r="GG678" s="33">
        <f>IF(ISERROR((GF678/FX678-1)*100),"NA",IF(((GF678/FX678-1)*100)&gt;100,"NM",IF(((GF678/FX678-1)*100)&lt;-50,"NM",(GF678/FX678-1)*100)))</f>
        <v>-34.35440734022206</v>
      </c>
      <c r="GH678" s="366">
        <f>+GH729+GH665-GH642+(GF732-GH732)-GF729</f>
        <v>1439.7939999999944</v>
      </c>
      <c r="GI678" s="33" t="str">
        <f>IF(ISERROR((GH678/FZ678-1)*100),"NA",IF(((GH678/FZ678-1)*100)&gt;100,"NM",IF(((GH678/FZ678-1)*100)&lt;-50,"NM",(GH678/FZ678-1)*100)))</f>
        <v>NM</v>
      </c>
      <c r="GJ678" s="366">
        <f>+GJ729+GJ665-GJ642+(GH732-GJ732)-GH729</f>
        <v>-1864.9700000000012</v>
      </c>
      <c r="GK678" s="33" t="str">
        <f>IF(ISERROR((GJ678/GB678-1)*100),"NA",IF(((GJ678/GB678-1)*100)&gt;100,"NM",IF(((GJ678/GB678-1)*100)&lt;-50,"NM",(GJ678/GB678-1)*100)))</f>
        <v>NM</v>
      </c>
      <c r="GL678" s="366">
        <f>+GL729+GL665-GL642+(GJ732-GL732)-GJ729</f>
        <v>-432.33199999999488</v>
      </c>
      <c r="GM678" s="33" t="str">
        <f>IF(ISERROR((GL678/GD678-1)*100),"NA",IF(((GL678/GD678-1)*100)&gt;100,"NM",IF(((GL678/GD678-1)*100)&lt;-50,"NM",(GL678/GD678-1)*100)))</f>
        <v>NM</v>
      </c>
      <c r="GN678" s="366">
        <f>+GN729+GN665-GN642+(GL732-GN732)-GL729</f>
        <v>-12250.207999999999</v>
      </c>
      <c r="GO678" s="33" t="str">
        <f>IF(ISERROR((GN678/GF678-1)*100),"NA",IF(((GN678/GF678-1)*100)&gt;100,"NM",IF(((GN678/GF678-1)*100)&lt;-50,"NM",(GN678/GF678-1)*100)))</f>
        <v>NM</v>
      </c>
      <c r="GP678" s="366">
        <f>+GP729+GP665-GP642+(GN732-GP732)-GN729</f>
        <v>-3288.7520194669996</v>
      </c>
      <c r="GQ678" s="33" t="str">
        <f>IF(ISERROR((GP678/GH678-1)*100),"NA",IF(((GP678/GH678-1)*100)&gt;100,"NM",IF(((GP678/GH678-1)*100)&lt;-50,"NM",(GP678/GH678-1)*100)))</f>
        <v>NM</v>
      </c>
      <c r="GR678" s="366">
        <f>+GR729+GR665-GR642+(GP732-GR732)-GP729</f>
        <v>-2845.3364762317142</v>
      </c>
      <c r="GS678" s="33">
        <f>IF(ISERROR((GR678/GJ678-1)*100),"NA",IF(((GR678/GJ678-1)*100)&gt;100,"NM",IF(((GR678/GJ678-1)*100)&lt;-50,"NM",(GR678/GJ678-1)*100)))</f>
        <v>52.567412678579942</v>
      </c>
      <c r="GT678" s="366">
        <f>+GT729+GT665-GT642+(GR732-GT732)-GR729</f>
        <v>-2838.8265043302454</v>
      </c>
      <c r="GU678" s="33" t="str">
        <f>IF(ISERROR((GT678/GL678-1)*100),"NA",IF(((GT678/GL678-1)*100)&gt;100,"NM",IF(((GT678/GL678-1)*100)&lt;-50,"NM",(GT678/GL678-1)*100)))</f>
        <v>NM</v>
      </c>
      <c r="GV678" s="366">
        <f>+GV729+GV665-GV642+(GT732-GV732)-GT729</f>
        <v>-2832.3820456766771</v>
      </c>
      <c r="GW678" s="33" t="str">
        <f>IF(ISERROR((GV678/GN678-1)*100),"NA",IF(((GV678/GN678-1)*100)&gt;100,"NM",IF(((GV678/GN678-1)*100)&lt;-50,"NM",(GV678/GN678-1)*100)))</f>
        <v>NM</v>
      </c>
      <c r="GX678" s="366">
        <f>+GX729+GX665-GX642+(GV732-GX732)-GV729</f>
        <v>-2826.0669724308173</v>
      </c>
      <c r="GY678" s="33" t="str">
        <f>IF(ISERROR((GX678/#REF!-1)*100),"NA",IF(((GX678/#REF!-1)*100)&gt;100,"NM",IF(((GX678/#REF!-1)*100)&lt;-50,"NM",(GX678/#REF!-1)*100)))</f>
        <v>NA</v>
      </c>
      <c r="GZ678" s="33">
        <f>IF(ISERROR(((GX678/GN678)^0.2-1)*100),"NA",IF((((GX678/GN678)^0.2-1)*100)&gt;100,"NM",IF((((GX678/GN678)^0.2-1)*100)&lt;-50,"NM",((GX678/GN678)^0.2-1)*100)))</f>
        <v>-25.42250402029762</v>
      </c>
      <c r="HA678" s="33"/>
      <c r="HC678"/>
      <c r="HD678"/>
      <c r="HE678"/>
      <c r="HF678"/>
      <c r="HG678"/>
      <c r="HH678"/>
    </row>
    <row r="679" spans="1:217" s="2" customFormat="1" ht="12.75" customHeight="1" collapsed="1" x14ac:dyDescent="0.2">
      <c r="B679" s="18"/>
      <c r="C679" s="357"/>
      <c r="D679" s="98"/>
      <c r="E679" s="294"/>
      <c r="F679" s="98"/>
      <c r="G679" s="294"/>
      <c r="H679" s="98"/>
      <c r="I679" s="357"/>
      <c r="J679" s="98"/>
      <c r="K679" s="357"/>
      <c r="L679" s="98"/>
      <c r="M679" s="294"/>
      <c r="N679" s="98"/>
      <c r="O679" s="294"/>
      <c r="P679" s="98"/>
      <c r="Q679" s="357"/>
      <c r="R679" s="98"/>
      <c r="S679" s="357"/>
      <c r="T679" s="98"/>
      <c r="U679" s="357"/>
      <c r="V679" s="98"/>
      <c r="W679" s="357"/>
      <c r="X679" s="98"/>
      <c r="Y679" s="357"/>
      <c r="Z679" s="98"/>
      <c r="AA679" s="357"/>
      <c r="AB679" s="98"/>
      <c r="AC679" s="357"/>
      <c r="AD679" s="98"/>
      <c r="AE679" s="357"/>
      <c r="AF679" s="98"/>
      <c r="AG679" s="254"/>
      <c r="AH679" s="98"/>
      <c r="AI679" s="254"/>
      <c r="AJ679" s="98"/>
      <c r="AK679" s="254"/>
      <c r="AL679" s="98"/>
      <c r="AM679" s="254"/>
      <c r="AN679" s="98"/>
      <c r="AO679" s="254"/>
      <c r="AP679" s="98"/>
      <c r="AQ679" s="254"/>
      <c r="AR679" s="98"/>
      <c r="AS679" s="254"/>
      <c r="AT679" s="98"/>
      <c r="AU679" s="254"/>
      <c r="AV679" s="98"/>
      <c r="AW679" s="254"/>
      <c r="AX679" s="98"/>
      <c r="AY679" s="254"/>
      <c r="AZ679" s="98"/>
      <c r="BA679" s="254"/>
      <c r="BB679" s="98"/>
      <c r="BC679" s="254"/>
      <c r="BD679" s="98"/>
      <c r="BE679" s="254"/>
      <c r="BF679" s="98"/>
      <c r="BG679" s="254"/>
      <c r="BH679" s="98"/>
      <c r="BI679" s="254"/>
      <c r="BJ679" s="98"/>
      <c r="BK679" s="254"/>
      <c r="BL679" s="98"/>
      <c r="BM679" s="254"/>
      <c r="BN679" s="98"/>
      <c r="BO679" s="254"/>
      <c r="BP679" s="98"/>
      <c r="BQ679" s="254"/>
      <c r="BR679" s="98"/>
      <c r="BS679" s="254"/>
      <c r="BT679" s="98"/>
      <c r="BU679" s="254"/>
      <c r="BV679" s="98"/>
      <c r="BW679" s="254"/>
      <c r="BX679" s="98"/>
      <c r="BY679" s="254"/>
      <c r="BZ679" s="98"/>
      <c r="CA679" s="254"/>
      <c r="CB679" s="98"/>
      <c r="CC679" s="254"/>
      <c r="CD679" s="98"/>
      <c r="CE679" s="254"/>
      <c r="CF679" s="98"/>
      <c r="CG679" s="254"/>
      <c r="CH679" s="98"/>
      <c r="CI679" s="254"/>
      <c r="CJ679" s="98"/>
      <c r="CK679" s="254"/>
      <c r="CL679" s="98"/>
      <c r="CM679" s="254"/>
      <c r="CN679" s="98"/>
      <c r="CO679" s="254"/>
      <c r="CP679" s="98"/>
      <c r="CQ679" s="558"/>
      <c r="CR679" s="98"/>
      <c r="CS679" s="254"/>
      <c r="CT679" s="98"/>
      <c r="CU679" s="254"/>
      <c r="CV679" s="98"/>
      <c r="CW679" s="254"/>
      <c r="CX679" s="98"/>
      <c r="CY679" s="254"/>
      <c r="CZ679" s="98"/>
      <c r="DA679" s="254"/>
      <c r="DB679" s="98"/>
      <c r="DC679" s="254"/>
      <c r="DD679" s="98"/>
      <c r="DE679" s="254"/>
      <c r="DF679" s="98"/>
      <c r="DG679" s="254"/>
      <c r="DH679" s="98"/>
      <c r="DI679" s="254"/>
      <c r="DJ679" s="98"/>
      <c r="DK679" s="254"/>
      <c r="DL679" s="98"/>
      <c r="DM679" s="254"/>
      <c r="DN679" s="98"/>
      <c r="DO679" s="254"/>
      <c r="DP679" s="98"/>
      <c r="DQ679" s="254"/>
      <c r="DR679" s="98"/>
      <c r="DS679" s="254"/>
      <c r="DT679" s="98"/>
      <c r="DU679" s="254"/>
      <c r="DV679" s="98"/>
      <c r="DW679" s="254"/>
      <c r="DX679" s="98"/>
      <c r="DY679" s="254"/>
      <c r="DZ679" s="98"/>
      <c r="EA679" s="254"/>
      <c r="EB679" s="98"/>
      <c r="EC679" s="254"/>
      <c r="ED679" s="98"/>
      <c r="EE679" s="254"/>
      <c r="EF679" s="860"/>
      <c r="EG679" s="254"/>
      <c r="EH679" s="860"/>
      <c r="EI679" s="254"/>
      <c r="EJ679" s="860"/>
      <c r="EK679" s="254"/>
      <c r="EL679" s="860"/>
      <c r="EM679" s="254"/>
      <c r="EN679" s="860"/>
      <c r="EO679" s="254"/>
      <c r="EP679" s="98"/>
      <c r="EQ679" s="1062"/>
      <c r="ER679" s="98"/>
      <c r="ES679" s="1062"/>
      <c r="ET679" s="98"/>
      <c r="EU679" s="1062"/>
      <c r="EV679" s="98"/>
      <c r="EW679" s="1062"/>
      <c r="EX679" s="98"/>
      <c r="EY679" s="40"/>
      <c r="EZ679" s="594"/>
      <c r="FA679" s="405"/>
      <c r="FB679" s="244"/>
      <c r="FC679" s="98"/>
      <c r="FD679" s="244"/>
      <c r="FE679" s="98"/>
      <c r="FF679" s="349"/>
      <c r="FG679" s="98"/>
      <c r="FH679" s="349"/>
      <c r="FI679" s="98"/>
      <c r="FJ679" s="349"/>
      <c r="FK679" s="98"/>
      <c r="FL679" s="349"/>
      <c r="FM679" s="98"/>
      <c r="FN679" s="349"/>
      <c r="FO679" s="98"/>
      <c r="FP679" s="349"/>
      <c r="FQ679" s="98"/>
      <c r="FR679" s="350"/>
      <c r="FS679" s="120"/>
      <c r="FT679" s="350"/>
      <c r="FU679" s="120"/>
      <c r="FV679" s="350"/>
      <c r="FW679" s="98"/>
      <c r="FX679" s="485"/>
      <c r="FY679" s="98"/>
      <c r="FZ679" s="350"/>
      <c r="GA679" s="98"/>
      <c r="GB679" s="485"/>
      <c r="GC679" s="98"/>
      <c r="GD679" s="40"/>
      <c r="GE679" s="98"/>
      <c r="GF679" s="40"/>
      <c r="GG679" s="98"/>
      <c r="GH679" s="40"/>
      <c r="GI679" s="98"/>
      <c r="GJ679" s="40"/>
      <c r="GK679" s="98"/>
      <c r="GL679" s="40"/>
      <c r="GM679" s="98"/>
      <c r="GN679" s="40"/>
      <c r="GO679" s="98"/>
      <c r="GP679" s="40"/>
      <c r="GQ679" s="98"/>
      <c r="GR679" s="40"/>
      <c r="GS679" s="98"/>
      <c r="GT679" s="40"/>
      <c r="GU679" s="98"/>
      <c r="GV679" s="40"/>
      <c r="GW679" s="98"/>
      <c r="GX679" s="40"/>
      <c r="GY679" s="98"/>
      <c r="GZ679" s="98"/>
      <c r="HA679" s="98"/>
      <c r="HB679" s="10"/>
      <c r="HC679"/>
      <c r="HD679"/>
      <c r="HE679"/>
      <c r="HF679"/>
      <c r="HG679"/>
      <c r="HH679"/>
      <c r="HI679" s="10"/>
    </row>
    <row r="680" spans="1:217" s="2" customFormat="1" ht="12.75" customHeight="1" x14ac:dyDescent="0.2">
      <c r="B680" s="19" t="s">
        <v>241</v>
      </c>
      <c r="C680" s="357"/>
      <c r="D680" s="98"/>
      <c r="E680" s="294"/>
      <c r="F680" s="98"/>
      <c r="G680" s="294"/>
      <c r="H680" s="98"/>
      <c r="I680" s="357"/>
      <c r="J680" s="98"/>
      <c r="K680" s="357"/>
      <c r="L680" s="98"/>
      <c r="M680" s="294"/>
      <c r="N680" s="98"/>
      <c r="O680" s="294"/>
      <c r="P680" s="98"/>
      <c r="Q680" s="357"/>
      <c r="R680" s="98"/>
      <c r="S680" s="357"/>
      <c r="T680" s="98"/>
      <c r="U680" s="357"/>
      <c r="V680" s="98"/>
      <c r="W680" s="357"/>
      <c r="X680" s="98"/>
      <c r="Y680" s="357"/>
      <c r="Z680" s="98"/>
      <c r="AA680" s="357"/>
      <c r="AB680" s="98"/>
      <c r="AC680" s="357"/>
      <c r="AD680" s="98"/>
      <c r="AE680" s="357"/>
      <c r="AF680" s="98"/>
      <c r="AG680" s="254"/>
      <c r="AH680" s="98"/>
      <c r="AI680" s="254"/>
      <c r="AJ680" s="98"/>
      <c r="AK680" s="254"/>
      <c r="AL680" s="98"/>
      <c r="AM680" s="254"/>
      <c r="AN680" s="98"/>
      <c r="AO680" s="254"/>
      <c r="AP680" s="98"/>
      <c r="AQ680" s="254"/>
      <c r="AR680" s="98"/>
      <c r="AS680" s="254"/>
      <c r="AT680" s="98"/>
      <c r="AU680" s="254"/>
      <c r="AV680" s="98"/>
      <c r="AW680" s="254"/>
      <c r="AX680" s="98"/>
      <c r="AY680" s="254"/>
      <c r="AZ680" s="98"/>
      <c r="BA680" s="254"/>
      <c r="BB680" s="98"/>
      <c r="BC680" s="254"/>
      <c r="BD680" s="98"/>
      <c r="BE680" s="254"/>
      <c r="BF680" s="98"/>
      <c r="BG680" s="254"/>
      <c r="BH680" s="98"/>
      <c r="BI680" s="254"/>
      <c r="BJ680" s="98"/>
      <c r="BK680" s="254"/>
      <c r="BL680" s="98"/>
      <c r="BM680" s="254"/>
      <c r="BN680" s="98"/>
      <c r="BO680" s="254"/>
      <c r="BP680" s="98"/>
      <c r="BQ680" s="254"/>
      <c r="BR680" s="98"/>
      <c r="BS680" s="254"/>
      <c r="BT680" s="98"/>
      <c r="BU680" s="254"/>
      <c r="BV680" s="98"/>
      <c r="BW680" s="254"/>
      <c r="BX680" s="98"/>
      <c r="BY680" s="254"/>
      <c r="BZ680" s="98"/>
      <c r="CA680" s="254"/>
      <c r="CB680" s="98"/>
      <c r="CC680" s="254"/>
      <c r="CD680" s="98"/>
      <c r="CE680" s="254"/>
      <c r="CF680" s="98"/>
      <c r="CG680" s="254"/>
      <c r="CH680" s="98"/>
      <c r="CI680" s="254"/>
      <c r="CJ680" s="98"/>
      <c r="CK680" s="254"/>
      <c r="CL680" s="98"/>
      <c r="CM680" s="254"/>
      <c r="CN680" s="98"/>
      <c r="CO680" s="254"/>
      <c r="CP680" s="98"/>
      <c r="CQ680" s="558"/>
      <c r="CR680" s="98"/>
      <c r="CS680" s="254"/>
      <c r="CT680" s="98"/>
      <c r="CU680" s="254"/>
      <c r="CV680" s="98"/>
      <c r="CW680" s="254"/>
      <c r="CX680" s="98"/>
      <c r="CY680" s="254"/>
      <c r="CZ680" s="98"/>
      <c r="DA680" s="254"/>
      <c r="DB680" s="98"/>
      <c r="DC680" s="254"/>
      <c r="DD680" s="98"/>
      <c r="DE680" s="254"/>
      <c r="DF680" s="98"/>
      <c r="DG680" s="254"/>
      <c r="DH680" s="98"/>
      <c r="DI680" s="254"/>
      <c r="DJ680" s="98"/>
      <c r="DK680" s="254"/>
      <c r="DL680" s="98"/>
      <c r="DM680" s="254"/>
      <c r="DN680" s="98"/>
      <c r="DO680" s="254"/>
      <c r="DP680" s="98"/>
      <c r="DQ680" s="254"/>
      <c r="DR680" s="98"/>
      <c r="DS680" s="254"/>
      <c r="DT680" s="98"/>
      <c r="DU680" s="254"/>
      <c r="DV680" s="98"/>
      <c r="DW680" s="254"/>
      <c r="DX680" s="98"/>
      <c r="DY680" s="254"/>
      <c r="DZ680" s="98"/>
      <c r="EA680" s="254"/>
      <c r="EB680" s="98"/>
      <c r="EC680" s="254"/>
      <c r="ED680" s="98"/>
      <c r="EE680" s="254"/>
      <c r="EF680" s="860"/>
      <c r="EG680" s="254"/>
      <c r="EH680" s="860"/>
      <c r="EI680" s="254"/>
      <c r="EJ680" s="860"/>
      <c r="EK680" s="254"/>
      <c r="EL680" s="860"/>
      <c r="EM680" s="254"/>
      <c r="EN680" s="860"/>
      <c r="EO680" s="254"/>
      <c r="EP680" s="98"/>
      <c r="EQ680" s="1062"/>
      <c r="ER680" s="98"/>
      <c r="ES680" s="1062"/>
      <c r="ET680" s="98"/>
      <c r="EU680" s="1062"/>
      <c r="EV680" s="98"/>
      <c r="EW680" s="1062"/>
      <c r="EX680" s="98"/>
      <c r="EY680" s="40"/>
      <c r="EZ680" s="594"/>
      <c r="FA680" s="405"/>
      <c r="FB680" s="244"/>
      <c r="FC680" s="98"/>
      <c r="FD680" s="244"/>
      <c r="FE680" s="98"/>
      <c r="FF680" s="349"/>
      <c r="FG680" s="98"/>
      <c r="FH680" s="349"/>
      <c r="FI680" s="98"/>
      <c r="FJ680" s="349"/>
      <c r="FK680" s="98"/>
      <c r="FL680" s="349"/>
      <c r="FM680" s="98"/>
      <c r="FN680" s="349"/>
      <c r="FO680" s="98"/>
      <c r="FP680" s="349"/>
      <c r="FQ680" s="98"/>
      <c r="FR680" s="350"/>
      <c r="FS680" s="120"/>
      <c r="FT680" s="350"/>
      <c r="FU680" s="120"/>
      <c r="FV680" s="350"/>
      <c r="FW680" s="98"/>
      <c r="FX680" s="485"/>
      <c r="FY680" s="98"/>
      <c r="FZ680" s="350"/>
      <c r="GA680" s="98"/>
      <c r="GB680" s="485"/>
      <c r="GC680" s="98"/>
      <c r="GD680" s="350"/>
      <c r="GE680" s="98"/>
      <c r="GF680" s="350"/>
      <c r="GG680" s="98"/>
      <c r="GH680" s="350"/>
      <c r="GI680" s="98"/>
      <c r="GJ680" s="350"/>
      <c r="GK680" s="98"/>
      <c r="GL680" s="350"/>
      <c r="GM680" s="98"/>
      <c r="GN680" s="1119"/>
      <c r="GO680" s="98"/>
      <c r="GP680" s="1119"/>
      <c r="GQ680" s="98"/>
      <c r="GR680" s="40"/>
      <c r="GS680" s="98"/>
      <c r="GT680" s="40"/>
      <c r="GU680" s="98"/>
      <c r="GV680" s="40"/>
      <c r="GW680" s="98"/>
      <c r="GX680" s="40"/>
      <c r="GY680" s="98"/>
      <c r="GZ680" s="98"/>
      <c r="HA680" s="98"/>
      <c r="HB680" s="10"/>
      <c r="HC680"/>
      <c r="HD680"/>
      <c r="HE680"/>
      <c r="HF680"/>
      <c r="HG680"/>
      <c r="HH680"/>
      <c r="HI680" s="10"/>
    </row>
    <row r="681" spans="1:217" s="2" customFormat="1" ht="12.75" customHeight="1" x14ac:dyDescent="0.2">
      <c r="B681" s="18" t="s">
        <v>601</v>
      </c>
      <c r="C681" s="366">
        <f>(C665+C671)/C626*100</f>
        <v>935.15625</v>
      </c>
      <c r="D681" s="33"/>
      <c r="E681" s="366">
        <f>(E665+E671)/E626*100</f>
        <v>0</v>
      </c>
      <c r="F681" s="33"/>
      <c r="G681" s="366">
        <f>(G665+G671)/G626*100</f>
        <v>0</v>
      </c>
      <c r="H681" s="33"/>
      <c r="I681" s="366">
        <f>(I665+I671)/I626*100</f>
        <v>37.658415841584166</v>
      </c>
      <c r="J681" s="33"/>
      <c r="K681" s="366">
        <f>(K665+K671)/K626*100</f>
        <v>0</v>
      </c>
      <c r="L681" s="33" t="str">
        <f>IF(ISERROR((K681/C681-1)*100),"NA",IF(((K681/C681-1)*100)&gt;100,"NM",IF(((K681/C681-1)*100)&lt;-50,"NM",(K681/C681-1)*100)))</f>
        <v>NM</v>
      </c>
      <c r="M681" s="366">
        <f>(M665+M671)/M626*100</f>
        <v>0</v>
      </c>
      <c r="N681" s="33" t="str">
        <f>IF(ISERROR((M681/E681-1)*100),"NA",IF(((M681/E681-1)*100)&gt;100,"NM",IF(((M681/E681-1)*100)&lt;-50,"NM",(M681/E681-1)*100)))</f>
        <v>NA</v>
      </c>
      <c r="O681" s="366">
        <f>(O665+O671)/O626*100</f>
        <v>0</v>
      </c>
      <c r="P681" s="33" t="str">
        <f>IF(ISERROR((O681/G681-1)*100),"NA",IF(((O681/G681-1)*100)&gt;100,"NM",IF(((O681/G681-1)*100)&lt;-50,"NM",(O681/G681-1)*100)))</f>
        <v>NA</v>
      </c>
      <c r="Q681" s="366">
        <f>(Q665+Q671)/Q626*100</f>
        <v>-115.40322580645162</v>
      </c>
      <c r="R681" s="33" t="str">
        <f>IF(ISERROR((Q681/I681-1)*100),"NA",IF(((Q681/I681-1)*100)&gt;100,"NM",IF(((Q681/I681-1)*100)&lt;-50,"NM",(Q681/I681-1)*100)))</f>
        <v>NM</v>
      </c>
      <c r="S681" s="366">
        <f>(S665+S671)/S626*100</f>
        <v>0</v>
      </c>
      <c r="T681" s="33" t="str">
        <f>IF(ISERROR((S681/K681-1)*100),"NA",IF(((S681/K681-1)*100)&gt;100,"NM",IF(((S681/K681-1)*100)&lt;-50,"NM",(S681/K681-1)*100)))</f>
        <v>NA</v>
      </c>
      <c r="U681" s="366">
        <f>(U665+U671)/U626*100</f>
        <v>0</v>
      </c>
      <c r="V681" s="33" t="str">
        <f>IF(ISERROR((U681/M681-1)*100),"NA",IF(((U681/M681-1)*100)&gt;100,"NM",IF(((U681/M681-1)*100)&lt;-50,"NM",(U681/M681-1)*100)))</f>
        <v>NA</v>
      </c>
      <c r="W681" s="366">
        <f>(W665+W671)/W626*100</f>
        <v>0</v>
      </c>
      <c r="X681" s="33" t="str">
        <f>IF(ISERROR((W681/O681-1)*100),"NA",IF(((W681/O681-1)*100)&gt;100,"NM",IF(((W681/O681-1)*100)&lt;-50,"NM",(W681/O681-1)*100)))</f>
        <v>NA</v>
      </c>
      <c r="Y681" s="366">
        <f>(Y665+Y671)/Y626*100</f>
        <v>43.509763313609461</v>
      </c>
      <c r="Z681" s="33" t="str">
        <f>IF(ISERROR((Y681/Q681-1)*100),"NA",IF(((Y681/Q681-1)*100)&gt;100,"NM",IF(((Y681/Q681-1)*100)&lt;-50,"NM",(Y681/Q681-1)*100)))</f>
        <v>NM</v>
      </c>
      <c r="AA681" s="366">
        <f>(AA665+AA671)/AA626*100</f>
        <v>0</v>
      </c>
      <c r="AB681" s="33" t="str">
        <f>IF(ISERROR((AA681/S681-1)*100),"NA",IF(((AA681/S681-1)*100)&gt;100,"NM",IF(((AA681/S681-1)*100)&lt;-50,"NM",(AA681/S681-1)*100)))</f>
        <v>NA</v>
      </c>
      <c r="AC681" s="366">
        <f>(AC665+AC671)/AC626*100</f>
        <v>0</v>
      </c>
      <c r="AD681" s="33" t="str">
        <f>IF(ISERROR((AC681/U681-1)*100),"NA",IF(((AC681/U681-1)*100)&gt;100,"NM",IF(((AC681/U681-1)*100)&lt;-50,"NM",(AC681/U681-1)*100)))</f>
        <v>NA</v>
      </c>
      <c r="AE681" s="366">
        <f>(AE665+AE671)/AE626*100</f>
        <v>0</v>
      </c>
      <c r="AF681" s="33" t="str">
        <f>IF(ISERROR((AE681/W681-1)*100),"NA",IF(((AE681/W681-1)*100)&gt;100,"NM",IF(((AE681/W681-1)*100)&lt;-50,"NM",(AE681/W681-1)*100)))</f>
        <v>NA</v>
      </c>
      <c r="AG681" s="367">
        <f>(AG665+AG671)/AG626*100</f>
        <v>30.82407079646018</v>
      </c>
      <c r="AH681" s="33">
        <f>IF(ISERROR((AG681/Y681-1)*100),"NA",IF(((AG681/Y681-1)*100)&gt;100,"NM",IF(((AG681/Y681-1)*100)&lt;-50,"NM",(AG681/Y681-1)*100)))</f>
        <v>-29.155967651934599</v>
      </c>
      <c r="AI681" s="367">
        <f>(AI665+AI676)/AI626*100</f>
        <v>10.92436974789916</v>
      </c>
      <c r="AJ681" s="33" t="str">
        <f>IF(ISERROR((AI681/AA681-1)*100),"NA",IF(((AI681/AA681-1)*100)&gt;100,"NM",IF(((AI681/AA681-1)*100)&lt;-50,"NM",(AI681/AA681-1)*100)))</f>
        <v>NA</v>
      </c>
      <c r="AK681" s="367">
        <f>(AK665+AK676)/AK626*100</f>
        <v>27.415143603133163</v>
      </c>
      <c r="AL681" s="33" t="str">
        <f>IF(ISERROR((AK681/AC681-1)*100),"NA",IF(((AK681/AC681-1)*100)&gt;100,"NM",IF(((AK681/AC681-1)*100)&lt;-50,"NM",(AK681/AC681-1)*100)))</f>
        <v>NA</v>
      </c>
      <c r="AM681" s="367">
        <f>(AM665+AM676)/AM626*100</f>
        <v>35.760517799352755</v>
      </c>
      <c r="AN681" s="33" t="str">
        <f>IF(ISERROR((AM681/AE681-1)*100),"NA",IF(((AM681/AE681-1)*100)&gt;100,"NM",IF(((AM681/AE681-1)*100)&lt;-50,"NM",(AM681/AE681-1)*100)))</f>
        <v>NA</v>
      </c>
      <c r="AO681" s="367">
        <f>(AO665+AO676)/AO626*100</f>
        <v>127.31818181818181</v>
      </c>
      <c r="AP681" s="33" t="str">
        <f>IF(ISERROR((AO681/AG681-1)*100),"NA",IF(((AO681/AG681-1)*100)&gt;100,"NM",IF(((AO681/AG681-1)*100)&lt;-50,"NM",(AO681/AG681-1)*100)))</f>
        <v>NM</v>
      </c>
      <c r="AQ681" s="367">
        <f>(AQ665+AQ676)/AQ626*100</f>
        <v>0</v>
      </c>
      <c r="AR681" s="33" t="str">
        <f>IF(ISERROR((AQ681/AI681-1)*100),"NA",IF(((AQ681/AI681-1)*100)&gt;100,"NM",IF(((AQ681/AI681-1)*100)&lt;-50,"NM",(AQ681/AI681-1)*100)))</f>
        <v>NM</v>
      </c>
      <c r="AS681" s="367">
        <f>(AS665+AS676)/AS626*100</f>
        <v>0</v>
      </c>
      <c r="AT681" s="33" t="str">
        <f>IF(ISERROR((AS681/AK681-1)*100),"NA",IF(((AS681/AK681-1)*100)&gt;100,"NM",IF(((AS681/AK681-1)*100)&lt;-50,"NM",(AS681/AK681-1)*100)))</f>
        <v>NM</v>
      </c>
      <c r="AU681" s="367">
        <f>(AU665+AU676)/AU626*100</f>
        <v>0</v>
      </c>
      <c r="AV681" s="33" t="str">
        <f>IF(ISERROR((AU681/AM681-1)*100),"NA",IF(((AU681/AM681-1)*100)&gt;100,"NM",IF(((AU681/AM681-1)*100)&lt;-50,"NM",(AU681/AM681-1)*100)))</f>
        <v>NM</v>
      </c>
      <c r="AW681" s="367">
        <f>(AW665+AW676)/AW626*100</f>
        <v>49.299123904881107</v>
      </c>
      <c r="AX681" s="33" t="str">
        <f>IF(ISERROR((AW681/AO681-1)*100),"NA",IF(((AW681/AO681-1)*100)&gt;100,"NM",IF(((AW681/AO681-1)*100)&lt;-50,"NM",(AW681/AO681-1)*100)))</f>
        <v>NM</v>
      </c>
      <c r="AY681" s="290">
        <f>(AY665+AY676)/AY626*100</f>
        <v>0</v>
      </c>
      <c r="AZ681" s="33" t="str">
        <f>IF(ISERROR((AY681/AQ681-1)*100),"NA",IF(((AY681/AQ681-1)*100)&gt;100,"NM",IF(((AY681/AQ681-1)*100)&lt;-50,"NM",(AY681/AQ681-1)*100)))</f>
        <v>NA</v>
      </c>
      <c r="BA681" s="290">
        <f>(BA665+BA676)/BA626*100</f>
        <v>0</v>
      </c>
      <c r="BB681" s="33" t="str">
        <f>IF(ISERROR((BA681/AS681-1)*100),"NA",IF(((BA681/AS681-1)*100)&gt;100,"NM",IF(((BA681/AS681-1)*100)&lt;-50,"NM",(BA681/AS681-1)*100)))</f>
        <v>NA</v>
      </c>
      <c r="BC681" s="290">
        <f>(BC665+BC676)/BC626*100</f>
        <v>0</v>
      </c>
      <c r="BD681" s="33" t="str">
        <f>IF(ISERROR((BC681/AU681-1)*100),"NA",IF(((BC681/AU681-1)*100)&gt;100,"NM",IF(((BC681/AU681-1)*100)&lt;-50,"NM",(BC681/AU681-1)*100)))</f>
        <v>NA</v>
      </c>
      <c r="BE681" s="290">
        <f>(BE665+BE676)/BE626*100</f>
        <v>89.533206831119543</v>
      </c>
      <c r="BF681" s="33">
        <f>IF(ISERROR((BE681/AW681-1)*100),"NA",IF(((BE681/AW681-1)*100)&gt;100,"NM",IF(((BE681/AW681-1)*100)&lt;-50,"NM",(BE681/AW681-1)*100)))</f>
        <v>81.612166179397079</v>
      </c>
      <c r="BG681" s="290">
        <f>(BG665+BG676)/BG626*100</f>
        <v>69.316081330868755</v>
      </c>
      <c r="BH681" s="33" t="str">
        <f>IF(ISERROR((BG681/AY681-1)*100),"NA",IF(((BG681/AY681-1)*100)&gt;100,"NM",IF(((BG681/AY681-1)*100)&lt;-50,"NM",(BG681/AY681-1)*100)))</f>
        <v>NA</v>
      </c>
      <c r="BI681" s="290">
        <f>(BI665+BI676)/BI626*100</f>
        <v>0</v>
      </c>
      <c r="BJ681" s="33" t="str">
        <f>IF(ISERROR((BI681/BA681-1)*100),"NA",IF(((BI681/BA681-1)*100)&gt;100,"NM",IF(((BI681/BA681-1)*100)&lt;-50,"NM",(BI681/BA681-1)*100)))</f>
        <v>NA</v>
      </c>
      <c r="BK681" s="290">
        <f>(BK665+BK676)/BK626*100</f>
        <v>17.969451931716083</v>
      </c>
      <c r="BL681" s="33" t="str">
        <f>IF(ISERROR((BK681/BC681-1)*100),"NA",IF(((BK681/BC681-1)*100)&gt;100,"NM",IF(((BK681/BC681-1)*100)&lt;-50,"NM",(BK681/BC681-1)*100)))</f>
        <v>NA</v>
      </c>
      <c r="BM681" s="290">
        <f>(BM665+BM676)/BM626*100</f>
        <v>109.44082687338503</v>
      </c>
      <c r="BN681" s="33">
        <f>IF(ISERROR((BM681/BE681-1)*100),"NA",IF(((BM681/BE681-1)*100)&gt;100,"NM",IF(((BM681/BE681-1)*100)&lt;-50,"NM",(BM681/BE681-1)*100)))</f>
        <v>22.234901157752439</v>
      </c>
      <c r="BO681" s="290">
        <f>(BO665+BO676)/BO626*100</f>
        <v>116.60447761194031</v>
      </c>
      <c r="BP681" s="33">
        <f>IF(ISERROR((BO681/BG681-1)*100),"NA",IF(((BO681/BG681-1)*100)&gt;100,"NM",IF(((BO681/BG681-1)*100)&lt;-50,"NM",(BO681/BG681-1)*100)))</f>
        <v>68.221393034825908</v>
      </c>
      <c r="BQ681" s="290">
        <f>(BQ665+BQ676)/BQ626*100</f>
        <v>0</v>
      </c>
      <c r="BR681" s="33" t="str">
        <f>IF(ISERROR((BQ681/BI681-1)*100),"NA",IF(((BQ681/BI681-1)*100)&gt;100,"NM",IF(((BQ681/BI681-1)*100)&lt;-50,"NM",(BQ681/BI681-1)*100)))</f>
        <v>NA</v>
      </c>
      <c r="BS681" s="290">
        <f>(BS665+BS676)/BS626*100</f>
        <v>0</v>
      </c>
      <c r="BT681" s="33" t="str">
        <f>IF(ISERROR((BS681/BK681-1)*100),"NA",IF(((BS681/BK681-1)*100)&gt;100,"NM",IF(((BS681/BK681-1)*100)&lt;-50,"NM",(BS681/BK681-1)*100)))</f>
        <v>NM</v>
      </c>
      <c r="BU681" s="290">
        <f>(BU665+BU676)/BU626*100</f>
        <v>-1249.4978723404256</v>
      </c>
      <c r="BV681" s="33" t="str">
        <f>IF(ISERROR((BU681/BM681-1)*100),"NA",IF(((BU681/BM681-1)*100)&gt;100,"NM",IF(((BU681/BM681-1)*100)&lt;-50,"NM",(BU681/BM681-1)*100)))</f>
        <v>NM</v>
      </c>
      <c r="BW681" s="290">
        <f>(BW665+BW676)/BW626*100</f>
        <v>0</v>
      </c>
      <c r="BX681" s="33" t="str">
        <f>IF(ISERROR((BW681/BO681-1)*100),"NA",IF(((BW681/BO681-1)*100)&gt;100,"NM",IF(((BW681/BO681-1)*100)&lt;-50,"NM",(BW681/BO681-1)*100)))</f>
        <v>NM</v>
      </c>
      <c r="BY681" s="290">
        <f>(BY665+BY676)/BY626*100</f>
        <v>0</v>
      </c>
      <c r="BZ681" s="33" t="str">
        <f>IF(ISERROR((BY681/BQ681-1)*100),"NA",IF(((BY681/BQ681-1)*100)&gt;100,"NM",IF(((BY681/BQ681-1)*100)&lt;-50,"NM",(BY681/BQ681-1)*100)))</f>
        <v>NA</v>
      </c>
      <c r="CA681" s="290">
        <f>(CA665+CA676)/CA626*100</f>
        <v>0</v>
      </c>
      <c r="CB681" s="33" t="str">
        <f>IF(ISERROR((CA681/BS681-1)*100),"NA",IF(((CA681/BS681-1)*100)&gt;100,"NM",IF(((CA681/BS681-1)*100)&lt;-50,"NM",(CA681/BS681-1)*100)))</f>
        <v>NA</v>
      </c>
      <c r="CC681" s="290">
        <f>(CC665+CC676)/CC626*100</f>
        <v>1836.0969696969694</v>
      </c>
      <c r="CD681" s="33" t="str">
        <f>IF(ISERROR((CC681/BU681-1)*100),"NA",IF(((CC681/BU681-1)*100)&gt;100,"NM",IF(((CC681/BU681-1)*100)&lt;-50,"NM",(CC681/BU681-1)*100)))</f>
        <v>NM</v>
      </c>
      <c r="CE681" s="290">
        <f>(CE665+CE676)/CE626*100</f>
        <v>0</v>
      </c>
      <c r="CF681" s="33" t="str">
        <f>IF(ISERROR((CE681/BW681-1)*100),"NA",IF(((CE681/BW681-1)*100)&gt;100,"NM",IF(((CE681/BW681-1)*100)&lt;-50,"NM",(CE681/BW681-1)*100)))</f>
        <v>NA</v>
      </c>
      <c r="CG681" s="290">
        <f>(CG665+CG676)/CG626*100</f>
        <v>0</v>
      </c>
      <c r="CH681" s="33" t="str">
        <f>IF(ISERROR((CG681/BY681-1)*100),"NA",IF(((CG681/BY681-1)*100)&gt;100,"NM",IF(((CG681/BY681-1)*100)&lt;-50,"NM",(CG681/BY681-1)*100)))</f>
        <v>NA</v>
      </c>
      <c r="CI681" s="290">
        <f>(CI665+CI676)/CI626*100</f>
        <v>0</v>
      </c>
      <c r="CJ681" s="33" t="str">
        <f>IF(ISERROR((CI681/CA681-1)*100),"NA",IF(((CI681/CA681-1)*100)&gt;100,"NM",IF(((CI681/CA681-1)*100)&lt;-50,"NM",(CI681/CA681-1)*100)))</f>
        <v>NA</v>
      </c>
      <c r="CK681" s="290">
        <f>(CK665+CK676)/CK626*100</f>
        <v>133.83464837049743</v>
      </c>
      <c r="CL681" s="33" t="str">
        <f>IF(ISERROR((CK681/CC681-1)*100),"NA",IF(((CK681/CC681-1)*100)&gt;100,"NM",IF(((CK681/CC681-1)*100)&lt;-50,"NM",(CK681/CC681-1)*100)))</f>
        <v>NM</v>
      </c>
      <c r="CM681" s="290">
        <f>(CM665+CM676)/CM626*100</f>
        <v>0</v>
      </c>
      <c r="CN681" s="33" t="str">
        <f>IF(ISERROR((CM681/CE681-1)*100),"NA",IF(((CM681/CE681-1)*100)&gt;100,"NM",IF(((CM681/CE681-1)*100)&lt;-50,"NM",(CM681/CE681-1)*100)))</f>
        <v>NA</v>
      </c>
      <c r="CO681" s="290">
        <f>(CO665+CO676)/CO626*100</f>
        <v>0</v>
      </c>
      <c r="CP681" s="33" t="str">
        <f>IF(ISERROR((CO681/CG681-1)*100),"NA",IF(((CO681/CG681-1)*100)&gt;100,"NM",IF(((CO681/CG681-1)*100)&lt;-50,"NM",(CO681/CG681-1)*100)))</f>
        <v>NA</v>
      </c>
      <c r="CQ681" s="487">
        <f>(CQ665+CQ676)/CQ626*100</f>
        <v>0</v>
      </c>
      <c r="CR681" s="33" t="str">
        <f>IF(ISERROR((CQ681/CI681-1)*100),"NA",IF(((CQ681/CI681-1)*100)&gt;100,"NM",IF(((CQ681/CI681-1)*100)&lt;-50,"NM",(CQ681/CI681-1)*100)))</f>
        <v>NA</v>
      </c>
      <c r="CS681" s="290">
        <f>(CS665+CS676)/CS626*100</f>
        <v>97.866849999999999</v>
      </c>
      <c r="CT681" s="33">
        <f>IF(ISERROR((CS681/CK681-1)*100),"NA",IF(((CS681/CK681-1)*100)&gt;100,"NM",IF(((CS681/CK681-1)*100)&lt;-50,"NM",(CS681/CK681-1)*100)))</f>
        <v>-26.874803205614572</v>
      </c>
      <c r="CU681" s="290">
        <f>(CU665+CU676)/CU626*100</f>
        <v>0</v>
      </c>
      <c r="CV681" s="33" t="str">
        <f>IF(ISERROR((CU681/CM681-1)*100),"NA",IF(((CU681/CM681-1)*100)&gt;100,"NM",IF(((CU681/CM681-1)*100)&lt;-50,"NM",(CU681/CM681-1)*100)))</f>
        <v>NA</v>
      </c>
      <c r="CW681" s="290">
        <f>(CW665+CW676)/CW626*100</f>
        <v>0</v>
      </c>
      <c r="CX681" s="33" t="str">
        <f>IF(ISERROR((CW681/CO681-1)*100),"NA",IF(((CW681/CO681-1)*100)&gt;100,"NM",IF(((CW681/CO681-1)*100)&lt;-50,"NM",(CW681/CO681-1)*100)))</f>
        <v>NA</v>
      </c>
      <c r="CY681" s="290">
        <f>(CY665+CY676)/CY626*100</f>
        <v>0</v>
      </c>
      <c r="CZ681" s="33" t="str">
        <f>IF(ISERROR((CY681/CQ681-1)*100),"NA",IF(((CY681/CQ681-1)*100)&gt;100,"NM",IF(((CY681/CQ681-1)*100)&lt;-50,"NM",(CY681/CQ681-1)*100)))</f>
        <v>NA</v>
      </c>
      <c r="DA681" s="290">
        <f>(DA665+DA676)/DA626*100</f>
        <v>109.16999999999997</v>
      </c>
      <c r="DB681" s="33">
        <f>IF(ISERROR((DA681/CS681-1)*100),"NA",IF(((DA681/CS681-1)*100)&gt;100,"NM",IF(((DA681/CS681-1)*100)&lt;-50,"NM",(DA681/CS681-1)*100)))</f>
        <v>11.549518555057169</v>
      </c>
      <c r="DC681" s="290">
        <f>(DC665+DC676)/DC626*100</f>
        <v>20.222477522477519</v>
      </c>
      <c r="DD681" s="33" t="str">
        <f>IF(ISERROR((DC681/CU681-1)*100),"NA",IF(((DC681/CU681-1)*100)&gt;100,"NM",IF(((DC681/CU681-1)*100)&lt;-50,"NM",(DC681/CU681-1)*100)))</f>
        <v>NA</v>
      </c>
      <c r="DE681" s="290">
        <f>(DE665+DE676)/DE626*100</f>
        <v>30.036354581673308</v>
      </c>
      <c r="DF681" s="33" t="str">
        <f>IF(ISERROR((DE681/CW681-1)*100),"NA",IF(((DE681/CW681-1)*100)&gt;100,"NM",IF(((DE681/CW681-1)*100)&lt;-50,"NM",(DE681/CW681-1)*100)))</f>
        <v>NA</v>
      </c>
      <c r="DG681" s="290">
        <f>(DG665+DG676)/DG626*100</f>
        <v>36.868421052631582</v>
      </c>
      <c r="DH681" s="33" t="str">
        <f>IF(ISERROR((DG681/CY681-1)*100),"NA",IF(((DG681/CY681-1)*100)&gt;100,"NM",IF(((DG681/CY681-1)*100)&lt;-50,"NM",(DG681/CY681-1)*100)))</f>
        <v>NA</v>
      </c>
      <c r="DI681" s="290">
        <f>(DI665+DI676)/DI626*100</f>
        <v>34.436383928571431</v>
      </c>
      <c r="DJ681" s="33" t="str">
        <f>IF(ISERROR((DI681/DA681-1)*100),"NA",IF(((DI681/DA681-1)*100)&gt;100,"NM",IF(((DI681/DA681-1)*100)&lt;-50,"NM",(DI681/DA681-1)*100)))</f>
        <v>NM</v>
      </c>
      <c r="DK681" s="290">
        <f>(DK665+DK676)/DK626*100</f>
        <v>33.403887688984881</v>
      </c>
      <c r="DL681" s="33">
        <f>IF(ISERROR((DK681/DC681-1)*100),"NA",IF(((DK681/DC681-1)*100)&gt;100,"NM",IF(((DK681/DC681-1)*100)&lt;-50,"NM",(DK681/DC681-1)*100)))</f>
        <v>65.181974621339407</v>
      </c>
      <c r="DM681" s="290">
        <f>(DM665+DM676)/DM626*100</f>
        <v>43.18838992332968</v>
      </c>
      <c r="DN681" s="33">
        <f>IF(ISERROR((DM681/DE681-1)*100),"NA",IF(((DM681/DE681-1)*100)&gt;100,"NM",IF(((DM681/DE681-1)*100)&lt;-50,"NM",(DM681/DE681-1)*100)))</f>
        <v>43.787055802307947</v>
      </c>
      <c r="DO681" s="290">
        <f>(DO665+DO676)/DO626*100</f>
        <v>79.777403846153845</v>
      </c>
      <c r="DP681" s="33" t="str">
        <f>IF(ISERROR((DO681/DG681-1)*100),"NA",IF(((DO681/DG681-1)*100)&gt;100,"NM",IF(((DO681/DG681-1)*100)&lt;-50,"NM",(DO681/DG681-1)*100)))</f>
        <v>NM</v>
      </c>
      <c r="DQ681" s="290">
        <f>(DQ665+DQ676)/DQ626*100</f>
        <v>110.19248554913294</v>
      </c>
      <c r="DR681" s="33" t="str">
        <f>IF(ISERROR((DQ681/DI681-1)*100),"NA",IF(((DQ681/DI681-1)*100)&gt;100,"NM",IF(((DQ681/DI681-1)*100)&lt;-50,"NM",(DQ681/DI681-1)*100)))</f>
        <v>NM</v>
      </c>
      <c r="DS681" s="290">
        <f>(DS665+DS676)/DS626*100</f>
        <v>113.17239336492891</v>
      </c>
      <c r="DT681" s="33" t="str">
        <f>IF(ISERROR((DS681/DK681-1)*100),"NA",IF(((DS681/DK681-1)*100)&gt;100,"NM",IF(((DS681/DK681-1)*100)&lt;-50,"NM",(DS681/DK681-1)*100)))</f>
        <v>NM</v>
      </c>
      <c r="DU681" s="290">
        <f>(DU665+DU676)/DU626*100</f>
        <v>31.598675496688735</v>
      </c>
      <c r="DV681" s="33">
        <f>IF(ISERROR((DU681/DM681-1)*100),"NA",IF(((DU681/DM681-1)*100)&gt;100,"NM",IF(((DU681/DM681-1)*100)&lt;-50,"NM",(DU681/DM681-1)*100)))</f>
        <v>-26.835254676582345</v>
      </c>
      <c r="DW681" s="290">
        <f>(DW665+DW676)/DW626*100</f>
        <v>146.66201117318434</v>
      </c>
      <c r="DX681" s="33">
        <f>IF(ISERROR((DW681/DO681-1)*100),"NA",IF(((DW681/DO681-1)*100)&gt;100,"NM",IF(((DW681/DO681-1)*100)&lt;-50,"NM",(DW681/DO681-1)*100)))</f>
        <v>83.839037249211117</v>
      </c>
      <c r="DY681" s="290">
        <f>(DY665+DY676)/DY626*100</f>
        <v>124.87348178137651</v>
      </c>
      <c r="DZ681" s="33">
        <f>IF(ISERROR((DY681/DQ681-1)*100),"NA",IF(((DY681/DQ681-1)*100)&gt;100,"NM",IF(((DY681/DQ681-1)*100)&lt;-50,"NM",(DY681/DQ681-1)*100)))</f>
        <v>13.323046629797242</v>
      </c>
      <c r="EA681" s="290">
        <f>(EA665+EA676)/EA626*100</f>
        <v>47.099550898203582</v>
      </c>
      <c r="EB681" s="33" t="str">
        <f>IF(ISERROR((EA681/DS681-1)*100),"NA",IF(((EA681/DS681-1)*100)&gt;100,"NM",IF(((EA681/DS681-1)*100)&lt;-50,"NM",(EA681/DS681-1)*100)))</f>
        <v>NM</v>
      </c>
      <c r="EC681" s="290">
        <f>(EC665+EC676)/EC626*100</f>
        <v>65.822683706070279</v>
      </c>
      <c r="ED681" s="33" t="str">
        <f>IF(ISERROR((EC681/DU681-1)*100),"NA",IF(((EC681/DU681-1)*100)&gt;100,"NM",IF(((EC681/DU681-1)*100)&lt;-50,"NM",(EC681/DU681-1)*100)))</f>
        <v>NM</v>
      </c>
      <c r="EE681" s="290">
        <f>(EE665+EE676)/EE626*100</f>
        <v>30.415129151291502</v>
      </c>
      <c r="EF681" s="771" t="str">
        <f>IF(ISERROR((EE681/DW681-1)*100),"NA",IF(((EE681/DW681-1)*100)&gt;100,"NM",IF(((EE681/DW681-1)*100)&lt;-50,"NM",(EE681/DW681-1)*100)))</f>
        <v>NM</v>
      </c>
      <c r="EG681" s="290">
        <f>(EG665+EG676)/EG626*100</f>
        <v>70.028382213812662</v>
      </c>
      <c r="EH681" s="771">
        <f>IF(ISERROR((EG681/DY681-1)*100),"NA",IF(((EG681/DY681-1)*100)&gt;100,"NM",IF(((EG681/DY681-1)*100)&lt;-50,"NM",(EG681/DY681-1)*100)))</f>
        <v>-43.920533635463499</v>
      </c>
      <c r="EI681" s="290">
        <f>(EI665+EI676)/EI626*100</f>
        <v>97.692657077971234</v>
      </c>
      <c r="EJ681" s="771" t="str">
        <f t="shared" ref="EJ681:EJ682" si="4104">IF(ISERROR((EI681/EA681-1)*100),"NA",IF(((EI681/EA681-1)*100)&gt;100,"NM",IF(((EI681/EA681-1)*100)&lt;-50,"NM",(EI681/EA681-1)*100)))</f>
        <v>NM</v>
      </c>
      <c r="EK681" s="290">
        <f>(EK665+EK676)/EK626*100</f>
        <v>122.87243532560213</v>
      </c>
      <c r="EL681" s="771">
        <f t="shared" ref="EL681:EL682" si="4105">IF(ISERROR((EK681/EC681-1)*100),"NA",IF(((EK681/EC681-1)*100)&gt;100,"NM",IF(((EK681/EC681-1)*100)&lt;-50,"NM",(EK681/EC681-1)*100)))</f>
        <v>86.671871165700637</v>
      </c>
      <c r="EM681" s="290">
        <f>(EM665+EM676)/EM626*100</f>
        <v>83.113901345291481</v>
      </c>
      <c r="EN681" s="771" t="str">
        <f t="shared" ref="EN681:EN682" si="4106">IF(ISERROR((EM681/EE681-1)*100),"NA",IF(((EM681/EE681-1)*100)&gt;100,"NM",IF(((EM681/EE681-1)*100)&lt;-50,"NM",(EM681/EE681-1)*100)))</f>
        <v>NM</v>
      </c>
      <c r="EO681" s="290">
        <f>(EO665+EO676)/EO626*100</f>
        <v>153.30973451327432</v>
      </c>
      <c r="EP681" s="33" t="str">
        <f t="shared" ref="EP681:EP682" si="4107">IF(ISERROR((EO681/EG681-1)*100),"NA",IF(((EO681/EG681-1)*100)&gt;100,"NM",IF(((EO681/EG681-1)*100)&lt;-50,"NM",(EO681/EG681-1)*100)))</f>
        <v>NM</v>
      </c>
      <c r="EQ681" s="1065">
        <f>(EQ665+EQ677)/EQ626*100</f>
        <v>106.72255633537455</v>
      </c>
      <c r="ER681" s="33">
        <f t="shared" ref="ER681:ER682" si="4108">IF(ISERROR((EQ681/EI681-1)*100),"NA",IF(((EQ681/EI681-1)*100)&gt;100,"NM",IF(((EQ681/EI681-1)*100)&lt;-50,"NM",(EQ681/EI681-1)*100)))</f>
        <v>9.2431709070992962</v>
      </c>
      <c r="ES681" s="1065">
        <f t="shared" ref="ES681" si="4109">(ES665+ES677)/ES626*100</f>
        <v>106.22918673769183</v>
      </c>
      <c r="ET681" s="33">
        <f t="shared" ref="ET681:ET682" si="4110">IF(ISERROR((ES681/EK681-1)*100),"NA",IF(((ES681/EK681-1)*100)&gt;100,"NM",IF(((ES681/EK681-1)*100)&lt;-50,"NM",(ES681/EK681-1)*100)))</f>
        <v>-13.54514423337262</v>
      </c>
      <c r="EU681" s="1065">
        <f t="shared" ref="EU681" si="4111">(EU665+EU677)/EU626*100</f>
        <v>96.515595079606115</v>
      </c>
      <c r="EV681" s="33">
        <f t="shared" ref="EV681:EV682" si="4112">IF(ISERROR((EU681/EM681-1)*100),"NA",IF(((EU681/EM681-1)*100)&gt;100,"NM",IF(((EU681/EM681-1)*100)&lt;-50,"NM",(EU681/EM681-1)*100)))</f>
        <v>16.124491231181825</v>
      </c>
      <c r="EW681" s="1065">
        <f t="shared" ref="EW681" si="4113">(EW665+EW677)/EW626*100</f>
        <v>97.455521634144844</v>
      </c>
      <c r="EX681" s="33">
        <f t="shared" ref="EX681:EX682" si="4114">IF(ISERROR((EW681/EO681-1)*100),"NA",IF(((EW681/EO681-1)*100)&gt;100,"NM",IF(((EW681/EO681-1)*100)&lt;-50,"NM",(EW681/EO681-1)*100)))</f>
        <v>-36.432267694190898</v>
      </c>
      <c r="EY681" s="368"/>
      <c r="EZ681" s="605"/>
      <c r="FA681" s="422"/>
      <c r="FB681" s="423"/>
      <c r="FC681" s="423"/>
      <c r="FD681" s="423"/>
      <c r="FE681" s="423"/>
      <c r="FF681" s="368">
        <f>(FF665+FF676)/FF626*100</f>
        <v>49.491591203104782</v>
      </c>
      <c r="FG681" s="423" t="str">
        <f>IF(ISERROR((FF681/FD681-1)*100),"NA",IF(((FF681/FD681-1)*100)&gt;100,"NM",IF(((FF681/FD681-1)*100)&lt;-50,"NM",(FF681/FD681-1)*100)))</f>
        <v>NA</v>
      </c>
      <c r="FH681" s="368">
        <f>(FH665+FH676)/FH626*100</f>
        <v>161.82119205298011</v>
      </c>
      <c r="FI681" s="423" t="str">
        <f>IF(ISERROR((FH681/FF681-1)*100),"NA",IF(((FH681/FF681-1)*100)&gt;100,"NM",IF(((FH681/FF681-1)*100)&lt;-50,"NM",(FH681/FF681-1)*100)))</f>
        <v>NM</v>
      </c>
      <c r="FJ681" s="368">
        <f>(FJ665+FJ676)/FJ626*100</f>
        <v>35.439392201834863</v>
      </c>
      <c r="FK681" s="423" t="str">
        <f>IF(ISERROR((FJ681/FH681-1)*100),"NA",IF(((FJ681/FH681-1)*100)&gt;100,"NM",IF(((FJ681/FH681-1)*100)&lt;-50,"NM",(FJ681/FH681-1)*100)))</f>
        <v>NM</v>
      </c>
      <c r="FL681" s="368">
        <f>(FL665+FL676)/FL626*100</f>
        <v>12.067467734757455</v>
      </c>
      <c r="FM681" s="423" t="str">
        <f>IF(ISERROR((FL681/FJ681-1)*100),"NA",IF(((FL681/FJ681-1)*100)&gt;100,"NM",IF(((FL681/FJ681-1)*100)&lt;-50,"NM",(FL681/FJ681-1)*100)))</f>
        <v>NM</v>
      </c>
      <c r="FN681" s="368">
        <f>(FN665+FN676)/FN626*100</f>
        <v>50.636604774535812</v>
      </c>
      <c r="FO681" s="423" t="str">
        <f>IF(ISERROR((FN681/FL681-1)*100),"NA",IF(((FN681/FL681-1)*100)&gt;100,"NM",IF(((FN681/FL681-1)*100)&lt;-50,"NM",(FN681/FL681-1)*100)))</f>
        <v>NM</v>
      </c>
      <c r="FP681" s="368">
        <f>(FP665+FP676)/FP626*100</f>
        <v>12.042188933047997</v>
      </c>
      <c r="FQ681" s="423" t="str">
        <f>IF(ISERROR((FP681/FN681-1)*100),"NA",IF(((FP681/FN681-1)*100)&gt;100,"NM",IF(((FP681/FN681-1)*100)&lt;-50,"NM",(FP681/FN681-1)*100)))</f>
        <v>NM</v>
      </c>
      <c r="FR681" s="368">
        <f>(FR665+FR676)/FR626*100</f>
        <v>23.462953754351069</v>
      </c>
      <c r="FS681" s="36">
        <f>IF(ISERROR((FR681/FP681-1)*100),"NA",IF(((FR681/FP681-1)*100)&gt;100,"NM",IF(((FR681/FP681-1)*100)&lt;-50,"NM",(FR681/FP681-1)*100)))</f>
        <v>94.839608353598237</v>
      </c>
      <c r="FT681" s="368">
        <f>(FT665+FT676)/FT626*100</f>
        <v>47.581058495821729</v>
      </c>
      <c r="FU681" s="36" t="str">
        <f>IF(ISERROR((FT681/FR681-1)*100),"NA",IF(((FT681/FR681-1)*100)&gt;100,"NM",IF(((FT681/FR681-1)*100)&lt;-50,"NM",(FT681/FR681-1)*100)))</f>
        <v>NM</v>
      </c>
      <c r="FV681" s="367">
        <f>(FV665+FV676)/FV626*100</f>
        <v>72.907301587301589</v>
      </c>
      <c r="FW681" s="33">
        <f>IF(ISERROR((FV681/FT681-1)*100),"NA",IF(((FV681/FT681-1)*100)&gt;100,"NM",IF(((FV681/FT681-1)*100)&lt;-50,"NM",(FV681/FT681-1)*100)))</f>
        <v>53.227573938280194</v>
      </c>
      <c r="FX681" s="529">
        <f>(FX665+FX676)/FX626*100</f>
        <v>231.26412213740454</v>
      </c>
      <c r="FY681" s="33" t="str">
        <f>IF(ISERROR((FX681/FV681-1)*100),"NA",IF(((FX681/FV681-1)*100)&gt;100,"NM",IF(((FX681/FV681-1)*100)&lt;-50,"NM",(FX681/FV681-1)*100)))</f>
        <v>NM</v>
      </c>
      <c r="FZ681" s="368">
        <f>(FZ665+FZ676)/FZ626*100</f>
        <v>60.720311284046701</v>
      </c>
      <c r="GA681" s="33" t="str">
        <f>IF(ISERROR((FZ681/FX681-1)*100),"NA",IF(((FZ681/FX681-1)*100)&gt;100,"NM",IF(((FZ681/FX681-1)*100)&lt;-50,"NM",(FZ681/FX681-1)*100)))</f>
        <v>NM</v>
      </c>
      <c r="GB681" s="529">
        <f>(GB665+GB676)/GB626*100</f>
        <v>23.427133453022144</v>
      </c>
      <c r="GC681" s="33" t="str">
        <f>IF(ISERROR((GB681/FZ681-1)*100),"NA",IF(((GB681/FZ681-1)*100)&gt;100,"NM",IF(((GB681/FZ681-1)*100)&lt;-50,"NM",(GB681/FZ681-1)*100)))</f>
        <v>NM</v>
      </c>
      <c r="GD681" s="368">
        <f>(GD665+GD676)/GD626*100</f>
        <v>21.929229098805646</v>
      </c>
      <c r="GE681" s="33">
        <f>IF(ISERROR((GD681/GB681-1)*100),"NA",IF(((GD681/GB681-1)*100)&gt;100,"NM",IF(((GD681/GB681-1)*100)&lt;-50,"NM",(GD681/GB681-1)*100)))</f>
        <v>-6.393886632439294</v>
      </c>
      <c r="GF681" s="368">
        <f>(GF665+GF676)/GF626*100</f>
        <v>21.495451441578155</v>
      </c>
      <c r="GG681" s="33">
        <f>IF(ISERROR((GF681/GD681-1)*100),"NA",IF(((GF681/GD681-1)*100)&gt;100,"NM",IF(((GF681/GD681-1)*100)&lt;-50,"NM",(GF681/GD681-1)*100)))</f>
        <v>-1.9780798279457779</v>
      </c>
      <c r="GH681" s="368">
        <f>(GH665+GH676)/GH626*100</f>
        <v>46.710241527803781</v>
      </c>
      <c r="GI681" s="33" t="str">
        <f>IF(ISERROR((GH681/GF681-1)*100),"NA",IF(((GH681/GF681-1)*100)&gt;100,"NM",IF(((GH681/GF681-1)*100)&lt;-50,"NM",(GH681/GF681-1)*100)))</f>
        <v>NM</v>
      </c>
      <c r="GJ681" s="368">
        <f>(GJ665+GJ676)/GJ626*100</f>
        <v>90.696449257114082</v>
      </c>
      <c r="GK681" s="33">
        <f>IF(ISERROR((GJ681/GH681-1)*100),"NA",IF(((GJ681/GH681-1)*100)&gt;100,"NM",IF(((GJ681/GH681-1)*100)&lt;-50,"NM",(GJ681/GH681-1)*100)))</f>
        <v>94.168230115290612</v>
      </c>
      <c r="GL681" s="368">
        <f>(GL665+GL676)/GL626*100</f>
        <v>50.313564356435634</v>
      </c>
      <c r="GM681" s="33">
        <f>IF(ISERROR((GL681/GJ681-1)*100),"NA",IF(((GL681/GJ681-1)*100)&gt;100,"NM",IF(((GL681/GJ681-1)*100)&lt;-50,"NM",(GL681/GJ681-1)*100)))</f>
        <v>-44.525320705993224</v>
      </c>
      <c r="GN681" s="368">
        <f>(GN665+GN676)/GN626*100</f>
        <v>108.7790318772137</v>
      </c>
      <c r="GO681" s="33" t="str">
        <f>IF(ISERROR((GN681/GL681-1)*100),"NA",IF(((GN681/GL681-1)*100)&gt;100,"NM",IF(((GN681/GL681-1)*100)&lt;-50,"NM",(GN681/GL681-1)*100)))</f>
        <v>NM</v>
      </c>
      <c r="GP681" s="368">
        <f>(GP665+GP676)/GP626*100</f>
        <v>100.94942692058366</v>
      </c>
      <c r="GQ681" s="33">
        <f>IF(ISERROR((GP681/GN681-1)*100),"NA",IF(((GP681/GN681-1)*100)&gt;100,"NM",IF(((GP681/GN681-1)*100)&lt;-50,"NM",(GP681/GN681-1)*100)))</f>
        <v>-7.1977152411761169</v>
      </c>
      <c r="GR681" s="368">
        <f>(GR665+GR677)/GR626*100</f>
        <v>90.379456604607753</v>
      </c>
      <c r="GS681" s="33">
        <f>IF(ISERROR((GR681/GP681-1)*100),"NA",IF(((GR681/GP681-1)*100)&gt;100,"NM",IF(((GR681/GP681-1)*100)&lt;-50,"NM",(GR681/GP681-1)*100)))</f>
        <v>-10.470560000594398</v>
      </c>
      <c r="GT681" s="368">
        <f>(GT665+GT677)/GT626*100</f>
        <v>88.15640172797788</v>
      </c>
      <c r="GU681" s="33">
        <f>IF(ISERROR((GT681/GR681-1)*100),"NA",IF(((GT681/GR681-1)*100)&gt;100,"NM",IF(((GT681/GR681-1)*100)&lt;-50,"NM",(GT681/GR681-1)*100)))</f>
        <v>-2.4596904652296137</v>
      </c>
      <c r="GV681" s="368">
        <f>(GV665+GV677)/GV626*100</f>
        <v>86.776854517346649</v>
      </c>
      <c r="GW681" s="33">
        <f>IF(ISERROR((GV681/GT681-1)*100),"NA",IF(((GV681/GT681-1)*100)&gt;100,"NM",IF(((GV681/GT681-1)*100)&lt;-50,"NM",(GV681/GT681-1)*100)))</f>
        <v>-1.5648860248267282</v>
      </c>
      <c r="GX681" s="368">
        <f>(GX665+GX677)/GX626*100</f>
        <v>86.205737268008193</v>
      </c>
      <c r="GY681" s="33">
        <f>IF(ISERROR((GX681/GV681-1)*100),"NA",IF(((GX681/GV681-1)*100)&gt;100,"NM",IF(((GX681/GV681-1)*100)&lt;-50,"NM",(GX681/GV681-1)*100)))</f>
        <v>-0.65814467753528838</v>
      </c>
      <c r="GZ681" s="33">
        <f>IF(ISERROR(((GX681/GN681)^0.2-1)*100),"NA",IF((((GX681/GN681)^0.2-1)*100)&gt;100,"NM",IF((((GX681/GN681)^0.2-1)*100)&lt;-50,"NM",((GX681/GN681)^0.2-1)*100)))</f>
        <v>-4.5451067632307662</v>
      </c>
      <c r="HA681" s="33"/>
      <c r="HB681" s="10"/>
      <c r="HC681"/>
      <c r="HD681"/>
      <c r="HE681"/>
      <c r="HF681"/>
      <c r="HG681"/>
      <c r="HH681"/>
      <c r="HI681" s="10"/>
    </row>
    <row r="682" spans="1:217" s="2" customFormat="1" ht="12.75" customHeight="1" x14ac:dyDescent="0.2">
      <c r="B682" s="222" t="s">
        <v>602</v>
      </c>
      <c r="C682" s="369">
        <f>(C665+C673)/C640*100</f>
        <v>0</v>
      </c>
      <c r="D682" s="98"/>
      <c r="E682" s="369">
        <f>(E665+E673)/E640*100</f>
        <v>80</v>
      </c>
      <c r="F682" s="98"/>
      <c r="G682" s="369">
        <f>(G665+G673)/G640*100</f>
        <v>3.2780082987551871</v>
      </c>
      <c r="H682" s="98"/>
      <c r="I682" s="369">
        <f>(I665+I673)/I640*100</f>
        <v>26.910321489001692</v>
      </c>
      <c r="J682" s="98"/>
      <c r="K682" s="369">
        <f>(K665+K673)/K640*100</f>
        <v>2.7177700348432055</v>
      </c>
      <c r="L682" s="98" t="str">
        <f>IF(ISERROR((K682/C682-1)*100),"NA",IF(((K682/C682-1)*100)&gt;100,"NM",IF(((K682/C682-1)*100)&lt;-50,"NM",(K682/C682-1)*100)))</f>
        <v>NA</v>
      </c>
      <c r="M682" s="369">
        <f>(M665+M673)/M640*100</f>
        <v>2.8437499999999996</v>
      </c>
      <c r="N682" s="98" t="str">
        <f>IF(ISERROR((M682/E682-1)*100),"NA",IF(((M682/E682-1)*100)&gt;100,"NM",IF(((M682/E682-1)*100)&lt;-50,"NM",(M682/E682-1)*100)))</f>
        <v>NM</v>
      </c>
      <c r="O682" s="369">
        <f>(O665+O673)/O640*100</f>
        <v>11.049382716049381</v>
      </c>
      <c r="P682" s="98" t="str">
        <f>IF(ISERROR((O682/G682-1)*100),"NA",IF(((O682/G682-1)*100)&gt;100,"NM",IF(((O682/G682-1)*100)&lt;-50,"NM",(O682/G682-1)*100)))</f>
        <v>NM</v>
      </c>
      <c r="Q682" s="369">
        <f>(Q665+Q673)/Q640*100</f>
        <v>-51.858108108108105</v>
      </c>
      <c r="R682" s="98" t="str">
        <f>IF(ISERROR((Q682/I682-1)*100),"NA",IF(((Q682/I682-1)*100)&gt;100,"NM",IF(((Q682/I682-1)*100)&lt;-50,"NM",(Q682/I682-1)*100)))</f>
        <v>NM</v>
      </c>
      <c r="S682" s="369">
        <f>(S665+S673)/S640*100</f>
        <v>2.3404255319148937</v>
      </c>
      <c r="T682" s="98">
        <f>IF(ISERROR((S682/K682-1)*100),"NA",IF(((S682/K682-1)*100)&gt;100,"NM",IF(((S682/K682-1)*100)&lt;-50,"NM",(S682/K682-1)*100)))</f>
        <v>-13.884342607746857</v>
      </c>
      <c r="U682" s="369">
        <f>(U665+U673)/U640*100</f>
        <v>1.5245478036175713</v>
      </c>
      <c r="V682" s="98">
        <f>IF(ISERROR((U682/M682-1)*100),"NA",IF(((U682/M682-1)*100)&gt;100,"NM",IF(((U682/M682-1)*100)&lt;-50,"NM",(U682/M682-1)*100)))</f>
        <v>-46.389527784876606</v>
      </c>
      <c r="W682" s="369">
        <f>(W665+W673)/W640*100</f>
        <v>0.48780487804878048</v>
      </c>
      <c r="X682" s="98" t="str">
        <f>IF(ISERROR((W682/O682-1)*100),"NA",IF(((W682/O682-1)*100)&gt;100,"NM",IF(((W682/O682-1)*100)&lt;-50,"NM",(W682/O682-1)*100)))</f>
        <v>NM</v>
      </c>
      <c r="Y682" s="369">
        <f>(Y665+Y673)/Y640*100</f>
        <v>26.214438502673794</v>
      </c>
      <c r="Z682" s="98" t="str">
        <f>IF(ISERROR((Y682/Q682-1)*100),"NA",IF(((Y682/Q682-1)*100)&gt;100,"NM",IF(((Y682/Q682-1)*100)&lt;-50,"NM",(Y682/Q682-1)*100)))</f>
        <v>NM</v>
      </c>
      <c r="AA682" s="369">
        <f>(AA665+AA673)/AA640*100</f>
        <v>0</v>
      </c>
      <c r="AB682" s="98" t="str">
        <f>IF(ISERROR((AA682/S682-1)*100),"NA",IF(((AA682/S682-1)*100)&gt;100,"NM",IF(((AA682/S682-1)*100)&lt;-50,"NM",(AA682/S682-1)*100)))</f>
        <v>NM</v>
      </c>
      <c r="AC682" s="369">
        <f>(AC665+AC673)/AC640*100</f>
        <v>0</v>
      </c>
      <c r="AD682" s="98" t="str">
        <f>IF(ISERROR((AC682/U682-1)*100),"NA",IF(((AC682/U682-1)*100)&gt;100,"NM",IF(((AC682/U682-1)*100)&lt;-50,"NM",(AC682/U682-1)*100)))</f>
        <v>NM</v>
      </c>
      <c r="AE682" s="369">
        <f>(AE665+AE673)/AE640*100</f>
        <v>0</v>
      </c>
      <c r="AF682" s="98" t="str">
        <f>IF(ISERROR((AE682/W682-1)*100),"NA",IF(((AE682/W682-1)*100)&gt;100,"NM",IF(((AE682/W682-1)*100)&lt;-50,"NM",(AE682/W682-1)*100)))</f>
        <v>NM</v>
      </c>
      <c r="AG682" s="333">
        <f>(AG665+AG673)/AG640*100</f>
        <v>25.271897289586303</v>
      </c>
      <c r="AH682" s="98">
        <f>IF(ISERROR((AG682/Y682-1)*100),"NA",IF(((AG682/Y682-1)*100)&gt;100,"NM",IF(((AG682/Y682-1)*100)&lt;-50,"NM",(AG682/Y682-1)*100)))</f>
        <v>-3.5955041073695071</v>
      </c>
      <c r="AI682" s="369">
        <f>(AI665+AI676)/AI640*100</f>
        <v>10.869565217391305</v>
      </c>
      <c r="AJ682" s="98" t="str">
        <f>IF(ISERROR((AI682/AA682-1)*100),"NA",IF(((AI682/AA682-1)*100)&gt;100,"NM",IF(((AI682/AA682-1)*100)&lt;-50,"NM",(AI682/AA682-1)*100)))</f>
        <v>NA</v>
      </c>
      <c r="AK682" s="369">
        <f>(AK665+AK676)/AK640*100</f>
        <v>22.012578616352204</v>
      </c>
      <c r="AL682" s="98" t="str">
        <f>IF(ISERROR((AK682/AC682-1)*100),"NA",IF(((AK682/AC682-1)*100)&gt;100,"NM",IF(((AK682/AC682-1)*100)&lt;-50,"NM",(AK682/AC682-1)*100)))</f>
        <v>NA</v>
      </c>
      <c r="AM682" s="369">
        <f>(AM665+AM676)/AM640*100</f>
        <v>31.798561151079134</v>
      </c>
      <c r="AN682" s="98" t="str">
        <f>IF(ISERROR((AM682/AE682-1)*100),"NA",IF(((AM682/AE682-1)*100)&gt;100,"NM",IF(((AM682/AE682-1)*100)&lt;-50,"NM",(AM682/AE682-1)*100)))</f>
        <v>NA</v>
      </c>
      <c r="AO682" s="369">
        <f>(AO665+AO676)/AO640*100</f>
        <v>164.4422700587084</v>
      </c>
      <c r="AP682" s="98" t="str">
        <f>IF(ISERROR((AO682/AG682-1)*100),"NA",IF(((AO682/AG682-1)*100)&gt;100,"NM",IF(((AO682/AG682-1)*100)&lt;-50,"NM",(AO682/AG682-1)*100)))</f>
        <v>NM</v>
      </c>
      <c r="AQ682" s="369">
        <f>(AQ665+AQ676)/AQ640*100</f>
        <v>0</v>
      </c>
      <c r="AR682" s="98" t="str">
        <f>IF(ISERROR((AQ682/AI682-1)*100),"NA",IF(((AQ682/AI682-1)*100)&gt;100,"NM",IF(((AQ682/AI682-1)*100)&lt;-50,"NM",(AQ682/AI682-1)*100)))</f>
        <v>NM</v>
      </c>
      <c r="AS682" s="369">
        <f>(AS665+AS676)/AS640*100</f>
        <v>0</v>
      </c>
      <c r="AT682" s="98" t="str">
        <f>IF(ISERROR((AS682/AK682-1)*100),"NA",IF(((AS682/AK682-1)*100)&gt;100,"NM",IF(((AS682/AK682-1)*100)&lt;-50,"NM",(AS682/AK682-1)*100)))</f>
        <v>NM</v>
      </c>
      <c r="AU682" s="369">
        <f>(AU665+AU676)/AU640*100</f>
        <v>0</v>
      </c>
      <c r="AV682" s="98" t="str">
        <f>IF(ISERROR((AU682/AM682-1)*100),"NA",IF(((AU682/AM682-1)*100)&gt;100,"NM",IF(((AU682/AM682-1)*100)&lt;-50,"NM",(AU682/AM682-1)*100)))</f>
        <v>NM</v>
      </c>
      <c r="AW682" s="369">
        <f>(AW665+AW676)/AW640*100</f>
        <v>58.183161004431319</v>
      </c>
      <c r="AX682" s="98" t="str">
        <f>IF(ISERROR((AW682/AO682-1)*100),"NA",IF(((AW682/AO682-1)*100)&gt;100,"NM",IF(((AW682/AO682-1)*100)&lt;-50,"NM",(AW682/AO682-1)*100)))</f>
        <v>NM</v>
      </c>
      <c r="AY682" s="290">
        <f>(AY665+AY676)/AY640*100</f>
        <v>0</v>
      </c>
      <c r="AZ682" s="98" t="str">
        <f>IF(ISERROR((AY682/AQ682-1)*100),"NA",IF(((AY682/AQ682-1)*100)&gt;100,"NM",IF(((AY682/AQ682-1)*100)&lt;-50,"NM",(AY682/AQ682-1)*100)))</f>
        <v>NA</v>
      </c>
      <c r="BA682" s="290">
        <f>(BA665+BA676)/BA640*100</f>
        <v>0</v>
      </c>
      <c r="BB682" s="98" t="str">
        <f>IF(ISERROR((BA682/AS682-1)*100),"NA",IF(((BA682/AS682-1)*100)&gt;100,"NM",IF(((BA682/AS682-1)*100)&lt;-50,"NM",(BA682/AS682-1)*100)))</f>
        <v>NA</v>
      </c>
      <c r="BC682" s="290">
        <f>(BC665+BC676)/BC640*100</f>
        <v>0</v>
      </c>
      <c r="BD682" s="98" t="str">
        <f>IF(ISERROR((BC682/AU682-1)*100),"NA",IF(((BC682/AU682-1)*100)&gt;100,"NM",IF(((BC682/AU682-1)*100)&lt;-50,"NM",(BC682/AU682-1)*100)))</f>
        <v>NA</v>
      </c>
      <c r="BE682" s="290">
        <f>(BE665+BE676)/BE640*100</f>
        <v>24.64559937320449</v>
      </c>
      <c r="BF682" s="98" t="str">
        <f>IF(ISERROR((BE682/AW682-1)*100),"NA",IF(((BE682/AW682-1)*100)&gt;100,"NM",IF(((BE682/AW682-1)*100)&lt;-50,"NM",(BE682/AW682-1)*100)))</f>
        <v>NM</v>
      </c>
      <c r="BG682" s="290">
        <f>(BG665+BG676)/BG640*100</f>
        <v>76.297049847405901</v>
      </c>
      <c r="BH682" s="98" t="str">
        <f>IF(ISERROR((BG682/AY682-1)*100),"NA",IF(((BG682/AY682-1)*100)&gt;100,"NM",IF(((BG682/AY682-1)*100)&lt;-50,"NM",(BG682/AY682-1)*100)))</f>
        <v>NA</v>
      </c>
      <c r="BI682" s="290">
        <f>(BI665+BI676)/BI640*100</f>
        <v>0</v>
      </c>
      <c r="BJ682" s="98" t="str">
        <f>IF(ISERROR((BI682/BA682-1)*100),"NA",IF(((BI682/BA682-1)*100)&gt;100,"NM",IF(((BI682/BA682-1)*100)&lt;-50,"NM",(BI682/BA682-1)*100)))</f>
        <v>NA</v>
      </c>
      <c r="BK682" s="290">
        <f>(BK665+BK676)/BK640*100</f>
        <v>20.304568527918782</v>
      </c>
      <c r="BL682" s="98" t="str">
        <f>IF(ISERROR((BK682/BC682-1)*100),"NA",IF(((BK682/BC682-1)*100)&gt;100,"NM",IF(((BK682/BC682-1)*100)&lt;-50,"NM",(BK682/BC682-1)*100)))</f>
        <v>NA</v>
      </c>
      <c r="BM682" s="290">
        <f>(BM665+BM676)/BM640*100</f>
        <v>117.32299168975071</v>
      </c>
      <c r="BN682" s="98" t="str">
        <f>IF(ISERROR((BM682/BE682-1)*100),"NA",IF(((BM682/BE682-1)*100)&gt;100,"NM",IF(((BM682/BE682-1)*100)&lt;-50,"NM",(BM682/BE682-1)*100)))</f>
        <v>NM</v>
      </c>
      <c r="BO682" s="290">
        <f>(BO665+BO676)/BO640*100</f>
        <v>203.25203252032523</v>
      </c>
      <c r="BP682" s="98" t="str">
        <f>IF(ISERROR((BO682/BG682-1)*100),"NA",IF(((BO682/BG682-1)*100)&gt;100,"NM",IF(((BO682/BG682-1)*100)&lt;-50,"NM",(BO682/BG682-1)*100)))</f>
        <v>NM</v>
      </c>
      <c r="BQ682" s="290">
        <f>(BQ665+BQ676)/BQ640*100</f>
        <v>0</v>
      </c>
      <c r="BR682" s="98" t="str">
        <f>IF(ISERROR((BQ682/BI682-1)*100),"NA",IF(((BQ682/BI682-1)*100)&gt;100,"NM",IF(((BQ682/BI682-1)*100)&lt;-50,"NM",(BQ682/BI682-1)*100)))</f>
        <v>NA</v>
      </c>
      <c r="BS682" s="290">
        <f>(BS665+BS676)/BS640*100</f>
        <v>0</v>
      </c>
      <c r="BT682" s="98" t="str">
        <f>IF(ISERROR((BS682/BK682-1)*100),"NA",IF(((BS682/BK682-1)*100)&gt;100,"NM",IF(((BS682/BK682-1)*100)&lt;-50,"NM",(BS682/BK682-1)*100)))</f>
        <v>NM</v>
      </c>
      <c r="BU682" s="290">
        <f>(BU665+BU676)/BU640*100</f>
        <v>75.775999999999996</v>
      </c>
      <c r="BV682" s="98">
        <f>IF(ISERROR((BU682/BM682-1)*100),"NA",IF(((BU682/BM682-1)*100)&gt;100,"NM",IF(((BU682/BM682-1)*100)&lt;-50,"NM",(BU682/BM682-1)*100)))</f>
        <v>-35.412489139057847</v>
      </c>
      <c r="BW682" s="290">
        <f>(BW665+BW676)/BW640*100</f>
        <v>0</v>
      </c>
      <c r="BX682" s="98" t="str">
        <f>IF(ISERROR((BW682/BO682-1)*100),"NA",IF(((BW682/BO682-1)*100)&gt;100,"NM",IF(((BW682/BO682-1)*100)&lt;-50,"NM",(BW682/BO682-1)*100)))</f>
        <v>NM</v>
      </c>
      <c r="BY682" s="290">
        <f>(BY665+BY676)/BY640*100</f>
        <v>0</v>
      </c>
      <c r="BZ682" s="98" t="str">
        <f>IF(ISERROR((BY682/BQ682-1)*100),"NA",IF(((BY682/BQ682-1)*100)&gt;100,"NM",IF(((BY682/BQ682-1)*100)&lt;-50,"NM",(BY682/BQ682-1)*100)))</f>
        <v>NA</v>
      </c>
      <c r="CA682" s="290">
        <f>(CA665+CA676)/CA640*100</f>
        <v>0</v>
      </c>
      <c r="CB682" s="98" t="str">
        <f>IF(ISERROR((CA682/BS682-1)*100),"NA",IF(((CA682/BS682-1)*100)&gt;100,"NM",IF(((CA682/BS682-1)*100)&lt;-50,"NM",(CA682/BS682-1)*100)))</f>
        <v>NA</v>
      </c>
      <c r="CC682" s="350">
        <f>(CC665+CC676)/CC640*100</f>
        <v>-128.6437367303609</v>
      </c>
      <c r="CD682" s="98" t="str">
        <f>IF(ISERROR((CC682/BU682-1)*100),"NA",IF(((CC682/BU682-1)*100)&gt;100,"NM",IF(((CC682/BU682-1)*100)&lt;-50,"NM",(CC682/BU682-1)*100)))</f>
        <v>NM</v>
      </c>
      <c r="CE682" s="290">
        <f>(CE665+CE676)/CE640*100</f>
        <v>0</v>
      </c>
      <c r="CF682" s="98" t="str">
        <f>IF(ISERROR((CE682/BW682-1)*100),"NA",IF(((CE682/BW682-1)*100)&gt;100,"NM",IF(((CE682/BW682-1)*100)&lt;-50,"NM",(CE682/BW682-1)*100)))</f>
        <v>NA</v>
      </c>
      <c r="CG682" s="290">
        <f>(CG665+CG676)/CG640*100</f>
        <v>0</v>
      </c>
      <c r="CH682" s="98" t="str">
        <f>IF(ISERROR((CG682/BY682-1)*100),"NA",IF(((CG682/BY682-1)*100)&gt;100,"NM",IF(((CG682/BY682-1)*100)&lt;-50,"NM",(CG682/BY682-1)*100)))</f>
        <v>NA</v>
      </c>
      <c r="CI682" s="290">
        <f>(CI665+CI676)/CI640*100</f>
        <v>0</v>
      </c>
      <c r="CJ682" s="98" t="str">
        <f>IF(ISERROR((CI682/CA682-1)*100),"NA",IF(((CI682/CA682-1)*100)&gt;100,"NM",IF(((CI682/CA682-1)*100)&lt;-50,"NM",(CI682/CA682-1)*100)))</f>
        <v>NA</v>
      </c>
      <c r="CK682" s="290">
        <f>(CK665+CK676)/CK640*100</f>
        <v>-139.3314285714286</v>
      </c>
      <c r="CL682" s="98">
        <f>IF(ISERROR((CK682/CC682-1)*100),"NA",IF(((CK682/CC682-1)*100)&gt;100,"NM",IF(((CK682/CC682-1)*100)&lt;-50,"NM",(CK682/CC682-1)*100)))</f>
        <v>8.3079768302045451</v>
      </c>
      <c r="CM682" s="290">
        <f>(CM665+CM676)/CM640*100</f>
        <v>0</v>
      </c>
      <c r="CN682" s="98" t="str">
        <f>IF(ISERROR((CM682/CE682-1)*100),"NA",IF(((CM682/CE682-1)*100)&gt;100,"NM",IF(((CM682/CE682-1)*100)&lt;-50,"NM",(CM682/CE682-1)*100)))</f>
        <v>NA</v>
      </c>
      <c r="CO682" s="290">
        <f>(CO665+CO676)/CO640*100</f>
        <v>0</v>
      </c>
      <c r="CP682" s="98" t="str">
        <f>IF(ISERROR((CO682/CG682-1)*100),"NA",IF(((CO682/CG682-1)*100)&gt;100,"NM",IF(((CO682/CG682-1)*100)&lt;-50,"NM",(CO682/CG682-1)*100)))</f>
        <v>NA</v>
      </c>
      <c r="CQ682" s="487">
        <f>(CQ665+CQ676)/CQ640*100</f>
        <v>0</v>
      </c>
      <c r="CR682" s="98" t="str">
        <f>IF(ISERROR((CQ682/CI682-1)*100),"NA",IF(((CQ682/CI682-1)*100)&gt;100,"NM",IF(((CQ682/CI682-1)*100)&lt;-50,"NM",(CQ682/CI682-1)*100)))</f>
        <v>NA</v>
      </c>
      <c r="CS682" s="290">
        <f>(CS665+CS676)/CS640*100</f>
        <v>152.14434512242519</v>
      </c>
      <c r="CT682" s="98" t="str">
        <f>IF(ISERROR((CS682/CK682-1)*100),"NA",IF(((CS682/CK682-1)*100)&gt;100,"NM",IF(((CS682/CK682-1)*100)&lt;-50,"NM",(CS682/CK682-1)*100)))</f>
        <v>NM</v>
      </c>
      <c r="CU682" s="290">
        <f>(CU665+CU676)/CU640*100</f>
        <v>0</v>
      </c>
      <c r="CV682" s="98" t="str">
        <f>IF(ISERROR((CU682/CM682-1)*100),"NA",IF(((CU682/CM682-1)*100)&gt;100,"NM",IF(((CU682/CM682-1)*100)&lt;-50,"NM",(CU682/CM682-1)*100)))</f>
        <v>NA</v>
      </c>
      <c r="CW682" s="290">
        <f>(CW665+CW676)/CW640*100</f>
        <v>0</v>
      </c>
      <c r="CX682" s="98" t="str">
        <f>IF(ISERROR((CW682/CO682-1)*100),"NA",IF(((CW682/CO682-1)*100)&gt;100,"NM",IF(((CW682/CO682-1)*100)&lt;-50,"NM",(CW682/CO682-1)*100)))</f>
        <v>NA</v>
      </c>
      <c r="CY682" s="290">
        <f>(CY665+CY676)/CY640*100</f>
        <v>0</v>
      </c>
      <c r="CZ682" s="98" t="str">
        <f>IF(ISERROR((CY682/CQ682-1)*100),"NA",IF(((CY682/CQ682-1)*100)&gt;100,"NM",IF(((CY682/CQ682-1)*100)&lt;-50,"NM",(CY682/CQ682-1)*100)))</f>
        <v>NA</v>
      </c>
      <c r="DA682" s="290">
        <f>(DA665+DA676)/DA640*100</f>
        <v>-150.43910614525134</v>
      </c>
      <c r="DB682" s="98" t="str">
        <f>IF(ISERROR((DA682/CS682-1)*100),"NA",IF(((DA682/CS682-1)*100)&gt;100,"NM",IF(((DA682/CS682-1)*100)&lt;-50,"NM",(DA682/CS682-1)*100)))</f>
        <v>NM</v>
      </c>
      <c r="DC682" s="290">
        <f>(DC665+DC676)/DC640*100</f>
        <v>61.341515151515139</v>
      </c>
      <c r="DD682" s="98" t="str">
        <f>IF(ISERROR((DC682/CU682-1)*100),"NA",IF(((DC682/CU682-1)*100)&gt;100,"NM",IF(((DC682/CU682-1)*100)&lt;-50,"NM",(DC682/CU682-1)*100)))</f>
        <v>NA</v>
      </c>
      <c r="DE682" s="290">
        <f>(DE665+DE676)/DE640*100</f>
        <v>-274.14999999999998</v>
      </c>
      <c r="DF682" s="98" t="str">
        <f>IF(ISERROR((DE682/CW682-1)*100),"NA",IF(((DE682/CW682-1)*100)&gt;100,"NM",IF(((DE682/CW682-1)*100)&lt;-50,"NM",(DE682/CW682-1)*100)))</f>
        <v>NA</v>
      </c>
      <c r="DG682" s="290">
        <f>(DG665+DG676)/DG640*100</f>
        <v>108.91166077738517</v>
      </c>
      <c r="DH682" s="98" t="str">
        <f>IF(ISERROR((DG682/CY682-1)*100),"NA",IF(((DG682/CY682-1)*100)&gt;100,"NM",IF(((DG682/CY682-1)*100)&lt;-50,"NM",(DG682/CY682-1)*100)))</f>
        <v>NA</v>
      </c>
      <c r="DI682" s="290">
        <f>(DI665+DI676)/DI640*100</f>
        <v>140.89041095890411</v>
      </c>
      <c r="DJ682" s="98" t="str">
        <f>IF(ISERROR((DI682/DA682-1)*100),"NA",IF(((DI682/DA682-1)*100)&gt;100,"NM",IF(((DI682/DA682-1)*100)&lt;-50,"NM",(DI682/DA682-1)*100)))</f>
        <v>NM</v>
      </c>
      <c r="DK682" s="290">
        <f>(DK665+DK676)/DK640*100</f>
        <v>46.725075528700906</v>
      </c>
      <c r="DL682" s="98">
        <f>IF(ISERROR((DK682/DC682-1)*100),"NA",IF(((DK682/DC682-1)*100)&gt;100,"NM",IF(((DK682/DC682-1)*100)&lt;-50,"NM",(DK682/DC682-1)*100)))</f>
        <v>-23.827972926184248</v>
      </c>
      <c r="DM682" s="290">
        <f>(DM665+DM676)/DM640*100</f>
        <v>59.925531914893604</v>
      </c>
      <c r="DN682" s="98" t="str">
        <f>IF(ISERROR((DM682/DE682-1)*100),"NA",IF(((DM682/DE682-1)*100)&gt;100,"NM",IF(((DM682/DE682-1)*100)&lt;-50,"NM",(DM682/DE682-1)*100)))</f>
        <v>NM</v>
      </c>
      <c r="DO682" s="290">
        <f>(DO665+DO676)/DO640*100</f>
        <v>64.869820172009369</v>
      </c>
      <c r="DP682" s="98">
        <f>IF(ISERROR((DO682/DG682-1)*100),"NA",IF(((DO682/DG682-1)*100)&gt;100,"NM",IF(((DO682/DG682-1)*100)&lt;-50,"NM",(DO682/DG682-1)*100)))</f>
        <v>-40.438131501269716</v>
      </c>
      <c r="DQ682" s="290">
        <f>(DQ665+DQ676)/DQ640*100</f>
        <v>123.46696891191709</v>
      </c>
      <c r="DR682" s="98">
        <f>IF(ISERROR((DQ682/DI682-1)*100),"NA",IF(((DQ682/DI682-1)*100)&gt;100,"NM",IF(((DQ682/DI682-1)*100)&lt;-50,"NM",(DQ682/DI682-1)*100)))</f>
        <v>-12.366662804375817</v>
      </c>
      <c r="DS682" s="290">
        <f>(DS665+DS676)/DS640*100</f>
        <v>81.592397494305231</v>
      </c>
      <c r="DT682" s="98">
        <f>IF(ISERROR((DS682/DK682-1)*100),"NA",IF(((DS682/DK682-1)*100)&gt;100,"NM",IF(((DS682/DK682-1)*100)&lt;-50,"NM",(DS682/DK682-1)*100)))</f>
        <v>74.622291288083758</v>
      </c>
      <c r="DU682" s="290">
        <f>(DU665+DU676)/DU640*100</f>
        <v>67.519811320754698</v>
      </c>
      <c r="DV682" s="98">
        <f>IF(ISERROR((DU682/DM682-1)*100),"NA",IF(((DU682/DM682-1)*100)&gt;100,"NM",IF(((DU682/DM682-1)*100)&lt;-50,"NM",(DU682/DM682-1)*100)))</f>
        <v>12.672861071381902</v>
      </c>
      <c r="DW682" s="290">
        <f>(DW665+DW676)/DW640*100</f>
        <v>61.770588235294113</v>
      </c>
      <c r="DX682" s="98">
        <f>IF(ISERROR((DW682/DO682-1)*100),"NA",IF(((DW682/DO682-1)*100)&gt;100,"NM",IF(((DW682/DO682-1)*100)&lt;-50,"NM",(DW682/DO682-1)*100)))</f>
        <v>-4.7776175862632382</v>
      </c>
      <c r="DY682" s="290">
        <f>(DY665+DY676)/DY640*100</f>
        <v>310.76826196473553</v>
      </c>
      <c r="DZ682" s="98" t="str">
        <f>IF(ISERROR((DY682/DQ682-1)*100),"NA",IF(((DY682/DQ682-1)*100)&gt;100,"NM",IF(((DY682/DQ682-1)*100)&lt;-50,"NM",(DY682/DQ682-1)*100)))</f>
        <v>NM</v>
      </c>
      <c r="EA682" s="290">
        <f>(EA665+EA676)/EA640*100</f>
        <v>20.307121342512904</v>
      </c>
      <c r="EB682" s="98" t="str">
        <f>IF(ISERROR((EA682/DS682-1)*100),"NA",IF(((EA682/DS682-1)*100)&gt;100,"NM",IF(((EA682/DS682-1)*100)&lt;-50,"NM",(EA682/DS682-1)*100)))</f>
        <v>NM</v>
      </c>
      <c r="EC682" s="290">
        <f>(EC665+EC676)/EC640*100</f>
        <v>149.83636363636359</v>
      </c>
      <c r="ED682" s="98" t="str">
        <f>IF(ISERROR((EC682/DU682-1)*100),"NA",IF(((EC682/DU682-1)*100)&gt;100,"NM",IF(((EC682/DU682-1)*100)&lt;-50,"NM",(EC682/DU682-1)*100)))</f>
        <v>NM</v>
      </c>
      <c r="EE682" s="290">
        <f>(EE665+EE676)/EE640*100</f>
        <v>76.888992537313413</v>
      </c>
      <c r="EF682" s="860">
        <f>IF(ISERROR((EE682/DW682-1)*100),"NA",IF(((EE682/DW682-1)*100)&gt;100,"NM",IF(((EE682/DW682-1)*100)&lt;-50,"NM",(EE682/DW682-1)*100)))</f>
        <v>24.475085528457118</v>
      </c>
      <c r="EG682" s="290">
        <f>(EG665+EG676)/EG640*100</f>
        <v>-30.996649916247904</v>
      </c>
      <c r="EH682" s="860" t="str">
        <f>IF(ISERROR((EG682/DY682-1)*100),"NA",IF(((EG682/DY682-1)*100)&gt;100,"NM",IF(((EG682/DY682-1)*100)&lt;-50,"NM",(EG682/DY682-1)*100)))</f>
        <v>NM</v>
      </c>
      <c r="EI682" s="290">
        <f>(EI665+EI676)/EI640*100</f>
        <v>148.84890426758938</v>
      </c>
      <c r="EJ682" s="860" t="str">
        <f t="shared" si="4104"/>
        <v>NM</v>
      </c>
      <c r="EK682" s="290">
        <f>(EK665+EK676)/EK640*100</f>
        <v>159.23699421965316</v>
      </c>
      <c r="EL682" s="860">
        <f t="shared" si="4105"/>
        <v>6.2739313442655709</v>
      </c>
      <c r="EM682" s="290">
        <f>(EM665+EM676)/EM640*100</f>
        <v>-955.38144329896897</v>
      </c>
      <c r="EN682" s="860" t="str">
        <f t="shared" si="4106"/>
        <v>NM</v>
      </c>
      <c r="EO682" s="290">
        <f>(EO665+EO676)/EO640*100</f>
        <v>45.749999999999993</v>
      </c>
      <c r="EP682" s="98" t="str">
        <f t="shared" si="4107"/>
        <v>NM</v>
      </c>
      <c r="EQ682" s="1066">
        <f>(EQ665+EQ677)/EQ640*100</f>
        <v>413.77510980549698</v>
      </c>
      <c r="ER682" s="98" t="str">
        <f t="shared" si="4108"/>
        <v>NM</v>
      </c>
      <c r="ES682" s="1066">
        <f t="shared" ref="ES682" si="4115">(ES665+ES677)/ES640*100</f>
        <v>107.21242115540386</v>
      </c>
      <c r="ET682" s="98">
        <f t="shared" si="4110"/>
        <v>-32.671159939433458</v>
      </c>
      <c r="EU682" s="1066">
        <f t="shared" ref="EU682" si="4116">(EU665+EU677)/EU640*100</f>
        <v>97.405086155249649</v>
      </c>
      <c r="EV682" s="98" t="str">
        <f t="shared" si="4112"/>
        <v>NM</v>
      </c>
      <c r="EW682" s="1066">
        <f t="shared" ref="EW682" si="4117">(EW665+EW677)/EW640*100</f>
        <v>98.351070992755339</v>
      </c>
      <c r="EX682" s="98" t="str">
        <f t="shared" si="4114"/>
        <v>NM</v>
      </c>
      <c r="EY682" s="369"/>
      <c r="EZ682" s="606"/>
      <c r="FA682" s="416"/>
      <c r="FB682" s="370"/>
      <c r="FC682" s="370"/>
      <c r="FD682" s="370"/>
      <c r="FE682" s="370"/>
      <c r="FF682" s="369">
        <f>(FF665+FF676)/FF640*100</f>
        <v>67.831560283687935</v>
      </c>
      <c r="FG682" s="370" t="str">
        <f>IF(ISERROR((FF682/FD682-1)*100),"NA",IF(((FF682/FD682-1)*100)&gt;100,"NM",IF(((FF682/FD682-1)*100)&lt;-50,"NM",(FF682/FD682-1)*100)))</f>
        <v>NA</v>
      </c>
      <c r="FH682" s="369">
        <f>(FH665+FH676)/FH640*100</f>
        <v>309.95771670190271</v>
      </c>
      <c r="FI682" s="370" t="str">
        <f>IF(ISERROR((FH682/FF682-1)*100),"NA",IF(((FH682/FF682-1)*100)&gt;100,"NM",IF(((FH682/FF682-1)*100)&lt;-50,"NM",(FH682/FF682-1)*100)))</f>
        <v>NM</v>
      </c>
      <c r="FJ682" s="369">
        <f>(FJ665+FJ676)/FJ640*100</f>
        <v>38.508598130841122</v>
      </c>
      <c r="FK682" s="370" t="str">
        <f>IF(ISERROR((FJ682/FH682-1)*100),"NA",IF(((FJ682/FH682-1)*100)&gt;100,"NM",IF(((FJ682/FH682-1)*100)&lt;-50,"NM",(FJ682/FH682-1)*100)))</f>
        <v>NM</v>
      </c>
      <c r="FL682" s="369">
        <f>(FL665+FL676)/FL640*100</f>
        <v>12.230762291384755</v>
      </c>
      <c r="FM682" s="370" t="str">
        <f>IF(ISERROR((FL682/FJ682-1)*100),"NA",IF(((FL682/FJ682-1)*100)&gt;100,"NM",IF(((FL682/FJ682-1)*100)&lt;-50,"NM",(FL682/FJ682-1)*100)))</f>
        <v>NM</v>
      </c>
      <c r="FN682" s="369">
        <f>(FN665+FN676)/FN640*100</f>
        <v>48.451776649746193</v>
      </c>
      <c r="FO682" s="370" t="str">
        <f>IF(ISERROR((FN682/FL682-1)*100),"NA",IF(((FN682/FL682-1)*100)&gt;100,"NM",IF(((FN682/FL682-1)*100)&lt;-50,"NM",(FN682/FL682-1)*100)))</f>
        <v>NM</v>
      </c>
      <c r="FP682" s="369">
        <f>(FP665+FP676)/FP640*100</f>
        <v>8.4691464201247051</v>
      </c>
      <c r="FQ682" s="370" t="str">
        <f>IF(ISERROR((FP682/FN682-1)*100),"NA",IF(((FP682/FN682-1)*100)&gt;100,"NM",IF(((FP682/FN682-1)*100)&lt;-50,"NM",(FP682/FN682-1)*100)))</f>
        <v>NM</v>
      </c>
      <c r="FR682" s="366">
        <f>(FR665+FR676)/FR640*100</f>
        <v>15.321967851924011</v>
      </c>
      <c r="FS682" s="120">
        <f>IF(ISERROR((FR682/FP682-1)*100),"NA",IF(((FR682/FP682-1)*100)&gt;100,"NM",IF(((FR682/FP682-1)*100)&lt;-50,"NM",(FR682/FP682-1)*100)))</f>
        <v>80.915137038077106</v>
      </c>
      <c r="FT682" s="366">
        <f>(FT665+FT676)/FT640*100</f>
        <v>53.124593301435411</v>
      </c>
      <c r="FU682" s="120" t="str">
        <f>IF(ISERROR((FT682/FR682-1)*100),"NA",IF(((FT682/FR682-1)*100)&gt;100,"NM",IF(((FT682/FR682-1)*100)&lt;-50,"NM",(FT682/FR682-1)*100)))</f>
        <v>NM</v>
      </c>
      <c r="FV682" s="366">
        <f>(FV665+FV676)/FV640*100</f>
        <v>63.24488812392427</v>
      </c>
      <c r="FW682" s="98">
        <f>IF(ISERROR((FV682/FT682-1)*100),"NA",IF(((FV682/FT682-1)*100)&gt;100,"NM",IF(((FV682/FT682-1)*100)&lt;-50,"NM",(FV682/FT682-1)*100)))</f>
        <v>19.050112562867216</v>
      </c>
      <c r="FX682" s="528">
        <f>(FX665+FX676)/FX640*100</f>
        <v>-13.555078299776286</v>
      </c>
      <c r="FY682" s="98" t="str">
        <f>IF(ISERROR((FX682/FV682-1)*100),"NA",IF(((FX682/FV682-1)*100)&gt;100,"NM",IF(((FX682/FV682-1)*100)&lt;-50,"NM",(FX682/FV682-1)*100)))</f>
        <v>NM</v>
      </c>
      <c r="FZ682" s="366">
        <f>(FZ665+FZ676)/FZ640*100</f>
        <v>3546.6181818181822</v>
      </c>
      <c r="GA682" s="98" t="str">
        <f>IF(ISERROR((FZ682/FX682-1)*100),"NA",IF(((FZ682/FX682-1)*100)&gt;100,"NM",IF(((FZ682/FX682-1)*100)&lt;-50,"NM",(FZ682/FX682-1)*100)))</f>
        <v>NM</v>
      </c>
      <c r="GB682" s="586">
        <f>(GB665+GB677-GB671)/GB640*100</f>
        <v>13.841297717842322</v>
      </c>
      <c r="GC682" s="98" t="str">
        <f>IF(ISERROR((GB682/FZ682-1)*100),"NA",IF(((GB682/FZ682-1)*100)&gt;100,"NM",IF(((GB682/FZ682-1)*100)&lt;-50,"NM",(GB682/FZ682-1)*100)))</f>
        <v>NM</v>
      </c>
      <c r="GD682" s="894">
        <f>(GD665+GD677-GD671)/GD640*100</f>
        <v>51.785712500000002</v>
      </c>
      <c r="GE682" s="98" t="str">
        <f>IF(ISERROR((GD682/GB682-1)*100),"NA",IF(((GD682/GB682-1)*100)&gt;100,"NM",IF(((GD682/GB682-1)*100)&lt;-50,"NM",(GD682/GB682-1)*100)))</f>
        <v>NM</v>
      </c>
      <c r="GF682" s="894">
        <f>(GF665+GF677-GF671)/GF640*100</f>
        <v>-2.4758108108108008</v>
      </c>
      <c r="GG682" s="98" t="str">
        <f>IF(ISERROR((GF682/GD682-1)*100),"NA",IF(((GF682/GD682-1)*100)&gt;100,"NM",IF(((GF682/GD682-1)*100)&lt;-50,"NM",(GF682/GD682-1)*100)))</f>
        <v>NM</v>
      </c>
      <c r="GH682" s="894">
        <f>(GH665+GH677-GH671)/GH640*100</f>
        <v>7.6260738508385133</v>
      </c>
      <c r="GI682" s="98" t="str">
        <f>IF(ISERROR((GH682/GF682-1)*100),"NA",IF(((GH682/GF682-1)*100)&gt;100,"NM",IF(((GH682/GF682-1)*100)&lt;-50,"NM",(GH682/GF682-1)*100)))</f>
        <v>NM</v>
      </c>
      <c r="GJ682" s="894">
        <f>(GJ665+GJ677-GJ671)/GJ640*100</f>
        <v>39.301554526572353</v>
      </c>
      <c r="GK682" s="98" t="str">
        <f>IF(ISERROR((GJ682/GH682-1)*100),"NA",IF(((GJ682/GH682-1)*100)&gt;100,"NM",IF(((GJ682/GH682-1)*100)&lt;-50,"NM",(GJ682/GH682-1)*100)))</f>
        <v>NM</v>
      </c>
      <c r="GL682" s="894">
        <f>(GL665+GL677-GL671)/GL640*100</f>
        <v>202.29739042751089</v>
      </c>
      <c r="GM682" s="98" t="str">
        <f>IF(ISERROR((GL682/GJ682-1)*100),"NA",IF(((GL682/GJ682-1)*100)&gt;100,"NM",IF(((GL682/GJ682-1)*100)&lt;-50,"NM",(GL682/GJ682-1)*100)))</f>
        <v>NM</v>
      </c>
      <c r="GN682" s="894">
        <f>(GN665+GN677-GN671)/GN640*100</f>
        <v>38.063632285514288</v>
      </c>
      <c r="GO682" s="98" t="str">
        <f>IF(ISERROR((GN682/GL682-1)*100),"NA",IF(((GN682/GL682-1)*100)&gt;100,"NM",IF(((GN682/GL682-1)*100)&lt;-50,"NM",(GN682/GL682-1)*100)))</f>
        <v>NM</v>
      </c>
      <c r="GP682" s="894">
        <f>(GP665+GP677-GP671)/GP640*100</f>
        <v>36.150370925571949</v>
      </c>
      <c r="GQ682" s="98">
        <f>IF(ISERROR((GP682/GN682-1)*100),"NA",IF(((GP682/GN682-1)*100)&gt;100,"NM",IF(((GP682/GN682-1)*100)&lt;-50,"NM",(GP682/GN682-1)*100)))</f>
        <v>-5.0264813026539841</v>
      </c>
      <c r="GR682" s="613">
        <f>(GR665+GR677)/GR640*100</f>
        <v>91.201422501097468</v>
      </c>
      <c r="GS682" s="98" t="str">
        <f>IF(ISERROR((GR682/GP682-1)*100),"NA",IF(((GR682/GP682-1)*100)&gt;100,"NM",IF(((GR682/GP682-1)*100)&lt;-50,"NM",(GR682/GP682-1)*100)))</f>
        <v>NM</v>
      </c>
      <c r="GT682" s="613">
        <f>(GT665+GT677)/GT640*100</f>
        <v>88.947159950517346</v>
      </c>
      <c r="GU682" s="98">
        <f>IF(ISERROR((GT682/GR682-1)*100),"NA",IF(((GT682/GR682-1)*100)&gt;100,"NM",IF(((GT682/GR682-1)*100)&lt;-50,"NM",(GT682/GR682-1)*100)))</f>
        <v>-2.4717405592582731</v>
      </c>
      <c r="GV682" s="613">
        <f>(GV665+GV677)/GV640*100</f>
        <v>87.551687959057816</v>
      </c>
      <c r="GW682" s="98">
        <f>IF(ISERROR((GV682/GT682-1)*100),"NA",IF(((GV682/GT682-1)*100)&gt;100,"NM",IF(((GV682/GT682-1)*100)&lt;-50,"NM",(GV682/GT682-1)*100)))</f>
        <v>-1.5688775136112887</v>
      </c>
      <c r="GX682" s="613">
        <f>(GX665+GX677)/GX640*100</f>
        <v>86.979172910736438</v>
      </c>
      <c r="GY682" s="98">
        <f>IF(ISERROR((GX682/GV682-1)*100),"NA",IF(((GX682/GV682-1)*100)&gt;100,"NM",IF(((GX682/GV682-1)*100)&lt;-50,"NM",(GX682/GV682-1)*100)))</f>
        <v>-0.65391663104097386</v>
      </c>
      <c r="GZ682" s="98">
        <f>IF(ISERROR(((GX682/GN682)^0.2-1)*100),"NA",IF((((GX682/GN682)^0.2-1)*100)&gt;100,"NM",IF((((GX682/GN682)^0.2-1)*100)&lt;-50,"NM",((GX682/GN682)^0.2-1)*100)))</f>
        <v>17.972561410135924</v>
      </c>
      <c r="HA682" s="98"/>
      <c r="HB682" s="10"/>
      <c r="HC682"/>
      <c r="HD682"/>
      <c r="HE682"/>
      <c r="HF682"/>
      <c r="HG682"/>
      <c r="HH682"/>
      <c r="HI682" s="10"/>
    </row>
    <row r="683" spans="1:217" s="2" customFormat="1" ht="12.75" customHeight="1" x14ac:dyDescent="0.2">
      <c r="B683" s="18"/>
      <c r="C683" s="244"/>
      <c r="D683" s="113"/>
      <c r="E683" s="244"/>
      <c r="F683" s="113"/>
      <c r="G683" s="244"/>
      <c r="H683" s="113"/>
      <c r="I683" s="244"/>
      <c r="J683" s="98"/>
      <c r="K683" s="244"/>
      <c r="L683" s="98"/>
      <c r="M683" s="244"/>
      <c r="N683" s="98"/>
      <c r="O683" s="244"/>
      <c r="P683" s="98"/>
      <c r="Q683" s="244"/>
      <c r="R683" s="98"/>
      <c r="S683" s="244"/>
      <c r="T683" s="98"/>
      <c r="U683" s="244"/>
      <c r="V683" s="98"/>
      <c r="W683" s="244"/>
      <c r="X683" s="98"/>
      <c r="Y683" s="244"/>
      <c r="Z683" s="98"/>
      <c r="AA683" s="244"/>
      <c r="AB683" s="98"/>
      <c r="AC683" s="244"/>
      <c r="AD683" s="98"/>
      <c r="AE683" s="244"/>
      <c r="AF683" s="98"/>
      <c r="AG683" s="95"/>
      <c r="AH683" s="98"/>
      <c r="AI683" s="95"/>
      <c r="AJ683" s="98"/>
      <c r="AK683" s="95"/>
      <c r="AL683" s="98"/>
      <c r="AM683" s="95"/>
      <c r="AN683" s="98"/>
      <c r="AO683" s="95"/>
      <c r="AP683" s="98"/>
      <c r="AQ683" s="95"/>
      <c r="AR683" s="98"/>
      <c r="AS683" s="95"/>
      <c r="AT683" s="98"/>
      <c r="AU683" s="95"/>
      <c r="AV683" s="98"/>
      <c r="AW683" s="95"/>
      <c r="AX683" s="98"/>
      <c r="AY683" s="95"/>
      <c r="AZ683" s="98"/>
      <c r="BA683" s="95"/>
      <c r="BB683" s="98"/>
      <c r="BC683" s="95"/>
      <c r="BD683" s="98"/>
      <c r="BE683" s="95"/>
      <c r="BF683" s="98"/>
      <c r="BG683" s="95"/>
      <c r="BH683" s="98"/>
      <c r="BI683" s="95"/>
      <c r="BJ683" s="98"/>
      <c r="BK683" s="95"/>
      <c r="BL683" s="98"/>
      <c r="BM683" s="95"/>
      <c r="BN683" s="98"/>
      <c r="BO683" s="95"/>
      <c r="BP683" s="98"/>
      <c r="BQ683" s="95"/>
      <c r="BR683" s="98"/>
      <c r="BS683" s="95"/>
      <c r="BT683" s="98"/>
      <c r="BU683" s="95"/>
      <c r="BV683" s="98"/>
      <c r="BW683" s="95"/>
      <c r="BX683" s="98"/>
      <c r="BY683" s="95"/>
      <c r="BZ683" s="98"/>
      <c r="CA683" s="95"/>
      <c r="CB683" s="98"/>
      <c r="CC683" s="95"/>
      <c r="CD683" s="98"/>
      <c r="CE683" s="95"/>
      <c r="CF683" s="98"/>
      <c r="CG683" s="95"/>
      <c r="CH683" s="98"/>
      <c r="CI683" s="95"/>
      <c r="CJ683" s="98"/>
      <c r="CK683" s="95"/>
      <c r="CL683" s="98"/>
      <c r="CM683" s="95"/>
      <c r="CN683" s="98"/>
      <c r="CO683" s="95"/>
      <c r="CP683" s="98"/>
      <c r="CQ683" s="506"/>
      <c r="CR683" s="98"/>
      <c r="CS683" s="95"/>
      <c r="CT683" s="98"/>
      <c r="CU683" s="95"/>
      <c r="CV683" s="98"/>
      <c r="CW683" s="95"/>
      <c r="CX683" s="98"/>
      <c r="CY683" s="95"/>
      <c r="CZ683" s="98"/>
      <c r="DA683" s="95"/>
      <c r="DB683" s="98"/>
      <c r="DC683" s="95"/>
      <c r="DD683" s="98"/>
      <c r="DE683" s="95"/>
      <c r="DF683" s="98"/>
      <c r="DG683" s="95"/>
      <c r="DH683" s="98"/>
      <c r="DI683" s="95"/>
      <c r="DJ683" s="98"/>
      <c r="DK683" s="95"/>
      <c r="DL683" s="98"/>
      <c r="DM683" s="95"/>
      <c r="DN683" s="98"/>
      <c r="DO683" s="95"/>
      <c r="DP683" s="98"/>
      <c r="DQ683" s="95"/>
      <c r="DR683" s="98"/>
      <c r="DS683" s="95"/>
      <c r="DT683" s="98"/>
      <c r="DU683" s="95"/>
      <c r="DV683" s="98"/>
      <c r="DW683" s="95"/>
      <c r="DX683" s="98"/>
      <c r="DY683" s="95"/>
      <c r="DZ683" s="98"/>
      <c r="EA683" s="95"/>
      <c r="EB683" s="98"/>
      <c r="EC683" s="95"/>
      <c r="ED683" s="98"/>
      <c r="EE683" s="95"/>
      <c r="EF683" s="860"/>
      <c r="EG683" s="95"/>
      <c r="EH683" s="860"/>
      <c r="EI683" s="95"/>
      <c r="EJ683" s="860"/>
      <c r="EK683" s="95"/>
      <c r="EL683" s="860"/>
      <c r="EM683" s="95"/>
      <c r="EN683" s="860"/>
      <c r="EO683" s="95"/>
      <c r="EP683" s="98"/>
      <c r="EQ683" s="832"/>
      <c r="ER683" s="98"/>
      <c r="ES683" s="832"/>
      <c r="ET683" s="98"/>
      <c r="EU683" s="832"/>
      <c r="EV683" s="98"/>
      <c r="EW683" s="832"/>
      <c r="EX683" s="98"/>
      <c r="EY683" s="371"/>
      <c r="EZ683" s="594"/>
      <c r="FA683" s="405"/>
      <c r="FB683" s="244"/>
      <c r="FC683" s="113"/>
      <c r="FD683" s="244"/>
      <c r="FE683" s="113"/>
      <c r="FF683" s="244"/>
      <c r="FG683" s="113"/>
      <c r="FH683" s="244"/>
      <c r="FI683" s="113"/>
      <c r="FJ683" s="244"/>
      <c r="FK683" s="113"/>
      <c r="FL683" s="244"/>
      <c r="FM683" s="113"/>
      <c r="FN683" s="244"/>
      <c r="FO683" s="113"/>
      <c r="FP683" s="244"/>
      <c r="FQ683" s="113"/>
      <c r="FR683" s="245"/>
      <c r="FS683" s="116"/>
      <c r="FT683" s="245"/>
      <c r="FU683" s="116"/>
      <c r="FV683" s="245"/>
      <c r="FW683" s="98"/>
      <c r="FX683" s="524"/>
      <c r="FY683" s="98"/>
      <c r="FZ683" s="372"/>
      <c r="GA683" s="98"/>
      <c r="GB683" s="524"/>
      <c r="GC683" s="98"/>
      <c r="GD683" s="372"/>
      <c r="GE683" s="98"/>
      <c r="GF683" s="372"/>
      <c r="GG683" s="98"/>
      <c r="GH683" s="372"/>
      <c r="GI683" s="98"/>
      <c r="GJ683" s="372"/>
      <c r="GK683" s="98"/>
      <c r="GL683" s="372"/>
      <c r="GM683" s="98"/>
      <c r="GN683" s="372"/>
      <c r="GO683" s="98"/>
      <c r="GP683" s="372"/>
      <c r="GQ683" s="98"/>
      <c r="GR683" s="244"/>
      <c r="GS683" s="98"/>
      <c r="GT683" s="244"/>
      <c r="GU683" s="98"/>
      <c r="GV683" s="244"/>
      <c r="GW683" s="98"/>
      <c r="GX683" s="244"/>
      <c r="GY683" s="98"/>
      <c r="GZ683" s="98"/>
      <c r="HA683" s="98"/>
      <c r="HB683" s="10"/>
      <c r="HC683"/>
      <c r="HD683"/>
      <c r="HE683"/>
      <c r="HF683"/>
      <c r="HG683"/>
      <c r="HH683"/>
      <c r="HI683" s="10"/>
    </row>
    <row r="684" spans="1:217" s="2" customFormat="1" ht="12.75" customHeight="1" x14ac:dyDescent="0.2">
      <c r="A684" s="2" t="s">
        <v>33</v>
      </c>
      <c r="B684" s="179" t="s">
        <v>524</v>
      </c>
      <c r="C684" s="294">
        <v>786.2</v>
      </c>
      <c r="D684" s="98"/>
      <c r="E684" s="294">
        <v>774.9</v>
      </c>
      <c r="F684" s="98"/>
      <c r="G684" s="294">
        <v>767</v>
      </c>
      <c r="H684" s="98"/>
      <c r="I684" s="294">
        <v>760.7</v>
      </c>
      <c r="J684" s="98"/>
      <c r="K684" s="294">
        <v>752.9</v>
      </c>
      <c r="L684" s="98">
        <f>IF(ISERROR((K684/C684-1)*100),"NA",IF(((K684/C684-1)*100)&gt;100,"NM",IF(((K684/C684-1)*100)&lt;-50,"NM",(K684/C684-1)*100)))</f>
        <v>-4.2355634698550082</v>
      </c>
      <c r="M684" s="294">
        <v>743.8</v>
      </c>
      <c r="N684" s="98">
        <f>IF(ISERROR((M684/E684-1)*100),"NA",IF(((M684/E684-1)*100)&gt;100,"NM",IF(((M684/E684-1)*100)&lt;-50,"NM",(M684/E684-1)*100)))</f>
        <v>-4.0134210865918174</v>
      </c>
      <c r="O684" s="294">
        <v>725.8</v>
      </c>
      <c r="P684" s="98">
        <f>IF(ISERROR((O684/G684-1)*100),"NA",IF(((O684/G684-1)*100)&gt;100,"NM",IF(((O684/G684-1)*100)&lt;-50,"NM",(O684/G684-1)*100)))</f>
        <v>-5.3715775749674126</v>
      </c>
      <c r="Q684" s="294">
        <v>715.5</v>
      </c>
      <c r="R684" s="98">
        <f>IF(ISERROR((Q684/I684-1)*100),"NA",IF(((Q684/I684-1)*100)&gt;100,"NM",IF(((Q684/I684-1)*100)&lt;-50,"NM",(Q684/I684-1)*100)))</f>
        <v>-5.9418956224530088</v>
      </c>
      <c r="S684" s="294">
        <v>707.8</v>
      </c>
      <c r="T684" s="98">
        <f>IF(ISERROR((S684/K684-1)*100),"NA",IF(((S684/K684-1)*100)&gt;100,"NM",IF(((S684/K684-1)*100)&lt;-50,"NM",(S684/K684-1)*100)))</f>
        <v>-5.9901713374950205</v>
      </c>
      <c r="U684" s="294">
        <v>701.9</v>
      </c>
      <c r="V684" s="98">
        <f>IF(ISERROR((U684/M684-1)*100),"NA",IF(((U684/M684-1)*100)&gt;100,"NM",IF(((U684/M684-1)*100)&lt;-50,"NM",(U684/M684-1)*100)))</f>
        <v>-5.6332347405216421</v>
      </c>
      <c r="W684" s="294">
        <v>700.3</v>
      </c>
      <c r="X684" s="98">
        <f>IF(ISERROR((W684/O684-1)*100),"NA",IF(((W684/O684-1)*100)&gt;100,"NM",IF(((W684/O684-1)*100)&lt;-50,"NM",(W684/O684-1)*100)))</f>
        <v>-3.5133645632405619</v>
      </c>
      <c r="Y684" s="294">
        <v>700.3</v>
      </c>
      <c r="Z684" s="98">
        <f>IF(ISERROR((Y684/Q684-1)*100),"NA",IF(((Y684/Q684-1)*100)&gt;100,"NM",IF(((Y684/Q684-1)*100)&lt;-50,"NM",(Y684/Q684-1)*100)))</f>
        <v>-2.124388539482891</v>
      </c>
      <c r="AA684" s="294">
        <v>700.4</v>
      </c>
      <c r="AB684" s="98">
        <f>IF(ISERROR((AA684/S684-1)*100),"NA",IF(((AA684/S684-1)*100)&gt;100,"NM",IF(((AA684/S684-1)*100)&lt;-50,"NM",(AA684/S684-1)*100)))</f>
        <v>-1.0454930771404358</v>
      </c>
      <c r="AC684" s="294">
        <v>760.2</v>
      </c>
      <c r="AD684" s="98">
        <f>IF(ISERROR((AC684/U684-1)*100),"NA",IF(((AC684/U684-1)*100)&gt;100,"NM",IF(((AC684/U684-1)*100)&lt;-50,"NM",(AC684/U684-1)*100)))</f>
        <v>8.3060264995013622</v>
      </c>
      <c r="AE684" s="294">
        <v>760.2</v>
      </c>
      <c r="AF684" s="98">
        <f>IF(ISERROR((AE684/W684-1)*100),"NA",IF(((AE684/W684-1)*100)&gt;100,"NM",IF(((AE684/W684-1)*100)&lt;-50,"NM",(AE684/W684-1)*100)))</f>
        <v>8.5534770812509144</v>
      </c>
      <c r="AG684" s="101">
        <v>757.2</v>
      </c>
      <c r="AH684" s="98">
        <f>IF(ISERROR((AG684/Y684-1)*100),"NA",IF(((AG684/Y684-1)*100)&gt;100,"NM",IF(((AG684/Y684-1)*100)&lt;-50,"NM",(AG684/Y684-1)*100)))</f>
        <v>8.1250892474653789</v>
      </c>
      <c r="AI684" s="101">
        <v>755.4</v>
      </c>
      <c r="AJ684" s="98">
        <f>IF(ISERROR((AI684/AA684-1)*100),"NA",IF(((AI684/AA684-1)*100)&gt;100,"NM",IF(((AI684/AA684-1)*100)&lt;-50,"NM",(AI684/AA684-1)*100)))</f>
        <v>7.8526556253569302</v>
      </c>
      <c r="AK684" s="101">
        <v>750</v>
      </c>
      <c r="AL684" s="98">
        <f>IF(ISERROR((AK684/AC684-1)*100),"NA",IF(((AK684/AC684-1)*100)&gt;100,"NM",IF(((AK684/AC684-1)*100)&lt;-50,"NM",(AK684/AC684-1)*100)))</f>
        <v>-1.3417521704814583</v>
      </c>
      <c r="AM684" s="101">
        <v>744.5</v>
      </c>
      <c r="AN684" s="98">
        <f>IF(ISERROR((AM684/AE684-1)*100),"NA",IF(((AM684/AE684-1)*100)&gt;100,"NM",IF(((AM684/AE684-1)*100)&lt;-50,"NM",(AM684/AE684-1)*100)))</f>
        <v>-2.0652459878979235</v>
      </c>
      <c r="AO684" s="101">
        <v>732.5</v>
      </c>
      <c r="AP684" s="98">
        <f>IF(ISERROR((AO684/AG684-1)*100),"NA",IF(((AO684/AG684-1)*100)&gt;100,"NM",IF(((AO684/AG684-1)*100)&lt;-50,"NM",(AO684/AG684-1)*100)))</f>
        <v>-3.2620179609086142</v>
      </c>
      <c r="AQ684" s="101">
        <v>733.1</v>
      </c>
      <c r="AR684" s="98">
        <f>IF(ISERROR((AQ684/AI684-1)*100),"NA",IF(((AQ684/AI684-1)*100)&gt;100,"NM",IF(((AQ684/AI684-1)*100)&lt;-50,"NM",(AQ684/AI684-1)*100)))</f>
        <v>-2.9520783690759833</v>
      </c>
      <c r="AS684" s="101">
        <v>733.9</v>
      </c>
      <c r="AT684" s="98">
        <f>IF(ISERROR((AS684/AK684-1)*100),"NA",IF(((AS684/AK684-1)*100)&gt;100,"NM",IF(((AS684/AK684-1)*100)&lt;-50,"NM",(AS684/AK684-1)*100)))</f>
        <v>-2.1466666666666745</v>
      </c>
      <c r="AU684" s="101">
        <v>757.1</v>
      </c>
      <c r="AV684" s="98">
        <f>IF(ISERROR((AU684/AM684-1)*100),"NA",IF(((AU684/AM684-1)*100)&gt;100,"NM",IF(((AU684/AM684-1)*100)&lt;-50,"NM",(AU684/AM684-1)*100)))</f>
        <v>1.6924110141034232</v>
      </c>
      <c r="AW684" s="101">
        <v>757.5</v>
      </c>
      <c r="AX684" s="98">
        <f>IF(ISERROR((AW684/AO684-1)*100),"NA",IF(((AW684/AO684-1)*100)&gt;100,"NM",IF(((AW684/AO684-1)*100)&lt;-50,"NM",(AW684/AO684-1)*100)))</f>
        <v>3.4129692832764569</v>
      </c>
      <c r="AY684" s="101">
        <v>758.2</v>
      </c>
      <c r="AZ684" s="98">
        <f>IF(ISERROR((AY684/AQ684-1)*100),"NA",IF(((AY684/AQ684-1)*100)&gt;100,"NM",IF(((AY684/AQ684-1)*100)&lt;-50,"NM",(AY684/AQ684-1)*100)))</f>
        <v>3.4238166689401162</v>
      </c>
      <c r="BA684" s="101">
        <v>759.2</v>
      </c>
      <c r="BB684" s="98">
        <f>IF(ISERROR((BA684/AS684-1)*100),"NA",IF(((BA684/AS684-1)*100)&gt;100,"NM",IF(((BA684/AS684-1)*100)&lt;-50,"NM",(BA684/AS684-1)*100)))</f>
        <v>3.4473361493391641</v>
      </c>
      <c r="BC684" s="101">
        <v>760</v>
      </c>
      <c r="BD684" s="98">
        <f>IF(ISERROR((BC684/AU684-1)*100),"NA",IF(((BC684/AU684-1)*100)&gt;100,"NM",IF(((BC684/AU684-1)*100)&lt;-50,"NM",(BC684/AU684-1)*100)))</f>
        <v>0.38304054946505239</v>
      </c>
      <c r="BE684" s="101">
        <v>752</v>
      </c>
      <c r="BF684" s="98">
        <f>IF(ISERROR((BE684/AW684-1)*100),"NA",IF(((BE684/AW684-1)*100)&gt;100,"NM",IF(((BE684/AW684-1)*100)&lt;-50,"NM",(BE684/AW684-1)*100)))</f>
        <v>-0.72607260726073042</v>
      </c>
      <c r="BG684" s="101">
        <v>741.1</v>
      </c>
      <c r="BH684" s="98">
        <f>IF(ISERROR((BG684/AY684-1)*100),"NA",IF(((BG684/AY684-1)*100)&gt;100,"NM",IF(((BG684/AY684-1)*100)&lt;-50,"NM",(BG684/AY684-1)*100)))</f>
        <v>-2.2553415985228198</v>
      </c>
      <c r="BI684" s="101">
        <v>742.8</v>
      </c>
      <c r="BJ684" s="98">
        <f>IF(ISERROR((BI684/BA684-1)*100),"NA",IF(((BI684/BA684-1)*100)&gt;100,"NM",IF(((BI684/BA684-1)*100)&lt;-50,"NM",(BI684/BA684-1)*100)))</f>
        <v>-2.1601685985247698</v>
      </c>
      <c r="BK684" s="101">
        <v>740.3</v>
      </c>
      <c r="BL684" s="98">
        <f>IF(ISERROR((BK684/BC684-1)*100),"NA",IF(((BK684/BC684-1)*100)&gt;100,"NM",IF(((BK684/BC684-1)*100)&lt;-50,"NM",(BK684/BC684-1)*100)))</f>
        <v>-2.5921052631578956</v>
      </c>
      <c r="BM684" s="101">
        <v>729.2</v>
      </c>
      <c r="BN684" s="98">
        <f>IF(ISERROR((BM684/BE684-1)*100),"NA",IF(((BM684/BE684-1)*100)&gt;100,"NM",IF(((BM684/BE684-1)*100)&lt;-50,"NM",(BM684/BE684-1)*100)))</f>
        <v>-3.0319148936170159</v>
      </c>
      <c r="BO684" s="101">
        <v>709.4</v>
      </c>
      <c r="BP684" s="98">
        <f>IF(ISERROR((BO684/BG684-1)*100),"NA",IF(((BO684/BG684-1)*100)&gt;100,"NM",IF(((BO684/BG684-1)*100)&lt;-50,"NM",(BO684/BG684-1)*100)))</f>
        <v>-4.2774254486574126</v>
      </c>
      <c r="BQ684" s="101">
        <v>709.7</v>
      </c>
      <c r="BR684" s="98">
        <f>IF(ISERROR((BQ684/BI684-1)*100),"NA",IF(((BQ684/BI684-1)*100)&gt;100,"NM",IF(((BQ684/BI684-1)*100)&lt;-50,"NM",(BQ684/BI684-1)*100)))</f>
        <v>-4.4561120086160315</v>
      </c>
      <c r="BS684" s="101">
        <v>707.3</v>
      </c>
      <c r="BT684" s="98">
        <f>IF(ISERROR((BS684/BK684-1)*100),"NA",IF(((BS684/BK684-1)*100)&gt;100,"NM",IF(((BS684/BK684-1)*100)&lt;-50,"NM",(BS684/BK684-1)*100)))</f>
        <v>-4.4576523031203514</v>
      </c>
      <c r="BU684" s="101">
        <v>793.6</v>
      </c>
      <c r="BV684" s="98">
        <f>IF(ISERROR((BU684/BM684-1)*100),"NA",IF(((BU684/BM684-1)*100)&gt;100,"NM",IF(((BU684/BM684-1)*100)&lt;-50,"NM",(BU684/BM684-1)*100)))</f>
        <v>8.8315962698848125</v>
      </c>
      <c r="BW684" s="101">
        <v>818.1</v>
      </c>
      <c r="BX684" s="98">
        <f>IF(ISERROR((BW684/BO684-1)*100),"NA",IF(((BW684/BO684-1)*100)&gt;100,"NM",IF(((BW684/BO684-1)*100)&lt;-50,"NM",(BW684/BO684-1)*100)))</f>
        <v>15.322808006766287</v>
      </c>
      <c r="BY684" s="101">
        <v>818.6</v>
      </c>
      <c r="BZ684" s="98">
        <f>IF(ISERROR((BY684/BQ684-1)*100),"NA",IF(((BY684/BQ684-1)*100)&gt;100,"NM",IF(((BY684/BQ684-1)*100)&lt;-50,"NM",(BY684/BQ684-1)*100)))</f>
        <v>15.34451176553473</v>
      </c>
      <c r="CA684" s="101">
        <v>818.8</v>
      </c>
      <c r="CB684" s="98">
        <f>IF(ISERROR((CA684/BS684-1)*100),"NA",IF(((CA684/BS684-1)*100)&gt;100,"NM",IF(((CA684/BS684-1)*100)&lt;-50,"NM",(CA684/BS684-1)*100)))</f>
        <v>15.764173617983879</v>
      </c>
      <c r="CC684" s="101">
        <v>818.8</v>
      </c>
      <c r="CD684" s="98">
        <f>IF(ISERROR((CC684/BU684-1)*100),"NA",IF(((CC684/BU684-1)*100)&gt;100,"NM",IF(((CC684/BU684-1)*100)&lt;-50,"NM",(CC684/BU684-1)*100)))</f>
        <v>3.1754032258064502</v>
      </c>
      <c r="CE684" s="101">
        <v>819.4</v>
      </c>
      <c r="CF684" s="98">
        <f>IF(ISERROR((CE684/BW684-1)*100),"NA",IF(((CE684/BW684-1)*100)&gt;100,"NM",IF(((CE684/BW684-1)*100)&lt;-50,"NM",(CE684/BW684-1)*100)))</f>
        <v>0.15890477936681968</v>
      </c>
      <c r="CG684" s="101">
        <v>820.4</v>
      </c>
      <c r="CH684" s="98">
        <f>IF(ISERROR((CG684/BY684-1)*100),"NA",IF(((CG684/BY684-1)*100)&gt;100,"NM",IF(((CG684/BY684-1)*100)&lt;-50,"NM",(CG684/BY684-1)*100)))</f>
        <v>0.21988761299780446</v>
      </c>
      <c r="CI684" s="101">
        <v>906.9</v>
      </c>
      <c r="CJ684" s="98">
        <f>IF(ISERROR((CI684/CA684-1)*100),"NA",IF(((CI684/CA684-1)*100)&gt;100,"NM",IF(((CI684/CA684-1)*100)&lt;-50,"NM",(CI684/CA684-1)*100)))</f>
        <v>10.759648265754773</v>
      </c>
      <c r="CK684" s="101">
        <v>1054.4000000000001</v>
      </c>
      <c r="CL684" s="98">
        <f>IF(ISERROR((CK684/CC684-1)*100),"NA",IF(((CK684/CC684-1)*100)&gt;100,"NM",IF(((CK684/CC684-1)*100)&lt;-50,"NM",(CK684/CC684-1)*100)))</f>
        <v>28.773815339521256</v>
      </c>
      <c r="CM684" s="101">
        <v>1056.0999999999999</v>
      </c>
      <c r="CN684" s="98">
        <f>IF(ISERROR((CM684/CE684-1)*100),"NA",IF(((CM684/CE684-1)*100)&gt;100,"NM",IF(((CM684/CE684-1)*100)&lt;-50,"NM",(CM684/CE684-1)*100)))</f>
        <v>28.886990480839625</v>
      </c>
      <c r="CO684" s="101">
        <v>1057.4000000000001</v>
      </c>
      <c r="CP684" s="98">
        <f>IF(ISERROR((CO684/CG684-1)*100),"NA",IF(((CO684/CG684-1)*100)&gt;100,"NM",IF(((CO684/CG684-1)*100)&lt;-50,"NM",(CO684/CG684-1)*100)))</f>
        <v>28.88834714773283</v>
      </c>
      <c r="CQ684" s="542">
        <v>1057.6300000000001</v>
      </c>
      <c r="CR684" s="98">
        <f>IF(ISERROR((CQ684/CI684-1)*100),"NA",IF(((CQ684/CI684-1)*100)&gt;100,"NM",IF(((CQ684/CI684-1)*100)&lt;-50,"NM",(CQ684/CI684-1)*100)))</f>
        <v>16.620355055684222</v>
      </c>
      <c r="CS684" s="101">
        <v>1058.02</v>
      </c>
      <c r="CT684" s="98">
        <f>IF(ISERROR((CS684/CK684-1)*100),"NA",IF(((CS684/CK684-1)*100)&gt;100,"NM",IF(((CS684/CK684-1)*100)&lt;-50,"NM",(CS684/CK684-1)*100)))</f>
        <v>0.34332321699543922</v>
      </c>
      <c r="CU684" s="101">
        <v>1060.9000000000001</v>
      </c>
      <c r="CV684" s="98">
        <f>IF(ISERROR((CU684/CM684-1)*100),"NA",IF(((CU684/CM684-1)*100)&gt;100,"NM",IF(((CU684/CM684-1)*100)&lt;-50,"NM",(CU684/CM684-1)*100)))</f>
        <v>0.45450241454410012</v>
      </c>
      <c r="CW684" s="101">
        <v>1062.2</v>
      </c>
      <c r="CX684" s="98">
        <f>IF(ISERROR((CW684/CO684-1)*100),"NA",IF(((CW684/CO684-1)*100)&gt;100,"NM",IF(((CW684/CO684-1)*100)&lt;-50,"NM",(CW684/CO684-1)*100)))</f>
        <v>0.4539436353319326</v>
      </c>
      <c r="CY684" s="101">
        <v>1062.5999999999999</v>
      </c>
      <c r="CZ684" s="98">
        <f>IF(ISERROR((CY684/CQ684-1)*100),"NA",IF(((CY684/CQ684-1)*100)&gt;100,"NM",IF(((CY684/CQ684-1)*100)&lt;-50,"NM",(CY684/CQ684-1)*100)))</f>
        <v>0.46991859156793048</v>
      </c>
      <c r="DA684" s="100">
        <f>CY684+DA668-DA673</f>
        <v>1091.6999999999998</v>
      </c>
      <c r="DB684" s="98">
        <f>IF(ISERROR((DA684/CS684-1)*100),"NA",IF(((DA684/CS684-1)*100)&gt;100,"NM",IF(((DA684/CS684-1)*100)&lt;-50,"NM",(DA684/CS684-1)*100)))</f>
        <v>3.1833046634278883</v>
      </c>
      <c r="DC684" s="100">
        <f>DA684+DC668-DC673</f>
        <v>1094.1999999999998</v>
      </c>
      <c r="DD684" s="98">
        <f>IF(ISERROR((DC684/CU684-1)*100),"NA",IF(((DC684/CU684-1)*100)&gt;100,"NM",IF(((DC684/CU684-1)*100)&lt;-50,"NM",(DC684/CU684-1)*100)))</f>
        <v>3.138844377415384</v>
      </c>
      <c r="DE684" s="100">
        <f>DC684+DE668-DE673</f>
        <v>1096.5999999999999</v>
      </c>
      <c r="DF684" s="98">
        <f>IF(ISERROR((DE684/CW684-1)*100),"NA",IF(((DE684/CW684-1)*100)&gt;100,"NM",IF(((DE684/CW684-1)*100)&lt;-50,"NM",(DE684/CW684-1)*100)))</f>
        <v>3.2385614761814896</v>
      </c>
      <c r="DG684" s="100">
        <f>DE684+DG668-DG673</f>
        <v>1120.8</v>
      </c>
      <c r="DH684" s="98">
        <f>IF(ISERROR((DG684/CY684-1)*100),"NA",IF(((DG684/CY684-1)*100)&gt;100,"NM",IF(((DG684/CY684-1)*100)&lt;-50,"NM",(DG684/CY684-1)*100)))</f>
        <v>5.4771315640880891</v>
      </c>
      <c r="DI684" s="100">
        <f>DG684+DI668-DI673</f>
        <v>1122</v>
      </c>
      <c r="DJ684" s="98">
        <f>IF(ISERROR((DI684/DA684-1)*100),"NA",IF(((DI684/DA684-1)*100)&gt;100,"NM",IF(((DI684/DA684-1)*100)&lt;-50,"NM",(DI684/DA684-1)*100)))</f>
        <v>2.7754877713657811</v>
      </c>
      <c r="DK684" s="100">
        <f>DI684+DK668-DK673</f>
        <v>1124.8</v>
      </c>
      <c r="DL684" s="98">
        <f>IF(ISERROR((DK684/DC684-1)*100),"NA",IF(((DK684/DC684-1)*100)&gt;100,"NM",IF(((DK684/DC684-1)*100)&lt;-50,"NM",(DK684/DC684-1)*100)))</f>
        <v>2.7965636995064935</v>
      </c>
      <c r="DM684" s="100">
        <f>DK684+DM668-DM673</f>
        <v>1126.5999999999999</v>
      </c>
      <c r="DN684" s="98">
        <f>IF(ISERROR((DM684/DE684-1)*100),"NA",IF(((DM684/DE684-1)*100)&gt;100,"NM",IF(((DM684/DE684-1)*100)&lt;-50,"NM",(DM684/DE684-1)*100)))</f>
        <v>2.7357286157213112</v>
      </c>
      <c r="DO684" s="100">
        <f>DM684+DO668-DO673</f>
        <v>1119.0999999999999</v>
      </c>
      <c r="DP684" s="98">
        <f>IF(ISERROR((DO684/DG684-1)*100),"NA",IF(((DO684/DG684-1)*100)&gt;100,"NM",IF(((DO684/DG684-1)*100)&lt;-50,"NM",(DO684/DG684-1)*100)))</f>
        <v>-0.15167737330478159</v>
      </c>
      <c r="DQ684" s="100">
        <f>DO684+DQ668-DQ673</f>
        <v>1131.8999999999999</v>
      </c>
      <c r="DR684" s="98">
        <f>IF(ISERROR((DQ684/DI684-1)*100),"NA",IF(((DQ684/DI684-1)*100)&gt;100,"NM",IF(((DQ684/DI684-1)*100)&lt;-50,"NM",(DQ684/DI684-1)*100)))</f>
        <v>0.88235294117646745</v>
      </c>
      <c r="DS684" s="100">
        <f>DQ684+DS668-DS673</f>
        <v>1114.2999999999997</v>
      </c>
      <c r="DT684" s="98">
        <f>IF(ISERROR((DS684/DK684-1)*100),"NA",IF(((DS684/DK684-1)*100)&gt;100,"NM",IF(((DS684/DK684-1)*100)&lt;-50,"NM",(DS684/DK684-1)*100)))</f>
        <v>-0.93349928876246269</v>
      </c>
      <c r="DU684" s="100">
        <f>DS684+DU668-DU673</f>
        <v>1116.7999999999997</v>
      </c>
      <c r="DV684" s="98">
        <f>IF(ISERROR((DU684/DM684-1)*100),"NA",IF(((DU684/DM684-1)*100)&gt;100,"NM",IF(((DU684/DM684-1)*100)&lt;-50,"NM",(DU684/DM684-1)*100)))</f>
        <v>-0.86987395703889137</v>
      </c>
      <c r="DW684" s="100">
        <f>DU684+DW668-DW673</f>
        <v>1114.7999999999997</v>
      </c>
      <c r="DX684" s="98">
        <f>IF(ISERROR((DW684/DO684-1)*100),"NA",IF(((DW684/DO684-1)*100)&gt;100,"NM",IF(((DW684/DO684-1)*100)&lt;-50,"NM",(DW684/DO684-1)*100)))</f>
        <v>-0.38423733357163536</v>
      </c>
      <c r="DY684" s="100">
        <f>DW684+DY668-DY673</f>
        <v>1097.9999999999998</v>
      </c>
      <c r="DZ684" s="98">
        <f>IF(ISERROR((DY684/DQ684-1)*100),"NA",IF(((DY684/DQ684-1)*100)&gt;100,"NM",IF(((DY684/DQ684-1)*100)&lt;-50,"NM",(DY684/DQ684-1)*100)))</f>
        <v>-2.9949642194540216</v>
      </c>
      <c r="EA684" s="100">
        <f>DY684+EA668-EA673</f>
        <v>1098.4999999999998</v>
      </c>
      <c r="EB684" s="98">
        <f>IF(ISERROR((EA684/DS684-1)*100),"NA",IF(((EA684/DS684-1)*100)&gt;100,"NM",IF(((EA684/DS684-1)*100)&lt;-50,"NM",(EA684/DS684-1)*100)))</f>
        <v>-1.4179305393520525</v>
      </c>
      <c r="EC684" s="100">
        <f>EA684+EC668-EC673</f>
        <v>1098.7999999999997</v>
      </c>
      <c r="ED684" s="98">
        <f>IF(ISERROR((EC684/DU684-1)*100),"NA",IF(((EC684/DU684-1)*100)&gt;100,"NM",IF(((EC684/DU684-1)*100)&lt;-50,"NM",(EC684/DU684-1)*100)))</f>
        <v>-1.6117478510028649</v>
      </c>
      <c r="EE684" s="100">
        <f>EC684+EE668-EE673</f>
        <v>1098.9999999999998</v>
      </c>
      <c r="EF684" s="860">
        <f>IF(ISERROR((EE684/DW684-1)*100),"NA",IF(((EE684/DW684-1)*100)&gt;100,"NM",IF(((EE684/DW684-1)*100)&lt;-50,"NM",(EE684/DW684-1)*100)))</f>
        <v>-1.4172945819877936</v>
      </c>
      <c r="EG684" s="100">
        <f>EE684+EG668-EG673</f>
        <v>1095.4999999999998</v>
      </c>
      <c r="EH684" s="860">
        <f>IF(ISERROR((EG684/DY684-1)*100),"NA",IF(((EG684/DY684-1)*100)&gt;100,"NM",IF(((EG684/DY684-1)*100)&lt;-50,"NM",(EG684/DY684-1)*100)))</f>
        <v>-0.22768670309654127</v>
      </c>
      <c r="EI684" s="100">
        <f>EG684+EI668-EI673</f>
        <v>1081.2999999999997</v>
      </c>
      <c r="EJ684" s="860">
        <f t="shared" ref="EJ684:EJ685" si="4118">IF(ISERROR((EI684/EA684-1)*100),"NA",IF(((EI684/EA684-1)*100)&gt;100,"NM",IF(((EI684/EA684-1)*100)&lt;-50,"NM",(EI684/EA684-1)*100)))</f>
        <v>-1.5657715065999112</v>
      </c>
      <c r="EK684" s="100">
        <f>EI684+EK668-EK673</f>
        <v>1063.4999999999998</v>
      </c>
      <c r="EL684" s="860">
        <f t="shared" ref="EL684:EL685" si="4119">IF(ISERROR((EK684/EC684-1)*100),"NA",IF(((EK684/EC684-1)*100)&gt;100,"NM",IF(((EK684/EC684-1)*100)&lt;-50,"NM",(EK684/EC684-1)*100)))</f>
        <v>-3.212595558791409</v>
      </c>
      <c r="EM684" s="100">
        <f>EK684+EM668-EM673</f>
        <v>1054.2999999999997</v>
      </c>
      <c r="EN684" s="860">
        <f t="shared" ref="EN684:EN685" si="4120">IF(ISERROR((EM684/EE684-1)*100),"NA",IF(((EM684/EE684-1)*100)&gt;100,"NM",IF(((EM684/EE684-1)*100)&lt;-50,"NM",(EM684/EE684-1)*100)))</f>
        <v>-4.0673339399454056</v>
      </c>
      <c r="EO684" s="100">
        <f>EM684+EO668-EO673</f>
        <v>1043.5999999999997</v>
      </c>
      <c r="EP684" s="98">
        <f t="shared" ref="EP684:EP685" si="4121">IF(ISERROR((EO684/EG684-1)*100),"NA",IF(((EO684/EG684-1)*100)&gt;100,"NM",IF(((EO684/EG684-1)*100)&lt;-50,"NM",(EO684/EG684-1)*100)))</f>
        <v>-4.7375627567320944</v>
      </c>
      <c r="EQ684" s="840">
        <f t="shared" ref="EQ684" si="4122">EO684+EQ668-EQ673</f>
        <v>1026.051386979397</v>
      </c>
      <c r="ER684" s="98">
        <f t="shared" ref="ER684:ER685" si="4123">IF(ISERROR((EQ684/EI684-1)*100),"NA",IF(((EQ684/EI684-1)*100)&gt;100,"NM",IF(((EQ684/EI684-1)*100)&lt;-50,"NM",(EQ684/EI684-1)*100)))</f>
        <v>-5.1094620383429934</v>
      </c>
      <c r="ES684" s="840">
        <f t="shared" ref="ES684" si="4124">EQ684+ES668-ES673</f>
        <v>1008.7183008721934</v>
      </c>
      <c r="ET684" s="98">
        <f t="shared" ref="ET684:ET685" si="4125">IF(ISERROR((ES684/EK684-1)*100),"NA",IF(((ES684/EK684-1)*100)&gt;100,"NM",IF(((ES684/EK684-1)*100)&lt;-50,"NM",(ES684/EK684-1)*100)))</f>
        <v>-5.1510765517448487</v>
      </c>
      <c r="EU684" s="840">
        <f t="shared" ref="EU684" si="4126">ES684+EU668-EU673</f>
        <v>993.61310252690146</v>
      </c>
      <c r="EV684" s="98">
        <f t="shared" ref="EV684:EV685" si="4127">IF(ISERROR((EU684/EM684-1)*100),"NA",IF(((EU684/EM684-1)*100)&gt;100,"NM",IF(((EU684/EM684-1)*100)&lt;-50,"NM",(EU684/EM684-1)*100)))</f>
        <v>-5.7561317910555188</v>
      </c>
      <c r="EW684" s="840">
        <f t="shared" ref="EW684" si="4128">EU684+EW668-EW673</f>
        <v>978.68854371208363</v>
      </c>
      <c r="EX684" s="98">
        <f t="shared" ref="EX684:EX685" si="4129">IF(ISERROR((EW684/EO684-1)*100),"NA",IF(((EW684/EO684-1)*100)&gt;100,"NM",IF(((EW684/EO684-1)*100)&lt;-50,"NM",(EW684/EO684-1)*100)))</f>
        <v>-6.2199555661092472</v>
      </c>
      <c r="EY684" s="349"/>
      <c r="EZ684" s="594"/>
      <c r="FA684" s="405"/>
      <c r="FB684" s="40">
        <v>786.2</v>
      </c>
      <c r="FC684" s="98"/>
      <c r="FD684" s="294">
        <v>786.2</v>
      </c>
      <c r="FE684" s="98">
        <f>IF(ISERROR((FD684/FB684-1)*100),"NA",IF(((FD684/FB684-1)*100)&gt;100,"NM",IF(((FD684/FB684-1)*100)&lt;-50,"NM",(FD684/FB684-1)*100)))</f>
        <v>0</v>
      </c>
      <c r="FF684" s="118">
        <f>I684</f>
        <v>760.7</v>
      </c>
      <c r="FG684" s="98">
        <f>IF(ISERROR((FF684/FD684-1)*100),"NA",IF(((FF684/FD684-1)*100)&gt;100,"NM",IF(((FF684/FD684-1)*100)&lt;-50,"NM",(FF684/FD684-1)*100)))</f>
        <v>-3.2434495039430189</v>
      </c>
      <c r="FH684" s="118">
        <f>Q684</f>
        <v>715.5</v>
      </c>
      <c r="FI684" s="98">
        <f>IF(ISERROR((FH684/FF684-1)*100),"NA",IF(((FH684/FF684-1)*100)&gt;100,"NM",IF(((FH684/FF684-1)*100)&lt;-50,"NM",(FH684/FF684-1)*100)))</f>
        <v>-5.9418956224530088</v>
      </c>
      <c r="FJ684" s="118">
        <f>Y684</f>
        <v>700.3</v>
      </c>
      <c r="FK684" s="98">
        <f>IF(ISERROR((FJ684/FH684-1)*100),"NA",IF(((FJ684/FH684-1)*100)&gt;100,"NM",IF(((FJ684/FH684-1)*100)&lt;-50,"NM",(FJ684/FH684-1)*100)))</f>
        <v>-2.124388539482891</v>
      </c>
      <c r="FL684" s="118">
        <f>AG684</f>
        <v>757.2</v>
      </c>
      <c r="FM684" s="98">
        <f>IF(ISERROR((FL684/FJ684-1)*100),"NA",IF(((FL684/FJ684-1)*100)&gt;100,"NM",IF(((FL684/FJ684-1)*100)&lt;-50,"NM",(FL684/FJ684-1)*100)))</f>
        <v>8.1250892474653789</v>
      </c>
      <c r="FN684" s="118">
        <f>AO684</f>
        <v>732.5</v>
      </c>
      <c r="FO684" s="98">
        <f>IF(ISERROR((FN684/FL684-1)*100),"NA",IF(((FN684/FL684-1)*100)&gt;100,"NM",IF(((FN684/FL684-1)*100)&lt;-50,"NM",(FN684/FL684-1)*100)))</f>
        <v>-3.2620179609086142</v>
      </c>
      <c r="FP684" s="118">
        <f>AW684</f>
        <v>757.5</v>
      </c>
      <c r="FQ684" s="98">
        <f>IF(ISERROR((FP684/FN684-1)*100),"NA",IF(((FP684/FN684-1)*100)&gt;100,"NM",IF(((FP684/FN684-1)*100)&lt;-50,"NM",(FP684/FN684-1)*100)))</f>
        <v>3.4129692832764569</v>
      </c>
      <c r="FR684" s="350">
        <f>BE684</f>
        <v>752</v>
      </c>
      <c r="FS684" s="120">
        <f>IF(ISERROR((FR684/FP684-1)*100),"NA",IF(((FR684/FP684-1)*100)&gt;100,"NM",IF(((FR684/FP684-1)*100)&lt;-50,"NM",(FR684/FP684-1)*100)))</f>
        <v>-0.72607260726073042</v>
      </c>
      <c r="FT684" s="350">
        <f>BM684</f>
        <v>729.2</v>
      </c>
      <c r="FU684" s="120">
        <f>IF(ISERROR((FT684/FR684-1)*100),"NA",IF(((FT684/FR684-1)*100)&gt;100,"NM",IF(((FT684/FR684-1)*100)&lt;-50,"NM",(FT684/FR684-1)*100)))</f>
        <v>-3.0319148936170159</v>
      </c>
      <c r="FV684" s="350">
        <f>BU684</f>
        <v>793.6</v>
      </c>
      <c r="FW684" s="98">
        <f>IF(ISERROR((FV684/FT684-1)*100),"NA",IF(((FV684/FT684-1)*100)&gt;100,"NM",IF(((FV684/FT684-1)*100)&lt;-50,"NM",(FV684/FT684-1)*100)))</f>
        <v>8.8315962698848125</v>
      </c>
      <c r="FX684" s="485">
        <f>CC684</f>
        <v>818.8</v>
      </c>
      <c r="FY684" s="98">
        <f>IF(ISERROR((FX684/FV684-1)*100),"NA",IF(((FX684/FV684-1)*100)&gt;100,"NM",IF(((FX684/FV684-1)*100)&lt;-50,"NM",(FX684/FV684-1)*100)))</f>
        <v>3.1754032258064502</v>
      </c>
      <c r="FZ684" s="350">
        <f>CK684</f>
        <v>1054.4000000000001</v>
      </c>
      <c r="GA684" s="98">
        <f>IF(ISERROR((FZ684/FX684-1)*100),"NA",IF(((FZ684/FX684-1)*100)&gt;100,"NM",IF(((FZ684/FX684-1)*100)&lt;-50,"NM",(FZ684/FX684-1)*100)))</f>
        <v>28.773815339521256</v>
      </c>
      <c r="GB684" s="485">
        <f>CS684</f>
        <v>1058.02</v>
      </c>
      <c r="GC684" s="98">
        <f>IF(ISERROR((GB684/FZ684-1)*100),"NA",IF(((GB684/FZ684-1)*100)&gt;100,"NM",IF(((GB684/FZ684-1)*100)&lt;-50,"NM",(GB684/FZ684-1)*100)))</f>
        <v>0.34332321699543922</v>
      </c>
      <c r="GD684" s="349">
        <f>GB684+GD668-GD673</f>
        <v>1091.72</v>
      </c>
      <c r="GE684" s="98">
        <f>IF(ISERROR((GD684/GB684-1)*100),"NA",IF(((GD684/GB684-1)*100)&gt;100,"NM",IF(((GD684/GB684-1)*100)&lt;-50,"NM",(GD684/GB684-1)*100)))</f>
        <v>3.1851949868622498</v>
      </c>
      <c r="GF684" s="349">
        <f>GD684+GF668-GF673</f>
        <v>1122.02</v>
      </c>
      <c r="GG684" s="98">
        <f>IF(ISERROR((GF684/GD684-1)*100),"NA",IF(((GF684/GD684-1)*100)&gt;100,"NM",IF(((GF684/GD684-1)*100)&lt;-50,"NM",(GF684/GD684-1)*100)))</f>
        <v>2.7754369252189104</v>
      </c>
      <c r="GH684" s="349">
        <f>GF684+GH668-GH673</f>
        <v>1131.92</v>
      </c>
      <c r="GI684" s="98">
        <f>IF(ISERROR((GH684/GF684-1)*100),"NA",IF(((GH684/GF684-1)*100)&gt;100,"NM",IF(((GH684/GF684-1)*100)&lt;-50,"NM",(GH684/GF684-1)*100)))</f>
        <v>0.88233721324040282</v>
      </c>
      <c r="GJ684" s="349">
        <f>GH684+GJ668-GJ673</f>
        <v>1098.02</v>
      </c>
      <c r="GK684" s="98">
        <f>IF(ISERROR((GJ684/GH684-1)*100),"NA",IF(((GJ684/GH684-1)*100)&gt;100,"NM",IF(((GJ684/GH684-1)*100)&lt;-50,"NM",(GJ684/GH684-1)*100)))</f>
        <v>-2.9949113011520367</v>
      </c>
      <c r="GL684" s="349">
        <f>GJ684+GL668-GL673</f>
        <v>1095.52</v>
      </c>
      <c r="GM684" s="98">
        <f>IF(ISERROR((GL684/GJ684-1)*100),"NA",IF(((GL684/GJ684-1)*100)&gt;100,"NM",IF(((GL684/GJ684-1)*100)&lt;-50,"NM",(GL684/GJ684-1)*100)))</f>
        <v>-0.22768255587329866</v>
      </c>
      <c r="GN684" s="349">
        <f>GL684+GN668-GN673</f>
        <v>1043.6200000000001</v>
      </c>
      <c r="GO684" s="98">
        <f>IF(ISERROR((GN684/GL684-1)*100),"NA",IF(((GN684/GL684-1)*100)&gt;100,"NM",IF(((GN684/GL684-1)*100)&lt;-50,"NM",(GN684/GL684-1)*100)))</f>
        <v>-4.7374762669782244</v>
      </c>
      <c r="GP684" s="349">
        <f>GN684+GP668-GP673</f>
        <v>978.70854371208407</v>
      </c>
      <c r="GQ684" s="98">
        <f>IF(ISERROR((GP684/GN684-1)*100),"NA",IF(((GP684/GN684-1)*100)&gt;100,"NM",IF(((GP684/GN684-1)*100)&lt;-50,"NM",(GP684/GN684-1)*100)))</f>
        <v>-6.2198363664855094</v>
      </c>
      <c r="GR684" s="349">
        <f>GP684+GR668-GR673</f>
        <v>924.51770607486731</v>
      </c>
      <c r="GS684" s="98">
        <f>IF(ISERROR((GR684/GP684-1)*100),"NA",IF(((GR684/GP684-1)*100)&gt;100,"NM",IF(((GR684/GP684-1)*100)&lt;-50,"NM",(GR684/GP684-1)*100)))</f>
        <v>-5.5369740036885329</v>
      </c>
      <c r="GT684" s="349">
        <f>GR684+GT668-GT673</f>
        <v>872.67725934011685</v>
      </c>
      <c r="GU684" s="98">
        <f>IF(ISERROR((GT684/GR684-1)*100),"NA",IF(((GT684/GR684-1)*100)&gt;100,"NM",IF(((GT684/GR684-1)*100)&lt;-50,"NM",(GT684/GR684-1)*100)))</f>
        <v>-5.6072962577260128</v>
      </c>
      <c r="GV684" s="349">
        <f>GT684+GV668-GV673</f>
        <v>822.98372730571737</v>
      </c>
      <c r="GW684" s="98">
        <f>IF(ISERROR((GV684/GT684-1)*100),"NA",IF(((GV684/GT684-1)*100)&gt;100,"NM",IF(((GV684/GT684-1)*100)&lt;-50,"NM",(GV684/GT684-1)*100)))</f>
        <v>-5.6943768732985784</v>
      </c>
      <c r="GX684" s="349">
        <f>GV684+GX668-GX673</f>
        <v>775.23967313854814</v>
      </c>
      <c r="GY684" s="98">
        <f>IF(ISERROR((GX684/GV684-1)*100),"NA",IF(((GX684/GV684-1)*100)&gt;100,"NM",IF(((GX684/GV684-1)*100)&lt;-50,"NM",(GX684/GV684-1)*100)))</f>
        <v>-5.8013363549086927</v>
      </c>
      <c r="GZ684" s="98">
        <f>IF(ISERROR(((GX684/GN684)^0.2-1)*100),"NA",IF((((GX684/GN684)^0.2-1)*100)&gt;100,"NM",IF((((GX684/GN684)^0.2-1)*100)&lt;-50,"NM",((GX684/GN684)^0.2-1)*100)))</f>
        <v>-5.7722720738130224</v>
      </c>
      <c r="HA684" s="98"/>
      <c r="HB684" s="10"/>
      <c r="HC684"/>
      <c r="HD684"/>
      <c r="HE684"/>
      <c r="HF684"/>
      <c r="HG684"/>
      <c r="HH684"/>
      <c r="HI684" s="10"/>
    </row>
    <row r="685" spans="1:217" s="2" customFormat="1" ht="12.75" customHeight="1" x14ac:dyDescent="0.2">
      <c r="B685" s="179" t="s">
        <v>609</v>
      </c>
      <c r="C685" s="294"/>
      <c r="D685" s="98"/>
      <c r="E685" s="294"/>
      <c r="F685" s="98"/>
      <c r="G685" s="294"/>
      <c r="H685" s="98"/>
      <c r="I685" s="294"/>
      <c r="J685" s="98"/>
      <c r="K685" s="294">
        <v>757.6</v>
      </c>
      <c r="L685" s="98" t="str">
        <f>IF(ISERROR((K685/C685-1)*100),"NA",IF(((K685/C685-1)*100)&gt;100,"NM",IF(((K685/C685-1)*100)&lt;-50,"NM",(K685/C685-1)*100)))</f>
        <v>NA</v>
      </c>
      <c r="M685" s="294">
        <v>748.3</v>
      </c>
      <c r="N685" s="98" t="str">
        <f>IF(ISERROR((M685/E685-1)*100),"NA",IF(((M685/E685-1)*100)&gt;100,"NM",IF(((M685/E685-1)*100)&lt;-50,"NM",(M685/E685-1)*100)))</f>
        <v>NA</v>
      </c>
      <c r="O685" s="294">
        <v>735.7</v>
      </c>
      <c r="P685" s="98" t="str">
        <f>IF(ISERROR((O685/G685-1)*100),"NA",IF(((O685/G685-1)*100)&gt;100,"NM",IF(((O685/G685-1)*100)&lt;-50,"NM",(O685/G685-1)*100)))</f>
        <v>NA</v>
      </c>
      <c r="Q685" s="294">
        <v>723</v>
      </c>
      <c r="R685" s="98" t="str">
        <f>IF(ISERROR((Q685/I685-1)*100),"NA",IF(((Q685/I685-1)*100)&gt;100,"NM",IF(((Q685/I685-1)*100)&lt;-50,"NM",(Q685/I685-1)*100)))</f>
        <v>NA</v>
      </c>
      <c r="S685" s="294">
        <v>712.1</v>
      </c>
      <c r="T685" s="98">
        <f>IF(ISERROR((S685/K685-1)*100),"NA",IF(((S685/K685-1)*100)&gt;100,"NM",IF(((S685/K685-1)*100)&lt;-50,"NM",(S685/K685-1)*100)))</f>
        <v>-6.0058078141499438</v>
      </c>
      <c r="U685" s="294">
        <v>704.7</v>
      </c>
      <c r="V685" s="98">
        <f>IF(ISERROR((U685/M685-1)*100),"NA",IF(((U685/M685-1)*100)&gt;100,"NM",IF(((U685/M685-1)*100)&lt;-50,"NM",(U685/M685-1)*100)))</f>
        <v>-5.8265401576907516</v>
      </c>
      <c r="W685" s="294">
        <v>701.5</v>
      </c>
      <c r="X685" s="98">
        <f>IF(ISERROR((W685/O685-1)*100),"NA",IF(((W685/O685-1)*100)&gt;100,"NM",IF(((W685/O685-1)*100)&lt;-50,"NM",(W685/O685-1)*100)))</f>
        <v>-4.6486339540573685</v>
      </c>
      <c r="Y685" s="294">
        <v>700.3</v>
      </c>
      <c r="Z685" s="98">
        <f>IF(ISERROR((Y685/Q685-1)*100),"NA",IF(((Y685/Q685-1)*100)&gt;100,"NM",IF(((Y685/Q685-1)*100)&lt;-50,"NM",(Y685/Q685-1)*100)))</f>
        <v>-3.1396957123098312</v>
      </c>
      <c r="AA685" s="294">
        <v>700.3</v>
      </c>
      <c r="AB685" s="98">
        <f>IF(ISERROR((AA685/S685-1)*100),"NA",IF(((AA685/S685-1)*100)&gt;100,"NM",IF(((AA685/S685-1)*100)&lt;-50,"NM",(AA685/S685-1)*100)))</f>
        <v>-1.6570706361466181</v>
      </c>
      <c r="AC685" s="294">
        <v>731.3</v>
      </c>
      <c r="AD685" s="98">
        <f>IF(ISERROR((AC685/U685-1)*100),"NA",IF(((AC685/U685-1)*100)&gt;100,"NM",IF(((AC685/U685-1)*100)&lt;-50,"NM",(AC685/U685-1)*100)))</f>
        <v>3.7746558819355513</v>
      </c>
      <c r="AE685" s="294">
        <v>760.1</v>
      </c>
      <c r="AF685" s="98">
        <f>IF(ISERROR((AE685/W685-1)*100),"NA",IF(((AE685/W685-1)*100)&gt;100,"NM",IF(((AE685/W685-1)*100)&lt;-50,"NM",(AE685/W685-1)*100)))</f>
        <v>8.3535281539558035</v>
      </c>
      <c r="AG685" s="101">
        <v>759</v>
      </c>
      <c r="AH685" s="98">
        <f>IF(ISERROR((AG685/Y685-1)*100),"NA",IF(((AG685/Y685-1)*100)&gt;100,"NM",IF(((AG685/Y685-1)*100)&lt;-50,"NM",(AG685/Y685-1)*100)))</f>
        <v>8.3821219477366871</v>
      </c>
      <c r="AI685" s="101">
        <v>756.5</v>
      </c>
      <c r="AJ685" s="98">
        <f>IF(ISERROR((AI685/AA685-1)*100),"NA",IF(((AI685/AA685-1)*100)&gt;100,"NM",IF(((AI685/AA685-1)*100)&lt;-50,"NM",(AI685/AA685-1)*100)))</f>
        <v>8.0251320862487532</v>
      </c>
      <c r="AK685" s="101">
        <v>753.3</v>
      </c>
      <c r="AL685" s="98">
        <f>IF(ISERROR((AK685/AC685-1)*100),"NA",IF(((AK685/AC685-1)*100)&gt;100,"NM",IF(((AK685/AC685-1)*100)&lt;-50,"NM",(AK685/AC685-1)*100)))</f>
        <v>3.0083413099958989</v>
      </c>
      <c r="AM685" s="101">
        <v>749.2</v>
      </c>
      <c r="AN685" s="98">
        <f>IF(ISERROR((AM685/AE685-1)*100),"NA",IF(((AM685/AE685-1)*100)&gt;100,"NM",IF(((AM685/AE685-1)*100)&lt;-50,"NM",(AM685/AE685-1)*100)))</f>
        <v>-1.4340218392316806</v>
      </c>
      <c r="AO685" s="101">
        <v>742.3</v>
      </c>
      <c r="AP685" s="98">
        <f>IF(ISERROR((AO685/AG685-1)*100),"NA",IF(((AO685/AG685-1)*100)&gt;100,"NM",IF(((AO685/AG685-1)*100)&lt;-50,"NM",(AO685/AG685-1)*100)))</f>
        <v>-2.2002635046113328</v>
      </c>
      <c r="AQ685" s="101">
        <v>734</v>
      </c>
      <c r="AR685" s="98">
        <f>IF(ISERROR((AQ685/AI685-1)*100),"NA",IF(((AQ685/AI685-1)*100)&gt;100,"NM",IF(((AQ685/AI685-1)*100)&lt;-50,"NM",(AQ685/AI685-1)*100)))</f>
        <v>-2.9742233972240628</v>
      </c>
      <c r="AS685" s="101">
        <v>736.5</v>
      </c>
      <c r="AT685" s="98">
        <f>IF(ISERROR((AS685/AK685-1)*100),"NA",IF(((AS685/AK685-1)*100)&gt;100,"NM",IF(((AS685/AK685-1)*100)&lt;-50,"NM",(AS685/AK685-1)*100)))</f>
        <v>-2.2301871764237258</v>
      </c>
      <c r="AU685" s="101">
        <v>759.8</v>
      </c>
      <c r="AV685" s="98">
        <f>IF(ISERROR((AU685/AM685-1)*100),"NA",IF(((AU685/AM685-1)*100)&gt;100,"NM",IF(((AU685/AM685-1)*100)&lt;-50,"NM",(AU685/AM685-1)*100)))</f>
        <v>1.4148424986652364</v>
      </c>
      <c r="AW685" s="101">
        <v>761.1</v>
      </c>
      <c r="AX685" s="98">
        <f>IF(ISERROR((AW685/AO685-1)*100),"NA",IF(((AW685/AO685-1)*100)&gt;100,"NM",IF(((AW685/AO685-1)*100)&lt;-50,"NM",(AW685/AO685-1)*100)))</f>
        <v>2.5326687323184771</v>
      </c>
      <c r="AY685" s="101">
        <v>762</v>
      </c>
      <c r="AZ685" s="98">
        <f>IF(ISERROR((AY685/AQ685-1)*100),"NA",IF(((AY685/AQ685-1)*100)&gt;100,"NM",IF(((AY685/AQ685-1)*100)&lt;-50,"NM",(AY685/AQ685-1)*100)))</f>
        <v>3.8147138964577554</v>
      </c>
      <c r="BA685" s="101">
        <v>763.1</v>
      </c>
      <c r="BB685" s="98">
        <f>IF(ISERROR((BA685/AS685-1)*100),"NA",IF(((BA685/AS685-1)*100)&gt;100,"NM",IF(((BA685/AS685-1)*100)&lt;-50,"NM",(BA685/AS685-1)*100)))</f>
        <v>3.6116768499660612</v>
      </c>
      <c r="BC685" s="101">
        <v>762.4</v>
      </c>
      <c r="BD685" s="98">
        <f>IF(ISERROR((BC685/AU685-1)*100),"NA",IF(((BC685/AU685-1)*100)&gt;100,"NM",IF(((BC685/AU685-1)*100)&lt;-50,"NM",(BC685/AU685-1)*100)))</f>
        <v>0.34219531455645935</v>
      </c>
      <c r="BE685" s="101">
        <v>759.6</v>
      </c>
      <c r="BF685" s="98">
        <f>IF(ISERROR((BE685/AW685-1)*100),"NA",IF(((BE685/AW685-1)*100)&gt;100,"NM",IF(((BE685/AW685-1)*100)&lt;-50,"NM",(BE685/AW685-1)*100)))</f>
        <v>-0.19708316909735624</v>
      </c>
      <c r="BG685" s="101">
        <v>752.7</v>
      </c>
      <c r="BH685" s="98">
        <f>IF(ISERROR((BG685/AY685-1)*100),"NA",IF(((BG685/AY685-1)*100)&gt;100,"NM",IF(((BG685/AY685-1)*100)&lt;-50,"NM",(BG685/AY685-1)*100)))</f>
        <v>-1.2204724409448753</v>
      </c>
      <c r="BI685" s="101">
        <v>744.5</v>
      </c>
      <c r="BJ685" s="98">
        <f>IF(ISERROR((BI685/BA685-1)*100),"NA",IF(((BI685/BA685-1)*100)&gt;100,"NM",IF(((BI685/BA685-1)*100)&lt;-50,"NM",(BI685/BA685-1)*100)))</f>
        <v>-2.4374262875114683</v>
      </c>
      <c r="BK685" s="101">
        <v>744</v>
      </c>
      <c r="BL685" s="98">
        <f>IF(ISERROR((BK685/BC685-1)*100),"NA",IF(((BK685/BC685-1)*100)&gt;100,"NM",IF(((BK685/BC685-1)*100)&lt;-50,"NM",(BK685/BC685-1)*100)))</f>
        <v>-2.413431269674704</v>
      </c>
      <c r="BM685" s="101">
        <v>735.9</v>
      </c>
      <c r="BN685" s="98">
        <f>IF(ISERROR((BM685/BE685-1)*100),"NA",IF(((BM685/BE685-1)*100)&gt;100,"NM",IF(((BM685/BE685-1)*100)&lt;-50,"NM",(BM685/BE685-1)*100)))</f>
        <v>-3.1200631911532439</v>
      </c>
      <c r="BO685" s="101">
        <v>720.4</v>
      </c>
      <c r="BP685" s="98">
        <f>IF(ISERROR((BO685/BG685-1)*100),"NA",IF(((BO685/BG685-1)*100)&gt;100,"NM",IF(((BO685/BG685-1)*100)&lt;-50,"NM",(BO685/BG685-1)*100)))</f>
        <v>-4.291218280855591</v>
      </c>
      <c r="BQ685" s="101">
        <v>712.8</v>
      </c>
      <c r="BR685" s="98">
        <f>IF(ISERROR((BQ685/BI685-1)*100),"NA",IF(((BQ685/BI685-1)*100)&gt;100,"NM",IF(((BQ685/BI685-1)*100)&lt;-50,"NM",(BQ685/BI685-1)*100)))</f>
        <v>-4.2578912021491</v>
      </c>
      <c r="BS685" s="101">
        <v>718.1</v>
      </c>
      <c r="BT685" s="98">
        <f>IF(ISERROR((BS685/BK685-1)*100),"NA",IF(((BS685/BK685-1)*100)&gt;100,"NM",IF(((BS685/BK685-1)*100)&lt;-50,"NM",(BS685/BK685-1)*100)))</f>
        <v>-3.4811827956989227</v>
      </c>
      <c r="BU685" s="101">
        <v>790</v>
      </c>
      <c r="BV685" s="98">
        <f>IF(ISERROR((BU685/BM685-1)*100),"NA",IF(((BU685/BM685-1)*100)&gt;100,"NM",IF(((BU685/BM685-1)*100)&lt;-50,"NM",(BU685/BM685-1)*100)))</f>
        <v>7.3515423291208082</v>
      </c>
      <c r="BW685" s="101">
        <v>809.1</v>
      </c>
      <c r="BX685" s="98">
        <f>IF(ISERROR((BW685/BO685-1)*100),"NA",IF(((BW685/BO685-1)*100)&gt;100,"NM",IF(((BW685/BO685-1)*100)&lt;-50,"NM",(BW685/BO685-1)*100)))</f>
        <v>12.31260410882844</v>
      </c>
      <c r="BY685" s="101">
        <v>821.6</v>
      </c>
      <c r="BZ685" s="98">
        <f>IF(ISERROR((BY685/BQ685-1)*100),"NA",IF(((BY685/BQ685-1)*100)&gt;100,"NM",IF(((BY685/BQ685-1)*100)&lt;-50,"NM",(BY685/BQ685-1)*100)))</f>
        <v>15.26374859708195</v>
      </c>
      <c r="CA685" s="101">
        <v>821.8</v>
      </c>
      <c r="CB685" s="98">
        <f>IF(ISERROR((CA685/BS685-1)*100),"NA",IF(((CA685/BS685-1)*100)&gt;100,"NM",IF(((CA685/BS685-1)*100)&lt;-50,"NM",(CA685/BS685-1)*100)))</f>
        <v>14.440885670519421</v>
      </c>
      <c r="CC685" s="101">
        <v>821.9</v>
      </c>
      <c r="CD685" s="98">
        <f>IF(ISERROR((CC685/BU685-1)*100),"NA",IF(((CC685/BU685-1)*100)&gt;100,"NM",IF(((CC685/BU685-1)*100)&lt;-50,"NM",(CC685/BU685-1)*100)))</f>
        <v>4.0379746835442987</v>
      </c>
      <c r="CE685" s="101">
        <v>822.6</v>
      </c>
      <c r="CF685" s="98">
        <f>IF(ISERROR((CE685/BW685-1)*100),"NA",IF(((CE685/BW685-1)*100)&gt;100,"NM",IF(((CE685/BW685-1)*100)&lt;-50,"NM",(CE685/BW685-1)*100)))</f>
        <v>1.6685205784204626</v>
      </c>
      <c r="CG685" s="101">
        <v>822.9</v>
      </c>
      <c r="CH685" s="98">
        <f>IF(ISERROR((CG685/BY685-1)*100),"NA",IF(((CG685/BY685-1)*100)&gt;100,"NM",IF(((CG685/BY685-1)*100)&lt;-50,"NM",(CG685/BY685-1)*100)))</f>
        <v>0.15822784810126667</v>
      </c>
      <c r="CI685" s="101">
        <v>875.8</v>
      </c>
      <c r="CJ685" s="98">
        <f>IF(ISERROR((CI685/CA685-1)*100),"NA",IF(((CI685/CA685-1)*100)&gt;100,"NM",IF(((CI685/CA685-1)*100)&lt;-50,"NM",(CI685/CA685-1)*100)))</f>
        <v>6.5709418349963578</v>
      </c>
      <c r="CK685" s="101">
        <v>1007.3</v>
      </c>
      <c r="CL685" s="98">
        <f>IF(ISERROR((CK685/CC685-1)*100),"NA",IF(((CK685/CC685-1)*100)&gt;100,"NM",IF(((CK685/CC685-1)*100)&lt;-50,"NM",(CK685/CC685-1)*100)))</f>
        <v>22.557488745589495</v>
      </c>
      <c r="CM685" s="101">
        <v>1056.0999999999999</v>
      </c>
      <c r="CN685" s="98">
        <f>IF(ISERROR((CM685/CE685-1)*100),"NA",IF(((CM685/CE685-1)*100)&gt;100,"NM",IF(((CM685/CE685-1)*100)&lt;-50,"NM",(CM685/CE685-1)*100)))</f>
        <v>28.385606613177707</v>
      </c>
      <c r="CO685" s="101">
        <v>1059.8</v>
      </c>
      <c r="CP685" s="98">
        <f>IF(ISERROR((CO685/CG685-1)*100),"NA",IF(((CO685/CG685-1)*100)&gt;100,"NM",IF(((CO685/CG685-1)*100)&lt;-50,"NM",(CO685/CG685-1)*100)))</f>
        <v>28.788431158099392</v>
      </c>
      <c r="CQ685" s="542">
        <v>1060.2</v>
      </c>
      <c r="CR685" s="98">
        <f>IF(ISERROR((CQ685/CI685-1)*100),"NA",IF(((CQ685/CI685-1)*100)&gt;100,"NM",IF(((CQ685/CI685-1)*100)&lt;-50,"NM",(CQ685/CI685-1)*100)))</f>
        <v>21.055035396209188</v>
      </c>
      <c r="CS685" s="101">
        <v>1060.4000000000001</v>
      </c>
      <c r="CT685" s="98">
        <f>IF(ISERROR((CS685/CK685-1)*100),"NA",IF(((CS685/CK685-1)*100)&gt;100,"NM",IF(((CS685/CK685-1)*100)&lt;-50,"NM",(CS685/CK685-1)*100)))</f>
        <v>5.2715179191899164</v>
      </c>
      <c r="CU685" s="101">
        <v>1064.3</v>
      </c>
      <c r="CV685" s="98">
        <f>IF(ISERROR((CU685/CM685-1)*100),"NA",IF(((CU685/CM685-1)*100)&gt;100,"NM",IF(((CU685/CM685-1)*100)&lt;-50,"NM",(CU685/CM685-1)*100)))</f>
        <v>0.77644162484613588</v>
      </c>
      <c r="CW685" s="101">
        <v>1064.7</v>
      </c>
      <c r="CX685" s="98">
        <f>IF(ISERROR((CW685/CO685-1)*100),"NA",IF(((CW685/CO685-1)*100)&gt;100,"NM",IF(((CW685/CO685-1)*100)&lt;-50,"NM",(CW685/CO685-1)*100)))</f>
        <v>0.46235138705417178</v>
      </c>
      <c r="CY685" s="101">
        <v>1065</v>
      </c>
      <c r="CZ685" s="98">
        <f>IF(ISERROR((CY685/CQ685-1)*100),"NA",IF(((CY685/CQ685-1)*100)&gt;100,"NM",IF(((CY685/CQ685-1)*100)&lt;-50,"NM",(CY685/CQ685-1)*100)))</f>
        <v>0.45274476513865736</v>
      </c>
      <c r="DA685" s="101">
        <v>1091</v>
      </c>
      <c r="DB685" s="98">
        <f>IF(ISERROR((DA685/CS685-1)*100),"NA",IF(((DA685/CS685-1)*100)&gt;100,"NM",IF(((DA685/CS685-1)*100)&lt;-50,"NM",(DA685/CS685-1)*100)))</f>
        <v>2.885703508110149</v>
      </c>
      <c r="DC685" s="101">
        <v>1096.9000000000001</v>
      </c>
      <c r="DD685" s="98">
        <f>IF(ISERROR((DC685/CU685-1)*100),"NA",IF(((DC685/CU685-1)*100)&gt;100,"NM",IF(((DC685/CU685-1)*100)&lt;-50,"NM",(DC685/CU685-1)*100)))</f>
        <v>3.0630461336089487</v>
      </c>
      <c r="DE685" s="101">
        <v>1097.9000000000001</v>
      </c>
      <c r="DF685" s="98">
        <f>IF(ISERROR((DE685/CW685-1)*100),"NA",IF(((DE685/CW685-1)*100)&gt;100,"NM",IF(((DE685/CW685-1)*100)&lt;-50,"NM",(DE685/CW685-1)*100)))</f>
        <v>3.1182492720954302</v>
      </c>
      <c r="DG685" s="101">
        <v>1104.9000000000001</v>
      </c>
      <c r="DH685" s="98">
        <f>IF(ISERROR((DG685/CY685-1)*100),"NA",IF(((DG685/CY685-1)*100)&gt;100,"NM",IF(((DG685/CY685-1)*100)&lt;-50,"NM",(DG685/CY685-1)*100)))</f>
        <v>3.746478873239445</v>
      </c>
      <c r="DI685" s="101">
        <v>1123.7</v>
      </c>
      <c r="DJ685" s="98">
        <f>IF(ISERROR((DI685/DA685-1)*100),"NA",IF(((DI685/DA685-1)*100)&gt;100,"NM",IF(((DI685/DA685-1)*100)&lt;-50,"NM",(DI685/DA685-1)*100)))</f>
        <v>2.9972502291475855</v>
      </c>
      <c r="DK685" s="101">
        <v>1126.9000000000001</v>
      </c>
      <c r="DL685" s="98">
        <f>IF(ISERROR((DK685/DC685-1)*100),"NA",IF(((DK685/DC685-1)*100)&gt;100,"NM",IF(((DK685/DC685-1)*100)&lt;-50,"NM",(DK685/DC685-1)*100)))</f>
        <v>2.7349803993071298</v>
      </c>
      <c r="DM685" s="101">
        <v>1128</v>
      </c>
      <c r="DN685" s="98">
        <f>IF(ISERROR((DM685/DE685-1)*100),"NA",IF(((DM685/DE685-1)*100)&gt;100,"NM",IF(((DM685/DE685-1)*100)&lt;-50,"NM",(DM685/DE685-1)*100)))</f>
        <v>2.7415975954094174</v>
      </c>
      <c r="DO685" s="101">
        <v>1125.0999999999999</v>
      </c>
      <c r="DP685" s="98">
        <f>IF(ISERROR((DO685/DG685-1)*100),"NA",IF(((DO685/DG685-1)*100)&gt;100,"NM",IF(((DO685/DG685-1)*100)&lt;-50,"NM",(DO685/DG685-1)*100)))</f>
        <v>1.8282197483935114</v>
      </c>
      <c r="DQ685" s="101">
        <v>1135.8</v>
      </c>
      <c r="DR685" s="98">
        <f>IF(ISERROR((DQ685/DI685-1)*100),"NA",IF(((DQ685/DI685-1)*100)&gt;100,"NM",IF(((DQ685/DI685-1)*100)&lt;-50,"NM",(DQ685/DI685-1)*100)))</f>
        <v>1.076799857613242</v>
      </c>
      <c r="DS685" s="101">
        <v>1125.7</v>
      </c>
      <c r="DT685" s="98">
        <f>IF(ISERROR((DS685/DK685-1)*100),"NA",IF(((DS685/DK685-1)*100)&gt;100,"NM",IF(((DS685/DK685-1)*100)&lt;-50,"NM",(DS685/DK685-1)*100)))</f>
        <v>-0.1064868222557469</v>
      </c>
      <c r="DU685" s="101">
        <v>1117.8</v>
      </c>
      <c r="DV685" s="98">
        <f>IF(ISERROR((DU685/DM685-1)*100),"NA",IF(((DU685/DM685-1)*100)&gt;100,"NM",IF(((DU685/DM685-1)*100)&lt;-50,"NM",(DU685/DM685-1)*100)))</f>
        <v>-0.90425531914893886</v>
      </c>
      <c r="DW685" s="101">
        <v>1118.9000000000001</v>
      </c>
      <c r="DX685" s="98">
        <f>IF(ISERROR((DW685/DO685-1)*100),"NA",IF(((DW685/DO685-1)*100)&gt;100,"NM",IF(((DW685/DO685-1)*100)&lt;-50,"NM",(DW685/DO685-1)*100)))</f>
        <v>-0.55106212781084185</v>
      </c>
      <c r="DY685" s="101">
        <v>1110.9000000000001</v>
      </c>
      <c r="DZ685" s="98">
        <f>IF(ISERROR((DY685/DQ685-1)*100),"NA",IF(((DY685/DQ685-1)*100)&gt;100,"NM",IF(((DY685/DQ685-1)*100)&lt;-50,"NM",(DY685/DQ685-1)*100)))</f>
        <v>-2.1922873745377602</v>
      </c>
      <c r="EA685" s="101">
        <v>1100.8</v>
      </c>
      <c r="EB685" s="98">
        <f>IF(ISERROR((EA685/DS685-1)*100),"NA",IF(((EA685/DS685-1)*100)&gt;100,"NM",IF(((EA685/DS685-1)*100)&lt;-50,"NM",(EA685/DS685-1)*100)))</f>
        <v>-2.2119570045305181</v>
      </c>
      <c r="EC685" s="101">
        <v>1100.3</v>
      </c>
      <c r="ED685" s="98">
        <f>IF(ISERROR((EC685/DU685-1)*100),"NA",IF(((EC685/DU685-1)*100)&gt;100,"NM",IF(((EC685/DU685-1)*100)&lt;-50,"NM",(EC685/DU685-1)*100)))</f>
        <v>-1.5655752370728249</v>
      </c>
      <c r="EE685" s="101">
        <v>1100.5</v>
      </c>
      <c r="EF685" s="860">
        <f>IF(ISERROR((EE685/DW685-1)*100),"NA",IF(((EE685/DW685-1)*100)&gt;100,"NM",IF(((EE685/DW685-1)*100)&lt;-50,"NM",(EE685/DW685-1)*100)))</f>
        <v>-1.6444722495307929</v>
      </c>
      <c r="EG685" s="101">
        <v>1100.2</v>
      </c>
      <c r="EH685" s="860">
        <f>IF(ISERROR((EG685/DY685-1)*100),"NA",IF(((EG685/DY685-1)*100)&gt;100,"NM",IF(((EG685/DY685-1)*100)&lt;-50,"NM",(EG685/DY685-1)*100)))</f>
        <v>-0.96318300477090668</v>
      </c>
      <c r="EI685" s="101">
        <v>1090.4000000000001</v>
      </c>
      <c r="EJ685" s="860">
        <f t="shared" si="4118"/>
        <v>-0.94476744186045014</v>
      </c>
      <c r="EK685" s="101">
        <v>1074</v>
      </c>
      <c r="EL685" s="860">
        <f t="shared" si="4119"/>
        <v>-2.3902572025811142</v>
      </c>
      <c r="EM685" s="101">
        <v>1062.3</v>
      </c>
      <c r="EN685" s="860">
        <f t="shared" si="4120"/>
        <v>-3.471149477510227</v>
      </c>
      <c r="EO685" s="101">
        <v>1052.5</v>
      </c>
      <c r="EP685" s="98">
        <f t="shared" si="4121"/>
        <v>-4.3355753499363825</v>
      </c>
      <c r="EQ685" s="1067">
        <f t="shared" ref="EQ685" si="4130">EO$684+(1-EQ$670/100)*EQ$668-(1-EQ$675/100)*EQ$673</f>
        <v>1034.8256934896983</v>
      </c>
      <c r="ER685" s="98">
        <f t="shared" si="4123"/>
        <v>-5.0966898853908482</v>
      </c>
      <c r="ES685" s="1067">
        <f t="shared" ref="ES685" si="4131">EQ$684+(1-ES$670/100)*ES$668-(1-ES$675/100)*ES$673</f>
        <v>1017.3848439257952</v>
      </c>
      <c r="ET685" s="98">
        <f t="shared" si="4125"/>
        <v>-5.2714298020674839</v>
      </c>
      <c r="EU685" s="1067">
        <f t="shared" ref="EU685" si="4132">ES$684+(1-EU$670/100)*EU$668-(1-EU$675/100)*EU$673</f>
        <v>1001.1657016995474</v>
      </c>
      <c r="EV685" s="98">
        <f t="shared" si="4127"/>
        <v>-5.7548995858469842</v>
      </c>
      <c r="EW685" s="1067">
        <f t="shared" ref="EW685" si="4133">EU$684+(1-EW$670/100)*EW$668-(1-EW$675/100)*EW$673</f>
        <v>986.15082311949254</v>
      </c>
      <c r="EX685" s="98">
        <f t="shared" si="4129"/>
        <v>-6.3039597986230378</v>
      </c>
      <c r="EY685" s="350"/>
      <c r="EZ685" s="594"/>
      <c r="FA685" s="405"/>
      <c r="FB685" s="40"/>
      <c r="FC685" s="98"/>
      <c r="FD685" s="294"/>
      <c r="FE685" s="98" t="str">
        <f>IF(ISERROR((FD685/FB685-1)*100),"NA",IF(((FD685/FB685-1)*100)&gt;100,"NM",IF(((FD685/FB685-1)*100)&lt;-50,"NM",(FD685/FB685-1)*100)))</f>
        <v>NA</v>
      </c>
      <c r="FF685" s="118"/>
      <c r="FG685" s="98" t="str">
        <f>IF(ISERROR((FF685/FD685-1)*100),"NA",IF(((FF685/FD685-1)*100)&gt;100,"NM",IF(((FF685/FD685-1)*100)&lt;-50,"NM",(FF685/FD685-1)*100)))</f>
        <v>NA</v>
      </c>
      <c r="FH685" s="350">
        <f>AVERAGE(K685,M685,O685,Q685)</f>
        <v>741.15000000000009</v>
      </c>
      <c r="FI685" s="98" t="str">
        <f>IF(ISERROR((FH685/FF685-1)*100),"NA",IF(((FH685/FF685-1)*100)&gt;100,"NM",IF(((FH685/FF685-1)*100)&lt;-50,"NM",(FH685/FF685-1)*100)))</f>
        <v>NA</v>
      </c>
      <c r="FJ685" s="350">
        <f>AVERAGE(S685,U685,W685,Y685)</f>
        <v>704.65000000000009</v>
      </c>
      <c r="FK685" s="98">
        <f>IF(ISERROR((FJ685/FH685-1)*100),"NA",IF(((FJ685/FH685-1)*100)&gt;100,"NM",IF(((FJ685/FH685-1)*100)&lt;-50,"NM",(FJ685/FH685-1)*100)))</f>
        <v>-4.9247790595695839</v>
      </c>
      <c r="FL685" s="350">
        <f>AVERAGE(AA685,AC685,AE685,AG685)</f>
        <v>737.67499999999995</v>
      </c>
      <c r="FM685" s="98">
        <f>IF(ISERROR((FL685/FJ685-1)*100),"NA",IF(((FL685/FJ685-1)*100)&gt;100,"NM",IF(((FL685/FJ685-1)*100)&lt;-50,"NM",(FL685/FJ685-1)*100)))</f>
        <v>4.6867239054849685</v>
      </c>
      <c r="FN685" s="350">
        <f>AVERAGE(AI685,AK685,AM685,AO685)</f>
        <v>750.32500000000005</v>
      </c>
      <c r="FO685" s="98">
        <f>IF(ISERROR((FN685/FL685-1)*100),"NA",IF(((FN685/FL685-1)*100)&gt;100,"NM",IF(((FN685/FL685-1)*100)&lt;-50,"NM",(FN685/FL685-1)*100)))</f>
        <v>1.714847324363733</v>
      </c>
      <c r="FP685" s="350">
        <f>AVERAGE(AQ685,AS685,AU685,AW685)</f>
        <v>747.85</v>
      </c>
      <c r="FQ685" s="98">
        <f>IF(ISERROR((FP685/FN685-1)*100),"NA",IF(((FP685/FN685-1)*100)&gt;100,"NM",IF(((FP685/FN685-1)*100)&lt;-50,"NM",(FP685/FN685-1)*100)))</f>
        <v>-0.32985706193983111</v>
      </c>
      <c r="FR685" s="350">
        <f>AVERAGE(AY685,BA685,BC685,BE685)</f>
        <v>761.77499999999998</v>
      </c>
      <c r="FS685" s="120">
        <f>IF(ISERROR((FR685/FP685-1)*100),"NA",IF(((FR685/FP685-1)*100)&gt;100,"NM",IF(((FR685/FP685-1)*100)&lt;-50,"NM",(FR685/FP685-1)*100)))</f>
        <v>1.8620044126495872</v>
      </c>
      <c r="FT685" s="350">
        <f>AVERAGE(BG685,BI685,BK685,BM685)</f>
        <v>744.27499999999998</v>
      </c>
      <c r="FU685" s="120">
        <f>IF(ISERROR((FT685/FR685-1)*100),"NA",IF(((FT685/FR685-1)*100)&gt;100,"NM",IF(((FT685/FR685-1)*100)&lt;-50,"NM",(FT685/FR685-1)*100)))</f>
        <v>-2.2972662531587362</v>
      </c>
      <c r="FV685" s="350">
        <f>AVERAGE(BO685,BQ685,BS685,BU685)</f>
        <v>735.32499999999993</v>
      </c>
      <c r="FW685" s="98">
        <f>IF(ISERROR((FV685/FT685-1)*100),"NA",IF(((FV685/FT685-1)*100)&gt;100,"NM",IF(((FV685/FT685-1)*100)&lt;-50,"NM",(FV685/FT685-1)*100)))</f>
        <v>-1.2025125121762903</v>
      </c>
      <c r="FX685" s="485">
        <f>AVERAGE(BW685,BY685,CA685,CC685)</f>
        <v>818.6</v>
      </c>
      <c r="FY685" s="98">
        <f>IF(ISERROR((FX685/FV685-1)*100),"NA",IF(((FX685/FV685-1)*100)&gt;100,"NM",IF(((FX685/FV685-1)*100)&lt;-50,"NM",(FX685/FV685-1)*100)))</f>
        <v>11.324924353177179</v>
      </c>
      <c r="FZ685" s="350">
        <f>AVERAGE(CK685,CI685,CG685,CE685)</f>
        <v>882.15</v>
      </c>
      <c r="GA685" s="98">
        <f>IF(ISERROR((FZ685/FX685-1)*100),"NA",IF(((FZ685/FX685-1)*100)&gt;100,"NM",IF(((FZ685/FX685-1)*100)&lt;-50,"NM",(FZ685/FX685-1)*100)))</f>
        <v>7.7632543366723539</v>
      </c>
      <c r="GB685" s="485">
        <f>AVERAGE(CS685,CQ685,CO685,CM685)</f>
        <v>1059.125</v>
      </c>
      <c r="GC685" s="98">
        <f>IF(ISERROR((GB685/FZ685-1)*100),"NA",IF(((GB685/FZ685-1)*100)&gt;100,"NM",IF(((GB685/FZ685-1)*100)&lt;-50,"NM",(GB685/FZ685-1)*100)))</f>
        <v>20.061780876268219</v>
      </c>
      <c r="GD685" s="350">
        <f>AVERAGE(DA685,CY685,CW685,CU685)</f>
        <v>1071.25</v>
      </c>
      <c r="GE685" s="98">
        <f>IF(ISERROR((GD685/GB685-1)*100),"NA",IF(((GD685/GB685-1)*100)&gt;100,"NM",IF(((GD685/GB685-1)*100)&lt;-50,"NM",(GD685/GB685-1)*100)))</f>
        <v>1.1448129352059411</v>
      </c>
      <c r="GF685" s="350">
        <f>AVERAGE(DI685,DG685,DE685,DC685)</f>
        <v>1105.8500000000001</v>
      </c>
      <c r="GG685" s="98">
        <f>IF(ISERROR((GF685/GD685-1)*100),"NA",IF(((GF685/GD685-1)*100)&gt;100,"NM",IF(((GF685/GD685-1)*100)&lt;-50,"NM",(GF685/GD685-1)*100)))</f>
        <v>3.2298716452742182</v>
      </c>
      <c r="GH685" s="350">
        <f>AVERAGE(DQ685,DO685,DM685,DK685)</f>
        <v>1128.9499999999998</v>
      </c>
      <c r="GI685" s="98">
        <f>IF(ISERROR((GH685/GF685-1)*100),"NA",IF(((GH685/GF685-1)*100)&gt;100,"NM",IF(((GH685/GF685-1)*100)&lt;-50,"NM",(GH685/GF685-1)*100)))</f>
        <v>2.0888908984039167</v>
      </c>
      <c r="GJ685" s="350">
        <f>AVERAGE(DY685,DW685,DU685,DS685)</f>
        <v>1118.325</v>
      </c>
      <c r="GK685" s="98">
        <f>IF(ISERROR((GJ685/GH685-1)*100),"NA",IF(((GJ685/GH685-1)*100)&gt;100,"NM",IF(((GJ685/GH685-1)*100)&lt;-50,"NM",(GJ685/GH685-1)*100)))</f>
        <v>-0.94113999734264375</v>
      </c>
      <c r="GL685" s="350">
        <f>AVERAGE(EG685,EE685,EC685,EA685)</f>
        <v>1100.45</v>
      </c>
      <c r="GM685" s="98">
        <f>IF(ISERROR((GL685/GJ685-1)*100),"NA",IF(((GL685/GJ685-1)*100)&gt;100,"NM",IF(((GL685/GJ685-1)*100)&lt;-50,"NM",(GL685/GJ685-1)*100)))</f>
        <v>-1.5983725661145032</v>
      </c>
      <c r="GN685" s="350">
        <f>AVERAGE(EO685,EM685,EK685,EI685)</f>
        <v>1069.8000000000002</v>
      </c>
      <c r="GO685" s="98">
        <f>IF(ISERROR((GN685/GL685-1)*100),"NA",IF(((GN685/GL685-1)*100)&gt;100,"NM",IF(((GN685/GL685-1)*100)&lt;-50,"NM",(GN685/GL685-1)*100)))</f>
        <v>-2.7852242264527982</v>
      </c>
      <c r="GP685" s="350">
        <f>AVERAGE(EW685,EU685,ES685,EQ685)</f>
        <v>1009.8817655586333</v>
      </c>
      <c r="GQ685" s="98">
        <f>IF(ISERROR((GP685/GN685-1)*100),"NA",IF(((GP685/GN685-1)*100)&gt;100,"NM",IF(((GP685/GN685-1)*100)&lt;-50,"NM",(GP685/GN685-1)*100)))</f>
        <v>-5.6008818883311662</v>
      </c>
      <c r="GR685" s="350">
        <f>GP$684+(1-GR$670/100)*GR$668-(1-GR$675/100)*GR$673</f>
        <v>950.44930814073132</v>
      </c>
      <c r="GS685" s="98">
        <f>IF(ISERROR((GR685/GP685-1)*100),"NA",IF(((GR685/GP685-1)*100)&gt;100,"NM",IF(((GR685/GP685-1)*100)&lt;-50,"NM",(GR685/GP685-1)*100)))</f>
        <v>-5.8850906556398686</v>
      </c>
      <c r="GT685" s="350">
        <f>GR$684+(1-GT$670/100)*GT$668-(1-GT$675/100)*GT$673</f>
        <v>903.06471844627208</v>
      </c>
      <c r="GU685" s="98">
        <f>IF(ISERROR((GT685/GR685-1)*100),"NA",IF(((GT685/GR685-1)*100)&gt;100,"NM",IF(((GT685/GR685-1)*100)&lt;-50,"NM",(GT685/GR685-1)*100)))</f>
        <v>-4.9854936279719038</v>
      </c>
      <c r="GV685" s="350">
        <f>GT$684+(1-GV$670/100)*GV$668-(1-GV$675/100)*GV$673</f>
        <v>848.90436396360508</v>
      </c>
      <c r="GW685" s="98">
        <f>IF(ISERROR((GV685/GT685-1)*100),"NA",IF(((GV685/GT685-1)*100)&gt;100,"NM",IF(((GV685/GT685-1)*100)&lt;-50,"NM",(GV685/GT685-1)*100)))</f>
        <v>-5.9973945805180122</v>
      </c>
      <c r="GX685" s="350">
        <f>GV$684+(1-GX$670/100)*GX$668-(1-GX$675/100)*GX$673</f>
        <v>802.73378401383457</v>
      </c>
      <c r="GY685" s="98">
        <f>IF(ISERROR((GX685/GV685-1)*100),"NA",IF(((GX685/GV685-1)*100)&gt;100,"NM",IF(((GX685/GV685-1)*100)&lt;-50,"NM",(GX685/GV685-1)*100)))</f>
        <v>-5.4388435152101451</v>
      </c>
      <c r="GZ685" s="98">
        <f>IF(ISERROR(((GX685/GN685)^0.2-1)*100),"NA",IF((((GX685/GN685)^0.2-1)*100)&gt;100,"NM",IF((((GX685/GN685)^0.2-1)*100)&lt;-50,"NM",((GX685/GN685)^0.2-1)*100)))</f>
        <v>-5.5822189860299964</v>
      </c>
      <c r="HA685" s="98"/>
      <c r="HB685" s="10"/>
      <c r="HC685"/>
      <c r="HD685"/>
      <c r="HE685"/>
      <c r="HF685"/>
      <c r="HG685"/>
      <c r="HH685"/>
      <c r="HI685" s="10"/>
    </row>
    <row r="686" spans="1:217" s="2" customFormat="1" ht="12.75" customHeight="1" x14ac:dyDescent="0.2">
      <c r="B686" s="179" t="s">
        <v>76</v>
      </c>
      <c r="C686" s="458"/>
      <c r="D686" s="33"/>
      <c r="E686" s="458"/>
      <c r="F686" s="33"/>
      <c r="G686" s="458"/>
      <c r="H686" s="33"/>
      <c r="I686" s="458"/>
      <c r="J686" s="33"/>
      <c r="K686" s="458"/>
      <c r="L686" s="33"/>
      <c r="M686" s="458"/>
      <c r="N686" s="33"/>
      <c r="O686" s="458"/>
      <c r="P686" s="33"/>
      <c r="Q686" s="458"/>
      <c r="R686" s="33"/>
      <c r="S686" s="458"/>
      <c r="T686" s="33"/>
      <c r="U686" s="458"/>
      <c r="V686" s="33"/>
      <c r="W686" s="458"/>
      <c r="X686" s="33"/>
      <c r="Y686" s="458"/>
      <c r="Z686" s="33"/>
      <c r="AA686" s="458"/>
      <c r="AB686" s="33"/>
      <c r="AC686" s="458"/>
      <c r="AD686" s="33"/>
      <c r="AE686" s="458"/>
      <c r="AF686" s="33"/>
      <c r="AG686" s="100"/>
      <c r="AH686" s="33"/>
      <c r="AI686" s="100"/>
      <c r="AJ686" s="33"/>
      <c r="AK686" s="100"/>
      <c r="AL686" s="33"/>
      <c r="AM686" s="100"/>
      <c r="AN686" s="33"/>
      <c r="AO686" s="100"/>
      <c r="AP686" s="33"/>
      <c r="AQ686" s="100"/>
      <c r="AR686" s="33"/>
      <c r="AS686" s="100"/>
      <c r="AT686" s="33"/>
      <c r="AU686" s="100"/>
      <c r="AV686" s="33"/>
      <c r="AW686" s="100"/>
      <c r="AX686" s="33"/>
      <c r="AY686" s="100"/>
      <c r="AZ686" s="33"/>
      <c r="BA686" s="100"/>
      <c r="BB686" s="33"/>
      <c r="BC686" s="100"/>
      <c r="BD686" s="33"/>
      <c r="BE686" s="100"/>
      <c r="BF686" s="33"/>
      <c r="BG686" s="100">
        <f>BG687-BG685</f>
        <v>16.399999999999977</v>
      </c>
      <c r="BH686" s="33"/>
      <c r="BI686" s="100">
        <f>BI687-BI685</f>
        <v>19.100000000000023</v>
      </c>
      <c r="BJ686" s="33"/>
      <c r="BK686" s="100">
        <f>BK687-BK685</f>
        <v>18.700000000000045</v>
      </c>
      <c r="BL686" s="33"/>
      <c r="BM686" s="100">
        <f>BM687-BM685</f>
        <v>18.200000000000045</v>
      </c>
      <c r="BN686" s="33"/>
      <c r="BO686" s="100">
        <f>BO687-BO685</f>
        <v>12.300000000000068</v>
      </c>
      <c r="BP686" s="33"/>
      <c r="BQ686" s="100">
        <f>BQ687-BQ685</f>
        <v>13.700000000000045</v>
      </c>
      <c r="BR686" s="33"/>
      <c r="BS686" s="100">
        <f>BS687-BS685</f>
        <v>8.7999999999999545</v>
      </c>
      <c r="BT686" s="33"/>
      <c r="BU686" s="100">
        <f>BU687-BU685</f>
        <v>3.6000000000000227</v>
      </c>
      <c r="BV686" s="33"/>
      <c r="BW686" s="100">
        <f>BW687-BW685</f>
        <v>1.6999999999999318</v>
      </c>
      <c r="BX686" s="33"/>
      <c r="BY686" s="100">
        <f>BY687-BY685</f>
        <v>3.5</v>
      </c>
      <c r="BZ686" s="33"/>
      <c r="CA686" s="100">
        <f>CA687-CA685</f>
        <v>5.5</v>
      </c>
      <c r="CB686" s="33"/>
      <c r="CC686" s="100">
        <f>CC687-CC685</f>
        <v>6.1000000000000227</v>
      </c>
      <c r="CD686" s="98"/>
      <c r="CE686" s="101">
        <v>6</v>
      </c>
      <c r="CF686" s="98"/>
      <c r="CG686" s="101">
        <v>7</v>
      </c>
      <c r="CH686" s="98"/>
      <c r="CI686" s="101">
        <v>7.3</v>
      </c>
      <c r="CJ686" s="98"/>
      <c r="CK686" s="101">
        <v>7.6</v>
      </c>
      <c r="CL686" s="98"/>
      <c r="CM686" s="101">
        <f>2.6+8.4</f>
        <v>11</v>
      </c>
      <c r="CN686" s="98"/>
      <c r="CO686" s="101">
        <f>4+7.2</f>
        <v>11.2</v>
      </c>
      <c r="CP686" s="98"/>
      <c r="CQ686" s="542">
        <v>6</v>
      </c>
      <c r="CR686" s="98"/>
      <c r="CS686" s="101">
        <v>5.9</v>
      </c>
      <c r="CT686" s="98"/>
      <c r="CU686" s="101">
        <v>6.6</v>
      </c>
      <c r="CV686" s="98"/>
      <c r="CW686" s="101">
        <v>5.3</v>
      </c>
      <c r="CX686" s="98"/>
      <c r="CY686" s="101">
        <v>6</v>
      </c>
      <c r="CZ686" s="98"/>
      <c r="DA686" s="101">
        <v>6.5</v>
      </c>
      <c r="DB686" s="98"/>
      <c r="DC686" s="101">
        <v>7</v>
      </c>
      <c r="DD686" s="98"/>
      <c r="DE686" s="101">
        <v>8.8000000000000007</v>
      </c>
      <c r="DF686" s="98"/>
      <c r="DG686" s="101">
        <f>1.9+10.5</f>
        <v>12.4</v>
      </c>
      <c r="DH686" s="98"/>
      <c r="DI686" s="101">
        <f>2.8+11.6</f>
        <v>14.399999999999999</v>
      </c>
      <c r="DJ686" s="98"/>
      <c r="DK686" s="101">
        <f>3.4+10.2</f>
        <v>13.6</v>
      </c>
      <c r="DL686" s="98"/>
      <c r="DM686" s="101">
        <f>3.8+10.5</f>
        <v>14.3</v>
      </c>
      <c r="DN686" s="98"/>
      <c r="DO686" s="101">
        <f>4.6+11.3</f>
        <v>15.9</v>
      </c>
      <c r="DP686" s="98"/>
      <c r="DQ686" s="101">
        <v>11.5</v>
      </c>
      <c r="DR686" s="98"/>
      <c r="DS686" s="101">
        <v>10.1</v>
      </c>
      <c r="DT686" s="98"/>
      <c r="DU686" s="101">
        <v>10.6</v>
      </c>
      <c r="DV686" s="98"/>
      <c r="DW686" s="101">
        <v>11</v>
      </c>
      <c r="DX686" s="98"/>
      <c r="DY686" s="101">
        <v>10.5</v>
      </c>
      <c r="DZ686" s="98"/>
      <c r="EA686" s="101">
        <v>7.8</v>
      </c>
      <c r="EB686" s="98"/>
      <c r="EC686" s="101">
        <v>8.8000000000000007</v>
      </c>
      <c r="ED686" s="98"/>
      <c r="EE686" s="101">
        <v>8.8000000000000007</v>
      </c>
      <c r="EF686" s="860"/>
      <c r="EG686" s="101">
        <v>8.6</v>
      </c>
      <c r="EH686" s="860"/>
      <c r="EI686" s="101">
        <v>8.3000000000000007</v>
      </c>
      <c r="EJ686" s="860"/>
      <c r="EK686" s="101">
        <v>8.1</v>
      </c>
      <c r="EL686" s="860"/>
      <c r="EM686" s="101">
        <v>9.1999999999999993</v>
      </c>
      <c r="EN686" s="860"/>
      <c r="EO686" s="101">
        <v>9.6</v>
      </c>
      <c r="EP686" s="98"/>
      <c r="EQ686" s="1067">
        <f t="shared" ref="EQ686" si="4134">EO686</f>
        <v>9.6</v>
      </c>
      <c r="ER686" s="98"/>
      <c r="ES686" s="1067">
        <f t="shared" ref="ES686" si="4135">EQ686</f>
        <v>9.6</v>
      </c>
      <c r="ET686" s="98"/>
      <c r="EU686" s="1067">
        <f t="shared" ref="EU686" si="4136">ES686</f>
        <v>9.6</v>
      </c>
      <c r="EV686" s="98"/>
      <c r="EW686" s="1067">
        <f t="shared" ref="EW686" si="4137">EU686</f>
        <v>9.6</v>
      </c>
      <c r="EX686" s="98"/>
      <c r="EY686" s="350"/>
      <c r="EZ686" s="594"/>
      <c r="FA686" s="405"/>
      <c r="FB686" s="40"/>
      <c r="FC686" s="98"/>
      <c r="FD686" s="294"/>
      <c r="FE686" s="98"/>
      <c r="FF686" s="118"/>
      <c r="FG686" s="98"/>
      <c r="FH686" s="350"/>
      <c r="FI686" s="98"/>
      <c r="FJ686" s="350"/>
      <c r="FK686" s="98"/>
      <c r="FL686" s="350"/>
      <c r="FM686" s="98"/>
      <c r="FN686" s="350"/>
      <c r="FO686" s="98"/>
      <c r="FP686" s="350"/>
      <c r="FQ686" s="98"/>
      <c r="FR686" s="350"/>
      <c r="FS686" s="120"/>
      <c r="FT686" s="350"/>
      <c r="FU686" s="120"/>
      <c r="FV686" s="350">
        <f>FV687-FV685</f>
        <v>9.3999999999999773</v>
      </c>
      <c r="FW686" s="98"/>
      <c r="FX686" s="485">
        <f>FX687-FX685</f>
        <v>4.1999999999999318</v>
      </c>
      <c r="FY686" s="98"/>
      <c r="FZ686" s="350">
        <f>FZ687-FZ685</f>
        <v>7.125</v>
      </c>
      <c r="GA686" s="98"/>
      <c r="GB686" s="485">
        <f>GB687-GB685</f>
        <v>9.125</v>
      </c>
      <c r="GC686" s="98"/>
      <c r="GD686" s="350">
        <f>GD687-GD685</f>
        <v>6.0999999999999091</v>
      </c>
      <c r="GE686" s="98"/>
      <c r="GF686" s="350">
        <f>GF687-GF685</f>
        <v>10.649999999999864</v>
      </c>
      <c r="GG686" s="98"/>
      <c r="GH686" s="350">
        <f>GH687-GH685</f>
        <v>13.825000000000273</v>
      </c>
      <c r="GI686" s="98"/>
      <c r="GJ686" s="350">
        <f>GJ687-GJ685</f>
        <v>10.549999999999955</v>
      </c>
      <c r="GK686" s="98"/>
      <c r="GL686" s="350">
        <f>GL687-GL685</f>
        <v>8.4999999999997726</v>
      </c>
      <c r="GM686" s="98"/>
      <c r="GN686" s="350">
        <f>GN687-GN685</f>
        <v>8.7999999999997272</v>
      </c>
      <c r="GO686" s="98"/>
      <c r="GP686" s="350">
        <f>GP687-GP685</f>
        <v>9.6000000000001364</v>
      </c>
      <c r="GQ686" s="98"/>
      <c r="GR686" s="350">
        <f>GP686</f>
        <v>9.6000000000001364</v>
      </c>
      <c r="GS686" s="98"/>
      <c r="GT686" s="350">
        <f>GR686</f>
        <v>9.6000000000001364</v>
      </c>
      <c r="GU686" s="98"/>
      <c r="GV686" s="350">
        <f>GT686</f>
        <v>9.6000000000001364</v>
      </c>
      <c r="GW686" s="98"/>
      <c r="GX686" s="350">
        <f>GV686</f>
        <v>9.6000000000001364</v>
      </c>
      <c r="GY686" s="98"/>
      <c r="GZ686" s="98"/>
      <c r="HA686" s="98"/>
      <c r="HB686" s="10"/>
      <c r="HC686"/>
      <c r="HD686"/>
      <c r="HE686"/>
      <c r="HF686"/>
      <c r="HG686"/>
      <c r="HH686"/>
      <c r="HI686" s="10"/>
    </row>
    <row r="687" spans="1:217" s="2" customFormat="1" ht="12.75" customHeight="1" x14ac:dyDescent="0.2">
      <c r="A687" s="2" t="s">
        <v>34</v>
      </c>
      <c r="B687" s="18" t="s">
        <v>622</v>
      </c>
      <c r="C687" s="296">
        <v>786.2</v>
      </c>
      <c r="D687" s="98"/>
      <c r="E687" s="296">
        <f>780.1</f>
        <v>780.1</v>
      </c>
      <c r="F687" s="98"/>
      <c r="G687" s="296">
        <v>788.7</v>
      </c>
      <c r="H687" s="98"/>
      <c r="I687" s="296">
        <v>789.7</v>
      </c>
      <c r="J687" s="98"/>
      <c r="K687" s="296">
        <v>785.3</v>
      </c>
      <c r="L687" s="98">
        <f>IF(ISERROR((K687/C687-1)*100),"NA",IF(((K687/C687-1)*100)&gt;100,"NM",IF(((K687/C687-1)*100)&lt;-50,"NM",(K687/C687-1)*100)))</f>
        <v>-0.11447468837446628</v>
      </c>
      <c r="M687" s="296">
        <v>774.9</v>
      </c>
      <c r="N687" s="98">
        <f>IF(ISERROR((M687/E687-1)*100),"NA",IF(((M687/E687-1)*100)&gt;100,"NM",IF(((M687/E687-1)*100)&lt;-50,"NM",(M687/E687-1)*100)))</f>
        <v>-0.66658120753749772</v>
      </c>
      <c r="O687" s="296">
        <v>761.2</v>
      </c>
      <c r="P687" s="98">
        <f>IF(ISERROR((O687/G687-1)*100),"NA",IF(((O687/G687-1)*100)&gt;100,"NM",IF(((O687/G687-1)*100)&lt;-50,"NM",(O687/G687-1)*100)))</f>
        <v>-3.4867503486750384</v>
      </c>
      <c r="Q687" s="296">
        <v>747</v>
      </c>
      <c r="R687" s="98">
        <f>IF(ISERROR((Q687/I687-1)*100),"NA",IF(((Q687/I687-1)*100)&gt;100,"NM",IF(((Q687/I687-1)*100)&lt;-50,"NM",(Q687/I687-1)*100)))</f>
        <v>-5.4071166265670545</v>
      </c>
      <c r="S687" s="296">
        <v>739.5</v>
      </c>
      <c r="T687" s="98">
        <f>IF(ISERROR((S687/K687-1)*100),"NA",IF(((S687/K687-1)*100)&gt;100,"NM",IF(((S687/K687-1)*100)&lt;-50,"NM",(S687/K687-1)*100)))</f>
        <v>-5.8321660511906241</v>
      </c>
      <c r="U687" s="296">
        <v>733.9</v>
      </c>
      <c r="V687" s="98">
        <f>IF(ISERROR((U687/M687-1)*100),"NA",IF(((U687/M687-1)*100)&gt;100,"NM",IF(((U687/M687-1)*100)&lt;-50,"NM",(U687/M687-1)*100)))</f>
        <v>-5.2910052910052912</v>
      </c>
      <c r="W687" s="296">
        <v>722.7</v>
      </c>
      <c r="X687" s="98">
        <f>IF(ISERROR((W687/O687-1)*100),"NA",IF(((W687/O687-1)*100)&gt;100,"NM",IF(((W687/O687-1)*100)&lt;-50,"NM",(W687/O687-1)*100)))</f>
        <v>-5.057803468208089</v>
      </c>
      <c r="Y687" s="296">
        <v>720.9</v>
      </c>
      <c r="Z687" s="98">
        <f>IF(ISERROR((Y687/Q687-1)*100),"NA",IF(((Y687/Q687-1)*100)&gt;100,"NM",IF(((Y687/Q687-1)*100)&lt;-50,"NM",(Y687/Q687-1)*100)))</f>
        <v>-3.4939759036144658</v>
      </c>
      <c r="AA687" s="296">
        <v>722.4</v>
      </c>
      <c r="AB687" s="98">
        <f>IF(ISERROR((AA687/S687-1)*100),"NA",IF(((AA687/S687-1)*100)&gt;100,"NM",IF(((AA687/S687-1)*100)&lt;-50,"NM",(AA687/S687-1)*100)))</f>
        <v>-2.3123732251521312</v>
      </c>
      <c r="AC687" s="296">
        <v>731.3</v>
      </c>
      <c r="AD687" s="98">
        <f>IF(ISERROR((AC687/U687-1)*100),"NA",IF(((AC687/U687-1)*100)&gt;100,"NM",IF(((AC687/U687-1)*100)&lt;-50,"NM",(AC687/U687-1)*100)))</f>
        <v>-0.35427169914157286</v>
      </c>
      <c r="AE687" s="296">
        <v>760.9</v>
      </c>
      <c r="AF687" s="98">
        <f>IF(ISERROR((AE687/W687-1)*100),"NA",IF(((AE687/W687-1)*100)&gt;100,"NM",IF(((AE687/W687-1)*100)&lt;-50,"NM",(AE687/W687-1)*100)))</f>
        <v>5.2857340528573271</v>
      </c>
      <c r="AG687" s="284">
        <v>761.3</v>
      </c>
      <c r="AH687" s="98">
        <f>IF(ISERROR((AG687/Y687-1)*100),"NA",IF(((AG687/Y687-1)*100)&gt;100,"NM",IF(((AG687/Y687-1)*100)&lt;-50,"NM",(AG687/Y687-1)*100)))</f>
        <v>5.6041059786378078</v>
      </c>
      <c r="AI687" s="284">
        <v>760.3</v>
      </c>
      <c r="AJ687" s="98">
        <f>IF(ISERROR((AI687/AA687-1)*100),"NA",IF(((AI687/AA687-1)*100)&gt;100,"NM",IF(((AI687/AA687-1)*100)&lt;-50,"NM",(AI687/AA687-1)*100)))</f>
        <v>5.2464008859357758</v>
      </c>
      <c r="AK687" s="284">
        <v>758</v>
      </c>
      <c r="AL687" s="98">
        <f>IF(ISERROR((AK687/AC687-1)*100),"NA",IF(((AK687/AC687-1)*100)&gt;100,"NM",IF(((AK687/AC687-1)*100)&lt;-50,"NM",(AK687/AC687-1)*100)))</f>
        <v>3.6510324080404777</v>
      </c>
      <c r="AM687" s="284">
        <v>753.4</v>
      </c>
      <c r="AN687" s="98">
        <f>IF(ISERROR((AM687/AE687-1)*100),"NA",IF(((AM687/AE687-1)*100)&gt;100,"NM",IF(((AM687/AE687-1)*100)&lt;-50,"NM",(AM687/AE687-1)*100)))</f>
        <v>-0.98567485871993155</v>
      </c>
      <c r="AO687" s="284">
        <v>747.7</v>
      </c>
      <c r="AP687" s="98">
        <f>IF(ISERROR((AO687/AG687-1)*100),"NA",IF(((AO687/AG687-1)*100)&gt;100,"NM",IF(((AO687/AG687-1)*100)&lt;-50,"NM",(AO687/AG687-1)*100)))</f>
        <v>-1.7864179692630877</v>
      </c>
      <c r="AQ687" s="284">
        <v>739.6</v>
      </c>
      <c r="AR687" s="98">
        <f>IF(ISERROR((AQ687/AI687-1)*100),"NA",IF(((AQ687/AI687-1)*100)&gt;100,"NM",IF(((AQ687/AI687-1)*100)&lt;-50,"NM",(AQ687/AI687-1)*100)))</f>
        <v>-2.7226094962514713</v>
      </c>
      <c r="AS687" s="284">
        <v>743.1</v>
      </c>
      <c r="AT687" s="98">
        <f>IF(ISERROR((AS687/AK687-1)*100),"NA",IF(((AS687/AK687-1)*100)&gt;100,"NM",IF(((AS687/AK687-1)*100)&lt;-50,"NM",(AS687/AK687-1)*100)))</f>
        <v>-1.9656992084432723</v>
      </c>
      <c r="AU687" s="284">
        <v>768.7</v>
      </c>
      <c r="AV687" s="98">
        <f>IF(ISERROR((AU687/AM687-1)*100),"NA",IF(((AU687/AM687-1)*100)&gt;100,"NM",IF(((AU687/AM687-1)*100)&lt;-50,"NM",(AU687/AM687-1)*100)))</f>
        <v>2.030793735067693</v>
      </c>
      <c r="AW687" s="284">
        <v>769</v>
      </c>
      <c r="AX687" s="98">
        <f>IF(ISERROR((AW687/AO687-1)*100),"NA",IF(((AW687/AO687-1)*100)&gt;100,"NM",IF(((AW687/AO687-1)*100)&lt;-50,"NM",(AW687/AO687-1)*100)))</f>
        <v>2.8487361241139375</v>
      </c>
      <c r="AY687" s="284">
        <v>768.8</v>
      </c>
      <c r="AZ687" s="98">
        <f>IF(ISERROR((AY687/AQ687-1)*100),"NA",IF(((AY687/AQ687-1)*100)&gt;100,"NM",IF(((AY687/AQ687-1)*100)&lt;-50,"NM",(AY687/AQ687-1)*100)))</f>
        <v>3.9480800432666108</v>
      </c>
      <c r="BA687" s="284">
        <v>769.9</v>
      </c>
      <c r="BB687" s="98">
        <f>IF(ISERROR((BA687/AS687-1)*100),"NA",IF(((BA687/AS687-1)*100)&gt;100,"NM",IF(((BA687/AS687-1)*100)&lt;-50,"NM",(BA687/AS687-1)*100)))</f>
        <v>3.6065132552819179</v>
      </c>
      <c r="BC687" s="284">
        <v>773.7</v>
      </c>
      <c r="BD687" s="98">
        <f>IF(ISERROR((BC687/AU687-1)*100),"NA",IF(((BC687/AU687-1)*100)&gt;100,"NM",IF(((BC687/AU687-1)*100)&lt;-50,"NM",(BC687/AU687-1)*100)))</f>
        <v>0.65044880967868313</v>
      </c>
      <c r="BE687" s="284">
        <v>773.1</v>
      </c>
      <c r="BF687" s="98">
        <f>IF(ISERROR((BE687/AW687-1)*100),"NA",IF(((BE687/AW687-1)*100)&gt;100,"NM",IF(((BE687/AW687-1)*100)&lt;-50,"NM",(BE687/AW687-1)*100)))</f>
        <v>0.53315994798439625</v>
      </c>
      <c r="BG687" s="284">
        <v>769.1</v>
      </c>
      <c r="BH687" s="98">
        <f>IF(ISERROR((BG687/AY687-1)*100),"NA",IF(((BG687/AY687-1)*100)&gt;100,"NM",IF(((BG687/AY687-1)*100)&lt;-50,"NM",(BG687/AY687-1)*100)))</f>
        <v>3.9021852237253185E-2</v>
      </c>
      <c r="BI687" s="284">
        <v>763.6</v>
      </c>
      <c r="BJ687" s="98">
        <f>IF(ISERROR((BI687/BA687-1)*100),"NA",IF(((BI687/BA687-1)*100)&gt;100,"NM",IF(((BI687/BA687-1)*100)&lt;-50,"NM",(BI687/BA687-1)*100)))</f>
        <v>-0.81828808936225128</v>
      </c>
      <c r="BK687" s="284">
        <v>762.7</v>
      </c>
      <c r="BL687" s="98">
        <f>IF(ISERROR((BK687/BC687-1)*100),"NA",IF(((BK687/BC687-1)*100)&gt;100,"NM",IF(((BK687/BC687-1)*100)&lt;-50,"NM",(BK687/BC687-1)*100)))</f>
        <v>-1.421739692387225</v>
      </c>
      <c r="BM687" s="284">
        <v>754.1</v>
      </c>
      <c r="BN687" s="98">
        <f>IF(ISERROR((BM687/BE687-1)*100),"NA",IF(((BM687/BE687-1)*100)&gt;100,"NM",IF(((BM687/BE687-1)*100)&lt;-50,"NM",(BM687/BE687-1)*100)))</f>
        <v>-2.4576380804553044</v>
      </c>
      <c r="BO687" s="284">
        <v>732.7</v>
      </c>
      <c r="BP687" s="98">
        <f>IF(ISERROR((BO687/BG687-1)*100),"NA",IF(((BO687/BG687-1)*100)&gt;100,"NM",IF(((BO687/BG687-1)*100)&lt;-50,"NM",(BO687/BG687-1)*100)))</f>
        <v>-4.7328045767780491</v>
      </c>
      <c r="BQ687" s="284">
        <v>726.5</v>
      </c>
      <c r="BR687" s="98">
        <f>IF(ISERROR((BQ687/BI687-1)*100),"NA",IF(((BQ687/BI687-1)*100)&gt;100,"NM",IF(((BQ687/BI687-1)*100)&lt;-50,"NM",(BQ687/BI687-1)*100)))</f>
        <v>-4.8585646935568434</v>
      </c>
      <c r="BS687" s="284">
        <v>726.9</v>
      </c>
      <c r="BT687" s="98">
        <f>IF(ISERROR((BS687/BK687-1)*100),"NA",IF(((BS687/BK687-1)*100)&gt;100,"NM",IF(((BS687/BK687-1)*100)&lt;-50,"NM",(BS687/BK687-1)*100)))</f>
        <v>-4.6938507932345663</v>
      </c>
      <c r="BU687" s="284">
        <v>793.6</v>
      </c>
      <c r="BV687" s="98">
        <f>IF(ISERROR((BU687/BM687-1)*100),"NA",IF(((BU687/BM687-1)*100)&gt;100,"NM",IF(((BU687/BM687-1)*100)&lt;-50,"NM",(BU687/BM687-1)*100)))</f>
        <v>5.2380320912345901</v>
      </c>
      <c r="BW687" s="284">
        <v>810.8</v>
      </c>
      <c r="BX687" s="98">
        <f>IF(ISERROR((BW687/BO687-1)*100),"NA",IF(((BW687/BO687-1)*100)&gt;100,"NM",IF(((BW687/BO687-1)*100)&lt;-50,"NM",(BW687/BO687-1)*100)))</f>
        <v>10.659205677630679</v>
      </c>
      <c r="BY687" s="284">
        <v>825.1</v>
      </c>
      <c r="BZ687" s="98">
        <f>IF(ISERROR((BY687/BQ687-1)*100),"NA",IF(((BY687/BQ687-1)*100)&gt;100,"NM",IF(((BY687/BQ687-1)*100)&lt;-50,"NM",(BY687/BQ687-1)*100)))</f>
        <v>13.571920165175499</v>
      </c>
      <c r="CA687" s="284">
        <v>827.3</v>
      </c>
      <c r="CB687" s="98">
        <f>IF(ISERROR((CA687/BS687-1)*100),"NA",IF(((CA687/BS687-1)*100)&gt;100,"NM",IF(((CA687/BS687-1)*100)&lt;-50,"NM",(CA687/BS687-1)*100)))</f>
        <v>13.812078690328789</v>
      </c>
      <c r="CC687" s="284">
        <v>828</v>
      </c>
      <c r="CD687" s="98">
        <f>IF(ISERROR((CC687/BU687-1)*100),"NA",IF(((CC687/BU687-1)*100)&gt;100,"NM",IF(((CC687/BU687-1)*100)&lt;-50,"NM",(CC687/BU687-1)*100)))</f>
        <v>4.3346774193548265</v>
      </c>
      <c r="CE687" s="284">
        <v>828.6</v>
      </c>
      <c r="CF687" s="98">
        <f>IF(ISERROR((CE687/BW687-1)*100),"NA",IF(((CE687/BW687-1)*100)&gt;100,"NM",IF(((CE687/BW687-1)*100)&lt;-50,"NM",(CE687/BW687-1)*100)))</f>
        <v>2.1953626048347497</v>
      </c>
      <c r="CG687" s="284">
        <v>830.5</v>
      </c>
      <c r="CH687" s="98">
        <f>IF(ISERROR((CG687/BY687-1)*100),"NA",IF(((CG687/BY687-1)*100)&gt;100,"NM",IF(((CG687/BY687-1)*100)&lt;-50,"NM",(CG687/BY687-1)*100)))</f>
        <v>0.65446612531814274</v>
      </c>
      <c r="CI687" s="284">
        <v>883.1</v>
      </c>
      <c r="CJ687" s="98">
        <f>IF(ISERROR((CI687/CA687-1)*100),"NA",IF(((CI687/CA687-1)*100)&gt;100,"NM",IF(((CI687/CA687-1)*100)&lt;-50,"NM",(CI687/CA687-1)*100)))</f>
        <v>6.7448325879366777</v>
      </c>
      <c r="CK687" s="284">
        <v>1014.9</v>
      </c>
      <c r="CL687" s="98">
        <f>IF(ISERROR((CK687/CC687-1)*100),"NA",IF(((CK687/CC687-1)*100)&gt;100,"NM",IF(((CK687/CC687-1)*100)&lt;-50,"NM",(CK687/CC687-1)*100)))</f>
        <v>22.572463768115945</v>
      </c>
      <c r="CM687" s="284">
        <v>1069.5</v>
      </c>
      <c r="CN687" s="98">
        <f>IF(ISERROR((CM687/CE687-1)*100),"NA",IF(((CM687/CE687-1)*100)&gt;100,"NM",IF(((CM687/CE687-1)*100)&lt;-50,"NM",(CM687/CE687-1)*100)))</f>
        <v>29.073135409123818</v>
      </c>
      <c r="CO687" s="284">
        <v>1071</v>
      </c>
      <c r="CP687" s="98">
        <f>IF(ISERROR((CO687/CG687-1)*100),"NA",IF(((CO687/CG687-1)*100)&gt;100,"NM",IF(((CO687/CG687-1)*100)&lt;-50,"NM",(CO687/CG687-1)*100)))</f>
        <v>28.958458759783269</v>
      </c>
      <c r="CQ687" s="562">
        <v>1066.2</v>
      </c>
      <c r="CR687" s="98">
        <f>IF(ISERROR((CQ687/CI687-1)*100),"NA",IF(((CQ687/CI687-1)*100)&gt;100,"NM",IF(((CQ687/CI687-1)*100)&lt;-50,"NM",(CQ687/CI687-1)*100)))</f>
        <v>20.733778734005213</v>
      </c>
      <c r="CS687" s="284">
        <v>1066.3</v>
      </c>
      <c r="CT687" s="98">
        <f>IF(ISERROR((CS687/CK687-1)*100),"NA",IF(((CS687/CK687-1)*100)&gt;100,"NM",IF(((CS687/CK687-1)*100)&lt;-50,"NM",(CS687/CK687-1)*100)))</f>
        <v>5.0645383781653397</v>
      </c>
      <c r="CU687" s="284">
        <v>1070.9000000000001</v>
      </c>
      <c r="CV687" s="98">
        <f>IF(ISERROR((CU687/CM687-1)*100),"NA",IF(((CU687/CM687-1)*100)&gt;100,"NM",IF(((CU687/CM687-1)*100)&lt;-50,"NM",(CU687/CM687-1)*100)))</f>
        <v>0.13090229079009141</v>
      </c>
      <c r="CW687" s="284">
        <v>1070</v>
      </c>
      <c r="CX687" s="98">
        <f>IF(ISERROR((CW687/CO687-1)*100),"NA",IF(((CW687/CO687-1)*100)&gt;100,"NM",IF(((CW687/CO687-1)*100)&lt;-50,"NM",(CW687/CO687-1)*100)))</f>
        <v>-9.3370681605975392E-2</v>
      </c>
      <c r="CY687" s="284">
        <v>1071</v>
      </c>
      <c r="CZ687" s="98">
        <f>IF(ISERROR((CY687/CQ687-1)*100),"NA",IF(((CY687/CQ687-1)*100)&gt;100,"NM",IF(((CY687/CQ687-1)*100)&lt;-50,"NM",(CY687/CQ687-1)*100)))</f>
        <v>0.45019696117050145</v>
      </c>
      <c r="DA687" s="197">
        <f>DA685+DA686</f>
        <v>1097.5</v>
      </c>
      <c r="DB687" s="98">
        <f>IF(ISERROR((DA687/CS687-1)*100),"NA",IF(((DA687/CS687-1)*100)&gt;100,"NM",IF(((DA687/CS687-1)*100)&lt;-50,"NM",(DA687/CS687-1)*100)))</f>
        <v>2.9260058144987333</v>
      </c>
      <c r="DC687" s="197">
        <f>DC685+DC686</f>
        <v>1103.9000000000001</v>
      </c>
      <c r="DD687" s="98">
        <f>IF(ISERROR((DC687/CU687-1)*100),"NA",IF(((DC687/CU687-1)*100)&gt;100,"NM",IF(((DC687/CU687-1)*100)&lt;-50,"NM",(DC687/CU687-1)*100)))</f>
        <v>3.08152021664021</v>
      </c>
      <c r="DE687" s="197">
        <f>DE685+DE686</f>
        <v>1106.7</v>
      </c>
      <c r="DF687" s="98">
        <f>IF(ISERROR((DE687/CW687-1)*100),"NA",IF(((DE687/CW687-1)*100)&gt;100,"NM",IF(((DE687/CW687-1)*100)&lt;-50,"NM",(DE687/CW687-1)*100)))</f>
        <v>3.4299065420560826</v>
      </c>
      <c r="DG687" s="197">
        <f>DG685+DG686</f>
        <v>1117.3000000000002</v>
      </c>
      <c r="DH687" s="98">
        <f>IF(ISERROR((DG687/CY687-1)*100),"NA",IF(((DG687/CY687-1)*100)&gt;100,"NM",IF(((DG687/CY687-1)*100)&lt;-50,"NM",(DG687/CY687-1)*100)))</f>
        <v>4.3230625583566828</v>
      </c>
      <c r="DI687" s="197">
        <f>DI685+DI686</f>
        <v>1138.1000000000001</v>
      </c>
      <c r="DJ687" s="98">
        <f>IF(ISERROR((DI687/DA687-1)*100),"NA",IF(((DI687/DA687-1)*100)&gt;100,"NM",IF(((DI687/DA687-1)*100)&lt;-50,"NM",(DI687/DA687-1)*100)))</f>
        <v>3.6993166287015988</v>
      </c>
      <c r="DK687" s="197">
        <f>DK685+DK686</f>
        <v>1140.5</v>
      </c>
      <c r="DL687" s="98">
        <f>IF(ISERROR((DK687/DC687-1)*100),"NA",IF(((DK687/DC687-1)*100)&gt;100,"NM",IF(((DK687/DC687-1)*100)&lt;-50,"NM",(DK687/DC687-1)*100)))</f>
        <v>3.3155177099374766</v>
      </c>
      <c r="DM687" s="197">
        <f>DM685+DM686</f>
        <v>1142.3</v>
      </c>
      <c r="DN687" s="98">
        <f>IF(ISERROR((DM687/DE687-1)*100),"NA",IF(((DM687/DE687-1)*100)&gt;100,"NM",IF(((DM687/DE687-1)*100)&lt;-50,"NM",(DM687/DE687-1)*100)))</f>
        <v>3.2167705791994239</v>
      </c>
      <c r="DO687" s="197">
        <f>DO685+DO686</f>
        <v>1141</v>
      </c>
      <c r="DP687" s="98">
        <f>IF(ISERROR((DO687/DG687-1)*100),"NA",IF(((DO687/DG687-1)*100)&gt;100,"NM",IF(((DO687/DG687-1)*100)&lt;-50,"NM",(DO687/DG687-1)*100)))</f>
        <v>2.1211849995524723</v>
      </c>
      <c r="DQ687" s="197">
        <f>DQ685+DQ686</f>
        <v>1147.3</v>
      </c>
      <c r="DR687" s="98">
        <f>IF(ISERROR((DQ687/DI687-1)*100),"NA",IF(((DQ687/DI687-1)*100)&gt;100,"NM",IF(((DQ687/DI687-1)*100)&lt;-50,"NM",(DQ687/DI687-1)*100)))</f>
        <v>0.80836481855723896</v>
      </c>
      <c r="DS687" s="197">
        <f>DS685+DS686</f>
        <v>1135.8</v>
      </c>
      <c r="DT687" s="98">
        <f>IF(ISERROR((DS687/DK687-1)*100),"NA",IF(((DS687/DK687-1)*100)&gt;100,"NM",IF(((DS687/DK687-1)*100)&lt;-50,"NM",(DS687/DK687-1)*100)))</f>
        <v>-0.41209995615958395</v>
      </c>
      <c r="DU687" s="197">
        <f>DU685+DU686</f>
        <v>1128.3999999999999</v>
      </c>
      <c r="DV687" s="98">
        <f>IF(ISERROR((DU687/DM687-1)*100),"NA",IF(((DU687/DM687-1)*100)&gt;100,"NM",IF(((DU687/DM687-1)*100)&lt;-50,"NM",(DU687/DM687-1)*100)))</f>
        <v>-1.2168432110653993</v>
      </c>
      <c r="DW687" s="197">
        <f>DW685+DW686</f>
        <v>1129.9000000000001</v>
      </c>
      <c r="DX687" s="98">
        <f>IF(ISERROR((DW687/DO687-1)*100),"NA",IF(((DW687/DO687-1)*100)&gt;100,"NM",IF(((DW687/DO687-1)*100)&lt;-50,"NM",(DW687/DO687-1)*100)))</f>
        <v>-0.97283085013145643</v>
      </c>
      <c r="DY687" s="197">
        <f>DY685+DY686</f>
        <v>1121.4000000000001</v>
      </c>
      <c r="DZ687" s="98">
        <f>IF(ISERROR((DY687/DQ687-1)*100),"NA",IF(((DY687/DQ687-1)*100)&gt;100,"NM",IF(((DY687/DQ687-1)*100)&lt;-50,"NM",(DY687/DQ687-1)*100)))</f>
        <v>-2.2574740695545992</v>
      </c>
      <c r="EA687" s="197">
        <f>EA685+EA686</f>
        <v>1108.5999999999999</v>
      </c>
      <c r="EB687" s="98">
        <f>IF(ISERROR((EA687/DS687-1)*100),"NA",IF(((EA687/DS687-1)*100)&gt;100,"NM",IF(((EA687/DS687-1)*100)&lt;-50,"NM",(EA687/DS687-1)*100)))</f>
        <v>-2.3947878147561275</v>
      </c>
      <c r="EC687" s="197">
        <f>EC685+EC686</f>
        <v>1109.0999999999999</v>
      </c>
      <c r="ED687" s="98">
        <f>IF(ISERROR((EC687/DU687-1)*100),"NA",IF(((EC687/DU687-1)*100)&gt;100,"NM",IF(((EC687/DU687-1)*100)&lt;-50,"NM",(EC687/DU687-1)*100)))</f>
        <v>-1.7103863878057401</v>
      </c>
      <c r="EE687" s="197">
        <f>EE685+EE686</f>
        <v>1109.3</v>
      </c>
      <c r="EF687" s="860">
        <f>IF(ISERROR((EE687/DW687-1)*100),"NA",IF(((EE687/DW687-1)*100)&gt;100,"NM",IF(((EE687/DW687-1)*100)&lt;-50,"NM",(EE687/DW687-1)*100)))</f>
        <v>-1.8231701920524035</v>
      </c>
      <c r="EG687" s="197">
        <f>EG685+EG686</f>
        <v>1108.8</v>
      </c>
      <c r="EH687" s="860">
        <f>IF(ISERROR((EG687/DY687-1)*100),"NA",IF(((EG687/DY687-1)*100)&gt;100,"NM",IF(((EG687/DY687-1)*100)&lt;-50,"NM",(EG687/DY687-1)*100)))</f>
        <v>-1.1235955056179914</v>
      </c>
      <c r="EI687" s="197">
        <f>EI685+EI686</f>
        <v>1098.7</v>
      </c>
      <c r="EJ687" s="860">
        <f t="shared" ref="EJ687" si="4138">IF(ISERROR((EI687/EA687-1)*100),"NA",IF(((EI687/EA687-1)*100)&gt;100,"NM",IF(((EI687/EA687-1)*100)&lt;-50,"NM",(EI687/EA687-1)*100)))</f>
        <v>-0.89301822117985319</v>
      </c>
      <c r="EK687" s="197">
        <f>EK685+EK686</f>
        <v>1082.0999999999999</v>
      </c>
      <c r="EL687" s="860">
        <f t="shared" ref="EL687" si="4139">IF(ISERROR((EK687/EC687-1)*100),"NA",IF(((EK687/EC687-1)*100)&gt;100,"NM",IF(((EK687/EC687-1)*100)&lt;-50,"NM",(EK687/EC687-1)*100)))</f>
        <v>-2.4344062753584028</v>
      </c>
      <c r="EM687" s="197">
        <f>EM685+EM686</f>
        <v>1071.5</v>
      </c>
      <c r="EN687" s="860">
        <f t="shared" ref="EN687" si="4140">IF(ISERROR((EM687/EE687-1)*100),"NA",IF(((EM687/EE687-1)*100)&gt;100,"NM",IF(((EM687/EE687-1)*100)&lt;-50,"NM",(EM687/EE687-1)*100)))</f>
        <v>-3.4075543135310471</v>
      </c>
      <c r="EO687" s="197">
        <f>EO685+EO686</f>
        <v>1062.0999999999999</v>
      </c>
      <c r="EP687" s="98">
        <f t="shared" ref="EP687" si="4141">IF(ISERROR((EO687/EG687-1)*100),"NA",IF(((EO687/EG687-1)*100)&gt;100,"NM",IF(((EO687/EG687-1)*100)&lt;-50,"NM",(EO687/EG687-1)*100)))</f>
        <v>-4.2117604617604609</v>
      </c>
      <c r="EQ687" s="1068">
        <f t="shared" ref="EQ687" si="4142">EQ685+EQ686</f>
        <v>1044.4256934896982</v>
      </c>
      <c r="ER687" s="98">
        <f t="shared" ref="ER687" si="4143">IF(ISERROR((EQ687/EI687-1)*100),"NA",IF(((EQ687/EI687-1)*100)&gt;100,"NM",IF(((EQ687/EI687-1)*100)&lt;-50,"NM",(EQ687/EI687-1)*100)))</f>
        <v>-4.9398658878949453</v>
      </c>
      <c r="ES687" s="1068">
        <f t="shared" ref="ES687" si="4144">ES685+ES686</f>
        <v>1026.9848439257951</v>
      </c>
      <c r="ET687" s="98">
        <f t="shared" ref="ET687" si="4145">IF(ISERROR((ES687/EK687-1)*100),"NA",IF(((ES687/EK687-1)*100)&gt;100,"NM",IF(((ES687/EK687-1)*100)&lt;-50,"NM",(ES687/EK687-1)*100)))</f>
        <v>-5.0933514531193875</v>
      </c>
      <c r="EU687" s="1068">
        <f t="shared" ref="EU687" si="4146">EU685+EU686</f>
        <v>1010.7657016995474</v>
      </c>
      <c r="EV687" s="98">
        <f t="shared" ref="EV687" si="4147">IF(ISERROR((EU687/EM687-1)*100),"NA",IF(((EU687/EM687-1)*100)&gt;100,"NM",IF(((EU687/EM687-1)*100)&lt;-50,"NM",(EU687/EM687-1)*100)))</f>
        <v>-5.6681566309335079</v>
      </c>
      <c r="EW687" s="1068">
        <f t="shared" ref="EW687" si="4148">EW685+EW686</f>
        <v>995.75082311949257</v>
      </c>
      <c r="EX687" s="98">
        <f t="shared" ref="EX687" si="4149">IF(ISERROR((EW687/EO687-1)*100),"NA",IF(((EW687/EO687-1)*100)&gt;100,"NM",IF(((EW687/EO687-1)*100)&lt;-50,"NM",(EW687/EO687-1)*100)))</f>
        <v>-6.2469802165998845</v>
      </c>
      <c r="EY687" s="373"/>
      <c r="EZ687" s="594"/>
      <c r="FA687" s="405"/>
      <c r="FB687" s="374">
        <v>786.2</v>
      </c>
      <c r="FC687" s="98"/>
      <c r="FD687" s="296">
        <v>786.2</v>
      </c>
      <c r="FE687" s="98">
        <f>IF(ISERROR((FD687/FB687-1)*100),"NA",IF(((FD687/FB687-1)*100)&gt;100,"NM",IF(((FD687/FB687-1)*100)&lt;-50,"NM",(FD687/FB687-1)*100)))</f>
        <v>0</v>
      </c>
      <c r="FF687" s="374">
        <v>787.6</v>
      </c>
      <c r="FG687" s="98">
        <f>IF(ISERROR((FF687/FD687-1)*100),"NA",IF(((FF687/FD687-1)*100)&gt;100,"NM",IF(((FF687/FD687-1)*100)&lt;-50,"NM",(FF687/FD687-1)*100)))</f>
        <v>0.17807173747137472</v>
      </c>
      <c r="FH687" s="373">
        <f>AVERAGE(K687,M687,O687,Q687)</f>
        <v>767.09999999999991</v>
      </c>
      <c r="FI687" s="98">
        <f>IF(ISERROR((FH687/FF687-1)*100),"NA",IF(((FH687/FF687-1)*100)&gt;100,"NM",IF(((FH687/FF687-1)*100)&lt;-50,"NM",(FH687/FF687-1)*100)))</f>
        <v>-2.6028440832910227</v>
      </c>
      <c r="FJ687" s="373">
        <f>AVERAGE(S687,U687,W687,Y687)</f>
        <v>729.25000000000011</v>
      </c>
      <c r="FK687" s="98">
        <f>IF(ISERROR((FJ687/FH687-1)*100),"NA",IF(((FJ687/FH687-1)*100)&gt;100,"NM",IF(((FJ687/FH687-1)*100)&lt;-50,"NM",(FJ687/FH687-1)*100)))</f>
        <v>-4.9341676443748872</v>
      </c>
      <c r="FL687" s="373">
        <f>AVERAGE(AA687,AC687,AE687,AG687)</f>
        <v>743.97499999999991</v>
      </c>
      <c r="FM687" s="98">
        <f>IF(ISERROR((FL687/FJ687-1)*100),"NA",IF(((FL687/FJ687-1)*100)&gt;100,"NM",IF(((FL687/FJ687-1)*100)&lt;-50,"NM",(FL687/FJ687-1)*100)))</f>
        <v>2.0191978059650006</v>
      </c>
      <c r="FN687" s="373">
        <f>AVERAGE(AI687,AK687,AM687,AO687)</f>
        <v>754.84999999999991</v>
      </c>
      <c r="FO687" s="98">
        <f>IF(ISERROR((FN687/FL687-1)*100),"NA",IF(((FN687/FL687-1)*100)&gt;100,"NM",IF(((FN687/FL687-1)*100)&lt;-50,"NM",(FN687/FL687-1)*100)))</f>
        <v>1.4617426660842092</v>
      </c>
      <c r="FP687" s="373">
        <f>AVERAGE(AQ687,AS687,AU687,AW687)</f>
        <v>755.1</v>
      </c>
      <c r="FQ687" s="98">
        <f>IF(ISERROR((FP687/FN687-1)*100),"NA",IF(((FP687/FN687-1)*100)&gt;100,"NM",IF(((FP687/FN687-1)*100)&lt;-50,"NM",(FP687/FN687-1)*100)))</f>
        <v>3.3119162747574649E-2</v>
      </c>
      <c r="FR687" s="373">
        <f>AVERAGE(AY687,BA687,BC687,BE687)</f>
        <v>771.37499999999989</v>
      </c>
      <c r="FS687" s="120">
        <f>IF(ISERROR((FR687/FP687-1)*100),"NA",IF(((FR687/FP687-1)*100)&gt;100,"NM",IF(((FR687/FP687-1)*100)&lt;-50,"NM",(FR687/FP687-1)*100)))</f>
        <v>2.1553436630909584</v>
      </c>
      <c r="FT687" s="373">
        <f>AVERAGE(BG687,BI687,BK687,BM687)</f>
        <v>762.375</v>
      </c>
      <c r="FU687" s="120">
        <f>IF(ISERROR((FT687/FR687-1)*100),"NA",IF(((FT687/FR687-1)*100)&gt;100,"NM",IF(((FT687/FR687-1)*100)&lt;-50,"NM",(FT687/FR687-1)*100)))</f>
        <v>-1.1667476908118424</v>
      </c>
      <c r="FV687" s="373">
        <f>AVERAGE(BO687,BQ687,BS687,BU687)-0.2</f>
        <v>744.72499999999991</v>
      </c>
      <c r="FW687" s="98">
        <f>IF(ISERROR((FV687/FT687-1)*100),"NA",IF(((FV687/FT687-1)*100)&gt;100,"NM",IF(((FV687/FT687-1)*100)&lt;-50,"NM",(FV687/FT687-1)*100)))</f>
        <v>-2.3151336284636947</v>
      </c>
      <c r="FX687" s="498">
        <f>AVERAGE(BW687,BY687,CA687,CC687)</f>
        <v>822.8</v>
      </c>
      <c r="FY687" s="98">
        <f>IF(ISERROR((FX687/FV687-1)*100),"NA",IF(((FX687/FV687-1)*100)&gt;100,"NM",IF(((FX687/FV687-1)*100)&lt;-50,"NM",(FX687/FV687-1)*100)))</f>
        <v>10.483735607103295</v>
      </c>
      <c r="FZ687" s="373">
        <f>AVERAGE(CK687,CI687,CG687,CE687)</f>
        <v>889.27499999999998</v>
      </c>
      <c r="GA687" s="98">
        <f>IF(ISERROR((FZ687/FX687-1)*100),"NA",IF(((FZ687/FX687-1)*100)&gt;100,"NM",IF(((FZ687/FX687-1)*100)&lt;-50,"NM",(FZ687/FX687-1)*100)))</f>
        <v>8.0791200777831751</v>
      </c>
      <c r="GB687" s="498">
        <f>AVERAGE(CS687,CQ687,CO687,CM687)</f>
        <v>1068.25</v>
      </c>
      <c r="GC687" s="98">
        <f>IF(ISERROR((GB687/FZ687-1)*100),"NA",IF(((GB687/FZ687-1)*100)&gt;100,"NM",IF(((GB687/FZ687-1)*100)&lt;-50,"NM",(GB687/FZ687-1)*100)))</f>
        <v>20.12594529251357</v>
      </c>
      <c r="GD687" s="373">
        <f>AVERAGE(DA687,CY687,CW687,CU687)</f>
        <v>1077.3499999999999</v>
      </c>
      <c r="GE687" s="98">
        <f>IF(ISERROR((GD687/GB687-1)*100),"NA",IF(((GD687/GB687-1)*100)&gt;100,"NM",IF(((GD687/GB687-1)*100)&lt;-50,"NM",(GD687/GB687-1)*100)))</f>
        <v>0.85186051954129205</v>
      </c>
      <c r="GF687" s="373">
        <f>AVERAGE(DI687,DG687,DE687,DC687)</f>
        <v>1116.5</v>
      </c>
      <c r="GG687" s="98">
        <f>IF(ISERROR((GF687/GD687-1)*100),"NA",IF(((GF687/GD687-1)*100)&gt;100,"NM",IF(((GF687/GD687-1)*100)&lt;-50,"NM",(GF687/GD687-1)*100)))</f>
        <v>3.6339165545087537</v>
      </c>
      <c r="GH687" s="373">
        <f>AVERAGE(DQ687,DO687,DM687,DK687)</f>
        <v>1142.7750000000001</v>
      </c>
      <c r="GI687" s="98">
        <f>IF(ISERROR((GH687/GF687-1)*100),"NA",IF(((GH687/GF687-1)*100)&gt;100,"NM",IF(((GH687/GF687-1)*100)&lt;-50,"NM",(GH687/GF687-1)*100)))</f>
        <v>2.3533363188535716</v>
      </c>
      <c r="GJ687" s="373">
        <f>AVERAGE(DY687,DW687,DU687,DS687)</f>
        <v>1128.875</v>
      </c>
      <c r="GK687" s="98">
        <f>IF(ISERROR((GJ687/GH687-1)*100),"NA",IF(((GJ687/GH687-1)*100)&gt;100,"NM",IF(((GJ687/GH687-1)*100)&lt;-50,"NM",(GJ687/GH687-1)*100)))</f>
        <v>-1.2163374242523783</v>
      </c>
      <c r="GL687" s="373">
        <f>AVERAGE(EG687,EE687,EC687,EA687)</f>
        <v>1108.9499999999998</v>
      </c>
      <c r="GM687" s="98">
        <f>IF(ISERROR((GL687/GJ687-1)*100),"NA",IF(((GL687/GJ687-1)*100)&gt;100,"NM",IF(((GL687/GJ687-1)*100)&lt;-50,"NM",(GL687/GJ687-1)*100)))</f>
        <v>-1.7650315579670228</v>
      </c>
      <c r="GN687" s="373">
        <f>AVERAGE(EO687,EM687,EK687,EI687)</f>
        <v>1078.5999999999999</v>
      </c>
      <c r="GO687" s="98">
        <f>IF(ISERROR((GN687/GL687-1)*100),"NA",IF(((GN687/GL687-1)*100)&gt;100,"NM",IF(((GN687/GL687-1)*100)&lt;-50,"NM",(GN687/GL687-1)*100)))</f>
        <v>-2.7368231209702776</v>
      </c>
      <c r="GP687" s="373">
        <f>AVERAGE(EW687,EU687,ES687,EQ687)</f>
        <v>1019.4817655586335</v>
      </c>
      <c r="GQ687" s="98">
        <f>IF(ISERROR((GP687/GN687-1)*100),"NA",IF(((GP687/GN687-1)*100)&gt;100,"NM",IF(((GP687/GN687-1)*100)&lt;-50,"NM",(GP687/GN687-1)*100)))</f>
        <v>-5.4810156166666513</v>
      </c>
      <c r="GR687" s="373">
        <f>GR685+GR686</f>
        <v>960.04930814073145</v>
      </c>
      <c r="GS687" s="98">
        <f>IF(ISERROR((GR687/GP687-1)*100),"NA",IF(((GR687/GP687-1)*100)&gt;100,"NM",IF(((GR687/GP687-1)*100)&lt;-50,"NM",(GR687/GP687-1)*100)))</f>
        <v>-5.8296734111115249</v>
      </c>
      <c r="GT687" s="373">
        <f>GT685+GT686</f>
        <v>912.66471844627222</v>
      </c>
      <c r="GU687" s="98">
        <f>IF(ISERROR((GT687/GR687-1)*100),"NA",IF(((GT687/GR687-1)*100)&gt;100,"NM",IF(((GT687/GR687-1)*100)&lt;-50,"NM",(GT687/GR687-1)*100)))</f>
        <v>-4.9356412522421405</v>
      </c>
      <c r="GV687" s="373">
        <f>GV685+GV686</f>
        <v>858.50436396360521</v>
      </c>
      <c r="GW687" s="98">
        <f>IF(ISERROR((GV687/GT687-1)*100),"NA",IF(((GV687/GT687-1)*100)&gt;100,"NM",IF(((GV687/GT687-1)*100)&lt;-50,"NM",(GV687/GT687-1)*100)))</f>
        <v>-5.9343100908809117</v>
      </c>
      <c r="GX687" s="373">
        <f>GX685+GX686</f>
        <v>812.3337840138347</v>
      </c>
      <c r="GY687" s="98">
        <f>IF(ISERROR((GX687/GV687-1)*100),"NA",IF(((GX687/GV687-1)*100)&gt;100,"NM",IF(((GX687/GV687-1)*100)&lt;-50,"NM",(GX687/GV687-1)*100)))</f>
        <v>-5.3780250733504564</v>
      </c>
      <c r="GZ687" s="98">
        <f>IF(ISERROR(((GX687/GN687)^0.2-1)*100),"NA",IF((((GX687/GN687)^0.2-1)*100)&gt;100,"NM",IF((((GX687/GN687)^0.2-1)*100)&lt;-50,"NM",((GX687/GN687)^0.2-1)*100)))</f>
        <v>-5.5123995842953022</v>
      </c>
      <c r="HA687" s="98"/>
      <c r="HB687" s="10"/>
      <c r="HC687"/>
      <c r="HD687"/>
      <c r="HE687"/>
      <c r="HF687"/>
      <c r="HG687"/>
      <c r="HH687"/>
      <c r="HI687" s="10"/>
    </row>
    <row r="688" spans="1:217" s="2" customFormat="1" ht="12.75" customHeight="1" x14ac:dyDescent="0.2">
      <c r="B688" s="179"/>
      <c r="C688" s="244"/>
      <c r="D688" s="113"/>
      <c r="E688" s="244"/>
      <c r="F688" s="113"/>
      <c r="G688" s="244"/>
      <c r="H688" s="113"/>
      <c r="I688" s="244"/>
      <c r="J688" s="98"/>
      <c r="K688" s="244"/>
      <c r="L688" s="98"/>
      <c r="M688" s="244"/>
      <c r="N688" s="98"/>
      <c r="O688" s="244"/>
      <c r="P688" s="98"/>
      <c r="Q688" s="244"/>
      <c r="R688" s="98"/>
      <c r="S688" s="244"/>
      <c r="T688" s="98"/>
      <c r="U688" s="244"/>
      <c r="V688" s="98"/>
      <c r="W688" s="244"/>
      <c r="X688" s="98"/>
      <c r="Y688" s="244"/>
      <c r="Z688" s="98"/>
      <c r="AA688" s="135"/>
      <c r="AB688" s="98"/>
      <c r="AC688" s="135"/>
      <c r="AD688" s="98"/>
      <c r="AE688" s="135"/>
      <c r="AF688" s="98"/>
      <c r="AG688" s="135"/>
      <c r="AH688" s="98"/>
      <c r="AI688" s="135"/>
      <c r="AJ688" s="98"/>
      <c r="AK688" s="135"/>
      <c r="AL688" s="98"/>
      <c r="AM688" s="135"/>
      <c r="AN688" s="98"/>
      <c r="AO688" s="313"/>
      <c r="AP688" s="98"/>
      <c r="AQ688" s="135"/>
      <c r="AR688" s="98"/>
      <c r="AS688" s="135"/>
      <c r="AT688" s="98"/>
      <c r="AU688" s="135"/>
      <c r="AV688" s="98"/>
      <c r="AW688" s="135"/>
      <c r="AX688" s="98"/>
      <c r="AY688" s="135"/>
      <c r="AZ688" s="98"/>
      <c r="BA688" s="135"/>
      <c r="BB688" s="98"/>
      <c r="BC688" s="135"/>
      <c r="BD688" s="98"/>
      <c r="BE688" s="135"/>
      <c r="BF688" s="98"/>
      <c r="BG688" s="135"/>
      <c r="BH688" s="98"/>
      <c r="BI688" s="135"/>
      <c r="BJ688" s="98"/>
      <c r="BK688" s="135"/>
      <c r="BL688" s="33"/>
      <c r="BM688" s="41"/>
      <c r="BN688" s="33"/>
      <c r="BO688" s="41"/>
      <c r="BP688" s="33"/>
      <c r="BQ688" s="41"/>
      <c r="BR688" s="33"/>
      <c r="BS688" s="41"/>
      <c r="BT688" s="98"/>
      <c r="BU688" s="135"/>
      <c r="BV688" s="98"/>
      <c r="BW688" s="135"/>
      <c r="BX688" s="98"/>
      <c r="BY688" s="135"/>
      <c r="BZ688" s="98"/>
      <c r="CA688" s="135"/>
      <c r="CB688" s="98"/>
      <c r="CC688" s="135"/>
      <c r="CD688" s="98"/>
      <c r="CE688" s="135"/>
      <c r="CF688" s="98"/>
      <c r="CG688" s="135"/>
      <c r="CH688" s="98"/>
      <c r="CI688" s="135"/>
      <c r="CJ688" s="98"/>
      <c r="CK688" s="135"/>
      <c r="CL688" s="98"/>
      <c r="CM688" s="135"/>
      <c r="CN688" s="98"/>
      <c r="CO688" s="135"/>
      <c r="CP688" s="98"/>
      <c r="CQ688" s="554"/>
      <c r="CR688" s="98"/>
      <c r="CS688" s="135"/>
      <c r="CT688" s="98"/>
      <c r="CU688" s="135"/>
      <c r="CV688" s="98"/>
      <c r="CW688" s="135"/>
      <c r="CX688" s="98"/>
      <c r="CY688" s="135"/>
      <c r="CZ688" s="98"/>
      <c r="DA688" s="135"/>
      <c r="DB688" s="98"/>
      <c r="DC688" s="135"/>
      <c r="DD688" s="98"/>
      <c r="DE688" s="135"/>
      <c r="DF688" s="98"/>
      <c r="DG688" s="135"/>
      <c r="DH688" s="98"/>
      <c r="DI688" s="135"/>
      <c r="DJ688" s="98"/>
      <c r="DK688" s="135"/>
      <c r="DL688" s="98"/>
      <c r="DM688" s="135"/>
      <c r="DN688" s="98"/>
      <c r="DO688" s="135"/>
      <c r="DP688" s="98"/>
      <c r="DQ688" s="135"/>
      <c r="DR688" s="98"/>
      <c r="DS688" s="135"/>
      <c r="DT688" s="98"/>
      <c r="DU688" s="135"/>
      <c r="DV688" s="98"/>
      <c r="DW688" s="135"/>
      <c r="DX688" s="98"/>
      <c r="DY688" s="135"/>
      <c r="DZ688" s="98"/>
      <c r="EA688" s="135"/>
      <c r="EB688" s="98"/>
      <c r="EC688" s="135"/>
      <c r="ED688" s="98"/>
      <c r="EE688" s="135"/>
      <c r="EF688" s="860"/>
      <c r="EG688" s="135"/>
      <c r="EH688" s="860"/>
      <c r="EI688" s="135"/>
      <c r="EJ688" s="860"/>
      <c r="EK688" s="135"/>
      <c r="EL688" s="860"/>
      <c r="EM688" s="135"/>
      <c r="EN688" s="860"/>
      <c r="EO688" s="135"/>
      <c r="EP688" s="98"/>
      <c r="EQ688" s="1069"/>
      <c r="ER688" s="98"/>
      <c r="ES688" s="1069"/>
      <c r="ET688" s="98"/>
      <c r="EU688" s="1069"/>
      <c r="EV688" s="98"/>
      <c r="EW688" s="1069"/>
      <c r="EX688" s="98"/>
      <c r="EY688" s="375"/>
      <c r="EZ688" s="594"/>
      <c r="FA688" s="405"/>
      <c r="FB688" s="244"/>
      <c r="FC688" s="113"/>
      <c r="FD688" s="244"/>
      <c r="FE688" s="113"/>
      <c r="FF688" s="244"/>
      <c r="FG688" s="113"/>
      <c r="FH688" s="244"/>
      <c r="FI688" s="113"/>
      <c r="FJ688" s="244"/>
      <c r="FK688" s="113"/>
      <c r="FL688" s="244"/>
      <c r="FM688" s="113"/>
      <c r="FN688" s="244"/>
      <c r="FO688" s="113"/>
      <c r="FP688" s="306"/>
      <c r="FQ688" s="113"/>
      <c r="FR688" s="376"/>
      <c r="FS688" s="116"/>
      <c r="FT688" s="376"/>
      <c r="FU688" s="116"/>
      <c r="FV688" s="376"/>
      <c r="FW688" s="98"/>
      <c r="FX688" s="530"/>
      <c r="FY688" s="98"/>
      <c r="FZ688" s="376"/>
      <c r="GA688" s="98"/>
      <c r="GB688" s="530"/>
      <c r="GC688" s="98"/>
      <c r="GD688" s="376"/>
      <c r="GE688" s="98"/>
      <c r="GF688" s="376"/>
      <c r="GG688" s="98"/>
      <c r="GH688" s="376"/>
      <c r="GI688" s="98"/>
      <c r="GJ688" s="372"/>
      <c r="GK688" s="98"/>
      <c r="GL688" s="372"/>
      <c r="GM688" s="98"/>
      <c r="GN688" s="372"/>
      <c r="GO688" s="98"/>
      <c r="GP688" s="372"/>
      <c r="GQ688" s="98"/>
      <c r="GR688" s="375"/>
      <c r="GS688" s="98"/>
      <c r="GT688" s="375"/>
      <c r="GU688" s="98"/>
      <c r="GV688" s="375"/>
      <c r="GW688" s="98"/>
      <c r="GX688" s="375"/>
      <c r="GY688" s="98"/>
      <c r="GZ688" s="98"/>
      <c r="HA688" s="98"/>
      <c r="HB688" s="10"/>
      <c r="HC688"/>
      <c r="HD688"/>
      <c r="HE688"/>
      <c r="HF688"/>
      <c r="HG688"/>
      <c r="HH688"/>
      <c r="HI688" s="10"/>
    </row>
    <row r="689" spans="1:217" s="5" customFormat="1" ht="12.75" customHeight="1" x14ac:dyDescent="0.2">
      <c r="A689" s="2" t="s">
        <v>35</v>
      </c>
      <c r="B689" s="131" t="s">
        <v>623</v>
      </c>
      <c r="C689" s="377">
        <f>ROUND(C626/C$687,2)</f>
        <v>0.49</v>
      </c>
      <c r="D689" s="378"/>
      <c r="E689" s="377">
        <f>ROUND(E626/E$687,2)</f>
        <v>0.48</v>
      </c>
      <c r="F689" s="378"/>
      <c r="G689" s="377">
        <f>ROUND(G626/G$687,2)</f>
        <v>0.49</v>
      </c>
      <c r="H689" s="378"/>
      <c r="I689" s="377">
        <f>ROUND(I626/I$687,2)</f>
        <v>0.51</v>
      </c>
      <c r="J689" s="98"/>
      <c r="K689" s="377">
        <f>ROUND(K626/K$687,2)</f>
        <v>0.49</v>
      </c>
      <c r="L689" s="98">
        <f>IF(ISERROR((K689/C689-1)*100),"NA",IF(((K689/C689-1)*100)&gt;100,"NM",IF(((K689/C689-1)*100)&lt;-50,"NM",(K689/C689-1)*100)))</f>
        <v>0</v>
      </c>
      <c r="M689" s="377">
        <f>ROUND(M626/M$687,2)</f>
        <v>0.54</v>
      </c>
      <c r="N689" s="98">
        <f>IF(ISERROR((M689/E689-1)*100),"NA",IF(((M689/E689-1)*100)&gt;100,"NM",IF(((M689/E689-1)*100)&lt;-50,"NM",(M689/E689-1)*100)))</f>
        <v>12.500000000000021</v>
      </c>
      <c r="O689" s="377">
        <f>ROUND(O626/O$687,2)</f>
        <v>0.3</v>
      </c>
      <c r="P689" s="98">
        <f>IF(ISERROR((O689/G689-1)*100),"NA",IF(((O689/G689-1)*100)&gt;100,"NM",IF(((O689/G689-1)*100)&lt;-50,"NM",(O689/G689-1)*100)))</f>
        <v>-38.775510204081634</v>
      </c>
      <c r="Q689" s="377">
        <f>ROUND(Q626/Q$687,2)</f>
        <v>-0.17</v>
      </c>
      <c r="R689" s="98" t="str">
        <f>IF(ISERROR((Q689/I689-1)*100),"NA",IF(((Q689/I689-1)*100)&gt;100,"NM",IF(((Q689/I689-1)*100)&lt;-50,"NM",(Q689/I689-1)*100)))</f>
        <v>NM</v>
      </c>
      <c r="S689" s="377">
        <f>ROUND(S626/S$687,2)</f>
        <v>0.54</v>
      </c>
      <c r="T689" s="98">
        <f>IF(ISERROR((S689/K689-1)*100),"NA",IF(((S689/K689-1)*100)&gt;100,"NM",IF(((S689/K689-1)*100)&lt;-50,"NM",(S689/K689-1)*100)))</f>
        <v>10.204081632653072</v>
      </c>
      <c r="U689" s="377">
        <f>ROUND(U626/U$687,2)</f>
        <v>0.69</v>
      </c>
      <c r="V689" s="98">
        <f>IF(ISERROR((U689/M689-1)*100),"NA",IF(((U689/M689-1)*100)&gt;100,"NM",IF(((U689/M689-1)*100)&lt;-50,"NM",(U689/M689-1)*100)))</f>
        <v>27.777777777777768</v>
      </c>
      <c r="W689" s="377">
        <f>ROUND(W626/W$687,2)</f>
        <v>0.69</v>
      </c>
      <c r="X689" s="98" t="str">
        <f>IF(ISERROR((W689/O689-1)*100),"NA",IF(((W689/O689-1)*100)&gt;100,"NM",IF(((W689/O689-1)*100)&lt;-50,"NM",(W689/O689-1)*100)))</f>
        <v>NM</v>
      </c>
      <c r="Y689" s="377">
        <f>ROUND(Y626/Y$687,2)</f>
        <v>0.47</v>
      </c>
      <c r="Z689" s="98" t="str">
        <f>IF(ISERROR((Y689/Q689-1)*100),"NA",IF(((Y689/Q689-1)*100)&gt;100,"NM",IF(((Y689/Q689-1)*100)&lt;-50,"NM",(Y689/Q689-1)*100)))</f>
        <v>NM</v>
      </c>
      <c r="AA689" s="377">
        <f>ROUND(AA626/AA$687,2)</f>
        <v>0.62</v>
      </c>
      <c r="AB689" s="98">
        <f>IF(ISERROR((AA689/S689-1)*100),"NA",IF(((AA689/S689-1)*100)&gt;100,"NM",IF(((AA689/S689-1)*100)&lt;-50,"NM",(AA689/S689-1)*100)))</f>
        <v>14.814814814814813</v>
      </c>
      <c r="AC689" s="437">
        <f>ROUND(AC626/AC$687,2)-0.01</f>
        <v>0.84</v>
      </c>
      <c r="AD689" s="98">
        <f>IF(ISERROR((AC689/U689-1)*100),"NA",IF(((AC689/U689-1)*100)&gt;100,"NM",IF(((AC689/U689-1)*100)&lt;-50,"NM",(AC689/U689-1)*100)))</f>
        <v>21.739130434782616</v>
      </c>
      <c r="AE689" s="377">
        <f>ROUND(AE626/AE$687,2)</f>
        <v>0.81</v>
      </c>
      <c r="AF689" s="98">
        <f>IF(ISERROR((AE689/W689-1)*100),"NA",IF(((AE689/W689-1)*100)&gt;100,"NM",IF(((AE689/W689-1)*100)&lt;-50,"NM",(AE689/W689-1)*100)))</f>
        <v>17.391304347826097</v>
      </c>
      <c r="AG689" s="379">
        <f>ROUND(AG626/AG$687,2)</f>
        <v>0.74</v>
      </c>
      <c r="AH689" s="98">
        <f>IF(ISERROR((AG689/Y689-1)*100),"NA",IF(((AG689/Y689-1)*100)&gt;100,"NM",IF(((AG689/Y689-1)*100)&lt;-50,"NM",(AG689/Y689-1)*100)))</f>
        <v>57.446808510638306</v>
      </c>
      <c r="AI689" s="379">
        <f>ROUND(AI626/AI$687,2)</f>
        <v>0.78</v>
      </c>
      <c r="AJ689" s="98">
        <f>IF(ISERROR((AI689/AA689-1)*100),"NA",IF(((AI689/AA689-1)*100)&gt;100,"NM",IF(((AI689/AA689-1)*100)&lt;-50,"NM",(AI689/AA689-1)*100)))</f>
        <v>25.806451612903224</v>
      </c>
      <c r="AK689" s="379">
        <f>ROUND(AK626/AK$687,2)</f>
        <v>1.01</v>
      </c>
      <c r="AL689" s="98">
        <f>IF(ISERROR((AK689/AC689-1)*100),"NA",IF(((AK689/AC689-1)*100)&gt;100,"NM",IF(((AK689/AC689-1)*100)&lt;-50,"NM",(AK689/AC689-1)*100)))</f>
        <v>20.238095238095234</v>
      </c>
      <c r="AM689" s="379">
        <f>ROUND(AM626/AM$687,2)</f>
        <v>0.82</v>
      </c>
      <c r="AN689" s="98">
        <f>IF(ISERROR((AM689/AE689-1)*100),"NA",IF(((AM689/AE689-1)*100)&gt;100,"NM",IF(((AM689/AE689-1)*100)&lt;-50,"NM",(AM689/AE689-1)*100)))</f>
        <v>1.2345679012345512</v>
      </c>
      <c r="AO689" s="379">
        <f>ROUND(AO626/AO$687,2)</f>
        <v>0.88</v>
      </c>
      <c r="AP689" s="98">
        <f>IF(ISERROR((AO689/AG689-1)*100),"NA",IF(((AO689/AG689-1)*100)&gt;100,"NM",IF(((AO689/AG689-1)*100)&lt;-50,"NM",(AO689/AG689-1)*100)))</f>
        <v>18.918918918918926</v>
      </c>
      <c r="AQ689" s="379">
        <f>ROUND(AQ626/AQ$687,2)</f>
        <v>1.1100000000000001</v>
      </c>
      <c r="AR689" s="98">
        <f>IF(ISERROR((AQ689/AI689-1)*100),"NA",IF(((AQ689/AI689-1)*100)&gt;100,"NM",IF(((AQ689/AI689-1)*100)&lt;-50,"NM",(AQ689/AI689-1)*100)))</f>
        <v>42.307692307692314</v>
      </c>
      <c r="AS689" s="379">
        <f>ROUND(AS626/AS$687,2)</f>
        <v>1.17</v>
      </c>
      <c r="AT689" s="98">
        <f>IF(ISERROR((AS689/AK689-1)*100),"NA",IF(((AS689/AK689-1)*100)&gt;100,"NM",IF(((AS689/AK689-1)*100)&lt;-50,"NM",(AS689/AK689-1)*100)))</f>
        <v>15.841584158415834</v>
      </c>
      <c r="AU689" s="379">
        <f>ROUND(AU626/AU$687,2)</f>
        <v>1.01</v>
      </c>
      <c r="AV689" s="98">
        <f>IF(ISERROR((AU689/AM689-1)*100),"NA",IF(((AU689/AM689-1)*100)&gt;100,"NM",IF(((AU689/AM689-1)*100)&lt;-50,"NM",(AU689/AM689-1)*100)))</f>
        <v>23.170731707317071</v>
      </c>
      <c r="AW689" s="379">
        <f>ROUND(AW626/AW$687,2)</f>
        <v>1.04</v>
      </c>
      <c r="AX689" s="98">
        <f>IF(ISERROR((AW689/AO689-1)*100),"NA",IF(((AW689/AO689-1)*100)&gt;100,"NM",IF(((AW689/AO689-1)*100)&lt;-50,"NM",(AW689/AO689-1)*100)))</f>
        <v>18.181818181818187</v>
      </c>
      <c r="AY689" s="379">
        <f>AY626/AY$687</f>
        <v>1.334547346514048</v>
      </c>
      <c r="AZ689" s="98">
        <f>IF(ISERROR((AY689/AQ689-1)*100),"NA",IF(((AY689/AQ689-1)*100)&gt;100,"NM",IF(((AY689/AQ689-1)*100)&lt;-50,"NM",(AY689/AQ689-1)*100)))</f>
        <v>20.229490676941264</v>
      </c>
      <c r="BA689" s="379">
        <f>BA626/BA$687</f>
        <v>1.2780880633848553</v>
      </c>
      <c r="BB689" s="98">
        <f>IF(ISERROR((BA689/AS689-1)*100),"NA",IF(((BA689/AS689-1)*100)&gt;100,"NM",IF(((BA689/AS689-1)*100)&lt;-50,"NM",(BA689/AS689-1)*100)))</f>
        <v>9.2382960157995964</v>
      </c>
      <c r="BC689" s="379">
        <f>BC626/BC$687</f>
        <v>1.2382060230063332</v>
      </c>
      <c r="BD689" s="98">
        <f>IF(ISERROR((BC689/AU689-1)*100),"NA",IF(((BC689/AU689-1)*100)&gt;100,"NM",IF(((BC689/AU689-1)*100)&lt;-50,"NM",(BC689/AU689-1)*100)))</f>
        <v>22.594655743201297</v>
      </c>
      <c r="BE689" s="379">
        <f>BE626/BE$687</f>
        <v>1.3633423877894191</v>
      </c>
      <c r="BF689" s="98">
        <f>IF(ISERROR((BE689/AW689-1)*100),"NA",IF(((BE689/AW689-1)*100)&gt;100,"NM",IF(((BE689/AW689-1)*100)&lt;-50,"NM",(BE689/AW689-1)*100)))</f>
        <v>31.090614210521061</v>
      </c>
      <c r="BG689" s="379">
        <f>BG626/BG$687</f>
        <v>1.4068391626576517</v>
      </c>
      <c r="BH689" s="98">
        <f>IF(ISERROR((BG689/AY689-1)*100),"NA",IF(((BG689/AY689-1)*100)&gt;100,"NM",IF(((BG689/AY689-1)*100)&lt;-50,"NM",(BG689/AY689-1)*100)))</f>
        <v>5.4169540205850408</v>
      </c>
      <c r="BI689" s="379">
        <f>BI626/BI$687</f>
        <v>1.7168674698795181</v>
      </c>
      <c r="BJ689" s="98">
        <f>IF(ISERROR((BI689/BA689-1)*100),"NA",IF(((BI689/BA689-1)*100)&gt;100,"NM",IF(((BI689/BA689-1)*100)&lt;-50,"NM",(BI689/BA689-1)*100)))</f>
        <v>34.330921245959445</v>
      </c>
      <c r="BK689" s="379">
        <f>BK626/BK$687</f>
        <v>1.4592893667234823</v>
      </c>
      <c r="BL689" s="33">
        <f>IF(ISERROR((BK689/BC689-1)*100),"NA",IF(((BK689/BC689-1)*100)&gt;100,"NM",IF(((BK689/BC689-1)*100)&lt;-50,"NM",(BK689/BC689-1)*100)))</f>
        <v>17.855133928388135</v>
      </c>
      <c r="BM689" s="381">
        <f>ROUND(BM626/BM$687,2)</f>
        <v>1.54</v>
      </c>
      <c r="BN689" s="33">
        <f>IF(ISERROR((BM689/BE689-1)*100),"NA",IF(((BM689/BE689-1)*100)&gt;100,"NM",IF(((BM689/BE689-1)*100)&lt;-50,"NM",(BM689/BE689-1)*100)))</f>
        <v>12.957685009487685</v>
      </c>
      <c r="BO689" s="381">
        <f>BO626/BO$687</f>
        <v>1.4630817524225466</v>
      </c>
      <c r="BP689" s="33">
        <f>IF(ISERROR((BO689/BG689-1)*100),"NA",IF(((BO689/BG689-1)*100)&gt;100,"NM",IF(((BO689/BG689-1)*100)&lt;-50,"NM",(BO689/BG689-1)*100)))</f>
        <v>3.9977981319945011</v>
      </c>
      <c r="BQ689" s="379">
        <f>BQ626/BQ$687</f>
        <v>1.2209222298692362</v>
      </c>
      <c r="BR689" s="33">
        <f>IF(ISERROR((BQ689/BI689-1)*100),"NA",IF(((BQ689/BI689-1)*100)&gt;100,"NM",IF(((BQ689/BI689-1)*100)&lt;-50,"NM",(BQ689/BI689-1)*100)))</f>
        <v>-28.886635032177821</v>
      </c>
      <c r="BS689" s="379">
        <f>BS626/BS$687</f>
        <v>0.83642866969321783</v>
      </c>
      <c r="BT689" s="98">
        <f>IF(ISERROR((BS689/BK689-1)*100),"NA",IF(((BS689/BK689-1)*100)&gt;100,"NM",IF(((BS689/BK689-1)*100)&lt;-50,"NM",(BS689/BK689-1)*100)))</f>
        <v>-42.682466632972393</v>
      </c>
      <c r="BU689" s="379">
        <f>BU626/BU$687</f>
        <v>-5.9223790322580641E-2</v>
      </c>
      <c r="BV689" s="98" t="str">
        <f>IF(ISERROR((BU689/BM689-1)*100),"NA",IF(((BU689/BM689-1)*100)&gt;100,"NM",IF(((BU689/BM689-1)*100)&lt;-50,"NM",(BU689/BM689-1)*100)))</f>
        <v>NM</v>
      </c>
      <c r="BW689" s="379">
        <f>BW626/BW$687</f>
        <v>-7.2767636901825361E-2</v>
      </c>
      <c r="BX689" s="98" t="str">
        <f>IF(ISERROR((BW689/BO689-1)*100),"NA",IF(((BW689/BO689-1)*100)&gt;100,"NM",IF(((BW689/BO689-1)*100)&lt;-50,"NM",(BW689/BO689-1)*100)))</f>
        <v>NM</v>
      </c>
      <c r="BY689" s="379">
        <f>BY626/BY$687</f>
        <v>0.17331232577869349</v>
      </c>
      <c r="BZ689" s="98" t="str">
        <f>IF(ISERROR((BY689/BQ689-1)*100),"NA",IF(((BY689/BQ689-1)*100)&gt;100,"NM",IF(((BY689/BQ689-1)*100)&lt;-50,"NM",(BY689/BQ689-1)*100)))</f>
        <v>NM</v>
      </c>
      <c r="CA689" s="379">
        <f>CA626/CA$687</f>
        <v>0.17526894717756558</v>
      </c>
      <c r="CB689" s="98" t="str">
        <f>IF(ISERROR((CA689/BS689-1)*100),"NA",IF(((CA689/BS689-1)*100)&gt;100,"NM",IF(((CA689/BS689-1)*100)&lt;-50,"NM",(CA689/BS689-1)*100)))</f>
        <v>NM</v>
      </c>
      <c r="CC689" s="379">
        <f>CC626/CC$687</f>
        <v>3.9855072463768113E-2</v>
      </c>
      <c r="CD689" s="98" t="str">
        <f>IF(ISERROR((CC689/BU689-1)*100),"NA",IF(((CC689/BU689-1)*100)&gt;100,"NM",IF(((CC689/BU689-1)*100)&lt;-50,"NM",(CC689/BU689-1)*100)))</f>
        <v>NM</v>
      </c>
      <c r="CE689" s="379">
        <f>CE626/CE$687</f>
        <v>0.28964518464880523</v>
      </c>
      <c r="CF689" s="98" t="str">
        <f>IF(ISERROR((CE689/BW689-1)*100),"NA",IF(((CE689/BW689-1)*100)&gt;100,"NM",IF(((CE689/BW689-1)*100)&lt;-50,"NM",(CE689/BW689-1)*100)))</f>
        <v>NM</v>
      </c>
      <c r="CG689" s="379">
        <f>CG626/CG$687</f>
        <v>0.32390126429861527</v>
      </c>
      <c r="CH689" s="98">
        <f>IF(ISERROR((CG689/BY689-1)*100),"NA",IF(((CG689/BY689-1)*100)&gt;100,"NM",IF(((CG689/BY689-1)*100)&lt;-50,"NM",(CG689/BY689-1)*100)))</f>
        <v>86.888764456494741</v>
      </c>
      <c r="CI689" s="379">
        <f>CI626/CI$687</f>
        <v>0.21854829577624277</v>
      </c>
      <c r="CJ689" s="98">
        <f>IF(ISERROR((CI689/CA689-1)*100),"NA",IF(((CI689/CA689-1)*100)&gt;100,"NM",IF(((CI689/CA689-1)*100)&lt;-50,"NM",(CI689/CA689-1)*100)))</f>
        <v>24.693106962541812</v>
      </c>
      <c r="CK689" s="379">
        <f>CK626/CK$687</f>
        <v>0.57444083160902548</v>
      </c>
      <c r="CL689" s="98" t="str">
        <f>IF(ISERROR((CK689/CC689-1)*100),"NA",IF(((CK689/CC689-1)*100)&gt;100,"NM",IF(((CK689/CC689-1)*100)&lt;-50,"NM",(CK689/CC689-1)*100)))</f>
        <v>NM</v>
      </c>
      <c r="CM689" s="379">
        <f>CM626/CM$687</f>
        <v>0.65825151940158955</v>
      </c>
      <c r="CN689" s="98" t="str">
        <f>IF(ISERROR((CM689/CE689-1)*100),"NA",IF(((CM689/CE689-1)*100)&gt;100,"NM",IF(((CM689/CE689-1)*100)&lt;-50,"NM",(CM689/CE689-1)*100)))</f>
        <v>NM</v>
      </c>
      <c r="CO689" s="379">
        <f>CO626/CO$687</f>
        <v>0.60317460317460314</v>
      </c>
      <c r="CP689" s="98">
        <f>IF(ISERROR((CO689/CG689-1)*100),"NA",IF(((CO689/CG689-1)*100)&gt;100,"NM",IF(((CO689/CG689-1)*100)&lt;-50,"NM",(CO689/CG689-1)*100)))</f>
        <v>86.22175016227061</v>
      </c>
      <c r="CQ689" s="531">
        <f>CQ626/CQ$687</f>
        <v>0.70437066216469701</v>
      </c>
      <c r="CR689" s="98" t="str">
        <f>IF(ISERROR((CQ689/CI689-1)*100),"NA",IF(((CQ689/CI689-1)*100)&gt;100,"NM",IF(((CQ689/CI689-1)*100)&lt;-50,"NM",(CQ689/CI689-1)*100)))</f>
        <v>NM</v>
      </c>
      <c r="CS689" s="379">
        <f>CS626/CS$687</f>
        <v>0.75025790115352153</v>
      </c>
      <c r="CT689" s="98">
        <f>IF(ISERROR((CS689/CK689-1)*100),"NA",IF(((CS689/CK689-1)*100)&gt;100,"NM",IF(((CS689/CK689-1)*100)&lt;-50,"NM",(CS689/CK689-1)*100)))</f>
        <v>30.606645605610481</v>
      </c>
      <c r="CU689" s="379">
        <f>CU626/CU$687</f>
        <v>0.92912503501727506</v>
      </c>
      <c r="CV689" s="98">
        <f>IF(ISERROR((CU689/CM689-1)*100),"NA",IF(((CU689/CM689-1)*100)&gt;100,"NM",IF(((CU689/CM689-1)*100)&lt;-50,"NM",(CU689/CM689-1)*100)))</f>
        <v>41.150458089627229</v>
      </c>
      <c r="CW689" s="379">
        <f>CW626/CW$687</f>
        <v>0.95700934579439256</v>
      </c>
      <c r="CX689" s="98">
        <f>IF(ISERROR((CW689/CO689-1)*100),"NA",IF(((CW689/CO689-1)*100)&gt;100,"NM",IF(((CW689/CO689-1)*100)&lt;-50,"NM",(CW689/CO689-1)*100)))</f>
        <v>58.662075750122987</v>
      </c>
      <c r="CY689" s="379">
        <f>CY626/CY$687</f>
        <v>0.86367880485527548</v>
      </c>
      <c r="CZ689" s="98">
        <f>IF(ISERROR((CY689/CQ689-1)*100),"NA",IF(((CY689/CQ689-1)*100)&gt;100,"NM",IF(((CY689/CQ689-1)*100)&lt;-50,"NM",(CY689/CQ689-1)*100)))</f>
        <v>22.617089445631787</v>
      </c>
      <c r="DA689" s="379">
        <f>DA626/DA$687</f>
        <v>0.67425968109339407</v>
      </c>
      <c r="DB689" s="98">
        <f>IF(ISERROR((DA689/CS689-1)*100),"NA",IF(((DA689/CS689-1)*100)&gt;100,"NM",IF(((DA689/CS689-1)*100)&lt;-50,"NM",(DA689/CS689-1)*100)))</f>
        <v>-10.129612756264239</v>
      </c>
      <c r="DC689" s="379">
        <f>DC626/DC$687</f>
        <v>0.90678503487634743</v>
      </c>
      <c r="DD689" s="98">
        <f>IF(ISERROR((DC689/CU689-1)*100),"NA",IF(((DC689/CU689-1)*100)&gt;100,"NM",IF(((DC689/CU689-1)*100)&lt;-50,"NM",(DC689/CU689-1)*100)))</f>
        <v>-2.4044126784843578</v>
      </c>
      <c r="DE689" s="379">
        <f>DE626/DE$687</f>
        <v>0.90720159031354475</v>
      </c>
      <c r="DF689" s="98">
        <f>IF(ISERROR((DE689/CW689-1)*100),"NA",IF(((DE689/CW689-1)*100)&gt;100,"NM",IF(((DE689/CW689-1)*100)&lt;-50,"NM",(DE689/CW689-1)*100)))</f>
        <v>-5.2045213246589057</v>
      </c>
      <c r="DG689" s="379">
        <f>DG626/DG$687</f>
        <v>0.74823234583370613</v>
      </c>
      <c r="DH689" s="98">
        <f>IF(ISERROR((DG689/CY689-1)*100),"NA",IF(((DG689/CY689-1)*100)&gt;100,"NM",IF(((DG689/CY689-1)*100)&lt;-50,"NM",(DG689/CY689-1)*100)))</f>
        <v>-13.366827849956842</v>
      </c>
      <c r="DI689" s="379">
        <f>DI626/DI$687</f>
        <v>0.78727704068183801</v>
      </c>
      <c r="DJ689" s="98">
        <f>IF(ISERROR((DI689/DA689-1)*100),"NA",IF(((DI689/DA689-1)*100)&gt;100,"NM",IF(((DI689/DA689-1)*100)&lt;-50,"NM",(DI689/DA689-1)*100)))</f>
        <v>16.761696236259095</v>
      </c>
      <c r="DK689" s="379">
        <f>DK626/DK$687</f>
        <v>0.81192459447610699</v>
      </c>
      <c r="DL689" s="98">
        <f>IF(ISERROR((DK689/DC689-1)*100),"NA",IF(((DK689/DC689-1)*100)&gt;100,"NM",IF(((DK689/DC689-1)*100)&lt;-50,"NM",(DK689/DC689-1)*100)))</f>
        <v>-10.461182832949589</v>
      </c>
      <c r="DM689" s="379">
        <f>DM626/DM$687</f>
        <v>0.79926464151273746</v>
      </c>
      <c r="DN689" s="98">
        <f>IF(ISERROR((DM689/DE689-1)*100),"NA",IF(((DM689/DE689-1)*100)&gt;100,"NM",IF(((DM689/DE689-1)*100)&lt;-50,"NM",(DM689/DE689-1)*100)))</f>
        <v>-11.897790959945564</v>
      </c>
      <c r="DO689" s="379">
        <f>DO626/DO$687</f>
        <v>0.91148115687992992</v>
      </c>
      <c r="DP689" s="98">
        <f>IF(ISERROR((DO689/DG689-1)*100),"NA",IF(((DO689/DG689-1)*100)&gt;100,"NM",IF(((DO689/DG689-1)*100)&lt;-50,"NM",(DO689/DG689-1)*100)))</f>
        <v>21.817930213151413</v>
      </c>
      <c r="DQ689" s="379">
        <f>DQ626/DQ$687</f>
        <v>0.75394404253464664</v>
      </c>
      <c r="DR689" s="98">
        <f>IF(ISERROR((DQ689/DI689-1)*100),"NA",IF(((DQ689/DI689-1)*100)&gt;100,"NM",IF(((DQ689/DI689-1)*100)&lt;-50,"NM",(DQ689/DI689-1)*100)))</f>
        <v>-4.2339604008167946</v>
      </c>
      <c r="DS689" s="379">
        <f>DS626/DS$687</f>
        <v>1.1146328578975173</v>
      </c>
      <c r="DT689" s="98">
        <f>IF(ISERROR((DS689/DK689-1)*100),"NA",IF(((DS689/DK689-1)*100)&gt;100,"NM",IF(((DS689/DK689-1)*100)&lt;-50,"NM",(DS689/DK689-1)*100)))</f>
        <v>37.282805014267659</v>
      </c>
      <c r="DU689" s="379">
        <f>DU626/DU$687</f>
        <v>1.2043601559730595</v>
      </c>
      <c r="DV689" s="98">
        <f>IF(ISERROR((DU689/DM689-1)*100),"NA",IF(((DU689/DM689-1)*100)&gt;100,"NM",IF(((DU689/DM689-1)*100)&lt;-50,"NM",(DU689/DM689-1)*100)))</f>
        <v>50.68352751018903</v>
      </c>
      <c r="DW689" s="379">
        <f>DW626/DW$687</f>
        <v>0.31684219842463934</v>
      </c>
      <c r="DX689" s="98" t="str">
        <f>IF(ISERROR((DW689/DO689-1)*100),"NA",IF(((DW689/DO689-1)*100)&gt;100,"NM",IF(((DW689/DO689-1)*100)&lt;-50,"NM",(DW689/DO689-1)*100)))</f>
        <v>NM</v>
      </c>
      <c r="DY689" s="379">
        <f>DY626/DY$687</f>
        <v>0.88104155519885852</v>
      </c>
      <c r="DZ689" s="98">
        <f>IF(ISERROR((DY689/DQ689-1)*100),"NA",IF(((DY689/DQ689-1)*100)&gt;100,"NM",IF(((DY689/DQ689-1)*100)&lt;-50,"NM",(DY689/DQ689-1)*100)))</f>
        <v>16.857685119034716</v>
      </c>
      <c r="EA689" s="379">
        <f>EA626/EA$687</f>
        <v>0.90384268446689531</v>
      </c>
      <c r="EB689" s="98">
        <f>IF(ISERROR((EA689/DS689-1)*100),"NA",IF(((EA689/DS689-1)*100)&gt;100,"NM",IF(((EA689/DS689-1)*100)&lt;-50,"NM",(EA689/DS689-1)*100)))</f>
        <v>-18.911175275079028</v>
      </c>
      <c r="EC689" s="379">
        <f>EC626/EC$687</f>
        <v>0.56442160310161393</v>
      </c>
      <c r="ED689" s="98" t="str">
        <f>IF(ISERROR((EC689/DU689-1)*100),"NA",IF(((EC689/DU689-1)*100)&gt;100,"NM",IF(((EC689/DU689-1)*100)&lt;-50,"NM",(EC689/DU689-1)*100)))</f>
        <v>NM</v>
      </c>
      <c r="EE689" s="379">
        <f>EE626/EE$687</f>
        <v>1.2214910303795186</v>
      </c>
      <c r="EF689" s="860" t="str">
        <f>IF(ISERROR((EE689/DW689-1)*100),"NA",IF(((EE689/DW689-1)*100)&gt;100,"NM",IF(((EE689/DW689-1)*100)&lt;-50,"NM",(EE689/DW689-1)*100)))</f>
        <v>NM</v>
      </c>
      <c r="EG689" s="379">
        <f>EG626/EG$687</f>
        <v>0.95328282828282829</v>
      </c>
      <c r="EH689" s="860">
        <f>IF(ISERROR((EG689/DY689-1)*100),"NA",IF(((EG689/DY689-1)*100)&gt;100,"NM",IF(((EG689/DY689-1)*100)&lt;-50,"NM",(EG689/DY689-1)*100)))</f>
        <v>8.199530732425476</v>
      </c>
      <c r="EI689" s="379">
        <f>EI626/EI$687</f>
        <v>1.2023300263948302</v>
      </c>
      <c r="EJ689" s="860">
        <f t="shared" ref="EJ689:EJ690" si="4150">IF(ISERROR((EI689/EA689-1)*100),"NA",IF(((EI689/EA689-1)*100)&gt;100,"NM",IF(((EI689/EA689-1)*100)&lt;-50,"NM",(EI689/EA689-1)*100)))</f>
        <v>33.024258209711441</v>
      </c>
      <c r="EK689" s="379">
        <f>EK626/EK$687</f>
        <v>1.0359486184271325</v>
      </c>
      <c r="EL689" s="860">
        <f t="shared" ref="EL689:EL690" si="4151">IF(ISERROR((EK689/EC689-1)*100),"NA",IF(((EK689/EC689-1)*100)&gt;100,"NM",IF(((EK689/EC689-1)*100)&lt;-50,"NM",(EK689/EC689-1)*100)))</f>
        <v>83.54163142133109</v>
      </c>
      <c r="EM689" s="379">
        <f>EM626/EM$687</f>
        <v>1.0405972935137657</v>
      </c>
      <c r="EN689" s="860">
        <f t="shared" ref="EN689:EN690" si="4152">IF(ISERROR((EM689/EE689-1)*100),"NA",IF(((EM689/EE689-1)*100)&gt;100,"NM",IF(((EM689/EE689-1)*100)&lt;-50,"NM",(EM689/EE689-1)*100)))</f>
        <v>-14.809256258684844</v>
      </c>
      <c r="EO689" s="379">
        <f>EO626/EO$687</f>
        <v>0.63835797005931649</v>
      </c>
      <c r="EP689" s="98">
        <f t="shared" ref="EP689:EP690" si="4153">IF(ISERROR((EO689/EG689-1)*100),"NA",IF(((EO689/EG689-1)*100)&gt;100,"NM",IF(((EO689/EG689-1)*100)&lt;-50,"NM",(EO689/EG689-1)*100)))</f>
        <v>-33.035826187155152</v>
      </c>
      <c r="EQ689" s="1070">
        <f>EQ626/EQ$687</f>
        <v>1.175646973242267</v>
      </c>
      <c r="ER689" s="98">
        <f t="shared" ref="ER689:ER690" si="4154">IF(ISERROR((EQ689/EI689-1)*100),"NA",IF(((EQ689/EI689-1)*100)&gt;100,"NM",IF(((EQ689/EI689-1)*100)&lt;-50,"NM",(EQ689/EI689-1)*100)))</f>
        <v>-2.2192786145890375</v>
      </c>
      <c r="ES689" s="1070">
        <f t="shared" ref="ES689" si="4155">ES626/ES$687</f>
        <v>1.1948101956024264</v>
      </c>
      <c r="ET689" s="98">
        <f t="shared" ref="ET689:ET690" si="4156">IF(ISERROR((ES689/EK689-1)*100),"NA",IF(((ES689/EK689-1)*100)&gt;100,"NM",IF(((ES689/EK689-1)*100)&lt;-50,"NM",(ES689/EK689-1)*100)))</f>
        <v>15.334889621889868</v>
      </c>
      <c r="EU689" s="1070">
        <f t="shared" ref="EU689" si="4157">EU626/EU$687</f>
        <v>1.227460917453878</v>
      </c>
      <c r="EV689" s="98">
        <f t="shared" ref="EV689:EV690" si="4158">IF(ISERROR((EU689/EM689-1)*100),"NA",IF(((EU689/EM689-1)*100)&gt;100,"NM",IF(((EU689/EM689-1)*100)&lt;-50,"NM",(EU689/EM689-1)*100)))</f>
        <v>17.957342874603622</v>
      </c>
      <c r="EW689" s="1070">
        <f t="shared" ref="EW689" si="4159">EW626/EW$687</f>
        <v>1.2580567406871328</v>
      </c>
      <c r="EX689" s="98">
        <f t="shared" ref="EX689:EX690" si="4160">IF(ISERROR((EW689/EO689-1)*100),"NA",IF(((EW689/EO689-1)*100)&gt;100,"NM",IF(((EW689/EO689-1)*100)&lt;-50,"NM",(EW689/EO689-1)*100)))</f>
        <v>97.077000631829449</v>
      </c>
      <c r="EY689" s="379"/>
      <c r="EZ689" s="594"/>
      <c r="FA689" s="405"/>
      <c r="FB689" s="377">
        <f>ROUND(FB626/FB$687,2)</f>
        <v>1.56</v>
      </c>
      <c r="FC689" s="380"/>
      <c r="FD689" s="377">
        <f>ROUND(FD626/FD$687,2)</f>
        <v>0.92</v>
      </c>
      <c r="FE689" s="98">
        <f>IF(ISERROR((FD689/FB689-1)*100),"NA",IF(((FD689/FB689-1)*100)&gt;100,"NM",IF(((FD689/FB689-1)*100)&lt;-50,"NM",(FD689/FB689-1)*100)))</f>
        <v>-41.025641025641022</v>
      </c>
      <c r="FF689" s="377">
        <f>C689+E689+G689+I689</f>
        <v>1.97</v>
      </c>
      <c r="FG689" s="98" t="str">
        <f>IF(ISERROR((FF689/FD689-1)*100),"NA",IF(((FF689/FD689-1)*100)&gt;100,"NM",IF(((FF689/FD689-1)*100)&lt;-50,"NM",(FF689/FD689-1)*100)))</f>
        <v>NM</v>
      </c>
      <c r="FH689" s="377">
        <f>K689+M689+O689+Q689</f>
        <v>1.1600000000000001</v>
      </c>
      <c r="FI689" s="98">
        <f>IF(ISERROR((FH689/FF689-1)*100),"NA",IF(((FH689/FF689-1)*100)&gt;100,"NM",IF(((FH689/FF689-1)*100)&lt;-50,"NM",(FH689/FF689-1)*100)))</f>
        <v>-41.116751269035525</v>
      </c>
      <c r="FJ689" s="377">
        <f>ROUND(FJ626/FJ$687,2)</f>
        <v>2.39</v>
      </c>
      <c r="FK689" s="98" t="str">
        <f>IF(ISERROR((FJ689/FH689-1)*100),"NA",IF(((FJ689/FH689-1)*100)&gt;100,"NM",IF(((FJ689/FH689-1)*100)&lt;-50,"NM",(FJ689/FH689-1)*100)))</f>
        <v>NM</v>
      </c>
      <c r="FL689" s="377">
        <f>AA689+AC689+AE689+AG689</f>
        <v>3.01</v>
      </c>
      <c r="FM689" s="98">
        <f>IF(ISERROR((FL689/FJ689-1)*100),"NA",IF(((FL689/FJ689-1)*100)&gt;100,"NM",IF(((FL689/FJ689-1)*100)&lt;-50,"NM",(FL689/FJ689-1)*100)))</f>
        <v>25.941422594142249</v>
      </c>
      <c r="FN689" s="377">
        <f>AI689+AK689+AM689+AO689</f>
        <v>3.4899999999999998</v>
      </c>
      <c r="FO689" s="98">
        <f>IF(ISERROR((FN689/FL689-1)*100),"NA",IF(((FN689/FL689-1)*100)&gt;100,"NM",IF(((FN689/FL689-1)*100)&lt;-50,"NM",(FN689/FL689-1)*100)))</f>
        <v>15.946843853820592</v>
      </c>
      <c r="FP689" s="377">
        <f>AQ689+AS689+AU689+AW689</f>
        <v>4.33</v>
      </c>
      <c r="FQ689" s="98">
        <f>IF(ISERROR((FP689/FN689-1)*100),"NA",IF(((FP689/FN689-1)*100)&gt;100,"NM",IF(((FP689/FN689-1)*100)&lt;-50,"NM",(FP689/FN689-1)*100)))</f>
        <v>24.068767908309475</v>
      </c>
      <c r="FR689" s="379">
        <f>FR626/FR$687</f>
        <v>5.2140657916058997</v>
      </c>
      <c r="FS689" s="120">
        <f>IF(ISERROR((FR689/FP689-1)*100),"NA",IF(((FR689/FP689-1)*100)&gt;100,"NM",IF(((FR689/FP689-1)*100)&lt;-50,"NM",(FR689/FP689-1)*100)))</f>
        <v>20.417223824616613</v>
      </c>
      <c r="FT689" s="379">
        <f>FT626/FT$687</f>
        <v>6.1216592884079359</v>
      </c>
      <c r="FU689" s="120">
        <f>IF(ISERROR((FT689/FR689-1)*100),"NA",IF(((FT689/FR689-1)*100)&gt;100,"NM",IF(((FT689/FR689-1)*100)&lt;-50,"NM",(FT689/FR689-1)*100)))</f>
        <v>17.406636837286694</v>
      </c>
      <c r="FV689" s="379">
        <f>FV626/FV$687</f>
        <v>3.3837993890362217</v>
      </c>
      <c r="FW689" s="98">
        <f>IF(ISERROR((FV689/FT689-1)*100),"NA",IF(((FV689/FT689-1)*100)&gt;100,"NM",IF(((FV689/FT689-1)*100)&lt;-50,"NM",(FV689/FT689-1)*100)))</f>
        <v>-44.724147006289058</v>
      </c>
      <c r="FX689" s="531">
        <f>FX626/FX$687</f>
        <v>0.31842489061740398</v>
      </c>
      <c r="FY689" s="98" t="str">
        <f>IF(ISERROR((FX689/FV689-1)*100),"NA",IF(((FX689/FV689-1)*100)&gt;100,"NM",IF(((FX689/FV689-1)*100)&lt;-50,"NM",(FX689/FV689-1)*100)))</f>
        <v>NM</v>
      </c>
      <c r="FZ689" s="379">
        <f>FZ626/FZ$687</f>
        <v>1.4449973292850917</v>
      </c>
      <c r="GA689" s="98" t="str">
        <f>IF(ISERROR((FZ689/FX689-1)*100),"NA",IF(((FZ689/FX689-1)*100)&gt;100,"NM",IF(((FZ689/FX689-1)*100)&lt;-50,"NM",(FZ689/FX689-1)*100)))</f>
        <v>NM</v>
      </c>
      <c r="GB689" s="531">
        <f>GB626/GB$687</f>
        <v>3.1284811607769716</v>
      </c>
      <c r="GC689" s="98" t="str">
        <f>IF(ISERROR((GB689/FZ689-1)*100),"NA",IF(((GB689/FZ689-1)*100)&gt;100,"NM",IF(((GB689/FZ689-1)*100)&lt;-50,"NM",(GB689/FZ689-1)*100)))</f>
        <v>NM</v>
      </c>
      <c r="GD689" s="379">
        <f>GD626/GD$687</f>
        <v>3.4195015547407994</v>
      </c>
      <c r="GE689" s="98">
        <f>IF(ISERROR((GD689/GB689-1)*100),"NA",IF(((GD689/GB689-1)*100)&gt;100,"NM",IF(((GD689/GB689-1)*100)&lt;-50,"NM",(GD689/GB689-1)*100)))</f>
        <v>9.3022901212405529</v>
      </c>
      <c r="GF689" s="379">
        <f>GF626/GF$687</f>
        <v>4.7218987908643077</v>
      </c>
      <c r="GG689" s="98">
        <f>IF(ISERROR((GF689/GD689-1)*100),"NA",IF(((GF689/GD689-1)*100)&gt;100,"NM",IF(((GF689/GD689-1)*100)&lt;-50,"NM",(GF689/GD689-1)*100)))</f>
        <v>38.087341540110245</v>
      </c>
      <c r="GH689" s="379">
        <f>GH626/GH$687</f>
        <v>4.6737109229725879</v>
      </c>
      <c r="GI689" s="98">
        <f>IF(ISERROR((GH689/GF689-1)*100),"NA",IF(((GH689/GF689-1)*100)&gt;100,"NM",IF(((GH689/GF689-1)*100)&lt;-50,"NM",(GH689/GF689-1)*100)))</f>
        <v>-1.0205188638297669</v>
      </c>
      <c r="GJ689" s="379">
        <f>GJ626/GJ$687</f>
        <v>3.5176613885505481</v>
      </c>
      <c r="GK689" s="98">
        <f>IF(ISERROR((GJ689/GH689-1)*100),"NA",IF(((GJ689/GH689-1)*100)&gt;100,"NM",IF(((GJ689/GH689-1)*100)&lt;-50,"NM",(GJ689/GH689-1)*100)))</f>
        <v>-24.735152718576046</v>
      </c>
      <c r="GL689" s="379">
        <f>GL626/GL$687</f>
        <v>3.6430858018846664</v>
      </c>
      <c r="GM689" s="98">
        <f>IF(ISERROR((GL689/GJ689-1)*100),"NA",IF(((GL689/GJ689-1)*100)&gt;100,"NM",IF(((GL689/GJ689-1)*100)&lt;-50,"NM",(GL689/GJ689-1)*100)))</f>
        <v>3.5655624427739285</v>
      </c>
      <c r="GN689" s="379">
        <f>GN626/GN$687</f>
        <v>3.9263860559985169</v>
      </c>
      <c r="GO689" s="98">
        <f>IF(ISERROR((GN689/GL689-1)*100),"NA",IF(((GN689/GL689-1)*100)&gt;100,"NM",IF(((GN689/GL689-1)*100)&lt;-50,"NM",(GN689/GL689-1)*100)))</f>
        <v>7.7763816039493783</v>
      </c>
      <c r="GP689" s="379">
        <f>GP626/GP$687</f>
        <v>4.8537545892026177</v>
      </c>
      <c r="GQ689" s="98">
        <f>IF(ISERROR((GP689/GN689-1)*100),"NA",IF(((GP689/GN689-1)*100)&gt;100,"NM",IF(((GP689/GN689-1)*100)&lt;-50,"NM",(GP689/GN689-1)*100)))</f>
        <v>23.618883114851073</v>
      </c>
      <c r="GR689" s="379">
        <f>GR626/GR$687</f>
        <v>5.3505339451739911</v>
      </c>
      <c r="GS689" s="98">
        <f>IF(ISERROR((GR689/GP689-1)*100),"NA",IF(((GR689/GP689-1)*100)&gt;100,"NM",IF(((GR689/GP689-1)*100)&lt;-50,"NM",(GR689/GP689-1)*100)))</f>
        <v>10.234950013263555</v>
      </c>
      <c r="GT689" s="379">
        <f>GT626/GT$687</f>
        <v>5.8484909473717046</v>
      </c>
      <c r="GU689" s="98">
        <f>IF(ISERROR((GT689/GR689-1)*100),"NA",IF(((GT689/GR689-1)*100)&gt;100,"NM",IF(((GT689/GR689-1)*100)&lt;-50,"NM",(GT689/GR689-1)*100)))</f>
        <v>9.3066786847853642</v>
      </c>
      <c r="GV689" s="379">
        <f>GV626/GV$687</f>
        <v>6.4018315140999009</v>
      </c>
      <c r="GW689" s="98">
        <f>IF(ISERROR((GV689/GT689-1)*100),"NA",IF(((GV689/GT689-1)*100)&gt;100,"NM",IF(((GV689/GT689-1)*100)&lt;-50,"NM",(GV689/GT689-1)*100)))</f>
        <v>9.4612537098457175</v>
      </c>
      <c r="GX689" s="379">
        <f>GX626/GX$687</f>
        <v>6.9019374914110392</v>
      </c>
      <c r="GY689" s="98">
        <f>IF(ISERROR((GX689/GV689-1)*100),"NA",IF(((GX689/GV689-1)*100)&gt;100,"NM",IF(((GX689/GV689-1)*100)&lt;-50,"NM",(GX689/GV689-1)*100)))</f>
        <v>7.8119203263888659</v>
      </c>
      <c r="GZ689" s="98">
        <f>IF(ISERROR(((GX689/GN689)^0.2-1)*100),"NA",IF((((GX689/GN689)^0.2-1)*100)&gt;100,"NM",IF((((GX689/GN689)^0.2-1)*100)&lt;-50,"NM",((GX689/GN689)^0.2-1)*100)))</f>
        <v>11.942655393491242</v>
      </c>
      <c r="HA689" s="98"/>
      <c r="HB689" s="15"/>
      <c r="HC689"/>
      <c r="HD689"/>
      <c r="HE689"/>
      <c r="HF689"/>
      <c r="HG689"/>
      <c r="HH689"/>
      <c r="HI689" s="10"/>
    </row>
    <row r="690" spans="1:217" s="2" customFormat="1" ht="12.75" customHeight="1" x14ac:dyDescent="0.2">
      <c r="A690" s="2" t="s">
        <v>36</v>
      </c>
      <c r="B690" s="131" t="s">
        <v>624</v>
      </c>
      <c r="C690" s="377">
        <f>ROUND(C640/C687,2)</f>
        <v>0.36</v>
      </c>
      <c r="D690" s="378"/>
      <c r="E690" s="377">
        <f>ROUND(E640/E687,2)</f>
        <v>0.02</v>
      </c>
      <c r="F690" s="378"/>
      <c r="G690" s="377">
        <f>ROUND(G640/G687,2)</f>
        <v>0.31</v>
      </c>
      <c r="H690" s="378"/>
      <c r="I690" s="377">
        <f>ROUND(I640/I687,2)</f>
        <v>0.75</v>
      </c>
      <c r="J690" s="98"/>
      <c r="K690" s="377">
        <f>ROUND(K640/K687,2)</f>
        <v>0.37</v>
      </c>
      <c r="L690" s="98">
        <f>IF(ISERROR((K690/C690-1)*100),"NA",IF(((K690/C690-1)*100)&gt;100,"NM",IF(((K690/C690-1)*100)&lt;-50,"NM",(K690/C690-1)*100)))</f>
        <v>2.7777777777777901</v>
      </c>
      <c r="M690" s="377">
        <f>ROUND(M640/M687,2)</f>
        <v>0.41</v>
      </c>
      <c r="N690" s="98" t="str">
        <f>IF(ISERROR((M690/E690-1)*100),"NA",IF(((M690/E690-1)*100)&gt;100,"NM",IF(((M690/E690-1)*100)&lt;-50,"NM",(M690/E690-1)*100)))</f>
        <v>NM</v>
      </c>
      <c r="O690" s="377">
        <f>ROUND(O640/O687,2)</f>
        <v>0.21</v>
      </c>
      <c r="P690" s="98">
        <f>IF(ISERROR((O690/G690-1)*100),"NA",IF(((O690/G690-1)*100)&gt;100,"NM",IF(((O690/G690-1)*100)&lt;-50,"NM",(O690/G690-1)*100)))</f>
        <v>-32.258064516129039</v>
      </c>
      <c r="Q690" s="382">
        <f>ROUND(Q640/Q685,2)</f>
        <v>-0.41</v>
      </c>
      <c r="R690" s="98" t="str">
        <f>IF(ISERROR((Q690/I690-1)*100),"NA",IF(((Q690/I690-1)*100)&gt;100,"NM",IF(((Q690/I690-1)*100)&lt;-50,"NM",(Q690/I690-1)*100)))</f>
        <v>NM</v>
      </c>
      <c r="S690" s="377">
        <f>ROUND(S640/S687,2)</f>
        <v>0.44</v>
      </c>
      <c r="T690" s="98">
        <f>IF(ISERROR((S690/K690-1)*100),"NA",IF(((S690/K690-1)*100)&gt;100,"NM",IF(((S690/K690-1)*100)&lt;-50,"NM",(S690/K690-1)*100)))</f>
        <v>18.918918918918926</v>
      </c>
      <c r="U690" s="377">
        <f>ROUND(U640/U687,2)</f>
        <v>0.53</v>
      </c>
      <c r="V690" s="98">
        <f>IF(ISERROR((U690/M690-1)*100),"NA",IF(((U690/M690-1)*100)&gt;100,"NM",IF(((U690/M690-1)*100)&lt;-50,"NM",(U690/M690-1)*100)))</f>
        <v>29.268292682926834</v>
      </c>
      <c r="W690" s="377">
        <f>ROUND(W640/W687,2)</f>
        <v>0.45</v>
      </c>
      <c r="X690" s="98" t="str">
        <f>IF(ISERROR((W690/O690-1)*100),"NA",IF(((W690/O690-1)*100)&gt;100,"NM",IF(((W690/O690-1)*100)&lt;-50,"NM",(W690/O690-1)*100)))</f>
        <v>NM</v>
      </c>
      <c r="Y690" s="377">
        <f>ROUND(Y640/723,2)</f>
        <v>0.78</v>
      </c>
      <c r="Z690" s="98" t="str">
        <f>IF(ISERROR((Y690/Q690-1)*100),"NA",IF(((Y690/Q690-1)*100)&gt;100,"NM",IF(((Y690/Q690-1)*100)&lt;-50,"NM",(Y690/Q690-1)*100)))</f>
        <v>NM</v>
      </c>
      <c r="AA690" s="437">
        <f>ROUND(AA640/AA687,2)-0.03</f>
        <v>0.47</v>
      </c>
      <c r="AB690" s="98">
        <f>IF(ISERROR((AA690/S690-1)*100),"NA",IF(((AA690/S690-1)*100)&gt;100,"NM",IF(((AA690/S690-1)*100)&lt;-50,"NM",(AA690/S690-1)*100)))</f>
        <v>6.8181818181818121</v>
      </c>
      <c r="AC690" s="377">
        <f>ROUND(AC640/AC687,2)</f>
        <v>0.79</v>
      </c>
      <c r="AD690" s="98">
        <f>IF(ISERROR((AC690/U690-1)*100),"NA",IF(((AC690/U690-1)*100)&gt;100,"NM",IF(((AC690/U690-1)*100)&lt;-50,"NM",(AC690/U690-1)*100)))</f>
        <v>49.056603773584897</v>
      </c>
      <c r="AE690" s="377">
        <f>ROUND(AE640/AE687,2)</f>
        <v>0.75</v>
      </c>
      <c r="AF690" s="98">
        <f>IF(ISERROR((AE690/W690-1)*100),"NA",IF(((AE690/W690-1)*100)&gt;100,"NM",IF(((AE690/W690-1)*100)&lt;-50,"NM",(AE690/W690-1)*100)))</f>
        <v>66.666666666666657</v>
      </c>
      <c r="AG690" s="379">
        <f>ROUND(AG640/AG687,2)</f>
        <v>0.92</v>
      </c>
      <c r="AH690" s="98">
        <f>IF(ISERROR((AG690/Y690-1)*100),"NA",IF(((AG690/Y690-1)*100)&gt;100,"NM",IF(((AG690/Y690-1)*100)&lt;-50,"NM",(AG690/Y690-1)*100)))</f>
        <v>17.948717948717952</v>
      </c>
      <c r="AI690" s="379">
        <f>ROUND(AI640/AI687,2)</f>
        <v>0.79</v>
      </c>
      <c r="AJ690" s="98">
        <f>IF(ISERROR((AI690/AA690-1)*100),"NA",IF(((AI690/AA690-1)*100)&gt;100,"NM",IF(((AI690/AA690-1)*100)&lt;-50,"NM",(AI690/AA690-1)*100)))</f>
        <v>68.085106382978736</v>
      </c>
      <c r="AK690" s="379">
        <f>ROUND(AK640/AK687,2)</f>
        <v>1.26</v>
      </c>
      <c r="AL690" s="98">
        <f>IF(ISERROR((AK690/AC690-1)*100),"NA",IF(((AK690/AC690-1)*100)&gt;100,"NM",IF(((AK690/AC690-1)*100)&lt;-50,"NM",(AK690/AC690-1)*100)))</f>
        <v>59.493670886075932</v>
      </c>
      <c r="AM690" s="379">
        <f>ROUND(AM640/AM687,2)</f>
        <v>0.92</v>
      </c>
      <c r="AN690" s="98">
        <f>IF(ISERROR((AM690/AE690-1)*100),"NA",IF(((AM690/AE690-1)*100)&gt;100,"NM",IF(((AM690/AE690-1)*100)&lt;-50,"NM",(AM690/AE690-1)*100)))</f>
        <v>22.666666666666679</v>
      </c>
      <c r="AO690" s="379">
        <f>ROUND(AO640/AO687,2)</f>
        <v>0.68</v>
      </c>
      <c r="AP690" s="98">
        <f>IF(ISERROR((AO690/AG690-1)*100),"NA",IF(((AO690/AG690-1)*100)&gt;100,"NM",IF(((AO690/AG690-1)*100)&lt;-50,"NM",(AO690/AG690-1)*100)))</f>
        <v>-26.086956521739125</v>
      </c>
      <c r="AQ690" s="379">
        <f>ROUND(AQ640/AQ687,2)</f>
        <v>1.33</v>
      </c>
      <c r="AR690" s="98">
        <f>IF(ISERROR((AQ690/AI690-1)*100),"NA",IF(((AQ690/AI690-1)*100)&gt;100,"NM",IF(((AQ690/AI690-1)*100)&lt;-50,"NM",(AQ690/AI690-1)*100)))</f>
        <v>68.354430379746844</v>
      </c>
      <c r="AS690" s="379">
        <f>ROUND(AS640/AS687,2)</f>
        <v>3.02</v>
      </c>
      <c r="AT690" s="98" t="str">
        <f>IF(ISERROR((AS690/AK690-1)*100),"NA",IF(((AS690/AK690-1)*100)&gt;100,"NM",IF(((AS690/AK690-1)*100)&lt;-50,"NM",(AS690/AK690-1)*100)))</f>
        <v>NM</v>
      </c>
      <c r="AU690" s="379">
        <f>ROUND(AU640/AU687,2)</f>
        <v>0.97</v>
      </c>
      <c r="AV690" s="98">
        <f>IF(ISERROR((AU690/AM690-1)*100),"NA",IF(((AU690/AM690-1)*100)&gt;100,"NM",IF(((AU690/AM690-1)*100)&lt;-50,"NM",(AU690/AM690-1)*100)))</f>
        <v>5.4347826086956541</v>
      </c>
      <c r="AW690" s="379">
        <f>ROUND(AW640/AW687,2)</f>
        <v>0.88</v>
      </c>
      <c r="AX690" s="98">
        <f>IF(ISERROR((AW690/AO690-1)*100),"NA",IF(((AW690/AO690-1)*100)&gt;100,"NM",IF(((AW690/AO690-1)*100)&lt;-50,"NM",(AW690/AO690-1)*100)))</f>
        <v>29.411764705882337</v>
      </c>
      <c r="AY690" s="379">
        <f>ROUND(AY640/AY687,2)</f>
        <v>0.93</v>
      </c>
      <c r="AZ690" s="98">
        <f>IF(ISERROR((AY690/AQ690-1)*100),"NA",IF(((AY690/AQ690-1)*100)&gt;100,"NM",IF(((AY690/AQ690-1)*100)&lt;-50,"NM",(AY690/AQ690-1)*100)))</f>
        <v>-30.075187969924812</v>
      </c>
      <c r="BA690" s="379">
        <f>ROUND(BA640/BA687,2)</f>
        <v>0.8</v>
      </c>
      <c r="BB690" s="98" t="str">
        <f>IF(ISERROR((BA690/AS690-1)*100),"NA",IF(((BA690/AS690-1)*100)&gt;100,"NM",IF(((BA690/AS690-1)*100)&lt;-50,"NM",(BA690/AS690-1)*100)))</f>
        <v>NM</v>
      </c>
      <c r="BC690" s="379">
        <f>ROUND(BC640/BC687,2)</f>
        <v>1.29</v>
      </c>
      <c r="BD690" s="98">
        <f>IF(ISERROR((BC690/AU690-1)*100),"NA",IF(((BC690/AU690-1)*100)&gt;100,"NM",IF(((BC690/AU690-1)*100)&lt;-50,"NM",(BC690/AU690-1)*100)))</f>
        <v>32.989690721649502</v>
      </c>
      <c r="BE690" s="379">
        <f>ROUND(BE640/BE687,2)</f>
        <v>4.95</v>
      </c>
      <c r="BF690" s="98" t="str">
        <f>IF(ISERROR((BE690/AW690-1)*100),"NA",IF(((BE690/AW690-1)*100)&gt;100,"NM",IF(((BE690/AW690-1)*100)&lt;-50,"NM",(BE690/AW690-1)*100)))</f>
        <v>NM</v>
      </c>
      <c r="BG690" s="379">
        <f>ROUND(BG640/BG687,2)</f>
        <v>1.28</v>
      </c>
      <c r="BH690" s="98">
        <f>IF(ISERROR((BG690/AY690-1)*100),"NA",IF(((BG690/AY690-1)*100)&gt;100,"NM",IF(((BG690/AY690-1)*100)&lt;-50,"NM",(BG690/AY690-1)*100)))</f>
        <v>37.634408602150529</v>
      </c>
      <c r="BI690" s="379">
        <f>ROUND(BI640/BI687,2)</f>
        <v>1.48</v>
      </c>
      <c r="BJ690" s="98">
        <f>IF(ISERROR((BI690/BA690-1)*100),"NA",IF(((BI690/BA690-1)*100)&gt;100,"NM",IF(((BI690/BA690-1)*100)&lt;-50,"NM",(BI690/BA690-1)*100)))</f>
        <v>84.999999999999986</v>
      </c>
      <c r="BK690" s="379">
        <f>ROUND(BK640/BK687,2)</f>
        <v>1.29</v>
      </c>
      <c r="BL690" s="33">
        <f>IF(ISERROR((BK690/BC690-1)*100),"NA",IF(((BK690/BC690-1)*100)&gt;100,"NM",IF(((BK690/BC690-1)*100)&lt;-50,"NM",(BK690/BC690-1)*100)))</f>
        <v>0</v>
      </c>
      <c r="BM690" s="381">
        <f>ROUND(BM640/BM687,2)</f>
        <v>1.44</v>
      </c>
      <c r="BN690" s="33" t="str">
        <f>IF(ISERROR((BM690/BE690-1)*100),"NA",IF(((BM690/BE690-1)*100)&gt;100,"NM",IF(((BM690/BE690-1)*100)&lt;-50,"NM",(BM690/BE690-1)*100)))</f>
        <v>NM</v>
      </c>
      <c r="BO690" s="381">
        <f>ROUND(BO640/BO687,2)</f>
        <v>0.84</v>
      </c>
      <c r="BP690" s="33">
        <f>IF(ISERROR((BO690/BG690-1)*100),"NA",IF(((BO690/BG690-1)*100)&gt;100,"NM",IF(((BO690/BG690-1)*100)&lt;-50,"NM",(BO690/BG690-1)*100)))</f>
        <v>-34.375</v>
      </c>
      <c r="BQ690" s="381">
        <f>ROUND(BQ640/BQ687,2)</f>
        <v>1.26</v>
      </c>
      <c r="BR690" s="33">
        <f>IF(ISERROR((BQ690/BI690-1)*100),"NA",IF(((BQ690/BI690-1)*100)&gt;100,"NM",IF(((BQ690/BI690-1)*100)&lt;-50,"NM",(BQ690/BI690-1)*100)))</f>
        <v>-14.864864864864868</v>
      </c>
      <c r="BS690" s="381">
        <f>ROUND(BS640/BS687,2)</f>
        <v>0.83</v>
      </c>
      <c r="BT690" s="98">
        <f>IF(ISERROR((BS690/BK690-1)*100),"NA",IF(((BS690/BK690-1)*100)&gt;100,"NM",IF(((BS690/BK690-1)*100)&lt;-50,"NM",(BS690/BK690-1)*100)))</f>
        <v>-35.658914728682177</v>
      </c>
      <c r="BU690" s="379">
        <f>ROUND(BU640/BU687,2)</f>
        <v>0.98</v>
      </c>
      <c r="BV690" s="98">
        <f>IF(ISERROR((BU690/BM690-1)*100),"NA",IF(((BU690/BM690-1)*100)&gt;100,"NM",IF(((BU690/BM690-1)*100)&lt;-50,"NM",(BU690/BM690-1)*100)))</f>
        <v>-31.944444444444443</v>
      </c>
      <c r="BW690" s="379">
        <f>ROUND(BW640/BW687,2)</f>
        <v>-0.94</v>
      </c>
      <c r="BX690" s="98" t="str">
        <f>IF(ISERROR((BW690/BO690-1)*100),"NA",IF(((BW690/BO690-1)*100)&gt;100,"NM",IF(((BW690/BO690-1)*100)&lt;-50,"NM",(BW690/BO690-1)*100)))</f>
        <v>NM</v>
      </c>
      <c r="BY690" s="379">
        <f>ROUND(BY640/BY687,2)</f>
        <v>-2.44</v>
      </c>
      <c r="BZ690" s="98" t="str">
        <f>IF(ISERROR((BY690/BQ690-1)*100),"NA",IF(((BY690/BQ690-1)*100)&gt;100,"NM",IF(((BY690/BQ690-1)*100)&lt;-50,"NM",(BY690/BQ690-1)*100)))</f>
        <v>NM</v>
      </c>
      <c r="CA690" s="379">
        <f>ROUND(CA640/CA687,2)</f>
        <v>-1.48</v>
      </c>
      <c r="CB690" s="98" t="str">
        <f>IF(ISERROR((CA690/BS690-1)*100),"NA",IF(((CA690/BS690-1)*100)&gt;100,"NM",IF(((CA690/BS690-1)*100)&lt;-50,"NM",(CA690/BS690-1)*100)))</f>
        <v>NM</v>
      </c>
      <c r="CC690" s="379">
        <f>ROUND(CC640/CC687,2)</f>
        <v>-0.56999999999999995</v>
      </c>
      <c r="CD690" s="98" t="str">
        <f>IF(ISERROR((CC690/BU690-1)*100),"NA",IF(((CC690/BU690-1)*100)&gt;100,"NM",IF(((CC690/BU690-1)*100)&lt;-50,"NM",(CC690/BU690-1)*100)))</f>
        <v>NM</v>
      </c>
      <c r="CE690" s="379">
        <f>ROUND(CE640/CE687,2)</f>
        <v>0.22</v>
      </c>
      <c r="CF690" s="98" t="str">
        <f>IF(ISERROR((CE690/BW690-1)*100),"NA",IF(((CE690/BW690-1)*100)&gt;100,"NM",IF(((CE690/BW690-1)*100)&lt;-50,"NM",(CE690/BW690-1)*100)))</f>
        <v>NM</v>
      </c>
      <c r="CG690" s="379">
        <f>ROUND(CG640/CG687,2)</f>
        <v>1.06</v>
      </c>
      <c r="CH690" s="98" t="str">
        <f>IF(ISERROR((CG690/BY690-1)*100),"NA",IF(((CG690/BY690-1)*100)&gt;100,"NM",IF(((CG690/BY690-1)*100)&lt;-50,"NM",(CG690/BY690-1)*100)))</f>
        <v>NM</v>
      </c>
      <c r="CI690" s="379">
        <f>ROUND(CI640/CI687,2)</f>
        <v>-0.54</v>
      </c>
      <c r="CJ690" s="98" t="str">
        <f>IF(ISERROR((CI690/CA690-1)*100),"NA",IF(((CI690/CA690-1)*100)&gt;100,"NM",IF(((CI690/CA690-1)*100)&lt;-50,"NM",(CI690/CA690-1)*100)))</f>
        <v>NM</v>
      </c>
      <c r="CK690" s="379">
        <f>ROUND(CK640/CK687,2)</f>
        <v>-0.55000000000000004</v>
      </c>
      <c r="CL690" s="98">
        <f>IF(ISERROR((CK690/CC690-1)*100),"NA",IF(((CK690/CC690-1)*100)&gt;100,"NM",IF(((CK690/CC690-1)*100)&lt;-50,"NM",(CK690/CC690-1)*100)))</f>
        <v>-3.5087719298245501</v>
      </c>
      <c r="CM690" s="379">
        <f>ROUND(CM640/CM687,2)</f>
        <v>0.08</v>
      </c>
      <c r="CN690" s="98" t="str">
        <f>IF(ISERROR((CM690/CE690-1)*100),"NA",IF(((CM690/CE690-1)*100)&gt;100,"NM",IF(((CM690/CE690-1)*100)&lt;-50,"NM",(CM690/CE690-1)*100)))</f>
        <v>NM</v>
      </c>
      <c r="CO690" s="379">
        <f>ROUND(CO640/CO687,2)</f>
        <v>0.47</v>
      </c>
      <c r="CP690" s="98" t="str">
        <f>IF(ISERROR((CO690/CG690-1)*100),"NA",IF(((CO690/CG690-1)*100)&gt;100,"NM",IF(((CO690/CG690-1)*100)&lt;-50,"NM",(CO690/CG690-1)*100)))</f>
        <v>NM</v>
      </c>
      <c r="CQ690" s="531">
        <f>ROUND(CQ640/CQ687,2)</f>
        <v>3.01</v>
      </c>
      <c r="CR690" s="98" t="str">
        <f>IF(ISERROR((CQ690/CI690-1)*100),"NA",IF(((CQ690/CI690-1)*100)&gt;100,"NM",IF(((CQ690/CI690-1)*100)&lt;-50,"NM",(CQ690/CI690-1)*100)))</f>
        <v>NM</v>
      </c>
      <c r="CS690" s="379">
        <f>ROUND(CS640/CS687,2)</f>
        <v>0.48</v>
      </c>
      <c r="CT690" s="98" t="str">
        <f>IF(ISERROR((CS690/CK690-1)*100),"NA",IF(((CS690/CK690-1)*100)&gt;100,"NM",IF(((CS690/CK690-1)*100)&lt;-50,"NM",(CS690/CK690-1)*100)))</f>
        <v>NM</v>
      </c>
      <c r="CU690" s="379">
        <f>ROUND(CU640/CU687,2)</f>
        <v>-0.6</v>
      </c>
      <c r="CV690" s="98" t="str">
        <f>IF(ISERROR((CU690/CM690-1)*100),"NA",IF(((CU690/CM690-1)*100)&gt;100,"NM",IF(((CU690/CM690-1)*100)&lt;-50,"NM",(CU690/CM690-1)*100)))</f>
        <v>NM</v>
      </c>
      <c r="CW690" s="379">
        <f>ROUND(CW640/CW687,2)</f>
        <v>1.73</v>
      </c>
      <c r="CX690" s="98" t="str">
        <f>IF(ISERROR((CW690/CO690-1)*100),"NA",IF(((CW690/CO690-1)*100)&gt;100,"NM",IF(((CW690/CO690-1)*100)&lt;-50,"NM",(CW690/CO690-1)*100)))</f>
        <v>NM</v>
      </c>
      <c r="CY690" s="379">
        <f>ROUND(CY640/CY687,2)</f>
        <v>-1.38</v>
      </c>
      <c r="CZ690" s="98" t="str">
        <f>IF(ISERROR((CY690/CQ690-1)*100),"NA",IF(((CY690/CQ690-1)*100)&gt;100,"NM",IF(((CY690/CQ690-1)*100)&lt;-50,"NM",(CY690/CQ690-1)*100)))</f>
        <v>NM</v>
      </c>
      <c r="DA690" s="379">
        <f>ROUND(DA640/DA687,2)</f>
        <v>-0.49</v>
      </c>
      <c r="DB690" s="98" t="str">
        <f>IF(ISERROR((DA690/CS690-1)*100),"NA",IF(((DA690/CS690-1)*100)&gt;100,"NM",IF(((DA690/CS690-1)*100)&lt;-50,"NM",(DA690/CS690-1)*100)))</f>
        <v>NM</v>
      </c>
      <c r="DC690" s="379">
        <f>ROUND(DC640/DC687,2)</f>
        <v>0.3</v>
      </c>
      <c r="DD690" s="98" t="str">
        <f>IF(ISERROR((DC690/CU690-1)*100),"NA",IF(((DC690/CU690-1)*100)&gt;100,"NM",IF(((DC690/CU690-1)*100)&lt;-50,"NM",(DC690/CU690-1)*100)))</f>
        <v>NM</v>
      </c>
      <c r="DE690" s="379">
        <f>ROUND(DE640/DE687,2)</f>
        <v>-0.1</v>
      </c>
      <c r="DF690" s="98" t="str">
        <f>IF(ISERROR((DE690/CW690-1)*100),"NA",IF(((DE690/CW690-1)*100)&gt;100,"NM",IF(((DE690/CW690-1)*100)&lt;-50,"NM",(DE690/CW690-1)*100)))</f>
        <v>NM</v>
      </c>
      <c r="DG690" s="379">
        <f>ROUND(DG640/DG687,2)</f>
        <v>0.25</v>
      </c>
      <c r="DH690" s="98" t="str">
        <f>IF(ISERROR((DG690/CY690-1)*100),"NA",IF(((DG690/CY690-1)*100)&gt;100,"NM",IF(((DG690/CY690-1)*100)&lt;-50,"NM",(DG690/CY690-1)*100)))</f>
        <v>NM</v>
      </c>
      <c r="DI690" s="379">
        <f>ROUND(DI640/DI687,2)</f>
        <v>0.19</v>
      </c>
      <c r="DJ690" s="98" t="str">
        <f>IF(ISERROR((DI690/DA690-1)*100),"NA",IF(((DI690/DA690-1)*100)&gt;100,"NM",IF(((DI690/DA690-1)*100)&lt;-50,"NM",(DI690/DA690-1)*100)))</f>
        <v>NM</v>
      </c>
      <c r="DK690" s="379">
        <f>ROUND(DK640/DK687,2)</f>
        <v>0.57999999999999996</v>
      </c>
      <c r="DL690" s="98">
        <f>IF(ISERROR((DK690/DC690-1)*100),"NA",IF(((DK690/DC690-1)*100)&gt;100,"NM",IF(((DK690/DC690-1)*100)&lt;-50,"NM",(DK690/DC690-1)*100)))</f>
        <v>93.333333333333329</v>
      </c>
      <c r="DM690" s="379">
        <f>ROUND(DM640/DM687,2)</f>
        <v>0.57999999999999996</v>
      </c>
      <c r="DN690" s="98" t="str">
        <f>IF(ISERROR((DM690/DE690-1)*100),"NA",IF(((DM690/DE690-1)*100)&gt;100,"NM",IF(((DM690/DE690-1)*100)&lt;-50,"NM",(DM690/DE690-1)*100)))</f>
        <v>NM</v>
      </c>
      <c r="DO690" s="379">
        <f>ROUND(DO640/DO687,2)</f>
        <v>1.1200000000000001</v>
      </c>
      <c r="DP690" s="98" t="str">
        <f>IF(ISERROR((DO690/DG690-1)*100),"NA",IF(((DO690/DG690-1)*100)&gt;100,"NM",IF(((DO690/DG690-1)*100)&lt;-50,"NM",(DO690/DG690-1)*100)))</f>
        <v>NM</v>
      </c>
      <c r="DQ690" s="379">
        <f>ROUND(DQ640/DQ687,2)</f>
        <v>0.67</v>
      </c>
      <c r="DR690" s="98" t="str">
        <f>IF(ISERROR((DQ690/DI690-1)*100),"NA",IF(((DQ690/DI690-1)*100)&gt;100,"NM",IF(((DQ690/DI690-1)*100)&lt;-50,"NM",(DQ690/DI690-1)*100)))</f>
        <v>NM</v>
      </c>
      <c r="DS690" s="379">
        <f>ROUND(DS640/DS687,2)</f>
        <v>1.55</v>
      </c>
      <c r="DT690" s="98" t="str">
        <f>IF(ISERROR((DS690/DK690-1)*100),"NA",IF(((DS690/DK690-1)*100)&gt;100,"NM",IF(((DS690/DK690-1)*100)&lt;-50,"NM",(DS690/DK690-1)*100)))</f>
        <v>NM</v>
      </c>
      <c r="DU690" s="379">
        <f>ROUND(DU640/DU687,2)</f>
        <v>0.56000000000000005</v>
      </c>
      <c r="DV690" s="98">
        <f>IF(ISERROR((DU690/DM690-1)*100),"NA",IF(((DU690/DM690-1)*100)&gt;100,"NM",IF(((DU690/DM690-1)*100)&lt;-50,"NM",(DU690/DM690-1)*100)))</f>
        <v>-3.4482758620689502</v>
      </c>
      <c r="DW690" s="379">
        <f>ROUND(DW640/DW687,2)</f>
        <v>0.75</v>
      </c>
      <c r="DX690" s="98">
        <f>IF(ISERROR((DW690/DO690-1)*100),"NA",IF(((DW690/DO690-1)*100)&gt;100,"NM",IF(((DW690/DO690-1)*100)&lt;-50,"NM",(DW690/DO690-1)*100)))</f>
        <v>-33.035714285714292</v>
      </c>
      <c r="DY690" s="379">
        <f>ROUND(DY640/DY687,2)</f>
        <v>0.35</v>
      </c>
      <c r="DZ690" s="98">
        <f>IF(ISERROR((DY690/DQ690-1)*100),"NA",IF(((DY690/DQ690-1)*100)&gt;100,"NM",IF(((DY690/DQ690-1)*100)&lt;-50,"NM",(DY690/DQ690-1)*100)))</f>
        <v>-47.761194029850749</v>
      </c>
      <c r="EA690" s="379">
        <f>ROUND(EA640/EA687,2)</f>
        <v>2.1</v>
      </c>
      <c r="EB690" s="98">
        <f>IF(ISERROR((EA690/DS690-1)*100),"NA",IF(((EA690/DS690-1)*100)&gt;100,"NM",IF(((EA690/DS690-1)*100)&lt;-50,"NM",(EA690/DS690-1)*100)))</f>
        <v>35.48387096774195</v>
      </c>
      <c r="EC690" s="379">
        <f>ROUND(EC640/EC687,2)</f>
        <v>0.25</v>
      </c>
      <c r="ED690" s="98" t="str">
        <f>IF(ISERROR((EC690/DU690-1)*100),"NA",IF(((EC690/DU690-1)*100)&gt;100,"NM",IF(((EC690/DU690-1)*100)&lt;-50,"NM",(EC690/DU690-1)*100)))</f>
        <v>NM</v>
      </c>
      <c r="EE690" s="379">
        <f>ROUND(EE640/EE687,2)</f>
        <v>0.48</v>
      </c>
      <c r="EF690" s="860">
        <f>IF(ISERROR((EE690/DW690-1)*100),"NA",IF(((EE690/DW690-1)*100)&gt;100,"NM",IF(((EE690/DW690-1)*100)&lt;-50,"NM",(EE690/DW690-1)*100)))</f>
        <v>-36</v>
      </c>
      <c r="EG690" s="379">
        <f>ROUND(EG640/EG685,2)</f>
        <v>-2.17</v>
      </c>
      <c r="EH690" s="860" t="str">
        <f>IF(ISERROR((EG690/DY690-1)*100),"NA",IF(((EG690/DY690-1)*100)&gt;100,"NM",IF(((EG690/DY690-1)*100)&lt;-50,"NM",(EG690/DY690-1)*100)))</f>
        <v>NM</v>
      </c>
      <c r="EI690" s="379">
        <f>ROUND(EI640/EI687,2)</f>
        <v>0.79</v>
      </c>
      <c r="EJ690" s="860" t="str">
        <f t="shared" si="4150"/>
        <v>NM</v>
      </c>
      <c r="EK690" s="379">
        <f>ROUND(EK640/EK687,2)</f>
        <v>0.8</v>
      </c>
      <c r="EL690" s="860" t="str">
        <f t="shared" si="4151"/>
        <v>NM</v>
      </c>
      <c r="EM690" s="379">
        <f>ROUND(EM640/EM687,2)</f>
        <v>-0.09</v>
      </c>
      <c r="EN690" s="860" t="str">
        <f t="shared" si="4152"/>
        <v>NM</v>
      </c>
      <c r="EO690" s="379">
        <f>ROUND(EO640/EO687,2)</f>
        <v>2.14</v>
      </c>
      <c r="EP690" s="98" t="str">
        <f t="shared" si="4153"/>
        <v>NM</v>
      </c>
      <c r="EQ690" s="1071">
        <f>ROUND(EQ640/EQ687,2)</f>
        <v>0.3</v>
      </c>
      <c r="ER690" s="98" t="str">
        <f t="shared" si="4154"/>
        <v>NM</v>
      </c>
      <c r="ES690" s="1071">
        <f t="shared" ref="ES690" si="4161">ROUND(ES640/ES687,2)</f>
        <v>1.18</v>
      </c>
      <c r="ET690" s="98">
        <f t="shared" si="4156"/>
        <v>47.499999999999986</v>
      </c>
      <c r="EU690" s="1071">
        <f t="shared" ref="EU690" si="4162">ROUND(EU640/EU687,2)</f>
        <v>1.22</v>
      </c>
      <c r="EV690" s="98" t="str">
        <f t="shared" si="4158"/>
        <v>NM</v>
      </c>
      <c r="EW690" s="1071">
        <f t="shared" ref="EW690" si="4163">ROUND(EW640/EW687,2)</f>
        <v>1.25</v>
      </c>
      <c r="EX690" s="98">
        <f t="shared" si="4160"/>
        <v>-41.588785046728972</v>
      </c>
      <c r="EY690" s="377"/>
      <c r="EZ690" s="594"/>
      <c r="FA690" s="405"/>
      <c r="FB690" s="377">
        <f>ROUND(FB640/FB687,2)</f>
        <v>1.71</v>
      </c>
      <c r="FC690" s="380"/>
      <c r="FD690" s="377">
        <f>ROUND(FD640/FD687,2)</f>
        <v>0.33</v>
      </c>
      <c r="FE690" s="98" t="str">
        <f>IF(ISERROR((FD690/FB690-1)*100),"NA",IF(((FD690/FB690-1)*100)&gt;100,"NM",IF(((FD690/FB690-1)*100)&lt;-50,"NM",(FD690/FB690-1)*100)))</f>
        <v>NM</v>
      </c>
      <c r="FF690" s="377">
        <f>C690+E690+G690+I690</f>
        <v>1.44</v>
      </c>
      <c r="FG690" s="98" t="str">
        <f>IF(ISERROR((FF690/FD690-1)*100),"NA",IF(((FF690/FD690-1)*100)&gt;100,"NM",IF(((FF690/FD690-1)*100)&lt;-50,"NM",(FF690/FD690-1)*100)))</f>
        <v>NM</v>
      </c>
      <c r="FH690" s="377">
        <f>K690+M690+O690+Q690</f>
        <v>0.58000000000000007</v>
      </c>
      <c r="FI690" s="98" t="str">
        <f>IF(ISERROR((FH690/FF690-1)*100),"NA",IF(((FH690/FF690-1)*100)&gt;100,"NM",IF(((FH690/FF690-1)*100)&lt;-50,"NM",(FH690/FF690-1)*100)))</f>
        <v>NM</v>
      </c>
      <c r="FJ690" s="377">
        <f>S690+U690+W690+Y690</f>
        <v>2.2000000000000002</v>
      </c>
      <c r="FK690" s="98" t="str">
        <f>IF(ISERROR((FJ690/FH690-1)*100),"NA",IF(((FJ690/FH690-1)*100)&gt;100,"NM",IF(((FJ690/FH690-1)*100)&lt;-50,"NM",(FJ690/FH690-1)*100)))</f>
        <v>NM</v>
      </c>
      <c r="FL690" s="377">
        <f>AA690+AC690+AE690+AG690</f>
        <v>2.9299999999999997</v>
      </c>
      <c r="FM690" s="98">
        <f>IF(ISERROR((FL690/FJ690-1)*100),"NA",IF(((FL690/FJ690-1)*100)&gt;100,"NM",IF(((FL690/FJ690-1)*100)&lt;-50,"NM",(FL690/FJ690-1)*100)))</f>
        <v>33.181818181818159</v>
      </c>
      <c r="FN690" s="377">
        <f>AI690+AK690+AM690+AO690</f>
        <v>3.65</v>
      </c>
      <c r="FO690" s="98">
        <f>IF(ISERROR((FN690/FL690-1)*100),"NA",IF(((FN690/FL690-1)*100)&gt;100,"NM",IF(((FN690/FL690-1)*100)&lt;-50,"NM",(FN690/FL690-1)*100)))</f>
        <v>24.573378839590454</v>
      </c>
      <c r="FP690" s="377">
        <f>AQ690+AS690+AU690+AW690</f>
        <v>6.1999999999999993</v>
      </c>
      <c r="FQ690" s="98">
        <f>IF(ISERROR((FP690/FN690-1)*100),"NA",IF(((FP690/FN690-1)*100)&gt;100,"NM",IF(((FP690/FN690-1)*100)&lt;-50,"NM",(FP690/FN690-1)*100)))</f>
        <v>69.863013698630127</v>
      </c>
      <c r="FR690" s="382">
        <f>ROUND(FR640/FR687,2)</f>
        <v>7.98</v>
      </c>
      <c r="FS690" s="120">
        <f>IF(ISERROR((FR690/FP690-1)*100),"NA",IF(((FR690/FP690-1)*100)&gt;100,"NM",IF(((FR690/FP690-1)*100)&lt;-50,"NM",(FR690/FP690-1)*100)))</f>
        <v>28.709677419354861</v>
      </c>
      <c r="FT690" s="382">
        <f>ROUND(FT640/FT687,2)</f>
        <v>5.48</v>
      </c>
      <c r="FU690" s="120">
        <f>IF(ISERROR((FT690/FR690-1)*100),"NA",IF(((FT690/FR690-1)*100)&gt;100,"NM",IF(((FT690/FR690-1)*100)&lt;-50,"NM",(FT690/FR690-1)*100)))</f>
        <v>-31.328320802005017</v>
      </c>
      <c r="FV690" s="382">
        <f>ROUND(FV640/FV687,2)</f>
        <v>3.9</v>
      </c>
      <c r="FW690" s="98">
        <f>IF(ISERROR((FV690/FT690-1)*100),"NA",IF(((FV690/FT690-1)*100)&gt;100,"NM",IF(((FV690/FT690-1)*100)&lt;-50,"NM",(FV690/FT690-1)*100)))</f>
        <v>-28.832116788321173</v>
      </c>
      <c r="FX690" s="532">
        <f>ROUND(FX640/FX687,2)</f>
        <v>-5.43</v>
      </c>
      <c r="FY690" s="98" t="str">
        <f>IF(ISERROR((FX690/FV690-1)*100),"NA",IF(((FX690/FV690-1)*100)&gt;100,"NM",IF(((FX690/FV690-1)*100)&lt;-50,"NM",(FX690/FV690-1)*100)))</f>
        <v>NM</v>
      </c>
      <c r="FZ690" s="382">
        <f>ROUND(FZ640/FZ687,2)</f>
        <v>0.02</v>
      </c>
      <c r="GA690" s="98" t="str">
        <f>IF(ISERROR((FZ690/FX690-1)*100),"NA",IF(((FZ690/FX690-1)*100)&gt;100,"NM",IF(((FZ690/FX690-1)*100)&lt;-50,"NM",(FZ690/FX690-1)*100)))</f>
        <v>NM</v>
      </c>
      <c r="GB690" s="532">
        <f>ROUND(GB640/GB687,2)</f>
        <v>4.51</v>
      </c>
      <c r="GC690" s="98" t="str">
        <f>IF(ISERROR((GB690/FZ690-1)*100),"NA",IF(((GB690/FZ690-1)*100)&gt;100,"NM",IF(((GB690/FZ690-1)*100)&lt;-50,"NM",(GB690/FZ690-1)*100)))</f>
        <v>NM</v>
      </c>
      <c r="GD690" s="382">
        <f>ROUND(GD640/GD687,2)</f>
        <v>-0.74</v>
      </c>
      <c r="GE690" s="98" t="str">
        <f>IF(ISERROR((GD690/GB690-1)*100),"NA",IF(((GD690/GB690-1)*100)&gt;100,"NM",IF(((GD690/GB690-1)*100)&lt;-50,"NM",(GD690/GB690-1)*100)))</f>
        <v>NM</v>
      </c>
      <c r="GF690" s="382">
        <f>ROUND(GF640/GF687,2)</f>
        <v>2.02</v>
      </c>
      <c r="GG690" s="98" t="str">
        <f>IF(ISERROR((GF690/GD690-1)*100),"NA",IF(((GF690/GD690-1)*100)&gt;100,"NM",IF(((GF690/GD690-1)*100)&lt;-50,"NM",(GF690/GD690-1)*100)))</f>
        <v>NM</v>
      </c>
      <c r="GH690" s="382">
        <f>ROUND(GH640/GH687,2)</f>
        <v>4.3499999999999996</v>
      </c>
      <c r="GI690" s="98" t="str">
        <f>IF(ISERROR((GH690/GF690-1)*100),"NA",IF(((GH690/GF690-1)*100)&gt;100,"NM",IF(((GH690/GF690-1)*100)&lt;-50,"NM",(GH690/GF690-1)*100)))</f>
        <v>NM</v>
      </c>
      <c r="GJ690" s="382">
        <f>ROUND(GJ640/GJ687,2)</f>
        <v>3.22</v>
      </c>
      <c r="GK690" s="98">
        <f>IF(ISERROR((GJ690/GH690-1)*100),"NA",IF(((GJ690/GH690-1)*100)&gt;100,"NM",IF(((GJ690/GH690-1)*100)&lt;-50,"NM",(GJ690/GH690-1)*100)))</f>
        <v>-25.977011494252867</v>
      </c>
      <c r="GL690" s="382">
        <f>ROUND(GL640/GL687,2)</f>
        <v>0.67</v>
      </c>
      <c r="GM690" s="98" t="str">
        <f>IF(ISERROR((GL690/GJ690-1)*100),"NA",IF(((GL690/GJ690-1)*100)&gt;100,"NM",IF(((GL690/GJ690-1)*100)&lt;-50,"NM",(GL690/GJ690-1)*100)))</f>
        <v>NM</v>
      </c>
      <c r="GN690" s="382">
        <f>ROUND(GN640/GN687,2)</f>
        <v>3.62</v>
      </c>
      <c r="GO690" s="98" t="str">
        <f>IF(ISERROR((GN690/GL690-1)*100),"NA",IF(((GN690/GL690-1)*100)&gt;100,"NM",IF(((GN690/GL690-1)*100)&lt;-50,"NM",(GN690/GL690-1)*100)))</f>
        <v>NM</v>
      </c>
      <c r="GP690" s="382">
        <f>ROUND(GP640/GP687,2)</f>
        <v>3.93</v>
      </c>
      <c r="GQ690" s="98">
        <f>IF(ISERROR((GP690/GN690-1)*100),"NA",IF(((GP690/GN690-1)*100)&gt;100,"NM",IF(((GP690/GN690-1)*100)&lt;-50,"NM",(GP690/GN690-1)*100)))</f>
        <v>8.5635359116022158</v>
      </c>
      <c r="GR690" s="377">
        <f>ROUND(GR640/GR687,2)</f>
        <v>5.3</v>
      </c>
      <c r="GS690" s="98">
        <f>IF(ISERROR((GR690/GP690-1)*100),"NA",IF(((GR690/GP690-1)*100)&gt;100,"NM",IF(((GR690/GP690-1)*100)&lt;-50,"NM",(GR690/GP690-1)*100)))</f>
        <v>34.860050890585235</v>
      </c>
      <c r="GT690" s="377">
        <f>ROUND(GT640/GT687,2)</f>
        <v>5.8</v>
      </c>
      <c r="GU690" s="98">
        <f>IF(ISERROR((GT690/GR690-1)*100),"NA",IF(((GT690/GR690-1)*100)&gt;100,"NM",IF(((GT690/GR690-1)*100)&lt;-50,"NM",(GT690/GR690-1)*100)))</f>
        <v>9.4339622641509422</v>
      </c>
      <c r="GV690" s="377">
        <f>ROUND(GV640/GV687,2)</f>
        <v>6.35</v>
      </c>
      <c r="GW690" s="98">
        <f>IF(ISERROR((GV690/GT690-1)*100),"NA",IF(((GV690/GT690-1)*100)&gt;100,"NM",IF(((GV690/GT690-1)*100)&lt;-50,"NM",(GV690/GT690-1)*100)))</f>
        <v>9.4827586206896584</v>
      </c>
      <c r="GX690" s="377">
        <f>ROUND(GX640/GX687,2)</f>
        <v>6.84</v>
      </c>
      <c r="GY690" s="98">
        <f>IF(ISERROR((GX690/GV690-1)*100),"NA",IF(((GX690/GV690-1)*100)&gt;100,"NM",IF(((GX690/GV690-1)*100)&lt;-50,"NM",(GX690/GV690-1)*100)))</f>
        <v>7.7165354330708702</v>
      </c>
      <c r="GZ690" s="98">
        <f>IF(ISERROR(((GX690/GN690)^0.2-1)*100),"NA",IF((((GX690/GN690)^0.2-1)*100)&gt;100,"NM",IF((((GX690/GN690)^0.2-1)*100)&lt;-50,"NM",((GX690/GN690)^0.2-1)*100)))</f>
        <v>13.571537775909759</v>
      </c>
      <c r="HA690" s="98"/>
      <c r="HB690" s="10"/>
      <c r="HC690"/>
      <c r="HD690"/>
      <c r="HE690"/>
      <c r="HF690"/>
      <c r="HG690"/>
      <c r="HH690"/>
      <c r="HI690" s="10"/>
    </row>
    <row r="691" spans="1:217" s="2" customFormat="1" ht="12.75" customHeight="1" x14ac:dyDescent="0.2">
      <c r="B691" s="179"/>
      <c r="C691" s="377"/>
      <c r="D691" s="378"/>
      <c r="E691" s="377"/>
      <c r="F691" s="378"/>
      <c r="G691" s="377"/>
      <c r="H691" s="378"/>
      <c r="I691" s="377"/>
      <c r="J691" s="98"/>
      <c r="K691" s="377"/>
      <c r="L691" s="98"/>
      <c r="M691" s="377"/>
      <c r="N691" s="98"/>
      <c r="O691" s="377"/>
      <c r="P691" s="98"/>
      <c r="Q691" s="377"/>
      <c r="R691" s="98"/>
      <c r="S691" s="377"/>
      <c r="T691" s="98"/>
      <c r="U691" s="377"/>
      <c r="V691" s="98"/>
      <c r="W691" s="377"/>
      <c r="X691" s="98"/>
      <c r="Y691" s="377"/>
      <c r="Z691" s="98"/>
      <c r="AA691" s="377"/>
      <c r="AB691" s="98"/>
      <c r="AC691" s="377"/>
      <c r="AD691" s="98"/>
      <c r="AE691" s="377"/>
      <c r="AF691" s="98"/>
      <c r="AG691" s="379"/>
      <c r="AH691" s="98"/>
      <c r="AI691" s="379"/>
      <c r="AJ691" s="98"/>
      <c r="AK691" s="379"/>
      <c r="AL691" s="98"/>
      <c r="AM691" s="379"/>
      <c r="AN691" s="98"/>
      <c r="AO691" s="379"/>
      <c r="AP691" s="98"/>
      <c r="AQ691" s="379"/>
      <c r="AR691" s="98"/>
      <c r="AS691" s="379"/>
      <c r="AT691" s="98"/>
      <c r="AU691" s="379"/>
      <c r="AV691" s="98"/>
      <c r="AW691" s="379"/>
      <c r="AX691" s="98"/>
      <c r="AY691" s="379"/>
      <c r="AZ691" s="98"/>
      <c r="BA691" s="379"/>
      <c r="BB691" s="98"/>
      <c r="BC691" s="379"/>
      <c r="BD691" s="98"/>
      <c r="BE691" s="379"/>
      <c r="BF691" s="98"/>
      <c r="BG691" s="379"/>
      <c r="BH691" s="98"/>
      <c r="BI691" s="379"/>
      <c r="BJ691" s="98"/>
      <c r="BK691" s="379"/>
      <c r="BL691" s="33"/>
      <c r="BM691" s="381"/>
      <c r="BN691" s="33"/>
      <c r="BO691" s="381"/>
      <c r="BP691" s="33"/>
      <c r="BQ691" s="381"/>
      <c r="BR691" s="33"/>
      <c r="BS691" s="381"/>
      <c r="BT691" s="98"/>
      <c r="BU691" s="379"/>
      <c r="BV691" s="98"/>
      <c r="BW691" s="379"/>
      <c r="BX691" s="98"/>
      <c r="BY691" s="379"/>
      <c r="BZ691" s="98"/>
      <c r="CA691" s="379"/>
      <c r="CB691" s="98"/>
      <c r="CC691" s="379"/>
      <c r="CD691" s="98"/>
      <c r="CE691" s="379"/>
      <c r="CF691" s="98"/>
      <c r="CG691" s="379"/>
      <c r="CH691" s="98"/>
      <c r="CI691" s="379"/>
      <c r="CJ691" s="98"/>
      <c r="CK691" s="379"/>
      <c r="CL691" s="98"/>
      <c r="CM691" s="379"/>
      <c r="CN691" s="98"/>
      <c r="CO691" s="379"/>
      <c r="CP691" s="98"/>
      <c r="CQ691" s="531"/>
      <c r="CR691" s="98"/>
      <c r="CS691" s="379"/>
      <c r="CT691" s="98"/>
      <c r="CU691" s="379"/>
      <c r="CV691" s="98"/>
      <c r="CW691" s="379"/>
      <c r="CX691" s="98"/>
      <c r="CY691" s="379"/>
      <c r="CZ691" s="98"/>
      <c r="DA691" s="379"/>
      <c r="DB691" s="98"/>
      <c r="DC691" s="379"/>
      <c r="DD691" s="98"/>
      <c r="DE691" s="379"/>
      <c r="DF691" s="98"/>
      <c r="DG691" s="379"/>
      <c r="DH691" s="98"/>
      <c r="DI691" s="379"/>
      <c r="DJ691" s="98"/>
      <c r="DK691" s="379"/>
      <c r="DL691" s="98"/>
      <c r="DM691" s="379"/>
      <c r="DN691" s="98"/>
      <c r="DO691" s="379"/>
      <c r="DP691" s="98"/>
      <c r="DQ691" s="379"/>
      <c r="DR691" s="98"/>
      <c r="DS691" s="379"/>
      <c r="DT691" s="98"/>
      <c r="DU691" s="379"/>
      <c r="DV691" s="98"/>
      <c r="DW691" s="379"/>
      <c r="DX691" s="98"/>
      <c r="DY691" s="379"/>
      <c r="DZ691" s="98"/>
      <c r="EA691" s="379"/>
      <c r="EB691" s="98"/>
      <c r="EC691" s="379"/>
      <c r="ED691" s="98"/>
      <c r="EE691" s="379"/>
      <c r="EF691" s="860"/>
      <c r="EG691" s="379"/>
      <c r="EH691" s="860"/>
      <c r="EI691" s="379"/>
      <c r="EJ691" s="860"/>
      <c r="EK691" s="379"/>
      <c r="EL691" s="860"/>
      <c r="EM691" s="379"/>
      <c r="EN691" s="860"/>
      <c r="EO691" s="379"/>
      <c r="EP691" s="98"/>
      <c r="EQ691" s="1071"/>
      <c r="ER691" s="98"/>
      <c r="ES691" s="1071"/>
      <c r="ET691" s="98"/>
      <c r="EU691" s="1071"/>
      <c r="EV691" s="98"/>
      <c r="EW691" s="1071"/>
      <c r="EX691" s="98"/>
      <c r="EY691" s="377"/>
      <c r="EZ691" s="594"/>
      <c r="FA691" s="405"/>
      <c r="FB691" s="377"/>
      <c r="FC691" s="380"/>
      <c r="FD691" s="377"/>
      <c r="FE691" s="98"/>
      <c r="FF691" s="377"/>
      <c r="FG691" s="98"/>
      <c r="FH691" s="377"/>
      <c r="FI691" s="98"/>
      <c r="FJ691" s="377"/>
      <c r="FK691" s="98"/>
      <c r="FL691" s="377"/>
      <c r="FM691" s="98"/>
      <c r="FN691" s="377"/>
      <c r="FO691" s="98"/>
      <c r="FP691" s="377"/>
      <c r="FQ691" s="98"/>
      <c r="FR691" s="382"/>
      <c r="FS691" s="120"/>
      <c r="FT691" s="382"/>
      <c r="FU691" s="120"/>
      <c r="FV691" s="382"/>
      <c r="FW691" s="98"/>
      <c r="FX691" s="532"/>
      <c r="FY691" s="98"/>
      <c r="FZ691" s="382"/>
      <c r="GA691" s="98"/>
      <c r="GB691" s="532"/>
      <c r="GC691" s="98"/>
      <c r="GD691" s="382"/>
      <c r="GE691" s="98"/>
      <c r="GF691" s="382"/>
      <c r="GG691" s="98"/>
      <c r="GH691" s="382"/>
      <c r="GI691" s="98"/>
      <c r="GJ691" s="382"/>
      <c r="GK691" s="98"/>
      <c r="GL691" s="382"/>
      <c r="GM691" s="98"/>
      <c r="GN691" s="382"/>
      <c r="GO691" s="98"/>
      <c r="GP691" s="382"/>
      <c r="GQ691" s="98"/>
      <c r="GR691" s="377"/>
      <c r="GS691" s="98"/>
      <c r="GT691" s="377"/>
      <c r="GU691" s="98"/>
      <c r="GV691" s="377"/>
      <c r="GW691" s="98"/>
      <c r="GX691" s="377"/>
      <c r="GY691" s="98"/>
      <c r="GZ691" s="98"/>
      <c r="HA691" s="98"/>
      <c r="HB691" s="10"/>
      <c r="HC691"/>
      <c r="HD691"/>
      <c r="HE691"/>
      <c r="HF691"/>
      <c r="HG691"/>
      <c r="HH691"/>
      <c r="HI691" s="10"/>
    </row>
    <row r="692" spans="1:217" s="2" customFormat="1" ht="12.75" customHeight="1" x14ac:dyDescent="0.2">
      <c r="A692" s="2" t="s">
        <v>275</v>
      </c>
      <c r="B692" s="131" t="s">
        <v>136</v>
      </c>
      <c r="C692" s="377">
        <f>C689</f>
        <v>0.49</v>
      </c>
      <c r="D692" s="378"/>
      <c r="E692" s="377">
        <f>E689</f>
        <v>0.48</v>
      </c>
      <c r="F692" s="378"/>
      <c r="G692" s="377">
        <f>G689</f>
        <v>0.49</v>
      </c>
      <c r="H692" s="378"/>
      <c r="I692" s="377">
        <f>I689</f>
        <v>0.51</v>
      </c>
      <c r="J692" s="98"/>
      <c r="K692" s="377">
        <f>K689</f>
        <v>0.49</v>
      </c>
      <c r="L692" s="98">
        <f>IF(ISERROR((K692/C692-1)*100),"NA",IF(((K692/C692-1)*100)&gt;100,"NM",IF(((K692/C692-1)*100)&lt;-50,"NM",(K692/C692-1)*100)))</f>
        <v>0</v>
      </c>
      <c r="M692" s="377">
        <f>M689</f>
        <v>0.54</v>
      </c>
      <c r="N692" s="98">
        <f>IF(ISERROR((M692/E692-1)*100),"NA",IF(((M692/E692-1)*100)&gt;100,"NM",IF(((M692/E692-1)*100)&lt;-50,"NM",(M692/E692-1)*100)))</f>
        <v>12.500000000000021</v>
      </c>
      <c r="O692" s="377">
        <f>O689</f>
        <v>0.3</v>
      </c>
      <c r="P692" s="98">
        <f>IF(ISERROR((O692/G692-1)*100),"NA",IF(((O692/G692-1)*100)&gt;100,"NM",IF(((O692/G692-1)*100)&lt;-50,"NM",(O692/G692-1)*100)))</f>
        <v>-38.775510204081634</v>
      </c>
      <c r="Q692" s="377">
        <f>Q689</f>
        <v>-0.17</v>
      </c>
      <c r="R692" s="98" t="str">
        <f>IF(ISERROR((Q692/I692-1)*100),"NA",IF(((Q692/I692-1)*100)&gt;100,"NM",IF(((Q692/I692-1)*100)&lt;-50,"NM",(Q692/I692-1)*100)))</f>
        <v>NM</v>
      </c>
      <c r="S692" s="377">
        <f>S689</f>
        <v>0.54</v>
      </c>
      <c r="T692" s="98">
        <f>IF(ISERROR((S692/K692-1)*100),"NA",IF(((S692/K692-1)*100)&gt;100,"NM",IF(((S692/K692-1)*100)&lt;-50,"NM",(S692/K692-1)*100)))</f>
        <v>10.204081632653072</v>
      </c>
      <c r="U692" s="377">
        <f>U689</f>
        <v>0.69</v>
      </c>
      <c r="V692" s="98">
        <f>IF(ISERROR((U692/M692-1)*100),"NA",IF(((U692/M692-1)*100)&gt;100,"NM",IF(((U692/M692-1)*100)&lt;-50,"NM",(U692/M692-1)*100)))</f>
        <v>27.777777777777768</v>
      </c>
      <c r="W692" s="377">
        <f>W689</f>
        <v>0.69</v>
      </c>
      <c r="X692" s="98" t="str">
        <f>IF(ISERROR((W692/O692-1)*100),"NA",IF(((W692/O692-1)*100)&gt;100,"NM",IF(((W692/O692-1)*100)&lt;-50,"NM",(W692/O692-1)*100)))</f>
        <v>NM</v>
      </c>
      <c r="Y692" s="377">
        <f>Y689</f>
        <v>0.47</v>
      </c>
      <c r="Z692" s="98" t="str">
        <f>IF(ISERROR((Y692/Q692-1)*100),"NA",IF(((Y692/Q692-1)*100)&gt;100,"NM",IF(((Y692/Q692-1)*100)&lt;-50,"NM",(Y692/Q692-1)*100)))</f>
        <v>NM</v>
      </c>
      <c r="AA692" s="377">
        <f>AA689</f>
        <v>0.62</v>
      </c>
      <c r="AB692" s="98">
        <f>IF(ISERROR((AA692/S692-1)*100),"NA",IF(((AA692/S692-1)*100)&gt;100,"NM",IF(((AA692/S692-1)*100)&lt;-50,"NM",(AA692/S692-1)*100)))</f>
        <v>14.814814814814813</v>
      </c>
      <c r="AC692" s="377">
        <f>AC689</f>
        <v>0.84</v>
      </c>
      <c r="AD692" s="98">
        <f>IF(ISERROR((AC692/U692-1)*100),"NA",IF(((AC692/U692-1)*100)&gt;100,"NM",IF(((AC692/U692-1)*100)&lt;-50,"NM",(AC692/U692-1)*100)))</f>
        <v>21.739130434782616</v>
      </c>
      <c r="AE692" s="377">
        <f>AE689</f>
        <v>0.81</v>
      </c>
      <c r="AF692" s="98">
        <f>IF(ISERROR((AE692/W692-1)*100),"NA",IF(((AE692/W692-1)*100)&gt;100,"NM",IF(((AE692/W692-1)*100)&lt;-50,"NM",(AE692/W692-1)*100)))</f>
        <v>17.391304347826097</v>
      </c>
      <c r="AG692" s="377">
        <f>AG689</f>
        <v>0.74</v>
      </c>
      <c r="AH692" s="98">
        <f>IF(ISERROR((AG692/Y692-1)*100),"NA",IF(((AG692/Y692-1)*100)&gt;100,"NM",IF(((AG692/Y692-1)*100)&lt;-50,"NM",(AG692/Y692-1)*100)))</f>
        <v>57.446808510638306</v>
      </c>
      <c r="AI692" s="377">
        <f>AI689</f>
        <v>0.78</v>
      </c>
      <c r="AJ692" s="98">
        <f>IF(ISERROR((AI692/AA692-1)*100),"NA",IF(((AI692/AA692-1)*100)&gt;100,"NM",IF(((AI692/AA692-1)*100)&lt;-50,"NM",(AI692/AA692-1)*100)))</f>
        <v>25.806451612903224</v>
      </c>
      <c r="AK692" s="377">
        <f>AK689</f>
        <v>1.01</v>
      </c>
      <c r="AL692" s="98">
        <f>IF(ISERROR((AK692/AC692-1)*100),"NA",IF(((AK692/AC692-1)*100)&gt;100,"NM",IF(((AK692/AC692-1)*100)&lt;-50,"NM",(AK692/AC692-1)*100)))</f>
        <v>20.238095238095234</v>
      </c>
      <c r="AM692" s="377">
        <f>AM689</f>
        <v>0.82</v>
      </c>
      <c r="AN692" s="98">
        <f>IF(ISERROR((AM692/AE692-1)*100),"NA",IF(((AM692/AE692-1)*100)&gt;100,"NM",IF(((AM692/AE692-1)*100)&lt;-50,"NM",(AM692/AE692-1)*100)))</f>
        <v>1.2345679012345512</v>
      </c>
      <c r="AO692" s="377">
        <f>AO689</f>
        <v>0.88</v>
      </c>
      <c r="AP692" s="98">
        <f>IF(ISERROR((AO692/AG692-1)*100),"NA",IF(((AO692/AG692-1)*100)&gt;100,"NM",IF(((AO692/AG692-1)*100)&lt;-50,"NM",(AO692/AG692-1)*100)))</f>
        <v>18.918918918918926</v>
      </c>
      <c r="AQ692" s="377">
        <f>AQ689-(AQ626-AQ628)/AQ687</f>
        <v>1.0356354786371011</v>
      </c>
      <c r="AR692" s="98">
        <f>IF(ISERROR((AQ692/AI692-1)*100),"NA",IF(((AQ692/AI692-1)*100)&gt;100,"NM",IF(((AQ692/AI692-1)*100)&lt;-50,"NM",(AQ692/AI692-1)*100)))</f>
        <v>32.773779312448866</v>
      </c>
      <c r="AS692" s="377">
        <f>AS689-(AS626-AS628)/AS687+0.001</f>
        <v>0.9772171982236576</v>
      </c>
      <c r="AT692" s="98">
        <f>IF(ISERROR((AS692/AK692-1)*100),"NA",IF(((AS692/AK692-1)*100)&gt;100,"NM",IF(((AS692/AK692-1)*100)&lt;-50,"NM",(AS692/AK692-1)*100)))</f>
        <v>-3.2458219580537073</v>
      </c>
      <c r="AU692" s="377">
        <f>AU689-(AU626-AU628)/AU687</f>
        <v>0.83307792376739953</v>
      </c>
      <c r="AV692" s="98">
        <f>IF(ISERROR((AU692/AM692-1)*100),"NA",IF(((AU692/AM692-1)*100)&gt;100,"NM",IF(((AU692/AM692-1)*100)&lt;-50,"NM",(AU692/AM692-1)*100)))</f>
        <v>1.5948687521218918</v>
      </c>
      <c r="AW692" s="377">
        <f>AW689-(AW626-AW628)/AW687</f>
        <v>0.98148244473342006</v>
      </c>
      <c r="AX692" s="98">
        <f>IF(ISERROR((AW692/AO692-1)*100),"NA",IF(((AW692/AO692-1)*100)&gt;100,"NM",IF(((AW692/AO692-1)*100)&lt;-50,"NM",(AW692/AO692-1)*100)))</f>
        <v>11.532095992434099</v>
      </c>
      <c r="AY692" s="377">
        <f>AY689-(AY626-AY628)/AY687</f>
        <v>1.1797606659729449</v>
      </c>
      <c r="AZ692" s="98">
        <f>IF(ISERROR((AY692/AQ692-1)*100),"NA",IF(((AY692/AQ692-1)*100)&gt;100,"NM",IF(((AY692/AQ692-1)*100)&lt;-50,"NM",(AY692/AQ692-1)*100)))</f>
        <v>13.916594236952262</v>
      </c>
      <c r="BA692" s="377">
        <f>BA689-(BA626-BA628)/BA687</f>
        <v>1.2053513443304327</v>
      </c>
      <c r="BB692" s="98">
        <f>IF(ISERROR((BA692/AS692-1)*100),"NA",IF(((BA692/AS692-1)*100)&gt;100,"NM",IF(((BA692/AS692-1)*100)&lt;-50,"NM",(BA692/AS692-1)*100)))</f>
        <v>23.345285625495272</v>
      </c>
      <c r="BC692" s="377">
        <f>BC689-(BC626-BC628)/BC687</f>
        <v>1.2149411916763604</v>
      </c>
      <c r="BD692" s="98">
        <f>IF(ISERROR((BC692/AU692-1)*100),"NA",IF(((BC692/AU692-1)*100)&gt;100,"NM",IF(((BC692/AU692-1)*100)&lt;-50,"NM",(BC692/AU692-1)*100)))</f>
        <v>45.837640995463389</v>
      </c>
      <c r="BE692" s="377">
        <f>BE689-(BE626-BE628)/BE687</f>
        <v>1.3180701073599792</v>
      </c>
      <c r="BF692" s="98">
        <f>IF(ISERROR((BE692/AW692-1)*100),"NA",IF(((BE692/AW692-1)*100)&gt;100,"NM",IF(((BE692/AW692-1)*100)&lt;-50,"NM",(BE692/AW692-1)*100)))</f>
        <v>34.293803667367627</v>
      </c>
      <c r="BG692" s="377">
        <f>BG689-(BG626-BG628)/BG687</f>
        <v>1.3171239110648809</v>
      </c>
      <c r="BH692" s="98">
        <f>IF(ISERROR((BG692/AY692-1)*100),"NA",IF(((BG692/AY692-1)*100)&gt;100,"NM",IF(((BG692/AY692-1)*100)&lt;-50,"NM",(BG692/AY692-1)*100)))</f>
        <v>11.643314534363869</v>
      </c>
      <c r="BI692" s="377">
        <f>BI689-(BI626-BI628)/BI687</f>
        <v>1.5309062336301729</v>
      </c>
      <c r="BJ692" s="98">
        <f>IF(ISERROR((BI692/BA692-1)*100),"NA",IF(((BI692/BA692-1)*100)&gt;100,"NM",IF(((BI692/BA692-1)*100)&lt;-50,"NM",(BI692/BA692-1)*100)))</f>
        <v>27.009128154296324</v>
      </c>
      <c r="BK692" s="377">
        <f>BK689-(BK626-BK628)/BK687</f>
        <v>1.3785236659236921</v>
      </c>
      <c r="BL692" s="98">
        <f>IF(ISERROR((BK692/BC692-1)*100),"NA",IF(((BK692/BC692-1)*100)&gt;100,"NM",IF(((BK692/BC692-1)*100)&lt;-50,"NM",(BK692/BC692-1)*100)))</f>
        <v>13.464229821825601</v>
      </c>
      <c r="BM692" s="377">
        <f>BM689-(BM626-BM628)/BM687</f>
        <v>1.3981090041108606</v>
      </c>
      <c r="BN692" s="98">
        <f>IF(ISERROR((BM692/BE692-1)*100),"NA",IF(((BM692/BE692-1)*100)&gt;100,"NM",IF(((BM692/BE692-1)*100)&lt;-50,"NM",(BM692/BE692-1)*100)))</f>
        <v>6.0724309203244786</v>
      </c>
      <c r="BO692" s="377">
        <f>BO689-(BO626-BO628)/BO687</f>
        <v>1.409853964787771</v>
      </c>
      <c r="BP692" s="98">
        <f>IF(ISERROR((BO692/BG692-1)*100),"NA",IF(((BO692/BG692-1)*100)&gt;100,"NM",IF(((BO692/BG692-1)*100)&lt;-50,"NM",(BO692/BG692-1)*100)))</f>
        <v>7.0403439603430096</v>
      </c>
      <c r="BQ692" s="377">
        <f>BQ689-(BQ626-BQ628)/BQ687</f>
        <v>1.318651066758431</v>
      </c>
      <c r="BR692" s="98">
        <f>IF(ISERROR((BQ692/BI692-1)*100),"NA",IF(((BQ692/BI692-1)*100)&gt;100,"NM",IF(((BQ692/BI692-1)*100)&lt;-50,"NM",(BQ692/BI692-1)*100)))</f>
        <v>-13.864674544333798</v>
      </c>
      <c r="BS692" s="377">
        <f>BS689-(BS626-BS628)/BS687</f>
        <v>1.0427844270188471</v>
      </c>
      <c r="BT692" s="98">
        <f>IF(ISERROR((BS692/BK692-1)*100),"NA",IF(((BS692/BK692-1)*100)&gt;100,"NM",IF(((BS692/BK692-1)*100)&lt;-50,"NM",(BS692/BK692-1)*100)))</f>
        <v>-24.354985496740088</v>
      </c>
      <c r="BU692" s="377">
        <f>BU689-(BU626-BU628)/BU687</f>
        <v>0.20035282258064518</v>
      </c>
      <c r="BV692" s="98" t="str">
        <f>IF(ISERROR((BU692/BM692-1)*100),"NA",IF(((BU692/BM692-1)*100)&gt;100,"NM",IF(((BU692/BM692-1)*100)&lt;-50,"NM",(BU692/BM692-1)*100)))</f>
        <v>NM</v>
      </c>
      <c r="BW692" s="377">
        <f>BW689-(BW626-BW628)/BW687</f>
        <v>0.1825357671435619</v>
      </c>
      <c r="BX692" s="98" t="str">
        <f>IF(ISERROR((BW692/BO692-1)*100),"NA",IF(((BW692/BO692-1)*100)&gt;100,"NM",IF(((BW692/BO692-1)*100)&lt;-50,"NM",(BW692/BO692-1)*100)))</f>
        <v>NM</v>
      </c>
      <c r="BY692" s="377">
        <f>BY689-(BY626-BY628)/BY687</f>
        <v>0.27027027027027029</v>
      </c>
      <c r="BZ692" s="98" t="str">
        <f>IF(ISERROR((BY692/BQ692-1)*100),"NA",IF(((BY692/BQ692-1)*100)&gt;100,"NM",IF(((BY692/BQ692-1)*100)&lt;-50,"NM",(BY692/BQ692-1)*100)))</f>
        <v>NM</v>
      </c>
      <c r="CA692" s="377">
        <f>CA689-(CA626-CA628)/CA687</f>
        <v>0.26109029372658044</v>
      </c>
      <c r="CB692" s="98" t="str">
        <f>IF(ISERROR((CA692/BS692-1)*100),"NA",IF(((CA692/BS692-1)*100)&gt;100,"NM",IF(((CA692/BS692-1)*100)&lt;-50,"NM",(CA692/BS692-1)*100)))</f>
        <v>NM</v>
      </c>
      <c r="CC692" s="377">
        <f>CC689-(CC626-CC628)/CC687</f>
        <v>0.19806763285024154</v>
      </c>
      <c r="CD692" s="98">
        <f>IF(ISERROR((CC692/BU692-1)*100),"NA",IF(((CC692/BU692-1)*100)&gt;100,"NM",IF(((CC692/BU692-1)*100)&lt;-50,"NM",(CC692/BU692-1)*100)))</f>
        <v>-1.1405827484580744</v>
      </c>
      <c r="CE692" s="377">
        <f>CE689-(CE626-CE628)/CE687</f>
        <v>0.35240164132271301</v>
      </c>
      <c r="CF692" s="98">
        <f>IF(ISERROR((CE692/BW692-1)*100),"NA",IF(((CE692/BW692-1)*100)&gt;100,"NM",IF(((CE692/BW692-1)*100)&lt;-50,"NM",(CE692/BW692-1)*100)))</f>
        <v>93.058953232740365</v>
      </c>
      <c r="CG692" s="377">
        <f>CG689-(CG626-CG628)/CG687</f>
        <v>0.28898254063816975</v>
      </c>
      <c r="CH692" s="98">
        <f>IF(ISERROR((CG692/BY692-1)*100),"NA",IF(((CG692/BY692-1)*100)&gt;100,"NM",IF(((CG692/BY692-1)*100)&lt;-50,"NM",(CG692/BY692-1)*100)))</f>
        <v>6.9235400361228105</v>
      </c>
      <c r="CI692" s="377">
        <f>CI689-(CI626-CI628)/CI687</f>
        <v>0.2117540482391575</v>
      </c>
      <c r="CJ692" s="98">
        <f>IF(ISERROR((CI692/CA692-1)*100),"NA",IF(((CI692/CA692-1)*100)&gt;100,"NM",IF(((CI692/CA692-1)*100)&lt;-50,"NM",(CI692/CA692-1)*100)))</f>
        <v>-18.896238838770827</v>
      </c>
      <c r="CK692" s="377">
        <f>CK689-(CK627/CK687)</f>
        <v>0.40595132525371957</v>
      </c>
      <c r="CL692" s="98" t="str">
        <f>IF(ISERROR((CK692/CC692-1)*100),"NA",IF(((CK692/CC692-1)*100)&gt;100,"NM",IF(((CK692/CC692-1)*100)&lt;-50,"NM",(CK692/CC692-1)*100)))</f>
        <v>NM</v>
      </c>
      <c r="CM692" s="377">
        <f>+CM628/CM687</f>
        <v>0.6161757830762038</v>
      </c>
      <c r="CN692" s="98">
        <f>IF(ISERROR((CM692/CE692-1)*100),"NA",IF(((CM692/CE692-1)*100)&gt;100,"NM",IF(((CM692/CE692-1)*100)&lt;-50,"NM",(CM692/CE692-1)*100)))</f>
        <v>74.850429403062478</v>
      </c>
      <c r="CO692" s="377">
        <f>+CO628/CO687</f>
        <v>0.6386554621848739</v>
      </c>
      <c r="CP692" s="98" t="str">
        <f>IF(ISERROR((CO692/CG692-1)*100),"NA",IF(((CO692/CG692-1)*100)&gt;100,"NM",IF(((CO692/CG692-1)*100)&lt;-50,"NM",(CO692/CG692-1)*100)))</f>
        <v>NM</v>
      </c>
      <c r="CQ692" s="531">
        <f>+CQ628/CQ687</f>
        <v>0.75595573063215149</v>
      </c>
      <c r="CR692" s="98" t="str">
        <f>IF(ISERROR((CQ692/CI692-1)*100),"NA",IF(((CQ692/CI692-1)*100)&gt;100,"NM",IF(((CQ692/CI692-1)*100)&lt;-50,"NM",(CQ692/CI692-1)*100)))</f>
        <v>NM</v>
      </c>
      <c r="CS692" s="377">
        <f>+CS628/CS687</f>
        <v>0.77839257244677862</v>
      </c>
      <c r="CT692" s="98">
        <f>IF(ISERROR((CS692/CK692-1)*100),"NA",IF(((CS692/CK692-1)*100)&gt;100,"NM",IF(((CS692/CK692-1)*100)&lt;-50,"NM",(CS692/CK692-1)*100)))</f>
        <v>91.745296547630019</v>
      </c>
      <c r="CU692" s="377">
        <f>+CU628/CU687</f>
        <v>0.9393967690727425</v>
      </c>
      <c r="CV692" s="98">
        <f>IF(ISERROR((CU692/CM692-1)*100),"NA",IF(((CU692/CM692-1)*100)&gt;100,"NM",IF(((CU692/CM692-1)*100)&lt;-50,"NM",(CU692/CM692-1)*100)))</f>
        <v>52.455970337374524</v>
      </c>
      <c r="CW692" s="377">
        <f>+CW628/CW687</f>
        <v>0.91028037383177574</v>
      </c>
      <c r="CX692" s="98">
        <f>IF(ISERROR((CW692/CO692-1)*100),"NA",IF(((CW692/CO692-1)*100)&gt;100,"NM",IF(((CW692/CO692-1)*100)&lt;-50,"NM",(CW692/CO692-1)*100)))</f>
        <v>42.530742744712271</v>
      </c>
      <c r="CY692" s="377">
        <f>+CY628/CY687</f>
        <v>0.88048552754435105</v>
      </c>
      <c r="CZ692" s="98">
        <f>IF(ISERROR((CY692/CQ692-1)*100),"NA",IF(((CY692/CQ692-1)*100)&gt;100,"NM",IF(((CY692/CQ692-1)*100)&lt;-50,"NM",(CY692/CQ692-1)*100)))</f>
        <v>16.473159983596418</v>
      </c>
      <c r="DA692" s="377">
        <f>+DA628/DA687</f>
        <v>0.75170842824601369</v>
      </c>
      <c r="DB692" s="98">
        <f>IF(ISERROR((DA692/CS692-1)*100),"NA",IF(((DA692/CS692-1)*100)&gt;100,"NM",IF(((DA692/CS692-1)*100)&lt;-50,"NM",(DA692/CS692-1)*100)))</f>
        <v>-3.4281087905151386</v>
      </c>
      <c r="DC692" s="377">
        <f>+DC628/DC687</f>
        <v>0.90134975994202371</v>
      </c>
      <c r="DD692" s="98">
        <f>IF(ISERROR((DC692/CU692-1)*100),"NA",IF(((DC692/CU692-1)*100)&gt;100,"NM",IF(((DC692/CU692-1)*100)&lt;-50,"NM",(DC692/CU692-1)*100)))</f>
        <v>-4.0501532880801943</v>
      </c>
      <c r="DE692" s="377">
        <f>+DE628/DE687</f>
        <v>0.90358724134815216</v>
      </c>
      <c r="DF692" s="98">
        <f>IF(ISERROR((DE692/CW692-1)*100),"NA",IF(((DE692/CW692-1)*100)&gt;100,"NM",IF(((DE692/CW692-1)*100)&lt;-50,"NM",(DE692/CW692-1)*100)))</f>
        <v>-0.73528252130156124</v>
      </c>
      <c r="DG692" s="377">
        <f>+DG628/DG687</f>
        <v>0.79119305468540213</v>
      </c>
      <c r="DH692" s="98">
        <f>IF(ISERROR((DG692/CY692-1)*100),"NA",IF(((DG692/CY692-1)*100)&gt;100,"NM",IF(((DG692/CY692-1)*100)&lt;-50,"NM",(DG692/CY692-1)*100)))</f>
        <v>-10.141276609961213</v>
      </c>
      <c r="DI692" s="377">
        <f>+DI628/DI687</f>
        <v>0.8171513926719971</v>
      </c>
      <c r="DJ692" s="98">
        <f>IF(ISERROR((DI692/DA692-1)*100),"NA",IF(((DI692/DA692-1)*100)&gt;100,"NM",IF(((DI692/DA692-1)*100)&lt;-50,"NM",(DI692/DA692-1)*100)))</f>
        <v>8.7058973887899072</v>
      </c>
      <c r="DK692" s="377">
        <f>+DK628/DK687</f>
        <v>0.82946076282332315</v>
      </c>
      <c r="DL692" s="98">
        <f>IF(ISERROR((DK692/DC692-1)*100),"NA",IF(((DK692/DC692-1)*100)&gt;100,"NM",IF(((DK692/DC692-1)*100)&lt;-50,"NM",(DK692/DC692-1)*100)))</f>
        <v>-7.9757049165159355</v>
      </c>
      <c r="DM692" s="377">
        <f>+DM628/DM687</f>
        <v>0.78263153287227527</v>
      </c>
      <c r="DN692" s="98">
        <f>IF(ISERROR((DM692/DE692-1)*100),"NA",IF(((DM692/DE692-1)*100)&gt;100,"NM",IF(((DM692/DE692-1)*100)&lt;-50,"NM",(DM692/DE692-1)*100)))</f>
        <v>-13.3861682570253</v>
      </c>
      <c r="DO692" s="377">
        <f>+DO628/DO687</f>
        <v>0.90972830850131459</v>
      </c>
      <c r="DP692" s="98">
        <f>IF(ISERROR((DO692/DG692-1)*100),"NA",IF(((DO692/DG692-1)*100)&gt;100,"NM",IF(((DO692/DG692-1)*100)&lt;-50,"NM",(DO692/DG692-1)*100)))</f>
        <v>14.981837000963694</v>
      </c>
      <c r="DQ692" s="377">
        <f>+DQ628/DQ687</f>
        <v>0.81147040878584509</v>
      </c>
      <c r="DR692" s="98">
        <f>IF(ISERROR((DQ692/DI692-1)*100),"NA",IF(((DQ692/DI692-1)*100)&gt;100,"NM",IF(((DQ692/DI692-1)*100)&lt;-50,"NM",(DQ692/DI692-1)*100)))</f>
        <v>-0.69521803879888378</v>
      </c>
      <c r="DS692" s="891">
        <f>(+DS628-2)/DS687</f>
        <v>1.1269589716499384</v>
      </c>
      <c r="DT692" s="98">
        <f>IF(ISERROR((DS692/DK692-1)*100),"NA",IF(((DS692/DK692-1)*100)&gt;100,"NM",IF(((DS692/DK692-1)*100)&lt;-50,"NM",(DS692/DK692-1)*100)))</f>
        <v>35.866459531369422</v>
      </c>
      <c r="DU692" s="377">
        <f>+DU628/DU687</f>
        <v>1.1503013115916343</v>
      </c>
      <c r="DV692" s="98">
        <f>IF(ISERROR((DU692/DM692-1)*100),"NA",IF(((DU692/DM692-1)*100)&gt;100,"NM",IF(((DU692/DM692-1)*100)&lt;-50,"NM",(DU692/DM692-1)*100)))</f>
        <v>46.978656401691701</v>
      </c>
      <c r="DW692" s="377">
        <f>+DW628/DW687</f>
        <v>1.0195592530312416</v>
      </c>
      <c r="DX692" s="98">
        <f>IF(ISERROR((DW692/DO692-1)*100),"NA",IF(((DW692/DO692-1)*100)&gt;100,"NM",IF(((DW692/DO692-1)*100)&lt;-50,"NM",(DW692/DO692-1)*100)))</f>
        <v>12.072939085611445</v>
      </c>
      <c r="DY692" s="377">
        <f>+DY628/DY687</f>
        <v>0.94257178526841445</v>
      </c>
      <c r="DZ692" s="98">
        <f>IF(ISERROR((DY692/DQ692-1)*100),"NA",IF(((DY692/DQ692-1)*100)&gt;100,"NM",IF(((DY692/DQ692-1)*100)&lt;-50,"NM",(DY692/DQ692-1)*100)))</f>
        <v>16.156026771047461</v>
      </c>
      <c r="EA692" s="377">
        <f>+EA628/EA687</f>
        <v>0.99675266101389148</v>
      </c>
      <c r="EB692" s="98">
        <f>IF(ISERROR((EA692/DS692-1)*100),"NA",IF(((EA692/DS692-1)*100)&gt;100,"NM",IF(((EA692/DS692-1)*100)&lt;-50,"NM",(EA692/DS692-1)*100)))</f>
        <v>-11.553775595345472</v>
      </c>
      <c r="EC692" s="377">
        <f>+EC628/EC687</f>
        <v>0.9241727526823551</v>
      </c>
      <c r="ED692" s="98">
        <f>IF(ISERROR((EC692/DU692-1)*100),"NA",IF(((EC692/DU692-1)*100)&gt;100,"NM",IF(((EC692/DU692-1)*100)&lt;-50,"NM",(EC692/DU692-1)*100)))</f>
        <v>-19.658202301481552</v>
      </c>
      <c r="EE692" s="377">
        <f>+EE628/EE687</f>
        <v>1.2667447940142433</v>
      </c>
      <c r="EF692" s="860">
        <f>IF(ISERROR((EE692/DW692-1)*100),"NA",IF(((EE692/DW692-1)*100)&gt;100,"NM",IF(((EE692/DW692-1)*100)&lt;-50,"NM",(EE692/DW692-1)*100)))</f>
        <v>24.244352669851878</v>
      </c>
      <c r="EG692" s="377">
        <f>+EG628/EG687</f>
        <v>1.0353535353535355</v>
      </c>
      <c r="EH692" s="860">
        <f>IF(ISERROR((EG692/DY692-1)*100),"NA",IF(((EG692/DY692-1)*100)&gt;100,"NM",IF(((EG692/DY692-1)*100)&lt;-50,"NM",(EG692/DY692-1)*100)))</f>
        <v>9.8434677904876811</v>
      </c>
      <c r="EI692" s="377">
        <f>+EI628/EI687</f>
        <v>1.166833530536088</v>
      </c>
      <c r="EJ692" s="860">
        <f t="shared" ref="EJ692" si="4164">IF(ISERROR((EI692/EA692-1)*100),"NA",IF(((EI692/EA692-1)*100)&gt;100,"NM",IF(((EI692/EA692-1)*100)&lt;-50,"NM",(EI692/EA692-1)*100)))</f>
        <v>17.063497914235938</v>
      </c>
      <c r="EK692" s="377">
        <f>+EK628/EK687</f>
        <v>1.0701413917382867</v>
      </c>
      <c r="EL692" s="860">
        <f t="shared" ref="EL692" si="4165">IF(ISERROR((EK692/EC692-1)*100),"NA",IF(((EK692/EC692-1)*100)&gt;100,"NM",IF(((EK692/EC692-1)*100)&lt;-50,"NM",(EK692/EC692-1)*100)))</f>
        <v>15.794518787993539</v>
      </c>
      <c r="EM692" s="377">
        <f>+EM628/EM687</f>
        <v>1.0536630891273915</v>
      </c>
      <c r="EN692" s="860">
        <f t="shared" ref="EN692" si="4166">IF(ISERROR((EM692/EE692-1)*100),"NA",IF(((EM692/EE692-1)*100)&gt;100,"NM",IF(((EM692/EE692-1)*100)&lt;-50,"NM",(EM692/EE692-1)*100)))</f>
        <v>-16.821202336392304</v>
      </c>
      <c r="EO692" s="377">
        <f>+EO628/EO687</f>
        <v>1.0742867903210622</v>
      </c>
      <c r="EP692" s="98">
        <f t="shared" ref="EP692" si="4167">IF(ISERROR((EO692/EG692-1)*100),"NA",IF(((EO692/EG692-1)*100)&gt;100,"NM",IF(((EO692/EG692-1)*100)&lt;-50,"NM",(EO692/EG692-1)*100)))</f>
        <v>3.7603826749123437</v>
      </c>
      <c r="EQ692" s="1071">
        <f>EQ689-(EQ626-EQ628)/EQ687</f>
        <v>1.175646973242267</v>
      </c>
      <c r="ER692" s="98">
        <f t="shared" ref="ER692" si="4168">IF(ISERROR((EQ692/EI692-1)*100),"NA",IF(((EQ692/EI692-1)*100)&gt;100,"NM",IF(((EQ692/EI692-1)*100)&lt;-50,"NM",(EQ692/EI692-1)*100)))</f>
        <v>0.75532991429632101</v>
      </c>
      <c r="ES692" s="1071">
        <f t="shared" ref="ES692" si="4169">ES689-(ES626-ES628)/ES687</f>
        <v>1.1948101956024264</v>
      </c>
      <c r="ET692" s="98">
        <f t="shared" ref="ET692" si="4170">IF(ISERROR((ES692/EK692-1)*100),"NA",IF(((ES692/EK692-1)*100)&gt;100,"NM",IF(((ES692/EK692-1)*100)&lt;-50,"NM",(ES692/EK692-1)*100)))</f>
        <v>11.649750661604962</v>
      </c>
      <c r="EU692" s="1071">
        <f t="shared" ref="EU692" si="4171">EU689-(EU626-EU628)/EU687</f>
        <v>1.227460917453878</v>
      </c>
      <c r="EV692" s="98">
        <f t="shared" ref="EV692" si="4172">IF(ISERROR((EU692/EM692-1)*100),"NA",IF(((EU692/EM692-1)*100)&gt;100,"NM",IF(((EU692/EM692-1)*100)&lt;-50,"NM",(EU692/EM692-1)*100)))</f>
        <v>16.494630031163005</v>
      </c>
      <c r="EW692" s="1071">
        <f t="shared" ref="EW692" si="4173">EW689-(EW626-EW628)/EW687</f>
        <v>1.2580567406871328</v>
      </c>
      <c r="EX692" s="98">
        <f t="shared" ref="EX692" si="4174">IF(ISERROR((EW692/EO692-1)*100),"NA",IF(((EW692/EO692-1)*100)&gt;100,"NM",IF(((EW692/EO692-1)*100)&lt;-50,"NM",(EW692/EO692-1)*100)))</f>
        <v>17.106228245732112</v>
      </c>
      <c r="EY692" s="377"/>
      <c r="EZ692" s="594"/>
      <c r="FA692" s="405"/>
      <c r="FB692" s="377"/>
      <c r="FC692" s="380"/>
      <c r="FD692" s="377"/>
      <c r="FE692" s="98"/>
      <c r="FF692" s="377"/>
      <c r="FG692" s="98"/>
      <c r="FH692" s="377"/>
      <c r="FI692" s="98"/>
      <c r="FJ692" s="377"/>
      <c r="FK692" s="98"/>
      <c r="FL692" s="377"/>
      <c r="FM692" s="98"/>
      <c r="FN692" s="377">
        <f>FN689</f>
        <v>3.4899999999999998</v>
      </c>
      <c r="FO692" s="98" t="str">
        <f>IF(ISERROR((FN692/FF692-1)*100),"NA",IF(((FN692/FF692-1)*100)&gt;100,"NM",IF(((FN692/FF692-1)*100)&lt;-50,"NM",(FN692/FF692-1)*100)))</f>
        <v>NA</v>
      </c>
      <c r="FP692" s="377">
        <f>AW692+AU692+AS692+AQ692</f>
        <v>3.8274130453615784</v>
      </c>
      <c r="FQ692" s="98">
        <f>IF(ISERROR((FP692/FN692-1)*100),"NA",IF(((FP692/FN692-1)*100)&gt;100,"NM",IF(((FP692/FN692-1)*100)&lt;-50,"NM",(FP692/FN692-1)*100)))</f>
        <v>9.6679955690996735</v>
      </c>
      <c r="FR692" s="382">
        <f>FR689-(FR626-FR628)/FR687</f>
        <v>4.9184897099335609</v>
      </c>
      <c r="FS692" s="120">
        <f>IF(ISERROR((FR692/FP692-1)*100),"NA",IF(((FR692/FP692-1)*100)&gt;100,"NM",IF(((FR692/FP692-1)*100)&lt;-50,"NM",(FR692/FP692-1)*100)))</f>
        <v>28.506896215297495</v>
      </c>
      <c r="FT692" s="382">
        <f>BG692+BI692+BK692+BM692</f>
        <v>5.6246628147296072</v>
      </c>
      <c r="FU692" s="120">
        <f>IF(ISERROR((FT692/FR692-1)*100),"NA",IF(((FT692/FR692-1)*100)&gt;100,"NM",IF(((FT692/FR692-1)*100)&lt;-50,"NM",(FT692/FR692-1)*100)))</f>
        <v>14.357519206959669</v>
      </c>
      <c r="FV692" s="377">
        <f>FV689-(FV626-FV628)/FV687</f>
        <v>3.9047970727449735</v>
      </c>
      <c r="FW692" s="98">
        <f>IF(ISERROR((FV692/FT692-1)*100),"NA",IF(((FV692/FT692-1)*100)&gt;100,"NM",IF(((FV692/FT692-1)*100)&lt;-50,"NM",(FV692/FT692-1)*100)))</f>
        <v>-30.577223891194482</v>
      </c>
      <c r="FX692" s="531">
        <f>FX689-(FX626-FX628)/FX687</f>
        <v>0.91273699562469623</v>
      </c>
      <c r="FY692" s="98" t="str">
        <f>IF(ISERROR((FX692/FV692-1)*100),"NA",IF(((FX692/FV692-1)*100)&gt;100,"NM",IF(((FX692/FV692-1)*100)&lt;-50,"NM",(FX692/FV692-1)*100)))</f>
        <v>NM</v>
      </c>
      <c r="FZ692" s="377">
        <f>FZ689-(FZ626-FZ628)/FZ687</f>
        <v>1.2718225520789406</v>
      </c>
      <c r="GA692" s="98">
        <f>IF(ISERROR((FZ692/FX692-1)*100),"NA",IF(((FZ692/FX692-1)*100)&gt;100,"NM",IF(((FZ692/FX692-1)*100)&lt;-50,"NM",(FZ692/FX692-1)*100)))</f>
        <v>39.341623948142782</v>
      </c>
      <c r="GB692" s="531">
        <f>GB689-(GB626-GB628)/GB687</f>
        <v>3.1855838989000702</v>
      </c>
      <c r="GC692" s="98" t="str">
        <f>IF(ISERROR((GB692/FZ692-1)*100),"NA",IF(((GB692/FZ692-1)*100)&gt;100,"NM",IF(((GB692/FZ692-1)*100)&lt;-50,"NM",(GB692/FZ692-1)*100)))</f>
        <v>NM</v>
      </c>
      <c r="GD692" s="377">
        <f>GD689-(GD626-GD628)/GD687</f>
        <v>3.4789065763215299</v>
      </c>
      <c r="GE692" s="98">
        <f>IF(ISERROR((GD692/GB692-1)*100),"NA",IF(((GD692/GB692-1)*100)&gt;100,"NM",IF(((GD692/GB692-1)*100)&lt;-50,"NM",(GD692/GB692-1)*100)))</f>
        <v>9.2078151676601383</v>
      </c>
      <c r="GF692" s="377">
        <f>GF689-(GF626-GF628)/GF687</f>
        <v>4.7863860277653378</v>
      </c>
      <c r="GG692" s="98">
        <f>IF(ISERROR((GF692/GD692-1)*100),"NA",IF(((GF692/GD692-1)*100)&gt;100,"NM",IF(((GF692/GD692-1)*100)&lt;-50,"NM",(GF692/GD692-1)*100)))</f>
        <v>37.583057284231238</v>
      </c>
      <c r="GH692" s="377">
        <f>GH689-(GH626-GH628)/GH687</f>
        <v>4.7305900111570516</v>
      </c>
      <c r="GI692" s="98">
        <f>IF(ISERROR((GH692/GF692-1)*100),"NA",IF(((GH692/GF692-1)*100)&gt;100,"NM",IF(((GH692/GF692-1)*100)&lt;-50,"NM",(GH692/GF692-1)*100)))</f>
        <v>-1.1657232886068791</v>
      </c>
      <c r="GJ692" s="377">
        <f>GJ689-(GJ626-GJ628)/GJ687</f>
        <v>4.2422766028125345</v>
      </c>
      <c r="GK692" s="98">
        <f>IF(ISERROR((GJ692/GH692-1)*100),"NA",IF(((GJ692/GH692-1)*100)&gt;100,"NM",IF(((GJ692/GH692-1)*100)&lt;-50,"NM",(GJ692/GH692-1)*100)))</f>
        <v>-10.322463100645685</v>
      </c>
      <c r="GL692" s="377">
        <f>GL689-(GL626-GL628)/GL687</f>
        <v>4.2230939176698685</v>
      </c>
      <c r="GM692" s="98">
        <f>IF(ISERROR((GL692/GJ692-1)*100),"NA",IF(((GL692/GJ692-1)*100)&gt;100,"NM",IF(((GL692/GJ692-1)*100)&lt;-50,"NM",(GL692/GJ692-1)*100)))</f>
        <v>-0.45217902882495054</v>
      </c>
      <c r="GN692" s="1071">
        <f>GN689-(GN626-GN628)/GN687</f>
        <v>4.3667717411459304</v>
      </c>
      <c r="GO692" s="98">
        <f>IF(ISERROR((GN692/GL692-1)*100),"NA",IF(((GN692/GL692-1)*100)&gt;100,"NM",IF(((GN692/GL692-1)*100)&lt;-50,"NM",(GN692/GL692-1)*100)))</f>
        <v>3.4021934220998196</v>
      </c>
      <c r="GP692" s="1071">
        <f>GP689-(GP626-GP628)/GP687</f>
        <v>4.8537545892026177</v>
      </c>
      <c r="GQ692" s="98">
        <f>IF(ISERROR((GP692/GN692-1)*100),"NA",IF(((GP692/GN692-1)*100)&gt;100,"NM",IF(((GP692/GN692-1)*100)&lt;-50,"NM",(GP692/GN692-1)*100)))</f>
        <v>11.152010613884134</v>
      </c>
      <c r="GR692" s="377">
        <f>GR628/GR687</f>
        <v>5.3505339451739911</v>
      </c>
      <c r="GS692" s="98">
        <f>IF(ISERROR((GR692/GP692-1)*100),"NA",IF(((GR692/GP692-1)*100)&gt;100,"NM",IF(((GR692/GP692-1)*100)&lt;-50,"NM",(GR692/GP692-1)*100)))</f>
        <v>10.234950013263555</v>
      </c>
      <c r="GT692" s="377">
        <f>GT628/GT687</f>
        <v>5.8484909473717046</v>
      </c>
      <c r="GU692" s="98">
        <f>IF(ISERROR((GT692/GR692-1)*100),"NA",IF(((GT692/GR692-1)*100)&gt;100,"NM",IF(((GT692/GR692-1)*100)&lt;-50,"NM",(GT692/GR692-1)*100)))</f>
        <v>9.3066786847853642</v>
      </c>
      <c r="GV692" s="377">
        <f>GV628/GV687</f>
        <v>6.4018315140999009</v>
      </c>
      <c r="GW692" s="98">
        <f>IF(ISERROR((GV692/GT692-1)*100),"NA",IF(((GV692/GT692-1)*100)&gt;100,"NM",IF(((GV692/GT692-1)*100)&lt;-50,"NM",(GV692/GT692-1)*100)))</f>
        <v>9.4612537098457175</v>
      </c>
      <c r="GX692" s="377">
        <f>GX628/GX687</f>
        <v>6.9019374914110392</v>
      </c>
      <c r="GY692" s="98">
        <f>IF(ISERROR((GX692/GV692-1)*100),"NA",IF(((GX692/GV692-1)*100)&gt;100,"NM",IF(((GX692/GV692-1)*100)&lt;-50,"NM",(GX692/GV692-1)*100)))</f>
        <v>7.8119203263888659</v>
      </c>
      <c r="GZ692" s="98">
        <f>IF(ISERROR(((GX692/GN692)^0.2-1)*100),"NA",IF((((GX692/GN692)^0.2-1)*100)&gt;100,"NM",IF((((GX692/GN692)^0.2-1)*100)&lt;-50,"NM",((GX692/GN692)^0.2-1)*100)))</f>
        <v>9.5877741730069808</v>
      </c>
      <c r="HA692" s="98"/>
      <c r="HB692" s="10"/>
      <c r="HC692"/>
      <c r="HD692"/>
      <c r="HE692"/>
      <c r="HF692"/>
      <c r="HG692"/>
      <c r="HH692"/>
      <c r="HI692" s="10"/>
    </row>
    <row r="693" spans="1:217" s="2" customFormat="1" ht="12.75" customHeight="1" x14ac:dyDescent="0.2">
      <c r="B693" s="131"/>
      <c r="C693" s="377"/>
      <c r="D693" s="378"/>
      <c r="E693" s="377"/>
      <c r="F693" s="378"/>
      <c r="G693" s="377"/>
      <c r="H693" s="378"/>
      <c r="I693" s="377"/>
      <c r="J693" s="98"/>
      <c r="K693" s="377"/>
      <c r="L693" s="98"/>
      <c r="M693" s="377"/>
      <c r="N693" s="98"/>
      <c r="O693" s="377"/>
      <c r="P693" s="98"/>
      <c r="Q693" s="377"/>
      <c r="R693" s="98"/>
      <c r="S693" s="377"/>
      <c r="T693" s="98"/>
      <c r="U693" s="377"/>
      <c r="V693" s="98"/>
      <c r="W693" s="377"/>
      <c r="X693" s="98"/>
      <c r="Y693" s="377"/>
      <c r="Z693" s="98"/>
      <c r="AA693" s="377"/>
      <c r="AB693" s="98"/>
      <c r="AC693" s="377"/>
      <c r="AD693" s="98"/>
      <c r="AE693" s="377"/>
      <c r="AF693" s="98"/>
      <c r="AG693" s="377"/>
      <c r="AH693" s="98"/>
      <c r="AI693" s="377"/>
      <c r="AJ693" s="98"/>
      <c r="AK693" s="377"/>
      <c r="AL693" s="98"/>
      <c r="AM693" s="377"/>
      <c r="AN693" s="98"/>
      <c r="AO693" s="377"/>
      <c r="AP693" s="98"/>
      <c r="AQ693" s="377"/>
      <c r="AR693" s="98"/>
      <c r="AS693" s="377"/>
      <c r="AT693" s="98"/>
      <c r="AU693" s="377"/>
      <c r="AV693" s="98"/>
      <c r="AW693" s="377"/>
      <c r="AX693" s="98"/>
      <c r="AY693" s="377"/>
      <c r="AZ693" s="98"/>
      <c r="BA693" s="377"/>
      <c r="BB693" s="98"/>
      <c r="BC693" s="377"/>
      <c r="BD693" s="98"/>
      <c r="BE693" s="377"/>
      <c r="BF693" s="98"/>
      <c r="BG693" s="377"/>
      <c r="BH693" s="98"/>
      <c r="BI693" s="377"/>
      <c r="BJ693" s="98"/>
      <c r="BK693" s="377"/>
      <c r="BL693" s="98"/>
      <c r="BM693" s="377"/>
      <c r="BN693" s="98"/>
      <c r="BO693" s="377"/>
      <c r="BP693" s="98"/>
      <c r="BQ693" s="377"/>
      <c r="BR693" s="98"/>
      <c r="BS693" s="377"/>
      <c r="BT693" s="98"/>
      <c r="BU693" s="377"/>
      <c r="BV693" s="98"/>
      <c r="BW693" s="377"/>
      <c r="BX693" s="98"/>
      <c r="BY693" s="377"/>
      <c r="BZ693" s="98"/>
      <c r="CA693" s="377"/>
      <c r="CB693" s="98"/>
      <c r="CC693" s="377"/>
      <c r="CD693" s="98"/>
      <c r="CE693" s="377"/>
      <c r="CF693" s="98"/>
      <c r="CG693" s="377"/>
      <c r="CH693" s="98"/>
      <c r="CI693" s="377"/>
      <c r="CJ693" s="98"/>
      <c r="CK693" s="377"/>
      <c r="CL693" s="98"/>
      <c r="CM693" s="377"/>
      <c r="CN693" s="98"/>
      <c r="CO693" s="377"/>
      <c r="CP693" s="98"/>
      <c r="CQ693" s="531"/>
      <c r="CR693" s="98"/>
      <c r="CS693" s="377"/>
      <c r="CT693" s="98"/>
      <c r="CU693" s="377"/>
      <c r="CV693" s="98"/>
      <c r="CW693" s="377"/>
      <c r="CX693" s="98"/>
      <c r="CY693" s="377"/>
      <c r="CZ693" s="98"/>
      <c r="DA693" s="377"/>
      <c r="DB693" s="98"/>
      <c r="DC693" s="377"/>
      <c r="DD693" s="98"/>
      <c r="DE693" s="377"/>
      <c r="DF693" s="98"/>
      <c r="DG693" s="377"/>
      <c r="DH693" s="98"/>
      <c r="DI693" s="377"/>
      <c r="DJ693" s="98"/>
      <c r="DK693" s="377"/>
      <c r="DL693" s="98"/>
      <c r="DM693" s="377"/>
      <c r="DN693" s="98"/>
      <c r="DO693" s="377"/>
      <c r="DP693" s="98"/>
      <c r="DQ693" s="377"/>
      <c r="DR693" s="98"/>
      <c r="DS693" s="377"/>
      <c r="DT693" s="98"/>
      <c r="DU693" s="377"/>
      <c r="DV693" s="98"/>
      <c r="DW693" s="377"/>
      <c r="DX693" s="98"/>
      <c r="DY693" s="377"/>
      <c r="DZ693" s="98"/>
      <c r="EA693" s="377"/>
      <c r="EB693" s="98"/>
      <c r="EC693" s="377"/>
      <c r="ED693" s="98"/>
      <c r="EE693" s="377"/>
      <c r="EF693" s="860"/>
      <c r="EG693" s="377"/>
      <c r="EH693" s="860"/>
      <c r="EI693" s="377"/>
      <c r="EJ693" s="860"/>
      <c r="EK693" s="377"/>
      <c r="EL693" s="860"/>
      <c r="EM693" s="377"/>
      <c r="EN693" s="860"/>
      <c r="EO693" s="377"/>
      <c r="EP693" s="98"/>
      <c r="EQ693" s="1071"/>
      <c r="ER693" s="98"/>
      <c r="ES693" s="1071"/>
      <c r="ET693" s="98"/>
      <c r="EU693" s="1071"/>
      <c r="EV693" s="98"/>
      <c r="EW693" s="1071"/>
      <c r="EX693" s="98"/>
      <c r="EY693" s="377"/>
      <c r="EZ693" s="594"/>
      <c r="FA693" s="405"/>
      <c r="FB693" s="377"/>
      <c r="FC693" s="380"/>
      <c r="FD693" s="377"/>
      <c r="FE693" s="98"/>
      <c r="FF693" s="377"/>
      <c r="FG693" s="98"/>
      <c r="FH693" s="377"/>
      <c r="FI693" s="98"/>
      <c r="FJ693" s="377"/>
      <c r="FK693" s="98"/>
      <c r="FL693" s="377"/>
      <c r="FM693" s="98"/>
      <c r="FN693" s="377"/>
      <c r="FO693" s="98"/>
      <c r="FP693" s="377"/>
      <c r="FQ693" s="98"/>
      <c r="FR693" s="382"/>
      <c r="FS693" s="120"/>
      <c r="FT693" s="382"/>
      <c r="FU693" s="120"/>
      <c r="FV693" s="377"/>
      <c r="FW693" s="98"/>
      <c r="FX693" s="531"/>
      <c r="FY693" s="98"/>
      <c r="FZ693" s="377"/>
      <c r="GA693" s="98"/>
      <c r="GB693" s="531"/>
      <c r="GC693" s="98"/>
      <c r="GD693" s="377"/>
      <c r="GE693" s="98"/>
      <c r="GF693" s="377"/>
      <c r="GG693" s="98"/>
      <c r="GH693" s="377"/>
      <c r="GI693" s="98"/>
      <c r="GJ693" s="377"/>
      <c r="GK693" s="98"/>
      <c r="GL693" s="377"/>
      <c r="GM693" s="98"/>
      <c r="GN693" s="377"/>
      <c r="GO693" s="98"/>
      <c r="GP693" s="377"/>
      <c r="GQ693" s="98"/>
      <c r="GR693" s="377"/>
      <c r="GS693" s="98"/>
      <c r="GT693" s="377"/>
      <c r="GU693" s="98"/>
      <c r="GV693" s="377"/>
      <c r="GW693" s="98"/>
      <c r="GX693" s="377"/>
      <c r="GY693" s="98"/>
      <c r="GZ693" s="98"/>
      <c r="HA693" s="98"/>
      <c r="HB693" s="10"/>
      <c r="HC693"/>
      <c r="HD693"/>
      <c r="HE693"/>
      <c r="HF693"/>
      <c r="HG693"/>
      <c r="HH693"/>
      <c r="HI693" s="10"/>
    </row>
    <row r="694" spans="1:217" s="167" customFormat="1" ht="12.75" customHeight="1" x14ac:dyDescent="0.2">
      <c r="B694" s="627" t="s">
        <v>85</v>
      </c>
      <c r="C694" s="628"/>
      <c r="D694" s="629"/>
      <c r="E694" s="628"/>
      <c r="F694" s="629"/>
      <c r="G694" s="628"/>
      <c r="H694" s="629"/>
      <c r="I694" s="628"/>
      <c r="J694" s="156"/>
      <c r="K694" s="628"/>
      <c r="L694" s="156"/>
      <c r="M694" s="628"/>
      <c r="N694" s="156"/>
      <c r="O694" s="628"/>
      <c r="P694" s="156"/>
      <c r="Q694" s="628"/>
      <c r="R694" s="156"/>
      <c r="S694" s="628"/>
      <c r="T694" s="156"/>
      <c r="U694" s="628"/>
      <c r="V694" s="156"/>
      <c r="W694" s="628"/>
      <c r="X694" s="156"/>
      <c r="Y694" s="628"/>
      <c r="Z694" s="156"/>
      <c r="AA694" s="628"/>
      <c r="AB694" s="156"/>
      <c r="AC694" s="628"/>
      <c r="AD694" s="156"/>
      <c r="AE694" s="628"/>
      <c r="AF694" s="156"/>
      <c r="AG694" s="628"/>
      <c r="AH694" s="156"/>
      <c r="AI694" s="628"/>
      <c r="AJ694" s="156"/>
      <c r="AK694" s="628"/>
      <c r="AL694" s="156"/>
      <c r="AM694" s="628"/>
      <c r="AN694" s="156"/>
      <c r="AO694" s="628"/>
      <c r="AP694" s="156"/>
      <c r="AQ694" s="628"/>
      <c r="AR694" s="156"/>
      <c r="AS694" s="628"/>
      <c r="AT694" s="156"/>
      <c r="AU694" s="628"/>
      <c r="AV694" s="156"/>
      <c r="AW694" s="628"/>
      <c r="AX694" s="156"/>
      <c r="AY694" s="628">
        <f>AY689</f>
        <v>1.334547346514048</v>
      </c>
      <c r="AZ694" s="628"/>
      <c r="BA694" s="628">
        <f t="shared" ref="BA694:DE694" si="4175">BA689</f>
        <v>1.2780880633848553</v>
      </c>
      <c r="BB694" s="628"/>
      <c r="BC694" s="628">
        <f t="shared" si="4175"/>
        <v>1.2382060230063332</v>
      </c>
      <c r="BD694" s="628"/>
      <c r="BE694" s="628">
        <f t="shared" si="4175"/>
        <v>1.3633423877894191</v>
      </c>
      <c r="BF694" s="628"/>
      <c r="BG694" s="628">
        <f t="shared" si="4175"/>
        <v>1.4068391626576517</v>
      </c>
      <c r="BH694" s="628"/>
      <c r="BI694" s="628">
        <f t="shared" si="4175"/>
        <v>1.7168674698795181</v>
      </c>
      <c r="BJ694" s="628"/>
      <c r="BK694" s="628">
        <f t="shared" si="4175"/>
        <v>1.4592893667234823</v>
      </c>
      <c r="BL694" s="628"/>
      <c r="BM694" s="628">
        <f t="shared" si="4175"/>
        <v>1.54</v>
      </c>
      <c r="BN694" s="628"/>
      <c r="BO694" s="628">
        <f t="shared" si="4175"/>
        <v>1.4630817524225466</v>
      </c>
      <c r="BP694" s="628"/>
      <c r="BQ694" s="628">
        <f t="shared" si="4175"/>
        <v>1.2209222298692362</v>
      </c>
      <c r="BR694" s="628"/>
      <c r="BS694" s="628">
        <f t="shared" si="4175"/>
        <v>0.83642866969321783</v>
      </c>
      <c r="BT694" s="628"/>
      <c r="BU694" s="628">
        <f t="shared" si="4175"/>
        <v>-5.9223790322580641E-2</v>
      </c>
      <c r="BV694" s="628"/>
      <c r="BW694" s="628">
        <f t="shared" si="4175"/>
        <v>-7.2767636901825361E-2</v>
      </c>
      <c r="BX694" s="628"/>
      <c r="BY694" s="628">
        <f t="shared" si="4175"/>
        <v>0.17331232577869349</v>
      </c>
      <c r="BZ694" s="628"/>
      <c r="CA694" s="628">
        <f t="shared" si="4175"/>
        <v>0.17526894717756558</v>
      </c>
      <c r="CB694" s="628"/>
      <c r="CC694" s="628">
        <f t="shared" si="4175"/>
        <v>3.9855072463768113E-2</v>
      </c>
      <c r="CD694" s="628"/>
      <c r="CE694" s="628">
        <f t="shared" si="4175"/>
        <v>0.28964518464880523</v>
      </c>
      <c r="CF694" s="628"/>
      <c r="CG694" s="628">
        <f t="shared" si="4175"/>
        <v>0.32390126429861527</v>
      </c>
      <c r="CH694" s="628"/>
      <c r="CI694" s="628">
        <f t="shared" si="4175"/>
        <v>0.21854829577624277</v>
      </c>
      <c r="CJ694" s="628"/>
      <c r="CK694" s="628">
        <f t="shared" si="4175"/>
        <v>0.57444083160902548</v>
      </c>
      <c r="CL694" s="628"/>
      <c r="CM694" s="628">
        <f t="shared" si="4175"/>
        <v>0.65825151940158955</v>
      </c>
      <c r="CN694" s="628"/>
      <c r="CO694" s="628">
        <f t="shared" si="4175"/>
        <v>0.60317460317460314</v>
      </c>
      <c r="CP694" s="628"/>
      <c r="CQ694" s="632">
        <f t="shared" si="4175"/>
        <v>0.70437066216469701</v>
      </c>
      <c r="CR694" s="628"/>
      <c r="CS694" s="628">
        <f t="shared" si="4175"/>
        <v>0.75025790115352153</v>
      </c>
      <c r="CT694" s="628"/>
      <c r="CU694" s="628">
        <f t="shared" si="4175"/>
        <v>0.92912503501727506</v>
      </c>
      <c r="CV694" s="628"/>
      <c r="CW694" s="628">
        <f t="shared" si="4175"/>
        <v>0.95700934579439256</v>
      </c>
      <c r="CX694" s="628"/>
      <c r="CY694" s="628">
        <f t="shared" si="4175"/>
        <v>0.86367880485527548</v>
      </c>
      <c r="CZ694" s="628"/>
      <c r="DA694" s="628">
        <f t="shared" si="4175"/>
        <v>0.67425968109339407</v>
      </c>
      <c r="DB694" s="628"/>
      <c r="DC694" s="628">
        <f t="shared" si="4175"/>
        <v>0.90678503487634743</v>
      </c>
      <c r="DD694" s="628"/>
      <c r="DE694" s="628">
        <f t="shared" si="4175"/>
        <v>0.90720159031354475</v>
      </c>
      <c r="DF694" s="156"/>
      <c r="DG694" s="628">
        <f>DG689</f>
        <v>0.74823234583370613</v>
      </c>
      <c r="DH694" s="628"/>
      <c r="DI694" s="628">
        <f>DI689</f>
        <v>0.78727704068183801</v>
      </c>
      <c r="DJ694" s="628"/>
      <c r="DK694" s="628">
        <f>DK689</f>
        <v>0.81192459447610699</v>
      </c>
      <c r="DL694" s="628"/>
      <c r="DM694" s="628">
        <f>DM689</f>
        <v>0.79926464151273746</v>
      </c>
      <c r="DN694" s="875">
        <f t="shared" ref="DN694:DZ694" si="4176">IF(ISERROR((DM694/DE694-1)*100),"NA",IF(((DM694/DE694-1)*100)&gt;100,"NM",IF(((DM694/DE694-1)*100)&lt;-50,"NM",(DM694/DE694-1)*100)))</f>
        <v>-11.897790959945564</v>
      </c>
      <c r="DO694" s="628">
        <f>DO689</f>
        <v>0.91148115687992992</v>
      </c>
      <c r="DP694" s="875">
        <f t="shared" si="4176"/>
        <v>21.817930213151413</v>
      </c>
      <c r="DQ694" s="628">
        <f>DQ689</f>
        <v>0.75394404253464664</v>
      </c>
      <c r="DR694" s="875">
        <f t="shared" si="4176"/>
        <v>-4.2339604008167946</v>
      </c>
      <c r="DS694" s="628">
        <f>DS689</f>
        <v>1.1146328578975173</v>
      </c>
      <c r="DT694" s="875">
        <f t="shared" si="4176"/>
        <v>37.282805014267659</v>
      </c>
      <c r="DU694" s="628">
        <f>DU689</f>
        <v>1.2043601559730595</v>
      </c>
      <c r="DV694" s="875">
        <f t="shared" si="4176"/>
        <v>50.68352751018903</v>
      </c>
      <c r="DW694" s="628">
        <f>DW689</f>
        <v>0.31684219842463934</v>
      </c>
      <c r="DX694" s="875" t="str">
        <f t="shared" si="4176"/>
        <v>NM</v>
      </c>
      <c r="DY694" s="628">
        <f>DY689</f>
        <v>0.88104155519885852</v>
      </c>
      <c r="DZ694" s="875">
        <f t="shared" si="4176"/>
        <v>16.857685119034716</v>
      </c>
      <c r="EA694" s="628">
        <f>EA689</f>
        <v>0.90384268446689531</v>
      </c>
      <c r="EB694" s="875">
        <f t="shared" ref="EB694" si="4177">IF(ISERROR((EA694/DS694-1)*100),"NA",IF(((EA694/DS694-1)*100)&gt;100,"NM",IF(((EA694/DS694-1)*100)&lt;-50,"NM",(EA694/DS694-1)*100)))</f>
        <v>-18.911175275079028</v>
      </c>
      <c r="EC694" s="628">
        <f>EC689</f>
        <v>0.56442160310161393</v>
      </c>
      <c r="ED694" s="875" t="str">
        <f t="shared" ref="ED694" si="4178">IF(ISERROR((EC694/DU694-1)*100),"NA",IF(((EC694/DU694-1)*100)&gt;100,"NM",IF(((EC694/DU694-1)*100)&lt;-50,"NM",(EC694/DU694-1)*100)))</f>
        <v>NM</v>
      </c>
      <c r="EE694" s="628">
        <f>EE689</f>
        <v>1.2214910303795186</v>
      </c>
      <c r="EF694" s="628" t="str">
        <f t="shared" ref="EF694" si="4179">IF(ISERROR((EE694/DW694-1)*100),"NA",IF(((EE694/DW694-1)*100)&gt;100,"NM",IF(((EE694/DW694-1)*100)&lt;-50,"NM",(EE694/DW694-1)*100)))</f>
        <v>NM</v>
      </c>
      <c r="EG694" s="628">
        <f>EG689</f>
        <v>0.95328282828282829</v>
      </c>
      <c r="EH694" s="628">
        <f t="shared" ref="EH694" si="4180">IF(ISERROR((EG694/DY694-1)*100),"NA",IF(((EG694/DY694-1)*100)&gt;100,"NM",IF(((EG694/DY694-1)*100)&lt;-50,"NM",(EG694/DY694-1)*100)))</f>
        <v>8.199530732425476</v>
      </c>
      <c r="EI694" s="628">
        <f>EI689</f>
        <v>1.2023300263948302</v>
      </c>
      <c r="EJ694" s="628">
        <f t="shared" ref="EJ694" si="4181">IF(ISERROR((EI694/EA694-1)*100),"NA",IF(((EI694/EA694-1)*100)&gt;100,"NM",IF(((EI694/EA694-1)*100)&lt;-50,"NM",(EI694/EA694-1)*100)))</f>
        <v>33.024258209711441</v>
      </c>
      <c r="EK694" s="628">
        <f>EK689</f>
        <v>1.0359486184271325</v>
      </c>
      <c r="EL694" s="628">
        <f t="shared" ref="EL694" si="4182">IF(ISERROR((EK694/EC694-1)*100),"NA",IF(((EK694/EC694-1)*100)&gt;100,"NM",IF(((EK694/EC694-1)*100)&lt;-50,"NM",(EK694/EC694-1)*100)))</f>
        <v>83.54163142133109</v>
      </c>
      <c r="EM694" s="628">
        <f>EM689</f>
        <v>1.0405972935137657</v>
      </c>
      <c r="EN694" s="628">
        <f t="shared" ref="EN694" si="4183">IF(ISERROR((EM694/EE694-1)*100),"NA",IF(((EM694/EE694-1)*100)&gt;100,"NM",IF(((EM694/EE694-1)*100)&lt;-50,"NM",(EM694/EE694-1)*100)))</f>
        <v>-14.809256258684844</v>
      </c>
      <c r="EO694" s="628">
        <f>EO689</f>
        <v>0.63835797005931649</v>
      </c>
      <c r="EP694" s="875">
        <f t="shared" ref="EP694" si="4184">IF(ISERROR((EO694/EG694-1)*100),"NA",IF(((EO694/EG694-1)*100)&gt;100,"NM",IF(((EO694/EG694-1)*100)&lt;-50,"NM",(EO694/EG694-1)*100)))</f>
        <v>-33.035826187155152</v>
      </c>
      <c r="EQ694" s="628">
        <f t="shared" ref="EQ694" si="4185">EQ692</f>
        <v>1.175646973242267</v>
      </c>
      <c r="ER694" s="875">
        <f t="shared" ref="ER694" si="4186">IF(ISERROR((EQ694/EI694-1)*100),"NA",IF(((EQ694/EI694-1)*100)&gt;100,"NM",IF(((EQ694/EI694-1)*100)&lt;-50,"NM",(EQ694/EI694-1)*100)))</f>
        <v>-2.2192786145890375</v>
      </c>
      <c r="ES694" s="628">
        <f t="shared" ref="ES694" si="4187">ES692</f>
        <v>1.1948101956024264</v>
      </c>
      <c r="ET694" s="875">
        <f t="shared" ref="ET694" si="4188">IF(ISERROR((ES694/EK694-1)*100),"NA",IF(((ES694/EK694-1)*100)&gt;100,"NM",IF(((ES694/EK694-1)*100)&lt;-50,"NM",(ES694/EK694-1)*100)))</f>
        <v>15.334889621889868</v>
      </c>
      <c r="EU694" s="628">
        <f t="shared" ref="EU694" si="4189">EU692</f>
        <v>1.227460917453878</v>
      </c>
      <c r="EV694" s="875">
        <f t="shared" ref="EV694" si="4190">IF(ISERROR((EU694/EM694-1)*100),"NA",IF(((EU694/EM694-1)*100)&gt;100,"NM",IF(((EU694/EM694-1)*100)&lt;-50,"NM",(EU694/EM694-1)*100)))</f>
        <v>17.957342874603622</v>
      </c>
      <c r="EW694" s="628">
        <f t="shared" ref="EW694" si="4191">EW692</f>
        <v>1.2580567406871328</v>
      </c>
      <c r="EX694" s="875">
        <f t="shared" ref="EX694" si="4192">IF(ISERROR((EW694/EO694-1)*100),"NA",IF(((EW694/EO694-1)*100)&gt;100,"NM",IF(((EW694/EO694-1)*100)&lt;-50,"NM",(EW694/EO694-1)*100)))</f>
        <v>97.077000631829449</v>
      </c>
      <c r="EY694" s="628"/>
      <c r="EZ694" s="594"/>
      <c r="FA694" s="630"/>
      <c r="FB694" s="628"/>
      <c r="FC694" s="631"/>
      <c r="FD694" s="628"/>
      <c r="FE694" s="156"/>
      <c r="FF694" s="628"/>
      <c r="FG694" s="156"/>
      <c r="FH694" s="628"/>
      <c r="FI694" s="156"/>
      <c r="FJ694" s="628"/>
      <c r="FK694" s="156"/>
      <c r="FL694" s="628"/>
      <c r="FM694" s="156"/>
      <c r="FN694" s="628"/>
      <c r="FO694" s="628"/>
      <c r="FP694" s="628"/>
      <c r="FQ694" s="628"/>
      <c r="FR694" s="628">
        <f>FR631/FR687</f>
        <v>5.2140657916058997</v>
      </c>
      <c r="FS694" s="628"/>
      <c r="FT694" s="628">
        <f>FT631/FT687</f>
        <v>6.1220711592064276</v>
      </c>
      <c r="FU694" s="628"/>
      <c r="FV694" s="628">
        <f>FV631/FV687</f>
        <v>3.3837993890362217</v>
      </c>
      <c r="FW694" s="628"/>
      <c r="FX694" s="632">
        <f>FX631/FX687</f>
        <v>0.31842489061740398</v>
      </c>
      <c r="FY694" s="628"/>
      <c r="FZ694" s="628">
        <f>FZ631/FZ687</f>
        <v>1.4449973292850917</v>
      </c>
      <c r="GA694" s="628"/>
      <c r="GB694" s="632">
        <f>GB631/GB687</f>
        <v>3.1284811607769716</v>
      </c>
      <c r="GC694" s="628"/>
      <c r="GD694" s="628">
        <f>GD631/GD687</f>
        <v>3.4195015547407994</v>
      </c>
      <c r="GE694" s="156"/>
      <c r="GF694" s="628">
        <f>GF631/GF687</f>
        <v>3.3470667263770713</v>
      </c>
      <c r="GG694" s="156"/>
      <c r="GH694" s="628">
        <f>GH631/GH687</f>
        <v>3.2762354794250834</v>
      </c>
      <c r="GI694" s="875">
        <f>IF(ISERROR((GH694/GF694-1)*100),"NA",IF(((GH694/GF694-1)*100)&gt;100,"NM",IF(((GH694/GF694-1)*100)&lt;-50,"NM",(GH694/GF694-1)*100)))</f>
        <v>-2.1162185502246245</v>
      </c>
      <c r="GJ694" s="628">
        <f>GJ631/GJ687</f>
        <v>3.5176613885505481</v>
      </c>
      <c r="GK694" s="875">
        <f>IF(ISERROR((GJ694/GH694-1)*100),"NA",IF(((GJ694/GH694-1)*100)&gt;100,"NM",IF(((GJ694/GH694-1)*100)&lt;-50,"NM",(GJ694/GH694-1)*100)))</f>
        <v>7.3690035603860338</v>
      </c>
      <c r="GL694" s="628">
        <f>GL631/GL687</f>
        <v>3.6430858018846664</v>
      </c>
      <c r="GM694" s="875">
        <f>IF(ISERROR((GL694/GJ694-1)*100),"NA",IF(((GL694/GJ694-1)*100)&gt;100,"NM",IF(((GL694/GJ694-1)*100)&lt;-50,"NM",(GL694/GJ694-1)*100)))</f>
        <v>3.5655624427739285</v>
      </c>
      <c r="GN694" s="628">
        <f>GN631/GN687</f>
        <v>3.9263860559985169</v>
      </c>
      <c r="GO694" s="875">
        <f>IF(ISERROR((GN694/GL694-1)*100),"NA",IF(((GN694/GL694-1)*100)&gt;100,"NM",IF(((GN694/GL694-1)*100)&lt;-50,"NM",(GN694/GL694-1)*100)))</f>
        <v>7.7763816039493783</v>
      </c>
      <c r="GP694" s="628">
        <f>GP631/GP687</f>
        <v>4.8537545892026177</v>
      </c>
      <c r="GQ694" s="875">
        <f>IF(ISERROR((GP694/GN694-1)*100),"NA",IF(((GP694/GN694-1)*100)&gt;100,"NM",IF(((GP694/GN694-1)*100)&lt;-50,"NM",(GP694/GN694-1)*100)))</f>
        <v>23.618883114851073</v>
      </c>
      <c r="GR694" s="628">
        <f>GR692</f>
        <v>5.3505339451739911</v>
      </c>
      <c r="GS694" s="875">
        <f>IF(ISERROR((GR694/GP694-1)*100),"NA",IF(((GR694/GP694-1)*100)&gt;100,"NM",IF(((GR694/GP694-1)*100)&lt;-50,"NM",(GR694/GP694-1)*100)))</f>
        <v>10.234950013263555</v>
      </c>
      <c r="GT694" s="628">
        <f>GT692</f>
        <v>5.8484909473717046</v>
      </c>
      <c r="GU694" s="875">
        <f>IF(ISERROR((GT694/GR694-1)*100),"NA",IF(((GT694/GR694-1)*100)&gt;100,"NM",IF(((GT694/GR694-1)*100)&lt;-50,"NM",(GT694/GR694-1)*100)))</f>
        <v>9.3066786847853642</v>
      </c>
      <c r="GV694" s="628">
        <f>GV692</f>
        <v>6.4018315140999009</v>
      </c>
      <c r="GW694" s="875">
        <f>IF(ISERROR((GV694/GT694-1)*100),"NA",IF(((GV694/GT694-1)*100)&gt;100,"NM",IF(((GV694/GT694-1)*100)&lt;-50,"NM",(GV694/GT694-1)*100)))</f>
        <v>9.4612537098457175</v>
      </c>
      <c r="GX694" s="628">
        <f>GX692</f>
        <v>6.9019374914110392</v>
      </c>
      <c r="GY694" s="875">
        <f>IF(ISERROR((GX694/GV694-1)*100),"NA",IF(((GX694/GV694-1)*100)&gt;100,"NM",IF(((GX694/GV694-1)*100)&lt;-50,"NM",(GX694/GV694-1)*100)))</f>
        <v>7.8119203263888659</v>
      </c>
      <c r="GZ694" s="156"/>
      <c r="HA694" s="156"/>
      <c r="HC694"/>
      <c r="HD694"/>
      <c r="HE694"/>
      <c r="HF694"/>
      <c r="HG694"/>
      <c r="HH694"/>
    </row>
    <row r="695" spans="1:217" s="2" customFormat="1" ht="12.75" customHeight="1" x14ac:dyDescent="0.2">
      <c r="C695" s="244"/>
      <c r="D695" s="113"/>
      <c r="E695" s="244"/>
      <c r="F695" s="113"/>
      <c r="G695" s="244"/>
      <c r="H695" s="113"/>
      <c r="I695" s="244"/>
      <c r="J695" s="113"/>
      <c r="K695" s="244"/>
      <c r="L695" s="113"/>
      <c r="M695" s="244"/>
      <c r="N695" s="113"/>
      <c r="O695" s="244"/>
      <c r="P695" s="113"/>
      <c r="Q695" s="244"/>
      <c r="R695" s="113"/>
      <c r="S695" s="244"/>
      <c r="T695" s="113"/>
      <c r="U695" s="244"/>
      <c r="V695" s="113"/>
      <c r="W695" s="244"/>
      <c r="X695" s="113"/>
      <c r="Y695" s="244"/>
      <c r="Z695" s="113"/>
      <c r="AA695" s="244"/>
      <c r="AB695" s="113"/>
      <c r="AC695" s="244"/>
      <c r="AD695" s="113"/>
      <c r="AE695" s="244"/>
      <c r="AF695" s="113"/>
      <c r="AG695" s="244"/>
      <c r="AH695" s="113"/>
      <c r="AI695" s="95"/>
      <c r="AJ695" s="113"/>
      <c r="AK695" s="95"/>
      <c r="AL695" s="113"/>
      <c r="AM695" s="95"/>
      <c r="AN695" s="113"/>
      <c r="AO695" s="95"/>
      <c r="AP695" s="113"/>
      <c r="AQ695" s="95"/>
      <c r="AR695" s="113"/>
      <c r="AS695" s="95"/>
      <c r="AT695" s="113"/>
      <c r="AU695" s="95"/>
      <c r="AV695" s="113"/>
      <c r="AW695" s="95"/>
      <c r="AX695" s="113"/>
      <c r="AY695" s="95"/>
      <c r="AZ695" s="113"/>
      <c r="BA695" s="95"/>
      <c r="BB695" s="113"/>
      <c r="BC695" s="95"/>
      <c r="BD695" s="113"/>
      <c r="BE695" s="95"/>
      <c r="BF695" s="113"/>
      <c r="BG695" s="95"/>
      <c r="BH695" s="113"/>
      <c r="BI695" s="95"/>
      <c r="BJ695" s="113"/>
      <c r="BK695" s="95"/>
      <c r="BL695" s="113"/>
      <c r="BM695" s="95"/>
      <c r="BN695" s="113"/>
      <c r="BO695" s="95"/>
      <c r="BP695" s="113"/>
      <c r="BQ695" s="95"/>
      <c r="BR695" s="113"/>
      <c r="BS695" s="95"/>
      <c r="BT695" s="113"/>
      <c r="BU695" s="95"/>
      <c r="BV695" s="113"/>
      <c r="BW695" s="215"/>
      <c r="BX695" s="113"/>
      <c r="BY695" s="215"/>
      <c r="BZ695" s="113"/>
      <c r="CA695" s="215"/>
      <c r="CB695" s="113"/>
      <c r="CC695" s="215"/>
      <c r="CD695" s="113"/>
      <c r="CE695" s="215"/>
      <c r="CF695" s="113"/>
      <c r="CG695" s="215"/>
      <c r="CH695" s="113"/>
      <c r="CI695" s="215"/>
      <c r="CJ695" s="113"/>
      <c r="CK695" s="215"/>
      <c r="CL695" s="113"/>
      <c r="CM695" s="215"/>
      <c r="CN695" s="113"/>
      <c r="CO695" s="215"/>
      <c r="CP695" s="113"/>
      <c r="CQ695" s="507"/>
      <c r="CR695" s="113"/>
      <c r="CS695" s="215"/>
      <c r="CT695" s="113"/>
      <c r="CU695" s="215"/>
      <c r="CV695" s="113"/>
      <c r="CW695" s="215"/>
      <c r="CX695" s="113"/>
      <c r="CY695" s="215"/>
      <c r="CZ695" s="113"/>
      <c r="DA695" s="215"/>
      <c r="DB695" s="113"/>
      <c r="DC695" s="215"/>
      <c r="DD695" s="113"/>
      <c r="DE695" s="215"/>
      <c r="DF695" s="113"/>
      <c r="DG695" s="215"/>
      <c r="DH695" s="113"/>
      <c r="DI695" s="215"/>
      <c r="DJ695" s="113"/>
      <c r="DK695" s="215"/>
      <c r="DL695" s="113"/>
      <c r="DM695" s="215"/>
      <c r="DN695" s="113"/>
      <c r="DO695" s="215"/>
      <c r="DP695" s="113"/>
      <c r="DQ695" s="215"/>
      <c r="DR695" s="113"/>
      <c r="DS695" s="215"/>
      <c r="DT695" s="113"/>
      <c r="DU695" s="215"/>
      <c r="DV695" s="113"/>
      <c r="DW695" s="215"/>
      <c r="DX695" s="113"/>
      <c r="DY695" s="215"/>
      <c r="DZ695" s="113"/>
      <c r="EA695" s="215"/>
      <c r="EB695" s="113"/>
      <c r="EC695" s="215"/>
      <c r="ED695" s="113"/>
      <c r="EE695" s="215"/>
      <c r="EF695" s="215"/>
      <c r="EG695" s="215"/>
      <c r="EH695" s="215"/>
      <c r="EI695" s="215"/>
      <c r="EJ695" s="215"/>
      <c r="EK695" s="215"/>
      <c r="EL695" s="215"/>
      <c r="EM695" s="215"/>
      <c r="EN695" s="215"/>
      <c r="EO695" s="215"/>
      <c r="EP695" s="113"/>
      <c r="EQ695" s="215"/>
      <c r="ER695" s="113"/>
      <c r="ES695" s="215"/>
      <c r="ET695" s="113"/>
      <c r="EU695" s="215"/>
      <c r="EV695" s="113"/>
      <c r="EW695" s="215"/>
      <c r="EX695" s="113"/>
      <c r="EY695" s="244"/>
      <c r="EZ695" s="594"/>
      <c r="FA695" s="405"/>
      <c r="FB695" s="244"/>
      <c r="FC695" s="113"/>
      <c r="FD695" s="244"/>
      <c r="FE695" s="113"/>
      <c r="FF695" s="244"/>
      <c r="FG695" s="113"/>
      <c r="FH695" s="244"/>
      <c r="FI695" s="113"/>
      <c r="FJ695" s="244"/>
      <c r="FK695" s="113"/>
      <c r="FL695" s="244"/>
      <c r="FM695" s="113"/>
      <c r="FN695" s="244"/>
      <c r="FO695" s="113"/>
      <c r="FP695" s="244"/>
      <c r="FQ695" s="113"/>
      <c r="FR695" s="245"/>
      <c r="FS695" s="116"/>
      <c r="FT695" s="245"/>
      <c r="FU695" s="116"/>
      <c r="FV695" s="245"/>
      <c r="FW695" s="113"/>
      <c r="FX695" s="480"/>
      <c r="FY695" s="113"/>
      <c r="FZ695" s="245"/>
      <c r="GA695" s="113"/>
      <c r="GB695" s="480"/>
      <c r="GC695" s="113"/>
      <c r="GD695" s="245"/>
      <c r="GE695" s="113"/>
      <c r="GF695" s="245"/>
      <c r="GG695" s="113"/>
      <c r="GH695" s="245"/>
      <c r="GI695" s="113"/>
      <c r="GJ695" s="245"/>
      <c r="GK695" s="113"/>
      <c r="GL695" s="245"/>
      <c r="GM695" s="113"/>
      <c r="GN695" s="245"/>
      <c r="GO695" s="113"/>
      <c r="GP695" s="245"/>
      <c r="GQ695" s="113"/>
      <c r="GR695" s="244"/>
      <c r="GS695" s="113"/>
      <c r="GT695" s="244"/>
      <c r="GU695" s="113"/>
      <c r="GV695" s="244"/>
      <c r="GW695" s="113"/>
      <c r="GX695" s="244"/>
      <c r="GY695" s="113"/>
      <c r="GZ695" s="113"/>
      <c r="HA695" s="113"/>
      <c r="HB695" s="10"/>
      <c r="HC695"/>
      <c r="HD695"/>
      <c r="HE695"/>
      <c r="HF695"/>
      <c r="HG695"/>
      <c r="HH695"/>
      <c r="HI695" s="10"/>
    </row>
    <row r="696" spans="1:217" s="708" customFormat="1" ht="12.75" customHeight="1" collapsed="1" x14ac:dyDescent="0.2">
      <c r="B696" s="709" t="s">
        <v>702</v>
      </c>
      <c r="C696" s="710"/>
      <c r="D696" s="710"/>
      <c r="E696" s="710"/>
      <c r="F696" s="710"/>
      <c r="G696" s="710"/>
      <c r="H696" s="710"/>
      <c r="I696" s="710"/>
      <c r="J696" s="710"/>
      <c r="K696" s="710"/>
      <c r="L696" s="710"/>
      <c r="M696" s="710"/>
      <c r="N696" s="710"/>
      <c r="O696" s="710"/>
      <c r="P696" s="710"/>
      <c r="Q696" s="710"/>
      <c r="R696" s="710"/>
      <c r="S696" s="710"/>
      <c r="T696" s="710"/>
      <c r="U696" s="710"/>
      <c r="V696" s="710"/>
      <c r="W696" s="710"/>
      <c r="X696" s="710"/>
      <c r="Y696" s="710"/>
      <c r="Z696" s="710"/>
      <c r="AA696" s="710"/>
      <c r="AB696" s="710"/>
      <c r="AC696" s="710"/>
      <c r="AD696" s="710"/>
      <c r="AE696" s="710"/>
      <c r="AF696" s="710"/>
      <c r="AG696" s="710"/>
      <c r="AH696" s="710"/>
      <c r="AI696" s="710"/>
      <c r="AJ696" s="710"/>
      <c r="AK696" s="710"/>
      <c r="AL696" s="710"/>
      <c r="AM696" s="710"/>
      <c r="AN696" s="710"/>
      <c r="AO696" s="710"/>
      <c r="AP696" s="710"/>
      <c r="AQ696" s="710"/>
      <c r="AR696" s="710"/>
      <c r="AS696" s="710"/>
      <c r="AT696" s="710"/>
      <c r="AU696" s="710"/>
      <c r="AV696" s="710"/>
      <c r="AW696" s="710"/>
      <c r="AX696" s="710"/>
      <c r="AY696" s="710"/>
      <c r="AZ696" s="710"/>
      <c r="BA696" s="710"/>
      <c r="BB696" s="710"/>
      <c r="BC696" s="710"/>
      <c r="BD696" s="710"/>
      <c r="BE696" s="710"/>
      <c r="BF696" s="710"/>
      <c r="BG696" s="710"/>
      <c r="BH696" s="710"/>
      <c r="BI696" s="710"/>
      <c r="BJ696" s="710"/>
      <c r="BK696" s="710"/>
      <c r="BL696" s="710"/>
      <c r="BM696" s="710"/>
      <c r="BN696" s="710"/>
      <c r="BO696" s="710"/>
      <c r="BP696" s="710"/>
      <c r="BQ696" s="710"/>
      <c r="BR696" s="710"/>
      <c r="BS696" s="711"/>
      <c r="BT696" s="710"/>
      <c r="BU696" s="711"/>
      <c r="BV696" s="710"/>
      <c r="BW696" s="711"/>
      <c r="BX696" s="710"/>
      <c r="BY696" s="711"/>
      <c r="BZ696" s="710"/>
      <c r="CA696" s="711"/>
      <c r="CB696" s="710"/>
      <c r="CC696" s="711"/>
      <c r="CD696" s="710"/>
      <c r="CE696" s="711"/>
      <c r="CF696" s="710"/>
      <c r="CG696" s="711"/>
      <c r="CH696" s="710"/>
      <c r="CI696" s="711"/>
      <c r="CJ696" s="710"/>
      <c r="CK696" s="711"/>
      <c r="CL696" s="710"/>
      <c r="CM696" s="711"/>
      <c r="CN696" s="710"/>
      <c r="CO696" s="711"/>
      <c r="CP696" s="710"/>
      <c r="CQ696" s="717"/>
      <c r="CR696" s="710"/>
      <c r="CS696" s="711"/>
      <c r="CT696" s="710"/>
      <c r="CU696" s="711"/>
      <c r="CV696" s="710"/>
      <c r="CW696" s="711"/>
      <c r="CX696" s="710"/>
      <c r="CY696" s="711"/>
      <c r="CZ696" s="710"/>
      <c r="DA696" s="711"/>
      <c r="DB696" s="710"/>
      <c r="DC696" s="711"/>
      <c r="DD696" s="710"/>
      <c r="DE696" s="711"/>
      <c r="DF696" s="710"/>
      <c r="DG696" s="711"/>
      <c r="DH696" s="710"/>
      <c r="DI696" s="711"/>
      <c r="DJ696" s="710"/>
      <c r="DK696" s="711"/>
      <c r="DL696" s="710"/>
      <c r="DM696" s="711"/>
      <c r="DN696" s="710"/>
      <c r="DO696" s="711"/>
      <c r="DP696" s="710"/>
      <c r="DQ696" s="711"/>
      <c r="DR696" s="710"/>
      <c r="DS696" s="711"/>
      <c r="DT696" s="710"/>
      <c r="DU696" s="711"/>
      <c r="DV696" s="710"/>
      <c r="DW696" s="711"/>
      <c r="DX696" s="710"/>
      <c r="DY696" s="711"/>
      <c r="DZ696" s="710"/>
      <c r="EA696" s="711"/>
      <c r="EB696" s="710"/>
      <c r="EC696" s="711"/>
      <c r="ED696" s="711"/>
      <c r="EE696" s="711"/>
      <c r="EF696" s="711"/>
      <c r="EG696" s="711"/>
      <c r="EH696" s="711"/>
      <c r="EI696" s="711"/>
      <c r="EJ696" s="711"/>
      <c r="EK696" s="711"/>
      <c r="EL696" s="711"/>
      <c r="EM696" s="711"/>
      <c r="EN696" s="711"/>
      <c r="EO696" s="711"/>
      <c r="EP696" s="711"/>
      <c r="EQ696" s="711"/>
      <c r="ER696" s="711"/>
      <c r="ES696" s="711"/>
      <c r="ET696" s="711"/>
      <c r="EU696" s="711"/>
      <c r="EV696" s="711"/>
      <c r="EW696" s="711"/>
      <c r="EX696" s="711"/>
      <c r="EY696" s="711"/>
      <c r="EZ696" s="713"/>
      <c r="FA696" s="714"/>
      <c r="FB696" s="711"/>
      <c r="FC696" s="710"/>
      <c r="FD696" s="711"/>
      <c r="FE696" s="710"/>
      <c r="FF696" s="712"/>
      <c r="FG696" s="710"/>
      <c r="FH696" s="712"/>
      <c r="FI696" s="710"/>
      <c r="FJ696" s="712"/>
      <c r="FK696" s="710"/>
      <c r="FL696" s="712"/>
      <c r="FM696" s="710"/>
      <c r="FN696" s="712"/>
      <c r="FO696" s="710"/>
      <c r="FP696" s="712"/>
      <c r="FQ696" s="710"/>
      <c r="FR696" s="712"/>
      <c r="FS696" s="715"/>
      <c r="FT696" s="712"/>
      <c r="FU696" s="715"/>
      <c r="FV696" s="712"/>
      <c r="FW696" s="710"/>
      <c r="FX696" s="716"/>
      <c r="FY696" s="710"/>
      <c r="FZ696" s="712"/>
      <c r="GA696" s="710"/>
      <c r="GB696" s="716"/>
      <c r="GC696" s="710"/>
      <c r="GD696" s="712"/>
      <c r="GE696" s="710"/>
      <c r="GF696" s="712"/>
      <c r="GG696" s="710"/>
      <c r="GH696" s="712"/>
      <c r="GI696" s="710"/>
      <c r="GJ696" s="712"/>
      <c r="GK696" s="710"/>
      <c r="GL696" s="712"/>
      <c r="GM696" s="710"/>
      <c r="GN696" s="712"/>
      <c r="GO696" s="710"/>
      <c r="GP696" s="712"/>
      <c r="GQ696" s="710"/>
      <c r="GR696" s="712"/>
      <c r="GS696" s="710"/>
      <c r="GT696" s="712"/>
      <c r="GU696" s="710"/>
      <c r="GV696" s="712"/>
      <c r="GW696" s="710"/>
      <c r="GX696" s="712"/>
      <c r="GY696" s="710"/>
      <c r="GZ696" s="710"/>
      <c r="HA696" s="710"/>
      <c r="HC696"/>
      <c r="HD696"/>
      <c r="HE696"/>
      <c r="HF696"/>
      <c r="HG696"/>
      <c r="HH696"/>
    </row>
    <row r="697" spans="1:217" s="2" customFormat="1" ht="12.75" customHeight="1" x14ac:dyDescent="0.2">
      <c r="A697" s="351"/>
      <c r="B697" s="179"/>
      <c r="C697" s="244"/>
      <c r="D697" s="113"/>
      <c r="E697" s="244"/>
      <c r="F697" s="113"/>
      <c r="G697" s="244"/>
      <c r="H697" s="113"/>
      <c r="I697" s="244"/>
      <c r="J697" s="113"/>
      <c r="K697" s="244"/>
      <c r="L697" s="113"/>
      <c r="M697" s="244"/>
      <c r="N697" s="113"/>
      <c r="O697" s="244"/>
      <c r="P697" s="113"/>
      <c r="Q697" s="244"/>
      <c r="R697" s="113"/>
      <c r="S697" s="244"/>
      <c r="T697" s="113"/>
      <c r="U697" s="244"/>
      <c r="V697" s="113"/>
      <c r="W697" s="244"/>
      <c r="X697" s="113"/>
      <c r="Y697" s="244"/>
      <c r="Z697" s="113"/>
      <c r="AA697" s="244"/>
      <c r="AB697" s="113"/>
      <c r="AC697" s="244"/>
      <c r="AD697" s="113"/>
      <c r="AE697" s="244"/>
      <c r="AF697" s="113"/>
      <c r="AG697" s="244"/>
      <c r="AH697" s="113"/>
      <c r="AI697" s="95"/>
      <c r="AJ697" s="113"/>
      <c r="AK697" s="95"/>
      <c r="AL697" s="113"/>
      <c r="AM697" s="95"/>
      <c r="AN697" s="113"/>
      <c r="AO697" s="95"/>
      <c r="AP697" s="113"/>
      <c r="AQ697" s="95"/>
      <c r="AR697" s="113"/>
      <c r="AS697" s="95"/>
      <c r="AT697" s="113"/>
      <c r="AU697" s="95"/>
      <c r="AV697" s="113"/>
      <c r="AW697" s="95"/>
      <c r="AX697" s="113"/>
      <c r="AY697" s="95"/>
      <c r="AZ697" s="113"/>
      <c r="BA697" s="95"/>
      <c r="BB697" s="113"/>
      <c r="BC697" s="95"/>
      <c r="BD697" s="113"/>
      <c r="BE697" s="95"/>
      <c r="BF697" s="113"/>
      <c r="BG697" s="95"/>
      <c r="BH697" s="113"/>
      <c r="BI697" s="95"/>
      <c r="BJ697" s="113"/>
      <c r="BK697" s="95"/>
      <c r="BL697" s="113"/>
      <c r="BM697" s="95"/>
      <c r="BN697" s="113"/>
      <c r="BO697" s="95"/>
      <c r="BP697" s="113"/>
      <c r="BQ697" s="95"/>
      <c r="BR697" s="113"/>
      <c r="BS697" s="95"/>
      <c r="BT697" s="113"/>
      <c r="BU697" s="95"/>
      <c r="BV697" s="113"/>
      <c r="BW697" s="95"/>
      <c r="BX697" s="113"/>
      <c r="BY697" s="95"/>
      <c r="BZ697" s="113"/>
      <c r="CA697" s="95"/>
      <c r="CB697" s="113"/>
      <c r="CC697" s="95"/>
      <c r="CD697" s="113"/>
      <c r="CE697" s="95"/>
      <c r="CF697" s="113"/>
      <c r="CG697" s="95"/>
      <c r="CH697" s="113"/>
      <c r="CI697" s="95"/>
      <c r="CJ697" s="113"/>
      <c r="CK697" s="95"/>
      <c r="CL697" s="113"/>
      <c r="CM697" s="95"/>
      <c r="CN697" s="113"/>
      <c r="CO697" s="95"/>
      <c r="CP697" s="113"/>
      <c r="CQ697" s="506"/>
      <c r="CR697" s="113"/>
      <c r="CS697" s="95"/>
      <c r="CT697" s="113"/>
      <c r="CU697" s="95"/>
      <c r="CV697" s="113"/>
      <c r="CW697" s="95"/>
      <c r="CX697" s="113"/>
      <c r="CY697" s="95"/>
      <c r="CZ697" s="113"/>
      <c r="DA697" s="95"/>
      <c r="DB697" s="113"/>
      <c r="DC697" s="95"/>
      <c r="DD697" s="113"/>
      <c r="DE697" s="95"/>
      <c r="DF697" s="113"/>
      <c r="DG697" s="95"/>
      <c r="DH697" s="113"/>
      <c r="DI697" s="95"/>
      <c r="DJ697" s="113"/>
      <c r="DK697" s="95"/>
      <c r="DL697" s="113"/>
      <c r="DM697" s="95"/>
      <c r="DN697" s="113"/>
      <c r="DO697" s="95"/>
      <c r="DP697" s="113"/>
      <c r="DQ697" s="95"/>
      <c r="DR697" s="113"/>
      <c r="DS697" s="95"/>
      <c r="DT697" s="113"/>
      <c r="DU697" s="95"/>
      <c r="DV697" s="113"/>
      <c r="DW697" s="95"/>
      <c r="DX697" s="113"/>
      <c r="DY697" s="95"/>
      <c r="DZ697" s="113"/>
      <c r="EA697" s="95"/>
      <c r="EB697" s="113"/>
      <c r="EC697" s="95"/>
      <c r="ED697" s="95"/>
      <c r="EE697" s="95"/>
      <c r="EF697" s="95"/>
      <c r="EG697" s="95"/>
      <c r="EH697" s="95"/>
      <c r="EI697" s="95"/>
      <c r="EJ697" s="95"/>
      <c r="EK697" s="95"/>
      <c r="EL697" s="95"/>
      <c r="EM697" s="95"/>
      <c r="EN697" s="95"/>
      <c r="EO697" s="95"/>
      <c r="EP697" s="95"/>
      <c r="EQ697" s="95"/>
      <c r="ER697" s="95"/>
      <c r="ES697" s="95"/>
      <c r="ET697" s="95"/>
      <c r="EU697" s="95"/>
      <c r="EV697" s="95"/>
      <c r="EW697" s="95"/>
      <c r="EX697" s="95"/>
      <c r="EY697" s="95"/>
      <c r="EZ697" s="594"/>
      <c r="FA697" s="405"/>
      <c r="FB697" s="244"/>
      <c r="FC697" s="113"/>
      <c r="FD697" s="244"/>
      <c r="FE697" s="113"/>
      <c r="FF697" s="244"/>
      <c r="FG697" s="113"/>
      <c r="FH697" s="244"/>
      <c r="FI697" s="113"/>
      <c r="FJ697" s="244"/>
      <c r="FK697" s="113"/>
      <c r="FL697" s="244"/>
      <c r="FM697" s="113"/>
      <c r="FN697" s="244"/>
      <c r="FO697" s="113"/>
      <c r="FP697" s="244"/>
      <c r="FQ697" s="113"/>
      <c r="FR697" s="245"/>
      <c r="FS697" s="116"/>
      <c r="FT697" s="245"/>
      <c r="FU697" s="116"/>
      <c r="FV697" s="245"/>
      <c r="FW697" s="113"/>
      <c r="FX697" s="480"/>
      <c r="FY697" s="113"/>
      <c r="FZ697" s="245"/>
      <c r="GA697" s="113"/>
      <c r="GB697" s="480"/>
      <c r="GC697" s="113"/>
      <c r="GD697" s="245"/>
      <c r="GE697" s="113"/>
      <c r="GF697" s="245"/>
      <c r="GG697" s="113"/>
      <c r="GH697" s="245"/>
      <c r="GI697" s="113"/>
      <c r="GJ697" s="245"/>
      <c r="GK697" s="113"/>
      <c r="GL697" s="245"/>
      <c r="GM697" s="113"/>
      <c r="GN697" s="245"/>
      <c r="GO697" s="113"/>
      <c r="GP697" s="245"/>
      <c r="GQ697" s="113"/>
      <c r="GR697" s="244"/>
      <c r="GS697" s="113"/>
      <c r="GT697" s="244"/>
      <c r="GU697" s="113"/>
      <c r="GV697" s="244"/>
      <c r="GW697" s="113"/>
      <c r="GX697" s="244"/>
      <c r="GY697" s="113"/>
      <c r="GZ697" s="113"/>
      <c r="HA697" s="113"/>
      <c r="HB697" s="10"/>
      <c r="HC697"/>
      <c r="HD697"/>
      <c r="HE697"/>
      <c r="HF697"/>
      <c r="HG697"/>
      <c r="HH697"/>
      <c r="HI697" s="10"/>
    </row>
    <row r="698" spans="1:217" s="2" customFormat="1" ht="12.75" customHeight="1" x14ac:dyDescent="0.2">
      <c r="A698" s="351"/>
      <c r="B698" s="131" t="s">
        <v>614</v>
      </c>
      <c r="C698" s="244"/>
      <c r="D698" s="113"/>
      <c r="E698" s="244"/>
      <c r="F698" s="113"/>
      <c r="G698" s="244"/>
      <c r="H698" s="113"/>
      <c r="I698" s="244"/>
      <c r="J698" s="113"/>
      <c r="K698" s="244"/>
      <c r="L698" s="113"/>
      <c r="M698" s="244"/>
      <c r="N698" s="113"/>
      <c r="O698" s="244"/>
      <c r="P698" s="113"/>
      <c r="Q698" s="244"/>
      <c r="R698" s="113"/>
      <c r="S698" s="244"/>
      <c r="T698" s="113"/>
      <c r="U698" s="244"/>
      <c r="V698" s="113"/>
      <c r="W698" s="244"/>
      <c r="X698" s="113"/>
      <c r="Y698" s="244"/>
      <c r="Z698" s="113"/>
      <c r="AA698" s="244"/>
      <c r="AB698" s="113"/>
      <c r="AC698" s="244"/>
      <c r="AD698" s="113"/>
      <c r="AE698" s="244"/>
      <c r="AF698" s="113"/>
      <c r="AG698" s="244"/>
      <c r="AH698" s="113"/>
      <c r="AI698" s="95"/>
      <c r="AJ698" s="113"/>
      <c r="AK698" s="95"/>
      <c r="AL698" s="113"/>
      <c r="AM698" s="95"/>
      <c r="AN698" s="113"/>
      <c r="AO698" s="95"/>
      <c r="AP698" s="113"/>
      <c r="AQ698" s="95"/>
      <c r="AR698" s="113"/>
      <c r="AS698" s="95"/>
      <c r="AT698" s="113"/>
      <c r="AU698" s="95"/>
      <c r="AV698" s="113"/>
      <c r="AW698" s="95"/>
      <c r="AX698" s="113"/>
      <c r="AY698" s="95"/>
      <c r="AZ698" s="113"/>
      <c r="BA698" s="95"/>
      <c r="BB698" s="113"/>
      <c r="BC698" s="95"/>
      <c r="BD698" s="113"/>
      <c r="BE698" s="95"/>
      <c r="BF698" s="113"/>
      <c r="BG698" s="95"/>
      <c r="BH698" s="113"/>
      <c r="BI698" s="95"/>
      <c r="BJ698" s="113"/>
      <c r="BK698" s="95"/>
      <c r="BL698" s="113"/>
      <c r="BM698" s="95"/>
      <c r="BN698" s="113"/>
      <c r="BO698" s="95"/>
      <c r="BP698" s="113"/>
      <c r="BQ698" s="95"/>
      <c r="BR698" s="113"/>
      <c r="BS698" s="95"/>
      <c r="BT698" s="113"/>
      <c r="BU698" s="95"/>
      <c r="BV698" s="113"/>
      <c r="BW698" s="95"/>
      <c r="BX698" s="113"/>
      <c r="BY698" s="95"/>
      <c r="BZ698" s="113"/>
      <c r="CA698" s="95"/>
      <c r="CB698" s="113"/>
      <c r="CC698" s="95"/>
      <c r="CD698" s="113"/>
      <c r="CE698" s="95"/>
      <c r="CF698" s="113"/>
      <c r="CG698" s="95"/>
      <c r="CH698" s="113"/>
      <c r="CI698" s="95"/>
      <c r="CJ698" s="113"/>
      <c r="CK698" s="95"/>
      <c r="CL698" s="113"/>
      <c r="CM698" s="95"/>
      <c r="CN698" s="113"/>
      <c r="CO698" s="95"/>
      <c r="CP698" s="113"/>
      <c r="CQ698" s="506"/>
      <c r="CR698" s="113"/>
      <c r="CS698" s="95"/>
      <c r="CT698" s="113"/>
      <c r="CU698" s="95"/>
      <c r="CV698" s="113"/>
      <c r="CW698" s="95"/>
      <c r="CX698" s="113"/>
      <c r="CY698" s="95"/>
      <c r="CZ698" s="113"/>
      <c r="DA698" s="95"/>
      <c r="DB698" s="113"/>
      <c r="DC698" s="95"/>
      <c r="DD698" s="113"/>
      <c r="DE698" s="95"/>
      <c r="DF698" s="113"/>
      <c r="DG698" s="95"/>
      <c r="DH698" s="113"/>
      <c r="DI698" s="95"/>
      <c r="DJ698" s="113"/>
      <c r="DK698" s="95"/>
      <c r="DL698" s="113"/>
      <c r="DM698" s="95"/>
      <c r="DN698" s="113"/>
      <c r="DO698" s="95"/>
      <c r="DP698" s="113"/>
      <c r="DQ698" s="95"/>
      <c r="DR698" s="113"/>
      <c r="DS698" s="95"/>
      <c r="DT698" s="113"/>
      <c r="DU698" s="95"/>
      <c r="DV698" s="113"/>
      <c r="DW698" s="95"/>
      <c r="DX698" s="113"/>
      <c r="DY698" s="95"/>
      <c r="DZ698" s="113"/>
      <c r="EA698" s="95"/>
      <c r="EB698" s="113"/>
      <c r="EC698" s="95"/>
      <c r="ED698" s="113"/>
      <c r="EE698" s="95"/>
      <c r="EF698" s="859"/>
      <c r="EG698" s="95"/>
      <c r="EH698" s="859"/>
      <c r="EI698" s="95"/>
      <c r="EJ698" s="859"/>
      <c r="EK698" s="95"/>
      <c r="EL698" s="859"/>
      <c r="EM698" s="95"/>
      <c r="EN698" s="859"/>
      <c r="EO698" s="95"/>
      <c r="EP698" s="113"/>
      <c r="EQ698" s="823"/>
      <c r="ER698" s="113"/>
      <c r="ES698" s="823"/>
      <c r="ET698" s="113"/>
      <c r="EU698" s="823"/>
      <c r="EV698" s="113"/>
      <c r="EW698" s="823"/>
      <c r="EX698" s="113"/>
      <c r="EY698" s="244"/>
      <c r="EZ698" s="594"/>
      <c r="FA698" s="405"/>
      <c r="FB698" s="244"/>
      <c r="FC698" s="113"/>
      <c r="FD698" s="244"/>
      <c r="FE698" s="113"/>
      <c r="FF698" s="244"/>
      <c r="FG698" s="113"/>
      <c r="FH698" s="244"/>
      <c r="FI698" s="113"/>
      <c r="FJ698" s="244"/>
      <c r="FK698" s="113"/>
      <c r="FL698" s="244"/>
      <c r="FM698" s="113"/>
      <c r="FN698" s="244"/>
      <c r="FO698" s="113"/>
      <c r="FP698" s="244"/>
      <c r="FQ698" s="113"/>
      <c r="FR698" s="245"/>
      <c r="FS698" s="116"/>
      <c r="FT698" s="245"/>
      <c r="FU698" s="116"/>
      <c r="FV698" s="245"/>
      <c r="FW698" s="113"/>
      <c r="FX698" s="480"/>
      <c r="FY698" s="113"/>
      <c r="FZ698" s="245"/>
      <c r="GA698" s="113"/>
      <c r="GB698" s="480"/>
      <c r="GC698" s="113"/>
      <c r="GD698" s="245"/>
      <c r="GE698" s="113"/>
      <c r="GF698" s="245"/>
      <c r="GG698" s="113"/>
      <c r="GH698" s="245"/>
      <c r="GI698" s="113"/>
      <c r="GJ698" s="245"/>
      <c r="GK698" s="113"/>
      <c r="GL698" s="245"/>
      <c r="GM698" s="113"/>
      <c r="GN698" s="245"/>
      <c r="GO698" s="113"/>
      <c r="GP698" s="245"/>
      <c r="GQ698" s="113"/>
      <c r="GR698" s="244"/>
      <c r="GS698" s="113"/>
      <c r="GT698" s="244"/>
      <c r="GU698" s="113"/>
      <c r="GV698" s="244"/>
      <c r="GW698" s="113"/>
      <c r="GX698" s="244"/>
      <c r="GY698" s="113"/>
      <c r="GZ698" s="113"/>
      <c r="HA698" s="113"/>
      <c r="HB698" s="10"/>
      <c r="HC698"/>
      <c r="HD698"/>
      <c r="HE698"/>
      <c r="HF698"/>
      <c r="HG698"/>
      <c r="HH698"/>
      <c r="HI698" s="10"/>
    </row>
    <row r="699" spans="1:217" s="2" customFormat="1" ht="12.75" customHeight="1" x14ac:dyDescent="0.2">
      <c r="A699" s="10" t="s">
        <v>37</v>
      </c>
      <c r="B699" s="179" t="s">
        <v>615</v>
      </c>
      <c r="C699" s="40">
        <v>150976</v>
      </c>
      <c r="D699" s="98"/>
      <c r="E699" s="40">
        <v>150339</v>
      </c>
      <c r="F699" s="98"/>
      <c r="G699" s="40">
        <v>154344</v>
      </c>
      <c r="H699" s="98"/>
      <c r="I699" s="40">
        <v>156525</v>
      </c>
      <c r="J699" s="98"/>
      <c r="K699" s="40">
        <v>160502</v>
      </c>
      <c r="L699" s="98">
        <f t="shared" ref="L699:L707" si="4193">IF(ISERROR((K699/C699-1)*100),"NA",IF(((K699/C699-1)*100)&gt;100,"NM",IF(((K699/C699-1)*100)&lt;-50,"NM",(K699/C699-1)*100)))</f>
        <v>6.3096121237812719</v>
      </c>
      <c r="M699" s="40">
        <v>159629</v>
      </c>
      <c r="N699" s="98">
        <f t="shared" ref="N699:N707" si="4194">IF(ISERROR((M699/E699-1)*100),"NA",IF(((M699/E699-1)*100)&gt;100,"NM",IF(((M699/E699-1)*100)&lt;-50,"NM",(M699/E699-1)*100)))</f>
        <v>6.1793679617398123</v>
      </c>
      <c r="O699" s="40">
        <v>162627</v>
      </c>
      <c r="P699" s="98">
        <f>IF(ISERROR((O699/G699-1)*100),"NA",IF(((O699/G699-1)*100)&gt;100,"NM",IF(((O699/G699-1)*100)&lt;-50,"NM",(O699/G699-1)*100)))</f>
        <v>5.3665837350334256</v>
      </c>
      <c r="Q699" s="40">
        <v>162222</v>
      </c>
      <c r="R699" s="98">
        <f t="shared" ref="R699:R707" si="4195">IF(ISERROR((Q699/I699-1)*100),"NA",IF(((Q699/I699-1)*100)&gt;100,"NM",IF(((Q699/I699-1)*100)&lt;-50,"NM",(Q699/I699-1)*100)))</f>
        <v>3.6396741734547211</v>
      </c>
      <c r="S699" s="40">
        <v>165566</v>
      </c>
      <c r="T699" s="98">
        <f t="shared" ref="T699:T707" si="4196">IF(ISERROR((S699/K699-1)*100),"NA",IF(((S699/K699-1)*100)&gt;100,"NM",IF(((S699/K699-1)*100)&lt;-50,"NM",(S699/K699-1)*100)))</f>
        <v>3.1551008710171802</v>
      </c>
      <c r="U699" s="40">
        <v>171029</v>
      </c>
      <c r="V699" s="98">
        <f t="shared" ref="V699:V707" si="4197">IF(ISERROR((U699/M699-1)*100),"NA",IF(((U699/M699-1)*100)&gt;100,"NM",IF(((U699/M699-1)*100)&lt;-50,"NM",(U699/M699-1)*100)))</f>
        <v>7.1415594910699154</v>
      </c>
      <c r="W699" s="40">
        <v>180651</v>
      </c>
      <c r="X699" s="98">
        <f t="shared" ref="X699:X707" si="4198">IF(ISERROR((W699/O699-1)*100),"NA",IF(((W699/O699-1)*100)&gt;100,"NM",IF(((W699/O699-1)*100)&lt;-50,"NM",(W699/O699-1)*100)))</f>
        <v>11.083030493091561</v>
      </c>
      <c r="Y699" s="40">
        <v>188335</v>
      </c>
      <c r="Z699" s="98">
        <f t="shared" ref="Z699:Z707" si="4199">IF(ISERROR((Y699/Q699-1)*100),"NA",IF(((Y699/Q699-1)*100)&gt;100,"NM",IF(((Y699/Q699-1)*100)&lt;-50,"NM",(Y699/Q699-1)*100)))</f>
        <v>16.097076845310742</v>
      </c>
      <c r="AA699" s="40">
        <v>193480</v>
      </c>
      <c r="AB699" s="98">
        <f t="shared" ref="AB699:AB707" si="4200">IF(ISERROR((AA699/S699-1)*100),"NA",IF(((AA699/S699-1)*100)&gt;100,"NM",IF(((AA699/S699-1)*100)&lt;-50,"NM",(AA699/S699-1)*100)))</f>
        <v>16.859741734414069</v>
      </c>
      <c r="AC699" s="40">
        <v>208247</v>
      </c>
      <c r="AD699" s="98">
        <f t="shared" ref="AD699:AD707" si="4201">IF(ISERROR((AC699/U699-1)*100),"NA",IF(((AC699/U699-1)*100)&gt;100,"NM",IF(((AC699/U699-1)*100)&lt;-50,"NM",(AC699/U699-1)*100)))</f>
        <v>21.761221781101447</v>
      </c>
      <c r="AE699" s="40">
        <v>210951</v>
      </c>
      <c r="AF699" s="98">
        <f t="shared" ref="AF699:AF707" si="4202">IF(ISERROR((AE699/W699-1)*100),"NA",IF(((AE699/W699-1)*100)&gt;100,"NM",IF(((AE699/W699-1)*100)&lt;-50,"NM",(AE699/W699-1)*100)))</f>
        <v>16.772672168988834</v>
      </c>
      <c r="AG699" s="40">
        <v>218099</v>
      </c>
      <c r="AH699" s="98">
        <f t="shared" ref="AH699:AH707" si="4203">IF(ISERROR((AG699/Y699-1)*100),"NA",IF(((AG699/Y699-1)*100)&gt;100,"NM",IF(((AG699/Y699-1)*100)&lt;-50,"NM",(AG699/Y699-1)*100)))</f>
        <v>15.80375394908009</v>
      </c>
      <c r="AI699" s="121">
        <v>225476</v>
      </c>
      <c r="AJ699" s="98">
        <f t="shared" ref="AJ699:AJ707" si="4204">IF(ISERROR((AI699/AA699-1)*100),"NA",IF(((AI699/AA699-1)*100)&gt;100,"NM",IF(((AI699/AA699-1)*100)&lt;-50,"NM",(AI699/AA699-1)*100)))</f>
        <v>16.537109778788505</v>
      </c>
      <c r="AK699" s="121">
        <v>222932</v>
      </c>
      <c r="AL699" s="98">
        <f t="shared" ref="AL699:AL707" si="4205">IF(ISERROR((AK699/AC699-1)*100),"NA",IF(((AK699/AC699-1)*100)&gt;100,"NM",IF(((AK699/AC699-1)*100)&lt;-50,"NM",(AK699/AC699-1)*100)))</f>
        <v>7.0517222336936358</v>
      </c>
      <c r="AM699" s="121">
        <v>230318</v>
      </c>
      <c r="AN699" s="98">
        <f t="shared" ref="AN699:AN707" si="4206">IF(ISERROR((AM699/AE699-1)*100),"NA",IF(((AM699/AE699-1)*100)&gt;100,"NM",IF(((AM699/AE699-1)*100)&lt;-50,"NM",(AM699/AE699-1)*100)))</f>
        <v>9.1808050210712366</v>
      </c>
      <c r="AO699" s="121">
        <v>234967</v>
      </c>
      <c r="AP699" s="98">
        <f t="shared" ref="AP699:AP707" si="4207">IF(ISERROR((AO699/AG699-1)*100),"NA",IF(((AO699/AG699-1)*100)&gt;100,"NM",IF(((AO699/AG699-1)*100)&lt;-50,"NM",(AO699/AG699-1)*100)))</f>
        <v>7.7341024030371575</v>
      </c>
      <c r="AQ699" s="121">
        <v>240951</v>
      </c>
      <c r="AR699" s="98">
        <f t="shared" ref="AR699:AR707" si="4208">IF(ISERROR((AQ699/AI699-1)*100),"NA",IF(((AQ699/AI699-1)*100)&gt;100,"NM",IF(((AQ699/AI699-1)*100)&lt;-50,"NM",(AQ699/AI699-1)*100)))</f>
        <v>6.8632581738189424</v>
      </c>
      <c r="AS699" s="121">
        <v>245830</v>
      </c>
      <c r="AT699" s="98">
        <f t="shared" ref="AT699:AT707" si="4209">IF(ISERROR((AS699/AK699-1)*100),"NA",IF(((AS699/AK699-1)*100)&gt;100,"NM",IF(((AS699/AK699-1)*100)&lt;-50,"NM",(AS699/AK699-1)*100)))</f>
        <v>10.271293488597411</v>
      </c>
      <c r="AU699" s="121">
        <v>302343</v>
      </c>
      <c r="AV699" s="98">
        <f t="shared" ref="AV699:AV707" si="4210">IF(ISERROR((AU699/AM699-1)*100),"NA",IF(((AU699/AM699-1)*100)&gt;100,"NM",IF(((AU699/AM699-1)*100)&lt;-50,"NM",(AU699/AM699-1)*100)))</f>
        <v>31.271980479163595</v>
      </c>
      <c r="AW699" s="121">
        <v>301709</v>
      </c>
      <c r="AX699" s="98">
        <f t="shared" ref="AX699:AX707" si="4211">IF(ISERROR((AW699/AO699-1)*100),"NA",IF(((AW699/AO699-1)*100)&gt;100,"NM",IF(((AW699/AO699-1)*100)&lt;-50,"NM",(AW699/AO699-1)*100)))</f>
        <v>28.404839828571671</v>
      </c>
      <c r="AY699" s="121">
        <v>312373</v>
      </c>
      <c r="AZ699" s="98">
        <f t="shared" ref="AZ699:AZ707" si="4212">IF(ISERROR((AY699/AQ699-1)*100),"NA",IF(((AY699/AQ699-1)*100)&gt;100,"NM",IF(((AY699/AQ699-1)*100)&lt;-50,"NM",(AY699/AQ699-1)*100)))</f>
        <v>29.641711385302404</v>
      </c>
      <c r="BA699" s="121">
        <v>312854</v>
      </c>
      <c r="BB699" s="98">
        <f t="shared" ref="BB699:BB707" si="4213">IF(ISERROR((BA699/AS699-1)*100),"NA",IF(((BA699/AS699-1)*100)&gt;100,"NM",IF(((BA699/AS699-1)*100)&lt;-50,"NM",(BA699/AS699-1)*100)))</f>
        <v>27.264369686368628</v>
      </c>
      <c r="BC699" s="121">
        <v>321219</v>
      </c>
      <c r="BD699" s="98">
        <f t="shared" ref="BD699:BD707" si="4214">IF(ISERROR((BC699/AU699-1)*100),"NA",IF(((BC699/AU699-1)*100)&gt;100,"NM",IF(((BC699/AU699-1)*100)&lt;-50,"NM",(BC699/AU699-1)*100)))</f>
        <v>6.243240293309249</v>
      </c>
      <c r="BE699" s="121">
        <v>324689</v>
      </c>
      <c r="BF699" s="98">
        <f t="shared" ref="BF699:BF707" si="4215">IF(ISERROR((BE699/AW699-1)*100),"NA",IF(((BE699/AW699-1)*100)&gt;100,"NM",IF(((BE699/AW699-1)*100)&lt;-50,"NM",(BE699/AW699-1)*100)))</f>
        <v>7.6166107076686584</v>
      </c>
      <c r="BG699" s="121">
        <v>330511</v>
      </c>
      <c r="BH699" s="98">
        <f t="shared" ref="BH699:BH707" si="4216">IF(ISERROR((BG699/AY699-1)*100),"NA",IF(((BG699/AY699-1)*100)&gt;100,"NM",IF(((BG699/AY699-1)*100)&lt;-50,"NM",(BG699/AY699-1)*100)))</f>
        <v>5.8065197696343773</v>
      </c>
      <c r="BI699" s="121">
        <v>336124</v>
      </c>
      <c r="BJ699" s="98">
        <f t="shared" ref="BJ699:BJ707" si="4217">IF(ISERROR((BI699/BA699-1)*100),"NA",IF(((BI699/BA699-1)*100)&gt;100,"NM",IF(((BI699/BA699-1)*100)&lt;-50,"NM",(BI699/BA699-1)*100)))</f>
        <v>7.4379742627551426</v>
      </c>
      <c r="BK699" s="121">
        <v>323797</v>
      </c>
      <c r="BL699" s="98">
        <f t="shared" ref="BL699:BL707" si="4218">IF(ISERROR((BK699/BC699-1)*100),"NA",IF(((BK699/BC699-1)*100)&gt;100,"NM",IF(((BK699/BC699-1)*100)&lt;-50,"NM",(BK699/BC699-1)*100)))</f>
        <v>0.80256771859696929</v>
      </c>
      <c r="BM699" s="121">
        <v>318655</v>
      </c>
      <c r="BN699" s="98">
        <f t="shared" ref="BN699:BN707" si="4219">IF(ISERROR((BM699/BE699-1)*100),"NA",IF(((BM699/BE699-1)*100)&gt;100,"NM",IF(((BM699/BE699-1)*100)&lt;-50,"NM",(BM699/BE699-1)*100)))</f>
        <v>-1.8583937244563309</v>
      </c>
      <c r="BO699" s="121">
        <v>296821</v>
      </c>
      <c r="BP699" s="98">
        <f t="shared" ref="BP699:BP707" si="4220">IF(ISERROR((BO699/BG699-1)*100),"NA",IF(((BO699/BG699-1)*100)&gt;100,"NM",IF(((BO699/BG699-1)*100)&lt;-50,"NM",(BO699/BG699-1)*100)))</f>
        <v>-10.193306728066542</v>
      </c>
      <c r="BQ699" s="121">
        <v>319546</v>
      </c>
      <c r="BR699" s="98">
        <f t="shared" ref="BR699:BR707" si="4221">IF(ISERROR((BQ699/BI699-1)*100),"NA",IF(((BQ699/BI699-1)*100)&gt;100,"NM",IF(((BQ699/BI699-1)*100)&lt;-50,"NM",(BQ699/BI699-1)*100)))</f>
        <v>-4.9321083885708887</v>
      </c>
      <c r="BS699" s="121">
        <v>302967</v>
      </c>
      <c r="BT699" s="98">
        <f t="shared" ref="BT699:BT707" si="4222">IF(ISERROR((BS699/BK699-1)*100),"NA",IF(((BS699/BK699-1)*100)&gt;100,"NM",IF(((BS699/BK699-1)*100)&lt;-50,"NM",(BS699/BK699-1)*100)))</f>
        <v>-6.4330429250425425</v>
      </c>
      <c r="BU699" s="121">
        <v>298311</v>
      </c>
      <c r="BV699" s="98">
        <f t="shared" ref="BV699:BV707" si="4223">IF(ISERROR((BU699/BM699-1)*100),"NA",IF(((BU699/BM699-1)*100)&gt;100,"NM",IF(((BU699/BM699-1)*100)&lt;-50,"NM",(BU699/BM699-1)*100)))</f>
        <v>-6.3843341544930983</v>
      </c>
      <c r="BW699" s="121">
        <v>296821</v>
      </c>
      <c r="BX699" s="98">
        <f t="shared" ref="BX699:BX707" si="4224">IF(ISERROR((BW699/BO699-1)*100),"NA",IF(((BW699/BO699-1)*100)&gt;100,"NM",IF(((BW699/BO699-1)*100)&lt;-50,"NM",(BW699/BO699-1)*100)))</f>
        <v>0</v>
      </c>
      <c r="BY699" s="121">
        <v>312163</v>
      </c>
      <c r="BZ699" s="98">
        <f t="shared" ref="BZ699:BZ707" si="4225">IF(ISERROR((BY699/BQ699-1)*100),"NA",IF(((BY699/BQ699-1)*100)&gt;100,"NM",IF(((BY699/BQ699-1)*100)&lt;-50,"NM",(BY699/BQ699-1)*100)))</f>
        <v>-2.3104654728896667</v>
      </c>
      <c r="CA699" s="121">
        <v>322729</v>
      </c>
      <c r="CB699" s="98">
        <f t="shared" ref="CB699:CB707" si="4226">IF(ISERROR((CA699/BS699-1)*100),"NA",IF(((CA699/BS699-1)*100)&gt;100,"NM",IF(((CA699/BS699-1)*100)&lt;-50,"NM",(CA699/BS699-1)*100)))</f>
        <v>6.5228226176448301</v>
      </c>
      <c r="CC699" s="121">
        <v>327567</v>
      </c>
      <c r="CD699" s="98">
        <f t="shared" ref="CD699:CD707" si="4227">IF(ISERROR((CC699/BU699-1)*100),"NA",IF(((CC699/BU699-1)*100)&gt;100,"NM",IF(((CC699/BU699-1)*100)&lt;-50,"NM",(CC699/BU699-1)*100)))</f>
        <v>9.80721461830103</v>
      </c>
      <c r="CE699" s="121">
        <v>343941</v>
      </c>
      <c r="CF699" s="98">
        <f t="shared" ref="CF699:CF707" si="4228">IF(ISERROR((CE699/BW699-1)*100),"NA",IF(((CE699/BW699-1)*100)&gt;100,"NM",IF(((CE699/BW699-1)*100)&lt;-50,"NM",(CE699/BW699-1)*100)))</f>
        <v>15.874887558494844</v>
      </c>
      <c r="CG699" s="121">
        <v>356289</v>
      </c>
      <c r="CH699" s="98">
        <f t="shared" ref="CH699:CH707" si="4229">IF(ISERROR((CG699/BY699-1)*100),"NA",IF(((CG699/BY699-1)*100)&gt;100,"NM",IF(((CG699/BY699-1)*100)&lt;-50,"NM",(CG699/BY699-1)*100)))</f>
        <v>14.135563791993278</v>
      </c>
      <c r="CI699" s="121">
        <v>376115</v>
      </c>
      <c r="CJ699" s="98">
        <f t="shared" ref="CJ699:CJ707" si="4230">IF(ISERROR((CI699/CA699-1)*100),"NA",IF(((CI699/CA699-1)*100)&gt;100,"NM",IF(((CI699/CA699-1)*100)&lt;-50,"NM",(CI699/CA699-1)*100)))</f>
        <v>16.542052310142562</v>
      </c>
      <c r="CK699" s="121">
        <v>460306</v>
      </c>
      <c r="CL699" s="98">
        <f t="shared" ref="CL699:CL707" si="4231">IF(ISERROR((CK699/CC699-1)*100),"NA",IF(((CK699/CC699-1)*100)&gt;100,"NM",IF(((CK699/CC699-1)*100)&lt;-50,"NM",(CK699/CC699-1)*100)))</f>
        <v>40.522702225804188</v>
      </c>
      <c r="CM699" s="121">
        <v>467252</v>
      </c>
      <c r="CN699" s="98">
        <f t="shared" ref="CN699:CN707" si="4232">IF(ISERROR((CM699/CE699-1)*100),"NA",IF(((CM699/CE699-1)*100)&gt;100,"NM",IF(((CM699/CE699-1)*100)&lt;-50,"NM",(CM699/CE699-1)*100)))</f>
        <v>35.852370028580481</v>
      </c>
      <c r="CO699" s="121">
        <v>482136</v>
      </c>
      <c r="CP699" s="98">
        <f t="shared" ref="CP699:CT707" si="4233">IF(ISERROR((CO699/CG699-1)*100),"NA",IF(((CO699/CG699-1)*100)&gt;100,"NM",IF(((CO699/CG699-1)*100)&lt;-50,"NM",(CO699/CG699-1)*100)))</f>
        <v>35.321606897771197</v>
      </c>
      <c r="CQ699" s="557">
        <v>504375</v>
      </c>
      <c r="CR699" s="98">
        <f t="shared" si="4233"/>
        <v>34.101272217273973</v>
      </c>
      <c r="CS699" s="121">
        <v>511379</v>
      </c>
      <c r="CT699" s="98">
        <f t="shared" si="4233"/>
        <v>11.095445203842669</v>
      </c>
      <c r="CU699" s="121">
        <v>503936</v>
      </c>
      <c r="CV699" s="98">
        <f t="shared" ref="CV699:CV707" si="4234">IF(ISERROR((CU699/CM699-1)*100),"NA",IF(((CU699/CM699-1)*100)&gt;100,"NM",IF(((CU699/CM699-1)*100)&lt;-50,"NM",(CU699/CM699-1)*100)))</f>
        <v>7.8510097335056983</v>
      </c>
      <c r="CW699" s="121">
        <v>516419</v>
      </c>
      <c r="CX699" s="98">
        <f t="shared" ref="CX699:CX707" si="4235">IF(ISERROR((CW699/CO699-1)*100),"NA",IF(((CW699/CO699-1)*100)&gt;100,"NM",IF(((CW699/CO699-1)*100)&lt;-50,"NM",(CW699/CO699-1)*100)))</f>
        <v>7.1106492773823193</v>
      </c>
      <c r="CY699" s="121">
        <v>521556</v>
      </c>
      <c r="CZ699" s="98">
        <f t="shared" ref="CZ699:CZ707" si="4236">IF(ISERROR((CY699/CQ699-1)*100),"NA",IF(((CY699/CQ699-1)*100)&gt;100,"NM",IF(((CY699/CQ699-1)*100)&lt;-50,"NM",(CY699/CQ699-1)*100)))</f>
        <v>3.4063940520446145</v>
      </c>
      <c r="DA699" s="121">
        <v>517052</v>
      </c>
      <c r="DB699" s="98">
        <f t="shared" ref="DB699:DB707" si="4237">IF(ISERROR((DA699/CS699-1)*100),"NA",IF(((DA699/CS699-1)*100)&gt;100,"NM",IF(((DA699/CS699-1)*100)&lt;-50,"NM",(DA699/CS699-1)*100)))</f>
        <v>1.1093533367619646</v>
      </c>
      <c r="DC699" s="121">
        <v>512472</v>
      </c>
      <c r="DD699" s="98">
        <f t="shared" ref="DD699:DD707" si="4238">IF(ISERROR((DC699/CU699-1)*100),"NA",IF(((DC699/CU699-1)*100)&gt;100,"NM",IF(((DC699/CU699-1)*100)&lt;-50,"NM",(DC699/CU699-1)*100)))</f>
        <v>1.6938658877317714</v>
      </c>
      <c r="DE699" s="121">
        <v>491206</v>
      </c>
      <c r="DF699" s="98">
        <f t="shared" ref="DF699:DF707" si="4239">IF(ISERROR((DE699/CW699-1)*100),"NA",IF(((DE699/CW699-1)*100)&gt;100,"NM",IF(((DE699/CW699-1)*100)&lt;-50,"NM",(DE699/CW699-1)*100)))</f>
        <v>-4.8822758264122745</v>
      </c>
      <c r="DG699" s="121">
        <v>484925</v>
      </c>
      <c r="DH699" s="98">
        <f t="shared" ref="DH699:DH707" si="4240">IF(ISERROR((DG699/CY699-1)*100),"NA",IF(((DG699/CY699-1)*100)&gt;100,"NM",IF(((DG699/CY699-1)*100)&lt;-50,"NM",(DG699/CY699-1)*100)))</f>
        <v>-7.0234068824824192</v>
      </c>
      <c r="DI699" s="121">
        <v>488779</v>
      </c>
      <c r="DJ699" s="98">
        <f t="shared" ref="DJ699:DJ707" si="4241">IF(ISERROR((DI699/DA699-1)*100),"NA",IF(((DI699/DA699-1)*100)&gt;100,"NM",IF(((DI699/DA699-1)*100)&lt;-50,"NM",(DI699/DA699-1)*100)))</f>
        <v>-5.4681153926490982</v>
      </c>
      <c r="DK699" s="121">
        <v>493247</v>
      </c>
      <c r="DL699" s="98">
        <f t="shared" ref="DL699:DL707" si="4242">IF(ISERROR((DK699/DC699-1)*100),"NA",IF(((DK699/DC699-1)*100)&gt;100,"NM",IF(((DK699/DC699-1)*100)&lt;-50,"NM",(DK699/DC699-1)*100)))</f>
        <v>-3.7514244680684983</v>
      </c>
      <c r="DM699" s="121">
        <v>505305</v>
      </c>
      <c r="DN699" s="98">
        <f t="shared" ref="DN699:DZ707" si="4243">IF(ISERROR((DM699/DE699-1)*100),"NA",IF(((DM699/DE699-1)*100)&gt;100,"NM",IF(((DM699/DE699-1)*100)&lt;-50,"NM",(DM699/DE699-1)*100)))</f>
        <v>2.8702825291222034</v>
      </c>
      <c r="DO699" s="121">
        <v>507551</v>
      </c>
      <c r="DP699" s="98">
        <f t="shared" si="4243"/>
        <v>4.665876166417493</v>
      </c>
      <c r="DQ699" s="121">
        <v>505995</v>
      </c>
      <c r="DR699" s="98">
        <f t="shared" si="4243"/>
        <v>3.5222462503503582</v>
      </c>
      <c r="DS699" s="121">
        <v>516751</v>
      </c>
      <c r="DT699" s="98">
        <f t="shared" si="4243"/>
        <v>4.7651582270140436</v>
      </c>
      <c r="DU699" s="121">
        <v>500384</v>
      </c>
      <c r="DV699" s="98">
        <f t="shared" si="4243"/>
        <v>-0.97386726828351255</v>
      </c>
      <c r="DW699" s="121">
        <v>501577</v>
      </c>
      <c r="DX699" s="98">
        <f t="shared" si="4243"/>
        <v>-1.1770245748703112</v>
      </c>
      <c r="DY699" s="121">
        <v>495459</v>
      </c>
      <c r="DZ699" s="98">
        <f t="shared" si="4243"/>
        <v>-2.0822340141701035</v>
      </c>
      <c r="EA699" s="952">
        <v>435010</v>
      </c>
      <c r="EB699" s="860">
        <f t="shared" ref="EB699:EB707" si="4244">IF(ISERROR((EA699/DS699-1)*100),"NA",IF(((EA699/DS699-1)*100)&gt;100,"NM",IF(((EA699/DS699-1)*100)&lt;-50,"NM",(EA699/DS699-1)*100)))</f>
        <v>-15.818256761960791</v>
      </c>
      <c r="EC699" s="952">
        <v>444325</v>
      </c>
      <c r="ED699" s="860">
        <f t="shared" ref="ED699:ED707" si="4245">IF(ISERROR((EC699/DU699-1)*100),"NA",IF(((EC699/DU699-1)*100)&gt;100,"NM",IF(((EC699/DU699-1)*100)&lt;-50,"NM",(EC699/DU699-1)*100)))</f>
        <v>-11.203195945513844</v>
      </c>
      <c r="EE699" s="952">
        <v>450372</v>
      </c>
      <c r="EF699" s="860">
        <f t="shared" ref="EF699:EF707" si="4246">IF(ISERROR((EE699/DW699-1)*100),"NA",IF(((EE699/DW699-1)*100)&gt;100,"NM",IF(((EE699/DW699-1)*100)&lt;-50,"NM",(EE699/DW699-1)*100)))</f>
        <v>-10.208801440257432</v>
      </c>
      <c r="EG699" s="1062">
        <v>420911</v>
      </c>
      <c r="EH699" s="860">
        <f t="shared" ref="EH699:EH707" si="4247">IF(ISERROR((EG699/DY699-1)*100),"NA",IF(((EG699/DY699-1)*100)&gt;100,"NM",IF(((EG699/DY699-1)*100)&lt;-50,"NM",(EG699/DY699-1)*100)))</f>
        <v>-15.04625004288952</v>
      </c>
      <c r="EI699" s="1062">
        <v>428806</v>
      </c>
      <c r="EJ699" s="860">
        <f t="shared" ref="EJ699:EJ707" si="4248">IF(ISERROR((EI699/EA699-1)*100),"NA",IF(((EI699/EA699-1)*100)&gt;100,"NM",IF(((EI699/EA699-1)*100)&lt;-50,"NM",(EI699/EA699-1)*100)))</f>
        <v>-1.4261741109399817</v>
      </c>
      <c r="EK699" s="1062">
        <v>432338</v>
      </c>
      <c r="EL699" s="860">
        <f t="shared" ref="EL699:EL707" si="4249">IF(ISERROR((EK699/EC699-1)*100),"NA",IF(((EK699/EC699-1)*100)&gt;100,"NM",IF(((EK699/EC699-1)*100)&lt;-50,"NM",(EK699/EC699-1)*100)))</f>
        <v>-2.697800033759068</v>
      </c>
      <c r="EM699" s="1062">
        <v>445706</v>
      </c>
      <c r="EN699" s="860">
        <f t="shared" ref="EN699:EN707" si="4250">IF(ISERROR((EM699/EE699-1)*100),"NA",IF(((EM699/EE699-1)*100)&gt;100,"NM",IF(((EM699/EE699-1)*100)&lt;-50,"NM",(EM699/EE699-1)*100)))</f>
        <v>-1.0360324354089512</v>
      </c>
      <c r="EO699" s="1062">
        <v>444067</v>
      </c>
      <c r="EP699" s="98">
        <f t="shared" ref="EP699:EP707" si="4251">IF(ISERROR((EO699/EG699-1)*100),"NA",IF(((EO699/EG699-1)*100)&gt;100,"NM",IF(((EO699/EG699-1)*100)&lt;-50,"NM",(EO699/EG699-1)*100)))</f>
        <v>5.5014005336044836</v>
      </c>
      <c r="EQ699" s="1062">
        <f t="shared" ref="EQ699" si="4252">(EO699*1.0068)</f>
        <v>447086.65559999994</v>
      </c>
      <c r="ER699" s="98">
        <f t="shared" ref="ER699:ER707" si="4253">IF(ISERROR((EQ699/EI699-1)*100),"NA",IF(((EQ699/EI699-1)*100)&gt;100,"NM",IF(((EQ699/EI699-1)*100)&lt;-50,"NM",(EQ699/EI699-1)*100)))</f>
        <v>4.2631529409569602</v>
      </c>
      <c r="ES699" s="1062">
        <f t="shared" ref="ES699" si="4254">(EQ699*1.0068)</f>
        <v>450126.84485807992</v>
      </c>
      <c r="ET699" s="98">
        <f t="shared" ref="ET699:ET707" si="4255">IF(ISERROR((ES699/EK699-1)*100),"NA",IF(((ES699/EK699-1)*100)&gt;100,"NM",IF(((ES699/EK699-1)*100)&lt;-50,"NM",(ES699/EK699-1)*100)))</f>
        <v>4.1145688924128621</v>
      </c>
      <c r="EU699" s="1062">
        <f t="shared" ref="EU699" si="4256">(ES699*1.0068)</f>
        <v>453187.70740311482</v>
      </c>
      <c r="EV699" s="98">
        <f t="shared" ref="EV699:EV707" si="4257">IF(ISERROR((EU699/EM699-1)*100),"NA",IF(((EU699/EM699-1)*100)&gt;100,"NM",IF(((EU699/EM699-1)*100)&lt;-50,"NM",(EU699/EM699-1)*100)))</f>
        <v>1.6786194045210978</v>
      </c>
      <c r="EW699" s="1062">
        <f t="shared" ref="EW699" si="4258">(EU699*1.0068)</f>
        <v>456269.38381345599</v>
      </c>
      <c r="EX699" s="98">
        <f t="shared" ref="EX699:EX707" si="4259">IF(ISERROR((EW699/EO699-1)*100),"NA",IF(((EW699/EO699-1)*100)&gt;100,"NM",IF(((EW699/EO699-1)*100)&lt;-50,"NM",(EW699/EO699-1)*100)))</f>
        <v>2.7478699866137379</v>
      </c>
      <c r="EY699" s="40"/>
      <c r="EZ699" s="594"/>
      <c r="FA699" s="405"/>
      <c r="FB699" s="40">
        <v>135721</v>
      </c>
      <c r="FC699" s="98"/>
      <c r="FD699" s="40">
        <v>135860</v>
      </c>
      <c r="FE699" s="98">
        <f t="shared" ref="FE699:FE707" si="4260">IF(ISERROR((FD699/FB699-1)*100),"NA",IF(((FD699/FB699-1)*100)&gt;100,"NM",IF(((FD699/FB699-1)*100)&lt;-50,"NM",(FD699/FB699-1)*100)))</f>
        <v>0.10241598573543786</v>
      </c>
      <c r="FF699" s="349">
        <f>I699</f>
        <v>156525</v>
      </c>
      <c r="FG699" s="98">
        <f t="shared" ref="FG699:FG707" si="4261">IF(ISERROR((FF699/FD699-1)*100),"NA",IF(((FF699/FD699-1)*100)&gt;100,"NM",IF(((FF699/FD699-1)*100)&lt;-50,"NM",(FF699/FD699-1)*100)))</f>
        <v>15.210510819961719</v>
      </c>
      <c r="FH699" s="349">
        <f t="shared" ref="FH699:FH704" si="4262">Q699</f>
        <v>162222</v>
      </c>
      <c r="FI699" s="98">
        <f t="shared" ref="FI699:FI707" si="4263">IF(ISERROR((FH699/FF699-1)*100),"NA",IF(((FH699/FF699-1)*100)&gt;100,"NM",IF(((FH699/FF699-1)*100)&lt;-50,"NM",(FH699/FF699-1)*100)))</f>
        <v>3.6396741734547211</v>
      </c>
      <c r="FJ699" s="349">
        <f>Y699</f>
        <v>188335</v>
      </c>
      <c r="FK699" s="98">
        <f t="shared" ref="FK699:FK707" si="4264">IF(ISERROR((FJ699/FH699-1)*100),"NA",IF(((FJ699/FH699-1)*100)&gt;100,"NM",IF(((FJ699/FH699-1)*100)&lt;-50,"NM",(FJ699/FH699-1)*100)))</f>
        <v>16.097076845310742</v>
      </c>
      <c r="FL699" s="349">
        <f>AG699</f>
        <v>218099</v>
      </c>
      <c r="FM699" s="98">
        <f t="shared" ref="FM699:FM707" si="4265">IF(ISERROR((FL699/FJ699-1)*100),"NA",IF(((FL699/FJ699-1)*100)&gt;100,"NM",IF(((FL699/FJ699-1)*100)&lt;-50,"NM",(FL699/FJ699-1)*100)))</f>
        <v>15.80375394908009</v>
      </c>
      <c r="FN699" s="349">
        <f t="shared" ref="FN699:FN704" si="4266">AO699</f>
        <v>234967</v>
      </c>
      <c r="FO699" s="98">
        <f t="shared" ref="FO699:FO707" si="4267">IF(ISERROR((FN699/FL699-1)*100),"NA",IF(((FN699/FL699-1)*100)&gt;100,"NM",IF(((FN699/FL699-1)*100)&lt;-50,"NM",(FN699/FL699-1)*100)))</f>
        <v>7.7341024030371575</v>
      </c>
      <c r="FP699" s="349">
        <f t="shared" ref="FP699:FP704" si="4268">AW699</f>
        <v>301709</v>
      </c>
      <c r="FQ699" s="98">
        <f t="shared" ref="FQ699:FQ707" si="4269">IF(ISERROR((FP699/FN699-1)*100),"NA",IF(((FP699/FN699-1)*100)&gt;100,"NM",IF(((FP699/FN699-1)*100)&lt;-50,"NM",(FP699/FN699-1)*100)))</f>
        <v>28.404839828571671</v>
      </c>
      <c r="FR699" s="349">
        <f t="shared" ref="FR699:FR704" si="4270">BE699</f>
        <v>324689</v>
      </c>
      <c r="FS699" s="98">
        <f t="shared" ref="FS699:FS707" si="4271">IF(ISERROR((FR699/FP699-1)*100),"NA",IF(((FR699/FP699-1)*100)&gt;100,"NM",IF(((FR699/FP699-1)*100)&lt;-50,"NM",(FR699/FP699-1)*100)))</f>
        <v>7.6166107076686584</v>
      </c>
      <c r="FT699" s="349">
        <f t="shared" ref="FT699:FT704" si="4272">BM699</f>
        <v>318655</v>
      </c>
      <c r="FU699" s="98">
        <f t="shared" ref="FU699:FU707" si="4273">IF(ISERROR((FT699/FR699-1)*100),"NA",IF(((FT699/FR699-1)*100)&gt;100,"NM",IF(((FT699/FR699-1)*100)&lt;-50,"NM",(FT699/FR699-1)*100)))</f>
        <v>-1.8583937244563309</v>
      </c>
      <c r="FV699" s="349">
        <f t="shared" ref="FV699:FV704" si="4274">BU699</f>
        <v>298311</v>
      </c>
      <c r="FW699" s="98">
        <f t="shared" ref="FW699:FW707" si="4275">IF(ISERROR((FV699/FT699-1)*100),"NA",IF(((FV699/FT699-1)*100)&gt;100,"NM",IF(((FV699/FT699-1)*100)&lt;-50,"NM",(FV699/FT699-1)*100)))</f>
        <v>-6.3843341544930983</v>
      </c>
      <c r="FX699" s="510">
        <f t="shared" ref="FX699:FX704" si="4276">CC699</f>
        <v>327567</v>
      </c>
      <c r="FY699" s="98">
        <f t="shared" ref="FY699:FY707" si="4277">IF(ISERROR((FX699/FV699-1)*100),"NA",IF(((FX699/FV699-1)*100)&gt;100,"NM",IF(((FX699/FV699-1)*100)&lt;-50,"NM",(FX699/FV699-1)*100)))</f>
        <v>9.80721461830103</v>
      </c>
      <c r="FZ699" s="349">
        <f t="shared" ref="FZ699:FZ704" si="4278">CK699</f>
        <v>460306</v>
      </c>
      <c r="GA699" s="98">
        <f t="shared" ref="GA699:GA707" si="4279">IF(ISERROR((FZ699/FX699-1)*100),"NA",IF(((FZ699/FX699-1)*100)&gt;100,"NM",IF(((FZ699/FX699-1)*100)&lt;-50,"NM",(FZ699/FX699-1)*100)))</f>
        <v>40.522702225804188</v>
      </c>
      <c r="GB699" s="510">
        <f t="shared" ref="GB699:GB704" si="4280">CS699</f>
        <v>511379</v>
      </c>
      <c r="GC699" s="98">
        <f t="shared" ref="GC699:GC707" si="4281">IF(ISERROR((GB699/FZ699-1)*100),"NA",IF(((GB699/FZ699-1)*100)&gt;100,"NM",IF(((GB699/FZ699-1)*100)&lt;-50,"NM",(GB699/FZ699-1)*100)))</f>
        <v>11.095445203842669</v>
      </c>
      <c r="GD699" s="349">
        <f t="shared" ref="GD699:GD704" si="4282">DA699</f>
        <v>517052</v>
      </c>
      <c r="GE699" s="98">
        <f t="shared" ref="GE699:GW707" si="4283">IF(ISERROR((GD699/GB699-1)*100),"NA",IF(((GD699/GB699-1)*100)&gt;100,"NM",IF(((GD699/GB699-1)*100)&lt;-50,"NM",(GD699/GB699-1)*100)))</f>
        <v>1.1093533367619646</v>
      </c>
      <c r="GF699" s="349">
        <f t="shared" ref="GF699:GF704" si="4284">DI699</f>
        <v>488779</v>
      </c>
      <c r="GG699" s="98">
        <f t="shared" si="4283"/>
        <v>-5.4681153926490982</v>
      </c>
      <c r="GH699" s="349">
        <f t="shared" ref="GH699:GH704" si="4285">DQ699</f>
        <v>505995</v>
      </c>
      <c r="GI699" s="98">
        <f t="shared" si="4283"/>
        <v>3.5222462503503582</v>
      </c>
      <c r="GJ699" s="349">
        <f t="shared" ref="GJ699:GJ704" si="4286">DY699</f>
        <v>495459</v>
      </c>
      <c r="GK699" s="98">
        <f t="shared" si="4283"/>
        <v>-2.0822340141701035</v>
      </c>
      <c r="GL699" s="349">
        <f t="shared" ref="GL699:GL704" si="4287">EG699</f>
        <v>420911</v>
      </c>
      <c r="GM699" s="98">
        <f t="shared" si="4283"/>
        <v>-15.04625004288952</v>
      </c>
      <c r="GN699" s="349">
        <f t="shared" ref="GN699:GN704" si="4288">EO699</f>
        <v>444067</v>
      </c>
      <c r="GO699" s="98">
        <f t="shared" si="4283"/>
        <v>5.5014005336044836</v>
      </c>
      <c r="GP699" s="349">
        <f t="shared" ref="GP699:GP704" si="4289">EW699</f>
        <v>456269.38381345599</v>
      </c>
      <c r="GQ699" s="98">
        <f t="shared" si="4283"/>
        <v>2.7478699866137379</v>
      </c>
      <c r="GR699" s="40">
        <f>GP699*1.025</f>
        <v>467676.11840879236</v>
      </c>
      <c r="GS699" s="98">
        <f t="shared" si="4283"/>
        <v>2.4999999999999911</v>
      </c>
      <c r="GT699" s="40">
        <f>GR699*1.025</f>
        <v>479368.02136901213</v>
      </c>
      <c r="GU699" s="98">
        <f t="shared" si="4283"/>
        <v>2.4999999999999911</v>
      </c>
      <c r="GV699" s="40">
        <f>GT699*1.025</f>
        <v>491352.2219032374</v>
      </c>
      <c r="GW699" s="98">
        <f t="shared" si="4283"/>
        <v>2.4999999999999911</v>
      </c>
      <c r="GX699" s="40">
        <f>GV699*1.025</f>
        <v>503636.02745081828</v>
      </c>
      <c r="GY699" s="98">
        <f t="shared" ref="GY699:GY707" si="4290">IF(ISERROR((GX699/GV699-1)*100),"NA",IF(((GX699/GV699-1)*100)&gt;100,"NM",IF(((GX699/GV699-1)*100)&lt;-50,"NM",(GX699/GV699-1)*100)))</f>
        <v>2.4999999999999911</v>
      </c>
      <c r="GZ699" s="98">
        <f t="shared" ref="GZ699:GZ707" si="4291">IF(ISERROR(((GX699/GN699)^0.2-1)*100),"NA",IF((((GX699/GN699)^0.2-1)*100)&gt;100,"NM",IF((((GX699/GN699)^0.2-1)*100)&lt;-50,"NM",((GX699/GN699)^0.2-1)*100)))</f>
        <v>2.5495261139780068</v>
      </c>
      <c r="HA699" s="98"/>
      <c r="HB699" s="10"/>
      <c r="HC699"/>
      <c r="HD699"/>
      <c r="HE699"/>
      <c r="HF699"/>
      <c r="HG699"/>
      <c r="HH699"/>
      <c r="HI699" s="10"/>
    </row>
    <row r="700" spans="1:217" s="2" customFormat="1" ht="12.75" customHeight="1" x14ac:dyDescent="0.2">
      <c r="A700" s="10"/>
      <c r="B700" s="179" t="s">
        <v>545</v>
      </c>
      <c r="C700" s="121">
        <v>76110</v>
      </c>
      <c r="D700" s="98"/>
      <c r="E700" s="121">
        <v>73706</v>
      </c>
      <c r="F700" s="98"/>
      <c r="G700" s="121">
        <v>75103</v>
      </c>
      <c r="H700" s="121"/>
      <c r="I700" s="121">
        <v>70250</v>
      </c>
      <c r="J700" s="98"/>
      <c r="K700" s="101">
        <v>64104</v>
      </c>
      <c r="L700" s="98">
        <f t="shared" si="4193"/>
        <v>-15.774536854552624</v>
      </c>
      <c r="M700" s="101">
        <v>65332</v>
      </c>
      <c r="N700" s="98">
        <f t="shared" si="4194"/>
        <v>-11.361354570862614</v>
      </c>
      <c r="O700" s="101">
        <v>59620</v>
      </c>
      <c r="P700" s="98">
        <f>IF(ISERROR((O700/G700-1)*100),"NA",IF(((O700/G700-1)*100)&gt;100,"NM",IF(((O700/G700-1)*100)&lt;-50,"NM",(O700/G700-1)*100)))</f>
        <v>-20.615687788770089</v>
      </c>
      <c r="Q700" s="101">
        <v>62714</v>
      </c>
      <c r="R700" s="98">
        <f t="shared" si="4195"/>
        <v>-10.727402135231312</v>
      </c>
      <c r="S700" s="101">
        <v>62538</v>
      </c>
      <c r="T700" s="98">
        <f t="shared" si="4196"/>
        <v>-2.4429052789217476</v>
      </c>
      <c r="U700" s="101">
        <v>59283</v>
      </c>
      <c r="V700" s="98">
        <f t="shared" si="4197"/>
        <v>-9.258862425763791</v>
      </c>
      <c r="W700" s="101">
        <v>56049</v>
      </c>
      <c r="X700" s="98">
        <f t="shared" si="4198"/>
        <v>-5.9896008050989602</v>
      </c>
      <c r="Y700" s="101">
        <v>59693</v>
      </c>
      <c r="Z700" s="98">
        <f t="shared" si="4199"/>
        <v>-4.8171062282743922</v>
      </c>
      <c r="AA700" s="101">
        <v>60620</v>
      </c>
      <c r="AB700" s="98">
        <f t="shared" si="4200"/>
        <v>-3.0669353033355717</v>
      </c>
      <c r="AC700" s="101">
        <v>67460</v>
      </c>
      <c r="AD700" s="98">
        <f t="shared" si="4201"/>
        <v>13.793161614628136</v>
      </c>
      <c r="AE700" s="101">
        <v>69998</v>
      </c>
      <c r="AF700" s="98">
        <f t="shared" si="4202"/>
        <v>24.887152313154569</v>
      </c>
      <c r="AG700" s="101">
        <v>75756</v>
      </c>
      <c r="AH700" s="98">
        <f t="shared" si="4203"/>
        <v>26.909352855443693</v>
      </c>
      <c r="AI700" s="101">
        <v>78336</v>
      </c>
      <c r="AJ700" s="98">
        <f t="shared" si="4204"/>
        <v>29.224678323985476</v>
      </c>
      <c r="AK700" s="101">
        <v>79747</v>
      </c>
      <c r="AL700" s="98">
        <f t="shared" si="4205"/>
        <v>18.213756300029637</v>
      </c>
      <c r="AM700" s="101">
        <v>81181</v>
      </c>
      <c r="AN700" s="98">
        <f t="shared" si="4206"/>
        <v>15.976170747735651</v>
      </c>
      <c r="AO700" s="101">
        <v>86769</v>
      </c>
      <c r="AP700" s="98">
        <f t="shared" si="4207"/>
        <v>14.537462379217491</v>
      </c>
      <c r="AQ700" s="101">
        <v>85786</v>
      </c>
      <c r="AR700" s="98">
        <f t="shared" si="4208"/>
        <v>9.5103145424836555</v>
      </c>
      <c r="AS700" s="101">
        <v>89459</v>
      </c>
      <c r="AT700" s="98">
        <f t="shared" si="4209"/>
        <v>12.178514552271569</v>
      </c>
      <c r="AU700" s="101">
        <v>124044</v>
      </c>
      <c r="AV700" s="98">
        <f t="shared" si="4210"/>
        <v>52.799300328894681</v>
      </c>
      <c r="AW700" s="101">
        <v>127869</v>
      </c>
      <c r="AX700" s="98">
        <f t="shared" si="4211"/>
        <v>47.367147253051201</v>
      </c>
      <c r="AY700" s="101">
        <v>132522</v>
      </c>
      <c r="AZ700" s="98">
        <f t="shared" si="4212"/>
        <v>54.479751940876127</v>
      </c>
      <c r="BA700" s="101">
        <v>132782</v>
      </c>
      <c r="BB700" s="98">
        <f t="shared" si="4213"/>
        <v>48.427771381303167</v>
      </c>
      <c r="BC700" s="101">
        <v>137274</v>
      </c>
      <c r="BD700" s="98">
        <f t="shared" si="4214"/>
        <v>10.665570281513004</v>
      </c>
      <c r="BE700" s="101">
        <v>144365</v>
      </c>
      <c r="BF700" s="98">
        <f t="shared" si="4215"/>
        <v>12.900703063291342</v>
      </c>
      <c r="BG700" s="101">
        <v>147312</v>
      </c>
      <c r="BH700" s="98">
        <f t="shared" si="4216"/>
        <v>11.160411101552947</v>
      </c>
      <c r="BI700" s="101">
        <v>155835</v>
      </c>
      <c r="BJ700" s="98">
        <f t="shared" si="4217"/>
        <v>17.361539967766724</v>
      </c>
      <c r="BK700" s="101">
        <v>160662</v>
      </c>
      <c r="BL700" s="98">
        <f t="shared" si="4218"/>
        <v>17.037457930853627</v>
      </c>
      <c r="BM700" s="101">
        <v>160142</v>
      </c>
      <c r="BN700" s="98">
        <f t="shared" si="4219"/>
        <v>10.928549163578438</v>
      </c>
      <c r="BO700" s="101">
        <v>114366</v>
      </c>
      <c r="BP700" s="98">
        <f t="shared" si="4220"/>
        <v>-22.364776800260667</v>
      </c>
      <c r="BQ700" s="101">
        <v>149686</v>
      </c>
      <c r="BR700" s="98">
        <f t="shared" si="4221"/>
        <v>-3.9458401514422259</v>
      </c>
      <c r="BS700" s="101">
        <v>139803</v>
      </c>
      <c r="BT700" s="98">
        <f t="shared" si="4222"/>
        <v>-12.983157187138216</v>
      </c>
      <c r="BU700" s="101">
        <v>120839</v>
      </c>
      <c r="BV700" s="98">
        <f t="shared" si="4223"/>
        <v>-24.542593448314619</v>
      </c>
      <c r="BW700" s="101">
        <v>114366</v>
      </c>
      <c r="BX700" s="98">
        <f t="shared" si="4224"/>
        <v>0</v>
      </c>
      <c r="BY700" s="101">
        <v>126968</v>
      </c>
      <c r="BZ700" s="98">
        <f t="shared" si="4225"/>
        <v>-15.177104071189017</v>
      </c>
      <c r="CA700" s="101">
        <v>144434</v>
      </c>
      <c r="CB700" s="98">
        <f t="shared" si="4226"/>
        <v>3.3125183293634564</v>
      </c>
      <c r="CC700" s="101">
        <v>149041</v>
      </c>
      <c r="CD700" s="98">
        <f t="shared" si="4227"/>
        <v>23.33849171211282</v>
      </c>
      <c r="CE700" s="101">
        <v>158252</v>
      </c>
      <c r="CF700" s="98">
        <f t="shared" si="4228"/>
        <v>38.373292761834811</v>
      </c>
      <c r="CG700" s="101">
        <v>153192</v>
      </c>
      <c r="CH700" s="98">
        <f t="shared" si="4229"/>
        <v>20.65402306092874</v>
      </c>
      <c r="CI700" s="101">
        <v>172184</v>
      </c>
      <c r="CJ700" s="98">
        <f t="shared" si="4230"/>
        <v>19.212927704003203</v>
      </c>
      <c r="CK700" s="101">
        <v>183138</v>
      </c>
      <c r="CL700" s="98">
        <f t="shared" si="4231"/>
        <v>22.877597439630716</v>
      </c>
      <c r="CM700" s="101">
        <v>195914</v>
      </c>
      <c r="CN700" s="98">
        <f t="shared" si="4232"/>
        <v>23.798751358592618</v>
      </c>
      <c r="CO700" s="101">
        <v>202382</v>
      </c>
      <c r="CP700" s="98">
        <f t="shared" si="4233"/>
        <v>32.110031855449364</v>
      </c>
      <c r="CQ700" s="542">
        <v>191499</v>
      </c>
      <c r="CR700" s="98">
        <f t="shared" si="4233"/>
        <v>11.217650885099651</v>
      </c>
      <c r="CS700" s="101">
        <v>203023</v>
      </c>
      <c r="CT700" s="98">
        <f t="shared" si="4233"/>
        <v>10.857932269654569</v>
      </c>
      <c r="CU700" s="101">
        <v>221975</v>
      </c>
      <c r="CV700" s="98">
        <f t="shared" si="4234"/>
        <v>13.302265279663516</v>
      </c>
      <c r="CW700" s="101">
        <v>220317</v>
      </c>
      <c r="CX700" s="98">
        <f t="shared" si="4235"/>
        <v>8.8619541263551085</v>
      </c>
      <c r="CY700" s="101">
        <v>237373</v>
      </c>
      <c r="CZ700" s="98">
        <f t="shared" si="4236"/>
        <v>23.955216476326257</v>
      </c>
      <c r="DA700" s="101">
        <v>235393</v>
      </c>
      <c r="DB700" s="98">
        <f t="shared" si="4237"/>
        <v>15.944006344108796</v>
      </c>
      <c r="DC700" s="101">
        <v>249220</v>
      </c>
      <c r="DD700" s="98">
        <f t="shared" si="4238"/>
        <v>12.273904718999894</v>
      </c>
      <c r="DE700" s="101">
        <v>245573</v>
      </c>
      <c r="DF700" s="98">
        <f t="shared" si="4239"/>
        <v>11.463482164335925</v>
      </c>
      <c r="DG700" s="101">
        <v>255250</v>
      </c>
      <c r="DH700" s="98">
        <f t="shared" si="4240"/>
        <v>7.53118509687285</v>
      </c>
      <c r="DI700" s="101">
        <v>317201</v>
      </c>
      <c r="DJ700" s="98">
        <f t="shared" si="4241"/>
        <v>34.75379471776985</v>
      </c>
      <c r="DK700" s="101">
        <v>316434</v>
      </c>
      <c r="DL700" s="98">
        <f t="shared" si="4242"/>
        <v>26.969745606291639</v>
      </c>
      <c r="DM700" s="101">
        <v>324977</v>
      </c>
      <c r="DN700" s="98">
        <f t="shared" si="4243"/>
        <v>32.334173545137304</v>
      </c>
      <c r="DO700" s="101">
        <v>319480</v>
      </c>
      <c r="DP700" s="98">
        <f t="shared" si="4243"/>
        <v>25.163565132223308</v>
      </c>
      <c r="DQ700" s="101">
        <v>316994</v>
      </c>
      <c r="DR700" s="98">
        <f t="shared" si="4243"/>
        <v>-6.5258306247462095E-2</v>
      </c>
      <c r="DS700" s="101">
        <v>324724</v>
      </c>
      <c r="DT700" s="98">
        <f t="shared" si="4243"/>
        <v>2.6198196148327968</v>
      </c>
      <c r="DU700" s="101">
        <v>319477</v>
      </c>
      <c r="DV700" s="98">
        <f t="shared" si="4243"/>
        <v>-1.6924274640974568</v>
      </c>
      <c r="DW700" s="101">
        <v>299249</v>
      </c>
      <c r="DX700" s="98">
        <f t="shared" si="4243"/>
        <v>-6.3324777763866251</v>
      </c>
      <c r="DY700" s="101">
        <v>301598</v>
      </c>
      <c r="DZ700" s="98">
        <f t="shared" si="4243"/>
        <v>-4.8568742626043377</v>
      </c>
      <c r="EA700" s="950">
        <v>192621</v>
      </c>
      <c r="EB700" s="860">
        <f t="shared" si="4244"/>
        <v>-40.68162501077839</v>
      </c>
      <c r="EC700" s="950">
        <v>196208</v>
      </c>
      <c r="ED700" s="860">
        <f t="shared" si="4245"/>
        <v>-38.584624245250829</v>
      </c>
      <c r="EE700" s="950">
        <v>200429</v>
      </c>
      <c r="EF700" s="860">
        <f t="shared" si="4246"/>
        <v>-33.022666742411829</v>
      </c>
      <c r="EG700" s="950">
        <v>195578</v>
      </c>
      <c r="EH700" s="860">
        <f t="shared" si="4247"/>
        <v>-35.152753002340866</v>
      </c>
      <c r="EI700" s="950">
        <v>202156</v>
      </c>
      <c r="EJ700" s="860">
        <f t="shared" si="4248"/>
        <v>4.9501352396675413</v>
      </c>
      <c r="EK700" s="950">
        <v>204889</v>
      </c>
      <c r="EL700" s="860">
        <f t="shared" si="4249"/>
        <v>4.4243863654896742</v>
      </c>
      <c r="EM700" s="950">
        <v>203399</v>
      </c>
      <c r="EN700" s="860">
        <f t="shared" si="4250"/>
        <v>1.481821492897728</v>
      </c>
      <c r="EO700" s="950">
        <v>205001</v>
      </c>
      <c r="EP700" s="98">
        <f t="shared" si="4251"/>
        <v>4.8180265674053313</v>
      </c>
      <c r="EQ700" s="1067">
        <f>(EQ148+EQ52+EQ280+EQ398)/(EO148+EO52+EO280+EO398)*EO700</f>
        <v>203045.83526935335</v>
      </c>
      <c r="ER700" s="98">
        <f t="shared" si="4253"/>
        <v>0.4401725743254481</v>
      </c>
      <c r="ES700" s="1067">
        <f>(ES148+ES52+ES280+ES398)/(EQ148+EQ52+EQ280+EQ398)*EQ700</f>
        <v>196117.22947694614</v>
      </c>
      <c r="ET700" s="98">
        <f t="shared" si="4255"/>
        <v>-4.2812305799988515</v>
      </c>
      <c r="EU700" s="1067">
        <f>(EU148+EU52+EU280+EU398)/(ES148+ES52+ES280+ES398)*ES700</f>
        <v>191565.35880011201</v>
      </c>
      <c r="EV700" s="98">
        <f t="shared" si="4257"/>
        <v>-5.8179446309411524</v>
      </c>
      <c r="EW700" s="1067">
        <f>(EW148+EW52+EW280+EW398)/(EU148+EU52+EU280+EU398)*EU700</f>
        <v>187245.57587160758</v>
      </c>
      <c r="EX700" s="98">
        <f t="shared" si="4259"/>
        <v>-8.6611402521901919</v>
      </c>
      <c r="EY700" s="350"/>
      <c r="EZ700" s="594"/>
      <c r="FA700" s="405"/>
      <c r="FB700" s="121">
        <v>58068</v>
      </c>
      <c r="FC700" s="98"/>
      <c r="FD700" s="121">
        <v>64941</v>
      </c>
      <c r="FE700" s="98">
        <f t="shared" si="4260"/>
        <v>11.836123165943381</v>
      </c>
      <c r="FF700" s="349">
        <f>I700</f>
        <v>70250</v>
      </c>
      <c r="FG700" s="98">
        <f t="shared" si="4261"/>
        <v>8.1751127946905644</v>
      </c>
      <c r="FH700" s="349">
        <f t="shared" si="4262"/>
        <v>62714</v>
      </c>
      <c r="FI700" s="98">
        <f t="shared" si="4263"/>
        <v>-10.727402135231312</v>
      </c>
      <c r="FJ700" s="349">
        <f>Y700</f>
        <v>59693</v>
      </c>
      <c r="FK700" s="98">
        <f t="shared" si="4264"/>
        <v>-4.8171062282743922</v>
      </c>
      <c r="FL700" s="349">
        <f>AG700</f>
        <v>75756</v>
      </c>
      <c r="FM700" s="98">
        <f t="shared" si="4265"/>
        <v>26.909352855443693</v>
      </c>
      <c r="FN700" s="349">
        <f t="shared" si="4266"/>
        <v>86769</v>
      </c>
      <c r="FO700" s="98">
        <f t="shared" si="4267"/>
        <v>14.537462379217491</v>
      </c>
      <c r="FP700" s="349">
        <f t="shared" si="4268"/>
        <v>127869</v>
      </c>
      <c r="FQ700" s="98">
        <f t="shared" si="4269"/>
        <v>47.367147253051201</v>
      </c>
      <c r="FR700" s="349">
        <f t="shared" si="4270"/>
        <v>144365</v>
      </c>
      <c r="FS700" s="98">
        <f t="shared" si="4271"/>
        <v>12.900703063291342</v>
      </c>
      <c r="FT700" s="349">
        <f t="shared" si="4272"/>
        <v>160142</v>
      </c>
      <c r="FU700" s="98">
        <f t="shared" si="4273"/>
        <v>10.928549163578438</v>
      </c>
      <c r="FV700" s="349">
        <f t="shared" si="4274"/>
        <v>120839</v>
      </c>
      <c r="FW700" s="98">
        <f t="shared" si="4275"/>
        <v>-24.542593448314619</v>
      </c>
      <c r="FX700" s="510">
        <f t="shared" si="4276"/>
        <v>149041</v>
      </c>
      <c r="FY700" s="98">
        <f t="shared" si="4277"/>
        <v>23.33849171211282</v>
      </c>
      <c r="FZ700" s="349">
        <f t="shared" si="4278"/>
        <v>183138</v>
      </c>
      <c r="GA700" s="98">
        <f t="shared" si="4279"/>
        <v>22.877597439630716</v>
      </c>
      <c r="GB700" s="510">
        <f t="shared" si="4280"/>
        <v>203023</v>
      </c>
      <c r="GC700" s="98">
        <f t="shared" si="4281"/>
        <v>10.857932269654569</v>
      </c>
      <c r="GD700" s="349">
        <f t="shared" si="4282"/>
        <v>235393</v>
      </c>
      <c r="GE700" s="98">
        <f t="shared" si="4283"/>
        <v>15.944006344108796</v>
      </c>
      <c r="GF700" s="349">
        <f t="shared" si="4284"/>
        <v>317201</v>
      </c>
      <c r="GG700" s="98">
        <f t="shared" si="4283"/>
        <v>34.75379471776985</v>
      </c>
      <c r="GH700" s="349">
        <f t="shared" si="4285"/>
        <v>316994</v>
      </c>
      <c r="GI700" s="98">
        <f t="shared" si="4283"/>
        <v>-6.5258306247462095E-2</v>
      </c>
      <c r="GJ700" s="349">
        <f t="shared" si="4286"/>
        <v>301598</v>
      </c>
      <c r="GK700" s="98">
        <f t="shared" si="4283"/>
        <v>-4.8568742626043377</v>
      </c>
      <c r="GL700" s="349">
        <f t="shared" si="4287"/>
        <v>195578</v>
      </c>
      <c r="GM700" s="98">
        <f t="shared" si="4283"/>
        <v>-35.152753002340866</v>
      </c>
      <c r="GN700" s="349">
        <f t="shared" si="4288"/>
        <v>205001</v>
      </c>
      <c r="GO700" s="98">
        <f t="shared" si="4283"/>
        <v>4.8180265674053313</v>
      </c>
      <c r="GP700" s="349">
        <f t="shared" si="4289"/>
        <v>187245.57587160758</v>
      </c>
      <c r="GQ700" s="98">
        <f t="shared" si="4283"/>
        <v>-8.6611402521901919</v>
      </c>
      <c r="GR700" s="350">
        <f>(GR148+GR52+GR280+GR398)/(GP148+GP52+GP280+GP398)*GP700</f>
        <v>169099.49874309974</v>
      </c>
      <c r="GS700" s="98">
        <f t="shared" si="4283"/>
        <v>-9.6910578762888449</v>
      </c>
      <c r="GT700" s="350">
        <f>(GT148+GT52+GT280+GT398)/(GR148+GR52+GR280+GR398)*GR700</f>
        <v>152686.14572634621</v>
      </c>
      <c r="GU700" s="98">
        <f t="shared" si="4283"/>
        <v>-9.7063286046099488</v>
      </c>
      <c r="GV700" s="350">
        <f>(GV148+GV52+GV280+GV398)/(GT148+GT52+GT280+GT398)*GT700</f>
        <v>138921.10033575882</v>
      </c>
      <c r="GW700" s="98">
        <f t="shared" si="4283"/>
        <v>-9.0152550024138911</v>
      </c>
      <c r="GX700" s="350">
        <f>(GX148+GX52+GX280+GX398)/(GV148+GV52+GV280+GV398)*GV700</f>
        <v>127481.25495410383</v>
      </c>
      <c r="GY700" s="98">
        <f t="shared" si="4290"/>
        <v>-8.2347788449745885</v>
      </c>
      <c r="GZ700" s="98">
        <f t="shared" si="4291"/>
        <v>-9.063534503511983</v>
      </c>
      <c r="HA700" s="98"/>
      <c r="HB700" s="10"/>
      <c r="HC700"/>
      <c r="HD700"/>
      <c r="HE700"/>
      <c r="HF700"/>
      <c r="HG700"/>
      <c r="HH700"/>
      <c r="HI700" s="10"/>
    </row>
    <row r="701" spans="1:217" s="2" customFormat="1" ht="12.75" customHeight="1" x14ac:dyDescent="0.2">
      <c r="A701" s="10" t="s">
        <v>39</v>
      </c>
      <c r="B701" s="179" t="s">
        <v>44</v>
      </c>
      <c r="C701" s="121" t="s">
        <v>481</v>
      </c>
      <c r="D701" s="98"/>
      <c r="E701" s="121" t="s">
        <v>481</v>
      </c>
      <c r="F701" s="98"/>
      <c r="G701" s="121" t="s">
        <v>481</v>
      </c>
      <c r="H701" s="121"/>
      <c r="I701" s="121" t="s">
        <v>481</v>
      </c>
      <c r="J701" s="98"/>
      <c r="K701" s="101">
        <v>10501</v>
      </c>
      <c r="L701" s="98" t="str">
        <f t="shared" si="4193"/>
        <v>NA</v>
      </c>
      <c r="M701" s="101">
        <v>10753</v>
      </c>
      <c r="N701" s="98" t="str">
        <f t="shared" si="4194"/>
        <v>NA</v>
      </c>
      <c r="O701" s="101">
        <v>10724</v>
      </c>
      <c r="P701" s="98" t="str">
        <f>IF(ISERROR((O701/G701-1)*100),"NA",IF(((O701/G701-1)*100)&gt;100,"NM",IF(((O701/G701-1)*100)&lt;-50,"NM",(O701/G701-1)*100)))</f>
        <v>NA</v>
      </c>
      <c r="Q701" s="101">
        <v>11167</v>
      </c>
      <c r="R701" s="98" t="str">
        <f t="shared" si="4195"/>
        <v>NA</v>
      </c>
      <c r="S701" s="101">
        <v>11436</v>
      </c>
      <c r="T701" s="98">
        <f t="shared" si="4196"/>
        <v>8.9039139129606824</v>
      </c>
      <c r="U701" s="101">
        <v>11774</v>
      </c>
      <c r="V701" s="98">
        <f t="shared" si="4197"/>
        <v>9.4950246442853103</v>
      </c>
      <c r="W701" s="101">
        <v>11553</v>
      </c>
      <c r="X701" s="98">
        <f t="shared" si="4198"/>
        <v>7.7303245057814163</v>
      </c>
      <c r="Y701" s="101">
        <v>11727</v>
      </c>
      <c r="Z701" s="98">
        <f t="shared" si="4199"/>
        <v>5.0147756783379682</v>
      </c>
      <c r="AA701" s="101">
        <v>11889</v>
      </c>
      <c r="AB701" s="98">
        <f t="shared" si="4200"/>
        <v>3.9611752360965369</v>
      </c>
      <c r="AC701" s="101">
        <v>11942</v>
      </c>
      <c r="AD701" s="98">
        <f t="shared" si="4201"/>
        <v>1.4268727705113005</v>
      </c>
      <c r="AE701" s="101">
        <v>12367</v>
      </c>
      <c r="AF701" s="98">
        <f t="shared" si="4202"/>
        <v>7.0457889725612288</v>
      </c>
      <c r="AG701" s="101">
        <v>12943</v>
      </c>
      <c r="AH701" s="98">
        <f t="shared" si="4203"/>
        <v>10.369233393024647</v>
      </c>
      <c r="AI701" s="101">
        <v>13020</v>
      </c>
      <c r="AJ701" s="98">
        <f t="shared" si="4204"/>
        <v>9.512995205652274</v>
      </c>
      <c r="AK701" s="101">
        <v>13885</v>
      </c>
      <c r="AL701" s="98">
        <f t="shared" si="4205"/>
        <v>16.270306481326415</v>
      </c>
      <c r="AM701" s="101">
        <v>13913</v>
      </c>
      <c r="AN701" s="98">
        <f t="shared" si="4206"/>
        <v>12.50101075442711</v>
      </c>
      <c r="AO701" s="101">
        <v>14327</v>
      </c>
      <c r="AP701" s="98">
        <f t="shared" si="4207"/>
        <v>10.693038708182034</v>
      </c>
      <c r="AQ701" s="101">
        <v>14789</v>
      </c>
      <c r="AR701" s="98">
        <f t="shared" si="4208"/>
        <v>13.586789554531498</v>
      </c>
      <c r="AS701" s="101">
        <v>14865</v>
      </c>
      <c r="AT701" s="98">
        <f t="shared" si="4209"/>
        <v>7.0579762333453422</v>
      </c>
      <c r="AU701" s="101">
        <v>19211</v>
      </c>
      <c r="AV701" s="98">
        <f t="shared" si="4210"/>
        <v>38.079493998418748</v>
      </c>
      <c r="AW701" s="101">
        <v>19653</v>
      </c>
      <c r="AX701" s="98">
        <f t="shared" si="4211"/>
        <v>37.174565505688562</v>
      </c>
      <c r="AY701" s="101">
        <v>20245</v>
      </c>
      <c r="AZ701" s="98">
        <f t="shared" si="4212"/>
        <v>36.89228480627493</v>
      </c>
      <c r="BA701" s="101">
        <v>20814</v>
      </c>
      <c r="BB701" s="98">
        <f t="shared" si="4213"/>
        <v>40.020181634712415</v>
      </c>
      <c r="BC701" s="101">
        <v>20565</v>
      </c>
      <c r="BD701" s="98">
        <f t="shared" si="4214"/>
        <v>7.0480453906615947</v>
      </c>
      <c r="BE701" s="101">
        <v>20851</v>
      </c>
      <c r="BF701" s="98">
        <f t="shared" si="4215"/>
        <v>6.0957614613545097</v>
      </c>
      <c r="BG701" s="101">
        <v>20371</v>
      </c>
      <c r="BH701" s="98">
        <f t="shared" si="4216"/>
        <v>0.62237589528277848</v>
      </c>
      <c r="BI701" s="101">
        <v>21067</v>
      </c>
      <c r="BJ701" s="98">
        <f t="shared" si="4217"/>
        <v>1.2155280099932719</v>
      </c>
      <c r="BK701" s="101">
        <v>21310</v>
      </c>
      <c r="BL701" s="98">
        <f t="shared" si="4218"/>
        <v>3.6226598589837122</v>
      </c>
      <c r="BM701" s="101">
        <v>17810</v>
      </c>
      <c r="BN701" s="98">
        <f t="shared" si="4219"/>
        <v>-14.584432401323678</v>
      </c>
      <c r="BO701" s="101">
        <v>18159</v>
      </c>
      <c r="BP701" s="98">
        <f t="shared" si="4220"/>
        <v>-10.858573462274801</v>
      </c>
      <c r="BQ701" s="101">
        <v>18879</v>
      </c>
      <c r="BR701" s="98">
        <f t="shared" si="4221"/>
        <v>-10.385911615322541</v>
      </c>
      <c r="BS701" s="101">
        <v>20119</v>
      </c>
      <c r="BT701" s="98">
        <f t="shared" si="4222"/>
        <v>-5.5889253871421847</v>
      </c>
      <c r="BU701" s="101">
        <v>20144</v>
      </c>
      <c r="BV701" s="98">
        <f t="shared" si="4223"/>
        <v>13.104997192588442</v>
      </c>
      <c r="BW701" s="101">
        <v>20754</v>
      </c>
      <c r="BX701" s="98">
        <f t="shared" si="4224"/>
        <v>14.290434495291592</v>
      </c>
      <c r="BY701" s="101">
        <v>20323</v>
      </c>
      <c r="BZ701" s="98">
        <f t="shared" si="4225"/>
        <v>7.6487102071084223</v>
      </c>
      <c r="CA701" s="101">
        <v>19208</v>
      </c>
      <c r="CB701" s="98">
        <f t="shared" si="4226"/>
        <v>-4.5280580545752791</v>
      </c>
      <c r="CC701" s="101">
        <v>19256</v>
      </c>
      <c r="CD701" s="98">
        <f t="shared" si="4227"/>
        <v>-4.4082605242255717</v>
      </c>
      <c r="CE701" s="101">
        <v>18516</v>
      </c>
      <c r="CF701" s="98">
        <f t="shared" si="4228"/>
        <v>-10.783463428736628</v>
      </c>
      <c r="CG701" s="101">
        <v>17539</v>
      </c>
      <c r="CH701" s="98">
        <f t="shared" si="4229"/>
        <v>-13.698764946120157</v>
      </c>
      <c r="CI701" s="101">
        <v>17272</v>
      </c>
      <c r="CJ701" s="98">
        <f t="shared" si="4230"/>
        <v>-10.07913369429404</v>
      </c>
      <c r="CK701" s="101">
        <v>27092</v>
      </c>
      <c r="CL701" s="98">
        <f t="shared" si="4231"/>
        <v>40.693809721645202</v>
      </c>
      <c r="CM701" s="101">
        <v>25147</v>
      </c>
      <c r="CN701" s="98">
        <f t="shared" si="4232"/>
        <v>35.812270468783744</v>
      </c>
      <c r="CO701" s="101">
        <v>25234</v>
      </c>
      <c r="CP701" s="98">
        <f t="shared" si="4233"/>
        <v>43.873653001881529</v>
      </c>
      <c r="CQ701" s="542">
        <v>24516</v>
      </c>
      <c r="CR701" s="98">
        <f t="shared" si="4233"/>
        <v>41.940713293191287</v>
      </c>
      <c r="CS701" s="101">
        <v>24619</v>
      </c>
      <c r="CT701" s="98">
        <f t="shared" si="4233"/>
        <v>-9.128155913184699</v>
      </c>
      <c r="CU701" s="101">
        <v>25105</v>
      </c>
      <c r="CV701" s="98">
        <f t="shared" si="4234"/>
        <v>-0.16701793454487746</v>
      </c>
      <c r="CW701" s="101">
        <v>24505</v>
      </c>
      <c r="CX701" s="98">
        <f t="shared" si="4235"/>
        <v>-2.8889593405722391</v>
      </c>
      <c r="CY701" s="101">
        <v>24604</v>
      </c>
      <c r="CZ701" s="98">
        <f t="shared" si="4236"/>
        <v>0.35894925762767205</v>
      </c>
      <c r="DA701" s="101">
        <v>24761</v>
      </c>
      <c r="DB701" s="98">
        <f t="shared" si="4237"/>
        <v>0.57679028392705334</v>
      </c>
      <c r="DC701" s="101">
        <v>24645</v>
      </c>
      <c r="DD701" s="98">
        <f t="shared" si="4238"/>
        <v>-1.8323043218482327</v>
      </c>
      <c r="DE701" s="101">
        <v>24782</v>
      </c>
      <c r="DF701" s="98">
        <f t="shared" si="4239"/>
        <v>1.1303815547847318</v>
      </c>
      <c r="DG701" s="101">
        <v>25639</v>
      </c>
      <c r="DH701" s="98">
        <f t="shared" si="4240"/>
        <v>4.2066330677938524</v>
      </c>
      <c r="DI701" s="101">
        <v>26706</v>
      </c>
      <c r="DJ701" s="98">
        <f t="shared" si="4241"/>
        <v>7.8550947053834586</v>
      </c>
      <c r="DK701" s="101">
        <v>26352</v>
      </c>
      <c r="DL701" s="98">
        <f t="shared" si="4242"/>
        <v>6.9263542300669556</v>
      </c>
      <c r="DM701" s="101">
        <v>25915</v>
      </c>
      <c r="DN701" s="98">
        <f t="shared" si="4243"/>
        <v>4.5718666774271721</v>
      </c>
      <c r="DO701" s="101">
        <v>25503</v>
      </c>
      <c r="DP701" s="98">
        <f t="shared" si="4243"/>
        <v>-0.5304419049104836</v>
      </c>
      <c r="DQ701" s="101">
        <v>24442</v>
      </c>
      <c r="DR701" s="98">
        <f t="shared" si="4243"/>
        <v>-8.4774956938515658</v>
      </c>
      <c r="DS701" s="101">
        <v>24003</v>
      </c>
      <c r="DT701" s="98">
        <f t="shared" si="4243"/>
        <v>-8.9139344262295079</v>
      </c>
      <c r="DU701" s="101">
        <v>24379</v>
      </c>
      <c r="DV701" s="98">
        <f t="shared" si="4243"/>
        <v>-5.9270692649044943</v>
      </c>
      <c r="DW701" s="101">
        <v>23996</v>
      </c>
      <c r="DX701" s="98">
        <f t="shared" si="4243"/>
        <v>-5.9091087323060005</v>
      </c>
      <c r="DY701" s="101">
        <v>24130</v>
      </c>
      <c r="DZ701" s="98">
        <f t="shared" si="4243"/>
        <v>-1.2764912854921873</v>
      </c>
      <c r="EA701" s="950">
        <v>17478</v>
      </c>
      <c r="EB701" s="860">
        <f t="shared" si="4244"/>
        <v>-27.184101987251598</v>
      </c>
      <c r="EC701" s="950">
        <v>17618</v>
      </c>
      <c r="ED701" s="860">
        <f t="shared" si="4245"/>
        <v>-27.732884859920425</v>
      </c>
      <c r="EE701" s="950">
        <v>17949</v>
      </c>
      <c r="EF701" s="860">
        <f t="shared" si="4246"/>
        <v>-25.200033338889817</v>
      </c>
      <c r="EG701" s="950">
        <v>17590</v>
      </c>
      <c r="EH701" s="860">
        <f t="shared" si="4247"/>
        <v>-27.103191048487364</v>
      </c>
      <c r="EI701" s="950">
        <v>18138</v>
      </c>
      <c r="EJ701" s="860">
        <f t="shared" si="4248"/>
        <v>3.7761757638173687</v>
      </c>
      <c r="EK701" s="950">
        <v>18039</v>
      </c>
      <c r="EL701" s="860">
        <f t="shared" si="4249"/>
        <v>2.3896015438755747</v>
      </c>
      <c r="EM701" s="950">
        <v>18399</v>
      </c>
      <c r="EN701" s="860">
        <f t="shared" si="4250"/>
        <v>2.5071034598027842</v>
      </c>
      <c r="EO701" s="950">
        <v>18419</v>
      </c>
      <c r="EP701" s="98">
        <f t="shared" si="4251"/>
        <v>4.7129050596930178</v>
      </c>
      <c r="EQ701" s="1062">
        <f t="shared" ref="EQ701" si="4292">+EO701*1.01</f>
        <v>18603.189999999999</v>
      </c>
      <c r="ER701" s="98">
        <f t="shared" si="4253"/>
        <v>2.5647259896350194</v>
      </c>
      <c r="ES701" s="1062">
        <f t="shared" ref="ES701" si="4293">+EQ701*1.01</f>
        <v>18789.2219</v>
      </c>
      <c r="ET701" s="98">
        <f t="shared" si="4255"/>
        <v>4.1588885193192482</v>
      </c>
      <c r="EU701" s="1062">
        <f t="shared" ref="EU701" si="4294">+ES701*1.01</f>
        <v>18977.114119000002</v>
      </c>
      <c r="EV701" s="98">
        <f t="shared" si="4257"/>
        <v>3.1420953258329387</v>
      </c>
      <c r="EW701" s="1062">
        <f t="shared" ref="EW701" si="4295">+EU701*1.01</f>
        <v>19166.885260190003</v>
      </c>
      <c r="EX701" s="98">
        <f t="shared" si="4259"/>
        <v>4.0604010000000246</v>
      </c>
      <c r="EY701" s="40"/>
      <c r="EZ701" s="594"/>
      <c r="FA701" s="405"/>
      <c r="FB701" s="121" t="s">
        <v>481</v>
      </c>
      <c r="FC701" s="98"/>
      <c r="FD701" s="121" t="s">
        <v>481</v>
      </c>
      <c r="FE701" s="98" t="str">
        <f t="shared" si="4260"/>
        <v>NA</v>
      </c>
      <c r="FF701" s="349" t="s">
        <v>481</v>
      </c>
      <c r="FG701" s="98" t="str">
        <f t="shared" si="4261"/>
        <v>NA</v>
      </c>
      <c r="FH701" s="349">
        <f t="shared" si="4262"/>
        <v>11167</v>
      </c>
      <c r="FI701" s="98" t="str">
        <f t="shared" si="4263"/>
        <v>NA</v>
      </c>
      <c r="FJ701" s="349">
        <f>+Y701</f>
        <v>11727</v>
      </c>
      <c r="FK701" s="98">
        <f t="shared" si="4264"/>
        <v>5.0147756783379682</v>
      </c>
      <c r="FL701" s="349">
        <f>+AG701</f>
        <v>12943</v>
      </c>
      <c r="FM701" s="98">
        <f t="shared" si="4265"/>
        <v>10.369233393024647</v>
      </c>
      <c r="FN701" s="349">
        <f t="shared" si="4266"/>
        <v>14327</v>
      </c>
      <c r="FO701" s="98">
        <f t="shared" si="4267"/>
        <v>10.693038708182034</v>
      </c>
      <c r="FP701" s="349">
        <f t="shared" si="4268"/>
        <v>19653</v>
      </c>
      <c r="FQ701" s="98">
        <f t="shared" si="4269"/>
        <v>37.174565505688562</v>
      </c>
      <c r="FR701" s="349">
        <f t="shared" si="4270"/>
        <v>20851</v>
      </c>
      <c r="FS701" s="98">
        <f t="shared" si="4271"/>
        <v>6.0957614613545097</v>
      </c>
      <c r="FT701" s="349">
        <f t="shared" si="4272"/>
        <v>17810</v>
      </c>
      <c r="FU701" s="98">
        <f t="shared" si="4273"/>
        <v>-14.584432401323678</v>
      </c>
      <c r="FV701" s="349">
        <f t="shared" si="4274"/>
        <v>20144</v>
      </c>
      <c r="FW701" s="98">
        <f t="shared" si="4275"/>
        <v>13.104997192588442</v>
      </c>
      <c r="FX701" s="510">
        <f t="shared" si="4276"/>
        <v>19256</v>
      </c>
      <c r="FY701" s="98">
        <f t="shared" si="4277"/>
        <v>-4.4082605242255717</v>
      </c>
      <c r="FZ701" s="349">
        <f t="shared" si="4278"/>
        <v>27092</v>
      </c>
      <c r="GA701" s="98">
        <f t="shared" si="4279"/>
        <v>40.693809721645202</v>
      </c>
      <c r="GB701" s="510">
        <f t="shared" si="4280"/>
        <v>24619</v>
      </c>
      <c r="GC701" s="98">
        <f t="shared" si="4281"/>
        <v>-9.128155913184699</v>
      </c>
      <c r="GD701" s="349">
        <f t="shared" si="4282"/>
        <v>24761</v>
      </c>
      <c r="GE701" s="98">
        <f t="shared" si="4283"/>
        <v>0.57679028392705334</v>
      </c>
      <c r="GF701" s="349">
        <f t="shared" si="4284"/>
        <v>26706</v>
      </c>
      <c r="GG701" s="98">
        <f t="shared" si="4283"/>
        <v>7.8550947053834586</v>
      </c>
      <c r="GH701" s="349">
        <f t="shared" si="4285"/>
        <v>24442</v>
      </c>
      <c r="GI701" s="98">
        <f t="shared" si="4283"/>
        <v>-8.4774956938515658</v>
      </c>
      <c r="GJ701" s="349">
        <f t="shared" si="4286"/>
        <v>24130</v>
      </c>
      <c r="GK701" s="98">
        <f t="shared" si="4283"/>
        <v>-1.2764912854921873</v>
      </c>
      <c r="GL701" s="349">
        <f t="shared" si="4287"/>
        <v>17590</v>
      </c>
      <c r="GM701" s="98">
        <f t="shared" si="4283"/>
        <v>-27.103191048487364</v>
      </c>
      <c r="GN701" s="349">
        <f t="shared" si="4288"/>
        <v>18419</v>
      </c>
      <c r="GO701" s="98">
        <f t="shared" si="4283"/>
        <v>4.7129050596930178</v>
      </c>
      <c r="GP701" s="349">
        <f t="shared" si="4289"/>
        <v>19166.885260190003</v>
      </c>
      <c r="GQ701" s="98">
        <f t="shared" si="4283"/>
        <v>4.0604010000000246</v>
      </c>
      <c r="GR701" s="40">
        <f>+GP701*1.05</f>
        <v>20125.229523199505</v>
      </c>
      <c r="GS701" s="98">
        <f t="shared" si="4283"/>
        <v>5.0000000000000044</v>
      </c>
      <c r="GT701" s="40">
        <f>+GR701*1.05</f>
        <v>21131.490999359481</v>
      </c>
      <c r="GU701" s="98">
        <f t="shared" si="4283"/>
        <v>5.0000000000000044</v>
      </c>
      <c r="GV701" s="40">
        <f>+GT701*1.05</f>
        <v>22188.065549327457</v>
      </c>
      <c r="GW701" s="98">
        <f t="shared" si="4283"/>
        <v>5.0000000000000044</v>
      </c>
      <c r="GX701" s="40">
        <f>+GV701*1.05</f>
        <v>23297.468826793833</v>
      </c>
      <c r="GY701" s="98">
        <f t="shared" si="4290"/>
        <v>5.0000000000000044</v>
      </c>
      <c r="GZ701" s="98">
        <f t="shared" si="4291"/>
        <v>4.8114039209150139</v>
      </c>
      <c r="HA701" s="98"/>
      <c r="HB701" s="10"/>
      <c r="HC701"/>
      <c r="HD701"/>
      <c r="HE701"/>
      <c r="HF701"/>
      <c r="HG701"/>
      <c r="HH701"/>
      <c r="HI701" s="10"/>
    </row>
    <row r="702" spans="1:217" s="2" customFormat="1" ht="12.75" customHeight="1" x14ac:dyDescent="0.2">
      <c r="A702" s="10" t="s">
        <v>199</v>
      </c>
      <c r="B702" s="179" t="s">
        <v>199</v>
      </c>
      <c r="C702" s="121" t="s">
        <v>481</v>
      </c>
      <c r="D702" s="98"/>
      <c r="E702" s="121" t="s">
        <v>481</v>
      </c>
      <c r="F702" s="98"/>
      <c r="G702" s="121" t="s">
        <v>481</v>
      </c>
      <c r="H702" s="121"/>
      <c r="I702" s="121" t="s">
        <v>481</v>
      </c>
      <c r="J702" s="98"/>
      <c r="K702" s="101">
        <v>729</v>
      </c>
      <c r="L702" s="98" t="str">
        <f t="shared" si="4193"/>
        <v>NA</v>
      </c>
      <c r="M702" s="101">
        <v>729</v>
      </c>
      <c r="N702" s="98" t="str">
        <f t="shared" si="4194"/>
        <v>NA</v>
      </c>
      <c r="O702" s="101">
        <v>662</v>
      </c>
      <c r="P702" s="98" t="str">
        <f t="shared" ref="P702:P707" si="4296">IF(ISERROR((O702/G702-1)*100),"NA",IF(((O702/G702-1)*100)&gt;100,"NM",IF(((O702/G702-1)*100)&lt;-50,"NM",(O702/G702-1)*100)))</f>
        <v>NA</v>
      </c>
      <c r="Q702" s="101">
        <v>609</v>
      </c>
      <c r="R702" s="98" t="str">
        <f t="shared" si="4195"/>
        <v>NA</v>
      </c>
      <c r="S702" s="101">
        <v>648</v>
      </c>
      <c r="T702" s="98">
        <f t="shared" si="4196"/>
        <v>-11.111111111111116</v>
      </c>
      <c r="U702" s="101">
        <v>807</v>
      </c>
      <c r="V702" s="98">
        <f t="shared" si="4197"/>
        <v>10.699588477366252</v>
      </c>
      <c r="W702" s="101">
        <v>792</v>
      </c>
      <c r="X702" s="98">
        <f t="shared" si="4198"/>
        <v>19.637462235649551</v>
      </c>
      <c r="Y702" s="101">
        <v>753</v>
      </c>
      <c r="Z702" s="98">
        <f t="shared" si="4199"/>
        <v>23.645320197044327</v>
      </c>
      <c r="AA702" s="101">
        <v>745</v>
      </c>
      <c r="AB702" s="98">
        <f t="shared" si="4200"/>
        <v>14.969135802469147</v>
      </c>
      <c r="AC702" s="101">
        <v>652</v>
      </c>
      <c r="AD702" s="98">
        <f t="shared" si="4201"/>
        <v>-19.206939281288726</v>
      </c>
      <c r="AE702" s="101">
        <v>654</v>
      </c>
      <c r="AF702" s="98">
        <f t="shared" si="4202"/>
        <v>-17.424242424242419</v>
      </c>
      <c r="AG702" s="101">
        <v>643</v>
      </c>
      <c r="AH702" s="98">
        <f t="shared" si="4203"/>
        <v>-14.608233731739706</v>
      </c>
      <c r="AI702" s="101">
        <v>0</v>
      </c>
      <c r="AJ702" s="98" t="str">
        <f t="shared" si="4204"/>
        <v>NM</v>
      </c>
      <c r="AK702" s="101">
        <v>0</v>
      </c>
      <c r="AL702" s="98" t="str">
        <f t="shared" si="4205"/>
        <v>NM</v>
      </c>
      <c r="AM702" s="101">
        <v>0</v>
      </c>
      <c r="AN702" s="98" t="str">
        <f t="shared" si="4206"/>
        <v>NM</v>
      </c>
      <c r="AO702" s="101">
        <v>0</v>
      </c>
      <c r="AP702" s="98" t="str">
        <f t="shared" si="4207"/>
        <v>NM</v>
      </c>
      <c r="AQ702" s="101">
        <v>0</v>
      </c>
      <c r="AR702" s="98" t="str">
        <f t="shared" si="4208"/>
        <v>NA</v>
      </c>
      <c r="AS702" s="101">
        <v>0</v>
      </c>
      <c r="AT702" s="98" t="str">
        <f t="shared" si="4209"/>
        <v>NA</v>
      </c>
      <c r="AU702" s="101">
        <v>4564</v>
      </c>
      <c r="AV702" s="98" t="str">
        <f t="shared" si="4210"/>
        <v>NA</v>
      </c>
      <c r="AW702" s="101">
        <v>4797</v>
      </c>
      <c r="AX702" s="98" t="str">
        <f t="shared" si="4211"/>
        <v>NA</v>
      </c>
      <c r="AY702" s="101">
        <v>4797</v>
      </c>
      <c r="AZ702" s="98" t="str">
        <f t="shared" si="4212"/>
        <v>NA</v>
      </c>
      <c r="BA702" s="101">
        <v>4913</v>
      </c>
      <c r="BB702" s="98" t="str">
        <f t="shared" si="4213"/>
        <v>NA</v>
      </c>
      <c r="BC702" s="101">
        <v>4916</v>
      </c>
      <c r="BD702" s="98">
        <f t="shared" si="4214"/>
        <v>7.7125328659070957</v>
      </c>
      <c r="BE702" s="101">
        <v>4897</v>
      </c>
      <c r="BF702" s="98">
        <f t="shared" si="4215"/>
        <v>2.0846362309776989</v>
      </c>
      <c r="BG702" s="101">
        <v>4897</v>
      </c>
      <c r="BH702" s="98">
        <f t="shared" si="4216"/>
        <v>2.0846362309776989</v>
      </c>
      <c r="BI702" s="101">
        <v>4904</v>
      </c>
      <c r="BJ702" s="98">
        <f t="shared" si="4217"/>
        <v>-0.18318746183594303</v>
      </c>
      <c r="BK702" s="101">
        <v>4813</v>
      </c>
      <c r="BL702" s="98">
        <f t="shared" si="4218"/>
        <v>-2.0951993490642806</v>
      </c>
      <c r="BM702" s="101">
        <v>4814</v>
      </c>
      <c r="BN702" s="98">
        <f t="shared" si="4219"/>
        <v>-1.6949152542372836</v>
      </c>
      <c r="BO702" s="101">
        <v>5010</v>
      </c>
      <c r="BP702" s="98">
        <f t="shared" si="4220"/>
        <v>2.3075352256483495</v>
      </c>
      <c r="BQ702" s="101">
        <v>5065</v>
      </c>
      <c r="BR702" s="98">
        <f t="shared" si="4221"/>
        <v>3.2830342577487848</v>
      </c>
      <c r="BS702" s="101">
        <v>5036</v>
      </c>
      <c r="BT702" s="98">
        <f t="shared" si="4222"/>
        <v>4.6332848535217019</v>
      </c>
      <c r="BU702" s="101">
        <v>5008</v>
      </c>
      <c r="BV702" s="98">
        <f t="shared" si="4223"/>
        <v>4.0299127544661362</v>
      </c>
      <c r="BW702" s="101">
        <v>5010</v>
      </c>
      <c r="BX702" s="98">
        <f t="shared" si="4224"/>
        <v>0</v>
      </c>
      <c r="BY702" s="101">
        <v>5036</v>
      </c>
      <c r="BZ702" s="98">
        <f t="shared" si="4225"/>
        <v>-0.57255676209279072</v>
      </c>
      <c r="CA702" s="101">
        <v>5033</v>
      </c>
      <c r="CB702" s="98">
        <f t="shared" si="4226"/>
        <v>-5.9571088165211172E-2</v>
      </c>
      <c r="CC702" s="101">
        <v>5047</v>
      </c>
      <c r="CD702" s="98">
        <f t="shared" si="4227"/>
        <v>0.77875399361022613</v>
      </c>
      <c r="CE702" s="101">
        <v>6846</v>
      </c>
      <c r="CF702" s="98">
        <f t="shared" si="4228"/>
        <v>36.64670658682634</v>
      </c>
      <c r="CG702" s="101">
        <v>6694</v>
      </c>
      <c r="CH702" s="98">
        <f t="shared" si="4229"/>
        <v>32.922954725973</v>
      </c>
      <c r="CI702" s="101">
        <v>6894</v>
      </c>
      <c r="CJ702" s="98">
        <f t="shared" si="4230"/>
        <v>36.975958672759781</v>
      </c>
      <c r="CK702" s="101">
        <v>8174</v>
      </c>
      <c r="CL702" s="98">
        <f t="shared" si="4231"/>
        <v>61.957598573409946</v>
      </c>
      <c r="CM702" s="101">
        <v>11946</v>
      </c>
      <c r="CN702" s="98">
        <f t="shared" si="4232"/>
        <v>74.496056091148105</v>
      </c>
      <c r="CO702" s="101">
        <v>12036</v>
      </c>
      <c r="CP702" s="98">
        <f t="shared" si="4233"/>
        <v>79.802808485210647</v>
      </c>
      <c r="CQ702" s="542">
        <v>12006</v>
      </c>
      <c r="CR702" s="98">
        <f t="shared" si="4233"/>
        <v>74.151436031331585</v>
      </c>
      <c r="CS702" s="101">
        <v>11935</v>
      </c>
      <c r="CT702" s="98">
        <f t="shared" si="4233"/>
        <v>46.011744555908976</v>
      </c>
      <c r="CU702" s="101">
        <v>11903</v>
      </c>
      <c r="CV702" s="98">
        <f t="shared" si="4234"/>
        <v>-0.35995312238406019</v>
      </c>
      <c r="CW702" s="101">
        <v>11823</v>
      </c>
      <c r="CX702" s="98">
        <f t="shared" si="4235"/>
        <v>-1.7696909272183481</v>
      </c>
      <c r="CY702" s="101">
        <v>10024</v>
      </c>
      <c r="CZ702" s="98">
        <f t="shared" si="4236"/>
        <v>-16.50841246043645</v>
      </c>
      <c r="DA702" s="101">
        <v>9953</v>
      </c>
      <c r="DB702" s="98">
        <f t="shared" si="4237"/>
        <v>-16.60661918726435</v>
      </c>
      <c r="DC702" s="101">
        <v>9696</v>
      </c>
      <c r="DD702" s="98">
        <f t="shared" si="4238"/>
        <v>-18.541544148533983</v>
      </c>
      <c r="DE702" s="101">
        <v>9447</v>
      </c>
      <c r="DF702" s="98">
        <f t="shared" si="4239"/>
        <v>-20.096422227860945</v>
      </c>
      <c r="DG702" s="101">
        <v>9509</v>
      </c>
      <c r="DH702" s="98">
        <f t="shared" si="4240"/>
        <v>-5.1376695929768568</v>
      </c>
      <c r="DI702" s="101">
        <v>10542</v>
      </c>
      <c r="DJ702" s="98">
        <f t="shared" si="4241"/>
        <v>5.9178137245051721</v>
      </c>
      <c r="DK702" s="101">
        <v>10433</v>
      </c>
      <c r="DL702" s="98">
        <f t="shared" si="4242"/>
        <v>7.6010726072607282</v>
      </c>
      <c r="DM702" s="101">
        <v>10430</v>
      </c>
      <c r="DN702" s="98">
        <f t="shared" si="4243"/>
        <v>10.405419709960828</v>
      </c>
      <c r="DO702" s="101">
        <v>10216</v>
      </c>
      <c r="DP702" s="98">
        <f t="shared" si="4243"/>
        <v>7.4350615206646431</v>
      </c>
      <c r="DQ702" s="101">
        <v>9872</v>
      </c>
      <c r="DR702" s="98">
        <f t="shared" si="4243"/>
        <v>-6.3555302599127339</v>
      </c>
      <c r="DS702" s="101">
        <v>9717</v>
      </c>
      <c r="DT702" s="98">
        <f t="shared" si="4243"/>
        <v>-6.8628390683408425</v>
      </c>
      <c r="DU702" s="101">
        <v>9644</v>
      </c>
      <c r="DV702" s="98">
        <f t="shared" si="4243"/>
        <v>-7.5359539789069956</v>
      </c>
      <c r="DW702" s="101">
        <v>9546</v>
      </c>
      <c r="DX702" s="98">
        <f t="shared" si="4243"/>
        <v>-6.5583398590446373</v>
      </c>
      <c r="DY702" s="101">
        <v>9477</v>
      </c>
      <c r="DZ702" s="98">
        <f t="shared" si="4243"/>
        <v>-4.0012155591572114</v>
      </c>
      <c r="EA702" s="950">
        <v>9469</v>
      </c>
      <c r="EB702" s="860">
        <f t="shared" si="4244"/>
        <v>-2.5522280539261089</v>
      </c>
      <c r="EC702" s="950">
        <v>9592</v>
      </c>
      <c r="ED702" s="860">
        <f t="shared" si="4245"/>
        <v>-0.53919535462463308</v>
      </c>
      <c r="EE702" s="950">
        <v>9592</v>
      </c>
      <c r="EF702" s="860">
        <f t="shared" si="4246"/>
        <v>0.48187722606327643</v>
      </c>
      <c r="EG702" s="950">
        <v>9220</v>
      </c>
      <c r="EH702" s="860">
        <f t="shared" si="4247"/>
        <v>-2.7118286377545653</v>
      </c>
      <c r="EI702" s="950">
        <v>9350</v>
      </c>
      <c r="EJ702" s="860">
        <f t="shared" si="4248"/>
        <v>-1.2567324955116699</v>
      </c>
      <c r="EK702" s="950">
        <v>9385</v>
      </c>
      <c r="EL702" s="860">
        <f t="shared" si="4249"/>
        <v>-2.1580483736447054</v>
      </c>
      <c r="EM702" s="950">
        <v>9556</v>
      </c>
      <c r="EN702" s="860">
        <f t="shared" si="4250"/>
        <v>-0.37531276063386132</v>
      </c>
      <c r="EO702" s="950">
        <v>9590</v>
      </c>
      <c r="EP702" s="98">
        <f t="shared" si="4251"/>
        <v>4.0130151843817741</v>
      </c>
      <c r="EQ702" s="1067">
        <f t="shared" ref="EQ702" si="4297">+EO702</f>
        <v>9590</v>
      </c>
      <c r="ER702" s="98">
        <f t="shared" si="4253"/>
        <v>2.5668449197860932</v>
      </c>
      <c r="ES702" s="1067">
        <f t="shared" ref="ES702" si="4298">+EQ702</f>
        <v>9590</v>
      </c>
      <c r="ET702" s="98">
        <f t="shared" si="4255"/>
        <v>2.1843367075119913</v>
      </c>
      <c r="EU702" s="1067">
        <f t="shared" ref="EU702" si="4299">+ES702</f>
        <v>9590</v>
      </c>
      <c r="EV702" s="98">
        <f t="shared" si="4257"/>
        <v>0.35579740477187372</v>
      </c>
      <c r="EW702" s="1067">
        <f t="shared" ref="EW702" si="4300">+EU702</f>
        <v>9590</v>
      </c>
      <c r="EX702" s="98">
        <f t="shared" si="4259"/>
        <v>0</v>
      </c>
      <c r="EY702" s="350"/>
      <c r="EZ702" s="594"/>
      <c r="FA702" s="405"/>
      <c r="FB702" s="121" t="s">
        <v>481</v>
      </c>
      <c r="FC702" s="98"/>
      <c r="FD702" s="121" t="s">
        <v>481</v>
      </c>
      <c r="FE702" s="98" t="str">
        <f t="shared" si="4260"/>
        <v>NA</v>
      </c>
      <c r="FF702" s="349" t="s">
        <v>481</v>
      </c>
      <c r="FG702" s="98" t="str">
        <f t="shared" si="4261"/>
        <v>NA</v>
      </c>
      <c r="FH702" s="349">
        <f t="shared" si="4262"/>
        <v>609</v>
      </c>
      <c r="FI702" s="98" t="str">
        <f t="shared" si="4263"/>
        <v>NA</v>
      </c>
      <c r="FJ702" s="349">
        <f>+Y702</f>
        <v>753</v>
      </c>
      <c r="FK702" s="98">
        <f t="shared" si="4264"/>
        <v>23.645320197044327</v>
      </c>
      <c r="FL702" s="349">
        <f>+AG702</f>
        <v>643</v>
      </c>
      <c r="FM702" s="98">
        <f t="shared" si="4265"/>
        <v>-14.608233731739706</v>
      </c>
      <c r="FN702" s="349">
        <f t="shared" si="4266"/>
        <v>0</v>
      </c>
      <c r="FO702" s="98" t="str">
        <f t="shared" si="4267"/>
        <v>NM</v>
      </c>
      <c r="FP702" s="349">
        <f t="shared" si="4268"/>
        <v>4797</v>
      </c>
      <c r="FQ702" s="98" t="str">
        <f t="shared" si="4269"/>
        <v>NA</v>
      </c>
      <c r="FR702" s="349">
        <f t="shared" si="4270"/>
        <v>4897</v>
      </c>
      <c r="FS702" s="98">
        <f t="shared" si="4271"/>
        <v>2.0846362309776989</v>
      </c>
      <c r="FT702" s="349">
        <f t="shared" si="4272"/>
        <v>4814</v>
      </c>
      <c r="FU702" s="98">
        <f t="shared" si="4273"/>
        <v>-1.6949152542372836</v>
      </c>
      <c r="FV702" s="349">
        <f t="shared" si="4274"/>
        <v>5008</v>
      </c>
      <c r="FW702" s="98">
        <f t="shared" si="4275"/>
        <v>4.0299127544661362</v>
      </c>
      <c r="FX702" s="510">
        <f t="shared" si="4276"/>
        <v>5047</v>
      </c>
      <c r="FY702" s="98">
        <f t="shared" si="4277"/>
        <v>0.77875399361022613</v>
      </c>
      <c r="FZ702" s="349">
        <f t="shared" si="4278"/>
        <v>8174</v>
      </c>
      <c r="GA702" s="98">
        <f t="shared" si="4279"/>
        <v>61.957598573409946</v>
      </c>
      <c r="GB702" s="510">
        <f t="shared" si="4280"/>
        <v>11935</v>
      </c>
      <c r="GC702" s="98">
        <f t="shared" si="4281"/>
        <v>46.011744555908976</v>
      </c>
      <c r="GD702" s="349">
        <f t="shared" si="4282"/>
        <v>9953</v>
      </c>
      <c r="GE702" s="98">
        <f t="shared" si="4283"/>
        <v>-16.60661918726435</v>
      </c>
      <c r="GF702" s="349">
        <f t="shared" si="4284"/>
        <v>10542</v>
      </c>
      <c r="GG702" s="98">
        <f t="shared" si="4283"/>
        <v>5.9178137245051721</v>
      </c>
      <c r="GH702" s="349">
        <f t="shared" si="4285"/>
        <v>9872</v>
      </c>
      <c r="GI702" s="98">
        <f t="shared" si="4283"/>
        <v>-6.3555302599127339</v>
      </c>
      <c r="GJ702" s="349">
        <f t="shared" si="4286"/>
        <v>9477</v>
      </c>
      <c r="GK702" s="98">
        <f t="shared" si="4283"/>
        <v>-4.0012155591572114</v>
      </c>
      <c r="GL702" s="349">
        <f t="shared" si="4287"/>
        <v>9220</v>
      </c>
      <c r="GM702" s="98">
        <f t="shared" si="4283"/>
        <v>-2.7118286377545653</v>
      </c>
      <c r="GN702" s="349">
        <f t="shared" si="4288"/>
        <v>9590</v>
      </c>
      <c r="GO702" s="98">
        <f t="shared" si="4283"/>
        <v>4.0130151843817741</v>
      </c>
      <c r="GP702" s="349">
        <f t="shared" si="4289"/>
        <v>9590</v>
      </c>
      <c r="GQ702" s="98">
        <f t="shared" si="4283"/>
        <v>0</v>
      </c>
      <c r="GR702" s="350">
        <f>+GP702</f>
        <v>9590</v>
      </c>
      <c r="GS702" s="98">
        <f t="shared" si="4283"/>
        <v>0</v>
      </c>
      <c r="GT702" s="350">
        <f>+GR702</f>
        <v>9590</v>
      </c>
      <c r="GU702" s="98">
        <f t="shared" si="4283"/>
        <v>0</v>
      </c>
      <c r="GV702" s="350">
        <f>+GT702</f>
        <v>9590</v>
      </c>
      <c r="GW702" s="98">
        <f t="shared" si="4283"/>
        <v>0</v>
      </c>
      <c r="GX702" s="350">
        <f>+GV702</f>
        <v>9590</v>
      </c>
      <c r="GY702" s="98">
        <f t="shared" si="4290"/>
        <v>0</v>
      </c>
      <c r="GZ702" s="98">
        <f t="shared" si="4291"/>
        <v>0</v>
      </c>
      <c r="HA702" s="98"/>
      <c r="HB702" s="10"/>
      <c r="HC702"/>
      <c r="HD702"/>
      <c r="HE702"/>
      <c r="HF702"/>
      <c r="HG702"/>
      <c r="HH702"/>
      <c r="HI702" s="10"/>
    </row>
    <row r="703" spans="1:217" s="2" customFormat="1" ht="12.75" customHeight="1" x14ac:dyDescent="0.2">
      <c r="A703" s="383"/>
      <c r="B703" s="179" t="s">
        <v>554</v>
      </c>
      <c r="C703" s="349">
        <f>C704-C699-C700</f>
        <v>28962</v>
      </c>
      <c r="D703" s="98"/>
      <c r="E703" s="349">
        <f>E704-E699-E700</f>
        <v>30780</v>
      </c>
      <c r="F703" s="98"/>
      <c r="G703" s="349">
        <f>G704-G699-G700</f>
        <v>28042</v>
      </c>
      <c r="H703" s="98"/>
      <c r="I703" s="349">
        <f>I704-I699-I700</f>
        <v>28243</v>
      </c>
      <c r="J703" s="98"/>
      <c r="K703" s="349">
        <f>K704-K699-K700-K701-K702</f>
        <v>18328</v>
      </c>
      <c r="L703" s="98">
        <f t="shared" si="4193"/>
        <v>-36.717077549892963</v>
      </c>
      <c r="M703" s="349">
        <f>M704-M699-M700-M701-M702</f>
        <v>18415</v>
      </c>
      <c r="N703" s="98">
        <f t="shared" si="4194"/>
        <v>-40.172189733593243</v>
      </c>
      <c r="O703" s="349">
        <f>O704-O699-O700-O701-O702</f>
        <v>18351</v>
      </c>
      <c r="P703" s="98">
        <f t="shared" si="4296"/>
        <v>-34.558875971756656</v>
      </c>
      <c r="Q703" s="349">
        <f>Q704-Q699-Q700-Q701-Q702</f>
        <v>20258</v>
      </c>
      <c r="R703" s="98">
        <f t="shared" si="4195"/>
        <v>-28.272492298976736</v>
      </c>
      <c r="S703" s="349">
        <f>S704-S699-S700-S701-S702</f>
        <v>18572</v>
      </c>
      <c r="T703" s="98">
        <f t="shared" si="4196"/>
        <v>1.3312963771278996</v>
      </c>
      <c r="U703" s="349">
        <f>U704-U699-U700-U701-U702</f>
        <v>18390</v>
      </c>
      <c r="V703" s="98">
        <f t="shared" si="4197"/>
        <v>-0.1357588922074382</v>
      </c>
      <c r="W703" s="349">
        <f>W704-W699-W700-W701-W702</f>
        <v>19002</v>
      </c>
      <c r="X703" s="98">
        <f t="shared" si="4198"/>
        <v>3.5474905999673068</v>
      </c>
      <c r="Y703" s="349">
        <f>Y704-Y699-Y700-Y701-Y702</f>
        <v>16918</v>
      </c>
      <c r="Z703" s="98">
        <f t="shared" si="4199"/>
        <v>-16.487313653865144</v>
      </c>
      <c r="AA703" s="349">
        <f>AA704-AA699-AA700-AA701-AA702</f>
        <v>20188</v>
      </c>
      <c r="AB703" s="98">
        <f t="shared" si="4200"/>
        <v>8.7012707301313839</v>
      </c>
      <c r="AC703" s="349">
        <f>AC704-AC699-AC700-AC701-AC702</f>
        <v>21521</v>
      </c>
      <c r="AD703" s="98">
        <f t="shared" si="4201"/>
        <v>17.025557368134848</v>
      </c>
      <c r="AE703" s="349">
        <f>AE704-AE699-AE700-AE701-AE702</f>
        <v>21013</v>
      </c>
      <c r="AF703" s="98">
        <f t="shared" si="4202"/>
        <v>10.583096516156187</v>
      </c>
      <c r="AG703" s="349">
        <f>AG704-AG699-AG700-AG701-AG702</f>
        <v>19400</v>
      </c>
      <c r="AH703" s="98">
        <f t="shared" si="4203"/>
        <v>14.670764865823394</v>
      </c>
      <c r="AI703" s="118">
        <f>AI704-AI699-AI700-AI701-AI702</f>
        <v>20181</v>
      </c>
      <c r="AJ703" s="98">
        <f t="shared" si="4204"/>
        <v>-3.4674063800277377E-2</v>
      </c>
      <c r="AK703" s="118">
        <f>AK704-AK699-AK700-AK701-AK702</f>
        <v>21448</v>
      </c>
      <c r="AL703" s="98">
        <f t="shared" si="4205"/>
        <v>-0.33920356860740464</v>
      </c>
      <c r="AM703" s="118">
        <f>AM704-AM699-AM700-AM701-AM702</f>
        <v>20765</v>
      </c>
      <c r="AN703" s="98">
        <f t="shared" si="4206"/>
        <v>-1.1802217674772741</v>
      </c>
      <c r="AO703" s="118">
        <f>AO704-AO699-AO700-AO701-AO702</f>
        <v>20745</v>
      </c>
      <c r="AP703" s="98">
        <f t="shared" si="4207"/>
        <v>6.9329896907216471</v>
      </c>
      <c r="AQ703" s="118">
        <f>AQ704-AQ699-AQ700-AQ701-AQ702</f>
        <v>21145</v>
      </c>
      <c r="AR703" s="98">
        <f t="shared" si="4208"/>
        <v>4.7767702294237102</v>
      </c>
      <c r="AS703" s="118">
        <f>AS704-AS699-AS700-AS701-AS702</f>
        <v>31277</v>
      </c>
      <c r="AT703" s="98">
        <f t="shared" si="4209"/>
        <v>45.827116747482279</v>
      </c>
      <c r="AU703" s="118">
        <f>AU704-AU699-AU700-AU701-AU702</f>
        <v>32657</v>
      </c>
      <c r="AV703" s="98">
        <f t="shared" si="4210"/>
        <v>57.269443775583916</v>
      </c>
      <c r="AW703" s="118">
        <f>AW704-AW699-AW700-AW701-AW702</f>
        <v>27190</v>
      </c>
      <c r="AX703" s="98">
        <f t="shared" si="4211"/>
        <v>31.067727163171853</v>
      </c>
      <c r="AY703" s="118">
        <f>AY704-AY699-AY700-AY701-AY702</f>
        <v>29165</v>
      </c>
      <c r="AZ703" s="98">
        <f t="shared" si="4212"/>
        <v>37.92858831875148</v>
      </c>
      <c r="BA703" s="118">
        <f>BA704-BA699-BA700-BA701-BA702</f>
        <v>28942</v>
      </c>
      <c r="BB703" s="98">
        <f t="shared" si="4213"/>
        <v>-7.4655497650030327</v>
      </c>
      <c r="BC703" s="118">
        <f>BC704-BC699-BC700-BC701-BC702</f>
        <v>32212</v>
      </c>
      <c r="BD703" s="98">
        <f t="shared" si="4214"/>
        <v>-1.362648130569255</v>
      </c>
      <c r="BE703" s="118">
        <f>BE704-BE699-BE700-BE701-BE702</f>
        <v>32913</v>
      </c>
      <c r="BF703" s="98">
        <f t="shared" si="4215"/>
        <v>21.048179477749173</v>
      </c>
      <c r="BG703" s="118">
        <f>BG704-BG699-BG700-BG701-BG702</f>
        <v>34718</v>
      </c>
      <c r="BH703" s="98">
        <f t="shared" si="4216"/>
        <v>19.039945139722271</v>
      </c>
      <c r="BI703" s="118">
        <f>BI704-BI699-BI700-BI701-BI702</f>
        <v>34634</v>
      </c>
      <c r="BJ703" s="98">
        <f t="shared" si="4217"/>
        <v>19.666920046990533</v>
      </c>
      <c r="BK703" s="118">
        <f>BK704-BK699-BK700-BK701-BK702</f>
        <v>53010</v>
      </c>
      <c r="BL703" s="98">
        <f t="shared" si="4218"/>
        <v>64.566000248354655</v>
      </c>
      <c r="BM703" s="118">
        <f>BM704-BM699-BM700-BM701-BM702</f>
        <v>57715</v>
      </c>
      <c r="BN703" s="98">
        <f t="shared" si="4219"/>
        <v>75.356242214322606</v>
      </c>
      <c r="BO703" s="118">
        <f>BO704-BO699-BO700-BO701-BO702</f>
        <v>57052</v>
      </c>
      <c r="BP703" s="98">
        <f t="shared" si="4220"/>
        <v>64.329742496687587</v>
      </c>
      <c r="BQ703" s="118">
        <f>BQ704-BQ699-BQ700-BQ701-BQ702</f>
        <v>63296</v>
      </c>
      <c r="BR703" s="98">
        <f t="shared" si="4221"/>
        <v>82.756828549979787</v>
      </c>
      <c r="BS703" s="118">
        <f>BS704-BS699-BS700-BS701-BS702</f>
        <v>53393</v>
      </c>
      <c r="BT703" s="98">
        <f t="shared" si="4222"/>
        <v>0.72250518770042849</v>
      </c>
      <c r="BU703" s="118">
        <f>BU704-BU699-BU700-BU701-BU702</f>
        <v>57376</v>
      </c>
      <c r="BV703" s="98">
        <f t="shared" si="4223"/>
        <v>-0.58736896820583695</v>
      </c>
      <c r="BW703" s="118">
        <f>BW704-BW699-BW700-BW701-BW702</f>
        <v>54457</v>
      </c>
      <c r="BX703" s="98">
        <f t="shared" si="4224"/>
        <v>-4.5484820865175575</v>
      </c>
      <c r="BY703" s="118">
        <f>BY704-BY699-BY700-BY701-BY702</f>
        <v>44967</v>
      </c>
      <c r="BZ703" s="98">
        <f t="shared" si="4225"/>
        <v>-28.957596056622847</v>
      </c>
      <c r="CA703" s="118">
        <f>CA704-CA699-CA700-CA701-CA702</f>
        <v>43788</v>
      </c>
      <c r="CB703" s="98">
        <f t="shared" si="4226"/>
        <v>-17.989249527091566</v>
      </c>
      <c r="CC703" s="118">
        <f>CC704-CC699-CC700-CC701-CC702</f>
        <v>38403</v>
      </c>
      <c r="CD703" s="98">
        <f t="shared" si="4227"/>
        <v>-33.067833240379251</v>
      </c>
      <c r="CE703" s="118">
        <f>CE704-CE699-CE700-CE701-CE702</f>
        <v>38011</v>
      </c>
      <c r="CF703" s="98">
        <f t="shared" si="4228"/>
        <v>-30.199974291642949</v>
      </c>
      <c r="CG703" s="118">
        <f>CG704-CG699-CG700-CG701-CG702</f>
        <v>40193</v>
      </c>
      <c r="CH703" s="98">
        <f t="shared" si="4229"/>
        <v>-10.616674450152331</v>
      </c>
      <c r="CI703" s="118">
        <f>CI704-CI699-CI700-CI701-CI702</f>
        <v>44790</v>
      </c>
      <c r="CJ703" s="98">
        <f t="shared" si="4230"/>
        <v>2.28829816388052</v>
      </c>
      <c r="CK703" s="118">
        <f>CK704-CK699-CK700-CK701-CK702</f>
        <v>52196</v>
      </c>
      <c r="CL703" s="98">
        <f t="shared" si="4231"/>
        <v>35.916464859516182</v>
      </c>
      <c r="CM703" s="118">
        <f>CM704-CM699-CM700-CM701-CM702</f>
        <v>48219</v>
      </c>
      <c r="CN703" s="98">
        <f t="shared" si="4232"/>
        <v>26.855383967798787</v>
      </c>
      <c r="CO703" s="118">
        <f>CO704-CO699-CO700-CO701-CO702</f>
        <v>46654</v>
      </c>
      <c r="CP703" s="98">
        <f t="shared" si="4233"/>
        <v>16.074938422113295</v>
      </c>
      <c r="CQ703" s="510">
        <f>CQ704-CQ699-CQ700-CQ701-CQ702</f>
        <v>49692</v>
      </c>
      <c r="CR703" s="98">
        <f t="shared" si="4233"/>
        <v>10.944407233757536</v>
      </c>
      <c r="CS703" s="118">
        <f>CS704-CS699-CS700-CS701-CS702</f>
        <v>45270</v>
      </c>
      <c r="CT703" s="98">
        <f t="shared" si="4233"/>
        <v>-13.269216031879838</v>
      </c>
      <c r="CU703" s="118">
        <f>CU704-CU699-CU700-CU701-CU702</f>
        <v>56685</v>
      </c>
      <c r="CV703" s="98">
        <f t="shared" si="4234"/>
        <v>17.557394388104264</v>
      </c>
      <c r="CW703" s="118">
        <f>CW704-CW699-CW700-CW701-CW702</f>
        <v>52124</v>
      </c>
      <c r="CX703" s="98">
        <f t="shared" si="4235"/>
        <v>11.724610965833593</v>
      </c>
      <c r="CY703" s="118">
        <f>CY704-CY699-CY700-CY701-CY702</f>
        <v>52728</v>
      </c>
      <c r="CZ703" s="98">
        <f t="shared" si="4236"/>
        <v>6.1096353537792858</v>
      </c>
      <c r="DA703" s="118">
        <f>DA704-DA699-DA700-DA701-DA702</f>
        <v>49622</v>
      </c>
      <c r="DB703" s="98">
        <f t="shared" si="4237"/>
        <v>9.6134305279434571</v>
      </c>
      <c r="DC703" s="118">
        <f>DC704-DC699-DC700-DC701-DC702</f>
        <v>45652</v>
      </c>
      <c r="DD703" s="98">
        <f t="shared" si="4238"/>
        <v>-19.463702919643644</v>
      </c>
      <c r="DE703" s="118">
        <f>DE704-DE699-DE700-DE701-DE702</f>
        <v>44654</v>
      </c>
      <c r="DF703" s="98">
        <f t="shared" si="4239"/>
        <v>-14.3312101910828</v>
      </c>
      <c r="DG703" s="118">
        <f>DG704-DG699-DG700-DG701-DG702</f>
        <v>47320</v>
      </c>
      <c r="DH703" s="98">
        <f t="shared" si="4240"/>
        <v>-10.256410256410254</v>
      </c>
      <c r="DI703" s="118">
        <f>DI704-DI699-DI700-DI701-DI702</f>
        <v>42068</v>
      </c>
      <c r="DJ703" s="98">
        <f t="shared" si="4241"/>
        <v>-15.223086534198538</v>
      </c>
      <c r="DK703" s="118">
        <f>DK704-DK699-DK700-DK701-DK702</f>
        <v>44437</v>
      </c>
      <c r="DL703" s="98">
        <f t="shared" si="4242"/>
        <v>-2.6614387102427028</v>
      </c>
      <c r="DM703" s="118">
        <f>DM704-DM699-DM700-DM701-DM702</f>
        <v>44493</v>
      </c>
      <c r="DN703" s="98">
        <f t="shared" si="4243"/>
        <v>-0.36055000671831872</v>
      </c>
      <c r="DO703" s="118">
        <f>DO704-DO699-DO700-DO701-DO702</f>
        <v>45877</v>
      </c>
      <c r="DP703" s="98">
        <f t="shared" si="4243"/>
        <v>-3.0494505494505497</v>
      </c>
      <c r="DQ703" s="118">
        <f>DQ704-DQ699-DQ700-DQ701-DQ702</f>
        <v>45034</v>
      </c>
      <c r="DR703" s="98">
        <f t="shared" si="4243"/>
        <v>7.0504896833697872</v>
      </c>
      <c r="DS703" s="118">
        <f>DS704-DS699-DS700-DS701-DS702</f>
        <v>44595</v>
      </c>
      <c r="DT703" s="98">
        <f t="shared" si="4243"/>
        <v>0.35555955622565971</v>
      </c>
      <c r="DU703" s="118">
        <f>DU704-DU699-DU700-DU701-DU702</f>
        <v>44525</v>
      </c>
      <c r="DV703" s="98">
        <f t="shared" si="4243"/>
        <v>7.1921425842269571E-2</v>
      </c>
      <c r="DW703" s="118">
        <f>DW704-DW699-DW700-DW701-DW702</f>
        <v>48092</v>
      </c>
      <c r="DX703" s="98">
        <f t="shared" si="4243"/>
        <v>4.8281273840922401</v>
      </c>
      <c r="DY703" s="118">
        <f>DY704-DY699-DY700-DY701-DY702</f>
        <v>47269</v>
      </c>
      <c r="DZ703" s="98">
        <f t="shared" si="4243"/>
        <v>4.9629169072256563</v>
      </c>
      <c r="EA703" s="792">
        <f>EA704-EA699-EA700-EA701-EA702</f>
        <v>262850</v>
      </c>
      <c r="EB703" s="860" t="str">
        <f t="shared" si="4244"/>
        <v>NM</v>
      </c>
      <c r="EC703" s="792">
        <f>EC704-EC699-EC700-EC701-EC702</f>
        <v>274824</v>
      </c>
      <c r="ED703" s="860" t="str">
        <f t="shared" si="4245"/>
        <v>NM</v>
      </c>
      <c r="EE703" s="792">
        <f>EE704-EE699-EE700-EE701-EE702</f>
        <v>274562</v>
      </c>
      <c r="EF703" s="860" t="str">
        <f t="shared" si="4246"/>
        <v>NM</v>
      </c>
      <c r="EG703" s="792">
        <f>EG704-EG699-EG700-EG701-EG702</f>
        <v>255465</v>
      </c>
      <c r="EH703" s="860" t="str">
        <f t="shared" si="4247"/>
        <v>NM</v>
      </c>
      <c r="EI703" s="792">
        <f>EI704-EI699-EI700-EI701-EI702</f>
        <v>256237</v>
      </c>
      <c r="EJ703" s="860">
        <f t="shared" si="4248"/>
        <v>-2.5158835837930327</v>
      </c>
      <c r="EK703" s="792">
        <f>EK704-EK699-EK700-EK701-EK702</f>
        <v>260548</v>
      </c>
      <c r="EL703" s="860">
        <f t="shared" si="4249"/>
        <v>-5.1945972695252252</v>
      </c>
      <c r="EM703" s="792">
        <f>EM704-EM699-EM700-EM701-EM702</f>
        <v>43455</v>
      </c>
      <c r="EN703" s="860" t="str">
        <f t="shared" si="4250"/>
        <v>NM</v>
      </c>
      <c r="EO703" s="792">
        <f>EO704-EO699-EO700-EO701-EO702</f>
        <v>42815</v>
      </c>
      <c r="EP703" s="98" t="str">
        <f t="shared" si="4251"/>
        <v>NM</v>
      </c>
      <c r="EQ703" s="1062">
        <f t="shared" ref="EQ703" si="4301">+EO703*1.01</f>
        <v>43243.15</v>
      </c>
      <c r="ER703" s="98" t="str">
        <f t="shared" si="4253"/>
        <v>NM</v>
      </c>
      <c r="ES703" s="1062">
        <f t="shared" ref="ES703" si="4302">+EQ703*1.01</f>
        <v>43675.5815</v>
      </c>
      <c r="ET703" s="98" t="str">
        <f t="shared" si="4255"/>
        <v>NM</v>
      </c>
      <c r="EU703" s="1062">
        <f t="shared" ref="EU703" si="4303">+ES703*1.01</f>
        <v>44112.337314999997</v>
      </c>
      <c r="EV703" s="98">
        <f t="shared" si="4257"/>
        <v>1.5126851110343953</v>
      </c>
      <c r="EW703" s="1062">
        <f t="shared" ref="EW703" si="4304">+EU703*1.01</f>
        <v>44553.46068815</v>
      </c>
      <c r="EX703" s="98">
        <f t="shared" si="4259"/>
        <v>4.0604010000000024</v>
      </c>
      <c r="EY703" s="40"/>
      <c r="EZ703" s="594"/>
      <c r="FA703" s="405"/>
      <c r="FB703" s="349">
        <f>FB704-FB699-FB700</f>
        <v>21557</v>
      </c>
      <c r="FC703" s="98"/>
      <c r="FD703" s="40">
        <v>24431</v>
      </c>
      <c r="FE703" s="98">
        <f t="shared" si="4260"/>
        <v>13.332096302825057</v>
      </c>
      <c r="FF703" s="349">
        <f>I703</f>
        <v>28243</v>
      </c>
      <c r="FG703" s="98">
        <f t="shared" si="4261"/>
        <v>15.603127174491416</v>
      </c>
      <c r="FH703" s="349">
        <f t="shared" si="4262"/>
        <v>20258</v>
      </c>
      <c r="FI703" s="98">
        <f t="shared" si="4263"/>
        <v>-28.272492298976736</v>
      </c>
      <c r="FJ703" s="349">
        <f>Y703</f>
        <v>16918</v>
      </c>
      <c r="FK703" s="98">
        <f t="shared" si="4264"/>
        <v>-16.487313653865144</v>
      </c>
      <c r="FL703" s="349">
        <f>AG703</f>
        <v>19400</v>
      </c>
      <c r="FM703" s="98">
        <f t="shared" si="4265"/>
        <v>14.670764865823394</v>
      </c>
      <c r="FN703" s="349">
        <f t="shared" si="4266"/>
        <v>20745</v>
      </c>
      <c r="FO703" s="98">
        <f t="shared" si="4267"/>
        <v>6.9329896907216471</v>
      </c>
      <c r="FP703" s="349">
        <f t="shared" si="4268"/>
        <v>27190</v>
      </c>
      <c r="FQ703" s="98">
        <f t="shared" si="4269"/>
        <v>31.067727163171853</v>
      </c>
      <c r="FR703" s="349">
        <f t="shared" si="4270"/>
        <v>32913</v>
      </c>
      <c r="FS703" s="98">
        <f t="shared" si="4271"/>
        <v>21.048179477749173</v>
      </c>
      <c r="FT703" s="349">
        <f t="shared" si="4272"/>
        <v>57715</v>
      </c>
      <c r="FU703" s="98">
        <f t="shared" si="4273"/>
        <v>75.356242214322606</v>
      </c>
      <c r="FV703" s="349">
        <f t="shared" si="4274"/>
        <v>57376</v>
      </c>
      <c r="FW703" s="98">
        <f t="shared" si="4275"/>
        <v>-0.58736896820583695</v>
      </c>
      <c r="FX703" s="510">
        <f t="shared" si="4276"/>
        <v>38403</v>
      </c>
      <c r="FY703" s="98">
        <f t="shared" si="4277"/>
        <v>-33.067833240379251</v>
      </c>
      <c r="FZ703" s="349">
        <f t="shared" si="4278"/>
        <v>52196</v>
      </c>
      <c r="GA703" s="98">
        <f t="shared" si="4279"/>
        <v>35.916464859516182</v>
      </c>
      <c r="GB703" s="510">
        <f t="shared" si="4280"/>
        <v>45270</v>
      </c>
      <c r="GC703" s="98">
        <f t="shared" si="4281"/>
        <v>-13.269216031879838</v>
      </c>
      <c r="GD703" s="349">
        <f t="shared" si="4282"/>
        <v>49622</v>
      </c>
      <c r="GE703" s="98">
        <f t="shared" si="4283"/>
        <v>9.6134305279434571</v>
      </c>
      <c r="GF703" s="349">
        <f t="shared" si="4284"/>
        <v>42068</v>
      </c>
      <c r="GG703" s="98">
        <f t="shared" si="4283"/>
        <v>-15.223086534198538</v>
      </c>
      <c r="GH703" s="349">
        <f t="shared" si="4285"/>
        <v>45034</v>
      </c>
      <c r="GI703" s="98">
        <f t="shared" si="4283"/>
        <v>7.0504896833697872</v>
      </c>
      <c r="GJ703" s="349">
        <f t="shared" si="4286"/>
        <v>47269</v>
      </c>
      <c r="GK703" s="98">
        <f t="shared" si="4283"/>
        <v>4.9629169072256563</v>
      </c>
      <c r="GL703" s="349">
        <f t="shared" si="4287"/>
        <v>255465</v>
      </c>
      <c r="GM703" s="98" t="str">
        <f t="shared" si="4283"/>
        <v>NM</v>
      </c>
      <c r="GN703" s="349">
        <f t="shared" si="4288"/>
        <v>42815</v>
      </c>
      <c r="GO703" s="98" t="str">
        <f t="shared" si="4283"/>
        <v>NM</v>
      </c>
      <c r="GP703" s="349">
        <f t="shared" si="4289"/>
        <v>44553.46068815</v>
      </c>
      <c r="GQ703" s="98">
        <f t="shared" si="4283"/>
        <v>4.0604010000000024</v>
      </c>
      <c r="GR703" s="40">
        <f>+GP703*1.05</f>
        <v>46781.133722557504</v>
      </c>
      <c r="GS703" s="98">
        <f t="shared" si="4283"/>
        <v>5.0000000000000044</v>
      </c>
      <c r="GT703" s="40">
        <f>+GR703*1.05</f>
        <v>49120.190408685383</v>
      </c>
      <c r="GU703" s="98">
        <f t="shared" si="4283"/>
        <v>5.0000000000000044</v>
      </c>
      <c r="GV703" s="40">
        <f>+GT703*1.05</f>
        <v>51576.199929119655</v>
      </c>
      <c r="GW703" s="98">
        <f t="shared" si="4283"/>
        <v>5.0000000000000044</v>
      </c>
      <c r="GX703" s="40">
        <f>+GV703*1.05</f>
        <v>54155.009925575643</v>
      </c>
      <c r="GY703" s="98">
        <f t="shared" si="4290"/>
        <v>5.0000000000000044</v>
      </c>
      <c r="GZ703" s="98">
        <f t="shared" si="4291"/>
        <v>4.8114039209150139</v>
      </c>
      <c r="HA703" s="98"/>
      <c r="HB703" s="10"/>
      <c r="HC703"/>
      <c r="HD703"/>
      <c r="HE703"/>
      <c r="HF703"/>
      <c r="HG703"/>
      <c r="HH703"/>
      <c r="HI703" s="10"/>
    </row>
    <row r="704" spans="1:217" s="2" customFormat="1" ht="12.75" customHeight="1" x14ac:dyDescent="0.2">
      <c r="A704" s="10"/>
      <c r="B704" s="179" t="s">
        <v>458</v>
      </c>
      <c r="C704" s="101">
        <v>256048</v>
      </c>
      <c r="D704" s="98"/>
      <c r="E704" s="101">
        <v>254825</v>
      </c>
      <c r="F704" s="98"/>
      <c r="G704" s="101">
        <v>257489</v>
      </c>
      <c r="H704" s="98"/>
      <c r="I704" s="101">
        <v>255018</v>
      </c>
      <c r="J704" s="98"/>
      <c r="K704" s="101">
        <v>254164</v>
      </c>
      <c r="L704" s="98">
        <f t="shared" si="4193"/>
        <v>-0.73579953758670102</v>
      </c>
      <c r="M704" s="101">
        <v>254858</v>
      </c>
      <c r="N704" s="98">
        <f t="shared" si="4194"/>
        <v>1.2950063769245901E-2</v>
      </c>
      <c r="O704" s="101">
        <v>251984</v>
      </c>
      <c r="P704" s="98">
        <f t="shared" si="4296"/>
        <v>-2.1379554078038265</v>
      </c>
      <c r="Q704" s="101">
        <v>256970</v>
      </c>
      <c r="R704" s="98">
        <f t="shared" si="4195"/>
        <v>0.76543616529030079</v>
      </c>
      <c r="S704" s="101">
        <v>258760</v>
      </c>
      <c r="T704" s="98">
        <f t="shared" si="4196"/>
        <v>1.8082812672132853</v>
      </c>
      <c r="U704" s="101">
        <v>261283</v>
      </c>
      <c r="V704" s="98">
        <f t="shared" si="4197"/>
        <v>2.5210117006333022</v>
      </c>
      <c r="W704" s="101">
        <v>268047</v>
      </c>
      <c r="X704" s="98">
        <f t="shared" si="4198"/>
        <v>6.3746110864181915</v>
      </c>
      <c r="Y704" s="101">
        <v>277426</v>
      </c>
      <c r="Z704" s="98">
        <f t="shared" si="4199"/>
        <v>7.9604623107755845</v>
      </c>
      <c r="AA704" s="101">
        <v>286922</v>
      </c>
      <c r="AB704" s="98">
        <f t="shared" si="4200"/>
        <v>10.883444118101714</v>
      </c>
      <c r="AC704" s="101">
        <v>309822</v>
      </c>
      <c r="AD704" s="98">
        <f t="shared" si="4201"/>
        <v>18.577174940581664</v>
      </c>
      <c r="AE704" s="101">
        <v>314983</v>
      </c>
      <c r="AF704" s="98">
        <f t="shared" si="4202"/>
        <v>17.510361988755708</v>
      </c>
      <c r="AG704" s="101">
        <v>326841</v>
      </c>
      <c r="AH704" s="98">
        <f t="shared" si="4203"/>
        <v>17.811957062423843</v>
      </c>
      <c r="AI704" s="101">
        <v>337013</v>
      </c>
      <c r="AJ704" s="98">
        <f t="shared" si="4204"/>
        <v>17.458054802350475</v>
      </c>
      <c r="AK704" s="101">
        <v>338012</v>
      </c>
      <c r="AL704" s="98">
        <f t="shared" si="4205"/>
        <v>9.0987728437619033</v>
      </c>
      <c r="AM704" s="101">
        <v>346177</v>
      </c>
      <c r="AN704" s="98">
        <f t="shared" si="4206"/>
        <v>9.903391611610779</v>
      </c>
      <c r="AO704" s="101">
        <v>356808</v>
      </c>
      <c r="AP704" s="98">
        <f t="shared" si="4207"/>
        <v>9.1686783481876422</v>
      </c>
      <c r="AQ704" s="101">
        <v>362671</v>
      </c>
      <c r="AR704" s="98">
        <f t="shared" si="4208"/>
        <v>7.6133561613350276</v>
      </c>
      <c r="AS704" s="101">
        <v>381431</v>
      </c>
      <c r="AT704" s="98">
        <f t="shared" si="4209"/>
        <v>12.845401938392719</v>
      </c>
      <c r="AU704" s="101">
        <v>482819</v>
      </c>
      <c r="AV704" s="98">
        <f t="shared" si="4210"/>
        <v>39.471715336374167</v>
      </c>
      <c r="AW704" s="101">
        <v>481218</v>
      </c>
      <c r="AX704" s="98">
        <f t="shared" si="4211"/>
        <v>34.86749176027444</v>
      </c>
      <c r="AY704" s="101">
        <v>499102</v>
      </c>
      <c r="AZ704" s="98">
        <f t="shared" si="4212"/>
        <v>37.618392427296364</v>
      </c>
      <c r="BA704" s="101">
        <v>500305</v>
      </c>
      <c r="BB704" s="98">
        <f t="shared" si="4213"/>
        <v>31.165269734237654</v>
      </c>
      <c r="BC704" s="101">
        <v>516186</v>
      </c>
      <c r="BD704" s="98">
        <f t="shared" si="4214"/>
        <v>6.9108713617318296</v>
      </c>
      <c r="BE704" s="101">
        <v>527715</v>
      </c>
      <c r="BF704" s="98">
        <f t="shared" si="4215"/>
        <v>9.6623567696968884</v>
      </c>
      <c r="BG704" s="101">
        <v>537809</v>
      </c>
      <c r="BH704" s="98">
        <f t="shared" si="4216"/>
        <v>7.755328570111919</v>
      </c>
      <c r="BI704" s="101">
        <v>552564</v>
      </c>
      <c r="BJ704" s="98">
        <f t="shared" si="4217"/>
        <v>10.445428288743862</v>
      </c>
      <c r="BK704" s="101">
        <v>563592</v>
      </c>
      <c r="BL704" s="98">
        <f t="shared" si="4218"/>
        <v>9.1838988271669475</v>
      </c>
      <c r="BM704" s="101">
        <v>559136</v>
      </c>
      <c r="BN704" s="98">
        <f t="shared" si="4219"/>
        <v>5.9541608633447929</v>
      </c>
      <c r="BO704" s="101">
        <v>491408</v>
      </c>
      <c r="BP704" s="98">
        <f t="shared" si="4220"/>
        <v>-8.6277842133545501</v>
      </c>
      <c r="BQ704" s="101">
        <v>556472</v>
      </c>
      <c r="BR704" s="98">
        <f t="shared" si="4221"/>
        <v>0.70724839113658344</v>
      </c>
      <c r="BS704" s="101">
        <v>521318</v>
      </c>
      <c r="BT704" s="98">
        <f t="shared" si="4222"/>
        <v>-7.5008161932745621</v>
      </c>
      <c r="BU704" s="101">
        <v>501678</v>
      </c>
      <c r="BV704" s="98">
        <f t="shared" si="4223"/>
        <v>-10.276211869741891</v>
      </c>
      <c r="BW704" s="101">
        <v>491408</v>
      </c>
      <c r="BX704" s="98">
        <f t="shared" si="4224"/>
        <v>0</v>
      </c>
      <c r="BY704" s="101">
        <v>509457</v>
      </c>
      <c r="BZ704" s="98">
        <f t="shared" si="4225"/>
        <v>-8.4487629206860362</v>
      </c>
      <c r="CA704" s="101">
        <v>535192</v>
      </c>
      <c r="CB704" s="98">
        <f t="shared" si="4226"/>
        <v>2.6613314713859859</v>
      </c>
      <c r="CC704" s="101">
        <v>539314</v>
      </c>
      <c r="CD704" s="98">
        <f t="shared" si="4227"/>
        <v>7.5020232101068896</v>
      </c>
      <c r="CE704" s="101">
        <v>565566</v>
      </c>
      <c r="CF704" s="98">
        <f t="shared" si="4228"/>
        <v>15.090922410705554</v>
      </c>
      <c r="CG704" s="101">
        <v>573907</v>
      </c>
      <c r="CH704" s="98">
        <f t="shared" si="4229"/>
        <v>12.650724202435137</v>
      </c>
      <c r="CI704" s="101">
        <v>617255</v>
      </c>
      <c r="CJ704" s="98">
        <f t="shared" si="4230"/>
        <v>15.333375685735206</v>
      </c>
      <c r="CK704" s="101">
        <v>730906</v>
      </c>
      <c r="CL704" s="98">
        <f t="shared" si="4231"/>
        <v>35.525130072647841</v>
      </c>
      <c r="CM704" s="101">
        <v>748478</v>
      </c>
      <c r="CN704" s="98">
        <f t="shared" si="4232"/>
        <v>32.341406661645152</v>
      </c>
      <c r="CO704" s="101">
        <v>768442</v>
      </c>
      <c r="CP704" s="98">
        <f t="shared" si="4233"/>
        <v>33.896606941542792</v>
      </c>
      <c r="CQ704" s="542">
        <v>782088</v>
      </c>
      <c r="CR704" s="98">
        <f t="shared" si="4233"/>
        <v>26.70419842690621</v>
      </c>
      <c r="CS704" s="101">
        <v>796226</v>
      </c>
      <c r="CT704" s="98">
        <f t="shared" si="4233"/>
        <v>8.9368537130629644</v>
      </c>
      <c r="CU704" s="101">
        <v>819604</v>
      </c>
      <c r="CV704" s="98">
        <f t="shared" si="4234"/>
        <v>9.5027509158585932</v>
      </c>
      <c r="CW704" s="101">
        <v>825188</v>
      </c>
      <c r="CX704" s="98">
        <f t="shared" si="4235"/>
        <v>7.3845521197435815</v>
      </c>
      <c r="CY704" s="101">
        <v>846285</v>
      </c>
      <c r="CZ704" s="98">
        <f t="shared" si="4236"/>
        <v>8.208411329671339</v>
      </c>
      <c r="DA704" s="101">
        <v>836781</v>
      </c>
      <c r="DB704" s="98">
        <f t="shared" si="4237"/>
        <v>5.0934031292622972</v>
      </c>
      <c r="DC704" s="101">
        <v>841685</v>
      </c>
      <c r="DD704" s="98">
        <f t="shared" si="4238"/>
        <v>2.6941059340852336</v>
      </c>
      <c r="DE704" s="101">
        <v>815662</v>
      </c>
      <c r="DF704" s="98">
        <f t="shared" si="4239"/>
        <v>-1.1544036025729842</v>
      </c>
      <c r="DG704" s="101">
        <v>822643</v>
      </c>
      <c r="DH704" s="98">
        <f t="shared" si="4240"/>
        <v>-2.7936215341167525</v>
      </c>
      <c r="DI704" s="101">
        <v>885296</v>
      </c>
      <c r="DJ704" s="98">
        <f t="shared" si="4241"/>
        <v>5.7978132868695686</v>
      </c>
      <c r="DK704" s="101">
        <v>890903</v>
      </c>
      <c r="DL704" s="98">
        <f t="shared" si="4242"/>
        <v>5.847555795814352</v>
      </c>
      <c r="DM704" s="101">
        <v>911120</v>
      </c>
      <c r="DN704" s="98">
        <f t="shared" si="4243"/>
        <v>11.703131934551326</v>
      </c>
      <c r="DO704" s="101">
        <v>908627</v>
      </c>
      <c r="DP704" s="98">
        <f t="shared" si="4243"/>
        <v>10.452164547683495</v>
      </c>
      <c r="DQ704" s="101">
        <v>902337</v>
      </c>
      <c r="DR704" s="98">
        <f t="shared" si="4243"/>
        <v>1.924892917171217</v>
      </c>
      <c r="DS704" s="101">
        <v>919790</v>
      </c>
      <c r="DT704" s="98">
        <f t="shared" si="4243"/>
        <v>3.2424405350526486</v>
      </c>
      <c r="DU704" s="101">
        <v>898409</v>
      </c>
      <c r="DV704" s="98">
        <f t="shared" si="4243"/>
        <v>-1.3950961454034627</v>
      </c>
      <c r="DW704" s="101">
        <v>882460</v>
      </c>
      <c r="DX704" s="98">
        <f t="shared" si="4243"/>
        <v>-2.8798395821387657</v>
      </c>
      <c r="DY704" s="101">
        <v>877933</v>
      </c>
      <c r="DZ704" s="98">
        <f t="shared" si="4243"/>
        <v>-2.7045327854227419</v>
      </c>
      <c r="EA704" s="950">
        <v>917428</v>
      </c>
      <c r="EB704" s="860">
        <f t="shared" si="4244"/>
        <v>-0.25679774731188765</v>
      </c>
      <c r="EC704" s="950">
        <v>942567</v>
      </c>
      <c r="ED704" s="860">
        <f t="shared" si="4245"/>
        <v>4.9151333078809367</v>
      </c>
      <c r="EE704" s="950">
        <v>952904</v>
      </c>
      <c r="EF704" s="860">
        <f t="shared" si="4246"/>
        <v>7.9826847675815271</v>
      </c>
      <c r="EG704" s="950">
        <v>898764</v>
      </c>
      <c r="EH704" s="860">
        <f t="shared" si="4247"/>
        <v>2.3727323155639413</v>
      </c>
      <c r="EI704" s="950">
        <v>914687</v>
      </c>
      <c r="EJ704" s="860">
        <f t="shared" si="4248"/>
        <v>-0.29877003971974236</v>
      </c>
      <c r="EK704" s="950">
        <v>925199</v>
      </c>
      <c r="EL704" s="860">
        <f t="shared" si="4249"/>
        <v>-1.842627632836713</v>
      </c>
      <c r="EM704" s="950">
        <v>720515</v>
      </c>
      <c r="EN704" s="860">
        <f t="shared" si="4250"/>
        <v>-24.387451411684701</v>
      </c>
      <c r="EO704" s="950">
        <v>719892</v>
      </c>
      <c r="EP704" s="98">
        <f t="shared" si="4251"/>
        <v>-19.90199874494305</v>
      </c>
      <c r="EQ704" s="1023">
        <f t="shared" ref="EQ704" si="4305">SUM(EQ699:EQ703)</f>
        <v>721568.83086935326</v>
      </c>
      <c r="ER704" s="98">
        <f t="shared" si="4253"/>
        <v>-21.113033106477598</v>
      </c>
      <c r="ES704" s="1023">
        <f t="shared" ref="ES704" si="4306">SUM(ES699:ES703)</f>
        <v>718298.87773502606</v>
      </c>
      <c r="ET704" s="98">
        <f t="shared" si="4255"/>
        <v>-22.362769767906578</v>
      </c>
      <c r="EU704" s="1023">
        <f t="shared" ref="EU704" si="4307">SUM(EU699:EU703)</f>
        <v>717432.51763722685</v>
      </c>
      <c r="EV704" s="98">
        <f t="shared" si="4257"/>
        <v>-0.42781654271918379</v>
      </c>
      <c r="EW704" s="1023">
        <f t="shared" ref="EW704" si="4308">SUM(EW699:EW703)</f>
        <v>716825.30563340359</v>
      </c>
      <c r="EX704" s="98">
        <f t="shared" si="4259"/>
        <v>-0.42599367218921769</v>
      </c>
      <c r="EY704" s="119"/>
      <c r="EZ704" s="594"/>
      <c r="FA704" s="405"/>
      <c r="FB704" s="121">
        <v>215346</v>
      </c>
      <c r="FC704" s="98"/>
      <c r="FD704" s="101">
        <v>227014</v>
      </c>
      <c r="FE704" s="98">
        <f t="shared" si="4260"/>
        <v>5.4182571303855287</v>
      </c>
      <c r="FF704" s="349">
        <f>I704</f>
        <v>255018</v>
      </c>
      <c r="FG704" s="98">
        <f t="shared" si="4261"/>
        <v>12.335803078224261</v>
      </c>
      <c r="FH704" s="349">
        <f t="shared" si="4262"/>
        <v>256970</v>
      </c>
      <c r="FI704" s="98">
        <f t="shared" si="4263"/>
        <v>0.76543616529030079</v>
      </c>
      <c r="FJ704" s="349">
        <f>Y704</f>
        <v>277426</v>
      </c>
      <c r="FK704" s="98">
        <f t="shared" si="4264"/>
        <v>7.9604623107755845</v>
      </c>
      <c r="FL704" s="349">
        <f>AG704</f>
        <v>326841</v>
      </c>
      <c r="FM704" s="98">
        <f t="shared" si="4265"/>
        <v>17.811957062423843</v>
      </c>
      <c r="FN704" s="349">
        <f t="shared" si="4266"/>
        <v>356808</v>
      </c>
      <c r="FO704" s="98">
        <f t="shared" si="4267"/>
        <v>9.1686783481876422</v>
      </c>
      <c r="FP704" s="349">
        <f t="shared" si="4268"/>
        <v>481218</v>
      </c>
      <c r="FQ704" s="98">
        <f t="shared" si="4269"/>
        <v>34.86749176027444</v>
      </c>
      <c r="FR704" s="349">
        <f t="shared" si="4270"/>
        <v>527715</v>
      </c>
      <c r="FS704" s="98">
        <f t="shared" si="4271"/>
        <v>9.6623567696968884</v>
      </c>
      <c r="FT704" s="349">
        <f t="shared" si="4272"/>
        <v>559136</v>
      </c>
      <c r="FU704" s="98">
        <f t="shared" si="4273"/>
        <v>5.9541608633447929</v>
      </c>
      <c r="FV704" s="349">
        <f t="shared" si="4274"/>
        <v>501678</v>
      </c>
      <c r="FW704" s="98">
        <f t="shared" si="4275"/>
        <v>-10.276211869741891</v>
      </c>
      <c r="FX704" s="510">
        <f t="shared" si="4276"/>
        <v>539314</v>
      </c>
      <c r="FY704" s="98">
        <f t="shared" si="4277"/>
        <v>7.5020232101068896</v>
      </c>
      <c r="FZ704" s="349">
        <f t="shared" si="4278"/>
        <v>730906</v>
      </c>
      <c r="GA704" s="98">
        <f t="shared" si="4279"/>
        <v>35.525130072647841</v>
      </c>
      <c r="GB704" s="510">
        <f t="shared" si="4280"/>
        <v>796226</v>
      </c>
      <c r="GC704" s="98">
        <f t="shared" si="4281"/>
        <v>8.9368537130629644</v>
      </c>
      <c r="GD704" s="349">
        <f t="shared" si="4282"/>
        <v>836781</v>
      </c>
      <c r="GE704" s="98">
        <f t="shared" si="4283"/>
        <v>5.0934031292622972</v>
      </c>
      <c r="GF704" s="349">
        <f t="shared" si="4284"/>
        <v>885296</v>
      </c>
      <c r="GG704" s="98">
        <f t="shared" si="4283"/>
        <v>5.7978132868695686</v>
      </c>
      <c r="GH704" s="349">
        <f t="shared" si="4285"/>
        <v>902337</v>
      </c>
      <c r="GI704" s="98">
        <f t="shared" si="4283"/>
        <v>1.924892917171217</v>
      </c>
      <c r="GJ704" s="349">
        <f t="shared" si="4286"/>
        <v>877933</v>
      </c>
      <c r="GK704" s="98">
        <f t="shared" si="4283"/>
        <v>-2.7045327854227419</v>
      </c>
      <c r="GL704" s="349">
        <f t="shared" si="4287"/>
        <v>898764</v>
      </c>
      <c r="GM704" s="98">
        <f t="shared" si="4283"/>
        <v>2.3727323155639413</v>
      </c>
      <c r="GN704" s="349">
        <f t="shared" si="4288"/>
        <v>719892</v>
      </c>
      <c r="GO704" s="98">
        <f t="shared" si="4283"/>
        <v>-19.90199874494305</v>
      </c>
      <c r="GP704" s="349">
        <f t="shared" si="4289"/>
        <v>716825.30563340359</v>
      </c>
      <c r="GQ704" s="98">
        <f t="shared" si="4283"/>
        <v>-0.42599367218921769</v>
      </c>
      <c r="GR704" s="119">
        <f>SUM(GR699:GR703)</f>
        <v>713271.98039764899</v>
      </c>
      <c r="GS704" s="98">
        <f t="shared" si="4283"/>
        <v>-0.49570309639317411</v>
      </c>
      <c r="GT704" s="119">
        <f>SUM(GT699:GT703)</f>
        <v>711895.84850340325</v>
      </c>
      <c r="GU704" s="98">
        <f t="shared" si="4283"/>
        <v>-0.19293227998085083</v>
      </c>
      <c r="GV704" s="119">
        <f>SUM(GV699:GV703)</f>
        <v>713627.58771744324</v>
      </c>
      <c r="GW704" s="98">
        <f t="shared" si="4283"/>
        <v>0.24325738346144821</v>
      </c>
      <c r="GX704" s="119">
        <f>SUM(GX699:GX703)</f>
        <v>718159.76115729159</v>
      </c>
      <c r="GY704" s="98">
        <f t="shared" si="4290"/>
        <v>0.63508943850456578</v>
      </c>
      <c r="GZ704" s="98">
        <f t="shared" si="4291"/>
        <v>-4.8171351607018131E-2</v>
      </c>
      <c r="HA704" s="98"/>
      <c r="HB704" s="10"/>
      <c r="HC704"/>
      <c r="HD704"/>
      <c r="HE704"/>
      <c r="HF704"/>
      <c r="HG704"/>
      <c r="HH704"/>
      <c r="HI704" s="10"/>
    </row>
    <row r="705" spans="1:217" s="2" customFormat="1" ht="12.75" customHeight="1" x14ac:dyDescent="0.2">
      <c r="B705" s="179" t="s">
        <v>616</v>
      </c>
      <c r="C705" s="295">
        <f>C732</f>
        <v>-320</v>
      </c>
      <c r="D705" s="98"/>
      <c r="E705" s="295">
        <f>E732</f>
        <v>-494</v>
      </c>
      <c r="F705" s="98"/>
      <c r="G705" s="295">
        <f>G732</f>
        <v>97</v>
      </c>
      <c r="H705" s="98"/>
      <c r="I705" s="295">
        <f>I732</f>
        <v>1047</v>
      </c>
      <c r="J705" s="98"/>
      <c r="K705" s="295">
        <f>K732</f>
        <v>1631</v>
      </c>
      <c r="L705" s="98" t="str">
        <f t="shared" si="4193"/>
        <v>NM</v>
      </c>
      <c r="M705" s="295">
        <f>M732</f>
        <v>1325</v>
      </c>
      <c r="N705" s="98" t="str">
        <f t="shared" si="4194"/>
        <v>NM</v>
      </c>
      <c r="O705" s="295">
        <f>O732</f>
        <v>1834</v>
      </c>
      <c r="P705" s="98" t="str">
        <f t="shared" si="4296"/>
        <v>NM</v>
      </c>
      <c r="Q705" s="295">
        <f>Q732</f>
        <v>1673</v>
      </c>
      <c r="R705" s="98">
        <f t="shared" si="4195"/>
        <v>59.789875835721105</v>
      </c>
      <c r="S705" s="295">
        <f>S732</f>
        <v>842</v>
      </c>
      <c r="T705" s="98">
        <f t="shared" si="4196"/>
        <v>-48.375229920294295</v>
      </c>
      <c r="U705" s="295">
        <f>U732</f>
        <v>1469</v>
      </c>
      <c r="V705" s="98">
        <f t="shared" si="4197"/>
        <v>10.867924528301899</v>
      </c>
      <c r="W705" s="295">
        <f>W732</f>
        <v>2114</v>
      </c>
      <c r="X705" s="98">
        <f t="shared" si="4198"/>
        <v>15.267175572519086</v>
      </c>
      <c r="Y705" s="295">
        <f>Y732</f>
        <v>2007</v>
      </c>
      <c r="Z705" s="98">
        <f t="shared" si="4199"/>
        <v>19.964136282127921</v>
      </c>
      <c r="AA705" s="295">
        <f>AA732</f>
        <v>2312</v>
      </c>
      <c r="AB705" s="98" t="str">
        <f t="shared" si="4200"/>
        <v>NM</v>
      </c>
      <c r="AC705" s="295">
        <f>AC732</f>
        <v>3306</v>
      </c>
      <c r="AD705" s="98" t="str">
        <f t="shared" si="4201"/>
        <v>NM</v>
      </c>
      <c r="AE705" s="295">
        <f>AE732</f>
        <v>3009</v>
      </c>
      <c r="AF705" s="98">
        <f t="shared" si="4202"/>
        <v>42.336802270577103</v>
      </c>
      <c r="AG705" s="295">
        <f>AG732</f>
        <v>2792</v>
      </c>
      <c r="AH705" s="98">
        <f t="shared" si="4203"/>
        <v>39.113104135525667</v>
      </c>
      <c r="AI705" s="117">
        <f>AI732</f>
        <v>3444</v>
      </c>
      <c r="AJ705" s="98">
        <f t="shared" si="4204"/>
        <v>48.96193771626298</v>
      </c>
      <c r="AK705" s="117">
        <f>AK732</f>
        <v>1717</v>
      </c>
      <c r="AL705" s="98">
        <f t="shared" si="4205"/>
        <v>-48.064125831820938</v>
      </c>
      <c r="AM705" s="117">
        <f>AM732</f>
        <v>2794</v>
      </c>
      <c r="AN705" s="98">
        <f t="shared" si="4206"/>
        <v>-7.1452309737454307</v>
      </c>
      <c r="AO705" s="117">
        <f>AO732</f>
        <v>2956</v>
      </c>
      <c r="AP705" s="98">
        <f t="shared" si="4207"/>
        <v>5.8739255014326641</v>
      </c>
      <c r="AQ705" s="117">
        <f>AQ732</f>
        <v>2156</v>
      </c>
      <c r="AR705" s="98">
        <f t="shared" si="4208"/>
        <v>-37.398373983739845</v>
      </c>
      <c r="AS705" s="117">
        <f>AS732</f>
        <v>3080</v>
      </c>
      <c r="AT705" s="98">
        <f t="shared" si="4209"/>
        <v>79.382644146767618</v>
      </c>
      <c r="AU705" s="117">
        <f>AU732</f>
        <v>1874</v>
      </c>
      <c r="AV705" s="98">
        <f t="shared" si="4210"/>
        <v>-32.927702219040796</v>
      </c>
      <c r="AW705" s="117">
        <f>AW732</f>
        <v>1912</v>
      </c>
      <c r="AX705" s="98">
        <f t="shared" si="4211"/>
        <v>-35.317997293640055</v>
      </c>
      <c r="AY705" s="117">
        <f>AY732</f>
        <v>590</v>
      </c>
      <c r="AZ705" s="98" t="str">
        <f t="shared" si="4212"/>
        <v>NM</v>
      </c>
      <c r="BA705" s="117">
        <f>BA732</f>
        <v>-991</v>
      </c>
      <c r="BB705" s="98" t="str">
        <f t="shared" si="4213"/>
        <v>NM</v>
      </c>
      <c r="BC705" s="117">
        <f>BC732</f>
        <v>1887</v>
      </c>
      <c r="BD705" s="98">
        <f t="shared" si="4214"/>
        <v>0.69370330843117056</v>
      </c>
      <c r="BE705" s="117">
        <f>BE732</f>
        <v>1118</v>
      </c>
      <c r="BF705" s="98">
        <f t="shared" si="4215"/>
        <v>-41.527196652719667</v>
      </c>
      <c r="BG705" s="117">
        <f>BG732</f>
        <v>1402</v>
      </c>
      <c r="BH705" s="98" t="str">
        <f t="shared" si="4216"/>
        <v>NM</v>
      </c>
      <c r="BI705" s="117">
        <f>BI732</f>
        <v>-292</v>
      </c>
      <c r="BJ705" s="98" t="str">
        <f t="shared" si="4217"/>
        <v>NM</v>
      </c>
      <c r="BK705" s="117">
        <f>BK732</f>
        <v>56</v>
      </c>
      <c r="BL705" s="98" t="str">
        <f t="shared" si="4218"/>
        <v>NM</v>
      </c>
      <c r="BM705" s="117">
        <f>BM732</f>
        <v>1078</v>
      </c>
      <c r="BN705" s="98">
        <f t="shared" si="4219"/>
        <v>-3.5778175313059046</v>
      </c>
      <c r="BO705" s="117">
        <f>BO732</f>
        <v>-1028</v>
      </c>
      <c r="BP705" s="98" t="str">
        <f t="shared" si="4220"/>
        <v>NM</v>
      </c>
      <c r="BQ705" s="117">
        <f>BQ732</f>
        <v>-2509</v>
      </c>
      <c r="BR705" s="98" t="str">
        <f t="shared" si="4221"/>
        <v>NM</v>
      </c>
      <c r="BS705" s="117">
        <f>BS732</f>
        <v>-7540</v>
      </c>
      <c r="BT705" s="98" t="str">
        <f t="shared" si="4222"/>
        <v>NM</v>
      </c>
      <c r="BU705" s="117">
        <f>BU732</f>
        <v>-14253</v>
      </c>
      <c r="BV705" s="98" t="str">
        <f t="shared" si="4223"/>
        <v>NM</v>
      </c>
      <c r="BW705" s="117">
        <f>BW732</f>
        <v>-15358</v>
      </c>
      <c r="BX705" s="98" t="str">
        <f t="shared" si="4224"/>
        <v>NM</v>
      </c>
      <c r="BY705" s="117">
        <f>BY732</f>
        <v>-9834</v>
      </c>
      <c r="BZ705" s="98" t="str">
        <f t="shared" si="4225"/>
        <v>NM</v>
      </c>
      <c r="CA705" s="117">
        <f>CA732</f>
        <v>-2234</v>
      </c>
      <c r="CB705" s="98" t="str">
        <f t="shared" si="4226"/>
        <v>NM</v>
      </c>
      <c r="CC705" s="117">
        <f>CC732</f>
        <v>-3058</v>
      </c>
      <c r="CD705" s="98" t="str">
        <f t="shared" si="4227"/>
        <v>NM</v>
      </c>
      <c r="CE705" s="117">
        <f>CE732</f>
        <v>-1191</v>
      </c>
      <c r="CF705" s="98" t="str">
        <f t="shared" si="4228"/>
        <v>NM</v>
      </c>
      <c r="CG705" s="117">
        <f>CG732</f>
        <v>822</v>
      </c>
      <c r="CH705" s="98" t="str">
        <f t="shared" si="4229"/>
        <v>NM</v>
      </c>
      <c r="CI705" s="117">
        <f>CI732</f>
        <v>4030</v>
      </c>
      <c r="CJ705" s="98" t="str">
        <f t="shared" si="4230"/>
        <v>NM</v>
      </c>
      <c r="CK705" s="117">
        <f>CK732</f>
        <v>1000</v>
      </c>
      <c r="CL705" s="98" t="str">
        <f t="shared" si="4231"/>
        <v>NM</v>
      </c>
      <c r="CM705" s="117">
        <f>CM732</f>
        <v>1245</v>
      </c>
      <c r="CN705" s="98" t="str">
        <f t="shared" si="4232"/>
        <v>NM</v>
      </c>
      <c r="CO705" s="117">
        <f>CO732</f>
        <v>3502</v>
      </c>
      <c r="CP705" s="98" t="str">
        <f t="shared" si="4233"/>
        <v>NM</v>
      </c>
      <c r="CQ705" s="486">
        <f>CQ732</f>
        <v>7024</v>
      </c>
      <c r="CR705" s="98">
        <f t="shared" si="4233"/>
        <v>74.292803970223332</v>
      </c>
      <c r="CS705" s="117">
        <f>CS732</f>
        <v>6083</v>
      </c>
      <c r="CT705" s="98" t="str">
        <f t="shared" si="4233"/>
        <v>NM</v>
      </c>
      <c r="CU705" s="117">
        <f>CU732</f>
        <v>7266</v>
      </c>
      <c r="CV705" s="98" t="str">
        <f t="shared" si="4234"/>
        <v>NM</v>
      </c>
      <c r="CW705" s="117">
        <f>CW732</f>
        <v>8736</v>
      </c>
      <c r="CX705" s="98" t="str">
        <f t="shared" si="4235"/>
        <v>NM</v>
      </c>
      <c r="CY705" s="117">
        <f>CY732</f>
        <v>11325</v>
      </c>
      <c r="CZ705" s="98">
        <f t="shared" si="4236"/>
        <v>61.232915717539861</v>
      </c>
      <c r="DA705" s="117">
        <f>DA732</f>
        <v>11397</v>
      </c>
      <c r="DB705" s="98">
        <f t="shared" si="4237"/>
        <v>87.358211408844326</v>
      </c>
      <c r="DC705" s="117">
        <f>DC732</f>
        <v>10580</v>
      </c>
      <c r="DD705" s="98">
        <f t="shared" si="4238"/>
        <v>45.609688962290122</v>
      </c>
      <c r="DE705" s="117">
        <f>DE732</f>
        <v>6202</v>
      </c>
      <c r="DF705" s="98">
        <f t="shared" si="4239"/>
        <v>-29.006410256410252</v>
      </c>
      <c r="DG705" s="117">
        <f>DG732</f>
        <v>5100</v>
      </c>
      <c r="DH705" s="98" t="str">
        <f t="shared" si="4240"/>
        <v>NM</v>
      </c>
      <c r="DI705" s="117">
        <f>DI732</f>
        <v>6763</v>
      </c>
      <c r="DJ705" s="98">
        <f t="shared" si="4241"/>
        <v>-40.65982276037554</v>
      </c>
      <c r="DK705" s="117">
        <f>DK732</f>
        <v>10058</v>
      </c>
      <c r="DL705" s="98">
        <f t="shared" si="4242"/>
        <v>-4.9338374291115317</v>
      </c>
      <c r="DM705" s="117">
        <f>DM732</f>
        <v>12797</v>
      </c>
      <c r="DN705" s="98" t="str">
        <f t="shared" si="4243"/>
        <v>NM</v>
      </c>
      <c r="DO705" s="117">
        <f>DO732</f>
        <v>13152</v>
      </c>
      <c r="DP705" s="98" t="str">
        <f t="shared" si="4243"/>
        <v>NM</v>
      </c>
      <c r="DQ705" s="117">
        <f>DQ732</f>
        <v>13952</v>
      </c>
      <c r="DR705" s="98" t="str">
        <f t="shared" si="4243"/>
        <v>NM</v>
      </c>
      <c r="DS705" s="117">
        <f>DS732</f>
        <v>15515</v>
      </c>
      <c r="DT705" s="98">
        <f t="shared" si="4243"/>
        <v>54.255319148936174</v>
      </c>
      <c r="DU705" s="117">
        <f>DU732</f>
        <v>10657</v>
      </c>
      <c r="DV705" s="98">
        <f t="shared" si="4243"/>
        <v>-16.722669375634915</v>
      </c>
      <c r="DW705" s="117">
        <f>DW732</f>
        <v>11465</v>
      </c>
      <c r="DX705" s="98">
        <f t="shared" si="4243"/>
        <v>-12.826946472019463</v>
      </c>
      <c r="DY705" s="117">
        <f>DY732</f>
        <v>9721</v>
      </c>
      <c r="DZ705" s="98">
        <f t="shared" si="4243"/>
        <v>-30.325401376146786</v>
      </c>
      <c r="EA705" s="117">
        <f>EA732</f>
        <v>15147</v>
      </c>
      <c r="EB705" s="98">
        <f t="shared" si="4244"/>
        <v>-2.3718981630679981</v>
      </c>
      <c r="EC705" s="117">
        <f>EC732</f>
        <v>18652</v>
      </c>
      <c r="ED705" s="98">
        <f t="shared" si="4245"/>
        <v>75.021112883550714</v>
      </c>
      <c r="EE705" s="117">
        <f>EE732</f>
        <v>17536</v>
      </c>
      <c r="EF705" s="860">
        <f t="shared" si="4246"/>
        <v>52.952464020933277</v>
      </c>
      <c r="EG705" s="117">
        <f>EG732</f>
        <v>10659</v>
      </c>
      <c r="EH705" s="860">
        <f t="shared" si="4247"/>
        <v>9.6492130439255206</v>
      </c>
      <c r="EI705" s="117">
        <f>EI732</f>
        <v>11238</v>
      </c>
      <c r="EJ705" s="860">
        <f t="shared" si="4248"/>
        <v>-25.807090512972863</v>
      </c>
      <c r="EK705" s="1031">
        <f>EK732</f>
        <v>13115</v>
      </c>
      <c r="EL705" s="860">
        <f t="shared" si="4249"/>
        <v>-29.685824576452923</v>
      </c>
      <c r="EM705" s="1031">
        <f>EM732</f>
        <v>11465</v>
      </c>
      <c r="EN705" s="860">
        <f t="shared" si="4250"/>
        <v>-34.620209854014597</v>
      </c>
      <c r="EO705" s="1031">
        <f>EO732</f>
        <v>11817</v>
      </c>
      <c r="EP705" s="98">
        <f t="shared" si="4251"/>
        <v>10.864058542077126</v>
      </c>
      <c r="EQ705" s="840">
        <f t="shared" ref="EQ705" si="4309">EQ732</f>
        <v>11817</v>
      </c>
      <c r="ER705" s="98">
        <f t="shared" si="4253"/>
        <v>5.1521623064602284</v>
      </c>
      <c r="ES705" s="840">
        <f t="shared" ref="ES705" si="4310">ES732</f>
        <v>11817</v>
      </c>
      <c r="ET705" s="98">
        <f t="shared" si="4255"/>
        <v>-9.8970644300419348</v>
      </c>
      <c r="EU705" s="840">
        <f t="shared" ref="EU705" si="4311">EU732</f>
        <v>11817</v>
      </c>
      <c r="EV705" s="98">
        <f t="shared" si="4257"/>
        <v>3.070213693850854</v>
      </c>
      <c r="EW705" s="840">
        <f t="shared" ref="EW705" si="4312">EW732</f>
        <v>11817</v>
      </c>
      <c r="EX705" s="98">
        <f t="shared" si="4259"/>
        <v>0</v>
      </c>
      <c r="EY705" s="349"/>
      <c r="EZ705" s="594"/>
      <c r="FA705" s="405"/>
      <c r="FB705" s="349">
        <f>FB732</f>
        <v>1384</v>
      </c>
      <c r="FC705" s="98"/>
      <c r="FD705" s="295">
        <f>FD732</f>
        <v>-410</v>
      </c>
      <c r="FE705" s="98" t="str">
        <f t="shared" si="4260"/>
        <v>NM</v>
      </c>
      <c r="FF705" s="349">
        <f>FF732</f>
        <v>1047</v>
      </c>
      <c r="FG705" s="98" t="str">
        <f t="shared" si="4261"/>
        <v>NM</v>
      </c>
      <c r="FH705" s="349">
        <f>FH732</f>
        <v>1673</v>
      </c>
      <c r="FI705" s="98">
        <f t="shared" si="4263"/>
        <v>59.789875835721105</v>
      </c>
      <c r="FJ705" s="349">
        <f>FJ732</f>
        <v>2007</v>
      </c>
      <c r="FK705" s="98">
        <f t="shared" si="4264"/>
        <v>19.964136282127921</v>
      </c>
      <c r="FL705" s="349">
        <f>FL732</f>
        <v>2792</v>
      </c>
      <c r="FM705" s="98">
        <f t="shared" si="4265"/>
        <v>39.113104135525667</v>
      </c>
      <c r="FN705" s="349">
        <f>FN732</f>
        <v>2956</v>
      </c>
      <c r="FO705" s="98">
        <f t="shared" si="4267"/>
        <v>5.8739255014326641</v>
      </c>
      <c r="FP705" s="349">
        <f>FP732</f>
        <v>1912</v>
      </c>
      <c r="FQ705" s="98">
        <f t="shared" si="4269"/>
        <v>-35.317997293640055</v>
      </c>
      <c r="FR705" s="349">
        <f>FR732</f>
        <v>1118</v>
      </c>
      <c r="FS705" s="98">
        <f t="shared" si="4271"/>
        <v>-41.527196652719667</v>
      </c>
      <c r="FT705" s="349">
        <f>FT732</f>
        <v>1078</v>
      </c>
      <c r="FU705" s="98">
        <f t="shared" si="4273"/>
        <v>-3.5778175313059046</v>
      </c>
      <c r="FV705" s="349">
        <f>FV732</f>
        <v>-14253</v>
      </c>
      <c r="FW705" s="98" t="str">
        <f t="shared" si="4275"/>
        <v>NM</v>
      </c>
      <c r="FX705" s="510">
        <f>FX732</f>
        <v>-3058</v>
      </c>
      <c r="FY705" s="98" t="str">
        <f t="shared" si="4277"/>
        <v>NM</v>
      </c>
      <c r="FZ705" s="349">
        <f>FZ732</f>
        <v>1000</v>
      </c>
      <c r="GA705" s="98" t="str">
        <f t="shared" si="4279"/>
        <v>NM</v>
      </c>
      <c r="GB705" s="510">
        <f>GB732</f>
        <v>6083</v>
      </c>
      <c r="GC705" s="98" t="str">
        <f t="shared" si="4281"/>
        <v>NM</v>
      </c>
      <c r="GD705" s="349">
        <f>GD732</f>
        <v>11397</v>
      </c>
      <c r="GE705" s="98">
        <f t="shared" si="4283"/>
        <v>87.358211408844326</v>
      </c>
      <c r="GF705" s="349">
        <f>GF732</f>
        <v>6763</v>
      </c>
      <c r="GG705" s="98">
        <f t="shared" si="4283"/>
        <v>-40.65982276037554</v>
      </c>
      <c r="GH705" s="349">
        <f>GH732</f>
        <v>13952</v>
      </c>
      <c r="GI705" s="98" t="str">
        <f t="shared" si="4283"/>
        <v>NM</v>
      </c>
      <c r="GJ705" s="349">
        <f>GJ732</f>
        <v>9721</v>
      </c>
      <c r="GK705" s="98">
        <f t="shared" si="4283"/>
        <v>-30.325401376146786</v>
      </c>
      <c r="GL705" s="349">
        <f>GL732</f>
        <v>10659</v>
      </c>
      <c r="GM705" s="98">
        <f t="shared" si="4283"/>
        <v>9.6492130439255206</v>
      </c>
      <c r="GN705" s="349">
        <f>GN732</f>
        <v>11817</v>
      </c>
      <c r="GO705" s="98">
        <f t="shared" si="4283"/>
        <v>10.864058542077126</v>
      </c>
      <c r="GP705" s="349">
        <f>GP732</f>
        <v>11817</v>
      </c>
      <c r="GQ705" s="98">
        <f t="shared" si="4283"/>
        <v>0</v>
      </c>
      <c r="GR705" s="349">
        <f>GR732</f>
        <v>11817</v>
      </c>
      <c r="GS705" s="98">
        <f t="shared" si="4283"/>
        <v>0</v>
      </c>
      <c r="GT705" s="349">
        <f>GT732</f>
        <v>11817</v>
      </c>
      <c r="GU705" s="98">
        <f t="shared" si="4283"/>
        <v>0</v>
      </c>
      <c r="GV705" s="349">
        <f>GV732</f>
        <v>11817</v>
      </c>
      <c r="GW705" s="98">
        <f t="shared" si="4283"/>
        <v>0</v>
      </c>
      <c r="GX705" s="349">
        <f>GX732</f>
        <v>11817</v>
      </c>
      <c r="GY705" s="98">
        <f t="shared" si="4290"/>
        <v>0</v>
      </c>
      <c r="GZ705" s="98">
        <f t="shared" si="4291"/>
        <v>0</v>
      </c>
      <c r="HA705" s="98"/>
      <c r="HB705" s="10"/>
      <c r="HC705"/>
      <c r="HD705"/>
      <c r="HE705"/>
      <c r="HF705"/>
      <c r="HG705"/>
      <c r="HH705"/>
      <c r="HI705" s="10"/>
    </row>
    <row r="706" spans="1:217" s="2" customFormat="1" ht="12.75" customHeight="1" x14ac:dyDescent="0.2">
      <c r="A706" s="351"/>
      <c r="B706" s="179" t="s">
        <v>72</v>
      </c>
      <c r="C706" s="349">
        <f>C704-C705</f>
        <v>256368</v>
      </c>
      <c r="D706" s="98"/>
      <c r="E706" s="349">
        <f>E704-E705</f>
        <v>255319</v>
      </c>
      <c r="F706" s="98"/>
      <c r="G706" s="349">
        <f>G704-G705</f>
        <v>257392</v>
      </c>
      <c r="H706" s="98"/>
      <c r="I706" s="349">
        <f>I704-I705</f>
        <v>253971</v>
      </c>
      <c r="J706" s="98"/>
      <c r="K706" s="349">
        <f>K704-K705</f>
        <v>252533</v>
      </c>
      <c r="L706" s="98">
        <f t="shared" si="4193"/>
        <v>-1.4958965237471089</v>
      </c>
      <c r="M706" s="349">
        <f>M704-M705</f>
        <v>253533</v>
      </c>
      <c r="N706" s="98">
        <f t="shared" si="4194"/>
        <v>-0.69951707471829216</v>
      </c>
      <c r="O706" s="349">
        <f>O704-O705</f>
        <v>250150</v>
      </c>
      <c r="P706" s="98">
        <f t="shared" si="4296"/>
        <v>-2.8136072605209228</v>
      </c>
      <c r="Q706" s="349">
        <f>Q704-Q705</f>
        <v>255297</v>
      </c>
      <c r="R706" s="98">
        <f t="shared" si="4195"/>
        <v>0.52210685471962837</v>
      </c>
      <c r="S706" s="349">
        <f>S704-S705</f>
        <v>257918</v>
      </c>
      <c r="T706" s="98">
        <f t="shared" si="4196"/>
        <v>2.1323945781343445</v>
      </c>
      <c r="U706" s="349">
        <f>U704-U705</f>
        <v>259814</v>
      </c>
      <c r="V706" s="98">
        <f t="shared" si="4197"/>
        <v>2.477389531145846</v>
      </c>
      <c r="W706" s="349">
        <f>W704-W705</f>
        <v>265933</v>
      </c>
      <c r="X706" s="98">
        <f t="shared" si="4198"/>
        <v>6.3094143513891643</v>
      </c>
      <c r="Y706" s="349">
        <f>Y704-Y705</f>
        <v>275419</v>
      </c>
      <c r="Z706" s="98">
        <f t="shared" si="4199"/>
        <v>7.881800412852491</v>
      </c>
      <c r="AA706" s="349">
        <f>AA704-AA705</f>
        <v>284610</v>
      </c>
      <c r="AB706" s="98">
        <f t="shared" si="4200"/>
        <v>10.349025659318078</v>
      </c>
      <c r="AC706" s="349">
        <f>AC704-AC705</f>
        <v>306516</v>
      </c>
      <c r="AD706" s="98">
        <f t="shared" si="4201"/>
        <v>17.975166850131252</v>
      </c>
      <c r="AE706" s="349">
        <f>AE704-AE705</f>
        <v>311974</v>
      </c>
      <c r="AF706" s="98">
        <f t="shared" si="4202"/>
        <v>17.31300741164128</v>
      </c>
      <c r="AG706" s="349">
        <f>AG704-AG705</f>
        <v>324049</v>
      </c>
      <c r="AH706" s="98">
        <f t="shared" si="4203"/>
        <v>17.656733921770098</v>
      </c>
      <c r="AI706" s="118">
        <f>AI704-AI705</f>
        <v>333569</v>
      </c>
      <c r="AJ706" s="98">
        <f t="shared" si="4204"/>
        <v>17.202136256631874</v>
      </c>
      <c r="AK706" s="118">
        <f>AK704-AK705</f>
        <v>336295</v>
      </c>
      <c r="AL706" s="98">
        <f t="shared" si="4205"/>
        <v>9.7153166555742576</v>
      </c>
      <c r="AM706" s="118">
        <f>AM704-AM705</f>
        <v>343383</v>
      </c>
      <c r="AN706" s="98">
        <f t="shared" si="4206"/>
        <v>10.067826165000927</v>
      </c>
      <c r="AO706" s="118">
        <f>AO704-AO705</f>
        <v>353852</v>
      </c>
      <c r="AP706" s="98">
        <f t="shared" si="4207"/>
        <v>9.1970658758397725</v>
      </c>
      <c r="AQ706" s="118">
        <f>AQ704-AQ705</f>
        <v>360515</v>
      </c>
      <c r="AR706" s="98">
        <f t="shared" si="4208"/>
        <v>8.0780887912246016</v>
      </c>
      <c r="AS706" s="118">
        <f>AS704-AS705</f>
        <v>378351</v>
      </c>
      <c r="AT706" s="98">
        <f t="shared" si="4209"/>
        <v>12.505686971260355</v>
      </c>
      <c r="AU706" s="118">
        <f>AU704-AU705</f>
        <v>480945</v>
      </c>
      <c r="AV706" s="98">
        <f t="shared" si="4210"/>
        <v>40.060806737666098</v>
      </c>
      <c r="AW706" s="118">
        <f>AW704-AW705</f>
        <v>479306</v>
      </c>
      <c r="AX706" s="98">
        <f t="shared" si="4211"/>
        <v>35.453805545821425</v>
      </c>
      <c r="AY706" s="118">
        <f>AY704-AY705</f>
        <v>498512</v>
      </c>
      <c r="AZ706" s="98">
        <f t="shared" si="4212"/>
        <v>38.277741564151292</v>
      </c>
      <c r="BA706" s="118">
        <f>BA704-BA705</f>
        <v>501296</v>
      </c>
      <c r="BB706" s="98">
        <f t="shared" si="4213"/>
        <v>32.494958385203155</v>
      </c>
      <c r="BC706" s="118">
        <f>BC704-BC705</f>
        <v>514299</v>
      </c>
      <c r="BD706" s="98">
        <f t="shared" si="4214"/>
        <v>6.9350965287090949</v>
      </c>
      <c r="BE706" s="118">
        <f>BE704-BE705</f>
        <v>526597</v>
      </c>
      <c r="BF706" s="98">
        <f t="shared" si="4215"/>
        <v>9.8665570637546764</v>
      </c>
      <c r="BG706" s="118">
        <f>BG704-BG705</f>
        <v>536407</v>
      </c>
      <c r="BH706" s="98">
        <f t="shared" si="4216"/>
        <v>7.6016224283467659</v>
      </c>
      <c r="BI706" s="118">
        <f>BI704-BI705</f>
        <v>552856</v>
      </c>
      <c r="BJ706" s="98">
        <f t="shared" si="4217"/>
        <v>10.285340397689179</v>
      </c>
      <c r="BK706" s="118">
        <f>BK704-BK705</f>
        <v>563536</v>
      </c>
      <c r="BL706" s="98">
        <f t="shared" si="4218"/>
        <v>9.5736137927548093</v>
      </c>
      <c r="BM706" s="118">
        <f>BM704-BM705</f>
        <v>558058</v>
      </c>
      <c r="BN706" s="98">
        <f t="shared" si="4219"/>
        <v>5.9743978792131447</v>
      </c>
      <c r="BO706" s="118">
        <f>BO704-BO705</f>
        <v>492436</v>
      </c>
      <c r="BP706" s="98">
        <f t="shared" si="4220"/>
        <v>-8.1973203183403616</v>
      </c>
      <c r="BQ706" s="118">
        <f>BQ704-BQ705</f>
        <v>558981</v>
      </c>
      <c r="BR706" s="98">
        <f t="shared" si="4221"/>
        <v>1.1078834271492033</v>
      </c>
      <c r="BS706" s="118">
        <f>BS704-BS705</f>
        <v>528858</v>
      </c>
      <c r="BT706" s="98">
        <f t="shared" si="4222"/>
        <v>-6.1536441327617037</v>
      </c>
      <c r="BU706" s="118">
        <f>BU704-BU705</f>
        <v>515931</v>
      </c>
      <c r="BV706" s="98">
        <f t="shared" si="4223"/>
        <v>-7.5488569288496894</v>
      </c>
      <c r="BW706" s="118">
        <f>BW704-BW705</f>
        <v>506766</v>
      </c>
      <c r="BX706" s="98">
        <f t="shared" si="4224"/>
        <v>2.9100228253011506</v>
      </c>
      <c r="BY706" s="118">
        <f>BY704-BY705</f>
        <v>519291</v>
      </c>
      <c r="BZ706" s="98">
        <f t="shared" si="4225"/>
        <v>-7.1004202289523306</v>
      </c>
      <c r="CA706" s="118">
        <f>CA704-CA705</f>
        <v>537426</v>
      </c>
      <c r="CB706" s="98">
        <f t="shared" si="4226"/>
        <v>1.6200946189714349</v>
      </c>
      <c r="CC706" s="118">
        <f>CC704-CC705</f>
        <v>542372</v>
      </c>
      <c r="CD706" s="98">
        <f t="shared" si="4227"/>
        <v>5.1249101139493547</v>
      </c>
      <c r="CE706" s="118">
        <f>CE704-CE705</f>
        <v>566757</v>
      </c>
      <c r="CF706" s="98">
        <f t="shared" si="4228"/>
        <v>11.83800807473272</v>
      </c>
      <c r="CG706" s="118">
        <f>CG704-CG705</f>
        <v>573085</v>
      </c>
      <c r="CH706" s="98">
        <f t="shared" si="4229"/>
        <v>10.359124267510889</v>
      </c>
      <c r="CI706" s="118">
        <f>CI704-CI705</f>
        <v>613225</v>
      </c>
      <c r="CJ706" s="98">
        <f t="shared" si="4230"/>
        <v>14.104081306077498</v>
      </c>
      <c r="CK706" s="118">
        <f>CK704-CK705</f>
        <v>729906</v>
      </c>
      <c r="CL706" s="98">
        <f t="shared" si="4231"/>
        <v>34.576637437035828</v>
      </c>
      <c r="CM706" s="118">
        <f>CM704-CM705</f>
        <v>747233</v>
      </c>
      <c r="CN706" s="98">
        <f t="shared" si="4232"/>
        <v>31.843629633158478</v>
      </c>
      <c r="CO706" s="118">
        <f>CO704-CO705</f>
        <v>764940</v>
      </c>
      <c r="CP706" s="98">
        <f t="shared" si="4233"/>
        <v>33.477581859584539</v>
      </c>
      <c r="CQ706" s="510">
        <f>CQ704-CQ705</f>
        <v>775064</v>
      </c>
      <c r="CR706" s="98">
        <f t="shared" si="4233"/>
        <v>26.39145501243425</v>
      </c>
      <c r="CS706" s="118">
        <f>CS704-CS705</f>
        <v>790143</v>
      </c>
      <c r="CT706" s="98">
        <f t="shared" si="4233"/>
        <v>8.2527065128934485</v>
      </c>
      <c r="CU706" s="118">
        <f>CU704-CU705</f>
        <v>812338</v>
      </c>
      <c r="CV706" s="98">
        <f t="shared" si="4234"/>
        <v>8.7128111312000378</v>
      </c>
      <c r="CW706" s="118">
        <f>CW704-CW705</f>
        <v>816452</v>
      </c>
      <c r="CX706" s="98">
        <f t="shared" si="4235"/>
        <v>6.734122937746756</v>
      </c>
      <c r="CY706" s="118">
        <f>CY704-CY705</f>
        <v>834960</v>
      </c>
      <c r="CZ706" s="98">
        <f t="shared" si="4236"/>
        <v>7.7278779558849431</v>
      </c>
      <c r="DA706" s="118">
        <f>DA704-DA705</f>
        <v>825384</v>
      </c>
      <c r="DB706" s="98">
        <f t="shared" si="4237"/>
        <v>4.4600787452397928</v>
      </c>
      <c r="DC706" s="118">
        <f>DC704-DC705</f>
        <v>831105</v>
      </c>
      <c r="DD706" s="98">
        <f t="shared" si="4238"/>
        <v>2.3102452427437914</v>
      </c>
      <c r="DE706" s="118">
        <f>DE704-DE705</f>
        <v>809460</v>
      </c>
      <c r="DF706" s="98">
        <f t="shared" si="4239"/>
        <v>-0.85638837310705318</v>
      </c>
      <c r="DG706" s="118">
        <f>DG704-DG705</f>
        <v>817543</v>
      </c>
      <c r="DH706" s="98">
        <f t="shared" si="4240"/>
        <v>-2.085968190092935</v>
      </c>
      <c r="DI706" s="118">
        <f>DI704-DI705</f>
        <v>878533</v>
      </c>
      <c r="DJ706" s="98">
        <f t="shared" si="4241"/>
        <v>6.4393058261366765</v>
      </c>
      <c r="DK706" s="118">
        <f>DK704-DK705</f>
        <v>880845</v>
      </c>
      <c r="DL706" s="98">
        <f t="shared" si="4242"/>
        <v>5.9848033641958676</v>
      </c>
      <c r="DM706" s="118">
        <f>DM704-DM705</f>
        <v>898323</v>
      </c>
      <c r="DN706" s="98">
        <f t="shared" si="4243"/>
        <v>10.978059447038756</v>
      </c>
      <c r="DO706" s="118">
        <f>DO704-DO705</f>
        <v>895475</v>
      </c>
      <c r="DP706" s="98">
        <f t="shared" si="4243"/>
        <v>9.532464959029685</v>
      </c>
      <c r="DQ706" s="118">
        <f>DQ704-DQ705</f>
        <v>888385</v>
      </c>
      <c r="DR706" s="98">
        <f t="shared" si="4243"/>
        <v>1.1214149041641086</v>
      </c>
      <c r="DS706" s="118">
        <f>DS704-DS705</f>
        <v>904275</v>
      </c>
      <c r="DT706" s="98">
        <f t="shared" si="4243"/>
        <v>2.6599458474533044</v>
      </c>
      <c r="DU706" s="118">
        <f>DU704-DU705</f>
        <v>887752</v>
      </c>
      <c r="DV706" s="98">
        <f t="shared" si="4243"/>
        <v>-1.1767482297570075</v>
      </c>
      <c r="DW706" s="118">
        <f>DW704-DW705</f>
        <v>870995</v>
      </c>
      <c r="DX706" s="98">
        <f t="shared" si="4243"/>
        <v>-2.7337446606549576</v>
      </c>
      <c r="DY706" s="118">
        <f>DY704-DY705</f>
        <v>868212</v>
      </c>
      <c r="DZ706" s="98">
        <f t="shared" si="4243"/>
        <v>-2.2707497312539071</v>
      </c>
      <c r="EA706" s="118">
        <f>EA704-EA705</f>
        <v>902281</v>
      </c>
      <c r="EB706" s="98">
        <f t="shared" si="4244"/>
        <v>-0.22050814188161461</v>
      </c>
      <c r="EC706" s="118">
        <f>EC704-EC705</f>
        <v>923915</v>
      </c>
      <c r="ED706" s="98">
        <f t="shared" si="4245"/>
        <v>4.0735475673386201</v>
      </c>
      <c r="EE706" s="118">
        <f>EE704-EE705</f>
        <v>935368</v>
      </c>
      <c r="EF706" s="860">
        <f t="shared" si="4246"/>
        <v>7.3907427711984663</v>
      </c>
      <c r="EG706" s="118">
        <f>EG704-EG705</f>
        <v>888105</v>
      </c>
      <c r="EH706" s="860">
        <f t="shared" si="4247"/>
        <v>2.2912606598388452</v>
      </c>
      <c r="EI706" s="118">
        <f>EI704-EI705</f>
        <v>903449</v>
      </c>
      <c r="EJ706" s="860">
        <f t="shared" si="4248"/>
        <v>0.12944969471815337</v>
      </c>
      <c r="EK706" s="792">
        <f>EK704-EK705</f>
        <v>912084</v>
      </c>
      <c r="EL706" s="860">
        <f t="shared" si="4249"/>
        <v>-1.2805290529973035</v>
      </c>
      <c r="EM706" s="792">
        <f>EM704-EM705</f>
        <v>709050</v>
      </c>
      <c r="EN706" s="860">
        <f t="shared" si="4250"/>
        <v>-24.195610711506056</v>
      </c>
      <c r="EO706" s="792">
        <f>EO704-EO705</f>
        <v>708075</v>
      </c>
      <c r="EP706" s="98">
        <f t="shared" si="4251"/>
        <v>-20.271251710101843</v>
      </c>
      <c r="EQ706" s="840">
        <f t="shared" ref="EQ706" si="4313">EQ704-EQ705</f>
        <v>709751.83086935326</v>
      </c>
      <c r="ER706" s="98">
        <f t="shared" si="4253"/>
        <v>-21.439745810847842</v>
      </c>
      <c r="ES706" s="840">
        <f t="shared" ref="ES706" si="4314">ES704-ES705</f>
        <v>706481.87773502606</v>
      </c>
      <c r="ET706" s="98">
        <f t="shared" si="4255"/>
        <v>-22.542016115289154</v>
      </c>
      <c r="EU706" s="840">
        <f t="shared" ref="EU706" si="4315">EU704-EU705</f>
        <v>705615.51763722685</v>
      </c>
      <c r="EV706" s="98">
        <f t="shared" si="4257"/>
        <v>-0.48437802168720401</v>
      </c>
      <c r="EW706" s="840">
        <f t="shared" ref="EW706" si="4316">EW704-EW705</f>
        <v>705008.30563340359</v>
      </c>
      <c r="EX706" s="98">
        <f t="shared" si="4259"/>
        <v>-0.43310304227608398</v>
      </c>
      <c r="EY706" s="349"/>
      <c r="EZ706" s="594"/>
      <c r="FA706" s="405"/>
      <c r="FB706" s="349">
        <f>FB704-FB705</f>
        <v>213962</v>
      </c>
      <c r="FC706" s="98"/>
      <c r="FD706" s="349">
        <f>FD704-FD705</f>
        <v>227424</v>
      </c>
      <c r="FE706" s="98">
        <f t="shared" si="4260"/>
        <v>6.2917714360493981</v>
      </c>
      <c r="FF706" s="349">
        <f>FF704-FF705</f>
        <v>253971</v>
      </c>
      <c r="FG706" s="98">
        <f t="shared" si="4261"/>
        <v>11.672910510764044</v>
      </c>
      <c r="FH706" s="349">
        <f>FH704-FH705</f>
        <v>255297</v>
      </c>
      <c r="FI706" s="98">
        <f t="shared" si="4263"/>
        <v>0.52210685471962837</v>
      </c>
      <c r="FJ706" s="349">
        <f>FJ704-FJ705</f>
        <v>275419</v>
      </c>
      <c r="FK706" s="98">
        <f t="shared" si="4264"/>
        <v>7.881800412852491</v>
      </c>
      <c r="FL706" s="349">
        <f>FL704-FL705</f>
        <v>324049</v>
      </c>
      <c r="FM706" s="98">
        <f t="shared" si="4265"/>
        <v>17.656733921770098</v>
      </c>
      <c r="FN706" s="349">
        <f>FN704-FN705</f>
        <v>353852</v>
      </c>
      <c r="FO706" s="98">
        <f t="shared" si="4267"/>
        <v>9.1970658758397725</v>
      </c>
      <c r="FP706" s="349">
        <f>FP704-FP705</f>
        <v>479306</v>
      </c>
      <c r="FQ706" s="98">
        <f t="shared" si="4269"/>
        <v>35.453805545821425</v>
      </c>
      <c r="FR706" s="349">
        <f>FR704-FR705</f>
        <v>526597</v>
      </c>
      <c r="FS706" s="98">
        <f t="shared" si="4271"/>
        <v>9.8665570637546764</v>
      </c>
      <c r="FT706" s="349">
        <f>FT704-FT705</f>
        <v>558058</v>
      </c>
      <c r="FU706" s="98">
        <f t="shared" si="4273"/>
        <v>5.9743978792131447</v>
      </c>
      <c r="FV706" s="349">
        <f>FV704-FV705</f>
        <v>515931</v>
      </c>
      <c r="FW706" s="98">
        <f t="shared" si="4275"/>
        <v>-7.5488569288496894</v>
      </c>
      <c r="FX706" s="510">
        <f>FX704-FX705</f>
        <v>542372</v>
      </c>
      <c r="FY706" s="98">
        <f t="shared" si="4277"/>
        <v>5.1249101139493547</v>
      </c>
      <c r="FZ706" s="349">
        <f>FZ704-FZ705</f>
        <v>729906</v>
      </c>
      <c r="GA706" s="98">
        <f t="shared" si="4279"/>
        <v>34.576637437035828</v>
      </c>
      <c r="GB706" s="510">
        <f>GB704-GB705</f>
        <v>790143</v>
      </c>
      <c r="GC706" s="98">
        <f t="shared" si="4281"/>
        <v>8.2527065128934485</v>
      </c>
      <c r="GD706" s="349">
        <f>GD704-GD705</f>
        <v>825384</v>
      </c>
      <c r="GE706" s="98">
        <f t="shared" si="4283"/>
        <v>4.4600787452397928</v>
      </c>
      <c r="GF706" s="349">
        <f>GF704-GF705</f>
        <v>878533</v>
      </c>
      <c r="GG706" s="98">
        <f t="shared" si="4283"/>
        <v>6.4393058261366765</v>
      </c>
      <c r="GH706" s="349">
        <f>GH704-GH705</f>
        <v>888385</v>
      </c>
      <c r="GI706" s="98">
        <f t="shared" si="4283"/>
        <v>1.1214149041641086</v>
      </c>
      <c r="GJ706" s="349">
        <f>GJ704-GJ705</f>
        <v>868212</v>
      </c>
      <c r="GK706" s="98">
        <f t="shared" si="4283"/>
        <v>-2.2707497312539071</v>
      </c>
      <c r="GL706" s="349">
        <f>GL704-GL705</f>
        <v>888105</v>
      </c>
      <c r="GM706" s="98">
        <f t="shared" si="4283"/>
        <v>2.2912606598388452</v>
      </c>
      <c r="GN706" s="349">
        <f>GN704-GN705</f>
        <v>708075</v>
      </c>
      <c r="GO706" s="98">
        <f t="shared" si="4283"/>
        <v>-20.271251710101843</v>
      </c>
      <c r="GP706" s="349">
        <f>GP704-GP705</f>
        <v>705008.30563340359</v>
      </c>
      <c r="GQ706" s="98">
        <f t="shared" si="4283"/>
        <v>-0.43310304227608398</v>
      </c>
      <c r="GR706" s="349">
        <f>GR704-GR705</f>
        <v>701454.98039764899</v>
      </c>
      <c r="GS706" s="98">
        <f t="shared" si="4283"/>
        <v>-0.50401182615319451</v>
      </c>
      <c r="GT706" s="349">
        <f>GT704-GT705</f>
        <v>700078.84850340325</v>
      </c>
      <c r="GU706" s="98">
        <f t="shared" si="4283"/>
        <v>-0.19618249676773836</v>
      </c>
      <c r="GV706" s="349">
        <f>GV704-GV705</f>
        <v>701810.58771744324</v>
      </c>
      <c r="GW706" s="98">
        <f t="shared" si="4283"/>
        <v>0.24736345309417374</v>
      </c>
      <c r="GX706" s="349">
        <f>GX704-GX705</f>
        <v>706342.76115729159</v>
      </c>
      <c r="GY706" s="98">
        <f t="shared" si="4290"/>
        <v>0.64578299603439415</v>
      </c>
      <c r="GZ706" s="98">
        <f t="shared" si="4291"/>
        <v>-4.8976067191741635E-2</v>
      </c>
      <c r="HA706" s="98"/>
      <c r="HB706" s="10"/>
      <c r="HC706"/>
      <c r="HD706"/>
      <c r="HE706"/>
      <c r="HF706"/>
      <c r="HG706"/>
      <c r="HH706"/>
      <c r="HI706" s="10"/>
    </row>
    <row r="707" spans="1:217" s="2" customFormat="1" ht="12.75" customHeight="1" x14ac:dyDescent="0.2">
      <c r="B707" s="179" t="s">
        <v>151</v>
      </c>
      <c r="C707" s="349">
        <f>C706-C700</f>
        <v>180258</v>
      </c>
      <c r="D707" s="98"/>
      <c r="E707" s="349">
        <f>E706-E700</f>
        <v>181613</v>
      </c>
      <c r="F707" s="98"/>
      <c r="G707" s="349">
        <f>G706-G700</f>
        <v>182289</v>
      </c>
      <c r="H707" s="98"/>
      <c r="I707" s="349">
        <f>I706-I700</f>
        <v>183721</v>
      </c>
      <c r="J707" s="98"/>
      <c r="K707" s="349">
        <f>K706-K700</f>
        <v>188429</v>
      </c>
      <c r="L707" s="98">
        <f t="shared" si="4193"/>
        <v>4.5329472200956511</v>
      </c>
      <c r="M707" s="349">
        <f>M706-M700</f>
        <v>188201</v>
      </c>
      <c r="N707" s="98">
        <f t="shared" si="4194"/>
        <v>3.6274936265575652</v>
      </c>
      <c r="O707" s="349">
        <f>O706-O700</f>
        <v>190530</v>
      </c>
      <c r="P707" s="98">
        <f t="shared" si="4296"/>
        <v>4.5208432763359285</v>
      </c>
      <c r="Q707" s="349">
        <f>Q706-Q700</f>
        <v>192583</v>
      </c>
      <c r="R707" s="98">
        <f t="shared" si="4195"/>
        <v>4.8236184214107247</v>
      </c>
      <c r="S707" s="349">
        <f>S706-S700</f>
        <v>195380</v>
      </c>
      <c r="T707" s="98">
        <f t="shared" si="4196"/>
        <v>3.6889226180683465</v>
      </c>
      <c r="U707" s="349">
        <f>U706-U700</f>
        <v>200531</v>
      </c>
      <c r="V707" s="98">
        <f t="shared" si="4197"/>
        <v>6.5515061025180454</v>
      </c>
      <c r="W707" s="349">
        <f>W706-W700</f>
        <v>209884</v>
      </c>
      <c r="X707" s="98">
        <f t="shared" si="4198"/>
        <v>10.157980370545317</v>
      </c>
      <c r="Y707" s="349">
        <f>Y706-Y700</f>
        <v>215726</v>
      </c>
      <c r="Z707" s="98">
        <f t="shared" si="4199"/>
        <v>12.017156239128068</v>
      </c>
      <c r="AA707" s="349">
        <f>AA706-AA700</f>
        <v>223990</v>
      </c>
      <c r="AB707" s="98">
        <f t="shared" si="4200"/>
        <v>14.643259289589516</v>
      </c>
      <c r="AC707" s="349">
        <f>AC706-AC700</f>
        <v>239056</v>
      </c>
      <c r="AD707" s="98">
        <f t="shared" si="4201"/>
        <v>19.21149348479787</v>
      </c>
      <c r="AE707" s="349">
        <f>AE706-AE700</f>
        <v>241976</v>
      </c>
      <c r="AF707" s="98">
        <f t="shared" si="4202"/>
        <v>15.2903508604753</v>
      </c>
      <c r="AG707" s="349">
        <f>AG706-AG700</f>
        <v>248293</v>
      </c>
      <c r="AH707" s="98">
        <f t="shared" si="4203"/>
        <v>15.096464960180977</v>
      </c>
      <c r="AI707" s="118">
        <f>AI706-AI700</f>
        <v>255233</v>
      </c>
      <c r="AJ707" s="98">
        <f t="shared" si="4204"/>
        <v>13.948390553149693</v>
      </c>
      <c r="AK707" s="118">
        <f>AK706-AK700</f>
        <v>256548</v>
      </c>
      <c r="AL707" s="98">
        <f t="shared" si="4205"/>
        <v>7.3171139816611941</v>
      </c>
      <c r="AM707" s="118">
        <f>AM706-AM700</f>
        <v>262202</v>
      </c>
      <c r="AN707" s="98">
        <f t="shared" si="4206"/>
        <v>8.3586801996892177</v>
      </c>
      <c r="AO707" s="118">
        <f>AO706-AO700</f>
        <v>267083</v>
      </c>
      <c r="AP707" s="98">
        <f t="shared" si="4207"/>
        <v>7.5676720648588658</v>
      </c>
      <c r="AQ707" s="118">
        <f>AQ706-AQ700</f>
        <v>274729</v>
      </c>
      <c r="AR707" s="98">
        <f t="shared" si="4208"/>
        <v>7.6385106941500469</v>
      </c>
      <c r="AS707" s="118">
        <f>AS706-AS700</f>
        <v>288892</v>
      </c>
      <c r="AT707" s="98">
        <f t="shared" si="4209"/>
        <v>12.607387311536232</v>
      </c>
      <c r="AU707" s="118">
        <f>AU706-AU700</f>
        <v>356901</v>
      </c>
      <c r="AV707" s="98">
        <f t="shared" si="4210"/>
        <v>36.116810703198297</v>
      </c>
      <c r="AW707" s="118">
        <f>AW706-AW700</f>
        <v>351437</v>
      </c>
      <c r="AX707" s="98">
        <f t="shared" si="4211"/>
        <v>31.583440353747715</v>
      </c>
      <c r="AY707" s="118">
        <f>AY706-AY700</f>
        <v>365990</v>
      </c>
      <c r="AZ707" s="98">
        <f t="shared" si="4212"/>
        <v>33.218553556413767</v>
      </c>
      <c r="BA707" s="118">
        <f>BA706-BA700</f>
        <v>368514</v>
      </c>
      <c r="BB707" s="98">
        <f t="shared" si="4213"/>
        <v>27.561164725918342</v>
      </c>
      <c r="BC707" s="118">
        <f>BC706-BC700</f>
        <v>377025</v>
      </c>
      <c r="BD707" s="98">
        <f t="shared" si="4214"/>
        <v>5.6385384182168208</v>
      </c>
      <c r="BE707" s="118">
        <f>BE706-BE700</f>
        <v>382232</v>
      </c>
      <c r="BF707" s="98">
        <f t="shared" si="4215"/>
        <v>8.7625947182567554</v>
      </c>
      <c r="BG707" s="118">
        <f>BG706-BG700</f>
        <v>389095</v>
      </c>
      <c r="BH707" s="98">
        <f t="shared" si="4216"/>
        <v>6.3130140167764193</v>
      </c>
      <c r="BI707" s="118">
        <f>BI706-BI700</f>
        <v>397021</v>
      </c>
      <c r="BJ707" s="98">
        <f t="shared" si="4217"/>
        <v>7.7356626885274338</v>
      </c>
      <c r="BK707" s="118">
        <f>BK706-BK700</f>
        <v>402874</v>
      </c>
      <c r="BL707" s="98">
        <f t="shared" si="4218"/>
        <v>6.8560440289105573</v>
      </c>
      <c r="BM707" s="118">
        <f>BM706-BM700</f>
        <v>397916</v>
      </c>
      <c r="BN707" s="98">
        <f t="shared" si="4219"/>
        <v>4.1032671257246855</v>
      </c>
      <c r="BO707" s="118">
        <f>BO706-BO700</f>
        <v>378070</v>
      </c>
      <c r="BP707" s="98">
        <f t="shared" si="4220"/>
        <v>-2.8334982459296554</v>
      </c>
      <c r="BQ707" s="118">
        <f>BQ706-BQ700</f>
        <v>409295</v>
      </c>
      <c r="BR707" s="98">
        <f t="shared" si="4221"/>
        <v>3.0915241259278581</v>
      </c>
      <c r="BS707" s="118">
        <f>BS706-BS700</f>
        <v>389055</v>
      </c>
      <c r="BT707" s="98">
        <f t="shared" si="4222"/>
        <v>-3.4301046977466942</v>
      </c>
      <c r="BU707" s="118">
        <f>BU706-BU700</f>
        <v>395092</v>
      </c>
      <c r="BV707" s="98">
        <f t="shared" si="4223"/>
        <v>-0.70969752410056097</v>
      </c>
      <c r="BW707" s="118">
        <f>BW706-BW700</f>
        <v>392400</v>
      </c>
      <c r="BX707" s="98">
        <f t="shared" si="4224"/>
        <v>3.7903033829714161</v>
      </c>
      <c r="BY707" s="118">
        <f>BY706-BY700</f>
        <v>392323</v>
      </c>
      <c r="BZ707" s="98">
        <f t="shared" si="4225"/>
        <v>-4.1466423972929096</v>
      </c>
      <c r="CA707" s="118">
        <f>CA706-CA700</f>
        <v>392992</v>
      </c>
      <c r="CB707" s="98">
        <f t="shared" si="4226"/>
        <v>1.011939185976285</v>
      </c>
      <c r="CC707" s="118">
        <f>CC706-CC700</f>
        <v>393331</v>
      </c>
      <c r="CD707" s="98">
        <f t="shared" si="4227"/>
        <v>-0.44571897178378173</v>
      </c>
      <c r="CE707" s="118">
        <f>CE706-CE700</f>
        <v>408505</v>
      </c>
      <c r="CF707" s="98">
        <f t="shared" si="4228"/>
        <v>4.1042303771661626</v>
      </c>
      <c r="CG707" s="118">
        <f>CG706-CG700</f>
        <v>419893</v>
      </c>
      <c r="CH707" s="98">
        <f t="shared" si="4229"/>
        <v>7.027372853490621</v>
      </c>
      <c r="CI707" s="118">
        <f>CI706-CI700</f>
        <v>441041</v>
      </c>
      <c r="CJ707" s="98">
        <f t="shared" si="4230"/>
        <v>12.226457536031266</v>
      </c>
      <c r="CK707" s="118">
        <f>CK706-CK700</f>
        <v>546768</v>
      </c>
      <c r="CL707" s="98">
        <f t="shared" si="4231"/>
        <v>39.009638192768946</v>
      </c>
      <c r="CM707" s="118">
        <f>CM706-CM700</f>
        <v>551319</v>
      </c>
      <c r="CN707" s="98">
        <f t="shared" si="4232"/>
        <v>34.960159606369558</v>
      </c>
      <c r="CO707" s="118">
        <f>CO706-CO700</f>
        <v>562558</v>
      </c>
      <c r="CP707" s="98">
        <f t="shared" si="4233"/>
        <v>33.9765130640425</v>
      </c>
      <c r="CQ707" s="510">
        <f>CQ706-CQ700</f>
        <v>583565</v>
      </c>
      <c r="CR707" s="98">
        <f t="shared" si="4233"/>
        <v>32.315362970789565</v>
      </c>
      <c r="CS707" s="118">
        <f>CS706-CS700</f>
        <v>587120</v>
      </c>
      <c r="CT707" s="98">
        <f t="shared" si="4233"/>
        <v>7.3800953969508143</v>
      </c>
      <c r="CU707" s="118">
        <f>CU706-CU700</f>
        <v>590363</v>
      </c>
      <c r="CV707" s="98">
        <f t="shared" si="4234"/>
        <v>7.0819253463058507</v>
      </c>
      <c r="CW707" s="118">
        <f>CW706-CW700</f>
        <v>596135</v>
      </c>
      <c r="CX707" s="98">
        <f t="shared" si="4235"/>
        <v>5.9686290124751684</v>
      </c>
      <c r="CY707" s="118">
        <f>CY706-CY700</f>
        <v>597587</v>
      </c>
      <c r="CZ707" s="98">
        <f t="shared" si="4236"/>
        <v>2.4028171668965648</v>
      </c>
      <c r="DA707" s="118">
        <f>DA706-DA700</f>
        <v>589991</v>
      </c>
      <c r="DB707" s="98">
        <f t="shared" si="4237"/>
        <v>0.48899713857473159</v>
      </c>
      <c r="DC707" s="118">
        <f>DC706-DC700</f>
        <v>581885</v>
      </c>
      <c r="DD707" s="98">
        <f t="shared" si="4238"/>
        <v>-1.4360656070925848</v>
      </c>
      <c r="DE707" s="118">
        <f>DE706-DE700</f>
        <v>563887</v>
      </c>
      <c r="DF707" s="98">
        <f t="shared" si="4239"/>
        <v>-5.409512945893125</v>
      </c>
      <c r="DG707" s="118">
        <f>DG706-DG700</f>
        <v>562293</v>
      </c>
      <c r="DH707" s="98">
        <f t="shared" si="4240"/>
        <v>-5.906085641086567</v>
      </c>
      <c r="DI707" s="118">
        <f>DI706-DI700</f>
        <v>561332</v>
      </c>
      <c r="DJ707" s="98">
        <f t="shared" si="4241"/>
        <v>-4.8575317250602161</v>
      </c>
      <c r="DK707" s="118">
        <f>DK706-DK700</f>
        <v>564411</v>
      </c>
      <c r="DL707" s="98">
        <f t="shared" si="4242"/>
        <v>-3.0029988743480285</v>
      </c>
      <c r="DM707" s="118">
        <f>DM706-DM700</f>
        <v>573346</v>
      </c>
      <c r="DN707" s="98">
        <f t="shared" si="4243"/>
        <v>1.6774637471691944</v>
      </c>
      <c r="DO707" s="118">
        <f>DO706-DO700</f>
        <v>575995</v>
      </c>
      <c r="DP707" s="98">
        <f t="shared" si="4243"/>
        <v>2.4368078564022566</v>
      </c>
      <c r="DQ707" s="118">
        <f>DQ706-DQ700</f>
        <v>571391</v>
      </c>
      <c r="DR707" s="98">
        <f t="shared" si="4243"/>
        <v>1.7919876294242965</v>
      </c>
      <c r="DS707" s="118">
        <f>DS706-DS700</f>
        <v>579551</v>
      </c>
      <c r="DT707" s="98">
        <f t="shared" si="4243"/>
        <v>2.6824424045597928</v>
      </c>
      <c r="DU707" s="118">
        <f>DU706-DU700</f>
        <v>568275</v>
      </c>
      <c r="DV707" s="98">
        <f t="shared" si="4243"/>
        <v>-0.88445720385247339</v>
      </c>
      <c r="DW707" s="118">
        <f>DW706-DW700</f>
        <v>571746</v>
      </c>
      <c r="DX707" s="98">
        <f t="shared" si="4243"/>
        <v>-0.73768001458346388</v>
      </c>
      <c r="DY707" s="118">
        <f>DY706-DY700</f>
        <v>566614</v>
      </c>
      <c r="DZ707" s="98">
        <f t="shared" si="4243"/>
        <v>-0.83602996897046422</v>
      </c>
      <c r="EA707" s="118">
        <f>EA706-EA700</f>
        <v>709660</v>
      </c>
      <c r="EB707" s="98">
        <f t="shared" si="4244"/>
        <v>22.449965576799968</v>
      </c>
      <c r="EC707" s="118">
        <f>EC706-EC700</f>
        <v>727707</v>
      </c>
      <c r="ED707" s="98">
        <f t="shared" si="4245"/>
        <v>28.05543090933087</v>
      </c>
      <c r="EE707" s="118">
        <f>EE706-EE700</f>
        <v>734939</v>
      </c>
      <c r="EF707" s="860">
        <f t="shared" si="4246"/>
        <v>28.542919408268695</v>
      </c>
      <c r="EG707" s="118">
        <f>EG706-EG700</f>
        <v>692527</v>
      </c>
      <c r="EH707" s="860">
        <f t="shared" si="4247"/>
        <v>22.222006515899718</v>
      </c>
      <c r="EI707" s="118">
        <f>EI706-EI700</f>
        <v>701293</v>
      </c>
      <c r="EJ707" s="860">
        <f t="shared" si="4248"/>
        <v>-1.1790153031028927</v>
      </c>
      <c r="EK707" s="792">
        <f>EK706-EK700</f>
        <v>707195</v>
      </c>
      <c r="EL707" s="860">
        <f t="shared" si="4249"/>
        <v>-2.8187168736867996</v>
      </c>
      <c r="EM707" s="792">
        <f>EM706-EM700</f>
        <v>505651</v>
      </c>
      <c r="EN707" s="860">
        <f t="shared" si="4250"/>
        <v>-31.198235499816995</v>
      </c>
      <c r="EO707" s="792">
        <f>EO706-EO700</f>
        <v>503074</v>
      </c>
      <c r="EP707" s="98">
        <f t="shared" si="4251"/>
        <v>-27.356767317375351</v>
      </c>
      <c r="EQ707" s="840">
        <f t="shared" ref="EQ707" si="4317">EQ706-EQ700</f>
        <v>506705.99559999991</v>
      </c>
      <c r="ER707" s="98">
        <f t="shared" si="4253"/>
        <v>-27.746891014169549</v>
      </c>
      <c r="ES707" s="840">
        <f t="shared" ref="ES707" si="4318">ES706-ES700</f>
        <v>510364.64825807989</v>
      </c>
      <c r="ET707" s="98">
        <f t="shared" si="4255"/>
        <v>-27.832542897209411</v>
      </c>
      <c r="EU707" s="840">
        <f t="shared" ref="EU707" si="4319">EU706-EU700</f>
        <v>514050.15883711481</v>
      </c>
      <c r="EV707" s="98">
        <f t="shared" si="4257"/>
        <v>1.6610584844319209</v>
      </c>
      <c r="EW707" s="840">
        <f t="shared" ref="EW707" si="4320">EW706-EW700</f>
        <v>517762.72976179601</v>
      </c>
      <c r="EX707" s="98">
        <f t="shared" si="4259"/>
        <v>2.9197950523771832</v>
      </c>
      <c r="EY707" s="349"/>
      <c r="EZ707" s="594"/>
      <c r="FA707" s="405"/>
      <c r="FB707" s="349">
        <f>FB706-FB700</f>
        <v>155894</v>
      </c>
      <c r="FC707" s="98"/>
      <c r="FD707" s="349">
        <f>FD706-FD700</f>
        <v>162483</v>
      </c>
      <c r="FE707" s="98">
        <f t="shared" si="4260"/>
        <v>4.226589862342367</v>
      </c>
      <c r="FF707" s="349">
        <f>FF706-FF700</f>
        <v>183721</v>
      </c>
      <c r="FG707" s="98">
        <f t="shared" si="4261"/>
        <v>13.070905879384309</v>
      </c>
      <c r="FH707" s="349">
        <f>FH706-FH700</f>
        <v>192583</v>
      </c>
      <c r="FI707" s="98">
        <f t="shared" si="4263"/>
        <v>4.8236184214107247</v>
      </c>
      <c r="FJ707" s="349">
        <f>FJ706-FJ700</f>
        <v>215726</v>
      </c>
      <c r="FK707" s="98">
        <f t="shared" si="4264"/>
        <v>12.017156239128068</v>
      </c>
      <c r="FL707" s="349">
        <f>FL706-FL700</f>
        <v>248293</v>
      </c>
      <c r="FM707" s="98">
        <f t="shared" si="4265"/>
        <v>15.096464960180977</v>
      </c>
      <c r="FN707" s="349">
        <f>FN706-FN700</f>
        <v>267083</v>
      </c>
      <c r="FO707" s="98">
        <f t="shared" si="4267"/>
        <v>7.5676720648588658</v>
      </c>
      <c r="FP707" s="349">
        <f>FP706-FP700</f>
        <v>351437</v>
      </c>
      <c r="FQ707" s="98">
        <f t="shared" si="4269"/>
        <v>31.583440353747715</v>
      </c>
      <c r="FR707" s="349">
        <f>FR706-FR700</f>
        <v>382232</v>
      </c>
      <c r="FS707" s="98">
        <f t="shared" si="4271"/>
        <v>8.7625947182567554</v>
      </c>
      <c r="FT707" s="349">
        <f>FT706-FT700</f>
        <v>397916</v>
      </c>
      <c r="FU707" s="98">
        <f t="shared" si="4273"/>
        <v>4.1032671257246855</v>
      </c>
      <c r="FV707" s="349">
        <f>FV706-FV700</f>
        <v>395092</v>
      </c>
      <c r="FW707" s="98">
        <f t="shared" si="4275"/>
        <v>-0.70969752410056097</v>
      </c>
      <c r="FX707" s="510">
        <f>FX706-FX700</f>
        <v>393331</v>
      </c>
      <c r="FY707" s="98">
        <f t="shared" si="4277"/>
        <v>-0.44571897178378173</v>
      </c>
      <c r="FZ707" s="349">
        <f>FZ706-FZ700</f>
        <v>546768</v>
      </c>
      <c r="GA707" s="98">
        <f t="shared" si="4279"/>
        <v>39.009638192768946</v>
      </c>
      <c r="GB707" s="510">
        <f>GB706-GB700</f>
        <v>587120</v>
      </c>
      <c r="GC707" s="98">
        <f t="shared" si="4281"/>
        <v>7.3800953969508143</v>
      </c>
      <c r="GD707" s="349">
        <f>GD706-GD700</f>
        <v>589991</v>
      </c>
      <c r="GE707" s="98">
        <f t="shared" si="4283"/>
        <v>0.48899713857473159</v>
      </c>
      <c r="GF707" s="349">
        <f>GF706-GF700</f>
        <v>561332</v>
      </c>
      <c r="GG707" s="98">
        <f t="shared" si="4283"/>
        <v>-4.8575317250602161</v>
      </c>
      <c r="GH707" s="349">
        <f>GH706-GH700</f>
        <v>571391</v>
      </c>
      <c r="GI707" s="98">
        <f t="shared" si="4283"/>
        <v>1.7919876294242965</v>
      </c>
      <c r="GJ707" s="349">
        <f>GJ706-GJ700</f>
        <v>566614</v>
      </c>
      <c r="GK707" s="98">
        <f t="shared" si="4283"/>
        <v>-0.83602996897046422</v>
      </c>
      <c r="GL707" s="349">
        <f>GL706-GL700</f>
        <v>692527</v>
      </c>
      <c r="GM707" s="98">
        <f t="shared" si="4283"/>
        <v>22.222006515899718</v>
      </c>
      <c r="GN707" s="349">
        <f>GN706-GN700</f>
        <v>503074</v>
      </c>
      <c r="GO707" s="98">
        <f t="shared" si="4283"/>
        <v>-27.356767317375351</v>
      </c>
      <c r="GP707" s="349">
        <f>GP706-GP700</f>
        <v>517762.72976179601</v>
      </c>
      <c r="GQ707" s="98">
        <f t="shared" si="4283"/>
        <v>2.9197950523771832</v>
      </c>
      <c r="GR707" s="349">
        <f>GR706-GR700</f>
        <v>532355.48165454925</v>
      </c>
      <c r="GS707" s="98">
        <f t="shared" si="4283"/>
        <v>2.8184245512354433</v>
      </c>
      <c r="GT707" s="349">
        <f>GT706-GT700</f>
        <v>547392.70277705707</v>
      </c>
      <c r="GU707" s="98">
        <f t="shared" si="4283"/>
        <v>2.8246578913346587</v>
      </c>
      <c r="GV707" s="349">
        <f>GV706-GV700</f>
        <v>562889.48738168436</v>
      </c>
      <c r="GW707" s="98">
        <f t="shared" si="4283"/>
        <v>2.8310177548966697</v>
      </c>
      <c r="GX707" s="349">
        <f>GX706-GX700</f>
        <v>578861.50620318775</v>
      </c>
      <c r="GY707" s="98">
        <f t="shared" si="4290"/>
        <v>2.8375052616097296</v>
      </c>
      <c r="GZ707" s="98">
        <f t="shared" si="4291"/>
        <v>2.8462733392891737</v>
      </c>
      <c r="HA707" s="98"/>
      <c r="HB707" s="10"/>
      <c r="HC707"/>
      <c r="HD707"/>
      <c r="HE707"/>
      <c r="HF707"/>
      <c r="HG707"/>
      <c r="HH707"/>
      <c r="HI707" s="10"/>
    </row>
    <row r="708" spans="1:217" s="2" customFormat="1" ht="12.75" customHeight="1" x14ac:dyDescent="0.2">
      <c r="B708" s="179"/>
      <c r="C708" s="349"/>
      <c r="D708" s="98"/>
      <c r="E708" s="349"/>
      <c r="F708" s="98"/>
      <c r="G708" s="349"/>
      <c r="H708" s="98"/>
      <c r="I708" s="349"/>
      <c r="J708" s="98"/>
      <c r="K708" s="349"/>
      <c r="L708" s="98"/>
      <c r="M708" s="349"/>
      <c r="N708" s="98"/>
      <c r="O708" s="349"/>
      <c r="P708" s="98"/>
      <c r="Q708" s="349"/>
      <c r="R708" s="98"/>
      <c r="S708" s="349"/>
      <c r="T708" s="98"/>
      <c r="U708" s="349"/>
      <c r="V708" s="98"/>
      <c r="W708" s="349"/>
      <c r="X708" s="98"/>
      <c r="Y708" s="349"/>
      <c r="Z708" s="98"/>
      <c r="AA708" s="349"/>
      <c r="AB708" s="98"/>
      <c r="AC708" s="349"/>
      <c r="AD708" s="98"/>
      <c r="AE708" s="349"/>
      <c r="AF708" s="98"/>
      <c r="AG708" s="349"/>
      <c r="AH708" s="98"/>
      <c r="AI708" s="118"/>
      <c r="AJ708" s="98"/>
      <c r="AK708" s="118"/>
      <c r="AL708" s="98"/>
      <c r="AM708" s="118"/>
      <c r="AN708" s="98"/>
      <c r="AO708" s="118"/>
      <c r="AP708" s="98"/>
      <c r="AQ708" s="118"/>
      <c r="AR708" s="98"/>
      <c r="AS708" s="118"/>
      <c r="AT708" s="98"/>
      <c r="AU708" s="118"/>
      <c r="AV708" s="98"/>
      <c r="AW708" s="118"/>
      <c r="AX708" s="98"/>
      <c r="AY708" s="118"/>
      <c r="AZ708" s="98"/>
      <c r="BA708" s="118"/>
      <c r="BB708" s="98"/>
      <c r="BC708" s="118"/>
      <c r="BD708" s="98"/>
      <c r="BE708" s="118"/>
      <c r="BF708" s="98"/>
      <c r="BG708" s="118"/>
      <c r="BH708" s="98"/>
      <c r="BI708" s="118"/>
      <c r="BJ708" s="98"/>
      <c r="BK708" s="118"/>
      <c r="BL708" s="98"/>
      <c r="BM708" s="118"/>
      <c r="BN708" s="98"/>
      <c r="BO708" s="118"/>
      <c r="BP708" s="98"/>
      <c r="BQ708" s="118"/>
      <c r="BR708" s="98"/>
      <c r="BS708" s="118"/>
      <c r="BT708" s="98"/>
      <c r="BU708" s="118"/>
      <c r="BV708" s="98"/>
      <c r="BW708" s="118"/>
      <c r="BX708" s="98"/>
      <c r="BY708" s="118"/>
      <c r="BZ708" s="98"/>
      <c r="CA708" s="118"/>
      <c r="CB708" s="98"/>
      <c r="CC708" s="118"/>
      <c r="CD708" s="98"/>
      <c r="CE708" s="118"/>
      <c r="CF708" s="98"/>
      <c r="CG708" s="118"/>
      <c r="CH708" s="98"/>
      <c r="CI708" s="118"/>
      <c r="CJ708" s="98"/>
      <c r="CK708" s="118"/>
      <c r="CL708" s="98"/>
      <c r="CM708" s="118"/>
      <c r="CN708" s="98"/>
      <c r="CO708" s="118"/>
      <c r="CP708" s="98"/>
      <c r="CQ708" s="510"/>
      <c r="CR708" s="98"/>
      <c r="CS708" s="118"/>
      <c r="CT708" s="98"/>
      <c r="CU708" s="118"/>
      <c r="CV708" s="98"/>
      <c r="CW708" s="118"/>
      <c r="CX708" s="98"/>
      <c r="CY708" s="118"/>
      <c r="CZ708" s="98"/>
      <c r="DA708" s="118"/>
      <c r="DB708" s="98"/>
      <c r="DC708" s="118"/>
      <c r="DD708" s="98"/>
      <c r="DE708" s="118"/>
      <c r="DF708" s="98"/>
      <c r="DG708" s="118"/>
      <c r="DH708" s="98"/>
      <c r="DI708" s="118"/>
      <c r="DJ708" s="98"/>
      <c r="DK708" s="118"/>
      <c r="DL708" s="98"/>
      <c r="DM708" s="118"/>
      <c r="DN708" s="98"/>
      <c r="DO708" s="118"/>
      <c r="DP708" s="98"/>
      <c r="DQ708" s="118"/>
      <c r="DR708" s="98"/>
      <c r="DS708" s="118"/>
      <c r="DT708" s="98"/>
      <c r="DU708" s="118"/>
      <c r="DV708" s="98"/>
      <c r="DW708" s="118"/>
      <c r="DX708" s="98"/>
      <c r="DY708" s="118"/>
      <c r="DZ708" s="98"/>
      <c r="EA708" s="118"/>
      <c r="EB708" s="98"/>
      <c r="EC708" s="118"/>
      <c r="ED708" s="98"/>
      <c r="EE708" s="118"/>
      <c r="EF708" s="860"/>
      <c r="EG708" s="118"/>
      <c r="EH708" s="860"/>
      <c r="EI708" s="118"/>
      <c r="EJ708" s="860"/>
      <c r="EK708" s="792"/>
      <c r="EL708" s="860"/>
      <c r="EM708" s="792"/>
      <c r="EN708" s="860"/>
      <c r="EO708" s="792"/>
      <c r="EP708" s="98"/>
      <c r="EQ708" s="840"/>
      <c r="ER708" s="98"/>
      <c r="ES708" s="840"/>
      <c r="ET708" s="98"/>
      <c r="EU708" s="840"/>
      <c r="EV708" s="98"/>
      <c r="EW708" s="840"/>
      <c r="EX708" s="98"/>
      <c r="EY708" s="349"/>
      <c r="EZ708" s="594"/>
      <c r="FA708" s="405"/>
      <c r="FB708" s="349"/>
      <c r="FC708" s="98"/>
      <c r="FD708" s="349"/>
      <c r="FE708" s="98"/>
      <c r="FF708" s="349"/>
      <c r="FG708" s="98"/>
      <c r="FH708" s="349"/>
      <c r="FI708" s="98"/>
      <c r="FJ708" s="349"/>
      <c r="FK708" s="98"/>
      <c r="FL708" s="349"/>
      <c r="FM708" s="98"/>
      <c r="FN708" s="349"/>
      <c r="FO708" s="98"/>
      <c r="FP708" s="349"/>
      <c r="FQ708" s="98"/>
      <c r="FR708" s="349"/>
      <c r="FS708" s="98"/>
      <c r="FT708" s="349"/>
      <c r="FU708" s="98"/>
      <c r="FV708" s="349"/>
      <c r="FW708" s="98"/>
      <c r="FX708" s="510"/>
      <c r="FY708" s="98"/>
      <c r="FZ708" s="349"/>
      <c r="GA708" s="98"/>
      <c r="GB708" s="510"/>
      <c r="GC708" s="98"/>
      <c r="GD708" s="349"/>
      <c r="GE708" s="98"/>
      <c r="GF708" s="349"/>
      <c r="GG708" s="98"/>
      <c r="GH708" s="349"/>
      <c r="GI708" s="98"/>
      <c r="GJ708" s="349"/>
      <c r="GK708" s="98"/>
      <c r="GL708" s="349"/>
      <c r="GM708" s="98"/>
      <c r="GN708" s="349"/>
      <c r="GO708" s="98"/>
      <c r="GP708" s="349"/>
      <c r="GQ708" s="98"/>
      <c r="GR708" s="349"/>
      <c r="GS708" s="98"/>
      <c r="GT708" s="349"/>
      <c r="GU708" s="98"/>
      <c r="GV708" s="349"/>
      <c r="GW708" s="98"/>
      <c r="GX708" s="349"/>
      <c r="GY708" s="98"/>
      <c r="GZ708" s="98"/>
      <c r="HA708" s="98"/>
      <c r="HB708" s="10"/>
      <c r="HC708"/>
      <c r="HD708"/>
      <c r="HE708"/>
      <c r="HF708"/>
      <c r="HG708"/>
      <c r="HH708"/>
      <c r="HI708" s="10"/>
    </row>
    <row r="709" spans="1:217" s="2" customFormat="1" ht="12.75" hidden="1" customHeight="1" outlineLevel="1" x14ac:dyDescent="0.2">
      <c r="A709" s="2" t="s">
        <v>238</v>
      </c>
      <c r="B709" s="384" t="s">
        <v>177</v>
      </c>
      <c r="C709" s="349"/>
      <c r="D709" s="98"/>
      <c r="E709" s="349"/>
      <c r="F709" s="98"/>
      <c r="G709" s="349"/>
      <c r="H709" s="98"/>
      <c r="I709" s="349"/>
      <c r="J709" s="98"/>
      <c r="K709" s="349"/>
      <c r="L709" s="98"/>
      <c r="M709" s="349"/>
      <c r="N709" s="98"/>
      <c r="O709" s="349"/>
      <c r="P709" s="98"/>
      <c r="Q709" s="349"/>
      <c r="R709" s="98"/>
      <c r="S709" s="358">
        <f>(S710/118236)*100</f>
        <v>8.3257214384789737</v>
      </c>
      <c r="T709" s="98"/>
      <c r="U709" s="358">
        <f>(U710/123796)*100</f>
        <v>8.5697437720120195</v>
      </c>
      <c r="V709" s="98"/>
      <c r="W709" s="358">
        <f>(W710/132906)*100</f>
        <v>7.9266549290475981</v>
      </c>
      <c r="X709" s="98"/>
      <c r="Y709" s="358">
        <f>(Y710/140288)*100</f>
        <v>8.0448791058394153</v>
      </c>
      <c r="Z709" s="98"/>
      <c r="AA709" s="358">
        <f>(AA710/144341)*100</f>
        <v>8.4258803804878735</v>
      </c>
      <c r="AB709" s="98"/>
      <c r="AC709" s="358">
        <f>(AC710/158822)*100</f>
        <v>7.9258541008172676</v>
      </c>
      <c r="AD709" s="98"/>
      <c r="AE709" s="358">
        <f>(AE710/159940)*100</f>
        <v>8.0067525321995756</v>
      </c>
      <c r="AF709" s="98"/>
      <c r="AG709" s="358">
        <f>(AG710/167752)*100</f>
        <v>7.6452143640612329</v>
      </c>
      <c r="AH709" s="98"/>
      <c r="AI709" s="80">
        <f>(AI710/174100)*100</f>
        <v>7.207926479035037</v>
      </c>
      <c r="AJ709" s="98"/>
      <c r="AK709" s="80">
        <f>(AK710/174100)*100</f>
        <v>7.0155083285468125</v>
      </c>
      <c r="AL709" s="98"/>
      <c r="AM709" s="80">
        <f>(AM710/176075)*100</f>
        <v>6.8993326707369018</v>
      </c>
      <c r="AN709" s="98"/>
      <c r="AO709" s="80">
        <f>(AO710/176746)*100</f>
        <v>6.9891256379210844</v>
      </c>
      <c r="AP709" s="98"/>
      <c r="AQ709" s="80">
        <f>(AQ710/182355)*100</f>
        <v>6.8010199884840015</v>
      </c>
      <c r="AR709" s="98"/>
      <c r="AS709" s="80">
        <f>(AS710/185021)*100</f>
        <v>6.8835429491787421</v>
      </c>
      <c r="AT709" s="98"/>
      <c r="AU709" s="80">
        <f>(AU710/231614)*100</f>
        <v>6.7534777690467758</v>
      </c>
      <c r="AV709" s="98"/>
      <c r="AW709" s="80">
        <f>(AW710/229858)*100</f>
        <v>6.5940711221710799</v>
      </c>
      <c r="AX709" s="98"/>
      <c r="AY709" s="80">
        <f>(AY710/238140)*100</f>
        <v>6.4592256655748717</v>
      </c>
      <c r="AZ709" s="98"/>
      <c r="BA709" s="80">
        <f>(BA710/238741)*100</f>
        <v>7.0968120264219374</v>
      </c>
      <c r="BB709" s="98"/>
      <c r="BC709" s="80">
        <f>(BC710/238741)*100</f>
        <v>7.0968120264219374</v>
      </c>
      <c r="BD709" s="98"/>
      <c r="BE709" s="80">
        <f>(BE710/243426)*100</f>
        <v>7.1150986336710131</v>
      </c>
      <c r="BF709" s="98"/>
      <c r="BG709" s="80">
        <f>(BG710/247916)*100</f>
        <v>7.0511786250181512</v>
      </c>
      <c r="BH709" s="98"/>
      <c r="BI709" s="80">
        <f>(BI710/251044)*100</f>
        <v>7.128630837622091</v>
      </c>
      <c r="BJ709" s="98"/>
      <c r="BK709" s="80">
        <f>4.5+2.9+0.2</f>
        <v>7.6000000000000005</v>
      </c>
      <c r="BL709" s="98"/>
      <c r="BM709" s="80">
        <f>(BM710/232844)*100</f>
        <v>7.4805449141914755</v>
      </c>
      <c r="BN709" s="98"/>
      <c r="BO709" s="80">
        <f>4.5+2.3+0.39</f>
        <v>7.1899999999999995</v>
      </c>
      <c r="BP709" s="98"/>
      <c r="BQ709" s="80">
        <f>4.1+2.3+0.3</f>
        <v>6.6999999999999993</v>
      </c>
      <c r="BR709" s="98"/>
      <c r="BS709" s="80">
        <f>4.1+2.2+0.3</f>
        <v>6.6</v>
      </c>
      <c r="BT709" s="98"/>
      <c r="BU709" s="80">
        <f>4.1+2+0.4</f>
        <v>6.5</v>
      </c>
      <c r="BV709" s="98"/>
      <c r="BW709" s="80">
        <f>4.5+2.3+0.39</f>
        <v>7.1899999999999995</v>
      </c>
      <c r="BX709" s="98"/>
      <c r="BY709" s="80">
        <v>8.6</v>
      </c>
      <c r="BZ709" s="98"/>
      <c r="CA709" s="80">
        <f>0.1+2.4+2.7+4.4</f>
        <v>9.6000000000000014</v>
      </c>
      <c r="CB709" s="98"/>
      <c r="CC709" s="80">
        <f>CC710/227642*100</f>
        <v>8.8740214898832388</v>
      </c>
      <c r="CD709" s="98"/>
      <c r="CE709" s="80">
        <f>0.5+0.1+2.9+5.1</f>
        <v>8.6</v>
      </c>
      <c r="CF709" s="98"/>
      <c r="CG709" s="80">
        <f>5.2+2.8+0.5</f>
        <v>8.5</v>
      </c>
      <c r="CH709" s="98"/>
      <c r="CI709" s="80">
        <f>5.1+2.7+0.3+0.1</f>
        <v>8.1999999999999993</v>
      </c>
      <c r="CJ709" s="98"/>
      <c r="CK709" s="80"/>
      <c r="CL709" s="98"/>
      <c r="CM709" s="80"/>
      <c r="CN709" s="98"/>
      <c r="CO709" s="80"/>
      <c r="CP709" s="98"/>
      <c r="CQ709" s="553"/>
      <c r="CR709" s="98"/>
      <c r="CS709" s="80"/>
      <c r="CT709" s="98"/>
      <c r="CU709" s="80"/>
      <c r="CV709" s="98"/>
      <c r="CW709" s="80"/>
      <c r="CX709" s="98"/>
      <c r="CY709" s="80"/>
      <c r="CZ709" s="98"/>
      <c r="DA709" s="80"/>
      <c r="DB709" s="98"/>
      <c r="DC709" s="80"/>
      <c r="DD709" s="98"/>
      <c r="DE709" s="80"/>
      <c r="DF709" s="98"/>
      <c r="DG709" s="80"/>
      <c r="DH709" s="98"/>
      <c r="DI709" s="80"/>
      <c r="DJ709" s="98"/>
      <c r="DK709" s="80"/>
      <c r="DL709" s="98"/>
      <c r="DM709" s="80"/>
      <c r="DN709" s="98"/>
      <c r="DO709" s="80"/>
      <c r="DP709" s="98"/>
      <c r="DQ709" s="80"/>
      <c r="DR709" s="98"/>
      <c r="DS709" s="80"/>
      <c r="DT709" s="98"/>
      <c r="DU709" s="80"/>
      <c r="DV709" s="98"/>
      <c r="DW709" s="80"/>
      <c r="DX709" s="98"/>
      <c r="DY709" s="80"/>
      <c r="DZ709" s="98"/>
      <c r="EA709" s="80"/>
      <c r="EB709" s="98"/>
      <c r="EC709" s="80"/>
      <c r="ED709" s="98"/>
      <c r="EE709" s="80"/>
      <c r="EF709" s="860"/>
      <c r="EG709" s="80"/>
      <c r="EH709" s="860"/>
      <c r="EI709" s="80"/>
      <c r="EJ709" s="860"/>
      <c r="EK709" s="1026"/>
      <c r="EL709" s="860"/>
      <c r="EM709" s="1026"/>
      <c r="EN709" s="860"/>
      <c r="EO709" s="1026"/>
      <c r="EP709" s="98"/>
      <c r="EQ709" s="840"/>
      <c r="ER709" s="98"/>
      <c r="ES709" s="840"/>
      <c r="ET709" s="98"/>
      <c r="EU709" s="840"/>
      <c r="EV709" s="98"/>
      <c r="EW709" s="840"/>
      <c r="EX709" s="98"/>
      <c r="EY709" s="349"/>
      <c r="EZ709" s="594"/>
      <c r="FA709" s="405"/>
      <c r="FB709" s="349"/>
      <c r="FC709" s="98"/>
      <c r="FD709" s="349"/>
      <c r="FE709" s="98"/>
      <c r="FF709" s="349"/>
      <c r="FG709" s="98"/>
      <c r="FH709" s="349"/>
      <c r="FI709" s="98"/>
      <c r="FJ709" s="349"/>
      <c r="FK709" s="98"/>
      <c r="FL709" s="349"/>
      <c r="FM709" s="98"/>
      <c r="FN709" s="349"/>
      <c r="FO709" s="98"/>
      <c r="FP709" s="349"/>
      <c r="FQ709" s="98"/>
      <c r="FR709" s="349"/>
      <c r="FS709" s="98"/>
      <c r="FT709" s="349"/>
      <c r="FU709" s="98"/>
      <c r="FV709" s="349"/>
      <c r="FW709" s="98"/>
      <c r="FX709" s="510"/>
      <c r="FY709" s="98"/>
      <c r="FZ709" s="349"/>
      <c r="GA709" s="98"/>
      <c r="GB709" s="510"/>
      <c r="GC709" s="98"/>
      <c r="GD709" s="349"/>
      <c r="GE709" s="98"/>
      <c r="GF709" s="349"/>
      <c r="GG709" s="98"/>
      <c r="GH709" s="349"/>
      <c r="GI709" s="98"/>
      <c r="GJ709" s="349"/>
      <c r="GK709" s="98"/>
      <c r="GL709" s="349"/>
      <c r="GM709" s="98"/>
      <c r="GN709" s="349"/>
      <c r="GO709" s="98"/>
      <c r="GP709" s="349"/>
      <c r="GQ709" s="98"/>
      <c r="GR709" s="349"/>
      <c r="GS709" s="98"/>
      <c r="GT709" s="349"/>
      <c r="GU709" s="98"/>
      <c r="GV709" s="349"/>
      <c r="GW709" s="98"/>
      <c r="GX709" s="349"/>
      <c r="GY709" s="98"/>
      <c r="GZ709" s="98"/>
      <c r="HA709" s="98"/>
      <c r="HB709" s="10"/>
      <c r="HC709"/>
      <c r="HD709"/>
      <c r="HE709"/>
      <c r="HF709"/>
      <c r="HG709"/>
      <c r="HH709"/>
      <c r="HI709" s="10"/>
    </row>
    <row r="710" spans="1:217" s="2" customFormat="1" ht="12.75" hidden="1" customHeight="1" outlineLevel="1" x14ac:dyDescent="0.2">
      <c r="A710" s="2" t="s">
        <v>239</v>
      </c>
      <c r="B710" s="384" t="s">
        <v>41</v>
      </c>
      <c r="C710" s="349"/>
      <c r="D710" s="98"/>
      <c r="E710" s="349"/>
      <c r="F710" s="98"/>
      <c r="G710" s="349"/>
      <c r="H710" s="98"/>
      <c r="I710" s="349"/>
      <c r="J710" s="98"/>
      <c r="K710" s="349"/>
      <c r="L710" s="98"/>
      <c r="M710" s="349"/>
      <c r="N710" s="98"/>
      <c r="O710" s="349"/>
      <c r="P710" s="98"/>
      <c r="Q710" s="349"/>
      <c r="R710" s="98"/>
      <c r="S710" s="40">
        <f>5546+3409+625+264</f>
        <v>9844</v>
      </c>
      <c r="T710" s="98"/>
      <c r="U710" s="40">
        <f>6435+3275+671+228</f>
        <v>10609</v>
      </c>
      <c r="V710" s="98"/>
      <c r="W710" s="40">
        <f>6324+3096+840+275</f>
        <v>10535</v>
      </c>
      <c r="X710" s="98"/>
      <c r="Y710" s="40">
        <f>7304+3227+339+416</f>
        <v>11286</v>
      </c>
      <c r="Z710" s="98"/>
      <c r="AA710" s="40">
        <f>(7581+3441+626+514)</f>
        <v>12162</v>
      </c>
      <c r="AB710" s="98"/>
      <c r="AC710" s="40">
        <f>(7807+3645+629+507)</f>
        <v>12588</v>
      </c>
      <c r="AD710" s="98"/>
      <c r="AE710" s="40">
        <f>7963+3701+575+567</f>
        <v>12806</v>
      </c>
      <c r="AF710" s="98"/>
      <c r="AG710" s="40">
        <f>8011+3814+629+371</f>
        <v>12825</v>
      </c>
      <c r="AH710" s="98"/>
      <c r="AI710" s="121">
        <f>7731+3929+700+189</f>
        <v>12549</v>
      </c>
      <c r="AJ710" s="98"/>
      <c r="AK710" s="121">
        <f>7334+4086+583+211</f>
        <v>12214</v>
      </c>
      <c r="AL710" s="98"/>
      <c r="AM710" s="121">
        <f>7514+4073+443+118</f>
        <v>12148</v>
      </c>
      <c r="AN710" s="98"/>
      <c r="AO710" s="121">
        <f>7500+4397+366+90</f>
        <v>12353</v>
      </c>
      <c r="AP710" s="98"/>
      <c r="AQ710" s="121">
        <f>7392+4634+325+51</f>
        <v>12402</v>
      </c>
      <c r="AR710" s="98"/>
      <c r="AS710" s="121">
        <f>7476+4895+335+30</f>
        <v>12736</v>
      </c>
      <c r="AT710" s="98"/>
      <c r="AU710" s="121">
        <f>9665+5532+317+128</f>
        <v>15642</v>
      </c>
      <c r="AV710" s="98"/>
      <c r="AW710" s="121">
        <f>9142+5710+290+15</f>
        <v>15157</v>
      </c>
      <c r="AX710" s="98"/>
      <c r="AY710" s="121">
        <f>9145+5924+289+24</f>
        <v>15382</v>
      </c>
      <c r="AZ710" s="98"/>
      <c r="BA710" s="121">
        <f>9743+6751+429+20</f>
        <v>16943</v>
      </c>
      <c r="BB710" s="98"/>
      <c r="BC710" s="121">
        <f>9743+6751+429+20</f>
        <v>16943</v>
      </c>
      <c r="BD710" s="98"/>
      <c r="BE710" s="121">
        <f>9806+7123+375+16</f>
        <v>17320</v>
      </c>
      <c r="BF710" s="98"/>
      <c r="BG710" s="121">
        <f>9990+7046+428+17</f>
        <v>17481</v>
      </c>
      <c r="BH710" s="98"/>
      <c r="BI710" s="121">
        <f>10482+6965+432+17</f>
        <v>17896</v>
      </c>
      <c r="BJ710" s="98"/>
      <c r="BK710" s="121">
        <f>11058+7118+408+64</f>
        <v>18648</v>
      </c>
      <c r="BL710" s="98"/>
      <c r="BM710" s="121">
        <f>10540+6437+428+13</f>
        <v>17418</v>
      </c>
      <c r="BN710" s="98"/>
      <c r="BO710" s="121">
        <f>8697+4368+1734+80</f>
        <v>14879</v>
      </c>
      <c r="BP710" s="98"/>
      <c r="BQ710" s="121">
        <f>9367+5424+604+27</f>
        <v>15422</v>
      </c>
      <c r="BR710" s="98"/>
      <c r="BS710" s="121">
        <f>8786+4646+622+63</f>
        <v>14117</v>
      </c>
      <c r="BT710" s="98"/>
      <c r="BU710" s="121">
        <f>7796+3779+715+75</f>
        <v>12365</v>
      </c>
      <c r="BV710" s="98"/>
      <c r="BW710" s="121">
        <f>8697+4368+1734+80</f>
        <v>14879</v>
      </c>
      <c r="BX710" s="98"/>
      <c r="BY710" s="121">
        <f>9598+5717+2756+206</f>
        <v>18277</v>
      </c>
      <c r="BZ710" s="98"/>
      <c r="CA710" s="121">
        <f>9860+5927+5330+274</f>
        <v>21391</v>
      </c>
      <c r="CB710" s="98"/>
      <c r="CC710" s="121">
        <f>312+1425+6461+12003</f>
        <v>20201</v>
      </c>
      <c r="CD710" s="98"/>
      <c r="CE710" s="121">
        <f>151+1282+6937+12105</f>
        <v>20475</v>
      </c>
      <c r="CF710" s="98"/>
      <c r="CG710" s="121">
        <f>12773+6924+910+186</f>
        <v>20793</v>
      </c>
      <c r="CH710" s="98"/>
      <c r="CI710" s="121">
        <f>13289+7022+835+302</f>
        <v>21448</v>
      </c>
      <c r="CJ710" s="98"/>
      <c r="CK710" s="121"/>
      <c r="CL710" s="98"/>
      <c r="CM710" s="121"/>
      <c r="CN710" s="98"/>
      <c r="CO710" s="121"/>
      <c r="CP710" s="98"/>
      <c r="CQ710" s="557"/>
      <c r="CR710" s="98"/>
      <c r="CS710" s="121"/>
      <c r="CT710" s="98"/>
      <c r="CU710" s="121"/>
      <c r="CV710" s="98"/>
      <c r="CW710" s="121"/>
      <c r="CX710" s="98"/>
      <c r="CY710" s="121"/>
      <c r="CZ710" s="98"/>
      <c r="DA710" s="121"/>
      <c r="DB710" s="98"/>
      <c r="DC710" s="121"/>
      <c r="DD710" s="98"/>
      <c r="DE710" s="121"/>
      <c r="DF710" s="98"/>
      <c r="DG710" s="121"/>
      <c r="DH710" s="98"/>
      <c r="DI710" s="121"/>
      <c r="DJ710" s="98"/>
      <c r="DK710" s="121"/>
      <c r="DL710" s="98"/>
      <c r="DM710" s="121"/>
      <c r="DN710" s="98"/>
      <c r="DO710" s="121"/>
      <c r="DP710" s="98"/>
      <c r="DQ710" s="121"/>
      <c r="DR710" s="98"/>
      <c r="DS710" s="121"/>
      <c r="DT710" s="98"/>
      <c r="DU710" s="121"/>
      <c r="DV710" s="98"/>
      <c r="DW710" s="121"/>
      <c r="DX710" s="98"/>
      <c r="DY710" s="121"/>
      <c r="DZ710" s="98"/>
      <c r="EA710" s="121"/>
      <c r="EB710" s="98"/>
      <c r="EC710" s="121"/>
      <c r="ED710" s="98"/>
      <c r="EE710" s="121"/>
      <c r="EF710" s="860"/>
      <c r="EG710" s="121"/>
      <c r="EH710" s="860"/>
      <c r="EI710" s="121"/>
      <c r="EJ710" s="860"/>
      <c r="EK710" s="952"/>
      <c r="EL710" s="860"/>
      <c r="EM710" s="952"/>
      <c r="EN710" s="860"/>
      <c r="EO710" s="952"/>
      <c r="EP710" s="98"/>
      <c r="EQ710" s="840"/>
      <c r="ER710" s="98"/>
      <c r="ES710" s="840"/>
      <c r="ET710" s="98"/>
      <c r="EU710" s="840"/>
      <c r="EV710" s="98"/>
      <c r="EW710" s="840"/>
      <c r="EX710" s="98"/>
      <c r="EY710" s="349"/>
      <c r="EZ710" s="594"/>
      <c r="FA710" s="405"/>
      <c r="FB710" s="349"/>
      <c r="FC710" s="98"/>
      <c r="FD710" s="349"/>
      <c r="FE710" s="98"/>
      <c r="FF710" s="349"/>
      <c r="FG710" s="98"/>
      <c r="FH710" s="349"/>
      <c r="FI710" s="98"/>
      <c r="FJ710" s="349"/>
      <c r="FK710" s="98"/>
      <c r="FL710" s="349"/>
      <c r="FM710" s="98"/>
      <c r="FN710" s="349"/>
      <c r="FO710" s="98"/>
      <c r="FP710" s="349"/>
      <c r="FQ710" s="98"/>
      <c r="FR710" s="349"/>
      <c r="FS710" s="98"/>
      <c r="FT710" s="349"/>
      <c r="FU710" s="98"/>
      <c r="FV710" s="349"/>
      <c r="FW710" s="98"/>
      <c r="FX710" s="510"/>
      <c r="FY710" s="98"/>
      <c r="FZ710" s="349"/>
      <c r="GA710" s="98"/>
      <c r="GB710" s="510"/>
      <c r="GC710" s="98"/>
      <c r="GD710" s="349"/>
      <c r="GE710" s="98"/>
      <c r="GF710" s="349"/>
      <c r="GG710" s="98"/>
      <c r="GH710" s="349"/>
      <c r="GI710" s="98"/>
      <c r="GJ710" s="349"/>
      <c r="GK710" s="98"/>
      <c r="GL710" s="349"/>
      <c r="GM710" s="98"/>
      <c r="GN710" s="349"/>
      <c r="GO710" s="98"/>
      <c r="GP710" s="349"/>
      <c r="GQ710" s="98"/>
      <c r="GR710" s="349"/>
      <c r="GS710" s="98"/>
      <c r="GT710" s="349"/>
      <c r="GU710" s="98"/>
      <c r="GV710" s="349"/>
      <c r="GW710" s="98"/>
      <c r="GX710" s="349"/>
      <c r="GY710" s="98"/>
      <c r="GZ710" s="98"/>
      <c r="HA710" s="98"/>
      <c r="HB710" s="10"/>
      <c r="HC710"/>
      <c r="HD710"/>
      <c r="HE710"/>
      <c r="HF710"/>
      <c r="HG710"/>
      <c r="HH710"/>
      <c r="HI710" s="10"/>
    </row>
    <row r="711" spans="1:217" s="2" customFormat="1" ht="12.75" hidden="1" customHeight="1" outlineLevel="1" x14ac:dyDescent="0.2">
      <c r="A711" s="2" t="s">
        <v>240</v>
      </c>
      <c r="B711" s="384" t="s">
        <v>550</v>
      </c>
      <c r="C711" s="349"/>
      <c r="D711" s="98"/>
      <c r="E711" s="349"/>
      <c r="F711" s="98"/>
      <c r="G711" s="349"/>
      <c r="H711" s="98"/>
      <c r="I711" s="349"/>
      <c r="J711" s="98"/>
      <c r="K711" s="349"/>
      <c r="L711" s="98"/>
      <c r="M711" s="349"/>
      <c r="N711" s="98"/>
      <c r="O711" s="349"/>
      <c r="P711" s="98"/>
      <c r="Q711" s="349"/>
      <c r="R711" s="98"/>
      <c r="S711" s="289">
        <f>(S710/S733)*100</f>
        <v>67.992816687387759</v>
      </c>
      <c r="T711" s="98"/>
      <c r="U711" s="289">
        <f>(U710/U733)*100</f>
        <v>72.293015332197612</v>
      </c>
      <c r="V711" s="98"/>
      <c r="W711" s="289">
        <f>(W710/W733)*100</f>
        <v>70.40700394305955</v>
      </c>
      <c r="X711" s="98"/>
      <c r="Y711" s="289">
        <f>(Y710/Y733)*100</f>
        <v>73.39055793991416</v>
      </c>
      <c r="Z711" s="98"/>
      <c r="AA711" s="289">
        <f>(AA710/AA733)*100</f>
        <v>77.331976855089962</v>
      </c>
      <c r="AB711" s="98"/>
      <c r="AC711" s="289">
        <f>(AC710/AC733)*100</f>
        <v>72.691574753132755</v>
      </c>
      <c r="AD711" s="98"/>
      <c r="AE711" s="289">
        <f>(AE710/AE733)*100</f>
        <v>71.557890031291905</v>
      </c>
      <c r="AF711" s="98"/>
      <c r="AG711" s="289">
        <f>(AG710/AG733)*100</f>
        <v>69.864356921065536</v>
      </c>
      <c r="AH711" s="98"/>
      <c r="AI711" s="125">
        <f>(AI710/AI733)*100</f>
        <v>66.382776132035545</v>
      </c>
      <c r="AJ711" s="98"/>
      <c r="AK711" s="125">
        <f>(AK710/AK733)*100</f>
        <v>62.059854682180784</v>
      </c>
      <c r="AL711" s="98"/>
      <c r="AM711" s="125">
        <f>(AM710/AM733)*100</f>
        <v>60.195233140082259</v>
      </c>
      <c r="AN711" s="98"/>
      <c r="AO711" s="125">
        <f>(AO710/AO733)*100</f>
        <v>62.175357358566544</v>
      </c>
      <c r="AP711" s="98"/>
      <c r="AQ711" s="125">
        <f>(AQ710/AQ733)*100</f>
        <v>59.390862944162436</v>
      </c>
      <c r="AR711" s="98"/>
      <c r="AS711" s="125">
        <f>(AS710/AS733)*100</f>
        <v>55.256193327259318</v>
      </c>
      <c r="AT711" s="98"/>
      <c r="AU711" s="125">
        <f>(AU710/AU733)*100</f>
        <v>62.968479529809585</v>
      </c>
      <c r="AV711" s="98"/>
      <c r="AW711" s="125">
        <f>(AW710/AW733)*100</f>
        <v>60.273591283254468</v>
      </c>
      <c r="AX711" s="98"/>
      <c r="AY711" s="125">
        <f>(AY710/AY733)*100</f>
        <v>59.309812994023524</v>
      </c>
      <c r="AZ711" s="98"/>
      <c r="BA711" s="125">
        <f>(BA710/BA733)*100</f>
        <v>63.62373263236951</v>
      </c>
      <c r="BB711" s="98"/>
      <c r="BC711" s="125">
        <f>(BC710/BC733)*100</f>
        <v>61.208048842166107</v>
      </c>
      <c r="BD711" s="98"/>
      <c r="BE711" s="125">
        <f>(BE710/BE733)*100</f>
        <v>56.531105163522419</v>
      </c>
      <c r="BF711" s="98"/>
      <c r="BG711" s="125">
        <f>(BG710/BG733)*100</f>
        <v>57.080816326530616</v>
      </c>
      <c r="BH711" s="98"/>
      <c r="BI711" s="125">
        <f>(BI710/BI733)*100</f>
        <v>56.267882408426352</v>
      </c>
      <c r="BJ711" s="98"/>
      <c r="BK711" s="125">
        <f>(BK710/BK733)*100</f>
        <v>57.118353344768437</v>
      </c>
      <c r="BL711" s="98"/>
      <c r="BM711" s="125">
        <f>(BM710/BM733)*100</f>
        <v>54.331077076639943</v>
      </c>
      <c r="BN711" s="98"/>
      <c r="BO711" s="125">
        <f>(BO710/BO733)*100</f>
        <v>46.51868063154604</v>
      </c>
      <c r="BP711" s="98"/>
      <c r="BQ711" s="125">
        <f>(BQ710/BQ733)*100</f>
        <v>46.722006786233635</v>
      </c>
      <c r="BR711" s="98"/>
      <c r="BS711" s="125">
        <f>(BS710/BS733)*100</f>
        <v>42.353964777534422</v>
      </c>
      <c r="BT711" s="98"/>
      <c r="BU711" s="125">
        <f>(BU710/BU733)*100</f>
        <v>34.399777437752121</v>
      </c>
      <c r="BV711" s="98"/>
      <c r="BW711" s="125">
        <f>(BW710/BW733)*100</f>
        <v>40.847197057047161</v>
      </c>
      <c r="BX711" s="98"/>
      <c r="BY711" s="125">
        <f>(BY710/BY733)*100</f>
        <v>52.093487245261507</v>
      </c>
      <c r="BZ711" s="98"/>
      <c r="CA711" s="125">
        <f>(CA710/CA733)*100</f>
        <v>62.074869413813119</v>
      </c>
      <c r="CB711" s="98"/>
      <c r="CC711" s="125">
        <f>(CC710/CC733)*100</f>
        <v>59.17626036265635</v>
      </c>
      <c r="CD711" s="98"/>
      <c r="CE711" s="125">
        <f>(CE710/CE733)*100</f>
        <v>58.566933638443942</v>
      </c>
      <c r="CF711" s="98"/>
      <c r="CG711" s="125">
        <f>(CG710/CG733)*100</f>
        <v>56.949960285941224</v>
      </c>
      <c r="CH711" s="98"/>
      <c r="CI711" s="125">
        <f>(CI710/CI733)*100</f>
        <v>53.164117690801383</v>
      </c>
      <c r="CJ711" s="98"/>
      <c r="CK711" s="125">
        <f>(CK710/CK733)*100</f>
        <v>0</v>
      </c>
      <c r="CL711" s="98"/>
      <c r="CM711" s="125">
        <f>(CM710/CM733)*100</f>
        <v>0</v>
      </c>
      <c r="CN711" s="98"/>
      <c r="CO711" s="125">
        <f>(CO710/CO733)*100</f>
        <v>0</v>
      </c>
      <c r="CP711" s="98"/>
      <c r="CQ711" s="526">
        <f>(CQ710/CQ733)*100</f>
        <v>0</v>
      </c>
      <c r="CR711" s="98"/>
      <c r="CS711" s="125">
        <f>(CS710/CS733)*100</f>
        <v>0</v>
      </c>
      <c r="CT711" s="98"/>
      <c r="CU711" s="125">
        <f>(CU710/CU733)*100</f>
        <v>0</v>
      </c>
      <c r="CV711" s="98"/>
      <c r="CW711" s="125">
        <f>(CW710/CW733)*100</f>
        <v>0</v>
      </c>
      <c r="CX711" s="98"/>
      <c r="CY711" s="125">
        <f>(CY710/CY733)*100</f>
        <v>0</v>
      </c>
      <c r="CZ711" s="98"/>
      <c r="DA711" s="125">
        <f>(DA710/DA733)*100</f>
        <v>0</v>
      </c>
      <c r="DB711" s="98"/>
      <c r="DC711" s="125">
        <f>(DC710/DC733)*100</f>
        <v>0</v>
      </c>
      <c r="DD711" s="98"/>
      <c r="DE711" s="125">
        <f>(DE710/DE733)*100</f>
        <v>0</v>
      </c>
      <c r="DF711" s="98"/>
      <c r="DG711" s="125">
        <f>(DG710/DG733)*100</f>
        <v>0</v>
      </c>
      <c r="DH711" s="98"/>
      <c r="DI711" s="125">
        <f>(DI710/DI733)*100</f>
        <v>0</v>
      </c>
      <c r="DJ711" s="98"/>
      <c r="DK711" s="125">
        <f>(DK710/DK733)*100</f>
        <v>0</v>
      </c>
      <c r="DL711" s="98"/>
      <c r="DM711" s="125">
        <f>(DM710/DM733)*100</f>
        <v>0</v>
      </c>
      <c r="DN711" s="98"/>
      <c r="DO711" s="125">
        <f>(DO710/DO733)*100</f>
        <v>0</v>
      </c>
      <c r="DP711" s="98"/>
      <c r="DQ711" s="125">
        <f>(DQ710/DQ733)*100</f>
        <v>0</v>
      </c>
      <c r="DR711" s="98"/>
      <c r="DS711" s="125">
        <f>(DS710/DS733)*100</f>
        <v>0</v>
      </c>
      <c r="DT711" s="98"/>
      <c r="DU711" s="125">
        <f>(DU710/DU733)*100</f>
        <v>0</v>
      </c>
      <c r="DV711" s="98"/>
      <c r="DW711" s="125">
        <f>(DW710/DW733)*100</f>
        <v>0</v>
      </c>
      <c r="DX711" s="98"/>
      <c r="DY711" s="125">
        <f>(DY710/DY733)*100</f>
        <v>0</v>
      </c>
      <c r="DZ711" s="98"/>
      <c r="EA711" s="125">
        <f>(EA710/EA733)*100</f>
        <v>0</v>
      </c>
      <c r="EB711" s="98"/>
      <c r="EC711" s="125">
        <f>(EC710/EC733)*100</f>
        <v>0</v>
      </c>
      <c r="ED711" s="98"/>
      <c r="EE711" s="125">
        <f>(EE710/EE733)*100</f>
        <v>0</v>
      </c>
      <c r="EF711" s="860"/>
      <c r="EG711" s="125">
        <f>(EG710/EG733)*100</f>
        <v>0</v>
      </c>
      <c r="EH711" s="860"/>
      <c r="EI711" s="125">
        <f>(EI710/EI733)*100</f>
        <v>0</v>
      </c>
      <c r="EJ711" s="860"/>
      <c r="EK711" s="818">
        <f>(EK710/EK733)*100</f>
        <v>0</v>
      </c>
      <c r="EL711" s="860"/>
      <c r="EM711" s="818">
        <f>(EM710/EM733)*100</f>
        <v>0</v>
      </c>
      <c r="EN711" s="860"/>
      <c r="EO711" s="818">
        <f>(EO710/EO733)*100</f>
        <v>0</v>
      </c>
      <c r="EP711" s="98"/>
      <c r="EQ711" s="840"/>
      <c r="ER711" s="98"/>
      <c r="ES711" s="840"/>
      <c r="ET711" s="98"/>
      <c r="EU711" s="840"/>
      <c r="EV711" s="98"/>
      <c r="EW711" s="840"/>
      <c r="EX711" s="98"/>
      <c r="EY711" s="349"/>
      <c r="EZ711" s="594"/>
      <c r="FA711" s="405"/>
      <c r="FB711" s="349"/>
      <c r="FC711" s="98"/>
      <c r="FD711" s="349"/>
      <c r="FE711" s="98"/>
      <c r="FF711" s="349"/>
      <c r="FG711" s="98"/>
      <c r="FH711" s="349"/>
      <c r="FI711" s="98"/>
      <c r="FJ711" s="349"/>
      <c r="FK711" s="98"/>
      <c r="FL711" s="349"/>
      <c r="FM711" s="98"/>
      <c r="FN711" s="349"/>
      <c r="FO711" s="98"/>
      <c r="FP711" s="349"/>
      <c r="FQ711" s="98"/>
      <c r="FR711" s="349"/>
      <c r="FS711" s="98"/>
      <c r="FT711" s="349"/>
      <c r="FU711" s="98"/>
      <c r="FV711" s="349"/>
      <c r="FW711" s="98"/>
      <c r="FX711" s="510"/>
      <c r="FY711" s="98"/>
      <c r="FZ711" s="349"/>
      <c r="GA711" s="98"/>
      <c r="GB711" s="510"/>
      <c r="GC711" s="98"/>
      <c r="GD711" s="349"/>
      <c r="GE711" s="98"/>
      <c r="GF711" s="349"/>
      <c r="GG711" s="98"/>
      <c r="GH711" s="349"/>
      <c r="GI711" s="98"/>
      <c r="GJ711" s="349"/>
      <c r="GK711" s="98"/>
      <c r="GL711" s="349"/>
      <c r="GM711" s="98"/>
      <c r="GN711" s="349"/>
      <c r="GO711" s="98"/>
      <c r="GP711" s="349"/>
      <c r="GQ711" s="98"/>
      <c r="GR711" s="349"/>
      <c r="GS711" s="98"/>
      <c r="GT711" s="349"/>
      <c r="GU711" s="98"/>
      <c r="GV711" s="349"/>
      <c r="GW711" s="98"/>
      <c r="GX711" s="349"/>
      <c r="GY711" s="98"/>
      <c r="GZ711" s="98"/>
      <c r="HA711" s="98"/>
      <c r="HB711" s="10"/>
      <c r="HC711"/>
      <c r="HD711"/>
      <c r="HE711"/>
      <c r="HF711"/>
      <c r="HG711"/>
      <c r="HH711"/>
      <c r="HI711" s="10"/>
    </row>
    <row r="712" spans="1:217" s="2" customFormat="1" ht="12.75" hidden="1" customHeight="1" outlineLevel="1" x14ac:dyDescent="0.2">
      <c r="B712" s="179"/>
      <c r="C712" s="349"/>
      <c r="D712" s="98"/>
      <c r="E712" s="349"/>
      <c r="F712" s="98"/>
      <c r="G712" s="349"/>
      <c r="H712" s="98"/>
      <c r="I712" s="349"/>
      <c r="J712" s="98"/>
      <c r="K712" s="349"/>
      <c r="L712" s="98"/>
      <c r="M712" s="349"/>
      <c r="N712" s="98"/>
      <c r="O712" s="349"/>
      <c r="P712" s="98"/>
      <c r="Q712" s="349"/>
      <c r="R712" s="98"/>
      <c r="S712" s="349"/>
      <c r="T712" s="98"/>
      <c r="U712" s="349"/>
      <c r="V712" s="98"/>
      <c r="W712" s="349"/>
      <c r="X712" s="98"/>
      <c r="Y712" s="26"/>
      <c r="Z712" s="98"/>
      <c r="AA712" s="349"/>
      <c r="AB712" s="98"/>
      <c r="AC712" s="349"/>
      <c r="AD712" s="98"/>
      <c r="AE712" s="349"/>
      <c r="AF712" s="98"/>
      <c r="AG712" s="349"/>
      <c r="AH712" s="98"/>
      <c r="AI712" s="118"/>
      <c r="AJ712" s="98"/>
      <c r="AK712" s="118"/>
      <c r="AL712" s="98"/>
      <c r="AM712" s="118"/>
      <c r="AN712" s="98"/>
      <c r="AO712" s="118"/>
      <c r="AP712" s="98"/>
      <c r="AQ712" s="118"/>
      <c r="AR712" s="98"/>
      <c r="AS712" s="118"/>
      <c r="AT712" s="98"/>
      <c r="AU712" s="118"/>
      <c r="AV712" s="98"/>
      <c r="AW712" s="118"/>
      <c r="AX712" s="98"/>
      <c r="AY712" s="118"/>
      <c r="AZ712" s="98"/>
      <c r="BA712" s="118"/>
      <c r="BB712" s="98"/>
      <c r="BC712" s="118"/>
      <c r="BD712" s="98"/>
      <c r="BE712" s="118"/>
      <c r="BF712" s="98"/>
      <c r="BG712" s="118"/>
      <c r="BH712" s="98"/>
      <c r="BI712" s="118"/>
      <c r="BJ712" s="98"/>
      <c r="BK712" s="118"/>
      <c r="BL712" s="98"/>
      <c r="BM712" s="118"/>
      <c r="BN712" s="98"/>
      <c r="BO712" s="118"/>
      <c r="BP712" s="98"/>
      <c r="BQ712" s="118"/>
      <c r="BR712" s="98"/>
      <c r="BS712" s="118"/>
      <c r="BT712" s="98"/>
      <c r="BU712" s="118"/>
      <c r="BV712" s="98"/>
      <c r="BW712" s="118"/>
      <c r="BX712" s="98"/>
      <c r="BY712" s="118"/>
      <c r="BZ712" s="98"/>
      <c r="CA712" s="118"/>
      <c r="CB712" s="98"/>
      <c r="CC712" s="118"/>
      <c r="CD712" s="98"/>
      <c r="CE712" s="118"/>
      <c r="CF712" s="98"/>
      <c r="CG712" s="118"/>
      <c r="CH712" s="98"/>
      <c r="CI712" s="118"/>
      <c r="CJ712" s="98"/>
      <c r="CK712" s="118"/>
      <c r="CL712" s="98"/>
      <c r="CM712" s="118"/>
      <c r="CN712" s="98"/>
      <c r="CO712" s="118"/>
      <c r="CP712" s="98"/>
      <c r="CQ712" s="510"/>
      <c r="CR712" s="98"/>
      <c r="CS712" s="118"/>
      <c r="CT712" s="98"/>
      <c r="CU712" s="118"/>
      <c r="CV712" s="98"/>
      <c r="CW712" s="118"/>
      <c r="CX712" s="98"/>
      <c r="CY712" s="118"/>
      <c r="CZ712" s="98"/>
      <c r="DA712" s="118"/>
      <c r="DB712" s="98"/>
      <c r="DC712" s="118"/>
      <c r="DD712" s="98"/>
      <c r="DE712" s="118"/>
      <c r="DF712" s="98"/>
      <c r="DG712" s="118"/>
      <c r="DH712" s="98"/>
      <c r="DI712" s="118"/>
      <c r="DJ712" s="98"/>
      <c r="DK712" s="118"/>
      <c r="DL712" s="98"/>
      <c r="DM712" s="118"/>
      <c r="DN712" s="98"/>
      <c r="DO712" s="118"/>
      <c r="DP712" s="98"/>
      <c r="DQ712" s="118"/>
      <c r="DR712" s="98"/>
      <c r="DS712" s="118"/>
      <c r="DT712" s="98"/>
      <c r="DU712" s="118"/>
      <c r="DV712" s="98"/>
      <c r="DW712" s="118"/>
      <c r="DX712" s="98"/>
      <c r="DY712" s="118"/>
      <c r="DZ712" s="98"/>
      <c r="EA712" s="118"/>
      <c r="EB712" s="98"/>
      <c r="EC712" s="118"/>
      <c r="ED712" s="98"/>
      <c r="EE712" s="118"/>
      <c r="EF712" s="860"/>
      <c r="EG712" s="118"/>
      <c r="EH712" s="860"/>
      <c r="EI712" s="118"/>
      <c r="EJ712" s="860"/>
      <c r="EK712" s="792"/>
      <c r="EL712" s="860"/>
      <c r="EM712" s="792"/>
      <c r="EN712" s="860"/>
      <c r="EO712" s="792"/>
      <c r="EP712" s="98"/>
      <c r="EQ712" s="840"/>
      <c r="ER712" s="98"/>
      <c r="ES712" s="840"/>
      <c r="ET712" s="98"/>
      <c r="EU712" s="840"/>
      <c r="EV712" s="98"/>
      <c r="EW712" s="840"/>
      <c r="EX712" s="98"/>
      <c r="EY712" s="349"/>
      <c r="EZ712" s="594"/>
      <c r="FA712" s="405"/>
      <c r="FB712" s="349"/>
      <c r="FC712" s="98"/>
      <c r="FD712" s="349"/>
      <c r="FE712" s="98"/>
      <c r="FF712" s="349"/>
      <c r="FG712" s="98"/>
      <c r="FH712" s="349"/>
      <c r="FI712" s="98"/>
      <c r="FJ712" s="349"/>
      <c r="FK712" s="98"/>
      <c r="FL712" s="349"/>
      <c r="FM712" s="98"/>
      <c r="FN712" s="349"/>
      <c r="FO712" s="98"/>
      <c r="FP712" s="349"/>
      <c r="FQ712" s="98"/>
      <c r="FR712" s="349"/>
      <c r="FS712" s="98"/>
      <c r="FT712" s="349"/>
      <c r="FU712" s="98"/>
      <c r="FV712" s="349"/>
      <c r="FW712" s="98"/>
      <c r="FX712" s="510"/>
      <c r="FY712" s="98"/>
      <c r="FZ712" s="349"/>
      <c r="GA712" s="98"/>
      <c r="GB712" s="510"/>
      <c r="GC712" s="98"/>
      <c r="GD712" s="349"/>
      <c r="GE712" s="98"/>
      <c r="GF712" s="349"/>
      <c r="GG712" s="98"/>
      <c r="GH712" s="349"/>
      <c r="GI712" s="98"/>
      <c r="GJ712" s="349"/>
      <c r="GK712" s="98"/>
      <c r="GL712" s="349"/>
      <c r="GM712" s="98"/>
      <c r="GN712" s="349"/>
      <c r="GO712" s="98"/>
      <c r="GP712" s="349"/>
      <c r="GQ712" s="98"/>
      <c r="GR712" s="349"/>
      <c r="GS712" s="98"/>
      <c r="GT712" s="349"/>
      <c r="GU712" s="98"/>
      <c r="GV712" s="349"/>
      <c r="GW712" s="98"/>
      <c r="GX712" s="349"/>
      <c r="GY712" s="98"/>
      <c r="GZ712" s="98"/>
      <c r="HA712" s="98"/>
      <c r="HB712" s="10"/>
      <c r="HC712"/>
      <c r="HD712"/>
      <c r="HE712"/>
      <c r="HF712"/>
      <c r="HG712"/>
      <c r="HH712"/>
      <c r="HI712" s="10"/>
    </row>
    <row r="713" spans="1:217" s="2" customFormat="1" ht="12.75" customHeight="1" collapsed="1" x14ac:dyDescent="0.2">
      <c r="A713" s="351"/>
      <c r="B713" s="131" t="s">
        <v>152</v>
      </c>
      <c r="C713" s="244"/>
      <c r="D713" s="113"/>
      <c r="E713" s="244"/>
      <c r="F713" s="113"/>
      <c r="G713" s="244"/>
      <c r="H713" s="113"/>
      <c r="I713" s="244"/>
      <c r="J713" s="113"/>
      <c r="K713" s="244"/>
      <c r="L713" s="113"/>
      <c r="M713" s="244"/>
      <c r="N713" s="113"/>
      <c r="O713" s="244"/>
      <c r="P713" s="113"/>
      <c r="Q713" s="244"/>
      <c r="R713" s="113"/>
      <c r="S713" s="244"/>
      <c r="T713" s="113"/>
      <c r="U713" s="244"/>
      <c r="V713" s="113"/>
      <c r="W713" s="244"/>
      <c r="X713" s="113"/>
      <c r="Y713" s="244"/>
      <c r="Z713" s="113"/>
      <c r="AA713" s="244"/>
      <c r="AB713" s="113"/>
      <c r="AC713" s="244"/>
      <c r="AD713" s="113"/>
      <c r="AE713" s="244"/>
      <c r="AF713" s="113"/>
      <c r="AG713" s="244"/>
      <c r="AH713" s="113"/>
      <c r="AI713" s="95"/>
      <c r="AJ713" s="113"/>
      <c r="AK713" s="95"/>
      <c r="AL713" s="113"/>
      <c r="AM713" s="95"/>
      <c r="AN713" s="113"/>
      <c r="AO713" s="95"/>
      <c r="AP713" s="113"/>
      <c r="AQ713" s="95"/>
      <c r="AR713" s="113"/>
      <c r="AS713" s="95"/>
      <c r="AT713" s="113"/>
      <c r="AU713" s="95"/>
      <c r="AV713" s="113"/>
      <c r="AW713" s="95"/>
      <c r="AX713" s="113"/>
      <c r="AY713" s="95"/>
      <c r="AZ713" s="113"/>
      <c r="BA713" s="95"/>
      <c r="BB713" s="113"/>
      <c r="BC713" s="95"/>
      <c r="BD713" s="113"/>
      <c r="BE713" s="95"/>
      <c r="BF713" s="113"/>
      <c r="BG713" s="95"/>
      <c r="BH713" s="113"/>
      <c r="BI713" s="95"/>
      <c r="BJ713" s="113"/>
      <c r="BK713" s="95"/>
      <c r="BL713" s="113"/>
      <c r="BM713" s="95"/>
      <c r="BN713" s="113"/>
      <c r="BO713" s="95"/>
      <c r="BP713" s="113"/>
      <c r="BQ713" s="95"/>
      <c r="BR713" s="113"/>
      <c r="BS713" s="95"/>
      <c r="BT713" s="113"/>
      <c r="BU713" s="95"/>
      <c r="BV713" s="113"/>
      <c r="BW713" s="95"/>
      <c r="BX713" s="113"/>
      <c r="BY713" s="95"/>
      <c r="BZ713" s="113"/>
      <c r="CA713" s="95"/>
      <c r="CB713" s="113"/>
      <c r="CC713" s="95"/>
      <c r="CD713" s="113"/>
      <c r="CE713" s="95"/>
      <c r="CF713" s="113"/>
      <c r="CG713" s="95"/>
      <c r="CH713" s="113"/>
      <c r="CI713" s="95"/>
      <c r="CJ713" s="113"/>
      <c r="CK713" s="95"/>
      <c r="CL713" s="113"/>
      <c r="CM713" s="95"/>
      <c r="CN713" s="113"/>
      <c r="CO713" s="95"/>
      <c r="CP713" s="113"/>
      <c r="CQ713" s="506"/>
      <c r="CR713" s="113"/>
      <c r="CS713" s="95"/>
      <c r="CT713" s="113"/>
      <c r="CU713" s="95"/>
      <c r="CV713" s="113"/>
      <c r="CW713" s="95"/>
      <c r="CX713" s="113"/>
      <c r="CY713" s="95"/>
      <c r="CZ713" s="113"/>
      <c r="DA713" s="95"/>
      <c r="DB713" s="113"/>
      <c r="DC713" s="95"/>
      <c r="DD713" s="113"/>
      <c r="DE713" s="95"/>
      <c r="DF713" s="113"/>
      <c r="DG713" s="95"/>
      <c r="DH713" s="113"/>
      <c r="DI713" s="95"/>
      <c r="DJ713" s="113"/>
      <c r="DK713" s="95"/>
      <c r="DL713" s="113"/>
      <c r="DM713" s="95"/>
      <c r="DN713" s="113"/>
      <c r="DO713" s="95"/>
      <c r="DP713" s="113"/>
      <c r="DQ713" s="95"/>
      <c r="DR713" s="113"/>
      <c r="DS713" s="95"/>
      <c r="DT713" s="113"/>
      <c r="DU713" s="95"/>
      <c r="DV713" s="113"/>
      <c r="DW713" s="95"/>
      <c r="DX713" s="113"/>
      <c r="DY713" s="95"/>
      <c r="DZ713" s="113"/>
      <c r="EA713" s="95"/>
      <c r="EB713" s="113"/>
      <c r="EC713" s="95"/>
      <c r="ED713" s="113"/>
      <c r="EE713" s="95"/>
      <c r="EF713" s="859"/>
      <c r="EG713" s="95"/>
      <c r="EH713" s="859"/>
      <c r="EI713" s="95"/>
      <c r="EJ713" s="859"/>
      <c r="EK713" s="789"/>
      <c r="EL713" s="859"/>
      <c r="EM713" s="789"/>
      <c r="EN713" s="859"/>
      <c r="EO713" s="789"/>
      <c r="EP713" s="113"/>
      <c r="EQ713" s="823"/>
      <c r="ER713" s="113"/>
      <c r="ES713" s="823"/>
      <c r="ET713" s="113"/>
      <c r="EU713" s="823"/>
      <c r="EV713" s="113"/>
      <c r="EW713" s="823"/>
      <c r="EX713" s="113"/>
      <c r="EY713" s="244"/>
      <c r="EZ713" s="594"/>
      <c r="FA713" s="405"/>
      <c r="FB713" s="244"/>
      <c r="FC713" s="113"/>
      <c r="FD713" s="244"/>
      <c r="FE713" s="113"/>
      <c r="FF713" s="244"/>
      <c r="FG713" s="98"/>
      <c r="FH713" s="244"/>
      <c r="FI713" s="98"/>
      <c r="FJ713" s="244"/>
      <c r="FK713" s="98"/>
      <c r="FL713" s="244"/>
      <c r="FM713" s="98"/>
      <c r="FN713" s="244"/>
      <c r="FO713" s="98"/>
      <c r="FP713" s="244"/>
      <c r="FQ713" s="98"/>
      <c r="FR713" s="244"/>
      <c r="FS713" s="98"/>
      <c r="FT713" s="244"/>
      <c r="FU713" s="98"/>
      <c r="FV713" s="244"/>
      <c r="FW713" s="113"/>
      <c r="FX713" s="506"/>
      <c r="FY713" s="113"/>
      <c r="FZ713" s="244"/>
      <c r="GA713" s="113"/>
      <c r="GB713" s="506"/>
      <c r="GC713" s="113"/>
      <c r="GD713" s="244"/>
      <c r="GE713" s="113"/>
      <c r="GF713" s="244"/>
      <c r="GG713" s="113"/>
      <c r="GH713" s="244"/>
      <c r="GI713" s="113"/>
      <c r="GJ713" s="244"/>
      <c r="GK713" s="113"/>
      <c r="GL713" s="244"/>
      <c r="GM713" s="113"/>
      <c r="GN713" s="244"/>
      <c r="GO713" s="113"/>
      <c r="GP713" s="244"/>
      <c r="GQ713" s="113"/>
      <c r="GR713" s="244"/>
      <c r="GS713" s="113"/>
      <c r="GT713" s="244"/>
      <c r="GU713" s="113"/>
      <c r="GV713" s="244"/>
      <c r="GW713" s="113"/>
      <c r="GX713" s="244"/>
      <c r="GY713" s="113"/>
      <c r="GZ713" s="113"/>
      <c r="HA713" s="113"/>
      <c r="HB713" s="10"/>
      <c r="HC713"/>
      <c r="HD713"/>
      <c r="HE713"/>
      <c r="HF713"/>
      <c r="HG713"/>
      <c r="HH713"/>
      <c r="HI713" s="10"/>
    </row>
    <row r="714" spans="1:217" s="2" customFormat="1" ht="12.75" customHeight="1" x14ac:dyDescent="0.2">
      <c r="A714" s="10" t="s">
        <v>452</v>
      </c>
      <c r="B714" s="179" t="s">
        <v>267</v>
      </c>
      <c r="C714" s="101">
        <v>3585</v>
      </c>
      <c r="D714" s="98"/>
      <c r="E714" s="101">
        <v>1776</v>
      </c>
      <c r="F714" s="98"/>
      <c r="G714" s="101">
        <v>1829</v>
      </c>
      <c r="H714" s="98"/>
      <c r="I714" s="101">
        <v>1094</v>
      </c>
      <c r="J714" s="98"/>
      <c r="K714" s="101">
        <v>1588</v>
      </c>
      <c r="L714" s="98" t="str">
        <f t="shared" ref="L714:L724" si="4321">IF(ISERROR((K714/C714-1)*100),"NA",IF(((K714/C714-1)*100)&gt;100,"NM",IF(((K714/C714-1)*100)&lt;-50,"NM",(K714/C714-1)*100)))</f>
        <v>NM</v>
      </c>
      <c r="M714" s="101">
        <v>2117</v>
      </c>
      <c r="N714" s="98">
        <f t="shared" ref="N714:N724" si="4322">IF(ISERROR((M714/E714-1)*100),"NA",IF(((M714/E714-1)*100)&gt;100,"NM",IF(((M714/E714-1)*100)&lt;-50,"NM",(M714/E714-1)*100)))</f>
        <v>19.200450450450447</v>
      </c>
      <c r="O714" s="101">
        <v>700</v>
      </c>
      <c r="P714" s="98" t="str">
        <f t="shared" ref="P714:P724" si="4323">IF(ISERROR((O714/G714-1)*100),"NA",IF(((O714/G714-1)*100)&gt;100,"NM",IF(((O714/G714-1)*100)&lt;-50,"NM",(O714/G714-1)*100)))</f>
        <v>NM</v>
      </c>
      <c r="Q714" s="101">
        <v>355</v>
      </c>
      <c r="R714" s="98" t="str">
        <f t="shared" ref="R714:R724" si="4324">IF(ISERROR((Q714/I714-1)*100),"NA",IF(((Q714/I714-1)*100)&gt;100,"NM",IF(((Q714/I714-1)*100)&lt;-50,"NM",(Q714/I714-1)*100)))</f>
        <v>NM</v>
      </c>
      <c r="S714" s="101">
        <v>546</v>
      </c>
      <c r="T714" s="98" t="str">
        <f t="shared" ref="T714:T724" si="4325">IF(ISERROR((S714/K714-1)*100),"NA",IF(((S714/K714-1)*100)&gt;100,"NM",IF(((S714/K714-1)*100)&lt;-50,"NM",(S714/K714-1)*100)))</f>
        <v>NM</v>
      </c>
      <c r="U714" s="101">
        <v>52</v>
      </c>
      <c r="V714" s="98" t="str">
        <f t="shared" ref="V714:V724" si="4326">IF(ISERROR((U714/M714-1)*100),"NA",IF(((U714/M714-1)*100)&gt;100,"NM",IF(((U714/M714-1)*100)&lt;-50,"NM",(U714/M714-1)*100)))</f>
        <v>NM</v>
      </c>
      <c r="W714" s="101">
        <v>878</v>
      </c>
      <c r="X714" s="98">
        <f t="shared" ref="X714:X724" si="4327">IF(ISERROR((W714/O714-1)*100),"NA",IF(((W714/O714-1)*100)&gt;100,"NM",IF(((W714/O714-1)*100)&lt;-50,"NM",(W714/O714-1)*100)))</f>
        <v>25.428571428571423</v>
      </c>
      <c r="Y714" s="101">
        <v>1161</v>
      </c>
      <c r="Z714" s="98" t="str">
        <f>IF(ISERROR((Y714/Q714-1)*100),"NA",IF(((Y714/Q714-1)*100)&gt;100,"NM",IF(((Y714/Q714-1)*100)&lt;-50,"NM",(Y714/Q714-1)*100)))</f>
        <v>NM</v>
      </c>
      <c r="AA714" s="101">
        <v>2441</v>
      </c>
      <c r="AB714" s="98" t="str">
        <f t="shared" ref="AB714:AB724" si="4328">IF(ISERROR((AA714/S714-1)*100),"NA",IF(((AA714/S714-1)*100)&gt;100,"NM",IF(((AA714/S714-1)*100)&lt;-50,"NM",(AA714/S714-1)*100)))</f>
        <v>NM</v>
      </c>
      <c r="AC714" s="101">
        <v>3443</v>
      </c>
      <c r="AD714" s="98" t="str">
        <f t="shared" ref="AD714:AD724" si="4329">IF(ISERROR((AC714/U714-1)*100),"NA",IF(((AC714/U714-1)*100)&gt;100,"NM",IF(((AC714/U714-1)*100)&lt;-50,"NM",(AC714/U714-1)*100)))</f>
        <v>NM</v>
      </c>
      <c r="AE714" s="101">
        <v>2935</v>
      </c>
      <c r="AF714" s="98" t="str">
        <f t="shared" ref="AF714:AF724" si="4330">IF(ISERROR((AE714/W714-1)*100),"NA",IF(((AE714/W714-1)*100)&gt;100,"NM",IF(((AE714/W714-1)*100)&lt;-50,"NM",(AE714/W714-1)*100)))</f>
        <v>NM</v>
      </c>
      <c r="AG714" s="101">
        <v>3642</v>
      </c>
      <c r="AH714" s="98" t="str">
        <f t="shared" ref="AH714:AH724" si="4331">IF(ISERROR((AG714/Y714-1)*100),"NA",IF(((AG714/Y714-1)*100)&gt;100,"NM",IF(((AG714/Y714-1)*100)&lt;-50,"NM",(AG714/Y714-1)*100)))</f>
        <v>NM</v>
      </c>
      <c r="AI714" s="101">
        <v>3068</v>
      </c>
      <c r="AJ714" s="98">
        <f t="shared" ref="AJ714:AJ724" si="4332">IF(ISERROR((AI714/AA714-1)*100),"NA",IF(((AI714/AA714-1)*100)&gt;100,"NM",IF(((AI714/AA714-1)*100)&lt;-50,"NM",(AI714/AA714-1)*100)))</f>
        <v>25.686194182712008</v>
      </c>
      <c r="AK714" s="101">
        <v>3218</v>
      </c>
      <c r="AL714" s="98">
        <f t="shared" ref="AL714:AL724" si="4333">IF(ISERROR((AK714/AC714-1)*100),"NA",IF(((AK714/AC714-1)*100)&gt;100,"NM",IF(((AK714/AC714-1)*100)&lt;-50,"NM",(AK714/AC714-1)*100)))</f>
        <v>-6.5349985477781036</v>
      </c>
      <c r="AM714" s="101">
        <v>1566</v>
      </c>
      <c r="AN714" s="98">
        <f t="shared" ref="AN714:AN724" si="4334">IF(ISERROR((AM714/AE714-1)*100),"NA",IF(((AM714/AE714-1)*100)&gt;100,"NM",IF(((AM714/AE714-1)*100)&lt;-50,"NM",(AM714/AE714-1)*100)))</f>
        <v>-46.643952299829635</v>
      </c>
      <c r="AO714" s="101">
        <v>1445</v>
      </c>
      <c r="AP714" s="98" t="str">
        <f t="shared" ref="AP714:AP724" si="4335">IF(ISERROR((AO714/AG714-1)*100),"NA",IF(((AO714/AG714-1)*100)&gt;100,"NM",IF(((AO714/AG714-1)*100)&lt;-50,"NM",(AO714/AG714-1)*100)))</f>
        <v>NM</v>
      </c>
      <c r="AQ714" s="101">
        <v>1120</v>
      </c>
      <c r="AR714" s="98" t="str">
        <f t="shared" ref="AR714:AR724" si="4336">IF(ISERROR((AQ714/AI714-1)*100),"NA",IF(((AQ714/AI714-1)*100)&gt;100,"NM",IF(((AQ714/AI714-1)*100)&lt;-50,"NM",(AQ714/AI714-1)*100)))</f>
        <v>NM</v>
      </c>
      <c r="AS714" s="101">
        <v>1979</v>
      </c>
      <c r="AT714" s="98">
        <f t="shared" ref="AT714:AT724" si="4337">IF(ISERROR((AS714/AK714-1)*100),"NA",IF(((AS714/AK714-1)*100)&gt;100,"NM",IF(((AS714/AK714-1)*100)&lt;-50,"NM",(AS714/AK714-1)*100)))</f>
        <v>-38.502175264139218</v>
      </c>
      <c r="AU714" s="101">
        <v>1303</v>
      </c>
      <c r="AV714" s="98">
        <f t="shared" ref="AV714:AV724" si="4338">IF(ISERROR((AU714/AM714-1)*100),"NA",IF(((AU714/AM714-1)*100)&gt;100,"NM",IF(((AU714/AM714-1)*100)&lt;-50,"NM",(AU714/AM714-1)*100)))</f>
        <v>-16.794380587484035</v>
      </c>
      <c r="AW714" s="101">
        <v>1609</v>
      </c>
      <c r="AX714" s="98">
        <f t="shared" ref="AX714:AX724" si="4339">IF(ISERROR((AW714/AO714-1)*100),"NA",IF(((AW714/AO714-1)*100)&gt;100,"NM",IF(((AW714/AO714-1)*100)&lt;-50,"NM",(AW714/AO714-1)*100)))</f>
        <v>11.349480968858128</v>
      </c>
      <c r="AY714" s="101">
        <v>1360</v>
      </c>
      <c r="AZ714" s="98">
        <f t="shared" ref="AZ714:AZ724" si="4340">IF(ISERROR((AY714/AQ714-1)*100),"NA",IF(((AY714/AQ714-1)*100)&gt;100,"NM",IF(((AY714/AQ714-1)*100)&lt;-50,"NM",(AY714/AQ714-1)*100)))</f>
        <v>21.42857142857142</v>
      </c>
      <c r="BA714" s="101">
        <v>2253</v>
      </c>
      <c r="BB714" s="98">
        <f t="shared" ref="BB714:BB724" si="4341">IF(ISERROR((BA714/AS714-1)*100),"NA",IF(((BA714/AS714-1)*100)&gt;100,"NM",IF(((BA714/AS714-1)*100)&lt;-50,"NM",(BA714/AS714-1)*100)))</f>
        <v>13.845376452753921</v>
      </c>
      <c r="BC714" s="101">
        <v>1706</v>
      </c>
      <c r="BD714" s="98">
        <f t="shared" ref="BD714:BD724" si="4342">IF(ISERROR((BC714/AU714-1)*100),"NA",IF(((BC714/AU714-1)*100)&gt;100,"NM",IF(((BC714/AU714-1)*100)&lt;-50,"NM",(BC714/AU714-1)*100)))</f>
        <v>30.928626247122025</v>
      </c>
      <c r="BE714" s="101">
        <v>1449</v>
      </c>
      <c r="BF714" s="98">
        <f t="shared" ref="BF714:BF724" si="4343">IF(ISERROR((BE714/AW714-1)*100),"NA",IF(((BE714/AW714-1)*100)&gt;100,"NM",IF(((BE714/AW714-1)*100)&lt;-50,"NM",(BE714/AW714-1)*100)))</f>
        <v>-9.9440646364201353</v>
      </c>
      <c r="BG714" s="101">
        <v>3375</v>
      </c>
      <c r="BH714" s="98" t="str">
        <f t="shared" ref="BH714:BH724" si="4344">IF(ISERROR((BG714/AY714-1)*100),"NA",IF(((BG714/AY714-1)*100)&gt;100,"NM",IF(((BG714/AY714-1)*100)&lt;-50,"NM",(BG714/AY714-1)*100)))</f>
        <v>NM</v>
      </c>
      <c r="BI714" s="101">
        <v>1476</v>
      </c>
      <c r="BJ714" s="98">
        <f t="shared" ref="BJ714:BJ724" si="4345">IF(ISERROR((BI714/BA714-1)*100),"NA",IF(((BI714/BA714-1)*100)&gt;100,"NM",IF(((BI714/BA714-1)*100)&lt;-50,"NM",(BI714/BA714-1)*100)))</f>
        <v>-34.48735019973369</v>
      </c>
      <c r="BK714" s="101">
        <v>1880</v>
      </c>
      <c r="BL714" s="98">
        <f t="shared" ref="BL714:BL724" si="4346">IF(ISERROR((BK714/BC714-1)*100),"NA",IF(((BK714/BC714-1)*100)&gt;100,"NM",IF(((BK714/BC714-1)*100)&lt;-50,"NM",(BK714/BC714-1)*100)))</f>
        <v>10.199296600234465</v>
      </c>
      <c r="BM714" s="101">
        <v>667</v>
      </c>
      <c r="BN714" s="98" t="str">
        <f t="shared" ref="BN714:BN724" si="4347">IF(ISERROR((BM714/BE714-1)*100),"NA",IF(((BM714/BE714-1)*100)&gt;100,"NM",IF(((BM714/BE714-1)*100)&lt;-50,"NM",(BM714/BE714-1)*100)))</f>
        <v>NM</v>
      </c>
      <c r="BO714" s="101">
        <v>5878</v>
      </c>
      <c r="BP714" s="98">
        <f t="shared" ref="BP714:BP724" si="4348">IF(ISERROR((BO714/BG714-1)*100),"NA",IF(((BO714/BG714-1)*100)&gt;100,"NM",IF(((BO714/BG714-1)*100)&lt;-50,"NM",(BO714/BG714-1)*100)))</f>
        <v>74.162962962962965</v>
      </c>
      <c r="BQ714" s="101">
        <v>623</v>
      </c>
      <c r="BR714" s="98" t="str">
        <f t="shared" ref="BR714:BR724" si="4349">IF(ISERROR((BQ714/BI714-1)*100),"NA",IF(((BQ714/BI714-1)*100)&gt;100,"NM",IF(((BQ714/BI714-1)*100)&lt;-50,"NM",(BQ714/BI714-1)*100)))</f>
        <v>NM</v>
      </c>
      <c r="BS714" s="101">
        <v>1106</v>
      </c>
      <c r="BT714" s="98">
        <f t="shared" ref="BT714:BT724" si="4350">IF(ISERROR((BS714/BK714-1)*100),"NA",IF(((BS714/BK714-1)*100)&gt;100,"NM",IF(((BS714/BK714-1)*100)&lt;-50,"NM",(BS714/BK714-1)*100)))</f>
        <v>-41.170212765957444</v>
      </c>
      <c r="BU714" s="101">
        <v>2659</v>
      </c>
      <c r="BV714" s="98" t="str">
        <f t="shared" ref="BV714:BV724" si="4351">IF(ISERROR((BU714/BM714-1)*100),"NA",IF(((BU714/BM714-1)*100)&gt;100,"NM",IF(((BU714/BM714-1)*100)&lt;-50,"NM",(BU714/BM714-1)*100)))</f>
        <v>NM</v>
      </c>
      <c r="BW714" s="101">
        <v>5878</v>
      </c>
      <c r="BX714" s="98">
        <f t="shared" ref="BX714:BX724" si="4352">IF(ISERROR((BW714/BO714-1)*100),"NA",IF(((BW714/BO714-1)*100)&gt;100,"NM",IF(((BW714/BO714-1)*100)&lt;-50,"NM",(BW714/BO714-1)*100)))</f>
        <v>0</v>
      </c>
      <c r="BY714" s="101">
        <v>4757</v>
      </c>
      <c r="BZ714" s="98" t="str">
        <f t="shared" ref="BZ714:BZ724" si="4353">IF(ISERROR((BY714/BQ714-1)*100),"NA",IF(((BY714/BQ714-1)*100)&gt;100,"NM",IF(((BY714/BQ714-1)*100)&lt;-50,"NM",(BY714/BQ714-1)*100)))</f>
        <v>NM</v>
      </c>
      <c r="CA714" s="101">
        <v>2131</v>
      </c>
      <c r="CB714" s="98">
        <f t="shared" ref="CB714:CB724" si="4354">IF(ISERROR((CA714/BS714-1)*100),"NA",IF(((CA714/BS714-1)*100)&gt;100,"NM",IF(((CA714/BS714-1)*100)&lt;-50,"NM",(CA714/BS714-1)*100)))</f>
        <v>92.676311030741402</v>
      </c>
      <c r="CC714" s="101">
        <v>912</v>
      </c>
      <c r="CD714" s="98" t="str">
        <f t="shared" ref="CD714:CD724" si="4355">IF(ISERROR((CC714/BU714-1)*100),"NA",IF(((CC714/BU714-1)*100)&gt;100,"NM",IF(((CC714/BU714-1)*100)&lt;-50,"NM",(CC714/BU714-1)*100)))</f>
        <v>NM</v>
      </c>
      <c r="CE714" s="101">
        <v>318</v>
      </c>
      <c r="CF714" s="98" t="str">
        <f t="shared" ref="CF714:CF724" si="4356">IF(ISERROR((CE714/BW714-1)*100),"NA",IF(((CE714/BW714-1)*100)&gt;100,"NM",IF(((CE714/BW714-1)*100)&lt;-50,"NM",(CE714/BW714-1)*100)))</f>
        <v>NM</v>
      </c>
      <c r="CG714" s="101">
        <v>879</v>
      </c>
      <c r="CH714" s="98" t="str">
        <f t="shared" ref="CH714:CH724" si="4357">IF(ISERROR((CG714/BY714-1)*100),"NA",IF(((CG714/BY714-1)*100)&gt;100,"NM",IF(((CG714/BY714-1)*100)&lt;-50,"NM",(CG714/BY714-1)*100)))</f>
        <v>NM</v>
      </c>
      <c r="CI714" s="101">
        <v>2057</v>
      </c>
      <c r="CJ714" s="98">
        <f t="shared" ref="CJ714:CJ724" si="4358">IF(ISERROR((CI714/CA714-1)*100),"NA",IF(((CI714/CA714-1)*100)&gt;100,"NM",IF(((CI714/CA714-1)*100)&lt;-50,"NM",(CI714/CA714-1)*100)))</f>
        <v>-3.4725480994838076</v>
      </c>
      <c r="CK714" s="101">
        <v>306</v>
      </c>
      <c r="CL714" s="98" t="str">
        <f t="shared" ref="CL714:CL724" si="4359">IF(ISERROR((CK714/CC714-1)*100),"NA",IF(((CK714/CC714-1)*100)&gt;100,"NM",IF(((CK714/CC714-1)*100)&lt;-50,"NM",(CK714/CC714-1)*100)))</f>
        <v>NM</v>
      </c>
      <c r="CM714" s="101">
        <v>572</v>
      </c>
      <c r="CN714" s="98">
        <f t="shared" ref="CN714:CN724" si="4360">IF(ISERROR((CM714/CE714-1)*100),"NA",IF(((CM714/CE714-1)*100)&gt;100,"NM",IF(((CM714/CE714-1)*100)&lt;-50,"NM",(CM714/CE714-1)*100)))</f>
        <v>79.874213836477992</v>
      </c>
      <c r="CO714" s="101">
        <v>102</v>
      </c>
      <c r="CP714" s="98" t="str">
        <f t="shared" ref="CP714:CT724" si="4361">IF(ISERROR((CO714/CG714-1)*100),"NA",IF(((CO714/CG714-1)*100)&gt;100,"NM",IF(((CO714/CG714-1)*100)&lt;-50,"NM",(CO714/CG714-1)*100)))</f>
        <v>NM</v>
      </c>
      <c r="CQ714" s="542">
        <v>451</v>
      </c>
      <c r="CR714" s="98" t="str">
        <f t="shared" si="4361"/>
        <v>NM</v>
      </c>
      <c r="CS714" s="101">
        <v>686</v>
      </c>
      <c r="CT714" s="98" t="str">
        <f t="shared" si="4361"/>
        <v>NM</v>
      </c>
      <c r="CU714" s="101">
        <v>101</v>
      </c>
      <c r="CV714" s="98" t="str">
        <f t="shared" ref="CV714:CV724" si="4362">IF(ISERROR((CU714/CM714-1)*100),"NA",IF(((CU714/CM714-1)*100)&gt;100,"NM",IF(((CU714/CM714-1)*100)&lt;-50,"NM",(CU714/CM714-1)*100)))</f>
        <v>NM</v>
      </c>
      <c r="CW714" s="101">
        <v>101</v>
      </c>
      <c r="CX714" s="98">
        <f t="shared" ref="CX714:CX724" si="4363">IF(ISERROR((CW714/CO714-1)*100),"NA",IF(((CW714/CO714-1)*100)&gt;100,"NM",IF(((CW714/CO714-1)*100)&lt;-50,"NM",(CW714/CO714-1)*100)))</f>
        <v>-0.98039215686274161</v>
      </c>
      <c r="CY714" s="101">
        <v>100</v>
      </c>
      <c r="CZ714" s="98" t="str">
        <f t="shared" ref="CZ714:CZ724" si="4364">IF(ISERROR((CY714/CQ714-1)*100),"NA",IF(((CY714/CQ714-1)*100)&gt;100,"NM",IF(((CY714/CQ714-1)*100)&lt;-50,"NM",(CY714/CQ714-1)*100)))</f>
        <v>NM</v>
      </c>
      <c r="DA714" s="101">
        <v>100</v>
      </c>
      <c r="DB714" s="98" t="str">
        <f t="shared" ref="DB714:DB724" si="4365">IF(ISERROR((DA714/CS714-1)*100),"NA",IF(((DA714/CS714-1)*100)&gt;100,"NM",IF(((DA714/CS714-1)*100)&lt;-50,"NM",(DA714/CS714-1)*100)))</f>
        <v>NM</v>
      </c>
      <c r="DC714" s="101">
        <v>100</v>
      </c>
      <c r="DD714" s="98">
        <f t="shared" ref="DD714:DD724" si="4366">IF(ISERROR((DC714/CU714-1)*100),"NA",IF(((DC714/CU714-1)*100)&gt;100,"NM",IF(((DC714/CU714-1)*100)&lt;-50,"NM",(DC714/CU714-1)*100)))</f>
        <v>-0.99009900990099098</v>
      </c>
      <c r="DE714" s="101">
        <v>100</v>
      </c>
      <c r="DF714" s="98">
        <f t="shared" ref="DF714:DF724" si="4367">IF(ISERROR((DE714/CW714-1)*100),"NA",IF(((DE714/CW714-1)*100)&gt;100,"NM",IF(((DE714/CW714-1)*100)&lt;-50,"NM",(DE714/CW714-1)*100)))</f>
        <v>-0.99009900990099098</v>
      </c>
      <c r="DG714" s="101">
        <v>100</v>
      </c>
      <c r="DH714" s="98">
        <f t="shared" ref="DH714:DH724" si="4368">IF(ISERROR((DG714/CY714-1)*100),"NA",IF(((DG714/CY714-1)*100)&gt;100,"NM",IF(((DG714/CY714-1)*100)&lt;-50,"NM",(DG714/CY714-1)*100)))</f>
        <v>0</v>
      </c>
      <c r="DI714" s="101">
        <v>175</v>
      </c>
      <c r="DJ714" s="98">
        <f t="shared" ref="DJ714:DJ724" si="4369">IF(ISERROR((DI714/DA714-1)*100),"NA",IF(((DI714/DA714-1)*100)&gt;100,"NM",IF(((DI714/DA714-1)*100)&lt;-50,"NM",(DI714/DA714-1)*100)))</f>
        <v>75</v>
      </c>
      <c r="DK714" s="101">
        <v>100</v>
      </c>
      <c r="DL714" s="98">
        <f t="shared" ref="DL714:DL724" si="4370">IF(ISERROR((DK714/DC714-1)*100),"NA",IF(((DK714/DC714-1)*100)&gt;100,"NM",IF(((DK714/DC714-1)*100)&lt;-50,"NM",(DK714/DC714-1)*100)))</f>
        <v>0</v>
      </c>
      <c r="DM714" s="101">
        <v>100</v>
      </c>
      <c r="DN714" s="98">
        <f t="shared" ref="DN714:DZ724" si="4371">IF(ISERROR((DM714/DE714-1)*100),"NA",IF(((DM714/DE714-1)*100)&gt;100,"NM",IF(((DM714/DE714-1)*100)&lt;-50,"NM",(DM714/DE714-1)*100)))</f>
        <v>0</v>
      </c>
      <c r="DO714" s="101">
        <v>100</v>
      </c>
      <c r="DP714" s="98">
        <f t="shared" si="4371"/>
        <v>0</v>
      </c>
      <c r="DQ714" s="101">
        <v>100</v>
      </c>
      <c r="DR714" s="98">
        <f t="shared" si="4371"/>
        <v>-42.857142857142861</v>
      </c>
      <c r="DS714" s="101">
        <v>100</v>
      </c>
      <c r="DT714" s="98">
        <f t="shared" si="4371"/>
        <v>0</v>
      </c>
      <c r="DU714" s="101">
        <v>100</v>
      </c>
      <c r="DV714" s="98">
        <f t="shared" si="4371"/>
        <v>0</v>
      </c>
      <c r="DW714" s="101">
        <v>100</v>
      </c>
      <c r="DX714" s="98">
        <f t="shared" si="4371"/>
        <v>0</v>
      </c>
      <c r="DY714" s="101">
        <v>100</v>
      </c>
      <c r="DZ714" s="98">
        <f t="shared" si="4371"/>
        <v>0</v>
      </c>
      <c r="EA714" s="101">
        <v>100</v>
      </c>
      <c r="EB714" s="98">
        <f t="shared" ref="EB714:EB724" si="4372">IF(ISERROR((EA714/DS714-1)*100),"NA",IF(((EA714/DS714-1)*100)&gt;100,"NM",IF(((EA714/DS714-1)*100)&lt;-50,"NM",(EA714/DS714-1)*100)))</f>
        <v>0</v>
      </c>
      <c r="EC714" s="101">
        <v>103</v>
      </c>
      <c r="ED714" s="98">
        <f t="shared" ref="ED714:ED724" si="4373">IF(ISERROR((EC714/DU714-1)*100),"NA",IF(((EC714/DU714-1)*100)&gt;100,"NM",IF(((EC714/DU714-1)*100)&lt;-50,"NM",(EC714/DU714-1)*100)))</f>
        <v>3.0000000000000027</v>
      </c>
      <c r="EE714" s="101">
        <v>201</v>
      </c>
      <c r="EF714" s="860" t="str">
        <f t="shared" ref="EF714:EF724" si="4374">IF(ISERROR((EE714/DW714-1)*100),"NA",IF(((EE714/DW714-1)*100)&gt;100,"NM",IF(((EE714/DW714-1)*100)&lt;-50,"NM",(EE714/DW714-1)*100)))</f>
        <v>NM</v>
      </c>
      <c r="EG714" s="101">
        <v>242</v>
      </c>
      <c r="EH714" s="860" t="str">
        <f t="shared" ref="EH714:EH724" si="4375">IF(ISERROR((EG714/DY714-1)*100),"NA",IF(((EG714/DY714-1)*100)&gt;100,"NM",IF(((EG714/DY714-1)*100)&lt;-50,"NM",(EG714/DY714-1)*100)))</f>
        <v>NM</v>
      </c>
      <c r="EI714" s="101">
        <v>260</v>
      </c>
      <c r="EJ714" s="98" t="str">
        <f t="shared" ref="EJ714:EJ724" si="4376">IF(ISERROR((EI714/EA714-1)*100),"NA",IF(((EI714/EA714-1)*100)&gt;100,"NM",IF(((EI714/EA714-1)*100)&lt;-50,"NM",(EI714/EA714-1)*100)))</f>
        <v>NM</v>
      </c>
      <c r="EK714" s="101">
        <v>235</v>
      </c>
      <c r="EL714" s="860" t="str">
        <f t="shared" ref="EL714:EL724" si="4377">IF(ISERROR((EK714/EC714-1)*100),"NA",IF(((EK714/EC714-1)*100)&gt;100,"NM",IF(((EK714/EC714-1)*100)&lt;-50,"NM",(EK714/EC714-1)*100)))</f>
        <v>NM</v>
      </c>
      <c r="EM714" s="950">
        <v>214</v>
      </c>
      <c r="EN714" s="860">
        <f t="shared" ref="EN714:EN724" si="4378">IF(ISERROR((EM714/EE714-1)*100),"NA",IF(((EM714/EE714-1)*100)&gt;100,"NM",IF(((EM714/EE714-1)*100)&lt;-50,"NM",(EM714/EE714-1)*100)))</f>
        <v>6.4676616915422924</v>
      </c>
      <c r="EO714" s="950">
        <v>477</v>
      </c>
      <c r="EP714" s="98">
        <f t="shared" ref="EP714:EP724" si="4379">IF(ISERROR((EO714/EG714-1)*100),"NA",IF(((EO714/EG714-1)*100)&gt;100,"NM",IF(((EO714/EG714-1)*100)&lt;-50,"NM",(EO714/EG714-1)*100)))</f>
        <v>97.107438016528931</v>
      </c>
      <c r="EQ714" s="952">
        <f>EO714*1.05</f>
        <v>500.85</v>
      </c>
      <c r="ER714" s="98">
        <f t="shared" ref="ER714:ER724" si="4380">IF(ISERROR((EQ714/EI714-1)*100),"NA",IF(((EQ714/EI714-1)*100)&gt;100,"NM",IF(((EQ714/EI714-1)*100)&lt;-50,"NM",(EQ714/EI714-1)*100)))</f>
        <v>92.634615384615387</v>
      </c>
      <c r="ES714" s="952">
        <f t="shared" ref="ES714" si="4381">EQ714*1.05</f>
        <v>525.89250000000004</v>
      </c>
      <c r="ET714" s="98" t="str">
        <f t="shared" ref="ET714:ET724" si="4382">IF(ISERROR((ES714/EK714-1)*100),"NA",IF(((ES714/EK714-1)*100)&gt;100,"NM",IF(((ES714/EK714-1)*100)&lt;-50,"NM",(ES714/EK714-1)*100)))</f>
        <v>NM</v>
      </c>
      <c r="EU714" s="952">
        <f t="shared" ref="EU714" si="4383">ES714*1.05</f>
        <v>552.18712500000004</v>
      </c>
      <c r="EV714" s="98" t="str">
        <f t="shared" ref="EV714:EV724" si="4384">IF(ISERROR((EU714/EM714-1)*100),"NA",IF(((EU714/EM714-1)*100)&gt;100,"NM",IF(((EU714/EM714-1)*100)&lt;-50,"NM",(EU714/EM714-1)*100)))</f>
        <v>NM</v>
      </c>
      <c r="EW714" s="952">
        <f t="shared" ref="EW714" si="4385">EU714*1.05</f>
        <v>579.79648125000006</v>
      </c>
      <c r="EX714" s="98">
        <f t="shared" ref="EX714:EX724" si="4386">IF(ISERROR((EW714/EO714-1)*100),"NA",IF(((EW714/EO714-1)*100)&gt;100,"NM",IF(((EW714/EO714-1)*100)&lt;-50,"NM",(EW714/EO714-1)*100)))</f>
        <v>21.550625</v>
      </c>
      <c r="EY714" s="121"/>
      <c r="EZ714" s="594"/>
      <c r="FA714" s="405"/>
      <c r="FB714" s="121">
        <v>3584</v>
      </c>
      <c r="FC714" s="98"/>
      <c r="FD714" s="101">
        <v>4208</v>
      </c>
      <c r="FE714" s="98">
        <f t="shared" ref="FE714:FE724" si="4387">IF(ISERROR((FD714/FB714-1)*100),"NA",IF(((FD714/FB714-1)*100)&gt;100,"NM",IF(((FD714/FB714-1)*100)&lt;-50,"NM",(FD714/FB714-1)*100)))</f>
        <v>17.410714285714278</v>
      </c>
      <c r="FF714" s="118">
        <f>I714</f>
        <v>1094</v>
      </c>
      <c r="FG714" s="98" t="str">
        <f t="shared" ref="FG714:FG724" si="4388">IF(ISERROR((FF714/FD714-1)*100),"NA",IF(((FF714/FD714-1)*100)&gt;100,"NM",IF(((FF714/FD714-1)*100)&lt;-50,"NM",(FF714/FD714-1)*100)))</f>
        <v>NM</v>
      </c>
      <c r="FH714" s="118">
        <f>Q714</f>
        <v>355</v>
      </c>
      <c r="FI714" s="98" t="str">
        <f t="shared" ref="FI714:FI724" si="4389">IF(ISERROR((FH714/FF714-1)*100),"NA",IF(((FH714/FF714-1)*100)&gt;100,"NM",IF(((FH714/FF714-1)*100)&lt;-50,"NM",(FH714/FF714-1)*100)))</f>
        <v>NM</v>
      </c>
      <c r="FJ714" s="118">
        <f>Y714</f>
        <v>1161</v>
      </c>
      <c r="FK714" s="98" t="str">
        <f t="shared" ref="FK714:FK724" si="4390">IF(ISERROR((FJ714/FH714-1)*100),"NA",IF(((FJ714/FH714-1)*100)&gt;100,"NM",IF(((FJ714/FH714-1)*100)&lt;-50,"NM",(FJ714/FH714-1)*100)))</f>
        <v>NM</v>
      </c>
      <c r="FL714" s="118">
        <f>AG714</f>
        <v>3642</v>
      </c>
      <c r="FM714" s="98" t="str">
        <f t="shared" ref="FM714:FM724" si="4391">IF(ISERROR((FL714/FJ714-1)*100),"NA",IF(((FL714/FJ714-1)*100)&gt;100,"NM",IF(((FL714/FJ714-1)*100)&lt;-50,"NM",(FL714/FJ714-1)*100)))</f>
        <v>NM</v>
      </c>
      <c r="FN714" s="118">
        <f>AO714</f>
        <v>1445</v>
      </c>
      <c r="FO714" s="98" t="str">
        <f t="shared" ref="FO714:FO724" si="4392">IF(ISERROR((FN714/FL714-1)*100),"NA",IF(((FN714/FL714-1)*100)&gt;100,"NM",IF(((FN714/FL714-1)*100)&lt;-50,"NM",(FN714/FL714-1)*100)))</f>
        <v>NM</v>
      </c>
      <c r="FP714" s="118">
        <f>AW714</f>
        <v>1609</v>
      </c>
      <c r="FQ714" s="98">
        <f t="shared" ref="FQ714:FQ724" si="4393">IF(ISERROR((FP714/FN714-1)*100),"NA",IF(((FP714/FN714-1)*100)&gt;100,"NM",IF(((FP714/FN714-1)*100)&lt;-50,"NM",(FP714/FN714-1)*100)))</f>
        <v>11.349480968858128</v>
      </c>
      <c r="FR714" s="118">
        <f>BE714</f>
        <v>1449</v>
      </c>
      <c r="FS714" s="98">
        <f t="shared" ref="FS714:FS724" si="4394">IF(ISERROR((FR714/FP714-1)*100),"NA",IF(((FR714/FP714-1)*100)&gt;100,"NM",IF(((FR714/FP714-1)*100)&lt;-50,"NM",(FR714/FP714-1)*100)))</f>
        <v>-9.9440646364201353</v>
      </c>
      <c r="FT714" s="118">
        <f>BM714</f>
        <v>667</v>
      </c>
      <c r="FU714" s="98" t="str">
        <f t="shared" ref="FU714:FU724" si="4395">IF(ISERROR((FT714/FR714-1)*100),"NA",IF(((FT714/FR714-1)*100)&gt;100,"NM",IF(((FT714/FR714-1)*100)&lt;-50,"NM",(FT714/FR714-1)*100)))</f>
        <v>NM</v>
      </c>
      <c r="FV714" s="118">
        <f>BU714</f>
        <v>2659</v>
      </c>
      <c r="FW714" s="98" t="str">
        <f t="shared" ref="FW714:FW724" si="4396">IF(ISERROR((FV714/FT714-1)*100),"NA",IF(((FV714/FT714-1)*100)&gt;100,"NM",IF(((FV714/FT714-1)*100)&lt;-50,"NM",(FV714/FT714-1)*100)))</f>
        <v>NM</v>
      </c>
      <c r="FX714" s="510">
        <f>CC714</f>
        <v>912</v>
      </c>
      <c r="FY714" s="98" t="str">
        <f t="shared" ref="FY714:FY724" si="4397">IF(ISERROR((FX714/FV714-1)*100),"NA",IF(((FX714/FV714-1)*100)&gt;100,"NM",IF(((FX714/FV714-1)*100)&lt;-50,"NM",(FX714/FV714-1)*100)))</f>
        <v>NM</v>
      </c>
      <c r="FZ714" s="118">
        <f>CK714</f>
        <v>306</v>
      </c>
      <c r="GA714" s="98" t="str">
        <f t="shared" ref="GA714:GA724" si="4398">IF(ISERROR((FZ714/FX714-1)*100),"NA",IF(((FZ714/FX714-1)*100)&gt;100,"NM",IF(((FZ714/FX714-1)*100)&lt;-50,"NM",(FZ714/FX714-1)*100)))</f>
        <v>NM</v>
      </c>
      <c r="GB714" s="510">
        <f>CS714</f>
        <v>686</v>
      </c>
      <c r="GC714" s="98" t="str">
        <f t="shared" ref="GC714:GC724" si="4399">IF(ISERROR((GB714/FZ714-1)*100),"NA",IF(((GB714/FZ714-1)*100)&gt;100,"NM",IF(((GB714/FZ714-1)*100)&lt;-50,"NM",(GB714/FZ714-1)*100)))</f>
        <v>NM</v>
      </c>
      <c r="GD714" s="118">
        <f>DA714</f>
        <v>100</v>
      </c>
      <c r="GE714" s="98" t="str">
        <f t="shared" ref="GE714:GW724" si="4400">IF(ISERROR((GD714/GB714-1)*100),"NA",IF(((GD714/GB714-1)*100)&gt;100,"NM",IF(((GD714/GB714-1)*100)&lt;-50,"NM",(GD714/GB714-1)*100)))</f>
        <v>NM</v>
      </c>
      <c r="GF714" s="118">
        <f>DI714</f>
        <v>175</v>
      </c>
      <c r="GG714" s="98">
        <f t="shared" si="4400"/>
        <v>75</v>
      </c>
      <c r="GH714" s="118">
        <f>DQ714</f>
        <v>100</v>
      </c>
      <c r="GI714" s="98">
        <f t="shared" si="4400"/>
        <v>-42.857142857142861</v>
      </c>
      <c r="GJ714" s="118">
        <f>DY714</f>
        <v>100</v>
      </c>
      <c r="GK714" s="98">
        <f t="shared" si="4400"/>
        <v>0</v>
      </c>
      <c r="GL714" s="118">
        <f>EG714</f>
        <v>242</v>
      </c>
      <c r="GM714" s="98" t="str">
        <f t="shared" si="4400"/>
        <v>NM</v>
      </c>
      <c r="GN714" s="118">
        <f>EO714</f>
        <v>477</v>
      </c>
      <c r="GO714" s="98">
        <f t="shared" si="4400"/>
        <v>97.107438016528931</v>
      </c>
      <c r="GP714" s="118">
        <f>EW714</f>
        <v>579.79648125000006</v>
      </c>
      <c r="GQ714" s="98">
        <f t="shared" si="4400"/>
        <v>21.550625</v>
      </c>
      <c r="GR714" s="121">
        <f>+GP714*1.05</f>
        <v>608.78630531250008</v>
      </c>
      <c r="GS714" s="98">
        <f t="shared" si="4400"/>
        <v>5.0000000000000044</v>
      </c>
      <c r="GT714" s="121">
        <f>+GR714*1.05</f>
        <v>639.22562057812513</v>
      </c>
      <c r="GU714" s="98">
        <f t="shared" si="4400"/>
        <v>5.0000000000000044</v>
      </c>
      <c r="GV714" s="121">
        <f>+GT714*1.05</f>
        <v>671.18690160703136</v>
      </c>
      <c r="GW714" s="98">
        <f t="shared" si="4400"/>
        <v>5.0000000000000044</v>
      </c>
      <c r="GX714" s="121">
        <f>+GV714*1.05</f>
        <v>704.74624668738295</v>
      </c>
      <c r="GY714" s="98">
        <f t="shared" ref="GY714:GY724" si="4401">IF(ISERROR((GX714/GV714-1)*100),"NA",IF(((GX714/GV714-1)*100)&gt;100,"NM",IF(((GX714/GV714-1)*100)&lt;-50,"NM",(GX714/GV714-1)*100)))</f>
        <v>5.0000000000000044</v>
      </c>
      <c r="GZ714" s="98">
        <f t="shared" ref="GZ714:GZ724" si="4402">IF(ISERROR(((GX714/GN714)^0.2-1)*100),"NA",IF((((GX714/GN714)^0.2-1)*100)&gt;100,"NM",IF((((GX714/GN714)^0.2-1)*100)&lt;-50,"NM",((GX714/GN714)^0.2-1)*100)))</f>
        <v>8.1192136732305631</v>
      </c>
      <c r="HA714" s="98"/>
      <c r="HB714" s="10"/>
      <c r="HC714"/>
      <c r="HD714"/>
      <c r="HE714"/>
      <c r="HF714"/>
      <c r="HG714"/>
      <c r="HH714"/>
      <c r="HI714" s="10"/>
    </row>
    <row r="715" spans="1:217" s="2" customFormat="1" ht="12.75" customHeight="1" x14ac:dyDescent="0.2">
      <c r="A715" s="10" t="s">
        <v>453</v>
      </c>
      <c r="B715" s="179" t="s">
        <v>268</v>
      </c>
      <c r="C715" s="101">
        <v>2793</v>
      </c>
      <c r="D715" s="98"/>
      <c r="E715" s="101">
        <v>2833</v>
      </c>
      <c r="F715" s="98"/>
      <c r="G715" s="101">
        <v>2892</v>
      </c>
      <c r="H715" s="98"/>
      <c r="I715" s="101">
        <v>2426</v>
      </c>
      <c r="J715" s="98"/>
      <c r="K715" s="101">
        <v>2402</v>
      </c>
      <c r="L715" s="98">
        <f t="shared" si="4321"/>
        <v>-13.999283924095952</v>
      </c>
      <c r="M715" s="101">
        <v>2285</v>
      </c>
      <c r="N715" s="98">
        <f t="shared" si="4322"/>
        <v>-19.343452170843634</v>
      </c>
      <c r="O715" s="101">
        <v>2304</v>
      </c>
      <c r="P715" s="98">
        <f t="shared" si="4323"/>
        <v>-20.331950207468886</v>
      </c>
      <c r="Q715" s="101">
        <v>3628</v>
      </c>
      <c r="R715" s="98">
        <f t="shared" si="4324"/>
        <v>49.546578730420457</v>
      </c>
      <c r="S715" s="101">
        <v>3434</v>
      </c>
      <c r="T715" s="98">
        <f t="shared" si="4325"/>
        <v>42.964196502914234</v>
      </c>
      <c r="U715" s="101">
        <v>3436</v>
      </c>
      <c r="V715" s="98">
        <f t="shared" si="4326"/>
        <v>50.371991247264766</v>
      </c>
      <c r="W715" s="101">
        <v>3428</v>
      </c>
      <c r="X715" s="98">
        <f t="shared" si="4327"/>
        <v>48.784722222222229</v>
      </c>
      <c r="Y715" s="101">
        <v>4425</v>
      </c>
      <c r="Z715" s="98">
        <f>IF(ISERROR((Y715/Q715-1)*100),"NA",IF(((Y715/Q715-1)*100)&gt;100,"NM",IF(((Y715/Q715-1)*100)&lt;-50,"NM",(Y715/Q715-1)*100)))</f>
        <v>21.968026460859981</v>
      </c>
      <c r="AA715" s="101">
        <v>5481</v>
      </c>
      <c r="AB715" s="98">
        <f t="shared" si="4328"/>
        <v>59.609784507862543</v>
      </c>
      <c r="AC715" s="101">
        <v>5562</v>
      </c>
      <c r="AD715" s="98">
        <f t="shared" si="4329"/>
        <v>61.874272409778811</v>
      </c>
      <c r="AE715" s="101">
        <v>5703</v>
      </c>
      <c r="AF715" s="98">
        <f t="shared" si="4330"/>
        <v>66.365227537922976</v>
      </c>
      <c r="AG715" s="101">
        <v>5703</v>
      </c>
      <c r="AH715" s="98">
        <f t="shared" si="4331"/>
        <v>28.881355932203402</v>
      </c>
      <c r="AI715" s="101">
        <v>5707</v>
      </c>
      <c r="AJ715" s="98">
        <f t="shared" si="4332"/>
        <v>4.1233351578179089</v>
      </c>
      <c r="AK715" s="101">
        <v>6226</v>
      </c>
      <c r="AL715" s="98">
        <f t="shared" si="4333"/>
        <v>11.938151743976988</v>
      </c>
      <c r="AM715" s="101">
        <v>6695</v>
      </c>
      <c r="AN715" s="98">
        <f t="shared" si="4334"/>
        <v>17.394353848851484</v>
      </c>
      <c r="AO715" s="101">
        <v>7412</v>
      </c>
      <c r="AP715" s="98">
        <f t="shared" si="4335"/>
        <v>29.966684201297554</v>
      </c>
      <c r="AQ715" s="101">
        <v>7414</v>
      </c>
      <c r="AR715" s="98">
        <f t="shared" si="4336"/>
        <v>29.910636060977748</v>
      </c>
      <c r="AS715" s="101">
        <v>9304</v>
      </c>
      <c r="AT715" s="98">
        <f t="shared" si="4337"/>
        <v>49.437841310632827</v>
      </c>
      <c r="AU715" s="101">
        <v>9492</v>
      </c>
      <c r="AV715" s="98">
        <f t="shared" si="4338"/>
        <v>41.777445855115758</v>
      </c>
      <c r="AW715" s="101">
        <v>9888</v>
      </c>
      <c r="AX715" s="98">
        <f t="shared" si="4339"/>
        <v>33.405288720992978</v>
      </c>
      <c r="AY715" s="101">
        <v>9932</v>
      </c>
      <c r="AZ715" s="98">
        <f t="shared" si="4340"/>
        <v>33.962773131912606</v>
      </c>
      <c r="BA715" s="101">
        <v>10737</v>
      </c>
      <c r="BB715" s="98">
        <f t="shared" si="4341"/>
        <v>15.401977644024068</v>
      </c>
      <c r="BC715" s="101">
        <v>10711</v>
      </c>
      <c r="BD715" s="98">
        <f t="shared" si="4342"/>
        <v>12.842393594605994</v>
      </c>
      <c r="BE715" s="101">
        <v>9979</v>
      </c>
      <c r="BF715" s="98">
        <f t="shared" si="4343"/>
        <v>0.92030744336568659</v>
      </c>
      <c r="BG715" s="101">
        <v>10338</v>
      </c>
      <c r="BH715" s="98">
        <f t="shared" si="4344"/>
        <v>4.0877970197341851</v>
      </c>
      <c r="BI715" s="101">
        <v>12497</v>
      </c>
      <c r="BJ715" s="98">
        <f t="shared" si="4345"/>
        <v>16.39191580515973</v>
      </c>
      <c r="BK715" s="101">
        <f>8931+2327</f>
        <v>11258</v>
      </c>
      <c r="BL715" s="98">
        <f t="shared" si="4346"/>
        <v>5.1068994491644037</v>
      </c>
      <c r="BM715" s="101">
        <f>9100+4882</f>
        <v>13982</v>
      </c>
      <c r="BN715" s="98">
        <f t="shared" si="4347"/>
        <v>40.114239903797966</v>
      </c>
      <c r="BO715" s="101">
        <f>11042+5242</f>
        <v>16284</v>
      </c>
      <c r="BP715" s="98">
        <f t="shared" si="4348"/>
        <v>57.515960533952402</v>
      </c>
      <c r="BQ715" s="101">
        <f>9167+4997</f>
        <v>14164</v>
      </c>
      <c r="BR715" s="98">
        <f t="shared" si="4349"/>
        <v>13.339201408337997</v>
      </c>
      <c r="BS715" s="101">
        <f>10811+5132</f>
        <v>15943</v>
      </c>
      <c r="BT715" s="98">
        <f t="shared" si="4350"/>
        <v>41.614851661041044</v>
      </c>
      <c r="BU715" s="101">
        <f>9667+5192</f>
        <v>14859</v>
      </c>
      <c r="BV715" s="98">
        <f t="shared" si="4351"/>
        <v>6.2723501644972091</v>
      </c>
      <c r="BW715" s="101">
        <f>11042+5242</f>
        <v>16284</v>
      </c>
      <c r="BX715" s="98">
        <f t="shared" si="4352"/>
        <v>0</v>
      </c>
      <c r="BY715" s="101">
        <f>12940+5297</f>
        <v>18237</v>
      </c>
      <c r="BZ715" s="98">
        <f t="shared" si="4353"/>
        <v>28.756001129624398</v>
      </c>
      <c r="CA715" s="101">
        <f>13202+5297</f>
        <v>18499</v>
      </c>
      <c r="CB715" s="98">
        <f t="shared" si="4354"/>
        <v>16.032114407576991</v>
      </c>
      <c r="CC715" s="101">
        <f>13220+5297</f>
        <v>18517</v>
      </c>
      <c r="CD715" s="98">
        <f t="shared" si="4355"/>
        <v>24.618076586580528</v>
      </c>
      <c r="CE715" s="101">
        <f>20177+5127</f>
        <v>25304</v>
      </c>
      <c r="CF715" s="98">
        <f t="shared" si="4356"/>
        <v>55.391795627609916</v>
      </c>
      <c r="CG715" s="101">
        <f>20647+5297</f>
        <v>25944</v>
      </c>
      <c r="CH715" s="98">
        <f t="shared" si="4357"/>
        <v>42.260240171080767</v>
      </c>
      <c r="CI715" s="101">
        <f>24512+5297</f>
        <v>29809</v>
      </c>
      <c r="CJ715" s="98">
        <f t="shared" si="4358"/>
        <v>61.138439915671114</v>
      </c>
      <c r="CK715" s="101">
        <f>27586+5297</f>
        <v>32883</v>
      </c>
      <c r="CL715" s="98">
        <f t="shared" si="4359"/>
        <v>77.582761786466477</v>
      </c>
      <c r="CM715" s="101">
        <f>27604+5297</f>
        <v>32901</v>
      </c>
      <c r="CN715" s="98">
        <f t="shared" si="4360"/>
        <v>30.022921277268424</v>
      </c>
      <c r="CO715" s="101">
        <f>28269+5297</f>
        <v>33566</v>
      </c>
      <c r="CP715" s="98">
        <f t="shared" si="4361"/>
        <v>29.378661732963309</v>
      </c>
      <c r="CQ715" s="542">
        <f>24753+5297</f>
        <v>30050</v>
      </c>
      <c r="CR715" s="98">
        <f t="shared" si="4361"/>
        <v>0.80848066020329235</v>
      </c>
      <c r="CS715" s="101">
        <f>23692+4647</f>
        <v>28339</v>
      </c>
      <c r="CT715" s="98">
        <f t="shared" si="4361"/>
        <v>-13.818690508773535</v>
      </c>
      <c r="CU715" s="101">
        <f>23389+4647</f>
        <v>28036</v>
      </c>
      <c r="CV715" s="98">
        <f t="shared" si="4362"/>
        <v>-14.786784596212875</v>
      </c>
      <c r="CW715" s="101">
        <f>18879+4196</f>
        <v>23075</v>
      </c>
      <c r="CX715" s="98">
        <f t="shared" si="4363"/>
        <v>-31.254841208365612</v>
      </c>
      <c r="CY715" s="101">
        <v>19621</v>
      </c>
      <c r="CZ715" s="98">
        <f t="shared" si="4364"/>
        <v>-34.705490848585683</v>
      </c>
      <c r="DA715" s="101">
        <v>19062</v>
      </c>
      <c r="DB715" s="98">
        <f t="shared" si="4365"/>
        <v>-32.735805780020463</v>
      </c>
      <c r="DC715" s="101">
        <v>18721</v>
      </c>
      <c r="DD715" s="98">
        <f t="shared" si="4366"/>
        <v>-33.225139106862599</v>
      </c>
      <c r="DE715" s="101">
        <v>18577</v>
      </c>
      <c r="DF715" s="98">
        <f t="shared" si="4367"/>
        <v>-19.492957746478879</v>
      </c>
      <c r="DG715" s="101">
        <v>18252</v>
      </c>
      <c r="DH715" s="98">
        <f t="shared" si="4368"/>
        <v>-6.977218286529741</v>
      </c>
      <c r="DI715" s="101">
        <v>18653</v>
      </c>
      <c r="DJ715" s="98">
        <f t="shared" si="4369"/>
        <v>-2.1456300493127634</v>
      </c>
      <c r="DK715" s="101">
        <v>16793</v>
      </c>
      <c r="DL715" s="98">
        <f t="shared" si="4370"/>
        <v>-10.298595160514934</v>
      </c>
      <c r="DM715" s="101">
        <v>16783</v>
      </c>
      <c r="DN715" s="98">
        <f t="shared" si="4371"/>
        <v>-9.6571028691392549</v>
      </c>
      <c r="DO715" s="101">
        <v>16389</v>
      </c>
      <c r="DP715" s="98">
        <f t="shared" si="4371"/>
        <v>-10.207100591715978</v>
      </c>
      <c r="DQ715" s="101">
        <v>16286</v>
      </c>
      <c r="DR715" s="98">
        <f t="shared" si="4371"/>
        <v>-12.689647777837344</v>
      </c>
      <c r="DS715" s="101">
        <v>17714</v>
      </c>
      <c r="DT715" s="98">
        <f t="shared" si="4371"/>
        <v>5.4844280354909847</v>
      </c>
      <c r="DU715" s="101">
        <v>16770</v>
      </c>
      <c r="DV715" s="98">
        <f t="shared" si="4371"/>
        <v>-7.7459333849727585E-2</v>
      </c>
      <c r="DW715" s="101">
        <v>16755</v>
      </c>
      <c r="DX715" s="98">
        <f t="shared" si="4371"/>
        <v>2.2332051986088119</v>
      </c>
      <c r="DY715" s="101">
        <v>18023</v>
      </c>
      <c r="DZ715" s="98">
        <f t="shared" si="4371"/>
        <v>10.665602357853366</v>
      </c>
      <c r="EA715" s="950">
        <v>17833</v>
      </c>
      <c r="EB715" s="860">
        <f t="shared" si="4372"/>
        <v>0.67178502879079449</v>
      </c>
      <c r="EC715" s="950">
        <v>16513</v>
      </c>
      <c r="ED715" s="860">
        <f t="shared" si="4373"/>
        <v>-1.5324985092426968</v>
      </c>
      <c r="EE715" s="950">
        <v>16488</v>
      </c>
      <c r="EF715" s="860">
        <f t="shared" si="4374"/>
        <v>-1.5935541629364391</v>
      </c>
      <c r="EG715" s="950">
        <v>16441</v>
      </c>
      <c r="EH715" s="860">
        <f t="shared" si="4375"/>
        <v>-8.7776729734228454</v>
      </c>
      <c r="EI715" s="950">
        <v>16455</v>
      </c>
      <c r="EJ715" s="860">
        <f t="shared" si="4376"/>
        <v>-7.7272472382661324</v>
      </c>
      <c r="EK715" s="950">
        <v>16492</v>
      </c>
      <c r="EL715" s="860">
        <f t="shared" si="4377"/>
        <v>-0.12717253073336598</v>
      </c>
      <c r="EM715" s="950">
        <v>16688</v>
      </c>
      <c r="EN715" s="860">
        <f t="shared" si="4378"/>
        <v>1.2130033964095066</v>
      </c>
      <c r="EO715" s="950">
        <v>15686</v>
      </c>
      <c r="EP715" s="98">
        <f t="shared" si="4379"/>
        <v>-4.5921780913569687</v>
      </c>
      <c r="EQ715" s="952">
        <f t="shared" ref="EQ715:EQ716" si="4403">EO715</f>
        <v>15686</v>
      </c>
      <c r="ER715" s="98">
        <f t="shared" si="4380"/>
        <v>-4.6733515648738955</v>
      </c>
      <c r="ES715" s="952">
        <f t="shared" ref="ES715:ES716" si="4404">EQ715</f>
        <v>15686</v>
      </c>
      <c r="ET715" s="98">
        <f t="shared" si="4382"/>
        <v>-4.8872180451127845</v>
      </c>
      <c r="EU715" s="952">
        <f t="shared" ref="EU715:EU716" si="4405">ES715</f>
        <v>15686</v>
      </c>
      <c r="EV715" s="98">
        <f t="shared" si="4384"/>
        <v>-6.0043144774688422</v>
      </c>
      <c r="EW715" s="952">
        <f t="shared" ref="EW715:EW716" si="4406">EU715</f>
        <v>15686</v>
      </c>
      <c r="EX715" s="98">
        <f t="shared" si="4386"/>
        <v>0</v>
      </c>
      <c r="EY715" s="119"/>
      <c r="EZ715" s="594"/>
      <c r="FA715" s="405"/>
      <c r="FB715" s="121">
        <v>2904</v>
      </c>
      <c r="FC715" s="98"/>
      <c r="FD715" s="101">
        <v>2514</v>
      </c>
      <c r="FE715" s="98">
        <f t="shared" si="4387"/>
        <v>-13.429752066115707</v>
      </c>
      <c r="FF715" s="118">
        <f>I715</f>
        <v>2426</v>
      </c>
      <c r="FG715" s="98">
        <f t="shared" si="4388"/>
        <v>-3.5003977724741397</v>
      </c>
      <c r="FH715" s="118">
        <f>Q715</f>
        <v>3628</v>
      </c>
      <c r="FI715" s="98">
        <f t="shared" si="4389"/>
        <v>49.546578730420457</v>
      </c>
      <c r="FJ715" s="118">
        <f>Y715</f>
        <v>4425</v>
      </c>
      <c r="FK715" s="98">
        <f t="shared" si="4390"/>
        <v>21.968026460859981</v>
      </c>
      <c r="FL715" s="118">
        <f>AG715</f>
        <v>5703</v>
      </c>
      <c r="FM715" s="98">
        <f t="shared" si="4391"/>
        <v>28.881355932203402</v>
      </c>
      <c r="FN715" s="118">
        <f>AO715</f>
        <v>7412</v>
      </c>
      <c r="FO715" s="98">
        <f t="shared" si="4392"/>
        <v>29.966684201297554</v>
      </c>
      <c r="FP715" s="118">
        <f>AW715</f>
        <v>9888</v>
      </c>
      <c r="FQ715" s="98">
        <f t="shared" si="4393"/>
        <v>33.405288720992978</v>
      </c>
      <c r="FR715" s="118">
        <f>BE715</f>
        <v>9979</v>
      </c>
      <c r="FS715" s="98">
        <f t="shared" si="4394"/>
        <v>0.92030744336568659</v>
      </c>
      <c r="FT715" s="118">
        <f>BM715</f>
        <v>13982</v>
      </c>
      <c r="FU715" s="98">
        <f t="shared" si="4395"/>
        <v>40.114239903797966</v>
      </c>
      <c r="FV715" s="118">
        <f>BU715</f>
        <v>14859</v>
      </c>
      <c r="FW715" s="98">
        <f t="shared" si="4396"/>
        <v>6.2723501644972091</v>
      </c>
      <c r="FX715" s="510">
        <f>CC715</f>
        <v>18517</v>
      </c>
      <c r="FY715" s="98">
        <f t="shared" si="4397"/>
        <v>24.618076586580528</v>
      </c>
      <c r="FZ715" s="118">
        <f>CK715</f>
        <v>32883</v>
      </c>
      <c r="GA715" s="98">
        <f t="shared" si="4398"/>
        <v>77.582761786466477</v>
      </c>
      <c r="GB715" s="510">
        <f>CS715</f>
        <v>28339</v>
      </c>
      <c r="GC715" s="98">
        <f t="shared" si="4399"/>
        <v>-13.818690508773535</v>
      </c>
      <c r="GD715" s="118">
        <f>DA715</f>
        <v>19062</v>
      </c>
      <c r="GE715" s="98">
        <f t="shared" si="4400"/>
        <v>-32.735805780020463</v>
      </c>
      <c r="GF715" s="118">
        <f>DI715</f>
        <v>18653</v>
      </c>
      <c r="GG715" s="98">
        <f t="shared" si="4400"/>
        <v>-2.1456300493127634</v>
      </c>
      <c r="GH715" s="118">
        <f>DQ715</f>
        <v>16286</v>
      </c>
      <c r="GI715" s="98">
        <f t="shared" si="4400"/>
        <v>-12.689647777837344</v>
      </c>
      <c r="GJ715" s="118">
        <f>DY715</f>
        <v>18023</v>
      </c>
      <c r="GK715" s="98">
        <f t="shared" si="4400"/>
        <v>10.665602357853366</v>
      </c>
      <c r="GL715" s="118">
        <f>EG715</f>
        <v>16441</v>
      </c>
      <c r="GM715" s="98">
        <f t="shared" si="4400"/>
        <v>-8.7776729734228454</v>
      </c>
      <c r="GN715" s="118">
        <f>EO715</f>
        <v>15686</v>
      </c>
      <c r="GO715" s="98">
        <f t="shared" si="4400"/>
        <v>-4.5921780913569687</v>
      </c>
      <c r="GP715" s="118">
        <f>EW715</f>
        <v>15686</v>
      </c>
      <c r="GQ715" s="98">
        <f t="shared" si="4400"/>
        <v>0</v>
      </c>
      <c r="GR715" s="119">
        <f>GP715</f>
        <v>15686</v>
      </c>
      <c r="GS715" s="98">
        <f t="shared" si="4400"/>
        <v>0</v>
      </c>
      <c r="GT715" s="119">
        <f>GR715</f>
        <v>15686</v>
      </c>
      <c r="GU715" s="98">
        <f t="shared" si="4400"/>
        <v>0</v>
      </c>
      <c r="GV715" s="119">
        <f>GT715</f>
        <v>15686</v>
      </c>
      <c r="GW715" s="98">
        <f t="shared" si="4400"/>
        <v>0</v>
      </c>
      <c r="GX715" s="119">
        <f>GV715</f>
        <v>15686</v>
      </c>
      <c r="GY715" s="98">
        <f t="shared" si="4401"/>
        <v>0</v>
      </c>
      <c r="GZ715" s="98">
        <f t="shared" si="4402"/>
        <v>0</v>
      </c>
      <c r="HA715" s="98"/>
      <c r="HB715" s="10"/>
      <c r="HC715"/>
      <c r="HD715"/>
      <c r="HE715"/>
      <c r="HF715"/>
      <c r="HG715"/>
      <c r="HH715"/>
      <c r="HI715" s="10"/>
    </row>
    <row r="716" spans="1:217" s="2" customFormat="1" ht="12.75" customHeight="1" x14ac:dyDescent="0.2">
      <c r="A716" s="10"/>
      <c r="B716" s="179" t="s">
        <v>56</v>
      </c>
      <c r="C716" s="101">
        <v>0</v>
      </c>
      <c r="D716" s="98"/>
      <c r="E716" s="101">
        <v>0</v>
      </c>
      <c r="F716" s="98"/>
      <c r="G716" s="101">
        <v>0</v>
      </c>
      <c r="H716" s="98"/>
      <c r="I716" s="101">
        <v>0</v>
      </c>
      <c r="J716" s="98"/>
      <c r="K716" s="101">
        <v>0</v>
      </c>
      <c r="L716" s="98" t="str">
        <f t="shared" si="4321"/>
        <v>NA</v>
      </c>
      <c r="M716" s="101">
        <v>0</v>
      </c>
      <c r="N716" s="98" t="str">
        <f t="shared" si="4322"/>
        <v>NA</v>
      </c>
      <c r="O716" s="101">
        <v>0</v>
      </c>
      <c r="P716" s="98" t="str">
        <f t="shared" si="4323"/>
        <v>NA</v>
      </c>
      <c r="Q716" s="101">
        <v>0</v>
      </c>
      <c r="R716" s="98" t="str">
        <f t="shared" si="4324"/>
        <v>NA</v>
      </c>
      <c r="S716" s="101">
        <v>0</v>
      </c>
      <c r="T716" s="98" t="str">
        <f t="shared" si="4325"/>
        <v>NA</v>
      </c>
      <c r="U716" s="101">
        <v>0</v>
      </c>
      <c r="V716" s="98" t="str">
        <f t="shared" si="4326"/>
        <v>NA</v>
      </c>
      <c r="W716" s="101">
        <v>0</v>
      </c>
      <c r="X716" s="98" t="str">
        <f t="shared" si="4327"/>
        <v>NA</v>
      </c>
      <c r="Y716" s="101">
        <v>0</v>
      </c>
      <c r="Z716" s="98" t="str">
        <f t="shared" ref="Z716:Z724" si="4407">IF(ISERROR((Y716/Q716-1)*100),"NA",IF(((Y716/Q716-1)*100)&gt;100,"NM",IF(((Y716/Q716-1)*100)&lt;-50,"NM",(Y716/Q716-1)*100)))</f>
        <v>NA</v>
      </c>
      <c r="AA716" s="101">
        <v>0</v>
      </c>
      <c r="AB716" s="98" t="str">
        <f t="shared" si="4328"/>
        <v>NA</v>
      </c>
      <c r="AC716" s="101">
        <v>0</v>
      </c>
      <c r="AD716" s="98" t="str">
        <f t="shared" si="4329"/>
        <v>NA</v>
      </c>
      <c r="AE716" s="101">
        <v>0</v>
      </c>
      <c r="AF716" s="98" t="str">
        <f t="shared" si="4330"/>
        <v>NA</v>
      </c>
      <c r="AG716" s="101">
        <v>0</v>
      </c>
      <c r="AH716" s="98" t="str">
        <f t="shared" si="4331"/>
        <v>NA</v>
      </c>
      <c r="AI716" s="101">
        <v>0</v>
      </c>
      <c r="AJ716" s="98" t="str">
        <f t="shared" si="4332"/>
        <v>NA</v>
      </c>
      <c r="AK716" s="101">
        <v>0</v>
      </c>
      <c r="AL716" s="98" t="str">
        <f t="shared" si="4333"/>
        <v>NA</v>
      </c>
      <c r="AM716" s="101">
        <v>0</v>
      </c>
      <c r="AN716" s="98" t="str">
        <f t="shared" si="4334"/>
        <v>NA</v>
      </c>
      <c r="AO716" s="101">
        <v>0</v>
      </c>
      <c r="AP716" s="98" t="str">
        <f t="shared" si="4335"/>
        <v>NA</v>
      </c>
      <c r="AQ716" s="101">
        <v>0</v>
      </c>
      <c r="AR716" s="98" t="str">
        <f t="shared" si="4336"/>
        <v>NA</v>
      </c>
      <c r="AS716" s="101">
        <v>2134</v>
      </c>
      <c r="AT716" s="98" t="str">
        <f t="shared" si="4337"/>
        <v>NA</v>
      </c>
      <c r="AU716" s="101">
        <v>2134</v>
      </c>
      <c r="AV716" s="98" t="str">
        <f t="shared" si="4338"/>
        <v>NA</v>
      </c>
      <c r="AW716" s="101">
        <v>2134</v>
      </c>
      <c r="AX716" s="98" t="str">
        <f t="shared" si="4339"/>
        <v>NA</v>
      </c>
      <c r="AY716" s="101">
        <v>2134</v>
      </c>
      <c r="AZ716" s="98" t="str">
        <f t="shared" si="4340"/>
        <v>NA</v>
      </c>
      <c r="BA716" s="101">
        <v>2134</v>
      </c>
      <c r="BB716" s="98">
        <f t="shared" si="4341"/>
        <v>0</v>
      </c>
      <c r="BC716" s="101">
        <v>2134</v>
      </c>
      <c r="BD716" s="98">
        <f t="shared" si="4342"/>
        <v>0</v>
      </c>
      <c r="BE716" s="101">
        <v>2134</v>
      </c>
      <c r="BF716" s="98">
        <f t="shared" si="4343"/>
        <v>0</v>
      </c>
      <c r="BG716" s="101">
        <v>2134</v>
      </c>
      <c r="BH716" s="98">
        <f t="shared" si="4344"/>
        <v>0</v>
      </c>
      <c r="BI716" s="101">
        <v>2134</v>
      </c>
      <c r="BJ716" s="98">
        <f t="shared" si="4345"/>
        <v>0</v>
      </c>
      <c r="BK716" s="101">
        <f>BI716</f>
        <v>2134</v>
      </c>
      <c r="BL716" s="98">
        <f t="shared" si="4346"/>
        <v>0</v>
      </c>
      <c r="BM716" s="101">
        <f>BK716</f>
        <v>2134</v>
      </c>
      <c r="BN716" s="98">
        <f t="shared" si="4347"/>
        <v>0</v>
      </c>
      <c r="BO716" s="101">
        <v>2134</v>
      </c>
      <c r="BP716" s="98">
        <f t="shared" si="4348"/>
        <v>0</v>
      </c>
      <c r="BQ716" s="101">
        <f>BO716</f>
        <v>2134</v>
      </c>
      <c r="BR716" s="98">
        <f t="shared" si="4349"/>
        <v>0</v>
      </c>
      <c r="BS716" s="101">
        <v>2134</v>
      </c>
      <c r="BT716" s="98">
        <f t="shared" si="4350"/>
        <v>0</v>
      </c>
      <c r="BU716" s="101">
        <v>2134</v>
      </c>
      <c r="BV716" s="98">
        <f t="shared" si="4351"/>
        <v>0</v>
      </c>
      <c r="BW716" s="101">
        <v>2691</v>
      </c>
      <c r="BX716" s="98">
        <f t="shared" si="4352"/>
        <v>26.101218369259605</v>
      </c>
      <c r="BY716" s="101">
        <v>2691</v>
      </c>
      <c r="BZ716" s="98">
        <f t="shared" si="4353"/>
        <v>26.101218369259605</v>
      </c>
      <c r="CA716" s="101">
        <v>3191</v>
      </c>
      <c r="CB716" s="98">
        <f t="shared" si="4354"/>
        <v>49.53139643861293</v>
      </c>
      <c r="CC716" s="101">
        <v>3191</v>
      </c>
      <c r="CD716" s="98">
        <f t="shared" si="4355"/>
        <v>49.53139643861293</v>
      </c>
      <c r="CE716" s="101">
        <v>3191</v>
      </c>
      <c r="CF716" s="98">
        <f t="shared" si="4356"/>
        <v>18.580453363062066</v>
      </c>
      <c r="CG716" s="101">
        <v>3191</v>
      </c>
      <c r="CH716" s="98">
        <f t="shared" si="4357"/>
        <v>18.580453363062066</v>
      </c>
      <c r="CI716" s="101">
        <v>3191</v>
      </c>
      <c r="CJ716" s="98">
        <f t="shared" si="4358"/>
        <v>0</v>
      </c>
      <c r="CK716" s="101">
        <v>3191</v>
      </c>
      <c r="CL716" s="98">
        <f t="shared" si="4359"/>
        <v>0</v>
      </c>
      <c r="CM716" s="101">
        <v>3191</v>
      </c>
      <c r="CN716" s="98">
        <f t="shared" si="4360"/>
        <v>0</v>
      </c>
      <c r="CO716" s="101">
        <v>3192</v>
      </c>
      <c r="CP716" s="98">
        <f t="shared" si="4361"/>
        <v>3.1338138514569458E-2</v>
      </c>
      <c r="CQ716" s="542">
        <v>3192</v>
      </c>
      <c r="CR716" s="98">
        <f t="shared" si="4361"/>
        <v>3.1338138514569458E-2</v>
      </c>
      <c r="CS716" s="101">
        <v>3192</v>
      </c>
      <c r="CT716" s="98">
        <f t="shared" si="4361"/>
        <v>3.1338138514569458E-2</v>
      </c>
      <c r="CU716" s="101">
        <v>3192</v>
      </c>
      <c r="CV716" s="98">
        <f t="shared" si="4362"/>
        <v>3.1338138514569458E-2</v>
      </c>
      <c r="CW716" s="101">
        <v>3192</v>
      </c>
      <c r="CX716" s="98">
        <f t="shared" si="4363"/>
        <v>0</v>
      </c>
      <c r="CY716" s="101">
        <v>3192</v>
      </c>
      <c r="CZ716" s="98">
        <f t="shared" si="4364"/>
        <v>0</v>
      </c>
      <c r="DA716" s="101">
        <v>3192</v>
      </c>
      <c r="DB716" s="98">
        <f t="shared" si="4365"/>
        <v>0</v>
      </c>
      <c r="DC716" s="101">
        <v>3193</v>
      </c>
      <c r="DD716" s="98">
        <f>IF(ISERROR((DC716/CU716-1)*100),"NA",IF(((DC716/CU716-1)*100)&gt;100,"NM",IF(((DC716/CU716-1)*100)&lt;-50,"NM",(DC716/CU716-1)*100)))</f>
        <v>3.1328320802015419E-2</v>
      </c>
      <c r="DE716" s="101">
        <v>3193</v>
      </c>
      <c r="DF716" s="98">
        <f>IF(ISERROR((DE716/CW716-1)*100),"NA",IF(((DE716/CW716-1)*100)&gt;100,"NM",IF(((DE716/CW716-1)*100)&lt;-50,"NM",(DE716/CW716-1)*100)))</f>
        <v>3.1328320802015419E-2</v>
      </c>
      <c r="DG716" s="101">
        <v>3193</v>
      </c>
      <c r="DH716" s="98">
        <f>IF(ISERROR((DG716/CY716-1)*100),"NA",IF(((DG716/CY716-1)*100)&gt;100,"NM",IF(((DG716/CY716-1)*100)&lt;-50,"NM",(DG716/CY716-1)*100)))</f>
        <v>3.1328320802015419E-2</v>
      </c>
      <c r="DI716" s="101">
        <v>3193</v>
      </c>
      <c r="DJ716" s="98">
        <f t="shared" si="4369"/>
        <v>3.1328320802015419E-2</v>
      </c>
      <c r="DK716" s="101">
        <v>3193</v>
      </c>
      <c r="DL716" s="98">
        <f t="shared" si="4370"/>
        <v>0</v>
      </c>
      <c r="DM716" s="101">
        <v>3193</v>
      </c>
      <c r="DN716" s="98">
        <f t="shared" si="4371"/>
        <v>0</v>
      </c>
      <c r="DO716" s="101">
        <v>3193</v>
      </c>
      <c r="DP716" s="98">
        <f t="shared" si="4371"/>
        <v>0</v>
      </c>
      <c r="DQ716" s="101">
        <v>3193</v>
      </c>
      <c r="DR716" s="98">
        <f t="shared" si="4371"/>
        <v>0</v>
      </c>
      <c r="DS716" s="101">
        <v>3193</v>
      </c>
      <c r="DT716" s="98">
        <f t="shared" si="4371"/>
        <v>0</v>
      </c>
      <c r="DU716" s="101">
        <v>3193</v>
      </c>
      <c r="DV716" s="98">
        <f t="shared" si="4371"/>
        <v>0</v>
      </c>
      <c r="DW716" s="101">
        <v>3194</v>
      </c>
      <c r="DX716" s="98">
        <f t="shared" si="4371"/>
        <v>3.1318509238964509E-2</v>
      </c>
      <c r="DY716" s="101">
        <v>3194</v>
      </c>
      <c r="DZ716" s="98">
        <f t="shared" si="4371"/>
        <v>3.1318509238964509E-2</v>
      </c>
      <c r="EA716" s="950">
        <v>3168</v>
      </c>
      <c r="EB716" s="860">
        <f t="shared" si="4372"/>
        <v>-0.78296273097400171</v>
      </c>
      <c r="EC716" s="950">
        <v>3168</v>
      </c>
      <c r="ED716" s="860">
        <f t="shared" si="4373"/>
        <v>-0.78296273097400171</v>
      </c>
      <c r="EE716" s="950">
        <v>3168</v>
      </c>
      <c r="EF716" s="860">
        <f t="shared" si="4374"/>
        <v>-0.81402629931121018</v>
      </c>
      <c r="EG716" s="950">
        <v>3169</v>
      </c>
      <c r="EH716" s="860">
        <f t="shared" si="4375"/>
        <v>-0.7827175954915444</v>
      </c>
      <c r="EI716" s="950">
        <v>3169</v>
      </c>
      <c r="EJ716" s="860">
        <f t="shared" si="4376"/>
        <v>3.1565656565657463E-2</v>
      </c>
      <c r="EK716" s="950">
        <v>3169</v>
      </c>
      <c r="EL716" s="860">
        <f t="shared" si="4377"/>
        <v>3.1565656565657463E-2</v>
      </c>
      <c r="EM716" s="950">
        <v>3144</v>
      </c>
      <c r="EN716" s="860">
        <f t="shared" si="4378"/>
        <v>-0.7575757575757569</v>
      </c>
      <c r="EO716" s="950">
        <v>3144</v>
      </c>
      <c r="EP716" s="98">
        <f t="shared" si="4379"/>
        <v>-0.7888923950773119</v>
      </c>
      <c r="EQ716" s="952">
        <f t="shared" si="4403"/>
        <v>3144</v>
      </c>
      <c r="ER716" s="98">
        <f t="shared" si="4380"/>
        <v>-0.7888923950773119</v>
      </c>
      <c r="ES716" s="952">
        <f t="shared" si="4404"/>
        <v>3144</v>
      </c>
      <c r="ET716" s="98">
        <f t="shared" si="4382"/>
        <v>-0.7888923950773119</v>
      </c>
      <c r="EU716" s="952">
        <f t="shared" si="4405"/>
        <v>3144</v>
      </c>
      <c r="EV716" s="98">
        <f t="shared" si="4384"/>
        <v>0</v>
      </c>
      <c r="EW716" s="952">
        <f t="shared" si="4406"/>
        <v>3144</v>
      </c>
      <c r="EX716" s="98">
        <f t="shared" si="4386"/>
        <v>0</v>
      </c>
      <c r="EY716" s="119"/>
      <c r="EZ716" s="594"/>
      <c r="FA716" s="405"/>
      <c r="FB716" s="121"/>
      <c r="FC716" s="98"/>
      <c r="FD716" s="101">
        <v>0</v>
      </c>
      <c r="FE716" s="98" t="str">
        <f t="shared" si="4387"/>
        <v>NA</v>
      </c>
      <c r="FF716" s="118">
        <v>0</v>
      </c>
      <c r="FG716" s="98" t="str">
        <f t="shared" si="4388"/>
        <v>NA</v>
      </c>
      <c r="FH716" s="118">
        <v>0</v>
      </c>
      <c r="FI716" s="98" t="str">
        <f t="shared" si="4389"/>
        <v>NA</v>
      </c>
      <c r="FJ716" s="118">
        <v>0</v>
      </c>
      <c r="FK716" s="98" t="str">
        <f t="shared" si="4390"/>
        <v>NA</v>
      </c>
      <c r="FL716" s="118">
        <v>0</v>
      </c>
      <c r="FM716" s="98" t="str">
        <f t="shared" si="4391"/>
        <v>NA</v>
      </c>
      <c r="FN716" s="118">
        <v>0</v>
      </c>
      <c r="FO716" s="98" t="str">
        <f t="shared" si="4392"/>
        <v>NA</v>
      </c>
      <c r="FP716" s="118">
        <f>AW716</f>
        <v>2134</v>
      </c>
      <c r="FQ716" s="98" t="str">
        <f t="shared" si="4393"/>
        <v>NA</v>
      </c>
      <c r="FR716" s="118">
        <f>BE716</f>
        <v>2134</v>
      </c>
      <c r="FS716" s="98">
        <f>IF(ISERROR((FR716/FP716-1)*100),"NA",IF(((FR716/FP716-1)*100)&gt;100,"NM",IF(((FR716/FP716-1)*100)&lt;-50,"NM",(FR716/FP716-1)*100)))</f>
        <v>0</v>
      </c>
      <c r="FT716" s="118">
        <f>BM716</f>
        <v>2134</v>
      </c>
      <c r="FU716" s="98">
        <f t="shared" si="4395"/>
        <v>0</v>
      </c>
      <c r="FV716" s="118">
        <f>BU716</f>
        <v>2134</v>
      </c>
      <c r="FW716" s="98">
        <f t="shared" si="4396"/>
        <v>0</v>
      </c>
      <c r="FX716" s="510">
        <f>CC716</f>
        <v>3191</v>
      </c>
      <c r="FY716" s="98">
        <f t="shared" si="4397"/>
        <v>49.53139643861293</v>
      </c>
      <c r="FZ716" s="118">
        <f>CK716</f>
        <v>3191</v>
      </c>
      <c r="GA716" s="98">
        <f t="shared" si="4398"/>
        <v>0</v>
      </c>
      <c r="GB716" s="510">
        <f>CS716</f>
        <v>3192</v>
      </c>
      <c r="GC716" s="98">
        <f t="shared" si="4399"/>
        <v>3.1338138514569458E-2</v>
      </c>
      <c r="GD716" s="118">
        <f>DA716</f>
        <v>3192</v>
      </c>
      <c r="GE716" s="98">
        <f t="shared" si="4400"/>
        <v>0</v>
      </c>
      <c r="GF716" s="118">
        <f>DI716</f>
        <v>3193</v>
      </c>
      <c r="GG716" s="98">
        <f t="shared" si="4400"/>
        <v>3.1328320802015419E-2</v>
      </c>
      <c r="GH716" s="118">
        <f>DQ716</f>
        <v>3193</v>
      </c>
      <c r="GI716" s="98">
        <f t="shared" si="4400"/>
        <v>0</v>
      </c>
      <c r="GJ716" s="118">
        <f>DY716</f>
        <v>3194</v>
      </c>
      <c r="GK716" s="98">
        <f t="shared" si="4400"/>
        <v>3.1318509238964509E-2</v>
      </c>
      <c r="GL716" s="118">
        <f>EG716</f>
        <v>3169</v>
      </c>
      <c r="GM716" s="98">
        <f t="shared" si="4400"/>
        <v>-0.7827175954915444</v>
      </c>
      <c r="GN716" s="118">
        <f>EO716</f>
        <v>3144</v>
      </c>
      <c r="GO716" s="98">
        <f t="shared" si="4400"/>
        <v>-0.7888923950773119</v>
      </c>
      <c r="GP716" s="118">
        <f>EW716</f>
        <v>3144</v>
      </c>
      <c r="GQ716" s="98">
        <f t="shared" si="4400"/>
        <v>0</v>
      </c>
      <c r="GR716" s="119">
        <f>GP716-2000</f>
        <v>1144</v>
      </c>
      <c r="GS716" s="98" t="str">
        <f t="shared" si="4400"/>
        <v>NM</v>
      </c>
      <c r="GT716" s="119">
        <f>GR716-2000</f>
        <v>-856</v>
      </c>
      <c r="GU716" s="98" t="str">
        <f t="shared" si="4400"/>
        <v>NM</v>
      </c>
      <c r="GV716" s="119">
        <f>GT716-2000</f>
        <v>-2856</v>
      </c>
      <c r="GW716" s="98" t="str">
        <f t="shared" si="4400"/>
        <v>NM</v>
      </c>
      <c r="GX716" s="119">
        <f>GV716-2000</f>
        <v>-4856</v>
      </c>
      <c r="GY716" s="98">
        <f t="shared" si="4401"/>
        <v>70.028011204481786</v>
      </c>
      <c r="GZ716" s="98" t="str">
        <f t="shared" si="4402"/>
        <v>NM</v>
      </c>
      <c r="HA716" s="98"/>
      <c r="HB716" s="10"/>
      <c r="HC716"/>
      <c r="HD716"/>
      <c r="HE716"/>
      <c r="HF716"/>
      <c r="HG716"/>
      <c r="HH716"/>
      <c r="HI716" s="10"/>
    </row>
    <row r="717" spans="1:217" s="2" customFormat="1" ht="12.75" customHeight="1" x14ac:dyDescent="0.2">
      <c r="B717" s="179" t="s">
        <v>269</v>
      </c>
      <c r="C717" s="117">
        <f>SUM(C714:C715)</f>
        <v>6378</v>
      </c>
      <c r="D717" s="98"/>
      <c r="E717" s="117">
        <f>SUM(E714:E715)</f>
        <v>4609</v>
      </c>
      <c r="F717" s="98"/>
      <c r="G717" s="117">
        <f>SUM(G714:G715)</f>
        <v>4721</v>
      </c>
      <c r="H717" s="98"/>
      <c r="I717" s="117">
        <f>SUM(I714:I715)</f>
        <v>3520</v>
      </c>
      <c r="J717" s="98"/>
      <c r="K717" s="117">
        <f>SUM(K714:K715)</f>
        <v>3990</v>
      </c>
      <c r="L717" s="98">
        <f t="shared" si="4321"/>
        <v>-37.441204139228603</v>
      </c>
      <c r="M717" s="117">
        <f>SUM(M714:M715)</f>
        <v>4402</v>
      </c>
      <c r="N717" s="98">
        <f t="shared" si="4322"/>
        <v>-4.4912128444348003</v>
      </c>
      <c r="O717" s="117">
        <f>SUM(O714:O715)</f>
        <v>3004</v>
      </c>
      <c r="P717" s="98">
        <f t="shared" si="4323"/>
        <v>-36.369413259902558</v>
      </c>
      <c r="Q717" s="117">
        <f>SUM(Q714:Q715)</f>
        <v>3983</v>
      </c>
      <c r="R717" s="98">
        <f t="shared" si="4324"/>
        <v>13.153409090909097</v>
      </c>
      <c r="S717" s="117">
        <f>SUM(S714:S715)</f>
        <v>3980</v>
      </c>
      <c r="T717" s="98">
        <f t="shared" si="4325"/>
        <v>-0.25062656641604564</v>
      </c>
      <c r="U717" s="117">
        <f>SUM(U714:U715)</f>
        <v>3488</v>
      </c>
      <c r="V717" s="98">
        <f t="shared" si="4326"/>
        <v>-20.763289413902775</v>
      </c>
      <c r="W717" s="117">
        <f>SUM(W714:W715)</f>
        <v>4306</v>
      </c>
      <c r="X717" s="98">
        <f t="shared" si="4327"/>
        <v>43.342210386151805</v>
      </c>
      <c r="Y717" s="117">
        <f>SUM(Y714:Y715)</f>
        <v>5586</v>
      </c>
      <c r="Z717" s="98">
        <f t="shared" si="4407"/>
        <v>40.246045694200362</v>
      </c>
      <c r="AA717" s="117">
        <f>SUM(AA714:AA715)</f>
        <v>7922</v>
      </c>
      <c r="AB717" s="98">
        <f t="shared" si="4328"/>
        <v>99.045226130653276</v>
      </c>
      <c r="AC717" s="117">
        <f>SUM(AC714:AC715)</f>
        <v>9005</v>
      </c>
      <c r="AD717" s="98" t="str">
        <f t="shared" si="4329"/>
        <v>NM</v>
      </c>
      <c r="AE717" s="117">
        <f>SUM(AE714:AE715)</f>
        <v>8638</v>
      </c>
      <c r="AF717" s="98" t="str">
        <f t="shared" si="4330"/>
        <v>NM</v>
      </c>
      <c r="AG717" s="117">
        <f>SUM(AG714:AG715)</f>
        <v>9345</v>
      </c>
      <c r="AH717" s="98">
        <f t="shared" si="4331"/>
        <v>67.293233082706763</v>
      </c>
      <c r="AI717" s="117">
        <f>SUM(AI714:AI715)</f>
        <v>8775</v>
      </c>
      <c r="AJ717" s="98">
        <f t="shared" si="4332"/>
        <v>10.767482958848774</v>
      </c>
      <c r="AK717" s="117">
        <f>SUM(AK714:AK715)</f>
        <v>9444</v>
      </c>
      <c r="AL717" s="98">
        <f t="shared" si="4333"/>
        <v>4.8750694058856237</v>
      </c>
      <c r="AM717" s="117">
        <f>SUM(AM714:AM715)</f>
        <v>8261</v>
      </c>
      <c r="AN717" s="98">
        <f t="shared" si="4334"/>
        <v>-4.3644362120861313</v>
      </c>
      <c r="AO717" s="117">
        <f>SUM(AO714:AO715)</f>
        <v>8857</v>
      </c>
      <c r="AP717" s="98">
        <f t="shared" si="4335"/>
        <v>-5.2220438737292652</v>
      </c>
      <c r="AQ717" s="117">
        <f>SUM(AQ714:AQ715)</f>
        <v>8534</v>
      </c>
      <c r="AR717" s="98">
        <f t="shared" si="4336"/>
        <v>-2.7464387464387507</v>
      </c>
      <c r="AS717" s="117">
        <f>SUM(AS714:AS716)</f>
        <v>13417</v>
      </c>
      <c r="AT717" s="98">
        <f t="shared" si="4337"/>
        <v>42.06903854299027</v>
      </c>
      <c r="AU717" s="117">
        <f>SUM(AU714:AU716)</f>
        <v>12929</v>
      </c>
      <c r="AV717" s="98">
        <f t="shared" si="4338"/>
        <v>56.50647621353346</v>
      </c>
      <c r="AW717" s="117">
        <f>SUM(AW714:AW716)</f>
        <v>13631</v>
      </c>
      <c r="AX717" s="98">
        <f t="shared" si="4339"/>
        <v>53.900869368860782</v>
      </c>
      <c r="AY717" s="117">
        <f>SUM(AY714:AY716)</f>
        <v>13426</v>
      </c>
      <c r="AZ717" s="98">
        <f t="shared" si="4340"/>
        <v>57.323646590110158</v>
      </c>
      <c r="BA717" s="117">
        <f>SUM(BA714:BA716)</f>
        <v>15124</v>
      </c>
      <c r="BB717" s="98">
        <f t="shared" si="4341"/>
        <v>12.722665275396894</v>
      </c>
      <c r="BC717" s="117">
        <f>SUM(BC714:BC716)</f>
        <v>14551</v>
      </c>
      <c r="BD717" s="98">
        <f t="shared" si="4342"/>
        <v>12.545440482635929</v>
      </c>
      <c r="BE717" s="117">
        <f>SUM(BE714:BE716)</f>
        <v>13562</v>
      </c>
      <c r="BF717" s="98">
        <f t="shared" si="4343"/>
        <v>-0.5061991049812975</v>
      </c>
      <c r="BG717" s="117">
        <f>SUM(BG714:BG716)</f>
        <v>15847</v>
      </c>
      <c r="BH717" s="98">
        <f t="shared" si="4344"/>
        <v>18.032176374199317</v>
      </c>
      <c r="BI717" s="117">
        <f>SUM(BI714:BI716)</f>
        <v>16107</v>
      </c>
      <c r="BJ717" s="98">
        <f t="shared" si="4345"/>
        <v>6.4996032795556768</v>
      </c>
      <c r="BK717" s="117">
        <f>SUM(BK714:BK716)</f>
        <v>15272</v>
      </c>
      <c r="BL717" s="98">
        <f t="shared" si="4346"/>
        <v>4.9549859116212014</v>
      </c>
      <c r="BM717" s="117">
        <f>SUM(BM714:BM716)</f>
        <v>16783</v>
      </c>
      <c r="BN717" s="98">
        <f t="shared" si="4347"/>
        <v>23.750184338593129</v>
      </c>
      <c r="BO717" s="117">
        <f>SUM(BO714:BO716)</f>
        <v>24296</v>
      </c>
      <c r="BP717" s="98">
        <f t="shared" si="4348"/>
        <v>53.316085063418939</v>
      </c>
      <c r="BQ717" s="117">
        <f>SUM(BQ714:BQ716)</f>
        <v>16921</v>
      </c>
      <c r="BR717" s="98">
        <f t="shared" si="4349"/>
        <v>5.0537033587880975</v>
      </c>
      <c r="BS717" s="117">
        <f>SUM(BS714:BS716)</f>
        <v>19183</v>
      </c>
      <c r="BT717" s="98">
        <f t="shared" si="4350"/>
        <v>25.608957569408062</v>
      </c>
      <c r="BU717" s="117">
        <f>SUM(BU714:BU716)</f>
        <v>19652</v>
      </c>
      <c r="BV717" s="98">
        <f t="shared" si="4351"/>
        <v>17.09467913960556</v>
      </c>
      <c r="BW717" s="117">
        <f>SUM(BW714:BW716)</f>
        <v>24853</v>
      </c>
      <c r="BX717" s="98">
        <f t="shared" si="4352"/>
        <v>2.2925584458347137</v>
      </c>
      <c r="BY717" s="117">
        <f>SUM(BY714:BY716)</f>
        <v>25685</v>
      </c>
      <c r="BZ717" s="98">
        <f t="shared" si="4353"/>
        <v>51.793629218131308</v>
      </c>
      <c r="CA717" s="117">
        <f>SUM(CA714:CA716)</f>
        <v>23821</v>
      </c>
      <c r="CB717" s="98">
        <f t="shared" si="4354"/>
        <v>24.177657300735021</v>
      </c>
      <c r="CC717" s="117">
        <f>SUM(CC714:CC716)</f>
        <v>22620</v>
      </c>
      <c r="CD717" s="98">
        <f t="shared" si="4355"/>
        <v>15.102788520252396</v>
      </c>
      <c r="CE717" s="117">
        <f>SUM(CE714:CE716)</f>
        <v>28813</v>
      </c>
      <c r="CF717" s="98">
        <f t="shared" si="4356"/>
        <v>15.933690097774921</v>
      </c>
      <c r="CG717" s="117">
        <f>SUM(CG714:CG716)</f>
        <v>30014</v>
      </c>
      <c r="CH717" s="98">
        <f t="shared" si="4357"/>
        <v>16.854195055479849</v>
      </c>
      <c r="CI717" s="117">
        <f>SUM(CI714:CI716)</f>
        <v>35057</v>
      </c>
      <c r="CJ717" s="98">
        <f t="shared" si="4358"/>
        <v>47.168464799966415</v>
      </c>
      <c r="CK717" s="117">
        <f>SUM(CK714:CK716)</f>
        <v>36380</v>
      </c>
      <c r="CL717" s="98">
        <f t="shared" si="4359"/>
        <v>60.83112290008841</v>
      </c>
      <c r="CM717" s="117">
        <f>SUM(CM714:CM716)</f>
        <v>36664</v>
      </c>
      <c r="CN717" s="98">
        <f t="shared" si="4360"/>
        <v>27.248117169333284</v>
      </c>
      <c r="CO717" s="117">
        <f>SUM(CO714:CO716)</f>
        <v>36860</v>
      </c>
      <c r="CP717" s="98">
        <f t="shared" si="4361"/>
        <v>22.809355634037452</v>
      </c>
      <c r="CQ717" s="486">
        <f>SUM(CQ714:CQ716)</f>
        <v>33693</v>
      </c>
      <c r="CR717" s="98">
        <f t="shared" si="4361"/>
        <v>-3.8908064010040766</v>
      </c>
      <c r="CS717" s="117">
        <f>SUM(CS714:CS716)</f>
        <v>32217</v>
      </c>
      <c r="CT717" s="98">
        <f t="shared" si="4361"/>
        <v>-11.443100604727874</v>
      </c>
      <c r="CU717" s="117">
        <f>SUM(CU714:CU716)</f>
        <v>31329</v>
      </c>
      <c r="CV717" s="98">
        <f t="shared" si="4362"/>
        <v>-14.551058258782456</v>
      </c>
      <c r="CW717" s="117">
        <f>SUM(CW714:CW716)</f>
        <v>26368</v>
      </c>
      <c r="CX717" s="98">
        <f t="shared" si="4363"/>
        <v>-28.464460119370592</v>
      </c>
      <c r="CY717" s="117">
        <f>SUM(CY714:CY716)</f>
        <v>22913</v>
      </c>
      <c r="CZ717" s="98">
        <f t="shared" si="4364"/>
        <v>-31.994776363042764</v>
      </c>
      <c r="DA717" s="117">
        <f>SUM(DA714:DA716)</f>
        <v>22354</v>
      </c>
      <c r="DB717" s="98">
        <f t="shared" si="4365"/>
        <v>-30.614271968215533</v>
      </c>
      <c r="DC717" s="117">
        <f>SUM(DC714:DC716)</f>
        <v>22014</v>
      </c>
      <c r="DD717" s="98">
        <f t="shared" si="4366"/>
        <v>-29.732835392128699</v>
      </c>
      <c r="DE717" s="117">
        <f>SUM(DE714:DE716)</f>
        <v>21870</v>
      </c>
      <c r="DF717" s="98">
        <f t="shared" si="4367"/>
        <v>-17.058555825242717</v>
      </c>
      <c r="DG717" s="117">
        <f>SUM(DG714:DG716)</f>
        <v>21545</v>
      </c>
      <c r="DH717" s="98">
        <f t="shared" si="4368"/>
        <v>-5.9704098110243127</v>
      </c>
      <c r="DI717" s="117">
        <f>SUM(DI714:DI716)</f>
        <v>22021</v>
      </c>
      <c r="DJ717" s="98">
        <f t="shared" si="4369"/>
        <v>-1.4896662789657289</v>
      </c>
      <c r="DK717" s="117">
        <f>SUM(DK714:DK716)</f>
        <v>20086</v>
      </c>
      <c r="DL717" s="98">
        <f t="shared" si="4370"/>
        <v>-8.7580630507858572</v>
      </c>
      <c r="DM717" s="117">
        <f>SUM(DM714:DM716)</f>
        <v>20076</v>
      </c>
      <c r="DN717" s="98">
        <f t="shared" si="4371"/>
        <v>-8.203017832647463</v>
      </c>
      <c r="DO717" s="117">
        <f>SUM(DO714:DO716)</f>
        <v>19682</v>
      </c>
      <c r="DP717" s="98">
        <f t="shared" si="4371"/>
        <v>-8.647017869575313</v>
      </c>
      <c r="DQ717" s="117">
        <f>SUM(DQ714:DQ716)</f>
        <v>19579</v>
      </c>
      <c r="DR717" s="98">
        <f t="shared" si="4371"/>
        <v>-11.089414649652607</v>
      </c>
      <c r="DS717" s="117">
        <f>SUM(DS714:DS716)</f>
        <v>21007</v>
      </c>
      <c r="DT717" s="98">
        <f t="shared" si="4371"/>
        <v>4.5852832818878753</v>
      </c>
      <c r="DU717" s="117">
        <f>SUM(DU714:DU716)</f>
        <v>20063</v>
      </c>
      <c r="DV717" s="98">
        <f t="shared" si="4371"/>
        <v>-6.4753935046824029E-2</v>
      </c>
      <c r="DW717" s="117">
        <f>SUM(DW714:DW716)</f>
        <v>20049</v>
      </c>
      <c r="DX717" s="98">
        <f t="shared" si="4371"/>
        <v>1.8646479016360074</v>
      </c>
      <c r="DY717" s="117">
        <f>SUM(DY714:DY716)</f>
        <v>21317</v>
      </c>
      <c r="DZ717" s="98">
        <f t="shared" si="4371"/>
        <v>8.876857857908993</v>
      </c>
      <c r="EA717" s="1031">
        <f>SUM(EA714:EA716)</f>
        <v>21101</v>
      </c>
      <c r="EB717" s="860">
        <f t="shared" si="4372"/>
        <v>0.44746989098871648</v>
      </c>
      <c r="EC717" s="1031">
        <f>SUM(EC714:EC716)</f>
        <v>19784</v>
      </c>
      <c r="ED717" s="860">
        <f t="shared" si="4373"/>
        <v>-1.390619548422467</v>
      </c>
      <c r="EE717" s="1031">
        <f>SUM(EE714:EE716)</f>
        <v>19857</v>
      </c>
      <c r="EF717" s="860">
        <f t="shared" si="4374"/>
        <v>-0.95765374831662253</v>
      </c>
      <c r="EG717" s="1031">
        <f>SUM(EG714:EG716)</f>
        <v>19852</v>
      </c>
      <c r="EH717" s="860">
        <f t="shared" si="4375"/>
        <v>-6.8724492189332409</v>
      </c>
      <c r="EI717" s="1031">
        <f>SUM(EI714:EI716)</f>
        <v>19884</v>
      </c>
      <c r="EJ717" s="860">
        <f t="shared" si="4376"/>
        <v>-5.7674991706554213</v>
      </c>
      <c r="EK717" s="1031">
        <f>SUM(EK714:EK716)</f>
        <v>19896</v>
      </c>
      <c r="EL717" s="860">
        <f t="shared" si="4377"/>
        <v>0.56611403154063211</v>
      </c>
      <c r="EM717" s="1031">
        <f>SUM(EM714:EM716)</f>
        <v>20046</v>
      </c>
      <c r="EN717" s="860">
        <f t="shared" si="4378"/>
        <v>0.95180540867201291</v>
      </c>
      <c r="EO717" s="1031">
        <f>SUM(EO714:EO716)</f>
        <v>19307</v>
      </c>
      <c r="EP717" s="98">
        <f t="shared" si="4379"/>
        <v>-2.7453153334676572</v>
      </c>
      <c r="EQ717" s="1031">
        <f t="shared" ref="EQ717" si="4408">SUM(EQ714:EQ716)</f>
        <v>19330.849999999999</v>
      </c>
      <c r="ER717" s="98">
        <f t="shared" si="4380"/>
        <v>-2.7818849326091355</v>
      </c>
      <c r="ES717" s="1031">
        <f t="shared" ref="ES717" si="4409">SUM(ES714:ES716)</f>
        <v>19355.892500000002</v>
      </c>
      <c r="ET717" s="98">
        <f t="shared" si="4382"/>
        <v>-2.7146536992360137</v>
      </c>
      <c r="EU717" s="1031">
        <f t="shared" ref="EU717" si="4410">SUM(EU714:EU716)</f>
        <v>19382.187125</v>
      </c>
      <c r="EV717" s="98">
        <f t="shared" si="4384"/>
        <v>-3.3114480444976557</v>
      </c>
      <c r="EW717" s="1031">
        <f t="shared" ref="EW717" si="4411">SUM(EW714:EW716)</f>
        <v>19409.796481249999</v>
      </c>
      <c r="EX717" s="98">
        <f t="shared" si="4386"/>
        <v>0.53243114543948256</v>
      </c>
      <c r="EY717" s="117"/>
      <c r="EZ717" s="594"/>
      <c r="FA717" s="405"/>
      <c r="FB717" s="118">
        <f>SUM(FB714:FB715)</f>
        <v>6488</v>
      </c>
      <c r="FC717" s="98"/>
      <c r="FD717" s="117">
        <f>SUM(FD714:FD715)</f>
        <v>6722</v>
      </c>
      <c r="FE717" s="98">
        <f t="shared" si="4387"/>
        <v>3.6066584463625206</v>
      </c>
      <c r="FF717" s="118">
        <f>SUM(FF714:FF715)</f>
        <v>3520</v>
      </c>
      <c r="FG717" s="98">
        <f t="shared" si="4388"/>
        <v>-47.634632549836354</v>
      </c>
      <c r="FH717" s="118">
        <f>SUM(FH714:FH715)</f>
        <v>3983</v>
      </c>
      <c r="FI717" s="98">
        <f t="shared" si="4389"/>
        <v>13.153409090909097</v>
      </c>
      <c r="FJ717" s="118">
        <f>SUM(FJ714:FJ715)</f>
        <v>5586</v>
      </c>
      <c r="FK717" s="98">
        <f t="shared" si="4390"/>
        <v>40.246045694200362</v>
      </c>
      <c r="FL717" s="118">
        <f>SUM(FL714:FL715)</f>
        <v>9345</v>
      </c>
      <c r="FM717" s="98">
        <f t="shared" si="4391"/>
        <v>67.293233082706763</v>
      </c>
      <c r="FN717" s="118">
        <f>SUM(FN714:FN715)</f>
        <v>8857</v>
      </c>
      <c r="FO717" s="98">
        <f t="shared" si="4392"/>
        <v>-5.2220438737292652</v>
      </c>
      <c r="FP717" s="118">
        <f>SUM(FP714:FP716)</f>
        <v>13631</v>
      </c>
      <c r="FQ717" s="98">
        <f t="shared" si="4393"/>
        <v>53.900869368860782</v>
      </c>
      <c r="FR717" s="118">
        <f>SUM(FR714:FR716)</f>
        <v>13562</v>
      </c>
      <c r="FS717" s="98">
        <f>IF(ISERROR((FR717/FP717-1)*100),"NA",IF(((FR717/FP717-1)*100)&gt;100,"NM",IF(((FR717/FP717-1)*100)&lt;-50,"NM",(FR717/FP717-1)*100)))</f>
        <v>-0.5061991049812975</v>
      </c>
      <c r="FT717" s="118">
        <f>SUM(FT714:FT716)</f>
        <v>16783</v>
      </c>
      <c r="FU717" s="98">
        <f t="shared" si="4395"/>
        <v>23.750184338593129</v>
      </c>
      <c r="FV717" s="118">
        <f>SUM(FV714:FV716)</f>
        <v>19652</v>
      </c>
      <c r="FW717" s="98">
        <f t="shared" si="4396"/>
        <v>17.09467913960556</v>
      </c>
      <c r="FX717" s="510">
        <f>SUM(FX714:FX716)</f>
        <v>22620</v>
      </c>
      <c r="FY717" s="98">
        <f t="shared" si="4397"/>
        <v>15.102788520252396</v>
      </c>
      <c r="FZ717" s="118">
        <f>SUM(FZ714:FZ716)</f>
        <v>36380</v>
      </c>
      <c r="GA717" s="98">
        <f t="shared" si="4398"/>
        <v>60.83112290008841</v>
      </c>
      <c r="GB717" s="510">
        <f>SUM(GB714:GB716)</f>
        <v>32217</v>
      </c>
      <c r="GC717" s="98">
        <f t="shared" si="4399"/>
        <v>-11.443100604727874</v>
      </c>
      <c r="GD717" s="118">
        <f>SUM(GD714:GD716)</f>
        <v>22354</v>
      </c>
      <c r="GE717" s="98">
        <f t="shared" si="4400"/>
        <v>-30.614271968215533</v>
      </c>
      <c r="GF717" s="118">
        <f>SUM(GF714:GF716)</f>
        <v>22021</v>
      </c>
      <c r="GG717" s="98">
        <f t="shared" si="4400"/>
        <v>-1.4896662789657289</v>
      </c>
      <c r="GH717" s="118">
        <f>SUM(GH714:GH716)</f>
        <v>19579</v>
      </c>
      <c r="GI717" s="98">
        <f t="shared" si="4400"/>
        <v>-11.089414649652607</v>
      </c>
      <c r="GJ717" s="118">
        <f>SUM(GJ714:GJ716)</f>
        <v>21317</v>
      </c>
      <c r="GK717" s="98">
        <f t="shared" si="4400"/>
        <v>8.876857857908993</v>
      </c>
      <c r="GL717" s="118">
        <f>SUM(GL714:GL716)</f>
        <v>19852</v>
      </c>
      <c r="GM717" s="98">
        <f t="shared" si="4400"/>
        <v>-6.8724492189332409</v>
      </c>
      <c r="GN717" s="118">
        <f>SUM(GN714:GN716)</f>
        <v>19307</v>
      </c>
      <c r="GO717" s="98">
        <f t="shared" si="4400"/>
        <v>-2.7453153334676572</v>
      </c>
      <c r="GP717" s="118">
        <f>SUM(GP714:GP716)</f>
        <v>19409.796481249999</v>
      </c>
      <c r="GQ717" s="98">
        <f t="shared" si="4400"/>
        <v>0.53243114543948256</v>
      </c>
      <c r="GR717" s="117">
        <f>SUM(GR714:GR716)</f>
        <v>17438.7863053125</v>
      </c>
      <c r="GS717" s="98">
        <f t="shared" si="4400"/>
        <v>-10.154718406457841</v>
      </c>
      <c r="GT717" s="117">
        <f>SUM(GT714:GT716)</f>
        <v>15469.225620578125</v>
      </c>
      <c r="GU717" s="98">
        <f t="shared" si="4400"/>
        <v>-11.29413853838196</v>
      </c>
      <c r="GV717" s="117">
        <f>SUM(GV714:GV716)</f>
        <v>13501.18690160703</v>
      </c>
      <c r="GW717" s="98">
        <f t="shared" si="4400"/>
        <v>-12.722283372433896</v>
      </c>
      <c r="GX717" s="117">
        <f>SUM(GX714:GX716)</f>
        <v>11534.746246687384</v>
      </c>
      <c r="GY717" s="98">
        <f t="shared" si="4401"/>
        <v>-14.564946543222678</v>
      </c>
      <c r="GZ717" s="98">
        <f t="shared" si="4402"/>
        <v>-9.7891760185576882</v>
      </c>
      <c r="HA717" s="98"/>
      <c r="HB717" s="10"/>
      <c r="HC717"/>
      <c r="HD717"/>
      <c r="HE717"/>
      <c r="HF717"/>
      <c r="HG717"/>
      <c r="HH717"/>
      <c r="HI717" s="10"/>
    </row>
    <row r="718" spans="1:217" s="2" customFormat="1" ht="12.75" customHeight="1" x14ac:dyDescent="0.2">
      <c r="A718" s="10" t="s">
        <v>454</v>
      </c>
      <c r="B718" s="179" t="s">
        <v>270</v>
      </c>
      <c r="C718" s="101">
        <v>118</v>
      </c>
      <c r="D718" s="98"/>
      <c r="E718" s="101">
        <v>1084</v>
      </c>
      <c r="F718" s="98"/>
      <c r="G718" s="101">
        <v>1085</v>
      </c>
      <c r="H718" s="98"/>
      <c r="I718" s="254">
        <v>1090</v>
      </c>
      <c r="J718" s="98"/>
      <c r="K718" s="101">
        <v>1092</v>
      </c>
      <c r="L718" s="98" t="str">
        <f t="shared" si="4321"/>
        <v>NM</v>
      </c>
      <c r="M718" s="101">
        <v>1094</v>
      </c>
      <c r="N718" s="98">
        <f t="shared" si="4322"/>
        <v>0.92250922509224953</v>
      </c>
      <c r="O718" s="101">
        <v>1096</v>
      </c>
      <c r="P718" s="98">
        <f t="shared" si="4323"/>
        <v>1.0138248847926246</v>
      </c>
      <c r="Q718" s="254">
        <v>1256</v>
      </c>
      <c r="R718" s="98">
        <f t="shared" si="4324"/>
        <v>15.229357798165143</v>
      </c>
      <c r="S718" s="254">
        <v>1258</v>
      </c>
      <c r="T718" s="98">
        <f t="shared" si="4325"/>
        <v>15.201465201465192</v>
      </c>
      <c r="U718" s="254">
        <v>1260</v>
      </c>
      <c r="V718" s="98">
        <f t="shared" si="4326"/>
        <v>15.173674588665452</v>
      </c>
      <c r="W718" s="254">
        <v>1263</v>
      </c>
      <c r="X718" s="98">
        <f t="shared" si="4327"/>
        <v>15.237226277372272</v>
      </c>
      <c r="Y718" s="254">
        <v>1265</v>
      </c>
      <c r="Z718" s="98">
        <f t="shared" si="4407"/>
        <v>0.71656050955413164</v>
      </c>
      <c r="AA718" s="254">
        <v>277</v>
      </c>
      <c r="AB718" s="98" t="str">
        <f t="shared" si="4328"/>
        <v>NM</v>
      </c>
      <c r="AC718" s="254">
        <v>277</v>
      </c>
      <c r="AD718" s="98" t="str">
        <f t="shared" si="4329"/>
        <v>NM</v>
      </c>
      <c r="AE718" s="254">
        <v>277</v>
      </c>
      <c r="AF718" s="98" t="str">
        <f t="shared" si="4330"/>
        <v>NM</v>
      </c>
      <c r="AG718" s="254">
        <v>277</v>
      </c>
      <c r="AH718" s="98" t="str">
        <f t="shared" si="4331"/>
        <v>NM</v>
      </c>
      <c r="AI718" s="254">
        <v>277</v>
      </c>
      <c r="AJ718" s="98">
        <f t="shared" si="4332"/>
        <v>0</v>
      </c>
      <c r="AK718" s="254">
        <v>277</v>
      </c>
      <c r="AL718" s="98">
        <f t="shared" si="4333"/>
        <v>0</v>
      </c>
      <c r="AM718" s="254">
        <v>277</v>
      </c>
      <c r="AN718" s="98">
        <f t="shared" si="4334"/>
        <v>0</v>
      </c>
      <c r="AO718" s="254">
        <v>278</v>
      </c>
      <c r="AP718" s="98">
        <f t="shared" si="4335"/>
        <v>0.36101083032491488</v>
      </c>
      <c r="AQ718" s="254">
        <v>278</v>
      </c>
      <c r="AR718" s="98">
        <f t="shared" si="4336"/>
        <v>0.36101083032491488</v>
      </c>
      <c r="AS718" s="254">
        <v>278</v>
      </c>
      <c r="AT718" s="98">
        <f t="shared" si="4337"/>
        <v>0.36101083032491488</v>
      </c>
      <c r="AU718" s="254">
        <v>278</v>
      </c>
      <c r="AV718" s="98">
        <f t="shared" si="4338"/>
        <v>0.36101083032491488</v>
      </c>
      <c r="AW718" s="254">
        <v>278</v>
      </c>
      <c r="AX718" s="98">
        <f t="shared" si="4339"/>
        <v>0</v>
      </c>
      <c r="AY718" s="254">
        <v>278</v>
      </c>
      <c r="AZ718" s="98">
        <f t="shared" si="4340"/>
        <v>0</v>
      </c>
      <c r="BA718" s="254">
        <v>278</v>
      </c>
      <c r="BB718" s="98">
        <f t="shared" si="4341"/>
        <v>0</v>
      </c>
      <c r="BC718" s="254">
        <v>278</v>
      </c>
      <c r="BD718" s="98">
        <f t="shared" si="4342"/>
        <v>0</v>
      </c>
      <c r="BE718" s="254">
        <v>278</v>
      </c>
      <c r="BF718" s="98">
        <f t="shared" si="4343"/>
        <v>0</v>
      </c>
      <c r="BG718" s="254">
        <v>278</v>
      </c>
      <c r="BH718" s="98">
        <f t="shared" si="4344"/>
        <v>0</v>
      </c>
      <c r="BI718" s="254">
        <v>278</v>
      </c>
      <c r="BJ718" s="98">
        <f t="shared" si="4345"/>
        <v>0</v>
      </c>
      <c r="BK718" s="254">
        <v>279</v>
      </c>
      <c r="BL718" s="98">
        <f t="shared" si="4346"/>
        <v>0.3597122302158251</v>
      </c>
      <c r="BM718" s="254">
        <v>159</v>
      </c>
      <c r="BN718" s="98">
        <f t="shared" si="4347"/>
        <v>-42.805755395683455</v>
      </c>
      <c r="BO718" s="254">
        <v>159</v>
      </c>
      <c r="BP718" s="98">
        <f t="shared" si="4348"/>
        <v>-42.805755395683455</v>
      </c>
      <c r="BQ718" s="254">
        <v>159</v>
      </c>
      <c r="BR718" s="98">
        <f t="shared" si="4349"/>
        <v>-42.805755395683455</v>
      </c>
      <c r="BS718" s="254">
        <v>159</v>
      </c>
      <c r="BT718" s="98">
        <f t="shared" si="4350"/>
        <v>-43.01075268817204</v>
      </c>
      <c r="BU718" s="254">
        <v>159</v>
      </c>
      <c r="BV718" s="98">
        <f t="shared" si="4351"/>
        <v>0</v>
      </c>
      <c r="BW718" s="254">
        <v>159</v>
      </c>
      <c r="BX718" s="98">
        <f t="shared" si="4352"/>
        <v>0</v>
      </c>
      <c r="BY718" s="254">
        <v>159</v>
      </c>
      <c r="BZ718" s="98">
        <f t="shared" si="4353"/>
        <v>0</v>
      </c>
      <c r="CA718" s="254">
        <v>159</v>
      </c>
      <c r="CB718" s="98">
        <f t="shared" si="4354"/>
        <v>0</v>
      </c>
      <c r="CC718" s="254">
        <v>159</v>
      </c>
      <c r="CD718" s="98">
        <f t="shared" si="4355"/>
        <v>0</v>
      </c>
      <c r="CE718" s="254">
        <v>159</v>
      </c>
      <c r="CF718" s="98">
        <f t="shared" si="4356"/>
        <v>0</v>
      </c>
      <c r="CG718" s="254">
        <v>159</v>
      </c>
      <c r="CH718" s="98">
        <f t="shared" si="4357"/>
        <v>0</v>
      </c>
      <c r="CI718" s="254">
        <v>159</v>
      </c>
      <c r="CJ718" s="98">
        <f t="shared" si="4358"/>
        <v>0</v>
      </c>
      <c r="CK718" s="254">
        <v>159</v>
      </c>
      <c r="CL718" s="98">
        <f t="shared" si="4359"/>
        <v>0</v>
      </c>
      <c r="CM718" s="254">
        <v>159</v>
      </c>
      <c r="CN718" s="98">
        <f t="shared" si="4360"/>
        <v>0</v>
      </c>
      <c r="CO718" s="254">
        <v>159</v>
      </c>
      <c r="CP718" s="98">
        <f t="shared" si="4361"/>
        <v>0</v>
      </c>
      <c r="CQ718" s="558">
        <v>159</v>
      </c>
      <c r="CR718" s="98">
        <f t="shared" si="4361"/>
        <v>0</v>
      </c>
      <c r="CS718" s="254">
        <f>CQ718</f>
        <v>159</v>
      </c>
      <c r="CT718" s="98">
        <f t="shared" si="4361"/>
        <v>0</v>
      </c>
      <c r="CU718" s="254">
        <f>CS718</f>
        <v>159</v>
      </c>
      <c r="CV718" s="98">
        <f t="shared" si="4362"/>
        <v>0</v>
      </c>
      <c r="CW718" s="254">
        <f>CU718</f>
        <v>159</v>
      </c>
      <c r="CX718" s="98">
        <f t="shared" si="4363"/>
        <v>0</v>
      </c>
      <c r="CY718" s="254">
        <f>CW718</f>
        <v>159</v>
      </c>
      <c r="CZ718" s="98">
        <f t="shared" si="4364"/>
        <v>0</v>
      </c>
      <c r="DA718" s="254">
        <f>CY718</f>
        <v>159</v>
      </c>
      <c r="DB718" s="98">
        <f t="shared" si="4365"/>
        <v>0</v>
      </c>
      <c r="DC718" s="254">
        <f>DA718</f>
        <v>159</v>
      </c>
      <c r="DD718" s="98">
        <f t="shared" si="4366"/>
        <v>0</v>
      </c>
      <c r="DE718" s="254">
        <f>DC718</f>
        <v>159</v>
      </c>
      <c r="DF718" s="98">
        <f t="shared" si="4367"/>
        <v>0</v>
      </c>
      <c r="DG718" s="254">
        <f>DE718</f>
        <v>159</v>
      </c>
      <c r="DH718" s="98">
        <f t="shared" si="4368"/>
        <v>0</v>
      </c>
      <c r="DI718" s="254">
        <f>DG718</f>
        <v>159</v>
      </c>
      <c r="DJ718" s="98">
        <f t="shared" si="4369"/>
        <v>0</v>
      </c>
      <c r="DK718" s="254">
        <f>DI718</f>
        <v>159</v>
      </c>
      <c r="DL718" s="98">
        <f t="shared" si="4370"/>
        <v>0</v>
      </c>
      <c r="DM718" s="254">
        <f>DK718</f>
        <v>159</v>
      </c>
      <c r="DN718" s="98">
        <f t="shared" si="4371"/>
        <v>0</v>
      </c>
      <c r="DO718" s="254">
        <f>DM718</f>
        <v>159</v>
      </c>
      <c r="DP718" s="98">
        <f t="shared" si="4371"/>
        <v>0</v>
      </c>
      <c r="DQ718" s="254">
        <f>DO718</f>
        <v>159</v>
      </c>
      <c r="DR718" s="98">
        <f t="shared" si="4371"/>
        <v>0</v>
      </c>
      <c r="DS718" s="254">
        <f>DQ718</f>
        <v>159</v>
      </c>
      <c r="DT718" s="98">
        <f t="shared" si="4371"/>
        <v>0</v>
      </c>
      <c r="DU718" s="254">
        <f>DS718</f>
        <v>159</v>
      </c>
      <c r="DV718" s="98">
        <f t="shared" si="4371"/>
        <v>0</v>
      </c>
      <c r="DW718" s="254">
        <f>DU718</f>
        <v>159</v>
      </c>
      <c r="DX718" s="98">
        <f t="shared" si="4371"/>
        <v>0</v>
      </c>
      <c r="DY718" s="254">
        <f>DW718</f>
        <v>159</v>
      </c>
      <c r="DZ718" s="98">
        <f t="shared" si="4371"/>
        <v>0</v>
      </c>
      <c r="EA718" s="1152">
        <f>DY718</f>
        <v>159</v>
      </c>
      <c r="EB718" s="860">
        <f t="shared" si="4372"/>
        <v>0</v>
      </c>
      <c r="EC718" s="1152">
        <f>EA718</f>
        <v>159</v>
      </c>
      <c r="ED718" s="860">
        <f t="shared" si="4373"/>
        <v>0</v>
      </c>
      <c r="EE718" s="1152">
        <f>EC718</f>
        <v>159</v>
      </c>
      <c r="EF718" s="860">
        <f t="shared" si="4374"/>
        <v>0</v>
      </c>
      <c r="EG718" s="1152">
        <f>EE718</f>
        <v>159</v>
      </c>
      <c r="EH718" s="860">
        <f t="shared" si="4375"/>
        <v>0</v>
      </c>
      <c r="EI718" s="1152">
        <f>EG718</f>
        <v>159</v>
      </c>
      <c r="EJ718" s="860">
        <f t="shared" si="4376"/>
        <v>0</v>
      </c>
      <c r="EK718" s="1152">
        <f>EI718</f>
        <v>159</v>
      </c>
      <c r="EL718" s="860">
        <f t="shared" si="4377"/>
        <v>0</v>
      </c>
      <c r="EM718" s="1152">
        <f>EK718</f>
        <v>159</v>
      </c>
      <c r="EN718" s="860">
        <f t="shared" si="4378"/>
        <v>0</v>
      </c>
      <c r="EO718" s="1152">
        <f>EM718</f>
        <v>159</v>
      </c>
      <c r="EP718" s="98">
        <f t="shared" si="4379"/>
        <v>0</v>
      </c>
      <c r="EQ718" s="1023">
        <f t="shared" ref="EQ718" si="4412">EO718</f>
        <v>159</v>
      </c>
      <c r="ER718" s="98">
        <f t="shared" si="4380"/>
        <v>0</v>
      </c>
      <c r="ES718" s="1023">
        <f t="shared" ref="ES718" si="4413">EQ718</f>
        <v>159</v>
      </c>
      <c r="ET718" s="98">
        <f t="shared" si="4382"/>
        <v>0</v>
      </c>
      <c r="EU718" s="1023">
        <f t="shared" ref="EU718" si="4414">ES718</f>
        <v>159</v>
      </c>
      <c r="EV718" s="98">
        <f t="shared" si="4384"/>
        <v>0</v>
      </c>
      <c r="EW718" s="1023">
        <f t="shared" ref="EW718" si="4415">EU718</f>
        <v>159</v>
      </c>
      <c r="EX718" s="98">
        <f t="shared" si="4386"/>
        <v>0</v>
      </c>
      <c r="EY718" s="119"/>
      <c r="EZ718" s="594"/>
      <c r="FA718" s="405"/>
      <c r="FB718" s="281">
        <v>0</v>
      </c>
      <c r="FC718" s="98"/>
      <c r="FD718" s="254">
        <v>0</v>
      </c>
      <c r="FE718" s="98" t="str">
        <f t="shared" si="4387"/>
        <v>NA</v>
      </c>
      <c r="FF718" s="118">
        <f>I718</f>
        <v>1090</v>
      </c>
      <c r="FG718" s="98" t="str">
        <f t="shared" si="4388"/>
        <v>NA</v>
      </c>
      <c r="FH718" s="118">
        <f>Q718</f>
        <v>1256</v>
      </c>
      <c r="FI718" s="98">
        <f t="shared" si="4389"/>
        <v>15.229357798165143</v>
      </c>
      <c r="FJ718" s="118">
        <f>S718</f>
        <v>1258</v>
      </c>
      <c r="FK718" s="98">
        <f t="shared" si="4390"/>
        <v>0.15923566878981443</v>
      </c>
      <c r="FL718" s="118">
        <f>AG718</f>
        <v>277</v>
      </c>
      <c r="FM718" s="98" t="str">
        <f t="shared" si="4391"/>
        <v>NM</v>
      </c>
      <c r="FN718" s="118">
        <f>AO718</f>
        <v>278</v>
      </c>
      <c r="FO718" s="98">
        <f t="shared" si="4392"/>
        <v>0.36101083032491488</v>
      </c>
      <c r="FP718" s="118">
        <f>AW718</f>
        <v>278</v>
      </c>
      <c r="FQ718" s="98">
        <f t="shared" si="4393"/>
        <v>0</v>
      </c>
      <c r="FR718" s="118">
        <f>BE718</f>
        <v>278</v>
      </c>
      <c r="FS718" s="98">
        <f t="shared" si="4394"/>
        <v>0</v>
      </c>
      <c r="FT718" s="118">
        <f>BM718</f>
        <v>159</v>
      </c>
      <c r="FU718" s="98">
        <f t="shared" si="4395"/>
        <v>-42.805755395683455</v>
      </c>
      <c r="FV718" s="118">
        <f>BU718</f>
        <v>159</v>
      </c>
      <c r="FW718" s="98">
        <f t="shared" si="4396"/>
        <v>0</v>
      </c>
      <c r="FX718" s="510">
        <f>CC718</f>
        <v>159</v>
      </c>
      <c r="FY718" s="98">
        <f t="shared" si="4397"/>
        <v>0</v>
      </c>
      <c r="FZ718" s="118">
        <f>CK718</f>
        <v>159</v>
      </c>
      <c r="GA718" s="98">
        <f t="shared" si="4398"/>
        <v>0</v>
      </c>
      <c r="GB718" s="510">
        <f>CS718</f>
        <v>159</v>
      </c>
      <c r="GC718" s="98">
        <f t="shared" si="4399"/>
        <v>0</v>
      </c>
      <c r="GD718" s="118">
        <f>DA718</f>
        <v>159</v>
      </c>
      <c r="GE718" s="98">
        <f t="shared" si="4400"/>
        <v>0</v>
      </c>
      <c r="GF718" s="118">
        <f>DI718</f>
        <v>159</v>
      </c>
      <c r="GG718" s="98">
        <f t="shared" si="4400"/>
        <v>0</v>
      </c>
      <c r="GH718" s="118">
        <f>DQ718</f>
        <v>159</v>
      </c>
      <c r="GI718" s="98">
        <f t="shared" si="4400"/>
        <v>0</v>
      </c>
      <c r="GJ718" s="118">
        <f>DY718</f>
        <v>159</v>
      </c>
      <c r="GK718" s="98">
        <f t="shared" si="4400"/>
        <v>0</v>
      </c>
      <c r="GL718" s="118">
        <f>EG718</f>
        <v>159</v>
      </c>
      <c r="GM718" s="98">
        <f t="shared" si="4400"/>
        <v>0</v>
      </c>
      <c r="GN718" s="118">
        <f>EO718</f>
        <v>159</v>
      </c>
      <c r="GO718" s="98">
        <f t="shared" si="4400"/>
        <v>0</v>
      </c>
      <c r="GP718" s="118">
        <f>EW718</f>
        <v>159</v>
      </c>
      <c r="GQ718" s="98">
        <f t="shared" si="4400"/>
        <v>0</v>
      </c>
      <c r="GR718" s="119">
        <f>+GP718</f>
        <v>159</v>
      </c>
      <c r="GS718" s="98">
        <f t="shared" si="4400"/>
        <v>0</v>
      </c>
      <c r="GT718" s="119">
        <f>+GR718</f>
        <v>159</v>
      </c>
      <c r="GU718" s="98">
        <f t="shared" si="4400"/>
        <v>0</v>
      </c>
      <c r="GV718" s="119">
        <f>+GT718</f>
        <v>159</v>
      </c>
      <c r="GW718" s="98">
        <f t="shared" si="4400"/>
        <v>0</v>
      </c>
      <c r="GX718" s="119">
        <f>+GV718</f>
        <v>159</v>
      </c>
      <c r="GY718" s="98">
        <f t="shared" si="4401"/>
        <v>0</v>
      </c>
      <c r="GZ718" s="98">
        <f t="shared" si="4402"/>
        <v>0</v>
      </c>
      <c r="HA718" s="98"/>
      <c r="HB718" s="10"/>
      <c r="HC718"/>
      <c r="HD718"/>
      <c r="HE718"/>
      <c r="HF718"/>
      <c r="HG718"/>
      <c r="HH718"/>
      <c r="HI718" s="10"/>
    </row>
    <row r="719" spans="1:217" s="2" customFormat="1" ht="12.75" customHeight="1" x14ac:dyDescent="0.2">
      <c r="A719" s="351"/>
      <c r="B719" s="179" t="s">
        <v>625</v>
      </c>
      <c r="C719" s="295">
        <f>SUM(C714:C715)+C718</f>
        <v>6496</v>
      </c>
      <c r="D719" s="98"/>
      <c r="E719" s="295">
        <f>SUM(E714:E715)+E718</f>
        <v>5693</v>
      </c>
      <c r="F719" s="98"/>
      <c r="G719" s="295">
        <f>SUM(G714:G715)+G718</f>
        <v>5806</v>
      </c>
      <c r="H719" s="98"/>
      <c r="I719" s="295">
        <f>SUM(I714:I715)+I718</f>
        <v>4610</v>
      </c>
      <c r="J719" s="98"/>
      <c r="K719" s="295">
        <f>SUM(K714:K715)+K718</f>
        <v>5082</v>
      </c>
      <c r="L719" s="98">
        <f t="shared" si="4321"/>
        <v>-21.767241379310342</v>
      </c>
      <c r="M719" s="295">
        <f>SUM(M714:M715)+M718</f>
        <v>5496</v>
      </c>
      <c r="N719" s="98">
        <f t="shared" si="4322"/>
        <v>-3.4603899525733395</v>
      </c>
      <c r="O719" s="295">
        <f>SUM(O714:O715)+O718</f>
        <v>4100</v>
      </c>
      <c r="P719" s="98">
        <f t="shared" si="4323"/>
        <v>-29.383396486393387</v>
      </c>
      <c r="Q719" s="295">
        <f>SUM(Q714:Q715)+Q718</f>
        <v>5239</v>
      </c>
      <c r="R719" s="98">
        <f t="shared" si="4324"/>
        <v>13.64425162689804</v>
      </c>
      <c r="S719" s="295">
        <f>SUM(S714:S715)+S718</f>
        <v>5238</v>
      </c>
      <c r="T719" s="98">
        <f t="shared" si="4325"/>
        <v>3.0696576151121535</v>
      </c>
      <c r="U719" s="295">
        <f>SUM(U714:U715)+U718</f>
        <v>4748</v>
      </c>
      <c r="V719" s="98">
        <f t="shared" si="4326"/>
        <v>-13.609898107714702</v>
      </c>
      <c r="W719" s="295">
        <f>SUM(W714:W715)+W718</f>
        <v>5569</v>
      </c>
      <c r="X719" s="98">
        <f t="shared" si="4327"/>
        <v>35.82926829268294</v>
      </c>
      <c r="Y719" s="295">
        <f>SUM(Y714:Y715)+Y718</f>
        <v>6851</v>
      </c>
      <c r="Z719" s="98">
        <f t="shared" si="4407"/>
        <v>30.76923076923077</v>
      </c>
      <c r="AA719" s="295">
        <f>SUM(AA714:AA715)+AA718</f>
        <v>8199</v>
      </c>
      <c r="AB719" s="98">
        <f t="shared" si="4328"/>
        <v>56.529209621993125</v>
      </c>
      <c r="AC719" s="295">
        <f>SUM(AC714:AC715)+AC718</f>
        <v>9282</v>
      </c>
      <c r="AD719" s="98">
        <f t="shared" si="4329"/>
        <v>95.492839090143207</v>
      </c>
      <c r="AE719" s="295">
        <f>SUM(AE714:AE715)+AE718</f>
        <v>8915</v>
      </c>
      <c r="AF719" s="98">
        <f t="shared" si="4330"/>
        <v>60.082600107739268</v>
      </c>
      <c r="AG719" s="295">
        <f>SUM(AG714:AG715)+AG718</f>
        <v>9622</v>
      </c>
      <c r="AH719" s="98">
        <f t="shared" si="4331"/>
        <v>40.446650124069471</v>
      </c>
      <c r="AI719" s="117">
        <f>SUM(AI714:AI715)+AI718</f>
        <v>9052</v>
      </c>
      <c r="AJ719" s="98">
        <f t="shared" si="4332"/>
        <v>10.403707769240157</v>
      </c>
      <c r="AK719" s="117">
        <f>SUM(AK714:AK715)+AK718</f>
        <v>9721</v>
      </c>
      <c r="AL719" s="98">
        <f t="shared" si="4333"/>
        <v>4.7295841413488526</v>
      </c>
      <c r="AM719" s="117">
        <f>SUM(AM714:AM715)+AM718</f>
        <v>8538</v>
      </c>
      <c r="AN719" s="98">
        <f t="shared" si="4334"/>
        <v>-4.2288278182837864</v>
      </c>
      <c r="AO719" s="117">
        <f>SUM(AO714:AO715)+AO718</f>
        <v>9135</v>
      </c>
      <c r="AP719" s="98">
        <f t="shared" si="4335"/>
        <v>-5.0613178133444237</v>
      </c>
      <c r="AQ719" s="117">
        <f>SUM(AQ714:AQ715)+AQ718</f>
        <v>8812</v>
      </c>
      <c r="AR719" s="98">
        <f t="shared" si="4336"/>
        <v>-2.6513477684489639</v>
      </c>
      <c r="AS719" s="117">
        <f>SUM(AS714:AS715)+AS718</f>
        <v>11561</v>
      </c>
      <c r="AT719" s="98">
        <f t="shared" si="4337"/>
        <v>18.928093817508483</v>
      </c>
      <c r="AU719" s="117">
        <f>SUM(AU714:AU715)+AU718</f>
        <v>11073</v>
      </c>
      <c r="AV719" s="98">
        <f t="shared" si="4338"/>
        <v>29.690794096978212</v>
      </c>
      <c r="AW719" s="117">
        <f>SUM(AW714:AW715)+AW718</f>
        <v>11775</v>
      </c>
      <c r="AX719" s="98">
        <f t="shared" si="4339"/>
        <v>28.899835796387528</v>
      </c>
      <c r="AY719" s="117">
        <f>SUM(AY714:AY715)+AY718</f>
        <v>11570</v>
      </c>
      <c r="AZ719" s="98">
        <f t="shared" si="4340"/>
        <v>31.298229686790748</v>
      </c>
      <c r="BA719" s="117">
        <f>SUM(BA714:BA715)+BA718</f>
        <v>13268</v>
      </c>
      <c r="BB719" s="98">
        <f t="shared" si="4341"/>
        <v>14.765158723293826</v>
      </c>
      <c r="BC719" s="117">
        <f>SUM(BC714:BC715)+BC718</f>
        <v>12695</v>
      </c>
      <c r="BD719" s="98">
        <f t="shared" si="4342"/>
        <v>14.64824347511966</v>
      </c>
      <c r="BE719" s="117">
        <f>SUM(BE714:BE715)+BE718</f>
        <v>11706</v>
      </c>
      <c r="BF719" s="98">
        <f t="shared" si="4343"/>
        <v>-0.58598726114649224</v>
      </c>
      <c r="BG719" s="117">
        <f>SUM(BG714:BG715)+BG718</f>
        <v>13991</v>
      </c>
      <c r="BH719" s="98">
        <f t="shared" si="4344"/>
        <v>20.924805531547097</v>
      </c>
      <c r="BI719" s="117">
        <f>SUM(BI714:BI715)+BI718</f>
        <v>14251</v>
      </c>
      <c r="BJ719" s="98">
        <f t="shared" si="4345"/>
        <v>7.4088031353632733</v>
      </c>
      <c r="BK719" s="117">
        <f>SUM(BK714:BK715)+BK718</f>
        <v>13417</v>
      </c>
      <c r="BL719" s="98">
        <f t="shared" si="4346"/>
        <v>5.6872784560850764</v>
      </c>
      <c r="BM719" s="117">
        <f>SUM(BM714:BM715)+BM718</f>
        <v>14808</v>
      </c>
      <c r="BN719" s="98">
        <f t="shared" si="4347"/>
        <v>26.499231163505897</v>
      </c>
      <c r="BO719" s="117">
        <f>SUM(BO714:BO715)+BO718</f>
        <v>22321</v>
      </c>
      <c r="BP719" s="98">
        <f t="shared" si="4348"/>
        <v>59.538274605103283</v>
      </c>
      <c r="BQ719" s="117">
        <f>SUM(BQ714:BQ715)+BQ718</f>
        <v>14946</v>
      </c>
      <c r="BR719" s="98">
        <f t="shared" si="4349"/>
        <v>4.8768507473159861</v>
      </c>
      <c r="BS719" s="117">
        <f>SUM(BS714:BS715)+BS718</f>
        <v>17208</v>
      </c>
      <c r="BT719" s="98">
        <f t="shared" si="4350"/>
        <v>28.255198628605505</v>
      </c>
      <c r="BU719" s="117">
        <f>SUM(BU714:BU715)+BU718</f>
        <v>17677</v>
      </c>
      <c r="BV719" s="98">
        <f t="shared" si="4351"/>
        <v>19.374662344678551</v>
      </c>
      <c r="BW719" s="117">
        <f>SUM(BW714:BW715)+BW718</f>
        <v>22321</v>
      </c>
      <c r="BX719" s="98">
        <f t="shared" si="4352"/>
        <v>0</v>
      </c>
      <c r="BY719" s="117">
        <f>SUM(BY714:BY715)+BY718</f>
        <v>23153</v>
      </c>
      <c r="BZ719" s="98">
        <f t="shared" si="4353"/>
        <v>54.911012980061557</v>
      </c>
      <c r="CA719" s="117">
        <f>SUM(CA714:CA715)+CA718</f>
        <v>20789</v>
      </c>
      <c r="CB719" s="98">
        <f t="shared" si="4354"/>
        <v>20.810088331008835</v>
      </c>
      <c r="CC719" s="117">
        <f>SUM(CC714:CC715)+CC718</f>
        <v>19588</v>
      </c>
      <c r="CD719" s="98">
        <f t="shared" si="4355"/>
        <v>10.810657917067367</v>
      </c>
      <c r="CE719" s="117">
        <f>SUM(CE714:CE715)+CE718</f>
        <v>25781</v>
      </c>
      <c r="CF719" s="98">
        <f t="shared" si="4356"/>
        <v>15.501097621074322</v>
      </c>
      <c r="CG719" s="117">
        <f>SUM(CG714:CG715)+CG718</f>
        <v>26982</v>
      </c>
      <c r="CH719" s="98">
        <f t="shared" si="4357"/>
        <v>16.537813674253886</v>
      </c>
      <c r="CI719" s="117">
        <f>SUM(CI714:CI715)+CI718</f>
        <v>32025</v>
      </c>
      <c r="CJ719" s="98">
        <f t="shared" si="4358"/>
        <v>54.047813747655013</v>
      </c>
      <c r="CK719" s="117">
        <f>SUM(CK714:CK715)+CK718</f>
        <v>33348</v>
      </c>
      <c r="CL719" s="98">
        <f t="shared" si="4359"/>
        <v>70.247090055135814</v>
      </c>
      <c r="CM719" s="117">
        <f>SUM(CM714:CM715)+CM718</f>
        <v>33632</v>
      </c>
      <c r="CN719" s="98">
        <f t="shared" si="4360"/>
        <v>30.45265893487452</v>
      </c>
      <c r="CO719" s="117">
        <f>SUM(CO714:CO715)+CO718</f>
        <v>33827</v>
      </c>
      <c r="CP719" s="98">
        <f t="shared" si="4361"/>
        <v>25.368764361426145</v>
      </c>
      <c r="CQ719" s="486">
        <f>SUM(CQ714:CQ715)+CQ718</f>
        <v>30660</v>
      </c>
      <c r="CR719" s="98">
        <f t="shared" si="4361"/>
        <v>-4.2622950819672152</v>
      </c>
      <c r="CS719" s="117">
        <f>SUM(CS714:CS715)+CS718</f>
        <v>29184</v>
      </c>
      <c r="CT719" s="98">
        <f t="shared" si="4361"/>
        <v>-12.486505937387548</v>
      </c>
      <c r="CU719" s="117">
        <f>SUM(CU714:CU715)+CU718</f>
        <v>28296</v>
      </c>
      <c r="CV719" s="98">
        <f t="shared" si="4362"/>
        <v>-15.865842055185542</v>
      </c>
      <c r="CW719" s="117">
        <f>SUM(CW714:CW715)+CW718</f>
        <v>23335</v>
      </c>
      <c r="CX719" s="98">
        <f t="shared" si="4363"/>
        <v>-31.016643509622487</v>
      </c>
      <c r="CY719" s="117">
        <f>SUM(CY714:CY715)+CY718</f>
        <v>19880</v>
      </c>
      <c r="CZ719" s="98">
        <f t="shared" si="4364"/>
        <v>-35.159817351598178</v>
      </c>
      <c r="DA719" s="117">
        <f>SUM(DA714:DA715)+DA718</f>
        <v>19321</v>
      </c>
      <c r="DB719" s="98">
        <f t="shared" si="4365"/>
        <v>-33.795915570175438</v>
      </c>
      <c r="DC719" s="117">
        <f>SUM(DC714:DC715)+DC718</f>
        <v>18980</v>
      </c>
      <c r="DD719" s="98">
        <f t="shared" si="4366"/>
        <v>-32.923381396663842</v>
      </c>
      <c r="DE719" s="117">
        <f>SUM(DE714:DE715)+DE718</f>
        <v>18836</v>
      </c>
      <c r="DF719" s="98">
        <f t="shared" si="4367"/>
        <v>-19.280051424898225</v>
      </c>
      <c r="DG719" s="117">
        <f>SUM(DG714:DG715)+DG718</f>
        <v>18511</v>
      </c>
      <c r="DH719" s="98">
        <f t="shared" si="4368"/>
        <v>-6.8863179074446723</v>
      </c>
      <c r="DI719" s="117">
        <f>SUM(DI714:DI715)+DI718</f>
        <v>18987</v>
      </c>
      <c r="DJ719" s="98">
        <f t="shared" si="4369"/>
        <v>-1.7286889912530357</v>
      </c>
      <c r="DK719" s="117">
        <f>SUM(DK714:DK715)+DK718</f>
        <v>17052</v>
      </c>
      <c r="DL719" s="98">
        <f t="shared" si="4370"/>
        <v>-10.158061116965222</v>
      </c>
      <c r="DM719" s="117">
        <f>SUM(DM714:DM715)+DM718</f>
        <v>17042</v>
      </c>
      <c r="DN719" s="98">
        <f t="shared" si="4371"/>
        <v>-9.524315141218942</v>
      </c>
      <c r="DO719" s="117">
        <f>SUM(DO714:DO715)+DO718</f>
        <v>16648</v>
      </c>
      <c r="DP719" s="98">
        <f t="shared" si="4371"/>
        <v>-10.064286100156661</v>
      </c>
      <c r="DQ719" s="117">
        <f>SUM(DQ714:DQ715)+DQ718</f>
        <v>16545</v>
      </c>
      <c r="DR719" s="98">
        <f t="shared" si="4371"/>
        <v>-12.861431505767108</v>
      </c>
      <c r="DS719" s="117">
        <f>SUM(DS714:DS715)+DS718</f>
        <v>17973</v>
      </c>
      <c r="DT719" s="98">
        <f t="shared" si="4371"/>
        <v>5.4011259676284284</v>
      </c>
      <c r="DU719" s="117">
        <f>SUM(DU714:DU715)+DU718</f>
        <v>17029</v>
      </c>
      <c r="DV719" s="98">
        <f t="shared" si="4371"/>
        <v>-7.6282126510973658E-2</v>
      </c>
      <c r="DW719" s="117">
        <f>SUM(DW714:DW715)+DW718</f>
        <v>17014</v>
      </c>
      <c r="DX719" s="98">
        <f t="shared" si="4371"/>
        <v>2.1984622777510898</v>
      </c>
      <c r="DY719" s="117">
        <f>SUM(DY714:DY715)+DY718</f>
        <v>18282</v>
      </c>
      <c r="DZ719" s="98">
        <f t="shared" si="4371"/>
        <v>10.498640072529476</v>
      </c>
      <c r="EA719" s="1031">
        <f>SUM(EA714:EA715)+EA718</f>
        <v>18092</v>
      </c>
      <c r="EB719" s="860">
        <f t="shared" si="4372"/>
        <v>0.66210426751238671</v>
      </c>
      <c r="EC719" s="1031">
        <f>SUM(EC714:EC715)+EC718</f>
        <v>16775</v>
      </c>
      <c r="ED719" s="860">
        <f t="shared" si="4373"/>
        <v>-1.4915731986611114</v>
      </c>
      <c r="EE719" s="1031">
        <f>SUM(EE714:EE715)+EE718</f>
        <v>16848</v>
      </c>
      <c r="EF719" s="860">
        <f t="shared" si="4374"/>
        <v>-0.97566709768426296</v>
      </c>
      <c r="EG719" s="1031">
        <f>SUM(EG714:EG715)+EG718</f>
        <v>16842</v>
      </c>
      <c r="EH719" s="860">
        <f t="shared" si="4375"/>
        <v>-7.8765999343616722</v>
      </c>
      <c r="EI719" s="1031">
        <f>SUM(EI714:EI715)+EI718</f>
        <v>16874</v>
      </c>
      <c r="EJ719" s="860">
        <f t="shared" si="4376"/>
        <v>-6.7322573513154964</v>
      </c>
      <c r="EK719" s="1031">
        <f>SUM(EK714:EK715)+EK718</f>
        <v>16886</v>
      </c>
      <c r="EL719" s="860">
        <f t="shared" si="4377"/>
        <v>0.66169895678092061</v>
      </c>
      <c r="EM719" s="1031">
        <f>SUM(EM714:EM715)+EM718</f>
        <v>17061</v>
      </c>
      <c r="EN719" s="860">
        <f t="shared" si="4378"/>
        <v>1.2642450142450246</v>
      </c>
      <c r="EO719" s="1031">
        <f>SUM(EO714:EO715)+EO718</f>
        <v>16322</v>
      </c>
      <c r="EP719" s="98">
        <f t="shared" si="4379"/>
        <v>-3.0875192969956111</v>
      </c>
      <c r="EQ719" s="1072">
        <f t="shared" ref="EQ719" si="4416">SUM(EQ714:EQ715)+EQ718</f>
        <v>16345.85</v>
      </c>
      <c r="ER719" s="98">
        <f t="shared" si="4380"/>
        <v>-3.1299632570819025</v>
      </c>
      <c r="ES719" s="1072">
        <f t="shared" ref="ES719" si="4417">SUM(ES714:ES715)+ES718</f>
        <v>16370.8925</v>
      </c>
      <c r="ET719" s="98">
        <f t="shared" si="4382"/>
        <v>-3.0505004145445991</v>
      </c>
      <c r="EU719" s="1072">
        <f t="shared" ref="EU719" si="4418">SUM(EU714:EU715)+EU718</f>
        <v>16397.187125</v>
      </c>
      <c r="EV719" s="98">
        <f t="shared" si="4384"/>
        <v>-3.890820438426823</v>
      </c>
      <c r="EW719" s="1072">
        <f t="shared" ref="EW719" si="4419">SUM(EW714:EW715)+EW718</f>
        <v>16424.796481249999</v>
      </c>
      <c r="EX719" s="98">
        <f t="shared" si="4386"/>
        <v>0.62980321804926298</v>
      </c>
      <c r="EY719" s="295"/>
      <c r="EZ719" s="594"/>
      <c r="FA719" s="405"/>
      <c r="FB719" s="295">
        <f>SUM(FB714:FB715)+FB718</f>
        <v>6488</v>
      </c>
      <c r="FC719" s="98"/>
      <c r="FD719" s="295">
        <f>SUM(FD714:FD715)+FD718</f>
        <v>6722</v>
      </c>
      <c r="FE719" s="98">
        <f t="shared" si="4387"/>
        <v>3.6066584463625206</v>
      </c>
      <c r="FF719" s="295">
        <f>SUM(FF714:FF715)+FF718</f>
        <v>4610</v>
      </c>
      <c r="FG719" s="98">
        <f t="shared" si="4388"/>
        <v>-31.419220470098185</v>
      </c>
      <c r="FH719" s="295">
        <f>SUM(FH714:FH715)+FH718</f>
        <v>5239</v>
      </c>
      <c r="FI719" s="98">
        <f t="shared" si="4389"/>
        <v>13.64425162689804</v>
      </c>
      <c r="FJ719" s="295">
        <f>SUM(FJ714:FJ715)+FJ718</f>
        <v>6844</v>
      </c>
      <c r="FK719" s="98">
        <f t="shared" si="4390"/>
        <v>30.63561748425272</v>
      </c>
      <c r="FL719" s="295">
        <f>SUM(FL714:FL715)+FL718</f>
        <v>9622</v>
      </c>
      <c r="FM719" s="98">
        <f t="shared" si="4391"/>
        <v>40.590298071303323</v>
      </c>
      <c r="FN719" s="295">
        <f>SUM(FN714:FN715)+FN718</f>
        <v>9135</v>
      </c>
      <c r="FO719" s="98">
        <f t="shared" si="4392"/>
        <v>-5.0613178133444237</v>
      </c>
      <c r="FP719" s="295">
        <f>SUM(FP714:FP715)+FP718</f>
        <v>11775</v>
      </c>
      <c r="FQ719" s="98">
        <f t="shared" si="4393"/>
        <v>28.899835796387528</v>
      </c>
      <c r="FR719" s="295">
        <f>SUM(FR714:FR715)+FR718</f>
        <v>11706</v>
      </c>
      <c r="FS719" s="98">
        <f t="shared" si="4394"/>
        <v>-0.58598726114649224</v>
      </c>
      <c r="FT719" s="295">
        <f>SUM(FT714:FT715)+FT718</f>
        <v>14808</v>
      </c>
      <c r="FU719" s="98">
        <f t="shared" si="4395"/>
        <v>26.499231163505897</v>
      </c>
      <c r="FV719" s="295">
        <f>SUM(FV714:FV715)+FV718</f>
        <v>17677</v>
      </c>
      <c r="FW719" s="98">
        <f t="shared" si="4396"/>
        <v>19.374662344678551</v>
      </c>
      <c r="FX719" s="486">
        <f>SUM(FX714:FX715)+FX718</f>
        <v>19588</v>
      </c>
      <c r="FY719" s="98">
        <f t="shared" si="4397"/>
        <v>10.810657917067367</v>
      </c>
      <c r="FZ719" s="295">
        <f>SUM(FZ714:FZ715)+FZ718</f>
        <v>33348</v>
      </c>
      <c r="GA719" s="98">
        <f t="shared" si="4398"/>
        <v>70.247090055135814</v>
      </c>
      <c r="GB719" s="486">
        <f>SUM(GB714:GB715)+GB718</f>
        <v>29184</v>
      </c>
      <c r="GC719" s="98">
        <f t="shared" si="4399"/>
        <v>-12.486505937387548</v>
      </c>
      <c r="GD719" s="295">
        <f>SUM(GD714:GD715)+GD718</f>
        <v>19321</v>
      </c>
      <c r="GE719" s="98">
        <f t="shared" si="4400"/>
        <v>-33.795915570175438</v>
      </c>
      <c r="GF719" s="295">
        <f>SUM(GF714:GF715)+GF718</f>
        <v>18987</v>
      </c>
      <c r="GG719" s="98">
        <f t="shared" si="4400"/>
        <v>-1.7286889912530357</v>
      </c>
      <c r="GH719" s="295">
        <f>SUM(GH714:GH715)+GH718</f>
        <v>16545</v>
      </c>
      <c r="GI719" s="98">
        <f t="shared" si="4400"/>
        <v>-12.861431505767108</v>
      </c>
      <c r="GJ719" s="295">
        <f>SUM(GJ714:GJ715)+GJ718</f>
        <v>18282</v>
      </c>
      <c r="GK719" s="98">
        <f t="shared" si="4400"/>
        <v>10.498640072529476</v>
      </c>
      <c r="GL719" s="295">
        <f>SUM(GL714:GL715)+GL718</f>
        <v>16842</v>
      </c>
      <c r="GM719" s="98">
        <f t="shared" si="4400"/>
        <v>-7.8765999343616722</v>
      </c>
      <c r="GN719" s="295">
        <f>SUM(GN714:GN715)+GN718</f>
        <v>16322</v>
      </c>
      <c r="GO719" s="98">
        <f t="shared" si="4400"/>
        <v>-3.0875192969956111</v>
      </c>
      <c r="GP719" s="295">
        <f>SUM(GP714:GP715)+GP718</f>
        <v>16424.796481249999</v>
      </c>
      <c r="GQ719" s="98">
        <f t="shared" si="4400"/>
        <v>0.62980321804926298</v>
      </c>
      <c r="GR719" s="295">
        <f>SUM(GR714:GR715)+GR718</f>
        <v>16453.7863053125</v>
      </c>
      <c r="GS719" s="98">
        <f t="shared" si="4400"/>
        <v>0.1765003547873123</v>
      </c>
      <c r="GT719" s="295">
        <f>SUM(GT714:GT715)+GT718</f>
        <v>16484.225620578123</v>
      </c>
      <c r="GU719" s="98">
        <f t="shared" si="4400"/>
        <v>0.18499884890199603</v>
      </c>
      <c r="GV719" s="295">
        <f>SUM(GV714:GV715)+GV718</f>
        <v>16516.18690160703</v>
      </c>
      <c r="GW719" s="98">
        <f t="shared" si="4400"/>
        <v>0.19389009689971815</v>
      </c>
      <c r="GX719" s="295">
        <f>SUM(GX714:GX715)+GX718</f>
        <v>16549.746246687384</v>
      </c>
      <c r="GY719" s="98">
        <f t="shared" si="4401"/>
        <v>0.2031906352251811</v>
      </c>
      <c r="GZ719" s="98">
        <f t="shared" si="4402"/>
        <v>0.27752194378998229</v>
      </c>
      <c r="HA719" s="98"/>
      <c r="HB719" s="10"/>
      <c r="HC719"/>
      <c r="HD719"/>
      <c r="HE719"/>
      <c r="HF719"/>
      <c r="HG719"/>
      <c r="HH719"/>
      <c r="HI719" s="10"/>
    </row>
    <row r="720" spans="1:217" s="2" customFormat="1" ht="12.75" customHeight="1" x14ac:dyDescent="0.2">
      <c r="A720" s="351"/>
      <c r="B720" s="179" t="s">
        <v>610</v>
      </c>
      <c r="C720" s="294"/>
      <c r="D720" s="98"/>
      <c r="E720" s="294"/>
      <c r="F720" s="98"/>
      <c r="G720" s="294"/>
      <c r="H720" s="98"/>
      <c r="I720" s="294"/>
      <c r="J720" s="98"/>
      <c r="K720" s="294">
        <f>83296+55140</f>
        <v>138436</v>
      </c>
      <c r="L720" s="98" t="str">
        <f t="shared" si="4321"/>
        <v>NA</v>
      </c>
      <c r="M720" s="294">
        <f>83240+55517</f>
        <v>138757</v>
      </c>
      <c r="N720" s="98" t="str">
        <f t="shared" si="4322"/>
        <v>NA</v>
      </c>
      <c r="O720" s="294">
        <f>84623+57199</f>
        <v>141822</v>
      </c>
      <c r="P720" s="98" t="str">
        <f t="shared" si="4323"/>
        <v>NA</v>
      </c>
      <c r="Q720" s="294">
        <f>85632+58923</f>
        <v>144555</v>
      </c>
      <c r="R720" s="98" t="str">
        <f t="shared" si="4324"/>
        <v>NA</v>
      </c>
      <c r="S720" s="294">
        <f>86020+60236</f>
        <v>146256</v>
      </c>
      <c r="T720" s="98">
        <f t="shared" si="4325"/>
        <v>5.6488196711838023</v>
      </c>
      <c r="U720" s="294">
        <f>88200+63005</f>
        <v>151205</v>
      </c>
      <c r="V720" s="98">
        <f t="shared" si="4326"/>
        <v>8.9710789365581523</v>
      </c>
      <c r="W720" s="294">
        <f>89734+65011</f>
        <v>154745</v>
      </c>
      <c r="X720" s="98">
        <f t="shared" si="4327"/>
        <v>9.1121264683899472</v>
      </c>
      <c r="Y720" s="294">
        <f>91697+66830</f>
        <v>158527</v>
      </c>
      <c r="Z720" s="98">
        <f t="shared" si="4407"/>
        <v>9.6655252326104169</v>
      </c>
      <c r="AA720" s="294">
        <f>92744+69060</f>
        <v>161804</v>
      </c>
      <c r="AB720" s="98">
        <f t="shared" si="4328"/>
        <v>10.630674980855481</v>
      </c>
      <c r="AC720" s="294">
        <f>95360+72207</f>
        <v>167567</v>
      </c>
      <c r="AD720" s="98">
        <f t="shared" si="4329"/>
        <v>10.821070731787973</v>
      </c>
      <c r="AE720" s="294">
        <f>95095+74857</f>
        <v>169952</v>
      </c>
      <c r="AF720" s="98">
        <f t="shared" si="4330"/>
        <v>9.8271349639729841</v>
      </c>
      <c r="AG720" s="294">
        <f>96278+75907</f>
        <v>172185</v>
      </c>
      <c r="AH720" s="98">
        <f t="shared" si="4331"/>
        <v>8.6155670642855888</v>
      </c>
      <c r="AI720" s="101">
        <f>96333+77981</f>
        <v>174314</v>
      </c>
      <c r="AJ720" s="98">
        <f t="shared" si="4332"/>
        <v>7.7315764752416527</v>
      </c>
      <c r="AK720" s="101">
        <f>95731+79943</f>
        <v>175674</v>
      </c>
      <c r="AL720" s="98">
        <f t="shared" si="4333"/>
        <v>4.8380647740903671</v>
      </c>
      <c r="AM720" s="101">
        <f>98193+81788</f>
        <v>179981</v>
      </c>
      <c r="AN720" s="98">
        <f t="shared" si="4334"/>
        <v>5.901077951421585</v>
      </c>
      <c r="AO720" s="101">
        <f>100154+83558</f>
        <v>183712</v>
      </c>
      <c r="AP720" s="98">
        <f t="shared" si="4335"/>
        <v>6.6945436594360697</v>
      </c>
      <c r="AQ720" s="101">
        <f>100624+85790</f>
        <v>186414</v>
      </c>
      <c r="AR720" s="98">
        <f t="shared" si="4336"/>
        <v>6.9414963800956908</v>
      </c>
      <c r="AS720" s="101">
        <f>103175+86516</f>
        <v>189691</v>
      </c>
      <c r="AT720" s="98">
        <f t="shared" si="4337"/>
        <v>7.9789837995377866</v>
      </c>
      <c r="AU720" s="101">
        <f>121591+127431</f>
        <v>249022</v>
      </c>
      <c r="AV720" s="98">
        <f t="shared" si="4338"/>
        <v>38.360160239136356</v>
      </c>
      <c r="AW720" s="101">
        <f>123204+128312</f>
        <v>251516</v>
      </c>
      <c r="AX720" s="98">
        <f t="shared" si="4339"/>
        <v>36.907768681414389</v>
      </c>
      <c r="AY720" s="101">
        <f>122748+129860</f>
        <v>252608</v>
      </c>
      <c r="AZ720" s="98">
        <f t="shared" si="4340"/>
        <v>35.509135579945706</v>
      </c>
      <c r="BA720" s="101">
        <f>123802+130518</f>
        <v>254320</v>
      </c>
      <c r="BB720" s="98">
        <f t="shared" si="4341"/>
        <v>34.070672831077921</v>
      </c>
      <c r="BC720" s="101">
        <f>125614+131898</f>
        <v>257512</v>
      </c>
      <c r="BD720" s="98">
        <f t="shared" si="4342"/>
        <v>3.4093373276256722</v>
      </c>
      <c r="BE720" s="101">
        <f>127489+133543</f>
        <v>261032</v>
      </c>
      <c r="BF720" s="98">
        <f t="shared" si="4343"/>
        <v>3.7834571160482833</v>
      </c>
      <c r="BG720" s="101">
        <v>132489</v>
      </c>
      <c r="BH720" s="98">
        <f t="shared" si="4344"/>
        <v>-47.551542310615659</v>
      </c>
      <c r="BI720" s="101">
        <v>136514</v>
      </c>
      <c r="BJ720" s="98">
        <f t="shared" si="4345"/>
        <v>-46.321956590122682</v>
      </c>
      <c r="BK720" s="101">
        <v>132336</v>
      </c>
      <c r="BL720" s="98">
        <f t="shared" si="4346"/>
        <v>-48.609773525117269</v>
      </c>
      <c r="BM720" s="101">
        <v>130692</v>
      </c>
      <c r="BN720" s="98">
        <f t="shared" si="4347"/>
        <v>-49.932575316436299</v>
      </c>
      <c r="BO720" s="101">
        <v>148568</v>
      </c>
      <c r="BP720" s="98">
        <f t="shared" si="4348"/>
        <v>12.136101865060489</v>
      </c>
      <c r="BQ720" s="101">
        <v>137073</v>
      </c>
      <c r="BR720" s="98">
        <f t="shared" si="4349"/>
        <v>0.40948181138931172</v>
      </c>
      <c r="BS720" s="101">
        <v>139132</v>
      </c>
      <c r="BT720" s="98">
        <f t="shared" si="4350"/>
        <v>5.1354128884052663</v>
      </c>
      <c r="BU720" s="101">
        <v>149805</v>
      </c>
      <c r="BV720" s="98">
        <f t="shared" si="4351"/>
        <v>14.624460563768249</v>
      </c>
      <c r="BW720" s="101">
        <v>148568</v>
      </c>
      <c r="BX720" s="98">
        <f t="shared" si="4352"/>
        <v>0</v>
      </c>
      <c r="BY720" s="101">
        <v>147883</v>
      </c>
      <c r="BZ720" s="98">
        <f t="shared" si="4353"/>
        <v>7.8863087551888311</v>
      </c>
      <c r="CA720" s="101">
        <v>147543</v>
      </c>
      <c r="CB720" s="98">
        <f t="shared" si="4354"/>
        <v>6.0453382399447975</v>
      </c>
      <c r="CC720" s="101">
        <f>10211+138673</f>
        <v>148884</v>
      </c>
      <c r="CD720" s="98">
        <f t="shared" si="4355"/>
        <v>-0.61479923901071043</v>
      </c>
      <c r="CE720" s="101">
        <f>141552+8630</f>
        <v>150182</v>
      </c>
      <c r="CF720" s="98">
        <f t="shared" si="4356"/>
        <v>1.0863712239513212</v>
      </c>
      <c r="CG720" s="101">
        <f>142623+8611</f>
        <v>151234</v>
      </c>
      <c r="CH720" s="98">
        <f t="shared" si="4357"/>
        <v>2.2659805386690879</v>
      </c>
      <c r="CI720" s="101">
        <f>145133+8861</f>
        <v>153994</v>
      </c>
      <c r="CJ720" s="98">
        <f t="shared" si="4358"/>
        <v>4.3722846898870182</v>
      </c>
      <c r="CK720" s="101">
        <f>210757+15750</f>
        <v>226507</v>
      </c>
      <c r="CL720" s="98">
        <f t="shared" si="4359"/>
        <v>52.136562693103357</v>
      </c>
      <c r="CM720" s="101">
        <f>173002+214641</f>
        <v>387643</v>
      </c>
      <c r="CN720" s="98" t="str">
        <f t="shared" si="4360"/>
        <v>NM</v>
      </c>
      <c r="CO720" s="101">
        <f>176372+217597</f>
        <v>393969</v>
      </c>
      <c r="CP720" s="98" t="str">
        <f t="shared" si="4361"/>
        <v>NM</v>
      </c>
      <c r="CQ720" s="542">
        <f>182756+217764</f>
        <v>400520</v>
      </c>
      <c r="CR720" s="98" t="str">
        <f t="shared" si="4361"/>
        <v>NM</v>
      </c>
      <c r="CS720" s="101">
        <f>184275+217700</f>
        <v>401975</v>
      </c>
      <c r="CT720" s="98">
        <f t="shared" si="4361"/>
        <v>77.466921552093311</v>
      </c>
      <c r="CU720" s="101">
        <f>184141+220813</f>
        <v>404954</v>
      </c>
      <c r="CV720" s="98">
        <f t="shared" si="4362"/>
        <v>4.465706848827411</v>
      </c>
      <c r="CW720" s="101">
        <f>188509+225909</f>
        <v>414418</v>
      </c>
      <c r="CX720" s="98">
        <f t="shared" si="4363"/>
        <v>5.1905099132165233</v>
      </c>
      <c r="CY720" s="101">
        <f>191068+226882</f>
        <v>417950</v>
      </c>
      <c r="CZ720" s="98">
        <f t="shared" si="4364"/>
        <v>4.3518426046140091</v>
      </c>
      <c r="DA720" s="101">
        <f>192351+225821</f>
        <v>418172</v>
      </c>
      <c r="DB720" s="98">
        <f t="shared" si="4365"/>
        <v>4.0293550593942351</v>
      </c>
      <c r="DC720" s="101">
        <f>190054+224044</f>
        <v>414098</v>
      </c>
      <c r="DD720" s="98">
        <f t="shared" si="4366"/>
        <v>2.2580342458649705</v>
      </c>
      <c r="DE720" s="101">
        <f>184697+215195</f>
        <v>399892</v>
      </c>
      <c r="DF720" s="98">
        <f t="shared" si="4367"/>
        <v>-3.5051566292969905</v>
      </c>
      <c r="DG720" s="101">
        <f>186528+214512</f>
        <v>401040</v>
      </c>
      <c r="DH720" s="98">
        <f t="shared" si="4368"/>
        <v>-4.0459385093910782</v>
      </c>
      <c r="DI720" s="101">
        <f>187942+212885</f>
        <v>400827</v>
      </c>
      <c r="DJ720" s="98">
        <f t="shared" si="4369"/>
        <v>-4.1478147747816667</v>
      </c>
      <c r="DK720" s="101">
        <f>189970+209498</f>
        <v>399468</v>
      </c>
      <c r="DL720" s="98">
        <f t="shared" si="4370"/>
        <v>-3.5329801158179963</v>
      </c>
      <c r="DM720" s="101">
        <f>189675+213799</f>
        <v>403474</v>
      </c>
      <c r="DN720" s="98">
        <f t="shared" si="4371"/>
        <v>0.89574185029959175</v>
      </c>
      <c r="DO720" s="101">
        <f>189282+215226</f>
        <v>404508</v>
      </c>
      <c r="DP720" s="98">
        <f t="shared" si="4371"/>
        <v>0.86475164572112906</v>
      </c>
      <c r="DQ720" s="101">
        <f>189586+209294</f>
        <v>398880</v>
      </c>
      <c r="DR720" s="98">
        <f t="shared" si="4371"/>
        <v>-0.48574572072240807</v>
      </c>
      <c r="DS720" s="101">
        <f>191217+206591</f>
        <v>397808</v>
      </c>
      <c r="DT720" s="98">
        <f t="shared" si="4371"/>
        <v>-0.41555268507114107</v>
      </c>
      <c r="DU720" s="101">
        <f>188928+204262</f>
        <v>393190</v>
      </c>
      <c r="DV720" s="98">
        <f t="shared" si="4371"/>
        <v>-2.5488631237700621</v>
      </c>
      <c r="DW720" s="101">
        <f>190754+202291</f>
        <v>393045</v>
      </c>
      <c r="DX720" s="98">
        <f t="shared" si="4371"/>
        <v>-2.8338129282980851</v>
      </c>
      <c r="DY720" s="101">
        <f>191879+202722</f>
        <v>394601</v>
      </c>
      <c r="DZ720" s="98">
        <f t="shared" si="4371"/>
        <v>-1.072753710389085</v>
      </c>
      <c r="EA720" s="950">
        <f>165471+171219</f>
        <v>336690</v>
      </c>
      <c r="EB720" s="860">
        <f t="shared" si="4372"/>
        <v>-15.363693037847403</v>
      </c>
      <c r="EC720" s="950">
        <f>170230+173627</f>
        <v>343857</v>
      </c>
      <c r="ED720" s="860">
        <f t="shared" si="4373"/>
        <v>-12.546860296548745</v>
      </c>
      <c r="EE720" s="950">
        <f>173282+176502</f>
        <v>349784</v>
      </c>
      <c r="EF720" s="860">
        <f t="shared" si="4374"/>
        <v>-11.006627739826225</v>
      </c>
      <c r="EG720" s="950">
        <f>166701+172486</f>
        <v>339187</v>
      </c>
      <c r="EH720" s="860">
        <f t="shared" si="4375"/>
        <v>-14.043046013568139</v>
      </c>
      <c r="EI720" s="950">
        <f>169554+177772</f>
        <v>347326</v>
      </c>
      <c r="EJ720" s="860">
        <f t="shared" si="4376"/>
        <v>3.1589889809617189</v>
      </c>
      <c r="EK720" s="950">
        <f>171342+178961</f>
        <v>350303</v>
      </c>
      <c r="EL720" s="860">
        <f t="shared" si="4377"/>
        <v>1.874616483014746</v>
      </c>
      <c r="EM720" s="950">
        <f>176005+182513</f>
        <v>358518</v>
      </c>
      <c r="EN720" s="860">
        <f t="shared" si="4378"/>
        <v>2.4969695583560103</v>
      </c>
      <c r="EO720" s="950">
        <f>177974+182518</f>
        <v>360492</v>
      </c>
      <c r="EP720" s="98">
        <f t="shared" si="4379"/>
        <v>6.2811959184756461</v>
      </c>
      <c r="EQ720" s="1073">
        <f t="shared" ref="EQ720" si="4420">EO720</f>
        <v>360492</v>
      </c>
      <c r="ER720" s="98">
        <f t="shared" si="4380"/>
        <v>3.7906750430431346</v>
      </c>
      <c r="ES720" s="1073">
        <f t="shared" ref="ES720" si="4421">EQ720</f>
        <v>360492</v>
      </c>
      <c r="ET720" s="98">
        <f t="shared" si="4382"/>
        <v>2.9086248190851816</v>
      </c>
      <c r="EU720" s="1073">
        <f t="shared" ref="EU720" si="4422">ES720</f>
        <v>360492</v>
      </c>
      <c r="EV720" s="98">
        <f t="shared" si="4384"/>
        <v>0.55059996987598669</v>
      </c>
      <c r="EW720" s="1073">
        <f t="shared" ref="EW720" si="4423">EU720</f>
        <v>360492</v>
      </c>
      <c r="EX720" s="98">
        <f t="shared" si="4386"/>
        <v>0</v>
      </c>
      <c r="EY720" s="295"/>
      <c r="EZ720" s="594"/>
      <c r="FA720" s="405"/>
      <c r="FB720" s="295"/>
      <c r="FC720" s="98"/>
      <c r="FD720" s="295"/>
      <c r="FE720" s="98" t="str">
        <f t="shared" si="4387"/>
        <v>NA</v>
      </c>
      <c r="FF720" s="118"/>
      <c r="FG720" s="98" t="str">
        <f t="shared" si="4388"/>
        <v>NA</v>
      </c>
      <c r="FH720" s="118">
        <f>Q720</f>
        <v>144555</v>
      </c>
      <c r="FI720" s="98" t="str">
        <f t="shared" si="4389"/>
        <v>NA</v>
      </c>
      <c r="FJ720" s="118">
        <f>S720</f>
        <v>146256</v>
      </c>
      <c r="FK720" s="98">
        <f t="shared" si="4390"/>
        <v>1.1767147452526716</v>
      </c>
      <c r="FL720" s="118">
        <f>AG720</f>
        <v>172185</v>
      </c>
      <c r="FM720" s="98">
        <f t="shared" si="4391"/>
        <v>17.728503446012468</v>
      </c>
      <c r="FN720" s="118">
        <f>AO720</f>
        <v>183712</v>
      </c>
      <c r="FO720" s="98">
        <f t="shared" si="4392"/>
        <v>6.6945436594360697</v>
      </c>
      <c r="FP720" s="118">
        <f>AW720</f>
        <v>251516</v>
      </c>
      <c r="FQ720" s="98">
        <f t="shared" si="4393"/>
        <v>36.907768681414389</v>
      </c>
      <c r="FR720" s="118">
        <f>BE720</f>
        <v>261032</v>
      </c>
      <c r="FS720" s="98">
        <f t="shared" si="4394"/>
        <v>3.7834571160482833</v>
      </c>
      <c r="FT720" s="118">
        <f>BM720</f>
        <v>130692</v>
      </c>
      <c r="FU720" s="98">
        <f t="shared" si="4395"/>
        <v>-49.932575316436299</v>
      </c>
      <c r="FV720" s="118">
        <f>BU720</f>
        <v>149805</v>
      </c>
      <c r="FW720" s="98">
        <f t="shared" si="4396"/>
        <v>14.624460563768249</v>
      </c>
      <c r="FX720" s="510">
        <f>CC720</f>
        <v>148884</v>
      </c>
      <c r="FY720" s="98">
        <f t="shared" si="4397"/>
        <v>-0.61479923901071043</v>
      </c>
      <c r="FZ720" s="118">
        <f>CK720</f>
        <v>226507</v>
      </c>
      <c r="GA720" s="98">
        <f t="shared" si="4398"/>
        <v>52.136562693103357</v>
      </c>
      <c r="GB720" s="510">
        <f>CS720</f>
        <v>401975</v>
      </c>
      <c r="GC720" s="98">
        <f t="shared" si="4399"/>
        <v>77.466921552093311</v>
      </c>
      <c r="GD720" s="118">
        <f>DA720</f>
        <v>418172</v>
      </c>
      <c r="GE720" s="98">
        <f t="shared" si="4400"/>
        <v>4.0293550593942351</v>
      </c>
      <c r="GF720" s="118">
        <f>DI720</f>
        <v>400827</v>
      </c>
      <c r="GG720" s="98">
        <f t="shared" si="4400"/>
        <v>-4.1478147747816667</v>
      </c>
      <c r="GH720" s="118">
        <f>DQ720</f>
        <v>398880</v>
      </c>
      <c r="GI720" s="98">
        <f t="shared" si="4400"/>
        <v>-0.48574572072240807</v>
      </c>
      <c r="GJ720" s="118">
        <f>DY720</f>
        <v>394601</v>
      </c>
      <c r="GK720" s="98">
        <f t="shared" si="4400"/>
        <v>-1.072753710389085</v>
      </c>
      <c r="GL720" s="118">
        <f>EG720</f>
        <v>339187</v>
      </c>
      <c r="GM720" s="98">
        <f t="shared" si="4400"/>
        <v>-14.043046013568139</v>
      </c>
      <c r="GN720" s="118">
        <f>EO720</f>
        <v>360492</v>
      </c>
      <c r="GO720" s="98">
        <f t="shared" si="4400"/>
        <v>6.2811959184756461</v>
      </c>
      <c r="GP720" s="118">
        <f>EW720</f>
        <v>360492</v>
      </c>
      <c r="GQ720" s="98">
        <f t="shared" si="4400"/>
        <v>0</v>
      </c>
      <c r="GR720" s="295">
        <f>+GP720*1.025</f>
        <v>369504.3</v>
      </c>
      <c r="GS720" s="98">
        <f t="shared" si="4400"/>
        <v>2.4999999999999911</v>
      </c>
      <c r="GT720" s="295">
        <f>+GR720*1.025</f>
        <v>378741.90749999997</v>
      </c>
      <c r="GU720" s="98">
        <f t="shared" si="4400"/>
        <v>2.4999999999999911</v>
      </c>
      <c r="GV720" s="295">
        <f>+GT720*1.025</f>
        <v>388210.45518749993</v>
      </c>
      <c r="GW720" s="98">
        <f t="shared" si="4400"/>
        <v>2.4999999999999911</v>
      </c>
      <c r="GX720" s="295">
        <f>+GV720*1.025</f>
        <v>397915.7165671874</v>
      </c>
      <c r="GY720" s="98">
        <f t="shared" si="4401"/>
        <v>2.4999999999999911</v>
      </c>
      <c r="GZ720" s="98">
        <f t="shared" si="4402"/>
        <v>1.9950493233110045</v>
      </c>
      <c r="HA720" s="98"/>
      <c r="HB720" s="10"/>
      <c r="HC720"/>
      <c r="HD720"/>
      <c r="HE720"/>
      <c r="HF720"/>
      <c r="HG720"/>
      <c r="HH720"/>
      <c r="HI720" s="10"/>
    </row>
    <row r="721" spans="1:217" s="2" customFormat="1" ht="12.75" customHeight="1" x14ac:dyDescent="0.2">
      <c r="A721" s="385"/>
      <c r="B721" s="179" t="s">
        <v>611</v>
      </c>
      <c r="C721" s="349">
        <f>C704-C729-C718-C714-C715-C720</f>
        <v>235536</v>
      </c>
      <c r="D721" s="98"/>
      <c r="E721" s="349">
        <f>E704-E729-E718-E714-E715-E720</f>
        <v>234565</v>
      </c>
      <c r="F721" s="349"/>
      <c r="G721" s="349">
        <f>G704-G729-G718-G714-G715-G720</f>
        <v>236476</v>
      </c>
      <c r="H721" s="98"/>
      <c r="I721" s="349">
        <f>I704-I729-I718-I714-I715-I720</f>
        <v>234019</v>
      </c>
      <c r="J721" s="98"/>
      <c r="K721" s="349">
        <f>K704-K729-K718-K714-K715-K720</f>
        <v>93624</v>
      </c>
      <c r="L721" s="98" t="str">
        <f t="shared" si="4321"/>
        <v>NM</v>
      </c>
      <c r="M721" s="349">
        <f>M704-M729-M718-M714-M715-M720</f>
        <v>93842</v>
      </c>
      <c r="N721" s="98" t="str">
        <f t="shared" si="4322"/>
        <v>NM</v>
      </c>
      <c r="O721" s="349">
        <f>O704-O729-O718-O714-O715-O720</f>
        <v>89134</v>
      </c>
      <c r="P721" s="98" t="str">
        <f t="shared" si="4323"/>
        <v>NM</v>
      </c>
      <c r="Q721" s="349">
        <f>Q704-Q729-Q718-Q714-Q715-Q720</f>
        <v>91114</v>
      </c>
      <c r="R721" s="98" t="str">
        <f t="shared" si="4324"/>
        <v>NM</v>
      </c>
      <c r="S721" s="349">
        <f>S704-S729-S718-S714-S715-S720</f>
        <v>91946</v>
      </c>
      <c r="T721" s="98">
        <f t="shared" si="4325"/>
        <v>-1.7922754849183931</v>
      </c>
      <c r="U721" s="349">
        <f>U704-U729-U718-U714-U715-U720</f>
        <v>89186</v>
      </c>
      <c r="V721" s="98">
        <f t="shared" si="4326"/>
        <v>-4.9615310841627398</v>
      </c>
      <c r="W721" s="349">
        <f>W704-W729-W718-W714-W715-W720</f>
        <v>90656</v>
      </c>
      <c r="X721" s="98">
        <f t="shared" si="4327"/>
        <v>1.7075414544393874</v>
      </c>
      <c r="Y721" s="349">
        <f>Y704-Y729-Y718-Y714-Y715-Y720</f>
        <v>94663</v>
      </c>
      <c r="Z721" s="98">
        <f t="shared" si="4407"/>
        <v>3.8951203986214988</v>
      </c>
      <c r="AA721" s="349">
        <f>AA704-AA729-AA718-AA714-AA715-AA720</f>
        <v>98880</v>
      </c>
      <c r="AB721" s="98">
        <f t="shared" si="4328"/>
        <v>7.5413829856654901</v>
      </c>
      <c r="AC721" s="349">
        <f>AC704-AC729-AC718-AC714-AC715-AC720</f>
        <v>112350</v>
      </c>
      <c r="AD721" s="98">
        <f t="shared" si="4329"/>
        <v>25.972686296055425</v>
      </c>
      <c r="AE721" s="349">
        <f>AE704-AE729-AE718-AE714-AE715-AE720</f>
        <v>115211</v>
      </c>
      <c r="AF721" s="98">
        <f t="shared" si="4330"/>
        <v>27.085907165548882</v>
      </c>
      <c r="AG721" s="349">
        <f>AG704-AG729-AG718-AG714-AG715-AG720</f>
        <v>123885</v>
      </c>
      <c r="AH721" s="98">
        <f t="shared" si="4331"/>
        <v>30.869505509016193</v>
      </c>
      <c r="AI721" s="118">
        <f>AI704-AI729-AI718-AI714-AI715-AI720</f>
        <v>131299</v>
      </c>
      <c r="AJ721" s="98">
        <f t="shared" si="4332"/>
        <v>32.786205501618127</v>
      </c>
      <c r="AK721" s="118">
        <f>AK704-AK729-AK718-AK714-AK715-AK720</f>
        <v>131219</v>
      </c>
      <c r="AL721" s="98">
        <f t="shared" si="4333"/>
        <v>16.794837561192711</v>
      </c>
      <c r="AM721" s="118">
        <f>AM704-AM729-AM718-AM714-AM715-AM720</f>
        <v>134683</v>
      </c>
      <c r="AN721" s="98">
        <f t="shared" si="4334"/>
        <v>16.901163951358811</v>
      </c>
      <c r="AO721" s="118">
        <f>AO704-AO729-AO718-AO714-AO715-AO720</f>
        <v>141137</v>
      </c>
      <c r="AP721" s="98">
        <f t="shared" si="4335"/>
        <v>13.925818299229121</v>
      </c>
      <c r="AQ721" s="118">
        <f>AQ704-AQ729-AQ718-AQ714-AQ715-AQ720</f>
        <v>144407</v>
      </c>
      <c r="AR721" s="98">
        <f t="shared" si="4336"/>
        <v>9.9833205127228588</v>
      </c>
      <c r="AS721" s="118">
        <f>AS704-AS729-AS718-AS714-AS715-AS720</f>
        <v>152008</v>
      </c>
      <c r="AT721" s="98">
        <f t="shared" si="4337"/>
        <v>15.842980056241851</v>
      </c>
      <c r="AU721" s="118">
        <f>AU704-AU729-AU718-AU714-AU715-AU720</f>
        <v>193967</v>
      </c>
      <c r="AV721" s="98">
        <f t="shared" si="4338"/>
        <v>44.01743352910168</v>
      </c>
      <c r="AW721" s="118">
        <f>AW704-AW729-AW718-AW714-AW715-AW720</f>
        <v>188826</v>
      </c>
      <c r="AX721" s="98">
        <f t="shared" si="4339"/>
        <v>33.789155217979697</v>
      </c>
      <c r="AY721" s="118">
        <f>AY704-AY729-AY718-AY714-AY715-AY720</f>
        <v>206357</v>
      </c>
      <c r="AZ721" s="98">
        <f t="shared" si="4340"/>
        <v>42.899582430214608</v>
      </c>
      <c r="BA721" s="118">
        <f>BA704-BA729-BA718-BA714-BA715-BA720</f>
        <v>205036</v>
      </c>
      <c r="BB721" s="98">
        <f t="shared" si="4341"/>
        <v>34.885006052313038</v>
      </c>
      <c r="BC721" s="118">
        <f>BC704-BC729-BC718-BC714-BC715-BC720</f>
        <v>214369</v>
      </c>
      <c r="BD721" s="98">
        <f t="shared" si="4342"/>
        <v>10.518284038006476</v>
      </c>
      <c r="BE721" s="118">
        <f>BE704-BE729-BE718-BE714-BE715-BE720</f>
        <v>221179</v>
      </c>
      <c r="BF721" s="98">
        <f t="shared" si="4343"/>
        <v>17.133763358859476</v>
      </c>
      <c r="BG721" s="118">
        <f>BG704-BG729-BG718-BG714-BG715-BG720</f>
        <v>357260</v>
      </c>
      <c r="BH721" s="98">
        <f t="shared" si="4344"/>
        <v>73.127153428282071</v>
      </c>
      <c r="BI721" s="118">
        <f>BI704-BI729-BI718-BI714-BI715-BI720</f>
        <v>368244</v>
      </c>
      <c r="BJ721" s="98">
        <f t="shared" si="4345"/>
        <v>79.59968005618525</v>
      </c>
      <c r="BK721" s="118">
        <f>BK704-BK729-BK718-BK714-BK715-BK720</f>
        <v>383093</v>
      </c>
      <c r="BL721" s="98">
        <f t="shared" si="4346"/>
        <v>78.707275772149885</v>
      </c>
      <c r="BM721" s="118">
        <f>BM704-BM729-BM718-BM714-BM715-BM720</f>
        <v>378457</v>
      </c>
      <c r="BN721" s="98">
        <f t="shared" si="4347"/>
        <v>71.108920828830961</v>
      </c>
      <c r="BO721" s="118">
        <f>BO704-BO729-BO718-BO714-BO715-BO720</f>
        <v>287520</v>
      </c>
      <c r="BP721" s="98">
        <f t="shared" si="4348"/>
        <v>-19.520797178525441</v>
      </c>
      <c r="BQ721" s="118">
        <f>BQ704-BQ729-BQ718-BQ714-BQ715-BQ720</f>
        <v>371912</v>
      </c>
      <c r="BR721" s="98">
        <f t="shared" si="4349"/>
        <v>0.99607868695756885</v>
      </c>
      <c r="BS721" s="118">
        <f>BS704-BS729-BS718-BS714-BS715-BS720</f>
        <v>337145</v>
      </c>
      <c r="BT721" s="98">
        <f t="shared" si="4350"/>
        <v>-11.993954470585466</v>
      </c>
      <c r="BU721" s="118">
        <f>BU704-BU729-BU718-BU714-BU715-BU720</f>
        <v>310462</v>
      </c>
      <c r="BV721" s="98">
        <f t="shared" si="4351"/>
        <v>-17.966373987005124</v>
      </c>
      <c r="BW721" s="118">
        <f>BW704-BW729-BW718-BW714-BW715-BW720</f>
        <v>297409</v>
      </c>
      <c r="BX721" s="98">
        <f t="shared" si="4352"/>
        <v>3.4394129104062365</v>
      </c>
      <c r="BY721" s="118">
        <f>BY704-BY729-BY718-BY714-BY715-BY720</f>
        <v>311128</v>
      </c>
      <c r="BZ721" s="98">
        <f t="shared" si="4353"/>
        <v>-16.343651186302132</v>
      </c>
      <c r="CA721" s="118">
        <f>CA704-CA729-CA718-CA714-CA715-CA720</f>
        <v>332592</v>
      </c>
      <c r="CB721" s="98">
        <f t="shared" si="4354"/>
        <v>-1.3504575182784806</v>
      </c>
      <c r="CC721" s="118">
        <f>CC704-CC729-CC718-CC714-CC715-CC720</f>
        <v>337721</v>
      </c>
      <c r="CD721" s="98">
        <f t="shared" si="4355"/>
        <v>8.7801405647067945</v>
      </c>
      <c r="CE721" s="118">
        <f>CE704-CE729-CE718-CE714-CE715-CE720</f>
        <v>353792</v>
      </c>
      <c r="CF721" s="98">
        <f t="shared" si="4356"/>
        <v>18.958067845962965</v>
      </c>
      <c r="CG721" s="118">
        <f>CG704-CG729-CG718-CG714-CG715-CG720</f>
        <v>356316</v>
      </c>
      <c r="CH721" s="98">
        <f t="shared" si="4357"/>
        <v>14.523925844025619</v>
      </c>
      <c r="CI721" s="118">
        <f>CI704-CI729-CI718-CI714-CI715-CI720</f>
        <v>384821</v>
      </c>
      <c r="CJ721" s="98">
        <f t="shared" si="4358"/>
        <v>15.703624861692411</v>
      </c>
      <c r="CK721" s="118">
        <f>CK704-CK729-CK718-CK714-CK715-CK720</f>
        <v>422426</v>
      </c>
      <c r="CL721" s="98">
        <f t="shared" si="4359"/>
        <v>25.081354135514221</v>
      </c>
      <c r="CM721" s="118">
        <f>CM704-CM729-CM718-CM714-CM715-CM720</f>
        <v>279303</v>
      </c>
      <c r="CN721" s="98">
        <f t="shared" si="4360"/>
        <v>-21.05446137843705</v>
      </c>
      <c r="CO721" s="118">
        <f>CO704-CO729-CO718-CO714-CO715-CO720</f>
        <v>289374</v>
      </c>
      <c r="CP721" s="98">
        <f t="shared" si="4361"/>
        <v>-18.787256255683161</v>
      </c>
      <c r="CQ721" s="510">
        <f>CQ704-CQ729-CQ718-CQ714-CQ715-CQ720</f>
        <v>292658</v>
      </c>
      <c r="CR721" s="98">
        <f t="shared" si="4361"/>
        <v>-23.949576556372964</v>
      </c>
      <c r="CS721" s="118">
        <f>CS704-CS729-CS718-CS714-CS715-CS720</f>
        <v>307548</v>
      </c>
      <c r="CT721" s="98">
        <f t="shared" si="4361"/>
        <v>-27.194822288400811</v>
      </c>
      <c r="CU721" s="118">
        <f>CU704-CU729-CU718-CU714-CU715-CU720</f>
        <v>327688</v>
      </c>
      <c r="CV721" s="98">
        <f t="shared" si="4362"/>
        <v>17.323480234727164</v>
      </c>
      <c r="CW721" s="118">
        <f>CW704-CW729-CW718-CW714-CW715-CW720</f>
        <v>325029</v>
      </c>
      <c r="CX721" s="98">
        <f t="shared" si="4363"/>
        <v>12.321424868854836</v>
      </c>
      <c r="CY721" s="118">
        <f>CY704-CY729-CY718-CY714-CY715-CY720</f>
        <v>344406</v>
      </c>
      <c r="CZ721" s="98">
        <f t="shared" si="4364"/>
        <v>17.682072589848907</v>
      </c>
      <c r="DA721" s="118">
        <f>DA704-DA729-DA718-DA714-DA715-DA720</f>
        <v>334835</v>
      </c>
      <c r="DB721" s="98">
        <f t="shared" si="4365"/>
        <v>8.8724361725649246</v>
      </c>
      <c r="DC721" s="118">
        <f>DC704-DC729-DC718-DC714-DC715-DC720</f>
        <v>344157</v>
      </c>
      <c r="DD721" s="98">
        <f t="shared" si="4366"/>
        <v>5.0258172407900092</v>
      </c>
      <c r="DE721" s="118">
        <f>DE704-DE729-DE718-DE714-DE715-DE720</f>
        <v>336931</v>
      </c>
      <c r="DF721" s="98">
        <f t="shared" si="4367"/>
        <v>3.661827098505066</v>
      </c>
      <c r="DG721" s="118">
        <f>DG704-DG729-DG718-DG714-DG715-DG720</f>
        <v>342165</v>
      </c>
      <c r="DH721" s="98">
        <f t="shared" si="4368"/>
        <v>-0.65068552812669322</v>
      </c>
      <c r="DI721" s="118">
        <f>DI704-DI729-DI718-DI714-DI715-DI720</f>
        <v>403929</v>
      </c>
      <c r="DJ721" s="98">
        <f t="shared" si="4369"/>
        <v>20.635238251676192</v>
      </c>
      <c r="DK721" s="118">
        <f>DK704-DK729-DK718-DK714-DK715-DK720</f>
        <v>408625</v>
      </c>
      <c r="DL721" s="98">
        <f t="shared" si="4370"/>
        <v>18.732148409011007</v>
      </c>
      <c r="DM721" s="118">
        <f>DM704-DM729-DM718-DM714-DM715-DM720</f>
        <v>421013</v>
      </c>
      <c r="DN721" s="98">
        <f t="shared" si="4371"/>
        <v>24.955257901469441</v>
      </c>
      <c r="DO721" s="118">
        <f>DO704-DO729-DO718-DO714-DO715-DO720</f>
        <v>416666</v>
      </c>
      <c r="DP721" s="98">
        <f t="shared" si="4371"/>
        <v>21.773413411658126</v>
      </c>
      <c r="DQ721" s="118">
        <f>DQ704-DQ729-DQ718-DQ714-DQ715-DQ720</f>
        <v>414859</v>
      </c>
      <c r="DR721" s="98">
        <f t="shared" si="4371"/>
        <v>2.7059210900925557</v>
      </c>
      <c r="DS721" s="118">
        <f>DS704-DS729-DS718-DS714-DS715-DS720</f>
        <v>430239</v>
      </c>
      <c r="DT721" s="98">
        <f t="shared" si="4371"/>
        <v>5.2894463138574377</v>
      </c>
      <c r="DU721" s="118">
        <f>DU704-DU729-DU718-DU714-DU715-DU720</f>
        <v>418813</v>
      </c>
      <c r="DV721" s="98">
        <f t="shared" si="4371"/>
        <v>-0.52254918494203384</v>
      </c>
      <c r="DW721" s="118">
        <f>DW704-DW729-DW718-DW714-DW715-DW720</f>
        <v>401898</v>
      </c>
      <c r="DX721" s="98">
        <f t="shared" si="4371"/>
        <v>-3.544325670921078</v>
      </c>
      <c r="DY721" s="118">
        <f>DY704-DY729-DY718-DY714-DY715-DY720</f>
        <v>397101</v>
      </c>
      <c r="DZ721" s="98">
        <f t="shared" si="4371"/>
        <v>-4.2804904798979919</v>
      </c>
      <c r="EA721" s="792">
        <f>EA704-EA729-EA718-EA714-EA715-EA720</f>
        <v>486871</v>
      </c>
      <c r="EB721" s="860">
        <f t="shared" si="4372"/>
        <v>13.162916425521631</v>
      </c>
      <c r="EC721" s="792">
        <f>EC704-EC729-EC718-EC714-EC715-EC720</f>
        <v>502756</v>
      </c>
      <c r="ED721" s="860">
        <f t="shared" si="4373"/>
        <v>20.043074116610526</v>
      </c>
      <c r="EE721" s="792">
        <f>EE704-EE729-EE718-EE714-EE715-EE720</f>
        <v>507986</v>
      </c>
      <c r="EF721" s="860">
        <f t="shared" si="4374"/>
        <v>26.396747433428391</v>
      </c>
      <c r="EG721" s="792">
        <f>EG704-EG729-EG718-EG714-EG715-EG720</f>
        <v>475204</v>
      </c>
      <c r="EH721" s="860">
        <f t="shared" si="4375"/>
        <v>19.668295975079396</v>
      </c>
      <c r="EI721" s="792">
        <f>EI704-EI729-EI718-EI714-EI715-EI720</f>
        <v>482761</v>
      </c>
      <c r="EJ721" s="860">
        <f t="shared" si="4376"/>
        <v>-0.84416611381659123</v>
      </c>
      <c r="EK721" s="792">
        <f>EK704-EK729-EK718-EK714-EK715-EK720</f>
        <v>488762</v>
      </c>
      <c r="EL721" s="860">
        <f t="shared" si="4377"/>
        <v>-2.7834575818090679</v>
      </c>
      <c r="EM721" s="792">
        <f>EM704-EM729-EM718-EM714-EM715-EM720</f>
        <v>288482</v>
      </c>
      <c r="EN721" s="860">
        <f t="shared" si="4378"/>
        <v>-43.210639663297812</v>
      </c>
      <c r="EO721" s="792">
        <f>EO704-EO729-EO718-EO714-EO715-EO720</f>
        <v>284402</v>
      </c>
      <c r="EP721" s="98">
        <f t="shared" si="4379"/>
        <v>-40.151598050521464</v>
      </c>
      <c r="EQ721" s="840">
        <f t="shared" ref="EQ721" si="4424">EQ704-EQ729-EQ718-EQ714-EQ715-EQ720</f>
        <v>287012.31182410906</v>
      </c>
      <c r="ER721" s="98">
        <f t="shared" si="4380"/>
        <v>-40.547742708274058</v>
      </c>
      <c r="ES721" s="840">
        <f t="shared" ref="ES721" si="4425">ES704-ES729-ES718-ES714-ES715-ES720</f>
        <v>283768.18604068016</v>
      </c>
      <c r="ET721" s="98">
        <f t="shared" si="4382"/>
        <v>-41.941438565052081</v>
      </c>
      <c r="EU721" s="840">
        <f t="shared" ref="EU721" si="4426">EU704-EU729-EU718-EU714-EU715-EU720</f>
        <v>282806.37580415094</v>
      </c>
      <c r="EV721" s="98">
        <f t="shared" si="4384"/>
        <v>-1.9674101662665477</v>
      </c>
      <c r="EW721" s="840">
        <f t="shared" ref="EW721" si="4427">EW704-EW729-EW718-EW714-EW715-EW720</f>
        <v>282113.40856447455</v>
      </c>
      <c r="EX721" s="98">
        <f t="shared" si="4386"/>
        <v>-0.80470300332818878</v>
      </c>
      <c r="EY721" s="349"/>
      <c r="EZ721" s="594"/>
      <c r="FA721" s="405"/>
      <c r="FB721" s="349">
        <f>FB704-FB729-FB718-FB714-FB715</f>
        <v>193990</v>
      </c>
      <c r="FC721" s="98"/>
      <c r="FD721" s="349">
        <f>FD704-FD729-FD718-FD714-FD715</f>
        <v>206602</v>
      </c>
      <c r="FE721" s="98">
        <f t="shared" si="4387"/>
        <v>6.5013660497963865</v>
      </c>
      <c r="FF721" s="349">
        <f>FF704-FF729-FF718-FF714-FF715</f>
        <v>234019</v>
      </c>
      <c r="FG721" s="98">
        <f t="shared" si="4388"/>
        <v>13.270442686905248</v>
      </c>
      <c r="FH721" s="349">
        <f>FH704-FH729-FH718-FH714-FH715-FH720</f>
        <v>91114</v>
      </c>
      <c r="FI721" s="98" t="str">
        <f t="shared" si="4389"/>
        <v>NM</v>
      </c>
      <c r="FJ721" s="349">
        <f>FJ704-FJ729-FJ718-FJ714-FJ715-FJ720</f>
        <v>106941</v>
      </c>
      <c r="FK721" s="98">
        <f t="shared" si="4390"/>
        <v>17.370546787540885</v>
      </c>
      <c r="FL721" s="349">
        <f>FL704-FL729-FL718-FL714-FL715-FL720</f>
        <v>123885</v>
      </c>
      <c r="FM721" s="98">
        <f t="shared" si="4391"/>
        <v>15.84425056807024</v>
      </c>
      <c r="FN721" s="349">
        <f>FN704-FN729-FN718-FN714-FN715-FN720</f>
        <v>141137</v>
      </c>
      <c r="FO721" s="98">
        <f t="shared" si="4392"/>
        <v>13.925818299229121</v>
      </c>
      <c r="FP721" s="349">
        <f>FP704-FP729-FP718-FP714-FP715-FP720</f>
        <v>188826</v>
      </c>
      <c r="FQ721" s="98">
        <f t="shared" si="4393"/>
        <v>33.789155217979697</v>
      </c>
      <c r="FR721" s="349">
        <f>FR704-FR729-FR718-FR714-FR715-FR720</f>
        <v>221179</v>
      </c>
      <c r="FS721" s="98">
        <f t="shared" si="4394"/>
        <v>17.133763358859476</v>
      </c>
      <c r="FT721" s="349">
        <f>FT704-FT729-FT718-FT714-FT715-FT720</f>
        <v>378457</v>
      </c>
      <c r="FU721" s="98">
        <f t="shared" si="4395"/>
        <v>71.108920828830961</v>
      </c>
      <c r="FV721" s="349">
        <f>FV704-FV729-FV718-FV714-FV715-FV720</f>
        <v>310462</v>
      </c>
      <c r="FW721" s="98">
        <f t="shared" si="4396"/>
        <v>-17.966373987005124</v>
      </c>
      <c r="FX721" s="510">
        <f>FX704-FX729-FX718-FX714-FX715-FX720</f>
        <v>337721</v>
      </c>
      <c r="FY721" s="98">
        <f t="shared" si="4397"/>
        <v>8.7801405647067945</v>
      </c>
      <c r="FZ721" s="349">
        <f>FZ704-FZ729-FZ718-FZ714-FZ715-FZ720</f>
        <v>422426</v>
      </c>
      <c r="GA721" s="98">
        <f t="shared" si="4398"/>
        <v>25.081354135514221</v>
      </c>
      <c r="GB721" s="510">
        <f>GB704-GB729-GB718-GB714-GB715-GB720</f>
        <v>307548</v>
      </c>
      <c r="GC721" s="98">
        <f t="shared" si="4399"/>
        <v>-27.194822288400811</v>
      </c>
      <c r="GD721" s="349">
        <f>GD704-GD729-GD718-GD714-GD715-GD720</f>
        <v>334835</v>
      </c>
      <c r="GE721" s="98">
        <f t="shared" si="4400"/>
        <v>8.8724361725649246</v>
      </c>
      <c r="GF721" s="349">
        <f>GF704-GF729-GF718-GF714-GF715-GF720</f>
        <v>403929</v>
      </c>
      <c r="GG721" s="98">
        <f t="shared" si="4400"/>
        <v>20.635238251676192</v>
      </c>
      <c r="GH721" s="349">
        <f>GH704-GH729-GH718-GH714-GH715-GH720</f>
        <v>414859</v>
      </c>
      <c r="GI721" s="98">
        <f t="shared" si="4400"/>
        <v>2.7059210900925557</v>
      </c>
      <c r="GJ721" s="349">
        <f>GJ704-GJ729-GJ718-GJ714-GJ715-GJ720</f>
        <v>397101</v>
      </c>
      <c r="GK721" s="98">
        <f t="shared" si="4400"/>
        <v>-4.2804904798979919</v>
      </c>
      <c r="GL721" s="349">
        <f>GL704-GL729-GL718-GL714-GL715-GL720</f>
        <v>475204</v>
      </c>
      <c r="GM721" s="98">
        <f t="shared" si="4400"/>
        <v>19.668295975079396</v>
      </c>
      <c r="GN721" s="349">
        <f>GN704-GN729-GN718-GN714-GN715-GN720</f>
        <v>284402</v>
      </c>
      <c r="GO721" s="98">
        <f t="shared" si="4400"/>
        <v>-40.151598050521464</v>
      </c>
      <c r="GP721" s="349">
        <f>GP704-GP729-GP718-GP714-GP715-GP720</f>
        <v>282113.40856447455</v>
      </c>
      <c r="GQ721" s="98">
        <f t="shared" si="4400"/>
        <v>-0.80470300332818878</v>
      </c>
      <c r="GR721" s="349">
        <f>GR704-GR729-GR718-GR714-GR715-GR720</f>
        <v>268916.24011093628</v>
      </c>
      <c r="GS721" s="98">
        <f t="shared" si="4400"/>
        <v>-4.6779656878741305</v>
      </c>
      <c r="GT721" s="349">
        <f>GT704-GT729-GT718-GT714-GT715-GT720</f>
        <v>257526.16414953256</v>
      </c>
      <c r="GU721" s="98">
        <f t="shared" si="4400"/>
        <v>-4.235547825860186</v>
      </c>
      <c r="GV721" s="349">
        <f>GV704-GV729-GV718-GV714-GV715-GV720</f>
        <v>248911.67199191969</v>
      </c>
      <c r="GW721" s="98">
        <f t="shared" si="4400"/>
        <v>-3.345093958146661</v>
      </c>
      <c r="GX721" s="349">
        <f>GX704-GX729-GX718-GX714-GX715-GX720</f>
        <v>242807.54758080136</v>
      </c>
      <c r="GY721" s="98">
        <f t="shared" si="4401"/>
        <v>-2.4523255025648116</v>
      </c>
      <c r="GZ721" s="98">
        <f t="shared" si="4402"/>
        <v>-3.1129110745855781</v>
      </c>
      <c r="HA721" s="98"/>
      <c r="HB721" s="10"/>
      <c r="HC721"/>
      <c r="HD721"/>
      <c r="HE721"/>
      <c r="HF721"/>
      <c r="HG721"/>
      <c r="HH721"/>
      <c r="HI721" s="10"/>
    </row>
    <row r="722" spans="1:217" s="2" customFormat="1" ht="12.75" customHeight="1" x14ac:dyDescent="0.2">
      <c r="A722" s="385"/>
      <c r="B722" s="179" t="s">
        <v>271</v>
      </c>
      <c r="C722" s="349">
        <f>C721-C700</f>
        <v>159426</v>
      </c>
      <c r="D722" s="98"/>
      <c r="E722" s="349">
        <f>E721-E700</f>
        <v>160859</v>
      </c>
      <c r="F722" s="98"/>
      <c r="G722" s="349">
        <f>G721-G700</f>
        <v>161373</v>
      </c>
      <c r="H722" s="98"/>
      <c r="I722" s="349">
        <f>I721-I700</f>
        <v>163769</v>
      </c>
      <c r="J722" s="98"/>
      <c r="K722" s="349">
        <f>K721-K700</f>
        <v>29520</v>
      </c>
      <c r="L722" s="98" t="str">
        <f t="shared" si="4321"/>
        <v>NM</v>
      </c>
      <c r="M722" s="349">
        <f>M721-M700</f>
        <v>28510</v>
      </c>
      <c r="N722" s="98" t="str">
        <f t="shared" si="4322"/>
        <v>NM</v>
      </c>
      <c r="O722" s="349">
        <f>O721-O700</f>
        <v>29514</v>
      </c>
      <c r="P722" s="98" t="str">
        <f t="shared" si="4323"/>
        <v>NM</v>
      </c>
      <c r="Q722" s="349">
        <f>Q721-Q700</f>
        <v>28400</v>
      </c>
      <c r="R722" s="98" t="str">
        <f t="shared" si="4324"/>
        <v>NM</v>
      </c>
      <c r="S722" s="349">
        <f>S721-S700</f>
        <v>29408</v>
      </c>
      <c r="T722" s="98">
        <f t="shared" si="4325"/>
        <v>-0.37940379403793578</v>
      </c>
      <c r="U722" s="349">
        <f>U721-U700</f>
        <v>29903</v>
      </c>
      <c r="V722" s="98">
        <f t="shared" si="4326"/>
        <v>4.8860049105577064</v>
      </c>
      <c r="W722" s="349">
        <f>W721-W700</f>
        <v>34607</v>
      </c>
      <c r="X722" s="98">
        <f t="shared" si="4327"/>
        <v>17.256217388358074</v>
      </c>
      <c r="Y722" s="349">
        <f>Y721-Y700</f>
        <v>34970</v>
      </c>
      <c r="Z722" s="98">
        <f t="shared" si="4407"/>
        <v>23.133802816901404</v>
      </c>
      <c r="AA722" s="349">
        <f>AA721-AA700</f>
        <v>38260</v>
      </c>
      <c r="AB722" s="98">
        <f t="shared" si="4328"/>
        <v>30.10065288356909</v>
      </c>
      <c r="AC722" s="349">
        <f>AC721-AC700</f>
        <v>44890</v>
      </c>
      <c r="AD722" s="98">
        <f t="shared" si="4329"/>
        <v>50.118717185566666</v>
      </c>
      <c r="AE722" s="349">
        <f>AE721-AE700</f>
        <v>45213</v>
      </c>
      <c r="AF722" s="98">
        <f t="shared" si="4330"/>
        <v>30.646978934897561</v>
      </c>
      <c r="AG722" s="349">
        <f>AG721-AG700</f>
        <v>48129</v>
      </c>
      <c r="AH722" s="98">
        <f t="shared" si="4331"/>
        <v>37.629396625679149</v>
      </c>
      <c r="AI722" s="118">
        <f>AI721-AI700</f>
        <v>52963</v>
      </c>
      <c r="AJ722" s="98">
        <f t="shared" si="4332"/>
        <v>38.429168844746478</v>
      </c>
      <c r="AK722" s="118">
        <f>AK721-AK700</f>
        <v>51472</v>
      </c>
      <c r="AL722" s="98">
        <f t="shared" si="4333"/>
        <v>14.662508353753623</v>
      </c>
      <c r="AM722" s="118">
        <f>AM721-AM700</f>
        <v>53502</v>
      </c>
      <c r="AN722" s="98">
        <f t="shared" si="4334"/>
        <v>18.333222745670486</v>
      </c>
      <c r="AO722" s="118">
        <f>AO721-AO700</f>
        <v>54368</v>
      </c>
      <c r="AP722" s="98">
        <f t="shared" si="4335"/>
        <v>12.963078393484185</v>
      </c>
      <c r="AQ722" s="118">
        <f>AQ721-AQ700</f>
        <v>58621</v>
      </c>
      <c r="AR722" s="98">
        <f t="shared" si="4336"/>
        <v>10.682929592356928</v>
      </c>
      <c r="AS722" s="118">
        <f>AS721-AS700</f>
        <v>62549</v>
      </c>
      <c r="AT722" s="98">
        <f t="shared" si="4337"/>
        <v>21.520438296549571</v>
      </c>
      <c r="AU722" s="118">
        <f>AU721-AU700</f>
        <v>69923</v>
      </c>
      <c r="AV722" s="98">
        <f t="shared" si="4338"/>
        <v>30.692310567829239</v>
      </c>
      <c r="AW722" s="118">
        <f>AW721-AW700</f>
        <v>60957</v>
      </c>
      <c r="AX722" s="98">
        <f t="shared" si="4339"/>
        <v>12.119261330194231</v>
      </c>
      <c r="AY722" s="118">
        <f>AY721-AY700</f>
        <v>73835</v>
      </c>
      <c r="AZ722" s="98">
        <f t="shared" si="4340"/>
        <v>25.953156718582072</v>
      </c>
      <c r="BA722" s="118">
        <f>BA721-BA700</f>
        <v>72254</v>
      </c>
      <c r="BB722" s="98">
        <f t="shared" si="4341"/>
        <v>15.515835584901438</v>
      </c>
      <c r="BC722" s="118">
        <f>BC721-BC700</f>
        <v>77095</v>
      </c>
      <c r="BD722" s="98">
        <f t="shared" si="4342"/>
        <v>10.256996982394927</v>
      </c>
      <c r="BE722" s="118">
        <f>BE721-BE700</f>
        <v>76814</v>
      </c>
      <c r="BF722" s="98">
        <f t="shared" si="4343"/>
        <v>26.013419295569019</v>
      </c>
      <c r="BG722" s="118">
        <f>BG721-BG700</f>
        <v>209948</v>
      </c>
      <c r="BH722" s="98" t="str">
        <f t="shared" si="4344"/>
        <v>NM</v>
      </c>
      <c r="BI722" s="118">
        <f>BI721-BI700</f>
        <v>212409</v>
      </c>
      <c r="BJ722" s="98" t="str">
        <f t="shared" si="4345"/>
        <v>NM</v>
      </c>
      <c r="BK722" s="118">
        <f>BK721-BK700</f>
        <v>222431</v>
      </c>
      <c r="BL722" s="98" t="str">
        <f t="shared" si="4346"/>
        <v>NM</v>
      </c>
      <c r="BM722" s="118">
        <f>BM721-BM700</f>
        <v>218315</v>
      </c>
      <c r="BN722" s="98" t="str">
        <f t="shared" si="4347"/>
        <v>NM</v>
      </c>
      <c r="BO722" s="118">
        <f>BO721-BO700</f>
        <v>173154</v>
      </c>
      <c r="BP722" s="98">
        <f t="shared" si="4348"/>
        <v>-17.525291977060988</v>
      </c>
      <c r="BQ722" s="118">
        <f>BQ721-BQ700</f>
        <v>222226</v>
      </c>
      <c r="BR722" s="98">
        <f t="shared" si="4349"/>
        <v>4.6217438997405935</v>
      </c>
      <c r="BS722" s="118">
        <f>BS721-BS700</f>
        <v>197342</v>
      </c>
      <c r="BT722" s="98">
        <f t="shared" si="4350"/>
        <v>-11.279452953949765</v>
      </c>
      <c r="BU722" s="118">
        <f>BU721-BU700</f>
        <v>189623</v>
      </c>
      <c r="BV722" s="98">
        <f t="shared" si="4351"/>
        <v>-13.14247761262396</v>
      </c>
      <c r="BW722" s="118">
        <f>BW721-BW700</f>
        <v>183043</v>
      </c>
      <c r="BX722" s="98">
        <f t="shared" si="4352"/>
        <v>5.7111011007542345</v>
      </c>
      <c r="BY722" s="118">
        <f>BY721-BY700</f>
        <v>184160</v>
      </c>
      <c r="BZ722" s="98">
        <f t="shared" si="4353"/>
        <v>-17.129408800050395</v>
      </c>
      <c r="CA722" s="118">
        <f>CA721-CA700</f>
        <v>188158</v>
      </c>
      <c r="CB722" s="98">
        <f t="shared" si="4354"/>
        <v>-4.653849662008092</v>
      </c>
      <c r="CC722" s="118">
        <f>CC721-CC700</f>
        <v>188680</v>
      </c>
      <c r="CD722" s="98">
        <f t="shared" si="4355"/>
        <v>-0.49730254241310279</v>
      </c>
      <c r="CE722" s="118">
        <f>CE721-CE700</f>
        <v>195540</v>
      </c>
      <c r="CF722" s="98">
        <f t="shared" si="4356"/>
        <v>6.827357506159748</v>
      </c>
      <c r="CG722" s="118">
        <f>CG721-CG700</f>
        <v>203124</v>
      </c>
      <c r="CH722" s="98">
        <f t="shared" si="4357"/>
        <v>10.297567332754131</v>
      </c>
      <c r="CI722" s="118">
        <f>CI721-CI700</f>
        <v>212637</v>
      </c>
      <c r="CJ722" s="98">
        <f t="shared" si="4358"/>
        <v>13.009810903602293</v>
      </c>
      <c r="CK722" s="118">
        <f>CK721-CK700</f>
        <v>239288</v>
      </c>
      <c r="CL722" s="98">
        <f t="shared" si="4359"/>
        <v>26.822132711469159</v>
      </c>
      <c r="CM722" s="118">
        <f>CM721-CM700</f>
        <v>83389</v>
      </c>
      <c r="CN722" s="98" t="str">
        <f t="shared" si="4360"/>
        <v>NM</v>
      </c>
      <c r="CO722" s="118">
        <f>CO721-CO700</f>
        <v>86992</v>
      </c>
      <c r="CP722" s="98" t="str">
        <f t="shared" si="4361"/>
        <v>NM</v>
      </c>
      <c r="CQ722" s="510">
        <f>CQ721-CQ700</f>
        <v>101159</v>
      </c>
      <c r="CR722" s="98" t="str">
        <f t="shared" si="4361"/>
        <v>NM</v>
      </c>
      <c r="CS722" s="118">
        <f>CS721-CS700</f>
        <v>104525</v>
      </c>
      <c r="CT722" s="98" t="str">
        <f t="shared" si="4361"/>
        <v>NM</v>
      </c>
      <c r="CU722" s="118">
        <f>CU721-CU700</f>
        <v>105713</v>
      </c>
      <c r="CV722" s="98">
        <f t="shared" si="4362"/>
        <v>26.770917027425689</v>
      </c>
      <c r="CW722" s="118">
        <f>CW721-CW700</f>
        <v>104712</v>
      </c>
      <c r="CX722" s="98">
        <f t="shared" si="4363"/>
        <v>20.369689166819938</v>
      </c>
      <c r="CY722" s="118">
        <f>CY721-CY700</f>
        <v>107033</v>
      </c>
      <c r="CZ722" s="98">
        <f t="shared" si="4364"/>
        <v>5.8067003430243513</v>
      </c>
      <c r="DA722" s="118">
        <f>DA721-DA700</f>
        <v>99442</v>
      </c>
      <c r="DB722" s="98">
        <f t="shared" si="4365"/>
        <v>-4.8629514470222457</v>
      </c>
      <c r="DC722" s="118">
        <f>DC721-DC700</f>
        <v>94937</v>
      </c>
      <c r="DD722" s="98">
        <f t="shared" si="4366"/>
        <v>-10.193637490185692</v>
      </c>
      <c r="DE722" s="118">
        <f>DE721-DE700</f>
        <v>91358</v>
      </c>
      <c r="DF722" s="98">
        <f t="shared" si="4367"/>
        <v>-12.753075101230039</v>
      </c>
      <c r="DG722" s="118">
        <f>DG721-DG700</f>
        <v>86915</v>
      </c>
      <c r="DH722" s="98">
        <f t="shared" si="4368"/>
        <v>-18.796072239402804</v>
      </c>
      <c r="DI722" s="118">
        <f>DI721-DI700</f>
        <v>86728</v>
      </c>
      <c r="DJ722" s="98">
        <f t="shared" si="4369"/>
        <v>-12.785342209529171</v>
      </c>
      <c r="DK722" s="118">
        <f>DK721-DK700</f>
        <v>92191</v>
      </c>
      <c r="DL722" s="98">
        <f t="shared" si="4370"/>
        <v>-2.8924444631703183</v>
      </c>
      <c r="DM722" s="118">
        <f>DM721-DM700</f>
        <v>96036</v>
      </c>
      <c r="DN722" s="98">
        <f t="shared" si="4371"/>
        <v>5.1205148974364567</v>
      </c>
      <c r="DO722" s="118">
        <f>DO721-DO700</f>
        <v>97186</v>
      </c>
      <c r="DP722" s="98">
        <f t="shared" si="4371"/>
        <v>11.817292757291597</v>
      </c>
      <c r="DQ722" s="118">
        <f>DQ721-DQ700</f>
        <v>97865</v>
      </c>
      <c r="DR722" s="98">
        <f t="shared" si="4371"/>
        <v>12.841296928327651</v>
      </c>
      <c r="DS722" s="118">
        <f>DS721-DS700</f>
        <v>105515</v>
      </c>
      <c r="DT722" s="98">
        <f t="shared" si="4371"/>
        <v>14.452603833345989</v>
      </c>
      <c r="DU722" s="118">
        <f>DU721-DU700</f>
        <v>99336</v>
      </c>
      <c r="DV722" s="98">
        <f t="shared" si="4371"/>
        <v>3.436211420717239</v>
      </c>
      <c r="DW722" s="118">
        <f>DW721-DW700</f>
        <v>102649</v>
      </c>
      <c r="DX722" s="98">
        <f t="shared" si="4371"/>
        <v>5.6211800053505678</v>
      </c>
      <c r="DY722" s="118">
        <f>DY721-DY700</f>
        <v>95503</v>
      </c>
      <c r="DZ722" s="98">
        <f t="shared" si="4371"/>
        <v>-2.4135288407500122</v>
      </c>
      <c r="EA722" s="792">
        <f>EA721-EA700</f>
        <v>294250</v>
      </c>
      <c r="EB722" s="860" t="str">
        <f t="shared" si="4372"/>
        <v>NM</v>
      </c>
      <c r="EC722" s="792">
        <f>EC721-EC700</f>
        <v>306548</v>
      </c>
      <c r="ED722" s="860" t="str">
        <f t="shared" si="4373"/>
        <v>NM</v>
      </c>
      <c r="EE722" s="792">
        <f>EE721-EE700</f>
        <v>307557</v>
      </c>
      <c r="EF722" s="860" t="str">
        <f t="shared" si="4374"/>
        <v>NM</v>
      </c>
      <c r="EG722" s="792">
        <f>EG721-EG700</f>
        <v>279626</v>
      </c>
      <c r="EH722" s="860" t="str">
        <f t="shared" si="4375"/>
        <v>NM</v>
      </c>
      <c r="EI722" s="792">
        <f>EI721-EI700</f>
        <v>280605</v>
      </c>
      <c r="EJ722" s="860">
        <f t="shared" si="4376"/>
        <v>-4.6372132540356876</v>
      </c>
      <c r="EK722" s="792">
        <f>EK721-EK700</f>
        <v>283873</v>
      </c>
      <c r="EL722" s="860">
        <f t="shared" si="4377"/>
        <v>-7.3968840116392816</v>
      </c>
      <c r="EM722" s="792">
        <f>EM721-EM700</f>
        <v>85083</v>
      </c>
      <c r="EN722" s="860" t="str">
        <f t="shared" si="4378"/>
        <v>NM</v>
      </c>
      <c r="EO722" s="792">
        <f>EO721-EO700</f>
        <v>79401</v>
      </c>
      <c r="EP722" s="98" t="str">
        <f t="shared" si="4379"/>
        <v>NM</v>
      </c>
      <c r="EQ722" s="840">
        <f t="shared" ref="EQ722" si="4428">EQ721-EQ700</f>
        <v>83966.476554755704</v>
      </c>
      <c r="ER722" s="98" t="str">
        <f t="shared" si="4380"/>
        <v>NM</v>
      </c>
      <c r="ES722" s="840">
        <f t="shared" ref="ES722" si="4429">ES721-ES700</f>
        <v>87650.956563734013</v>
      </c>
      <c r="ET722" s="98" t="str">
        <f t="shared" si="4382"/>
        <v>NM</v>
      </c>
      <c r="EU722" s="840">
        <f t="shared" ref="EU722" si="4430">EU721-EU700</f>
        <v>91241.017004038935</v>
      </c>
      <c r="EV722" s="98">
        <f t="shared" si="4384"/>
        <v>7.237658526425883</v>
      </c>
      <c r="EW722" s="840">
        <f t="shared" ref="EW722" si="4431">EW721-EW700</f>
        <v>94867.83269286697</v>
      </c>
      <c r="EX722" s="98">
        <f t="shared" si="4386"/>
        <v>19.479392819822138</v>
      </c>
      <c r="EY722" s="349"/>
      <c r="EZ722" s="594"/>
      <c r="FA722" s="405"/>
      <c r="FB722" s="349">
        <f>FB721-FB700</f>
        <v>135922</v>
      </c>
      <c r="FC722" s="98"/>
      <c r="FD722" s="349">
        <f>FD721-FD700</f>
        <v>141661</v>
      </c>
      <c r="FE722" s="98">
        <f t="shared" si="4387"/>
        <v>4.2222745398095896</v>
      </c>
      <c r="FF722" s="349">
        <f>FF721-FF700</f>
        <v>163769</v>
      </c>
      <c r="FG722" s="98">
        <f t="shared" si="4388"/>
        <v>15.606271309675911</v>
      </c>
      <c r="FH722" s="349">
        <f>FH721-FH700</f>
        <v>28400</v>
      </c>
      <c r="FI722" s="98" t="str">
        <f t="shared" si="4389"/>
        <v>NM</v>
      </c>
      <c r="FJ722" s="349">
        <f>FJ721-FJ700</f>
        <v>47248</v>
      </c>
      <c r="FK722" s="98">
        <f t="shared" si="4390"/>
        <v>66.366197183098592</v>
      </c>
      <c r="FL722" s="349">
        <f>FL721-FL700</f>
        <v>48129</v>
      </c>
      <c r="FM722" s="98">
        <f t="shared" si="4391"/>
        <v>1.8646291906535772</v>
      </c>
      <c r="FN722" s="349">
        <f>FN721-FN700</f>
        <v>54368</v>
      </c>
      <c r="FO722" s="98">
        <f t="shared" si="4392"/>
        <v>12.963078393484185</v>
      </c>
      <c r="FP722" s="349">
        <f>FP721-FP700</f>
        <v>60957</v>
      </c>
      <c r="FQ722" s="98">
        <f t="shared" si="4393"/>
        <v>12.119261330194231</v>
      </c>
      <c r="FR722" s="349">
        <f>FR721-FR700</f>
        <v>76814</v>
      </c>
      <c r="FS722" s="98">
        <f t="shared" si="4394"/>
        <v>26.013419295569019</v>
      </c>
      <c r="FT722" s="349">
        <f>FT721-FT700</f>
        <v>218315</v>
      </c>
      <c r="FU722" s="98" t="str">
        <f t="shared" si="4395"/>
        <v>NM</v>
      </c>
      <c r="FV722" s="349">
        <f>FV721-FV700</f>
        <v>189623</v>
      </c>
      <c r="FW722" s="98">
        <f t="shared" si="4396"/>
        <v>-13.14247761262396</v>
      </c>
      <c r="FX722" s="510">
        <f>FX721-FX700</f>
        <v>188680</v>
      </c>
      <c r="FY722" s="98">
        <f t="shared" si="4397"/>
        <v>-0.49730254241310279</v>
      </c>
      <c r="FZ722" s="349">
        <f>FZ721-FZ700</f>
        <v>239288</v>
      </c>
      <c r="GA722" s="98">
        <f t="shared" si="4398"/>
        <v>26.822132711469159</v>
      </c>
      <c r="GB722" s="510">
        <f>GB721-GB700</f>
        <v>104525</v>
      </c>
      <c r="GC722" s="98" t="str">
        <f t="shared" si="4399"/>
        <v>NM</v>
      </c>
      <c r="GD722" s="349">
        <f>GD721-GD700</f>
        <v>99442</v>
      </c>
      <c r="GE722" s="98">
        <f t="shared" si="4400"/>
        <v>-4.8629514470222457</v>
      </c>
      <c r="GF722" s="349">
        <f>GF721-GF700</f>
        <v>86728</v>
      </c>
      <c r="GG722" s="98">
        <f t="shared" si="4400"/>
        <v>-12.785342209529171</v>
      </c>
      <c r="GH722" s="349">
        <f>GH721-GH700</f>
        <v>97865</v>
      </c>
      <c r="GI722" s="98">
        <f t="shared" si="4400"/>
        <v>12.841296928327651</v>
      </c>
      <c r="GJ722" s="349">
        <f>GJ721-GJ700</f>
        <v>95503</v>
      </c>
      <c r="GK722" s="98">
        <f t="shared" si="4400"/>
        <v>-2.4135288407500122</v>
      </c>
      <c r="GL722" s="349">
        <f>GL721-GL700</f>
        <v>279626</v>
      </c>
      <c r="GM722" s="98" t="str">
        <f t="shared" si="4400"/>
        <v>NM</v>
      </c>
      <c r="GN722" s="349">
        <f>GN721-GN700</f>
        <v>79401</v>
      </c>
      <c r="GO722" s="98" t="str">
        <f t="shared" si="4400"/>
        <v>NM</v>
      </c>
      <c r="GP722" s="349">
        <f>GP721-GP700</f>
        <v>94867.83269286697</v>
      </c>
      <c r="GQ722" s="98">
        <f t="shared" si="4400"/>
        <v>19.479392819822138</v>
      </c>
      <c r="GR722" s="349">
        <f>GR721-GR700</f>
        <v>99816.741367836541</v>
      </c>
      <c r="GS722" s="98">
        <f t="shared" si="4400"/>
        <v>5.2166351169754099</v>
      </c>
      <c r="GT722" s="349">
        <f>GT721-GT700</f>
        <v>104840.01842318635</v>
      </c>
      <c r="GU722" s="98">
        <f t="shared" si="4400"/>
        <v>5.032499545179947</v>
      </c>
      <c r="GV722" s="349">
        <f>GV721-GV700</f>
        <v>109990.57165616087</v>
      </c>
      <c r="GW722" s="98">
        <f t="shared" si="4400"/>
        <v>4.9127740632249228</v>
      </c>
      <c r="GX722" s="349">
        <f>GX721-GX700</f>
        <v>115326.29262669753</v>
      </c>
      <c r="GY722" s="98">
        <f t="shared" si="4401"/>
        <v>4.8510712238286624</v>
      </c>
      <c r="GZ722" s="98">
        <f t="shared" si="4402"/>
        <v>7.7507921879335306</v>
      </c>
      <c r="HA722" s="98"/>
      <c r="HB722" s="10"/>
      <c r="HC722"/>
      <c r="HD722"/>
      <c r="HE722"/>
      <c r="HF722"/>
      <c r="HG722"/>
      <c r="HH722"/>
      <c r="HI722" s="10"/>
    </row>
    <row r="723" spans="1:217" s="2" customFormat="1" ht="12.75" hidden="1" customHeight="1" outlineLevel="1" x14ac:dyDescent="0.2">
      <c r="A723" s="351"/>
      <c r="B723" s="179" t="s">
        <v>40</v>
      </c>
      <c r="C723" s="350" t="s">
        <v>481</v>
      </c>
      <c r="D723" s="33"/>
      <c r="E723" s="350" t="s">
        <v>481</v>
      </c>
      <c r="F723" s="33"/>
      <c r="G723" s="350" t="s">
        <v>481</v>
      </c>
      <c r="H723" s="33"/>
      <c r="I723" s="350" t="s">
        <v>481</v>
      </c>
      <c r="J723" s="33"/>
      <c r="K723" s="350" t="s">
        <v>481</v>
      </c>
      <c r="L723" s="33" t="str">
        <f t="shared" si="4321"/>
        <v>NA</v>
      </c>
      <c r="M723" s="350" t="s">
        <v>481</v>
      </c>
      <c r="N723" s="33" t="str">
        <f t="shared" si="4322"/>
        <v>NA</v>
      </c>
      <c r="O723" s="350" t="s">
        <v>481</v>
      </c>
      <c r="P723" s="33" t="str">
        <f t="shared" si="4323"/>
        <v>NA</v>
      </c>
      <c r="Q723" s="350" t="s">
        <v>481</v>
      </c>
      <c r="R723" s="33" t="str">
        <f t="shared" si="4324"/>
        <v>NA</v>
      </c>
      <c r="S723" s="350" t="s">
        <v>481</v>
      </c>
      <c r="T723" s="33" t="str">
        <f t="shared" si="4325"/>
        <v>NA</v>
      </c>
      <c r="U723" s="350" t="s">
        <v>481</v>
      </c>
      <c r="V723" s="33" t="str">
        <f t="shared" si="4326"/>
        <v>NA</v>
      </c>
      <c r="W723" s="350" t="s">
        <v>481</v>
      </c>
      <c r="X723" s="33" t="str">
        <f t="shared" si="4327"/>
        <v>NA</v>
      </c>
      <c r="Y723" s="350" t="s">
        <v>481</v>
      </c>
      <c r="Z723" s="33" t="str">
        <f t="shared" si="4407"/>
        <v>NA</v>
      </c>
      <c r="AA723" s="350" t="s">
        <v>481</v>
      </c>
      <c r="AB723" s="33" t="str">
        <f t="shared" si="4328"/>
        <v>NA</v>
      </c>
      <c r="AC723" s="350" t="s">
        <v>481</v>
      </c>
      <c r="AD723" s="33" t="str">
        <f t="shared" si="4329"/>
        <v>NA</v>
      </c>
      <c r="AE723" s="350" t="s">
        <v>481</v>
      </c>
      <c r="AF723" s="33" t="str">
        <f t="shared" si="4330"/>
        <v>NA</v>
      </c>
      <c r="AG723" s="350" t="s">
        <v>481</v>
      </c>
      <c r="AH723" s="33" t="str">
        <f t="shared" si="4331"/>
        <v>NA</v>
      </c>
      <c r="AI723" s="119" t="s">
        <v>481</v>
      </c>
      <c r="AJ723" s="33" t="str">
        <f t="shared" si="4332"/>
        <v>NA</v>
      </c>
      <c r="AK723" s="119" t="s">
        <v>481</v>
      </c>
      <c r="AL723" s="33" t="str">
        <f t="shared" si="4333"/>
        <v>NA</v>
      </c>
      <c r="AM723" s="119" t="s">
        <v>481</v>
      </c>
      <c r="AN723" s="33" t="str">
        <f t="shared" si="4334"/>
        <v>NA</v>
      </c>
      <c r="AO723" s="119" t="s">
        <v>481</v>
      </c>
      <c r="AP723" s="33" t="str">
        <f t="shared" si="4335"/>
        <v>NA</v>
      </c>
      <c r="AQ723" s="119" t="s">
        <v>481</v>
      </c>
      <c r="AR723" s="33" t="str">
        <f t="shared" si="4336"/>
        <v>NA</v>
      </c>
      <c r="AS723" s="119" t="s">
        <v>481</v>
      </c>
      <c r="AT723" s="33" t="str">
        <f t="shared" si="4337"/>
        <v>NA</v>
      </c>
      <c r="AU723" s="119" t="s">
        <v>481</v>
      </c>
      <c r="AV723" s="33" t="str">
        <f t="shared" si="4338"/>
        <v>NA</v>
      </c>
      <c r="AW723" s="119" t="s">
        <v>481</v>
      </c>
      <c r="AX723" s="33" t="str">
        <f t="shared" si="4339"/>
        <v>NA</v>
      </c>
      <c r="AY723" s="119" t="s">
        <v>481</v>
      </c>
      <c r="AZ723" s="33" t="str">
        <f t="shared" si="4340"/>
        <v>NA</v>
      </c>
      <c r="BA723" s="119" t="s">
        <v>481</v>
      </c>
      <c r="BB723" s="33" t="str">
        <f t="shared" si="4341"/>
        <v>NA</v>
      </c>
      <c r="BC723" s="119" t="s">
        <v>481</v>
      </c>
      <c r="BD723" s="33" t="str">
        <f t="shared" si="4342"/>
        <v>NA</v>
      </c>
      <c r="BE723" s="119" t="s">
        <v>481</v>
      </c>
      <c r="BF723" s="33" t="str">
        <f t="shared" si="4343"/>
        <v>NA</v>
      </c>
      <c r="BG723" s="119" t="s">
        <v>481</v>
      </c>
      <c r="BH723" s="33" t="str">
        <f t="shared" si="4344"/>
        <v>NA</v>
      </c>
      <c r="BI723" s="119" t="s">
        <v>481</v>
      </c>
      <c r="BJ723" s="33" t="str">
        <f t="shared" si="4345"/>
        <v>NA</v>
      </c>
      <c r="BK723" s="119" t="s">
        <v>222</v>
      </c>
      <c r="BL723" s="33" t="str">
        <f t="shared" si="4346"/>
        <v>NA</v>
      </c>
      <c r="BM723" s="119" t="s">
        <v>222</v>
      </c>
      <c r="BN723" s="33" t="str">
        <f t="shared" si="4347"/>
        <v>NA</v>
      </c>
      <c r="BO723" s="119" t="s">
        <v>222</v>
      </c>
      <c r="BP723" s="33" t="str">
        <f t="shared" si="4348"/>
        <v>NA</v>
      </c>
      <c r="BQ723" s="119" t="s">
        <v>222</v>
      </c>
      <c r="BR723" s="33" t="str">
        <f t="shared" si="4349"/>
        <v>NA</v>
      </c>
      <c r="BS723" s="119" t="s">
        <v>222</v>
      </c>
      <c r="BT723" s="33" t="str">
        <f t="shared" si="4350"/>
        <v>NA</v>
      </c>
      <c r="BU723" s="119" t="s">
        <v>222</v>
      </c>
      <c r="BV723" s="33" t="str">
        <f t="shared" si="4351"/>
        <v>NA</v>
      </c>
      <c r="BW723" s="119" t="s">
        <v>222</v>
      </c>
      <c r="BX723" s="33" t="str">
        <f t="shared" si="4352"/>
        <v>NA</v>
      </c>
      <c r="BY723" s="119" t="s">
        <v>222</v>
      </c>
      <c r="BZ723" s="33" t="str">
        <f t="shared" si="4353"/>
        <v>NA</v>
      </c>
      <c r="CA723" s="119" t="s">
        <v>222</v>
      </c>
      <c r="CB723" s="33" t="str">
        <f t="shared" si="4354"/>
        <v>NA</v>
      </c>
      <c r="CC723" s="119" t="s">
        <v>222</v>
      </c>
      <c r="CD723" s="33" t="str">
        <f t="shared" si="4355"/>
        <v>NA</v>
      </c>
      <c r="CE723" s="119" t="s">
        <v>222</v>
      </c>
      <c r="CF723" s="33" t="str">
        <f t="shared" si="4356"/>
        <v>NA</v>
      </c>
      <c r="CG723" s="119" t="s">
        <v>222</v>
      </c>
      <c r="CH723" s="33" t="str">
        <f t="shared" si="4357"/>
        <v>NA</v>
      </c>
      <c r="CI723" s="119" t="s">
        <v>222</v>
      </c>
      <c r="CJ723" s="33" t="str">
        <f t="shared" si="4358"/>
        <v>NA</v>
      </c>
      <c r="CK723" s="119" t="s">
        <v>222</v>
      </c>
      <c r="CL723" s="33" t="str">
        <f t="shared" si="4359"/>
        <v>NA</v>
      </c>
      <c r="CM723" s="119" t="s">
        <v>222</v>
      </c>
      <c r="CN723" s="33" t="str">
        <f t="shared" si="4360"/>
        <v>NA</v>
      </c>
      <c r="CO723" s="119" t="s">
        <v>222</v>
      </c>
      <c r="CP723" s="33" t="str">
        <f t="shared" si="4361"/>
        <v>NA</v>
      </c>
      <c r="CQ723" s="485" t="s">
        <v>222</v>
      </c>
      <c r="CR723" s="33" t="str">
        <f t="shared" si="4361"/>
        <v>NA</v>
      </c>
      <c r="CS723" s="119" t="s">
        <v>222</v>
      </c>
      <c r="CT723" s="33" t="str">
        <f t="shared" si="4361"/>
        <v>NA</v>
      </c>
      <c r="CU723" s="119" t="s">
        <v>222</v>
      </c>
      <c r="CV723" s="33" t="str">
        <f t="shared" si="4362"/>
        <v>NA</v>
      </c>
      <c r="CW723" s="119" t="s">
        <v>222</v>
      </c>
      <c r="CX723" s="33" t="str">
        <f t="shared" si="4363"/>
        <v>NA</v>
      </c>
      <c r="CY723" s="119" t="s">
        <v>222</v>
      </c>
      <c r="CZ723" s="33" t="str">
        <f t="shared" si="4364"/>
        <v>NA</v>
      </c>
      <c r="DA723" s="119" t="s">
        <v>222</v>
      </c>
      <c r="DB723" s="33" t="str">
        <f t="shared" si="4365"/>
        <v>NA</v>
      </c>
      <c r="DC723" s="119" t="s">
        <v>222</v>
      </c>
      <c r="DD723" s="33" t="str">
        <f t="shared" si="4366"/>
        <v>NA</v>
      </c>
      <c r="DE723" s="119" t="s">
        <v>481</v>
      </c>
      <c r="DF723" s="33" t="str">
        <f t="shared" si="4367"/>
        <v>NA</v>
      </c>
      <c r="DG723" s="119" t="s">
        <v>481</v>
      </c>
      <c r="DH723" s="33" t="str">
        <f t="shared" si="4368"/>
        <v>NA</v>
      </c>
      <c r="DI723" s="119" t="s">
        <v>481</v>
      </c>
      <c r="DJ723" s="33" t="str">
        <f t="shared" si="4369"/>
        <v>NA</v>
      </c>
      <c r="DK723" s="119" t="s">
        <v>481</v>
      </c>
      <c r="DL723" s="33" t="str">
        <f t="shared" si="4370"/>
        <v>NA</v>
      </c>
      <c r="DM723" s="119" t="s">
        <v>481</v>
      </c>
      <c r="DN723" s="33" t="str">
        <f t="shared" si="4371"/>
        <v>NA</v>
      </c>
      <c r="DO723" s="119" t="s">
        <v>481</v>
      </c>
      <c r="DP723" s="33" t="str">
        <f t="shared" si="4371"/>
        <v>NA</v>
      </c>
      <c r="DQ723" s="119" t="s">
        <v>481</v>
      </c>
      <c r="DR723" s="33" t="str">
        <f t="shared" si="4371"/>
        <v>NA</v>
      </c>
      <c r="DS723" s="119" t="s">
        <v>481</v>
      </c>
      <c r="DT723" s="33" t="str">
        <f t="shared" si="4371"/>
        <v>NA</v>
      </c>
      <c r="DU723" s="119" t="s">
        <v>481</v>
      </c>
      <c r="DV723" s="33" t="str">
        <f t="shared" si="4371"/>
        <v>NA</v>
      </c>
      <c r="DW723" s="119" t="s">
        <v>481</v>
      </c>
      <c r="DX723" s="33" t="str">
        <f t="shared" si="4371"/>
        <v>NA</v>
      </c>
      <c r="DY723" s="119" t="s">
        <v>481</v>
      </c>
      <c r="DZ723" s="33" t="str">
        <f t="shared" si="4371"/>
        <v>NA</v>
      </c>
      <c r="EA723" s="1023" t="s">
        <v>481</v>
      </c>
      <c r="EB723" s="771" t="str">
        <f t="shared" si="4372"/>
        <v>NA</v>
      </c>
      <c r="EC723" s="1023" t="s">
        <v>481</v>
      </c>
      <c r="ED723" s="771" t="str">
        <f t="shared" si="4373"/>
        <v>NA</v>
      </c>
      <c r="EE723" s="1023" t="s">
        <v>481</v>
      </c>
      <c r="EF723" s="771" t="str">
        <f t="shared" si="4374"/>
        <v>NA</v>
      </c>
      <c r="EG723" s="1023" t="s">
        <v>481</v>
      </c>
      <c r="EH723" s="771" t="str">
        <f t="shared" si="4375"/>
        <v>NA</v>
      </c>
      <c r="EI723" s="1023" t="s">
        <v>481</v>
      </c>
      <c r="EJ723" s="771" t="str">
        <f t="shared" si="4376"/>
        <v>NA</v>
      </c>
      <c r="EK723" s="1023" t="s">
        <v>481</v>
      </c>
      <c r="EL723" s="771" t="str">
        <f t="shared" si="4377"/>
        <v>NA</v>
      </c>
      <c r="EM723" s="1023" t="s">
        <v>481</v>
      </c>
      <c r="EN723" s="771" t="str">
        <f t="shared" si="4378"/>
        <v>NA</v>
      </c>
      <c r="EO723" s="1023" t="s">
        <v>481</v>
      </c>
      <c r="EP723" s="33" t="str">
        <f t="shared" si="4379"/>
        <v>NA</v>
      </c>
      <c r="EQ723" s="1067" t="s">
        <v>481</v>
      </c>
      <c r="ER723" s="33" t="str">
        <f t="shared" si="4380"/>
        <v>NA</v>
      </c>
      <c r="ES723" s="1067" t="s">
        <v>481</v>
      </c>
      <c r="ET723" s="33" t="str">
        <f t="shared" si="4382"/>
        <v>NA</v>
      </c>
      <c r="EU723" s="1067" t="s">
        <v>481</v>
      </c>
      <c r="EV723" s="33" t="str">
        <f t="shared" si="4384"/>
        <v>NA</v>
      </c>
      <c r="EW723" s="1067" t="s">
        <v>481</v>
      </c>
      <c r="EX723" s="33" t="str">
        <f t="shared" si="4386"/>
        <v>NA</v>
      </c>
      <c r="EY723" s="350"/>
      <c r="EZ723" s="602"/>
      <c r="FA723" s="266"/>
      <c r="FB723" s="350" t="s">
        <v>481</v>
      </c>
      <c r="FC723" s="350"/>
      <c r="FD723" s="350" t="s">
        <v>481</v>
      </c>
      <c r="FE723" s="33" t="str">
        <f t="shared" si="4387"/>
        <v>NA</v>
      </c>
      <c r="FF723" s="350" t="s">
        <v>481</v>
      </c>
      <c r="FG723" s="33" t="str">
        <f t="shared" si="4388"/>
        <v>NA</v>
      </c>
      <c r="FH723" s="350" t="s">
        <v>481</v>
      </c>
      <c r="FI723" s="33" t="str">
        <f t="shared" si="4389"/>
        <v>NA</v>
      </c>
      <c r="FJ723" s="350" t="s">
        <v>481</v>
      </c>
      <c r="FK723" s="33" t="str">
        <f t="shared" si="4390"/>
        <v>NA</v>
      </c>
      <c r="FL723" s="350" t="s">
        <v>481</v>
      </c>
      <c r="FM723" s="33" t="str">
        <f t="shared" si="4391"/>
        <v>NA</v>
      </c>
      <c r="FN723" s="350" t="s">
        <v>481</v>
      </c>
      <c r="FO723" s="33" t="str">
        <f t="shared" si="4392"/>
        <v>NA</v>
      </c>
      <c r="FP723" s="350" t="s">
        <v>481</v>
      </c>
      <c r="FQ723" s="33" t="str">
        <f t="shared" si="4393"/>
        <v>NA</v>
      </c>
      <c r="FR723" s="350" t="s">
        <v>481</v>
      </c>
      <c r="FS723" s="33" t="str">
        <f t="shared" si="4394"/>
        <v>NA</v>
      </c>
      <c r="FT723" s="350" t="s">
        <v>481</v>
      </c>
      <c r="FU723" s="33" t="str">
        <f t="shared" si="4395"/>
        <v>NA</v>
      </c>
      <c r="FV723" s="350" t="s">
        <v>481</v>
      </c>
      <c r="FW723" s="33" t="str">
        <f t="shared" si="4396"/>
        <v>NA</v>
      </c>
      <c r="FX723" s="485" t="s">
        <v>481</v>
      </c>
      <c r="FY723" s="33" t="str">
        <f t="shared" si="4397"/>
        <v>NA</v>
      </c>
      <c r="FZ723" s="350" t="s">
        <v>481</v>
      </c>
      <c r="GA723" s="33" t="str">
        <f t="shared" si="4398"/>
        <v>NA</v>
      </c>
      <c r="GB723" s="485" t="s">
        <v>481</v>
      </c>
      <c r="GC723" s="33" t="str">
        <f t="shared" si="4399"/>
        <v>NA</v>
      </c>
      <c r="GD723" s="350" t="s">
        <v>481</v>
      </c>
      <c r="GE723" s="33" t="str">
        <f t="shared" si="4400"/>
        <v>NA</v>
      </c>
      <c r="GF723" s="350" t="s">
        <v>481</v>
      </c>
      <c r="GG723" s="33" t="str">
        <f t="shared" si="4400"/>
        <v>NA</v>
      </c>
      <c r="GH723" s="350" t="s">
        <v>481</v>
      </c>
      <c r="GI723" s="33" t="str">
        <f t="shared" si="4400"/>
        <v>NA</v>
      </c>
      <c r="GJ723" s="350" t="s">
        <v>481</v>
      </c>
      <c r="GK723" s="33" t="str">
        <f t="shared" si="4400"/>
        <v>NA</v>
      </c>
      <c r="GL723" s="350" t="s">
        <v>481</v>
      </c>
      <c r="GM723" s="33" t="str">
        <f t="shared" si="4400"/>
        <v>NA</v>
      </c>
      <c r="GN723" s="350" t="s">
        <v>481</v>
      </c>
      <c r="GO723" s="33" t="str">
        <f t="shared" si="4400"/>
        <v>NA</v>
      </c>
      <c r="GP723" s="350" t="s">
        <v>481</v>
      </c>
      <c r="GQ723" s="33" t="str">
        <f t="shared" si="4400"/>
        <v>NA</v>
      </c>
      <c r="GR723" s="350" t="s">
        <v>481</v>
      </c>
      <c r="GS723" s="33" t="str">
        <f t="shared" si="4400"/>
        <v>NA</v>
      </c>
      <c r="GT723" s="350" t="s">
        <v>481</v>
      </c>
      <c r="GU723" s="33" t="str">
        <f t="shared" si="4400"/>
        <v>NA</v>
      </c>
      <c r="GV723" s="350" t="s">
        <v>481</v>
      </c>
      <c r="GW723" s="33" t="str">
        <f t="shared" si="4400"/>
        <v>NA</v>
      </c>
      <c r="GX723" s="350" t="s">
        <v>481</v>
      </c>
      <c r="GY723" s="33" t="str">
        <f t="shared" si="4401"/>
        <v>NA</v>
      </c>
      <c r="GZ723" s="33" t="str">
        <f t="shared" si="4402"/>
        <v>NA</v>
      </c>
      <c r="HA723" s="33"/>
      <c r="HB723" s="10"/>
      <c r="HC723"/>
      <c r="HD723"/>
      <c r="HE723"/>
      <c r="HF723"/>
      <c r="HG723"/>
      <c r="HH723"/>
      <c r="HI723" s="10"/>
    </row>
    <row r="724" spans="1:217" s="2" customFormat="1" ht="12.75" customHeight="1" collapsed="1" x14ac:dyDescent="0.2">
      <c r="A724" s="385"/>
      <c r="B724" s="179" t="s">
        <v>259</v>
      </c>
      <c r="C724" s="40">
        <f>241914+C718</f>
        <v>242032</v>
      </c>
      <c r="D724" s="98"/>
      <c r="E724" s="40">
        <f>239174+E718</f>
        <v>240258</v>
      </c>
      <c r="F724" s="98"/>
      <c r="G724" s="40">
        <f>241197+G718</f>
        <v>242282</v>
      </c>
      <c r="H724" s="98"/>
      <c r="I724" s="40">
        <f>+I718+237539</f>
        <v>238629</v>
      </c>
      <c r="J724" s="98"/>
      <c r="K724" s="40">
        <f>236050+K718</f>
        <v>237142</v>
      </c>
      <c r="L724" s="98">
        <f t="shared" si="4321"/>
        <v>-2.0203939974879348</v>
      </c>
      <c r="M724" s="40">
        <f>237001+M718</f>
        <v>238095</v>
      </c>
      <c r="N724" s="98">
        <f t="shared" si="4322"/>
        <v>-0.9002821966386132</v>
      </c>
      <c r="O724" s="40">
        <f>233960+O718</f>
        <v>235056</v>
      </c>
      <c r="P724" s="98">
        <f t="shared" si="4323"/>
        <v>-2.9824749671869988</v>
      </c>
      <c r="Q724" s="40">
        <f>239652+Q718</f>
        <v>240908</v>
      </c>
      <c r="R724" s="98">
        <f t="shared" si="4324"/>
        <v>0.95503899358417854</v>
      </c>
      <c r="S724" s="40">
        <f>242182+S718</f>
        <v>243440</v>
      </c>
      <c r="T724" s="98">
        <f t="shared" si="4325"/>
        <v>2.6557927317809593</v>
      </c>
      <c r="U724" s="40">
        <f>243879+U718</f>
        <v>245139</v>
      </c>
      <c r="V724" s="98">
        <f t="shared" si="4326"/>
        <v>2.9584829584829553</v>
      </c>
      <c r="W724" s="40">
        <f>249707+W718</f>
        <v>250970</v>
      </c>
      <c r="X724" s="98">
        <f t="shared" si="4327"/>
        <v>6.770301545163715</v>
      </c>
      <c r="Y724" s="40">
        <f>258776+Y718</f>
        <v>260041</v>
      </c>
      <c r="Z724" s="98">
        <f t="shared" si="4407"/>
        <v>7.9420359639364335</v>
      </c>
      <c r="AA724" s="40">
        <f>268606+AA718</f>
        <v>268883</v>
      </c>
      <c r="AB724" s="98">
        <f t="shared" si="4328"/>
        <v>10.451445941505089</v>
      </c>
      <c r="AC724" s="40">
        <f>288922+AC718</f>
        <v>289199</v>
      </c>
      <c r="AD724" s="98">
        <f t="shared" si="4329"/>
        <v>17.973476272645318</v>
      </c>
      <c r="AE724" s="40">
        <f>294078+AE718</f>
        <v>294355</v>
      </c>
      <c r="AF724" s="98">
        <f t="shared" si="4330"/>
        <v>17.286926724309669</v>
      </c>
      <c r="AG724" s="40">
        <f>305692+AG718</f>
        <v>305969</v>
      </c>
      <c r="AH724" s="98">
        <f t="shared" si="4331"/>
        <v>17.661830249845224</v>
      </c>
      <c r="AI724" s="121">
        <v>314665</v>
      </c>
      <c r="AJ724" s="98">
        <f t="shared" si="4332"/>
        <v>17.026736535965448</v>
      </c>
      <c r="AK724" s="121">
        <v>316614</v>
      </c>
      <c r="AL724" s="98">
        <f t="shared" si="4333"/>
        <v>9.4796316723086971</v>
      </c>
      <c r="AM724" s="121">
        <v>323202</v>
      </c>
      <c r="AN724" s="98">
        <f t="shared" si="4334"/>
        <v>9.8000713424266639</v>
      </c>
      <c r="AO724" s="121">
        <v>333984</v>
      </c>
      <c r="AP724" s="98">
        <f t="shared" si="4335"/>
        <v>9.1561563426360237</v>
      </c>
      <c r="AQ724" s="121">
        <v>339633</v>
      </c>
      <c r="AR724" s="98">
        <f t="shared" si="4336"/>
        <v>7.934787790189568</v>
      </c>
      <c r="AS724" s="121">
        <v>353260</v>
      </c>
      <c r="AT724" s="98">
        <f t="shared" si="4337"/>
        <v>11.574346049132389</v>
      </c>
      <c r="AU724" s="121">
        <v>454062</v>
      </c>
      <c r="AV724" s="98">
        <f t="shared" si="4338"/>
        <v>40.488610837804217</v>
      </c>
      <c r="AW724" s="121">
        <v>452117</v>
      </c>
      <c r="AX724" s="98">
        <f t="shared" si="4339"/>
        <v>35.370856088914437</v>
      </c>
      <c r="AY724" s="121">
        <v>470535</v>
      </c>
      <c r="AZ724" s="98">
        <f t="shared" si="4340"/>
        <v>38.542191129837214</v>
      </c>
      <c r="BA724" s="121">
        <v>472624</v>
      </c>
      <c r="BB724" s="98">
        <f t="shared" si="4341"/>
        <v>33.789277019758821</v>
      </c>
      <c r="BC724" s="121">
        <v>484576</v>
      </c>
      <c r="BD724" s="98">
        <f t="shared" si="4342"/>
        <v>6.7202276341116418</v>
      </c>
      <c r="BE724" s="121">
        <v>493917</v>
      </c>
      <c r="BF724" s="98">
        <f t="shared" si="4343"/>
        <v>9.2453944443584355</v>
      </c>
      <c r="BG724" s="121">
        <v>503740</v>
      </c>
      <c r="BH724" s="98">
        <f t="shared" si="4344"/>
        <v>7.0568608073788397</v>
      </c>
      <c r="BI724" s="121">
        <v>519009</v>
      </c>
      <c r="BJ724" s="98">
        <f t="shared" si="4345"/>
        <v>9.8143555976844219</v>
      </c>
      <c r="BK724" s="121">
        <v>528846</v>
      </c>
      <c r="BL724" s="98">
        <f t="shared" si="4346"/>
        <v>9.1358218318695172</v>
      </c>
      <c r="BM724" s="121">
        <v>523957</v>
      </c>
      <c r="BN724" s="98">
        <f t="shared" si="4347"/>
        <v>6.0819935333264574</v>
      </c>
      <c r="BO724" s="121">
        <v>467979</v>
      </c>
      <c r="BP724" s="98">
        <f t="shared" si="4348"/>
        <v>-7.0990987414142221</v>
      </c>
      <c r="BQ724" s="121">
        <v>523918</v>
      </c>
      <c r="BR724" s="98">
        <f t="shared" si="4349"/>
        <v>0.94584101624441974</v>
      </c>
      <c r="BS724" s="121">
        <v>493466</v>
      </c>
      <c r="BT724" s="98">
        <f t="shared" si="4350"/>
        <v>-6.690038309829327</v>
      </c>
      <c r="BU724" s="121">
        <v>477944</v>
      </c>
      <c r="BV724" s="98">
        <f t="shared" si="4351"/>
        <v>-8.781827516380158</v>
      </c>
      <c r="BW724" s="121">
        <v>467979</v>
      </c>
      <c r="BX724" s="98">
        <f t="shared" si="4352"/>
        <v>0</v>
      </c>
      <c r="BY724" s="121">
        <v>481845</v>
      </c>
      <c r="BZ724" s="98">
        <f t="shared" si="4353"/>
        <v>-8.0304551475612556</v>
      </c>
      <c r="CA724" s="121">
        <v>500599</v>
      </c>
      <c r="CB724" s="98">
        <f t="shared" si="4354"/>
        <v>1.4454896588619981</v>
      </c>
      <c r="CC724" s="121">
        <v>505816</v>
      </c>
      <c r="CD724" s="98">
        <f t="shared" si="4355"/>
        <v>5.8316455484324514</v>
      </c>
      <c r="CE724" s="121">
        <v>529387</v>
      </c>
      <c r="CF724" s="98">
        <f t="shared" si="4356"/>
        <v>13.121956327100136</v>
      </c>
      <c r="CG724" s="121">
        <v>534183</v>
      </c>
      <c r="CH724" s="98">
        <f t="shared" si="4357"/>
        <v>10.861999190611083</v>
      </c>
      <c r="CI724" s="121">
        <v>570486</v>
      </c>
      <c r="CJ724" s="98">
        <f t="shared" si="4358"/>
        <v>13.960675111216769</v>
      </c>
      <c r="CK724" s="121">
        <v>681793</v>
      </c>
      <c r="CL724" s="98">
        <f t="shared" si="4359"/>
        <v>34.790714409983067</v>
      </c>
      <c r="CM724" s="121">
        <v>700051</v>
      </c>
      <c r="CN724" s="98">
        <f t="shared" si="4360"/>
        <v>32.238041357267932</v>
      </c>
      <c r="CO724" s="121">
        <v>716652</v>
      </c>
      <c r="CP724" s="98">
        <f t="shared" si="4361"/>
        <v>34.158518709880312</v>
      </c>
      <c r="CQ724" s="557">
        <v>723316</v>
      </c>
      <c r="CR724" s="98">
        <f t="shared" si="4361"/>
        <v>26.789439179927289</v>
      </c>
      <c r="CS724" s="121">
        <v>738232</v>
      </c>
      <c r="CT724" s="98">
        <f t="shared" si="4361"/>
        <v>8.2780257350838049</v>
      </c>
      <c r="CU724" s="121">
        <v>760480</v>
      </c>
      <c r="CV724" s="98">
        <f t="shared" si="4362"/>
        <v>8.6320853766368444</v>
      </c>
      <c r="CW724" s="121">
        <v>762364</v>
      </c>
      <c r="CX724" s="98">
        <f t="shared" si="4363"/>
        <v>6.3785491424010576</v>
      </c>
      <c r="CY724" s="121">
        <v>781735</v>
      </c>
      <c r="CZ724" s="98">
        <f t="shared" si="4364"/>
        <v>8.0765529865231898</v>
      </c>
      <c r="DA724" s="121">
        <v>771823</v>
      </c>
      <c r="DB724" s="98">
        <f t="shared" si="4365"/>
        <v>4.5501956024664336</v>
      </c>
      <c r="DC724" s="121">
        <v>776717</v>
      </c>
      <c r="DD724" s="98">
        <f t="shared" si="4366"/>
        <v>2.1350988849147878</v>
      </c>
      <c r="DE724" s="121">
        <v>755124</v>
      </c>
      <c r="DF724" s="98">
        <f t="shared" si="4367"/>
        <v>-0.94967758183754913</v>
      </c>
      <c r="DG724" s="121">
        <v>761265</v>
      </c>
      <c r="DH724" s="98">
        <f t="shared" si="4368"/>
        <v>-2.6185344138358935</v>
      </c>
      <c r="DI724" s="121">
        <v>822313</v>
      </c>
      <c r="DJ724" s="98">
        <f t="shared" si="4369"/>
        <v>6.5416552758857938</v>
      </c>
      <c r="DK724" s="121">
        <v>824464</v>
      </c>
      <c r="DL724" s="98">
        <f t="shared" si="4370"/>
        <v>6.1472840172160481</v>
      </c>
      <c r="DM724" s="121">
        <v>840838</v>
      </c>
      <c r="DN724" s="98">
        <f t="shared" si="4371"/>
        <v>11.350983414644489</v>
      </c>
      <c r="DO724" s="121">
        <v>837226</v>
      </c>
      <c r="DP724" s="98">
        <f t="shared" si="4371"/>
        <v>9.9782598700846705</v>
      </c>
      <c r="DQ724" s="121">
        <v>829678</v>
      </c>
      <c r="DR724" s="98">
        <f t="shared" si="4371"/>
        <v>0.89564435926465791</v>
      </c>
      <c r="DS724" s="121">
        <v>845381</v>
      </c>
      <c r="DT724" s="98">
        <f t="shared" si="4371"/>
        <v>2.5370422480544885</v>
      </c>
      <c r="DU724" s="121">
        <v>828420</v>
      </c>
      <c r="DV724" s="98">
        <f t="shared" si="4371"/>
        <v>-1.4768599896769596</v>
      </c>
      <c r="DW724" s="121">
        <v>811393</v>
      </c>
      <c r="DX724" s="98">
        <f t="shared" si="4371"/>
        <v>-3.085546793816718</v>
      </c>
      <c r="DY724" s="121">
        <v>809437</v>
      </c>
      <c r="DZ724" s="98">
        <f t="shared" si="4371"/>
        <v>-2.4396211542309199</v>
      </c>
      <c r="EA724" s="952">
        <v>841463</v>
      </c>
      <c r="EB724" s="860">
        <f t="shared" si="4372"/>
        <v>-0.4634596708466332</v>
      </c>
      <c r="EC724" s="952">
        <v>863194</v>
      </c>
      <c r="ED724" s="860">
        <f t="shared" si="4373"/>
        <v>4.197629221892285</v>
      </c>
      <c r="EE724" s="952">
        <v>874438</v>
      </c>
      <c r="EF724" s="860">
        <f t="shared" si="4374"/>
        <v>7.7699709018934193</v>
      </c>
      <c r="EG724" s="952">
        <v>831062</v>
      </c>
      <c r="EH724" s="860">
        <f t="shared" si="4375"/>
        <v>2.6716100202980542</v>
      </c>
      <c r="EI724" s="952">
        <v>846782</v>
      </c>
      <c r="EJ724" s="860">
        <f t="shared" si="4376"/>
        <v>0.63211335495441112</v>
      </c>
      <c r="EK724" s="952">
        <v>855737</v>
      </c>
      <c r="EL724" s="860">
        <f t="shared" si="4377"/>
        <v>-0.86388459604677115</v>
      </c>
      <c r="EM724" s="952">
        <v>663831</v>
      </c>
      <c r="EN724" s="860">
        <f t="shared" si="4378"/>
        <v>-24.084840777733817</v>
      </c>
      <c r="EO724" s="952">
        <v>661022</v>
      </c>
      <c r="EP724" s="98">
        <f t="shared" si="4379"/>
        <v>-20.460567322293642</v>
      </c>
      <c r="EQ724" s="840">
        <f t="shared" ref="EQ724" si="4432">+EQ736-EQ729-EQ730</f>
        <v>661784.16182410903</v>
      </c>
      <c r="ER724" s="98">
        <f t="shared" si="4380"/>
        <v>-21.84716233645625</v>
      </c>
      <c r="ES724" s="840">
        <f t="shared" ref="ES724" si="4433">+ES736-ES729-ES730</f>
        <v>658565.07854068012</v>
      </c>
      <c r="ET724" s="98">
        <f t="shared" si="4382"/>
        <v>-23.041182215951849</v>
      </c>
      <c r="EU724" s="840">
        <f t="shared" ref="EU724" si="4434">+EU736-EU729-EU730</f>
        <v>657629.562929151</v>
      </c>
      <c r="EV724" s="98">
        <f t="shared" si="4384"/>
        <v>-0.93418913410928672</v>
      </c>
      <c r="EW724" s="840">
        <f t="shared" ref="EW724" si="4435">+EW736-EW729-EW730</f>
        <v>656964.20504572452</v>
      </c>
      <c r="EX724" s="98">
        <f t="shared" si="4386"/>
        <v>-0.61386685379237749</v>
      </c>
      <c r="EY724" s="349"/>
      <c r="EZ724" s="594"/>
      <c r="FA724" s="405"/>
      <c r="FB724" s="349"/>
      <c r="FC724" s="98"/>
      <c r="FD724" s="349"/>
      <c r="FE724" s="98" t="str">
        <f t="shared" si="4387"/>
        <v>NA</v>
      </c>
      <c r="FF724" s="349">
        <f>+FF736-FF729</f>
        <v>238629</v>
      </c>
      <c r="FG724" s="98" t="str">
        <f t="shared" si="4388"/>
        <v>NA</v>
      </c>
      <c r="FH724" s="349">
        <f>+FH736-FH729</f>
        <v>240908</v>
      </c>
      <c r="FI724" s="98">
        <f t="shared" si="4389"/>
        <v>0.95503899358417854</v>
      </c>
      <c r="FJ724" s="349">
        <f>+FJ736-FJ729</f>
        <v>260041</v>
      </c>
      <c r="FK724" s="98">
        <f t="shared" si="4390"/>
        <v>7.9420359639364335</v>
      </c>
      <c r="FL724" s="349">
        <f>+FL736-FL729</f>
        <v>305692</v>
      </c>
      <c r="FM724" s="98">
        <f t="shared" si="4391"/>
        <v>17.555308585953753</v>
      </c>
      <c r="FN724" s="349">
        <f>+FN736-FN729</f>
        <v>333984</v>
      </c>
      <c r="FO724" s="98">
        <f t="shared" si="4392"/>
        <v>9.2550671918139926</v>
      </c>
      <c r="FP724" s="349">
        <f>+FP736-FP729-FP730</f>
        <v>450075</v>
      </c>
      <c r="FQ724" s="98">
        <f t="shared" si="4393"/>
        <v>34.759449554469683</v>
      </c>
      <c r="FR724" s="349">
        <f>+FR736-FR729-FR730</f>
        <v>491875</v>
      </c>
      <c r="FS724" s="98">
        <f t="shared" si="4394"/>
        <v>9.2873409987224385</v>
      </c>
      <c r="FT724" s="349">
        <f>+FT736-FT729-FT730</f>
        <v>521915</v>
      </c>
      <c r="FU724" s="98">
        <f t="shared" si="4395"/>
        <v>6.1072426937738289</v>
      </c>
      <c r="FV724" s="349">
        <f>+FV736-FV729-FV730</f>
        <v>475902</v>
      </c>
      <c r="FW724" s="98">
        <f t="shared" si="4396"/>
        <v>-8.8161865437858644</v>
      </c>
      <c r="FX724" s="510">
        <f>+FX736-FX729-FX730</f>
        <v>504151</v>
      </c>
      <c r="FY724" s="98">
        <f t="shared" si="4397"/>
        <v>5.9358859597143931</v>
      </c>
      <c r="FZ724" s="349">
        <f>+FZ736-FZ729-FZ730</f>
        <v>680239</v>
      </c>
      <c r="GA724" s="98">
        <f t="shared" si="4398"/>
        <v>34.927630809023483</v>
      </c>
      <c r="GB724" s="510">
        <f>+GB736-GB729-GB730</f>
        <v>736665</v>
      </c>
      <c r="GC724" s="98">
        <f t="shared" si="4399"/>
        <v>8.2950257189017496</v>
      </c>
      <c r="GD724" s="349">
        <f>+GD736-GD729-GD730</f>
        <v>770286</v>
      </c>
      <c r="GE724" s="98">
        <f t="shared" si="4400"/>
        <v>4.5639469772555952</v>
      </c>
      <c r="GF724" s="349">
        <f>+GF736-GF729-GF730</f>
        <v>821701</v>
      </c>
      <c r="GG724" s="98">
        <f t="shared" si="4400"/>
        <v>6.6747935182516649</v>
      </c>
      <c r="GH724" s="349">
        <f>+GH736-GH729-GH730</f>
        <v>828241</v>
      </c>
      <c r="GI724" s="98">
        <f t="shared" si="4400"/>
        <v>0.79590994777904989</v>
      </c>
      <c r="GJ724" s="349">
        <f>+GJ736-GJ729-GJ730</f>
        <v>807918</v>
      </c>
      <c r="GK724" s="98">
        <f t="shared" si="4400"/>
        <v>-2.4537544024021973</v>
      </c>
      <c r="GL724" s="349">
        <f>+GL736-GL729-GL730</f>
        <v>829167</v>
      </c>
      <c r="GM724" s="98">
        <f t="shared" si="4400"/>
        <v>2.6300936481177484</v>
      </c>
      <c r="GN724" s="349">
        <f>+GN736-GN729-GN730</f>
        <v>659150</v>
      </c>
      <c r="GO724" s="98">
        <f t="shared" si="4400"/>
        <v>-20.504554571033339</v>
      </c>
      <c r="GP724" s="349">
        <f>+GP736-GP729-GP730</f>
        <v>656964.20504572452</v>
      </c>
      <c r="GQ724" s="98">
        <f t="shared" si="4400"/>
        <v>-0.33160812474785084</v>
      </c>
      <c r="GR724" s="349">
        <f>+GR736-GR729-GR730</f>
        <v>652808.3264162488</v>
      </c>
      <c r="GS724" s="98">
        <f t="shared" si="4400"/>
        <v>-0.63258828982721838</v>
      </c>
      <c r="GT724" s="349">
        <f>+GT736-GT729-GT730</f>
        <v>650686.29727011069</v>
      </c>
      <c r="GU724" s="98">
        <f t="shared" si="4400"/>
        <v>-0.32506159316127992</v>
      </c>
      <c r="GV724" s="349">
        <f>+GV736-GV729-GV730</f>
        <v>651572.31408102671</v>
      </c>
      <c r="GW724" s="98">
        <f t="shared" si="4400"/>
        <v>0.13616650829026966</v>
      </c>
      <c r="GX724" s="349">
        <f>+GX736-GX729-GX730</f>
        <v>655207.01039467612</v>
      </c>
      <c r="GY724" s="98">
        <f t="shared" si="4401"/>
        <v>0.5578346769960163</v>
      </c>
      <c r="GZ724" s="98">
        <f t="shared" si="4402"/>
        <v>-0.11992591326720481</v>
      </c>
      <c r="HA724" s="98"/>
      <c r="HB724" s="10"/>
      <c r="HC724"/>
      <c r="HD724"/>
      <c r="HE724"/>
      <c r="HF724"/>
      <c r="HG724"/>
      <c r="HH724"/>
      <c r="HI724" s="10"/>
    </row>
    <row r="725" spans="1:217" s="2" customFormat="1" ht="12.75" customHeight="1" x14ac:dyDescent="0.2">
      <c r="B725" s="179"/>
      <c r="C725" s="244"/>
      <c r="D725" s="113"/>
      <c r="E725" s="244"/>
      <c r="F725" s="113"/>
      <c r="G725" s="244"/>
      <c r="H725" s="113"/>
      <c r="I725" s="244"/>
      <c r="J725" s="113"/>
      <c r="K725" s="244"/>
      <c r="L725" s="113"/>
      <c r="M725" s="244"/>
      <c r="N725" s="113"/>
      <c r="O725" s="244"/>
      <c r="P725" s="113"/>
      <c r="Q725" s="244"/>
      <c r="R725" s="113"/>
      <c r="S725" s="244"/>
      <c r="T725" s="113"/>
      <c r="U725" s="244"/>
      <c r="V725" s="113"/>
      <c r="W725" s="244"/>
      <c r="X725" s="113"/>
      <c r="Y725" s="244"/>
      <c r="Z725" s="113"/>
      <c r="AA725" s="244"/>
      <c r="AB725" s="113"/>
      <c r="AC725" s="244"/>
      <c r="AD725" s="113"/>
      <c r="AE725" s="244"/>
      <c r="AF725" s="113"/>
      <c r="AG725" s="244"/>
      <c r="AH725" s="113"/>
      <c r="AI725" s="95"/>
      <c r="AJ725" s="113"/>
      <c r="AK725" s="95"/>
      <c r="AL725" s="113"/>
      <c r="AM725" s="95"/>
      <c r="AN725" s="113"/>
      <c r="AO725" s="95"/>
      <c r="AP725" s="113"/>
      <c r="AQ725" s="95"/>
      <c r="AR725" s="113"/>
      <c r="AS725" s="95"/>
      <c r="AT725" s="113"/>
      <c r="AU725" s="95"/>
      <c r="AV725" s="113"/>
      <c r="AW725" s="95"/>
      <c r="AX725" s="113"/>
      <c r="AY725" s="95"/>
      <c r="AZ725" s="113"/>
      <c r="BA725" s="95"/>
      <c r="BB725" s="113"/>
      <c r="BC725" s="95"/>
      <c r="BD725" s="113"/>
      <c r="BE725" s="95"/>
      <c r="BF725" s="113"/>
      <c r="BG725" s="95"/>
      <c r="BH725" s="113"/>
      <c r="BI725" s="95"/>
      <c r="BJ725" s="113"/>
      <c r="BK725" s="95"/>
      <c r="BL725" s="113"/>
      <c r="BM725" s="95"/>
      <c r="BN725" s="113"/>
      <c r="BO725" s="95"/>
      <c r="BP725" s="113"/>
      <c r="BQ725" s="95"/>
      <c r="BR725" s="113"/>
      <c r="BS725" s="95"/>
      <c r="BT725" s="113"/>
      <c r="BU725" s="95"/>
      <c r="BV725" s="113"/>
      <c r="BW725" s="95"/>
      <c r="BX725" s="113"/>
      <c r="BY725" s="95"/>
      <c r="BZ725" s="113"/>
      <c r="CA725" s="95"/>
      <c r="CB725" s="113"/>
      <c r="CC725" s="95"/>
      <c r="CD725" s="113"/>
      <c r="CE725" s="95"/>
      <c r="CF725" s="113"/>
      <c r="CG725" s="95"/>
      <c r="CH725" s="113"/>
      <c r="CI725" s="95"/>
      <c r="CJ725" s="113"/>
      <c r="CK725" s="95"/>
      <c r="CL725" s="113"/>
      <c r="CM725" s="95"/>
      <c r="CN725" s="113"/>
      <c r="CO725" s="95"/>
      <c r="CP725" s="113"/>
      <c r="CQ725" s="506"/>
      <c r="CR725" s="113"/>
      <c r="CS725" s="95"/>
      <c r="CT725" s="113"/>
      <c r="CU725" s="95"/>
      <c r="CV725" s="113"/>
      <c r="CW725" s="95"/>
      <c r="CX725" s="113"/>
      <c r="CY725" s="95"/>
      <c r="CZ725" s="113"/>
      <c r="DA725" s="95"/>
      <c r="DB725" s="113"/>
      <c r="DC725" s="95"/>
      <c r="DD725" s="113"/>
      <c r="DE725" s="95"/>
      <c r="DF725" s="113"/>
      <c r="DG725" s="95"/>
      <c r="DH725" s="113"/>
      <c r="DI725" s="95"/>
      <c r="DJ725" s="113"/>
      <c r="DK725" s="95"/>
      <c r="DL725" s="113"/>
      <c r="DM725" s="95"/>
      <c r="DN725" s="113"/>
      <c r="DO725" s="95"/>
      <c r="DP725" s="113"/>
      <c r="DQ725" s="95"/>
      <c r="DR725" s="113"/>
      <c r="DS725" s="95"/>
      <c r="DT725" s="113"/>
      <c r="DU725" s="95"/>
      <c r="DV725" s="113"/>
      <c r="DW725" s="95"/>
      <c r="DX725" s="113"/>
      <c r="DY725" s="95"/>
      <c r="DZ725" s="113"/>
      <c r="EA725" s="789"/>
      <c r="EB725" s="859"/>
      <c r="EC725" s="789"/>
      <c r="ED725" s="859"/>
      <c r="EE725" s="789"/>
      <c r="EF725" s="859"/>
      <c r="EG725" s="789"/>
      <c r="EH725" s="859"/>
      <c r="EI725" s="789"/>
      <c r="EJ725" s="859"/>
      <c r="EK725" s="789"/>
      <c r="EL725" s="859"/>
      <c r="EM725" s="789"/>
      <c r="EN725" s="859"/>
      <c r="EO725" s="789"/>
      <c r="EP725" s="113"/>
      <c r="EQ725" s="823"/>
      <c r="ER725" s="113"/>
      <c r="ES725" s="823"/>
      <c r="ET725" s="113"/>
      <c r="EU725" s="823"/>
      <c r="EV725" s="113"/>
      <c r="EW725" s="823"/>
      <c r="EX725" s="113"/>
      <c r="EY725" s="244"/>
      <c r="EZ725" s="594"/>
      <c r="FA725" s="405"/>
      <c r="FB725" s="244"/>
      <c r="FC725" s="113"/>
      <c r="FD725" s="244"/>
      <c r="FE725" s="113"/>
      <c r="FF725" s="244"/>
      <c r="FG725" s="98"/>
      <c r="FH725" s="244"/>
      <c r="FI725" s="98"/>
      <c r="FJ725" s="244"/>
      <c r="FK725" s="98"/>
      <c r="FL725" s="244"/>
      <c r="FM725" s="98"/>
      <c r="FN725" s="244"/>
      <c r="FO725" s="98"/>
      <c r="FP725" s="244"/>
      <c r="FQ725" s="98"/>
      <c r="FR725" s="244"/>
      <c r="FS725" s="98"/>
      <c r="FT725" s="244"/>
      <c r="FU725" s="98"/>
      <c r="FV725" s="244"/>
      <c r="FW725" s="113"/>
      <c r="FX725" s="506"/>
      <c r="FY725" s="113"/>
      <c r="FZ725" s="244"/>
      <c r="GA725" s="113"/>
      <c r="GB725" s="506"/>
      <c r="GC725" s="113"/>
      <c r="GD725" s="244"/>
      <c r="GE725" s="113"/>
      <c r="GF725" s="244"/>
      <c r="GG725" s="113"/>
      <c r="GH725" s="244"/>
      <c r="GI725" s="113"/>
      <c r="GJ725" s="244"/>
      <c r="GK725" s="113"/>
      <c r="GL725" s="244"/>
      <c r="GM725" s="113"/>
      <c r="GN725" s="244"/>
      <c r="GO725" s="113"/>
      <c r="GP725" s="244"/>
      <c r="GQ725" s="113"/>
      <c r="GR725" s="244"/>
      <c r="GS725" s="113"/>
      <c r="GT725" s="244"/>
      <c r="GU725" s="113"/>
      <c r="GV725" s="244"/>
      <c r="GW725" s="113"/>
      <c r="GX725" s="244"/>
      <c r="GY725" s="113"/>
      <c r="GZ725" s="113"/>
      <c r="HA725" s="113"/>
      <c r="HB725" s="10"/>
      <c r="HC725"/>
      <c r="HD725"/>
      <c r="HE725"/>
      <c r="HF725"/>
      <c r="HG725"/>
      <c r="HH725"/>
      <c r="HI725" s="10"/>
    </row>
    <row r="726" spans="1:217" s="2" customFormat="1" ht="12.75" customHeight="1" x14ac:dyDescent="0.2">
      <c r="A726" s="28"/>
      <c r="B726" s="131" t="s">
        <v>598</v>
      </c>
      <c r="C726" s="94"/>
      <c r="D726" s="113"/>
      <c r="E726" s="94"/>
      <c r="F726" s="113"/>
      <c r="G726" s="94"/>
      <c r="H726" s="113"/>
      <c r="I726" s="94"/>
      <c r="J726" s="113"/>
      <c r="K726" s="94"/>
      <c r="L726" s="113"/>
      <c r="M726" s="94"/>
      <c r="N726" s="113"/>
      <c r="O726" s="94"/>
      <c r="P726" s="113"/>
      <c r="Q726" s="94"/>
      <c r="R726" s="113"/>
      <c r="S726" s="94"/>
      <c r="T726" s="113"/>
      <c r="U726" s="94"/>
      <c r="V726" s="113"/>
      <c r="W726" s="94"/>
      <c r="X726" s="113"/>
      <c r="Y726" s="94"/>
      <c r="Z726" s="113"/>
      <c r="AA726" s="94"/>
      <c r="AB726" s="113"/>
      <c r="AC726" s="94"/>
      <c r="AD726" s="113"/>
      <c r="AE726" s="94"/>
      <c r="AF726" s="113"/>
      <c r="AG726" s="94"/>
      <c r="AH726" s="113"/>
      <c r="AI726" s="94"/>
      <c r="AJ726" s="113"/>
      <c r="AK726" s="94"/>
      <c r="AL726" s="113"/>
      <c r="AM726" s="94"/>
      <c r="AN726" s="113"/>
      <c r="AO726" s="94"/>
      <c r="AP726" s="113"/>
      <c r="AQ726" s="94"/>
      <c r="AR726" s="113"/>
      <c r="AS726" s="94"/>
      <c r="AT726" s="113"/>
      <c r="AU726" s="94"/>
      <c r="AV726" s="113"/>
      <c r="AW726" s="94"/>
      <c r="AX726" s="113"/>
      <c r="AY726" s="94"/>
      <c r="AZ726" s="113"/>
      <c r="BA726" s="94"/>
      <c r="BB726" s="113"/>
      <c r="BC726" s="94"/>
      <c r="BD726" s="113"/>
      <c r="BE726" s="94"/>
      <c r="BF726" s="113"/>
      <c r="BG726" s="94"/>
      <c r="BH726" s="113"/>
      <c r="BI726" s="94"/>
      <c r="BJ726" s="113"/>
      <c r="BK726" s="94"/>
      <c r="BL726" s="113"/>
      <c r="BM726" s="94"/>
      <c r="BN726" s="113"/>
      <c r="BO726" s="94"/>
      <c r="BP726" s="113"/>
      <c r="BQ726" s="94"/>
      <c r="BR726" s="113"/>
      <c r="BS726" s="94"/>
      <c r="BT726" s="113"/>
      <c r="BU726" s="94"/>
      <c r="BV726" s="113"/>
      <c r="BW726" s="94"/>
      <c r="BX726" s="113"/>
      <c r="BY726" s="94"/>
      <c r="BZ726" s="113"/>
      <c r="CA726" s="94"/>
      <c r="CB726" s="113"/>
      <c r="CC726" s="94"/>
      <c r="CD726" s="113"/>
      <c r="CE726" s="94"/>
      <c r="CF726" s="113"/>
      <c r="CG726" s="94"/>
      <c r="CH726" s="113"/>
      <c r="CI726" s="94"/>
      <c r="CJ726" s="113"/>
      <c r="CK726" s="94"/>
      <c r="CL726" s="113"/>
      <c r="CM726" s="94"/>
      <c r="CN726" s="113"/>
      <c r="CO726" s="94"/>
      <c r="CP726" s="113"/>
      <c r="CQ726" s="533"/>
      <c r="CR726" s="113"/>
      <c r="CS726" s="94"/>
      <c r="CT726" s="113"/>
      <c r="CU726" s="94"/>
      <c r="CV726" s="113"/>
      <c r="CW726" s="94"/>
      <c r="CX726" s="113"/>
      <c r="CY726" s="94"/>
      <c r="CZ726" s="113"/>
      <c r="DA726" s="94"/>
      <c r="DB726" s="113"/>
      <c r="DC726" s="94"/>
      <c r="DD726" s="113"/>
      <c r="DE726" s="94"/>
      <c r="DF726" s="113"/>
      <c r="DG726" s="94"/>
      <c r="DH726" s="113"/>
      <c r="DI726" s="94"/>
      <c r="DJ726" s="113"/>
      <c r="DK726" s="94"/>
      <c r="DL726" s="113"/>
      <c r="DM726" s="94"/>
      <c r="DN726" s="113"/>
      <c r="DO726" s="94"/>
      <c r="DP726" s="113"/>
      <c r="DQ726" s="94"/>
      <c r="DR726" s="113"/>
      <c r="DS726" s="94"/>
      <c r="DT726" s="113"/>
      <c r="DU726" s="94"/>
      <c r="DV726" s="113"/>
      <c r="DW726" s="94"/>
      <c r="DX726" s="113"/>
      <c r="DY726" s="94"/>
      <c r="DZ726" s="113"/>
      <c r="EA726" s="1153"/>
      <c r="EB726" s="859"/>
      <c r="EC726" s="1153"/>
      <c r="ED726" s="859"/>
      <c r="EE726" s="1153"/>
      <c r="EF726" s="859"/>
      <c r="EG726" s="1153"/>
      <c r="EH726" s="859"/>
      <c r="EI726" s="1153"/>
      <c r="EJ726" s="859"/>
      <c r="EK726" s="1153"/>
      <c r="EL726" s="859"/>
      <c r="EM726" s="1153"/>
      <c r="EN726" s="859"/>
      <c r="EO726" s="1153"/>
      <c r="EP726" s="113"/>
      <c r="EQ726" s="804"/>
      <c r="ER726" s="113"/>
      <c r="ES726" s="804"/>
      <c r="ET726" s="113"/>
      <c r="EU726" s="804"/>
      <c r="EV726" s="113"/>
      <c r="EW726" s="804"/>
      <c r="EX726" s="113"/>
      <c r="EY726" s="215"/>
      <c r="EZ726" s="594"/>
      <c r="FA726" s="405"/>
      <c r="FB726" s="95"/>
      <c r="FC726" s="113"/>
      <c r="FD726" s="94"/>
      <c r="FE726" s="113"/>
      <c r="FF726" s="94"/>
      <c r="FG726" s="98"/>
      <c r="FH726" s="94"/>
      <c r="FI726" s="98"/>
      <c r="FJ726" s="94"/>
      <c r="FK726" s="98"/>
      <c r="FL726" s="94"/>
      <c r="FM726" s="98"/>
      <c r="FN726" s="94"/>
      <c r="FO726" s="98"/>
      <c r="FP726" s="94"/>
      <c r="FQ726" s="98"/>
      <c r="FR726" s="94"/>
      <c r="FS726" s="98"/>
      <c r="FT726" s="94"/>
      <c r="FU726" s="98"/>
      <c r="FV726" s="94"/>
      <c r="FW726" s="113"/>
      <c r="FX726" s="533"/>
      <c r="FY726" s="113"/>
      <c r="FZ726" s="94"/>
      <c r="GA726" s="113"/>
      <c r="GB726" s="533"/>
      <c r="GC726" s="113"/>
      <c r="GD726" s="94"/>
      <c r="GE726" s="113"/>
      <c r="GF726" s="94"/>
      <c r="GG726" s="113"/>
      <c r="GH726" s="94"/>
      <c r="GI726" s="113"/>
      <c r="GJ726" s="94"/>
      <c r="GK726" s="113"/>
      <c r="GL726" s="94"/>
      <c r="GM726" s="113"/>
      <c r="GN726" s="94"/>
      <c r="GO726" s="113"/>
      <c r="GP726" s="94"/>
      <c r="GQ726" s="113"/>
      <c r="GR726" s="215"/>
      <c r="GS726" s="113"/>
      <c r="GT726" s="215"/>
      <c r="GU726" s="113"/>
      <c r="GV726" s="215"/>
      <c r="GW726" s="113"/>
      <c r="GX726" s="215"/>
      <c r="GY726" s="113"/>
      <c r="GZ726" s="113"/>
      <c r="HA726" s="113"/>
      <c r="HB726" s="10"/>
      <c r="HC726"/>
      <c r="HD726"/>
      <c r="HE726"/>
      <c r="HF726"/>
      <c r="HG726"/>
      <c r="HH726"/>
      <c r="HI726" s="10"/>
    </row>
    <row r="727" spans="1:217" s="2" customFormat="1" ht="12.75" customHeight="1" x14ac:dyDescent="0.2">
      <c r="A727" s="28"/>
      <c r="B727" s="179" t="s">
        <v>112</v>
      </c>
      <c r="C727" s="99">
        <f>+C729-C728-C732</f>
        <v>0</v>
      </c>
      <c r="D727" s="113"/>
      <c r="E727" s="99">
        <f>+E729-E728-E732</f>
        <v>14720</v>
      </c>
      <c r="F727" s="113"/>
      <c r="G727" s="99">
        <f>+G729-G728-G732</f>
        <v>14527</v>
      </c>
      <c r="H727" s="113"/>
      <c r="I727" s="99">
        <f>+I729-I728-I732</f>
        <v>14321</v>
      </c>
      <c r="J727" s="98"/>
      <c r="K727" s="99">
        <f>+K729-K728-K732</f>
        <v>14083</v>
      </c>
      <c r="L727" s="98" t="str">
        <f t="shared" ref="L727:L736" si="4436">IF(ISERROR((K727/C727-1)*100),"NA",IF(((K727/C727-1)*100)&gt;100,"NM",IF(((K727/C727-1)*100)&lt;-50,"NM",(K727/C727-1)*100)))</f>
        <v>NA</v>
      </c>
      <c r="M727" s="99">
        <f>+M729-M728-M732</f>
        <v>13810</v>
      </c>
      <c r="N727" s="98">
        <f t="shared" ref="N727:N736" si="4437">IF(ISERROR((M727/E727-1)*100),"NA",IF(((M727/E727-1)*100)&gt;100,"NM",IF(((M727/E727-1)*100)&lt;-50,"NM",(M727/E727-1)*100)))</f>
        <v>-6.1820652173913082</v>
      </c>
      <c r="O727" s="99">
        <f>+O729-O728-O732</f>
        <v>13304</v>
      </c>
      <c r="P727" s="98">
        <f t="shared" ref="P727:P736" si="4438">IF(ISERROR((O727/G727-1)*100),"NA",IF(((O727/G727-1)*100)&gt;100,"NM",IF(((O727/G727-1)*100)&lt;-50,"NM",(O727/G727-1)*100)))</f>
        <v>-8.4188063605699739</v>
      </c>
      <c r="Q727" s="99">
        <f>+Q729-Q728-Q732</f>
        <v>13040</v>
      </c>
      <c r="R727" s="98">
        <f t="shared" ref="R727:R736" si="4439">IF(ISERROR((Q727/I727-1)*100),"NA",IF(((Q727/I727-1)*100)&gt;100,"NM",IF(((Q727/I727-1)*100)&lt;-50,"NM",(Q727/I727-1)*100)))</f>
        <v>-8.9449060819775106</v>
      </c>
      <c r="S727" s="99">
        <f>+S729-S728-S732</f>
        <v>12800</v>
      </c>
      <c r="T727" s="98">
        <f t="shared" ref="T727:T736" si="4440">IF(ISERROR((S727/K727-1)*100),"NA",IF(((S727/K727-1)*100)&gt;100,"NM",IF(((S727/K727-1)*100)&lt;-50,"NM",(S727/K727-1)*100)))</f>
        <v>-9.1102747994035393</v>
      </c>
      <c r="U727" s="99">
        <f>+U729-U728-U732</f>
        <v>12610</v>
      </c>
      <c r="V727" s="98">
        <f t="shared" ref="V727:V736" si="4441">IF(ISERROR((U727/M727-1)*100),"NA",IF(((U727/M727-1)*100)&gt;100,"NM",IF(((U727/M727-1)*100)&lt;-50,"NM",(U727/M727-1)*100)))</f>
        <v>-8.6893555394641613</v>
      </c>
      <c r="W727" s="99">
        <f>+W729-W728-W732</f>
        <v>12570</v>
      </c>
      <c r="X727" s="98">
        <f t="shared" ref="X727:X736" si="4442">IF(ISERROR((W727/O727-1)*100),"NA",IF(((W727/O727-1)*100)&gt;100,"NM",IF(((W727/O727-1)*100)&lt;-50,"NM",(W727/O727-1)*100)))</f>
        <v>-5.5171377029464841</v>
      </c>
      <c r="Y727" s="99">
        <f>+Y729-Y728-Y732</f>
        <v>12571</v>
      </c>
      <c r="Z727" s="98">
        <f t="shared" ref="Z727:Z736" si="4443">IF(ISERROR((Y727/Q727-1)*100),"NA",IF(((Y727/Q727-1)*100)&gt;100,"NM",IF(((Y727/Q727-1)*100)&lt;-50,"NM",(Y727/Q727-1)*100)))</f>
        <v>-3.5966257668711643</v>
      </c>
      <c r="AA727" s="99">
        <f>+AA729-AA728-AA732</f>
        <v>12558</v>
      </c>
      <c r="AB727" s="98">
        <f t="shared" ref="AB727:AB736" si="4444">IF(ISERROR((AA727/S727-1)*100),"NA",IF(((AA727/S727-1)*100)&gt;100,"NM",IF(((AA727/S727-1)*100)&lt;-50,"NM",(AA727/S727-1)*100)))</f>
        <v>-1.8906250000000013</v>
      </c>
      <c r="AC727" s="99">
        <f>+AC729-AC728-AC732</f>
        <v>14224</v>
      </c>
      <c r="AD727" s="98">
        <f t="shared" ref="AD727:AD736" si="4445">IF(ISERROR((AC727/U727-1)*100),"NA",IF(((AC727/U727-1)*100)&gt;100,"NM",IF(((AC727/U727-1)*100)&lt;-50,"NM",(AC727/U727-1)*100)))</f>
        <v>12.799365582870736</v>
      </c>
      <c r="AE727" s="99">
        <f>+AE729-AE728-AE732</f>
        <v>14229</v>
      </c>
      <c r="AF727" s="98">
        <f t="shared" ref="AF727:AF736" si="4446">IF(ISERROR((AE727/W727-1)*100),"NA",IF(((AE727/W727-1)*100)&gt;100,"NM",IF(((AE727/W727-1)*100)&lt;-50,"NM",(AE727/W727-1)*100)))</f>
        <v>13.198090692124097</v>
      </c>
      <c r="AG727" s="99">
        <f>+AG729-AG728-AG732</f>
        <v>14164</v>
      </c>
      <c r="AH727" s="98">
        <f t="shared" ref="AH727:AH736" si="4447">IF(ISERROR((AG727/Y727-1)*100),"NA",IF(((AG727/Y727-1)*100)&gt;100,"NM",IF(((AG727/Y727-1)*100)&lt;-50,"NM",(AG727/Y727-1)*100)))</f>
        <v>12.672022909871927</v>
      </c>
      <c r="AI727" s="99">
        <f>+AI729-AI728-AI732</f>
        <v>14113</v>
      </c>
      <c r="AJ727" s="98">
        <f t="shared" ref="AJ727:AJ736" si="4448">IF(ISERROR((AI727/AA727-1)*100),"NA",IF(((AI727/AA727-1)*100)&gt;100,"NM",IF(((AI727/AA727-1)*100)&lt;-50,"NM",(AI727/AA727-1)*100)))</f>
        <v>12.382544991240652</v>
      </c>
      <c r="AK727" s="99">
        <f>+AK729-AK728-AK732</f>
        <v>13936</v>
      </c>
      <c r="AL727" s="98">
        <f t="shared" ref="AL727:AL736" si="4449">IF(ISERROR((AK727/AC727-1)*100),"NA",IF(((AK727/AC727-1)*100)&gt;100,"NM",IF(((AK727/AC727-1)*100)&lt;-50,"NM",(AK727/AC727-1)*100)))</f>
        <v>-2.0247469066366652</v>
      </c>
      <c r="AM727" s="99">
        <f>+AM729-AM728-AM732</f>
        <v>13741</v>
      </c>
      <c r="AN727" s="98">
        <f t="shared" ref="AN727:AN736" si="4450">IF(ISERROR((AM727/AE727-1)*100),"NA",IF(((AM727/AE727-1)*100)&gt;100,"NM",IF(((AM727/AE727-1)*100)&lt;-50,"NM",(AM727/AE727-1)*100)))</f>
        <v>-3.4296155738280931</v>
      </c>
      <c r="AO727" s="99">
        <f>+AO729-AO728-AO732</f>
        <v>13260</v>
      </c>
      <c r="AP727" s="98">
        <f t="shared" ref="AP727:AP736" si="4451">IF(ISERROR((AO727/AG727-1)*100),"NA",IF(((AO727/AG727-1)*100)&gt;100,"NM",IF(((AO727/AG727-1)*100)&lt;-50,"NM",(AO727/AG727-1)*100)))</f>
        <v>-6.3823778593617657</v>
      </c>
      <c r="AQ727" s="99">
        <f>+AQ729-AQ728-AQ732</f>
        <v>13287</v>
      </c>
      <c r="AR727" s="98">
        <f t="shared" ref="AR727:AR736" si="4452">IF(ISERROR((AQ727/AI727-1)*100),"NA",IF(((AQ727/AI727-1)*100)&gt;100,"NM",IF(((AQ727/AI727-1)*100)&lt;-50,"NM",(AQ727/AI727-1)*100)))</f>
        <v>-5.8527598667894809</v>
      </c>
      <c r="AS727" s="99">
        <f>+AS729-AS728-AS732-AS730</f>
        <v>13208</v>
      </c>
      <c r="AT727" s="98">
        <f t="shared" ref="AT727:AT736" si="4453">IF(ISERROR((AS727/AK727-1)*100),"NA",IF(((AS727/AK727-1)*100)&gt;100,"NM",IF(((AS727/AK727-1)*100)&lt;-50,"NM",(AS727/AK727-1)*100)))</f>
        <v>-5.2238805970149294</v>
      </c>
      <c r="AU727" s="99">
        <f>+AU729-AU728-AU732-AU730</f>
        <v>14259</v>
      </c>
      <c r="AV727" s="98">
        <f t="shared" ref="AV727:AV736" si="4454">IF(ISERROR((AU727/AM727-1)*100),"NA",IF(((AU727/AM727-1)*100)&gt;100,"NM",IF(((AU727/AM727-1)*100)&lt;-50,"NM",(AU727/AM727-1)*100)))</f>
        <v>3.7697401935812502</v>
      </c>
      <c r="AW727" s="99">
        <f>+AW729-AW728-AW732-AW730</f>
        <v>14282</v>
      </c>
      <c r="AX727" s="98">
        <f t="shared" ref="AX727:AX736" si="4455">IF(ISERROR((AW727/AO727-1)*100),"NA",IF(((AW727/AO727-1)*100)&gt;100,"NM",IF(((AW727/AO727-1)*100)&lt;-50,"NM",(AW727/AO727-1)*100)))</f>
        <v>7.707390648567114</v>
      </c>
      <c r="AY727" s="99">
        <f>+AY729-AY728-AY732-AY730</f>
        <v>14356</v>
      </c>
      <c r="AZ727" s="98">
        <f t="shared" ref="AZ727:AZ736" si="4456">IF(ISERROR((AY727/AQ727-1)*100),"NA",IF(((AY727/AQ727-1)*100)&gt;100,"NM",IF(((AY727/AQ727-1)*100)&lt;-50,"NM",(AY727/AQ727-1)*100)))</f>
        <v>8.0454579664333679</v>
      </c>
      <c r="BA727" s="99">
        <f>+BA729-BA728-BA732-BA730</f>
        <v>14434</v>
      </c>
      <c r="BB727" s="98">
        <f t="shared" ref="BB727:BB736" si="4457">IF(ISERROR((BA727/AS727-1)*100),"NA",IF(((BA727/AS727-1)*100)&gt;100,"NM",IF(((BA727/AS727-1)*100)&lt;-50,"NM",(BA727/AS727-1)*100)))</f>
        <v>9.2822531798909758</v>
      </c>
      <c r="BC727" s="99">
        <f>+BC729-BC728-BC732-BC730</f>
        <v>14486</v>
      </c>
      <c r="BD727" s="98">
        <f t="shared" ref="BD727:BD736" si="4458">IF(ISERROR((BC727/AU727-1)*100),"NA",IF(((BC727/AU727-1)*100)&gt;100,"NM",IF(((BC727/AU727-1)*100)&lt;-50,"NM",(BC727/AU727-1)*100)))</f>
        <v>1.5919769969843678</v>
      </c>
      <c r="BE727" s="99">
        <f>+BE729-BE728-BE732-BE730</f>
        <v>14064</v>
      </c>
      <c r="BF727" s="98">
        <f t="shared" ref="BF727:BF736" si="4459">IF(ISERROR((BE727/AW727-1)*100),"NA",IF(((BE727/AW727-1)*100)&gt;100,"NM",IF(((BE727/AW727-1)*100)&lt;-50,"NM",(BE727/AW727-1)*100)))</f>
        <v>-1.5263968631844316</v>
      </c>
      <c r="BG727" s="99">
        <f>+BG729-BG728-BG732-BG730</f>
        <v>13397</v>
      </c>
      <c r="BH727" s="98">
        <f t="shared" ref="BH727:BH736" si="4460">IF(ISERROR((BG727/AY727-1)*100),"NA",IF(((BG727/AY727-1)*100)&gt;100,"NM",IF(((BG727/AY727-1)*100)&lt;-50,"NM",(BG727/AY727-1)*100)))</f>
        <v>-6.6801337419894136</v>
      </c>
      <c r="BI727" s="99">
        <f>+BI729-BI728-BI732-BI730</f>
        <v>13448</v>
      </c>
      <c r="BJ727" s="98">
        <f t="shared" ref="BJ727:BJ736" si="4461">IF(ISERROR((BI727/BA727-1)*100),"NA",IF(((BI727/BA727-1)*100)&gt;100,"NM",IF(((BI727/BA727-1)*100)&lt;-50,"NM",(BI727/BA727-1)*100)))</f>
        <v>-6.831093252043785</v>
      </c>
      <c r="BK727" s="99">
        <f>+BK729-BK728-BK732-BK730</f>
        <v>13306</v>
      </c>
      <c r="BL727" s="98">
        <f t="shared" ref="BL727:BL736" si="4462">IF(ISERROR((BK727/BC727-1)*100),"NA",IF(((BK727/BC727-1)*100)&gt;100,"NM",IF(((BK727/BC727-1)*100)&lt;-50,"NM",(BK727/BC727-1)*100)))</f>
        <v>-8.1457959409084619</v>
      </c>
      <c r="BM727" s="99">
        <f>+BM729-BM728-BM732-BM730</f>
        <v>12175</v>
      </c>
      <c r="BN727" s="98">
        <f t="shared" ref="BN727:BN736" si="4463">IF(ISERROR((BM727/BE727-1)*100),"NA",IF(((BM727/BE727-1)*100)&gt;100,"NM",IF(((BM727/BE727-1)*100)&lt;-50,"NM",(BM727/BE727-1)*100)))</f>
        <v>-13.431456200227531</v>
      </c>
      <c r="BO727" s="99">
        <f>+BO729-BO728-BO732-BO730</f>
        <v>11459</v>
      </c>
      <c r="BP727" s="98">
        <f t="shared" ref="BP727:BP736" si="4464">IF(ISERROR((BO727/BG727-1)*100),"NA",IF(((BO727/BG727-1)*100)&gt;100,"NM",IF(((BO727/BG727-1)*100)&lt;-50,"NM",(BO727/BG727-1)*100)))</f>
        <v>-14.465925207135921</v>
      </c>
      <c r="BQ727" s="99">
        <f>+BQ729-BQ728-BQ732-BQ730</f>
        <v>11567</v>
      </c>
      <c r="BR727" s="98">
        <f t="shared" ref="BR727:BR736" si="4465">IF(ISERROR((BQ727/BI727-1)*100),"NA",IF(((BQ727/BI727-1)*100)&gt;100,"NM",IF(((BQ727/BI727-1)*100)&lt;-50,"NM",(BQ727/BI727-1)*100)))</f>
        <v>-13.987209994051163</v>
      </c>
      <c r="BS727" s="99">
        <f>+BS729-BS728-BS732-BS730</f>
        <v>11290</v>
      </c>
      <c r="BT727" s="98">
        <f t="shared" ref="BT727:BT736" si="4466">IF(ISERROR((BS727/BK727-1)*100),"NA",IF(((BS727/BK727-1)*100)&gt;100,"NM",IF(((BS727/BK727-1)*100)&lt;-50,"NM",(BS727/BK727-1)*100)))</f>
        <v>-15.151059672328271</v>
      </c>
      <c r="BU727" s="99">
        <f>+BU729-BU728-BU732-BU730</f>
        <v>13542</v>
      </c>
      <c r="BV727" s="98">
        <f t="shared" ref="BV727:BV736" si="4467">IF(ISERROR((BU727/BM727-1)*100),"NA",IF(((BU727/BM727-1)*100)&gt;100,"NM",IF(((BU727/BM727-1)*100)&lt;-50,"NM",(BU727/BM727-1)*100)))</f>
        <v>11.227926078028737</v>
      </c>
      <c r="BW727" s="99">
        <f>+BW729-BW728-BW732-BW730</f>
        <v>14597</v>
      </c>
      <c r="BX727" s="98">
        <f t="shared" ref="BX727:BX736" si="4468">IF(ISERROR((BW727/BO727-1)*100),"NA",IF(((BW727/BO727-1)*100)&gt;100,"NM",IF(((BW727/BO727-1)*100)&lt;-50,"NM",(BW727/BO727-1)*100)))</f>
        <v>27.384588533030808</v>
      </c>
      <c r="BY727" s="99">
        <f>+BY729-BY728-BY732-BY730</f>
        <v>14613</v>
      </c>
      <c r="BZ727" s="98">
        <f t="shared" ref="BZ727:BZ736" si="4469">IF(ISERROR((BY727/BQ727-1)*100),"NA",IF(((BY727/BQ727-1)*100)&gt;100,"NM",IF(((BY727/BQ727-1)*100)&lt;-50,"NM",(BY727/BQ727-1)*100)))</f>
        <v>26.333535056626612</v>
      </c>
      <c r="CA727" s="99">
        <f>+CA729-CA728-CA732-CA730</f>
        <v>14638</v>
      </c>
      <c r="CB727" s="98">
        <f t="shared" ref="CB727:CB736" si="4470">IF(ISERROR((CA727/BS727-1)*100),"NA",IF(((CA727/BS727-1)*100)&gt;100,"NM",IF(((CA727/BS727-1)*100)&lt;-50,"NM",(CA727/BS727-1)*100)))</f>
        <v>29.654561558901694</v>
      </c>
      <c r="CC727" s="99">
        <f>+CC729-CC728-CC732-CC730</f>
        <v>14636</v>
      </c>
      <c r="CD727" s="98">
        <f t="shared" ref="CD727:CD736" si="4471">IF(ISERROR((CC727/BU727-1)*100),"NA",IF(((CC727/BU727-1)*100)&gt;100,"NM",IF(((CC727/BU727-1)*100)&lt;-50,"NM",(CC727/BU727-1)*100)))</f>
        <v>8.0785703736523384</v>
      </c>
      <c r="CE727" s="99">
        <f>+CE729-CE728-CE732-CE730</f>
        <v>14666</v>
      </c>
      <c r="CF727" s="98">
        <f t="shared" ref="CF727:CF736" si="4472">IF(ISERROR((CE727/BW727-1)*100),"NA",IF(((CE727/BW727-1)*100)&gt;100,"NM",IF(((CE727/BW727-1)*100)&lt;-50,"NM",(CE727/BW727-1)*100)))</f>
        <v>0.47269986983626833</v>
      </c>
      <c r="CG727" s="99">
        <f>+CG729-CG728-CG732-CG730</f>
        <v>14691</v>
      </c>
      <c r="CH727" s="98">
        <f t="shared" ref="CH727:CH736" si="4473">IF(ISERROR((CG727/BY727-1)*100),"NA",IF(((CG727/BY727-1)*100)&gt;100,"NM",IF(((CG727/BY727-1)*100)&lt;-50,"NM",(CG727/BY727-1)*100)))</f>
        <v>0.53377129952780766</v>
      </c>
      <c r="CI727" s="99">
        <f>+CI729-CI728-CI732-CI730</f>
        <v>18247</v>
      </c>
      <c r="CJ727" s="98">
        <f t="shared" ref="CJ727:CJ736" si="4474">IF(ISERROR((CI727/CA727-1)*100),"NA",IF(((CI727/CA727-1)*100)&gt;100,"NM",IF(((CI727/CA727-1)*100)&lt;-50,"NM",(CI727/CA727-1)*100)))</f>
        <v>24.655007514687789</v>
      </c>
      <c r="CK727" s="99">
        <f>+CK729-CK728-CK732-CK730</f>
        <v>24220</v>
      </c>
      <c r="CL727" s="98">
        <f t="shared" ref="CL727:CL736" si="4475">IF(ISERROR((CK727/CC727-1)*100),"NA",IF(((CK727/CC727-1)*100)&gt;100,"NM",IF(((CK727/CC727-1)*100)&lt;-50,"NM",(CK727/CC727-1)*100)))</f>
        <v>65.482372232850523</v>
      </c>
      <c r="CM727" s="99">
        <f>+CM729-CM728-CM732-CM730</f>
        <v>24466</v>
      </c>
      <c r="CN727" s="98">
        <f t="shared" ref="CN727:CN736" si="4476">IF(ISERROR((CM727/CE727-1)*100),"NA",IF(((CM727/CE727-1)*100)&gt;100,"NM",IF(((CM727/CE727-1)*100)&lt;-50,"NM",(CM727/CE727-1)*100)))</f>
        <v>66.821219146324836</v>
      </c>
      <c r="CO727" s="99">
        <f>+CO729-CO728-CO732-CO730</f>
        <v>24512</v>
      </c>
      <c r="CP727" s="98">
        <f t="shared" ref="CP727:CT736" si="4477">IF(ISERROR((CO727/CG727-1)*100),"NA",IF(((CO727/CG727-1)*100)&gt;100,"NM",IF(((CO727/CG727-1)*100)&lt;-50,"NM",(CO727/CG727-1)*100)))</f>
        <v>66.850452658089978</v>
      </c>
      <c r="CQ727" s="482">
        <f>+CQ729-CQ728-CQ732-CQ730</f>
        <v>24542</v>
      </c>
      <c r="CR727" s="98">
        <f t="shared" si="4477"/>
        <v>34.498821724119047</v>
      </c>
      <c r="CS727" s="99">
        <f>+CS729-CS728-CS732-CS730</f>
        <v>24580</v>
      </c>
      <c r="CT727" s="98">
        <f t="shared" si="4477"/>
        <v>1.4863748967795187</v>
      </c>
      <c r="CU727" s="99">
        <f>+CU729-CU728-CU732-CU730</f>
        <v>24718</v>
      </c>
      <c r="CV727" s="98">
        <f t="shared" ref="CV727:CV736" si="4478">IF(ISERROR((CU727/CM727-1)*100),"NA",IF(((CU727/CM727-1)*100)&gt;100,"NM",IF(((CU727/CM727-1)*100)&lt;-50,"NM",(CU727/CM727-1)*100)))</f>
        <v>1.0300008174609632</v>
      </c>
      <c r="CW727" s="99">
        <f>+CW729-CW728-CW732-CW730</f>
        <v>24724</v>
      </c>
      <c r="CX727" s="98">
        <f t="shared" ref="CX727:CX736" si="4479">IF(ISERROR((CW727/CO727-1)*100),"NA",IF(((CW727/CO727-1)*100)&gt;100,"NM",IF(((CW727/CO727-1)*100)&lt;-50,"NM",(CW727/CO727-1)*100)))</f>
        <v>0.86488250652740906</v>
      </c>
      <c r="CY727" s="99">
        <f>+CY729-CY728-CY732-CY730</f>
        <v>24762</v>
      </c>
      <c r="CZ727" s="98">
        <f t="shared" ref="CZ727:CZ736" si="4480">IF(ISERROR((CY727/CQ727-1)*100),"NA",IF(((CY727/CQ727-1)*100)&gt;100,"NM",IF(((CY727/CQ727-1)*100)&lt;-50,"NM",(CY727/CQ727-1)*100)))</f>
        <v>0.89642245945724675</v>
      </c>
      <c r="DA727" s="99">
        <f>+DA729-DA728-DA732-DA730</f>
        <v>25809</v>
      </c>
      <c r="DB727" s="98">
        <f t="shared" ref="DB727:DB736" si="4481">IF(ISERROR((DA727/CS727-1)*100),"NA",IF(((DA727/CS727-1)*100)&gt;100,"NM",IF(((DA727/CS727-1)*100)&lt;-50,"NM",(DA727/CS727-1)*100)))</f>
        <v>5.0000000000000044</v>
      </c>
      <c r="DC727" s="99">
        <f>+DC729-DC728-DC732-DC730</f>
        <v>25870</v>
      </c>
      <c r="DD727" s="98">
        <f t="shared" ref="DD727:DD736" si="4482">IF(ISERROR((DC727/CU727-1)*100),"NA",IF(((DC727/CU727-1)*100)&gt;100,"NM",IF(((DC727/CU727-1)*100)&lt;-50,"NM",(DC727/CU727-1)*100)))</f>
        <v>4.660571243628131</v>
      </c>
      <c r="DE727" s="99">
        <f>+DE729-DE728-DE732-DE730</f>
        <v>25935</v>
      </c>
      <c r="DF727" s="98">
        <f t="shared" ref="DF727:DF736" si="4483">IF(ISERROR((DE727/CW727-1)*100),"NA",IF(((DE727/CW727-1)*100)&gt;100,"NM",IF(((DE727/CW727-1)*100)&lt;-50,"NM",(DE727/CW727-1)*100)))</f>
        <v>4.8980747451868645</v>
      </c>
      <c r="DG727" s="99">
        <f>+DG729-DG728-DG732-DG730</f>
        <v>27019</v>
      </c>
      <c r="DH727" s="98">
        <f t="shared" ref="DH727:DH736" si="4484">IF(ISERROR((DG727/CY727-1)*100),"NA",IF(((DG727/CY727-1)*100)&gt;100,"NM",IF(((DG727/CY727-1)*100)&lt;-50,"NM",(DG727/CY727-1)*100)))</f>
        <v>9.1147726354898531</v>
      </c>
      <c r="DI727" s="99">
        <f>+DI729-DI728-DI732-DI730</f>
        <v>25416</v>
      </c>
      <c r="DJ727" s="98">
        <f t="shared" ref="DJ727:DJ736" si="4485">IF(ISERROR((DI727/DA727-1)*100),"NA",IF(((DI727/DA727-1)*100)&gt;100,"NM",IF(((DI727/DA727-1)*100)&lt;-50,"NM",(DI727/DA727-1)*100)))</f>
        <v>-1.5227246309426956</v>
      </c>
      <c r="DK727" s="99">
        <f>+DK729-DK728-DK732-DK730</f>
        <v>25339</v>
      </c>
      <c r="DL727" s="98">
        <f t="shared" ref="DL727:DL736" si="4486">IF(ISERROR((DK727/DC727-1)*100),"NA",IF(((DK727/DC727-1)*100)&gt;100,"NM",IF(((DK727/DC727-1)*100)&lt;-50,"NM",(DK727/DC727-1)*100)))</f>
        <v>-2.0525705450328613</v>
      </c>
      <c r="DM727" s="99">
        <f>+DM729-DM728-DM732-DM730</f>
        <v>25493</v>
      </c>
      <c r="DN727" s="98">
        <f t="shared" ref="DN727:DZ736" si="4487">IF(ISERROR((DM727/DE727-1)*100),"NA",IF(((DM727/DE727-1)*100)&gt;100,"NM",IF(((DM727/DE727-1)*100)&lt;-50,"NM",(DM727/DE727-1)*100)))</f>
        <v>-1.7042606516290748</v>
      </c>
      <c r="DO727" s="99">
        <f>+DO729-DO728-DO732-DO730</f>
        <v>24682</v>
      </c>
      <c r="DP727" s="98">
        <f t="shared" si="4487"/>
        <v>-8.6494688922610035</v>
      </c>
      <c r="DQ727" s="99">
        <f>+DQ729-DQ728-DQ732-DQ730</f>
        <v>24038</v>
      </c>
      <c r="DR727" s="98">
        <f t="shared" si="4487"/>
        <v>-5.4217815549260306</v>
      </c>
      <c r="DS727" s="99">
        <f>+DS729-DS728-DS732-DS730</f>
        <v>22458</v>
      </c>
      <c r="DT727" s="98">
        <f t="shared" si="4487"/>
        <v>-11.369825170685498</v>
      </c>
      <c r="DU727" s="99">
        <f>+DU729-DU728-DU732-DU730</f>
        <v>22278</v>
      </c>
      <c r="DV727" s="98">
        <f t="shared" si="4487"/>
        <v>-12.611305064135248</v>
      </c>
      <c r="DW727" s="99">
        <f>+DW729-DW728-DW732-DW730</f>
        <v>21819</v>
      </c>
      <c r="DX727" s="98">
        <f t="shared" si="4487"/>
        <v>-11.599546228020419</v>
      </c>
      <c r="DY727" s="99">
        <f>+DY729-DY728-DY732-DY730</f>
        <v>20643</v>
      </c>
      <c r="DZ727" s="98">
        <f t="shared" si="4487"/>
        <v>-14.123471170646473</v>
      </c>
      <c r="EA727" s="1006">
        <f>+EA729-EA728-EA732-EA730</f>
        <v>21261</v>
      </c>
      <c r="EB727" s="860">
        <f t="shared" ref="EB727:EB736" si="4488">IF(ISERROR((EA727/DS727-1)*100),"NA",IF(((EA727/DS727-1)*100)&gt;100,"NM",IF(((EA727/DS727-1)*100)&lt;-50,"NM",(EA727/DS727-1)*100)))</f>
        <v>-5.3299492385786795</v>
      </c>
      <c r="EC727" s="1006">
        <f>+EC729-EC728-EC732-EC730</f>
        <v>21537</v>
      </c>
      <c r="ED727" s="860">
        <f t="shared" ref="ED727:ED736" si="4489">IF(ISERROR((EC727/DU727-1)*100),"NA",IF(((EC727/DU727-1)*100)&gt;100,"NM",IF(((EC727/DU727-1)*100)&lt;-50,"NM",(EC727/DU727-1)*100)))</f>
        <v>-3.3261513600861825</v>
      </c>
      <c r="EE727" s="1006">
        <f>+EE729-EE728-EE732-EE730</f>
        <v>21630</v>
      </c>
      <c r="EF727" s="860">
        <f t="shared" ref="EF727:EF736" si="4490">IF(ISERROR((EE727/DW727-1)*100),"NA",IF(((EE727/DW727-1)*100)&gt;100,"NM",IF(((EE727/DW727-1)*100)&lt;-50,"NM",(EE727/DW727-1)*100)))</f>
        <v>-0.86621751684311521</v>
      </c>
      <c r="EG727" s="1006">
        <f>+EG729-EG728-EG732-EG730</f>
        <v>20123</v>
      </c>
      <c r="EH727" s="860">
        <f t="shared" ref="EH727:EH736" si="4491">IF(ISERROR((EG727/DY727-1)*100),"NA",IF(((EG727/DY727-1)*100)&gt;100,"NM",IF(((EG727/DY727-1)*100)&lt;-50,"NM",(EG727/DY727-1)*100)))</f>
        <v>-2.5190137092476861</v>
      </c>
      <c r="EI727" s="1006">
        <f>+EI729-EI728-EI732-EI730</f>
        <v>19762</v>
      </c>
      <c r="EJ727" s="860">
        <f t="shared" ref="EJ727:EJ736" si="4492">IF(ISERROR((EI727/EA727-1)*100),"NA",IF(((EI727/EA727-1)*100)&gt;100,"NM",IF(((EI727/EA727-1)*100)&lt;-50,"NM",(EI727/EA727-1)*100)))</f>
        <v>-7.0504679930389003</v>
      </c>
      <c r="EK727" s="1006">
        <f>+EK729-EK728-EK732-EK730</f>
        <v>19004</v>
      </c>
      <c r="EL727" s="860">
        <f t="shared" ref="EL727:EL736" si="4493">IF(ISERROR((EK727/EC727-1)*100),"NA",IF(((EK727/EC727-1)*100)&gt;100,"NM",IF(((EK727/EC727-1)*100)&lt;-50,"NM",(EK727/EC727-1)*100)))</f>
        <v>-11.761155221247154</v>
      </c>
      <c r="EM727" s="1006">
        <f>+EM729-EM728-EM732-EM730</f>
        <v>18773</v>
      </c>
      <c r="EN727" s="860">
        <f t="shared" ref="EN727:EN736" si="4494">IF(ISERROR((EM727/EE727-1)*100),"NA",IF(((EM727/EE727-1)*100)&gt;100,"NM",IF(((EM727/EE727-1)*100)&lt;-50,"NM",(EM727/EE727-1)*100)))</f>
        <v>-13.208506703652334</v>
      </c>
      <c r="EO727" s="1006">
        <f>+EO729-EO728-EO732-EO730</f>
        <v>18266</v>
      </c>
      <c r="EP727" s="98">
        <f t="shared" ref="EP727:EP736" si="4495">IF(ISERROR((EO727/EG727-1)*100),"NA",IF(((EO727/EG727-1)*100)&gt;100,"NM",IF(((EO727/EG727-1)*100)&lt;-50,"NM",(EO727/EG727-1)*100)))</f>
        <v>-9.2282462853451328</v>
      </c>
      <c r="EQ727" s="1006">
        <f t="shared" ref="EQ727" si="4496">+EQ729-EQ728-EQ732-EQ730</f>
        <v>17402.390861098367</v>
      </c>
      <c r="ER727" s="98">
        <f t="shared" ref="ER727:ER736" si="4497">IF(ISERROR((EQ727/EI727-1)*100),"NA",IF(((EQ727/EI727-1)*100)&gt;100,"NM",IF(((EQ727/EI727-1)*100)&lt;-50,"NM",(EQ727/EI727-1)*100)))</f>
        <v>-11.940133280546672</v>
      </c>
      <c r="ES727" s="1006">
        <f t="shared" ref="ES727" si="4498">+ES729-ES728-ES732-ES730</f>
        <v>16539.209539418698</v>
      </c>
      <c r="ET727" s="98">
        <f t="shared" ref="ET727:ET736" si="4499">IF(ISERROR((ES727/EK727-1)*100),"NA",IF(((ES727/EK727-1)*100)&gt;100,"NM",IF(((ES727/EK727-1)*100)&lt;-50,"NM",(ES727/EK727-1)*100)))</f>
        <v>-12.969850876559153</v>
      </c>
      <c r="EU727" s="1006">
        <f t="shared" ref="EU727" si="4500">+EU729-EU728-EU732-EU730</f>
        <v>15776.464591305434</v>
      </c>
      <c r="EV727" s="98">
        <f t="shared" ref="EV727:EV736" si="4501">IF(ISERROR((EU727/EM727-1)*100),"NA",IF(((EU727/EM727-1)*100)&gt;100,"NM",IF(((EU727/EM727-1)*100)&lt;-50,"NM",(EU727/EM727-1)*100)))</f>
        <v>-15.961942197275691</v>
      </c>
      <c r="EW727" s="1006">
        <f t="shared" ref="EW727" si="4502">+EW729-EW728-EW732-EW730</f>
        <v>15014.142244229901</v>
      </c>
      <c r="EX727" s="98">
        <f t="shared" ref="EX727:EX736" si="4503">IF(ISERROR((EW727/EO727-1)*100),"NA",IF(((EW727/EO727-1)*100)&gt;100,"NM",IF(((EW727/EO727-1)*100)&lt;-50,"NM",(EW727/EO727-1)*100)))</f>
        <v>-17.802790735629582</v>
      </c>
      <c r="EY727" s="99"/>
      <c r="EZ727" s="594"/>
      <c r="FA727" s="405"/>
      <c r="FB727" s="95"/>
      <c r="FC727" s="113"/>
      <c r="FD727" s="94"/>
      <c r="FE727" s="98" t="str">
        <f t="shared" ref="FE727:FE736" si="4504">IF(ISERROR((FD727/FB727-1)*100),"NA",IF(((FD727/FB727-1)*100)&gt;100,"NM",IF(((FD727/FB727-1)*100)&lt;-50,"NM",(FD727/FB727-1)*100)))</f>
        <v>NA</v>
      </c>
      <c r="FF727" s="349">
        <f>I727</f>
        <v>14321</v>
      </c>
      <c r="FG727" s="98" t="str">
        <f t="shared" ref="FG727:FG736" si="4505">IF(ISERROR((FF727/FD727-1)*100),"NA",IF(((FF727/FD727-1)*100)&gt;100,"NM",IF(((FF727/FD727-1)*100)&lt;-50,"NM",(FF727/FD727-1)*100)))</f>
        <v>NA</v>
      </c>
      <c r="FH727" s="349">
        <f>Q727</f>
        <v>13040</v>
      </c>
      <c r="FI727" s="98">
        <f t="shared" ref="FI727:FI736" si="4506">IF(ISERROR((FH727/FF727-1)*100),"NA",IF(((FH727/FF727-1)*100)&gt;100,"NM",IF(((FH727/FF727-1)*100)&lt;-50,"NM",(FH727/FF727-1)*100)))</f>
        <v>-8.9449060819775106</v>
      </c>
      <c r="FJ727" s="349">
        <f>Y727</f>
        <v>12571</v>
      </c>
      <c r="FK727" s="98">
        <f t="shared" ref="FK727:FK736" si="4507">IF(ISERROR((FJ727/FH727-1)*100),"NA",IF(((FJ727/FH727-1)*100)&gt;100,"NM",IF(((FJ727/FH727-1)*100)&lt;-50,"NM",(FJ727/FH727-1)*100)))</f>
        <v>-3.5966257668711643</v>
      </c>
      <c r="FL727" s="349">
        <f>AG727</f>
        <v>14164</v>
      </c>
      <c r="FM727" s="98">
        <f t="shared" ref="FM727:FM736" si="4508">IF(ISERROR((FL727/FJ727-1)*100),"NA",IF(((FL727/FJ727-1)*100)&gt;100,"NM",IF(((FL727/FJ727-1)*100)&lt;-50,"NM",(FL727/FJ727-1)*100)))</f>
        <v>12.672022909871927</v>
      </c>
      <c r="FN727" s="349">
        <f>AO727</f>
        <v>13260</v>
      </c>
      <c r="FO727" s="98">
        <f t="shared" ref="FO727:FO736" si="4509">IF(ISERROR((FN727/FL727-1)*100),"NA",IF(((FN727/FL727-1)*100)&gt;100,"NM",IF(((FN727/FL727-1)*100)&lt;-50,"NM",(FN727/FL727-1)*100)))</f>
        <v>-6.3823778593617657</v>
      </c>
      <c r="FP727" s="349">
        <f t="shared" ref="FP727:FP732" si="4510">AW727</f>
        <v>14282</v>
      </c>
      <c r="FQ727" s="98">
        <f t="shared" ref="FQ727:FQ736" si="4511">IF(ISERROR((FP727/FN727-1)*100),"NA",IF(((FP727/FN727-1)*100)&gt;100,"NM",IF(((FP727/FN727-1)*100)&lt;-50,"NM",(FP727/FN727-1)*100)))</f>
        <v>7.707390648567114</v>
      </c>
      <c r="FR727" s="349">
        <f t="shared" ref="FR727:FR732" si="4512">BE727</f>
        <v>14064</v>
      </c>
      <c r="FS727" s="98">
        <f t="shared" ref="FS727:FS736" si="4513">IF(ISERROR((FR727/FP727-1)*100),"NA",IF(((FR727/FP727-1)*100)&gt;100,"NM",IF(((FR727/FP727-1)*100)&lt;-50,"NM",(FR727/FP727-1)*100)))</f>
        <v>-1.5263968631844316</v>
      </c>
      <c r="FT727" s="349">
        <f>BM727</f>
        <v>12175</v>
      </c>
      <c r="FU727" s="98">
        <f t="shared" ref="FU727:FU736" si="4514">IF(ISERROR((FT727/FR727-1)*100),"NA",IF(((FT727/FR727-1)*100)&gt;100,"NM",IF(((FT727/FR727-1)*100)&lt;-50,"NM",(FT727/FR727-1)*100)))</f>
        <v>-13.431456200227531</v>
      </c>
      <c r="FV727" s="349">
        <f>BU727</f>
        <v>13542</v>
      </c>
      <c r="FW727" s="98">
        <f t="shared" ref="FW727:FW736" si="4515">IF(ISERROR((FV727/FT727-1)*100),"NA",IF(((FV727/FT727-1)*100)&gt;100,"NM",IF(((FV727/FT727-1)*100)&lt;-50,"NM",(FV727/FT727-1)*100)))</f>
        <v>11.227926078028737</v>
      </c>
      <c r="FX727" s="510">
        <f>CC727</f>
        <v>14636</v>
      </c>
      <c r="FY727" s="98">
        <f t="shared" ref="FY727:FY736" si="4516">IF(ISERROR((FX727/FV727-1)*100),"NA",IF(((FX727/FV727-1)*100)&gt;100,"NM",IF(((FX727/FV727-1)*100)&lt;-50,"NM",(FX727/FV727-1)*100)))</f>
        <v>8.0785703736523384</v>
      </c>
      <c r="FZ727" s="349">
        <f>CK727</f>
        <v>24220</v>
      </c>
      <c r="GA727" s="98">
        <f t="shared" ref="GA727:GA736" si="4517">IF(ISERROR((FZ727/FX727-1)*100),"NA",IF(((FZ727/FX727-1)*100)&gt;100,"NM",IF(((FZ727/FX727-1)*100)&lt;-50,"NM",(FZ727/FX727-1)*100)))</f>
        <v>65.482372232850523</v>
      </c>
      <c r="GB727" s="510">
        <f>CS727</f>
        <v>24580</v>
      </c>
      <c r="GC727" s="98">
        <f t="shared" ref="GC727:GC736" si="4518">IF(ISERROR((GB727/FZ727-1)*100),"NA",IF(((GB727/FZ727-1)*100)&gt;100,"NM",IF(((GB727/FZ727-1)*100)&lt;-50,"NM",(GB727/FZ727-1)*100)))</f>
        <v>1.4863748967795187</v>
      </c>
      <c r="GD727" s="349">
        <f>DA727</f>
        <v>25809</v>
      </c>
      <c r="GE727" s="98">
        <f t="shared" ref="GE727:GW736" si="4519">IF(ISERROR((GD727/GB727-1)*100),"NA",IF(((GD727/GB727-1)*100)&gt;100,"NM",IF(((GD727/GB727-1)*100)&lt;-50,"NM",(GD727/GB727-1)*100)))</f>
        <v>5.0000000000000044</v>
      </c>
      <c r="GF727" s="349">
        <f>DI727</f>
        <v>25416</v>
      </c>
      <c r="GG727" s="98">
        <f t="shared" si="4519"/>
        <v>-1.5227246309426956</v>
      </c>
      <c r="GH727" s="349">
        <f>DQ727</f>
        <v>24038</v>
      </c>
      <c r="GI727" s="98">
        <f t="shared" si="4519"/>
        <v>-5.4217815549260306</v>
      </c>
      <c r="GJ727" s="349">
        <f>DY727</f>
        <v>20643</v>
      </c>
      <c r="GK727" s="98">
        <f t="shared" si="4519"/>
        <v>-14.123471170646473</v>
      </c>
      <c r="GL727" s="349">
        <f>EG727</f>
        <v>20123</v>
      </c>
      <c r="GM727" s="98">
        <f t="shared" si="4519"/>
        <v>-2.5190137092476861</v>
      </c>
      <c r="GN727" s="349">
        <f>EO727</f>
        <v>18266</v>
      </c>
      <c r="GO727" s="98">
        <f t="shared" si="4519"/>
        <v>-9.2282462853451328</v>
      </c>
      <c r="GP727" s="349">
        <f>EW727</f>
        <v>15014.142244229901</v>
      </c>
      <c r="GQ727" s="98">
        <f t="shared" si="4519"/>
        <v>-17.802790735629582</v>
      </c>
      <c r="GR727" s="99">
        <f>+GR729-GR728-GR732-GR730</f>
        <v>12168.805767998187</v>
      </c>
      <c r="GS727" s="98">
        <f t="shared" si="4519"/>
        <v>-18.951042490124326</v>
      </c>
      <c r="GT727" s="99">
        <f>+GT729-GT728-GT732-GT730</f>
        <v>9329.979263667934</v>
      </c>
      <c r="GU727" s="98">
        <f t="shared" si="4519"/>
        <v>-23.328719008695707</v>
      </c>
      <c r="GV727" s="99">
        <f>+GV729-GV728-GV732-GV730</f>
        <v>6497.5972179912569</v>
      </c>
      <c r="GW727" s="98">
        <f t="shared" si="4519"/>
        <v>-30.35786002983216</v>
      </c>
      <c r="GX727" s="99">
        <f>+GX729-GX728-GX732-GX730</f>
        <v>3671.5302455604397</v>
      </c>
      <c r="GY727" s="98">
        <f t="shared" ref="GY727:GY736" si="4520">IF(ISERROR((GX727/GV727-1)*100),"NA",IF(((GX727/GV727-1)*100)&gt;100,"NM",IF(((GX727/GV727-1)*100)&lt;-50,"NM",(GX727/GV727-1)*100)))</f>
        <v>-43.494031372176998</v>
      </c>
      <c r="GZ727" s="98">
        <f t="shared" ref="GZ727:GZ736" si="4521">IF(ISERROR(((GX727/GN727)^0.2-1)*100),"NA",IF((((GX727/GN727)^0.2-1)*100)&gt;100,"NM",IF((((GX727/GN727)^0.2-1)*100)&lt;-50,"NM",((GX727/GN727)^0.2-1)*100)))</f>
        <v>-27.449446284306035</v>
      </c>
      <c r="HA727" s="98"/>
      <c r="HB727" s="10"/>
      <c r="HC727"/>
      <c r="HD727"/>
      <c r="HE727"/>
      <c r="HF727"/>
      <c r="HG727"/>
      <c r="HH727"/>
      <c r="HI727" s="10"/>
    </row>
    <row r="728" spans="1:217" s="2" customFormat="1" ht="12.75" customHeight="1" x14ac:dyDescent="0.2">
      <c r="A728" s="28"/>
      <c r="B728" s="179" t="s">
        <v>38</v>
      </c>
      <c r="C728" s="94">
        <v>14336</v>
      </c>
      <c r="D728" s="113"/>
      <c r="E728" s="94">
        <v>341</v>
      </c>
      <c r="F728" s="113"/>
      <c r="G728" s="94">
        <v>583</v>
      </c>
      <c r="H728" s="113"/>
      <c r="I728" s="94">
        <v>1021</v>
      </c>
      <c r="J728" s="98"/>
      <c r="K728" s="94">
        <v>1308</v>
      </c>
      <c r="L728" s="98" t="str">
        <f t="shared" si="4436"/>
        <v>NM</v>
      </c>
      <c r="M728" s="94">
        <v>1628</v>
      </c>
      <c r="N728" s="98" t="str">
        <f t="shared" si="4437"/>
        <v>NM</v>
      </c>
      <c r="O728" s="94">
        <v>1790</v>
      </c>
      <c r="P728" s="98" t="str">
        <f t="shared" si="4438"/>
        <v>NM</v>
      </c>
      <c r="Q728" s="94">
        <v>1349</v>
      </c>
      <c r="R728" s="98">
        <f t="shared" si="4439"/>
        <v>32.12536728697355</v>
      </c>
      <c r="S728" s="94">
        <v>1678</v>
      </c>
      <c r="T728" s="98">
        <f t="shared" si="4440"/>
        <v>28.287461773700294</v>
      </c>
      <c r="U728" s="94">
        <v>2065</v>
      </c>
      <c r="V728" s="98">
        <f t="shared" si="4441"/>
        <v>26.842751842751845</v>
      </c>
      <c r="W728" s="94">
        <v>2393</v>
      </c>
      <c r="X728" s="98">
        <f t="shared" si="4442"/>
        <v>33.687150837988831</v>
      </c>
      <c r="Y728" s="94">
        <v>2807</v>
      </c>
      <c r="Z728" s="98" t="str">
        <f t="shared" si="4443"/>
        <v>NM</v>
      </c>
      <c r="AA728" s="94">
        <v>3169</v>
      </c>
      <c r="AB728" s="98">
        <f t="shared" si="4444"/>
        <v>88.855780691299159</v>
      </c>
      <c r="AC728" s="94">
        <v>3093</v>
      </c>
      <c r="AD728" s="98">
        <f t="shared" si="4445"/>
        <v>49.782082324455203</v>
      </c>
      <c r="AE728" s="94">
        <v>3667</v>
      </c>
      <c r="AF728" s="98">
        <f t="shared" si="4446"/>
        <v>53.238612620142092</v>
      </c>
      <c r="AG728" s="94">
        <v>4193</v>
      </c>
      <c r="AH728" s="98">
        <f t="shared" si="4447"/>
        <v>49.376558603491283</v>
      </c>
      <c r="AI728" s="94">
        <v>4791</v>
      </c>
      <c r="AJ728" s="98">
        <f t="shared" si="4448"/>
        <v>51.183338592615968</v>
      </c>
      <c r="AK728" s="94">
        <v>5745</v>
      </c>
      <c r="AL728" s="98">
        <f t="shared" si="4449"/>
        <v>85.741998060135785</v>
      </c>
      <c r="AM728" s="94">
        <v>6440</v>
      </c>
      <c r="AN728" s="98">
        <f t="shared" si="4450"/>
        <v>75.620398145623142</v>
      </c>
      <c r="AO728" s="94">
        <v>6608</v>
      </c>
      <c r="AP728" s="98">
        <f t="shared" si="4451"/>
        <v>57.595993322203668</v>
      </c>
      <c r="AQ728" s="94">
        <v>7595</v>
      </c>
      <c r="AR728" s="98">
        <f t="shared" si="4452"/>
        <v>58.526403673554569</v>
      </c>
      <c r="AS728" s="94">
        <v>9841</v>
      </c>
      <c r="AT728" s="98">
        <f t="shared" si="4453"/>
        <v>71.296779808529152</v>
      </c>
      <c r="AU728" s="94">
        <v>10582</v>
      </c>
      <c r="AV728" s="98">
        <f t="shared" si="4454"/>
        <v>64.316770186335418</v>
      </c>
      <c r="AW728" s="94">
        <v>10865</v>
      </c>
      <c r="AX728" s="98">
        <f t="shared" si="4455"/>
        <v>64.421912832929777</v>
      </c>
      <c r="AY728" s="94">
        <v>11579</v>
      </c>
      <c r="AZ728" s="98">
        <f t="shared" si="4456"/>
        <v>52.455562870309414</v>
      </c>
      <c r="BA728" s="94">
        <v>12196</v>
      </c>
      <c r="BB728" s="98">
        <f t="shared" si="4457"/>
        <v>23.930494868407681</v>
      </c>
      <c r="BC728" s="94">
        <v>13195</v>
      </c>
      <c r="BD728" s="98">
        <f t="shared" si="4458"/>
        <v>24.692874692874689</v>
      </c>
      <c r="BE728" s="94">
        <v>16574</v>
      </c>
      <c r="BF728" s="98">
        <f t="shared" si="4459"/>
        <v>52.544868844914873</v>
      </c>
      <c r="BG728" s="94">
        <v>17228</v>
      </c>
      <c r="BH728" s="98">
        <f t="shared" si="4460"/>
        <v>48.786596424561715</v>
      </c>
      <c r="BI728" s="94">
        <v>18357</v>
      </c>
      <c r="BJ728" s="98">
        <f t="shared" si="4461"/>
        <v>50.516562807477868</v>
      </c>
      <c r="BK728" s="94">
        <v>19342</v>
      </c>
      <c r="BL728" s="98">
        <f t="shared" si="4462"/>
        <v>46.585827965138307</v>
      </c>
      <c r="BM728" s="94">
        <v>19884</v>
      </c>
      <c r="BN728" s="98">
        <f t="shared" si="4463"/>
        <v>19.97103897671051</v>
      </c>
      <c r="BO728" s="94">
        <v>20526</v>
      </c>
      <c r="BP728" s="98">
        <f t="shared" si="4464"/>
        <v>19.143255166008831</v>
      </c>
      <c r="BQ728" s="94">
        <v>21441</v>
      </c>
      <c r="BR728" s="98">
        <f t="shared" si="4465"/>
        <v>16.800130740317055</v>
      </c>
      <c r="BS728" s="94">
        <v>22041</v>
      </c>
      <c r="BT728" s="98">
        <f t="shared" si="4466"/>
        <v>13.954089546065562</v>
      </c>
      <c r="BU728" s="94">
        <v>22403</v>
      </c>
      <c r="BV728" s="98">
        <f t="shared" si="4467"/>
        <v>12.668477167571911</v>
      </c>
      <c r="BW728" s="94">
        <v>21829</v>
      </c>
      <c r="BX728" s="98">
        <f t="shared" si="4468"/>
        <v>6.3480463802007225</v>
      </c>
      <c r="BY728" s="94">
        <v>20472</v>
      </c>
      <c r="BZ728" s="98">
        <f t="shared" si="4469"/>
        <v>-4.5193787603190145</v>
      </c>
      <c r="CA728" s="94">
        <v>19822</v>
      </c>
      <c r="CB728" s="98">
        <f t="shared" si="4470"/>
        <v>-10.067601288507777</v>
      </c>
      <c r="CC728" s="94">
        <v>19501</v>
      </c>
      <c r="CD728" s="98">
        <f t="shared" si="4471"/>
        <v>-12.953622282729993</v>
      </c>
      <c r="CE728" s="94">
        <v>20294</v>
      </c>
      <c r="CF728" s="98">
        <f t="shared" si="4472"/>
        <v>-7.0319300013743202</v>
      </c>
      <c r="CG728" s="94">
        <v>21820</v>
      </c>
      <c r="CH728" s="98">
        <f t="shared" si="4473"/>
        <v>6.5846033606877796</v>
      </c>
      <c r="CI728" s="94">
        <v>22096</v>
      </c>
      <c r="CJ728" s="98">
        <f t="shared" si="4474"/>
        <v>11.472101705176074</v>
      </c>
      <c r="CK728" s="94">
        <v>21363</v>
      </c>
      <c r="CL728" s="98">
        <f t="shared" si="4475"/>
        <v>9.5482282959848277</v>
      </c>
      <c r="CM728" s="94">
        <v>20147</v>
      </c>
      <c r="CN728" s="98">
        <f t="shared" si="4476"/>
        <v>-0.72435202522913578</v>
      </c>
      <c r="CO728" s="94">
        <v>21216</v>
      </c>
      <c r="CP728" s="98">
        <f t="shared" si="4477"/>
        <v>-2.7681026581118262</v>
      </c>
      <c r="CQ728" s="533">
        <v>24642</v>
      </c>
      <c r="CR728" s="98">
        <f t="shared" si="4477"/>
        <v>11.522447501810284</v>
      </c>
      <c r="CS728" s="94">
        <v>24814</v>
      </c>
      <c r="CT728" s="98">
        <f t="shared" si="4477"/>
        <v>16.154098207180635</v>
      </c>
      <c r="CU728" s="94">
        <v>24640</v>
      </c>
      <c r="CV728" s="98">
        <f t="shared" si="4478"/>
        <v>22.301087010473019</v>
      </c>
      <c r="CW728" s="94">
        <v>26904</v>
      </c>
      <c r="CX728" s="98">
        <f t="shared" si="4479"/>
        <v>26.809954751131215</v>
      </c>
      <c r="CY728" s="94">
        <v>25920</v>
      </c>
      <c r="CZ728" s="98">
        <f t="shared" si="4480"/>
        <v>5.1862673484295074</v>
      </c>
      <c r="DA728" s="94">
        <v>25205</v>
      </c>
      <c r="DB728" s="98">
        <f t="shared" si="4481"/>
        <v>1.5757233819617911</v>
      </c>
      <c r="DC728" s="94">
        <v>25958</v>
      </c>
      <c r="DD728" s="98">
        <f t="shared" si="4482"/>
        <v>5.3490259740259782</v>
      </c>
      <c r="DE728" s="94">
        <v>25824</v>
      </c>
      <c r="DF728" s="98">
        <f t="shared" si="4483"/>
        <v>-4.0142729705619935</v>
      </c>
      <c r="DG728" s="94">
        <v>26766</v>
      </c>
      <c r="DH728" s="98">
        <f t="shared" si="4484"/>
        <v>3.2638888888888884</v>
      </c>
      <c r="DI728" s="94">
        <v>27332</v>
      </c>
      <c r="DJ728" s="98">
        <f t="shared" si="4485"/>
        <v>8.4388018250347141</v>
      </c>
      <c r="DK728" s="94">
        <v>28319</v>
      </c>
      <c r="DL728" s="98">
        <f t="shared" si="4486"/>
        <v>9.0954618999922854</v>
      </c>
      <c r="DM728" s="94">
        <v>29259</v>
      </c>
      <c r="DN728" s="98">
        <f t="shared" si="4487"/>
        <v>13.301579925650554</v>
      </c>
      <c r="DO728" s="94">
        <v>30928</v>
      </c>
      <c r="DP728" s="98">
        <f t="shared" si="4487"/>
        <v>15.549577822610772</v>
      </c>
      <c r="DQ728" s="94">
        <v>32020</v>
      </c>
      <c r="DR728" s="98">
        <f t="shared" si="4487"/>
        <v>17.15205619786331</v>
      </c>
      <c r="DS728" s="94">
        <v>33754</v>
      </c>
      <c r="DT728" s="98">
        <f t="shared" si="4487"/>
        <v>19.192061866591324</v>
      </c>
      <c r="DU728" s="94">
        <v>34376</v>
      </c>
      <c r="DV728" s="98">
        <f t="shared" si="4487"/>
        <v>17.488635975255473</v>
      </c>
      <c r="DW728" s="94">
        <v>35153</v>
      </c>
      <c r="DX728" s="98">
        <f t="shared" si="4487"/>
        <v>13.660760475944134</v>
      </c>
      <c r="DY728" s="94">
        <v>35519</v>
      </c>
      <c r="DZ728" s="98">
        <f t="shared" si="4487"/>
        <v>10.927545284197372</v>
      </c>
      <c r="EA728" s="1153">
        <v>37301</v>
      </c>
      <c r="EB728" s="860">
        <f t="shared" si="4488"/>
        <v>10.508384191503239</v>
      </c>
      <c r="EC728" s="1153">
        <v>36924</v>
      </c>
      <c r="ED728" s="860">
        <f t="shared" si="4489"/>
        <v>7.4121480102397053</v>
      </c>
      <c r="EE728" s="1153">
        <v>37054</v>
      </c>
      <c r="EF728" s="860">
        <f t="shared" si="4490"/>
        <v>5.4077888089210102</v>
      </c>
      <c r="EG728" s="1153">
        <v>34683</v>
      </c>
      <c r="EH728" s="860">
        <f t="shared" si="4491"/>
        <v>-2.3536698668318312</v>
      </c>
      <c r="EI728" s="1153">
        <v>34660</v>
      </c>
      <c r="EJ728" s="860">
        <f t="shared" si="4492"/>
        <v>-7.080239135680011</v>
      </c>
      <c r="EK728" s="1153">
        <v>35063</v>
      </c>
      <c r="EL728" s="860">
        <f t="shared" si="4493"/>
        <v>-5.0400823312750536</v>
      </c>
      <c r="EM728" s="1153">
        <v>24150</v>
      </c>
      <c r="EN728" s="860">
        <f t="shared" si="4494"/>
        <v>-34.824850218599877</v>
      </c>
      <c r="EO728" s="1153">
        <v>26527</v>
      </c>
      <c r="EP728" s="98">
        <f t="shared" si="4495"/>
        <v>-23.515843496814004</v>
      </c>
      <c r="EQ728" s="778">
        <f>+EO728+EQ640-EQ665</f>
        <v>26433.27818414586</v>
      </c>
      <c r="ER728" s="98">
        <f t="shared" si="4497"/>
        <v>-23.73549283281633</v>
      </c>
      <c r="ES728" s="778">
        <f t="shared" ref="ES728" si="4522">+EQ728+ES640-ES665</f>
        <v>27245.589654927237</v>
      </c>
      <c r="ET728" s="98">
        <f t="shared" si="4499"/>
        <v>-22.295326541005512</v>
      </c>
      <c r="EU728" s="778">
        <f t="shared" ref="EU728" si="4523">+ES728+EU640-EU665</f>
        <v>28077.490116770437</v>
      </c>
      <c r="EV728" s="98">
        <f t="shared" si="4501"/>
        <v>16.262899034246114</v>
      </c>
      <c r="EW728" s="778">
        <f t="shared" ref="EW728" si="4524">+EU728+EW640-EW665</f>
        <v>28897.958343449143</v>
      </c>
      <c r="EX728" s="98">
        <f t="shared" si="4503"/>
        <v>8.9379060709810609</v>
      </c>
      <c r="EY728" s="96"/>
      <c r="EZ728" s="594"/>
      <c r="FA728" s="405"/>
      <c r="FB728" s="95"/>
      <c r="FC728" s="113"/>
      <c r="FD728" s="94"/>
      <c r="FE728" s="98" t="str">
        <f t="shared" si="4504"/>
        <v>NA</v>
      </c>
      <c r="FF728" s="349">
        <f>I728</f>
        <v>1021</v>
      </c>
      <c r="FG728" s="98" t="str">
        <f t="shared" si="4505"/>
        <v>NA</v>
      </c>
      <c r="FH728" s="349">
        <f>Q728</f>
        <v>1349</v>
      </c>
      <c r="FI728" s="98">
        <f t="shared" si="4506"/>
        <v>32.12536728697355</v>
      </c>
      <c r="FJ728" s="349">
        <f>Y728</f>
        <v>2807</v>
      </c>
      <c r="FK728" s="98" t="str">
        <f t="shared" si="4507"/>
        <v>NM</v>
      </c>
      <c r="FL728" s="349">
        <f>AG728</f>
        <v>4193</v>
      </c>
      <c r="FM728" s="98">
        <f t="shared" si="4508"/>
        <v>49.376558603491283</v>
      </c>
      <c r="FN728" s="349">
        <f>AO728</f>
        <v>6608</v>
      </c>
      <c r="FO728" s="98">
        <f t="shared" si="4509"/>
        <v>57.595993322203668</v>
      </c>
      <c r="FP728" s="349">
        <f t="shared" si="4510"/>
        <v>10865</v>
      </c>
      <c r="FQ728" s="98">
        <f t="shared" si="4511"/>
        <v>64.421912832929777</v>
      </c>
      <c r="FR728" s="349">
        <f t="shared" si="4512"/>
        <v>16574</v>
      </c>
      <c r="FS728" s="98">
        <f t="shared" si="4513"/>
        <v>52.544868844914873</v>
      </c>
      <c r="FT728" s="349">
        <f>BM728</f>
        <v>19884</v>
      </c>
      <c r="FU728" s="98">
        <f t="shared" si="4514"/>
        <v>19.97103897671051</v>
      </c>
      <c r="FV728" s="349">
        <f>BU728</f>
        <v>22403</v>
      </c>
      <c r="FW728" s="98">
        <f t="shared" si="4515"/>
        <v>12.668477167571911</v>
      </c>
      <c r="FX728" s="510">
        <f>CC728</f>
        <v>19501</v>
      </c>
      <c r="FY728" s="98">
        <f t="shared" si="4516"/>
        <v>-12.953622282729993</v>
      </c>
      <c r="FZ728" s="349">
        <f>CK728</f>
        <v>21363</v>
      </c>
      <c r="GA728" s="98">
        <f t="shared" si="4517"/>
        <v>9.5482282959848277</v>
      </c>
      <c r="GB728" s="510">
        <f>CS728</f>
        <v>24814</v>
      </c>
      <c r="GC728" s="98">
        <f t="shared" si="4518"/>
        <v>16.154098207180635</v>
      </c>
      <c r="GD728" s="349">
        <f>DA728</f>
        <v>25205</v>
      </c>
      <c r="GE728" s="98">
        <f t="shared" si="4519"/>
        <v>1.5757233819617911</v>
      </c>
      <c r="GF728" s="349">
        <f>DI728</f>
        <v>27332</v>
      </c>
      <c r="GG728" s="98">
        <f t="shared" si="4519"/>
        <v>8.4388018250347141</v>
      </c>
      <c r="GH728" s="349">
        <f>DQ728</f>
        <v>32020</v>
      </c>
      <c r="GI728" s="98">
        <f t="shared" si="4519"/>
        <v>17.15205619786331</v>
      </c>
      <c r="GJ728" s="349">
        <f>DY728</f>
        <v>35519</v>
      </c>
      <c r="GK728" s="98">
        <f t="shared" si="4519"/>
        <v>10.927545284197372</v>
      </c>
      <c r="GL728" s="349">
        <f>EG728</f>
        <v>34683</v>
      </c>
      <c r="GM728" s="98">
        <f t="shared" si="4519"/>
        <v>-2.3536698668318312</v>
      </c>
      <c r="GN728" s="349">
        <f>EO728</f>
        <v>26527</v>
      </c>
      <c r="GO728" s="98">
        <f t="shared" si="4519"/>
        <v>-23.515843496814004</v>
      </c>
      <c r="GP728" s="349">
        <f>EW728</f>
        <v>28897.958343449143</v>
      </c>
      <c r="GQ728" s="98">
        <f t="shared" si="4519"/>
        <v>8.9379060709810609</v>
      </c>
      <c r="GR728" s="96">
        <f>+GP728+GR640-GR665</f>
        <v>32345.848213402052</v>
      </c>
      <c r="GS728" s="98">
        <f t="shared" si="4519"/>
        <v>11.931257665247852</v>
      </c>
      <c r="GT728" s="96">
        <f>+GR728+GT640-GT665</f>
        <v>35930.571969624623</v>
      </c>
      <c r="GU728" s="98">
        <f t="shared" si="4519"/>
        <v>11.082484937703052</v>
      </c>
      <c r="GV728" s="96">
        <f>+GT728+GV640-GV665</f>
        <v>39608.676418425261</v>
      </c>
      <c r="GW728" s="98">
        <f t="shared" si="4519"/>
        <v>10.236698853305404</v>
      </c>
      <c r="GX728" s="96">
        <f>+GV728+GX640-GX665</f>
        <v>43332.220517054993</v>
      </c>
      <c r="GY728" s="98">
        <f t="shared" si="4520"/>
        <v>9.4008294023619765</v>
      </c>
      <c r="GZ728" s="98">
        <f t="shared" si="4521"/>
        <v>10.312457930380937</v>
      </c>
      <c r="HA728" s="98"/>
      <c r="HB728" s="10"/>
      <c r="HC728"/>
      <c r="HD728"/>
      <c r="HE728"/>
      <c r="HF728"/>
      <c r="HG728"/>
      <c r="HH728"/>
      <c r="HI728" s="10"/>
    </row>
    <row r="729" spans="1:217" s="2" customFormat="1" ht="12.75" customHeight="1" x14ac:dyDescent="0.2">
      <c r="A729" s="10" t="s">
        <v>455</v>
      </c>
      <c r="B729" s="179" t="s">
        <v>59</v>
      </c>
      <c r="C729" s="101">
        <v>14016</v>
      </c>
      <c r="D729" s="98"/>
      <c r="E729" s="101">
        <v>14567</v>
      </c>
      <c r="F729" s="98"/>
      <c r="G729" s="101">
        <v>15207</v>
      </c>
      <c r="H729" s="98"/>
      <c r="I729" s="101">
        <v>16389</v>
      </c>
      <c r="J729" s="98"/>
      <c r="K729" s="101">
        <v>17022</v>
      </c>
      <c r="L729" s="98">
        <f t="shared" si="4436"/>
        <v>21.446917808219169</v>
      </c>
      <c r="M729" s="101">
        <v>16763</v>
      </c>
      <c r="N729" s="98">
        <f t="shared" si="4437"/>
        <v>15.075169904578845</v>
      </c>
      <c r="O729" s="101">
        <v>16928</v>
      </c>
      <c r="P729" s="98">
        <f t="shared" si="4438"/>
        <v>11.317156572631015</v>
      </c>
      <c r="Q729" s="101">
        <v>16062</v>
      </c>
      <c r="R729" s="98">
        <f t="shared" si="4439"/>
        <v>-1.995240710232471</v>
      </c>
      <c r="S729" s="101">
        <v>15320</v>
      </c>
      <c r="T729" s="98">
        <f t="shared" si="4440"/>
        <v>-9.9988250499353786</v>
      </c>
      <c r="U729" s="101">
        <v>16144</v>
      </c>
      <c r="V729" s="98">
        <f t="shared" si="4441"/>
        <v>-3.6926564457436029</v>
      </c>
      <c r="W729" s="101">
        <v>17077</v>
      </c>
      <c r="X729" s="98">
        <f t="shared" si="4442"/>
        <v>0.88019848771265785</v>
      </c>
      <c r="Y729" s="101">
        <v>17385</v>
      </c>
      <c r="Z729" s="98">
        <f t="shared" si="4443"/>
        <v>8.2368322749346348</v>
      </c>
      <c r="AA729" s="101">
        <v>18039</v>
      </c>
      <c r="AB729" s="98">
        <f t="shared" si="4444"/>
        <v>17.748041775456926</v>
      </c>
      <c r="AC729" s="101">
        <v>20623</v>
      </c>
      <c r="AD729" s="98">
        <f t="shared" si="4445"/>
        <v>27.744053518334976</v>
      </c>
      <c r="AE729" s="101">
        <v>20905</v>
      </c>
      <c r="AF729" s="98">
        <f t="shared" si="4446"/>
        <v>22.416115242724132</v>
      </c>
      <c r="AG729" s="101">
        <v>21149</v>
      </c>
      <c r="AH729" s="98">
        <f t="shared" si="4447"/>
        <v>21.650848432556803</v>
      </c>
      <c r="AI729" s="101">
        <v>22348</v>
      </c>
      <c r="AJ729" s="98">
        <f t="shared" si="4448"/>
        <v>23.887133433117125</v>
      </c>
      <c r="AK729" s="101">
        <v>21398</v>
      </c>
      <c r="AL729" s="98">
        <f t="shared" si="4449"/>
        <v>3.7579401638946797</v>
      </c>
      <c r="AM729" s="101">
        <v>22975</v>
      </c>
      <c r="AN729" s="98">
        <f t="shared" si="4450"/>
        <v>9.901937335565659</v>
      </c>
      <c r="AO729" s="101">
        <v>22824</v>
      </c>
      <c r="AP729" s="98">
        <f t="shared" si="4451"/>
        <v>7.9199962173152505</v>
      </c>
      <c r="AQ729" s="101">
        <v>23038</v>
      </c>
      <c r="AR729" s="98">
        <f t="shared" si="4452"/>
        <v>3.0875246107034293</v>
      </c>
      <c r="AS729" s="101">
        <v>28171</v>
      </c>
      <c r="AT729" s="98">
        <f t="shared" si="4453"/>
        <v>31.652490886998773</v>
      </c>
      <c r="AU729" s="101">
        <v>28757</v>
      </c>
      <c r="AV729" s="98">
        <f t="shared" si="4454"/>
        <v>25.16648531011969</v>
      </c>
      <c r="AW729" s="101">
        <v>29101</v>
      </c>
      <c r="AX729" s="98">
        <f t="shared" si="4455"/>
        <v>27.501752541184722</v>
      </c>
      <c r="AY729" s="101">
        <v>28567</v>
      </c>
      <c r="AZ729" s="98">
        <f t="shared" si="4456"/>
        <v>23.999479121451508</v>
      </c>
      <c r="BA729" s="101">
        <v>27681</v>
      </c>
      <c r="BB729" s="98">
        <f t="shared" si="4457"/>
        <v>-1.7393773738951457</v>
      </c>
      <c r="BC729" s="101">
        <v>31610</v>
      </c>
      <c r="BD729" s="98">
        <f t="shared" si="4458"/>
        <v>9.921062697777927</v>
      </c>
      <c r="BE729" s="101">
        <v>33798</v>
      </c>
      <c r="BF729" s="98">
        <f t="shared" si="4459"/>
        <v>16.140338819971809</v>
      </c>
      <c r="BG729" s="101">
        <v>34069</v>
      </c>
      <c r="BH729" s="98">
        <f t="shared" si="4460"/>
        <v>19.259985297721151</v>
      </c>
      <c r="BI729" s="101">
        <v>33555</v>
      </c>
      <c r="BJ729" s="98">
        <f t="shared" si="4461"/>
        <v>21.220331635417789</v>
      </c>
      <c r="BK729" s="101">
        <v>34746</v>
      </c>
      <c r="BL729" s="98">
        <f t="shared" si="4462"/>
        <v>9.9209111040809752</v>
      </c>
      <c r="BM729" s="101">
        <v>35179</v>
      </c>
      <c r="BN729" s="98">
        <f t="shared" si="4463"/>
        <v>4.08604059411799</v>
      </c>
      <c r="BO729" s="101">
        <v>32999</v>
      </c>
      <c r="BP729" s="98">
        <f t="shared" si="4464"/>
        <v>-3.1406850802782604</v>
      </c>
      <c r="BQ729" s="101">
        <v>32541</v>
      </c>
      <c r="BR729" s="98">
        <f t="shared" si="4465"/>
        <v>-3.0219043361645048</v>
      </c>
      <c r="BS729" s="101">
        <v>27833</v>
      </c>
      <c r="BT729" s="98">
        <f t="shared" si="4466"/>
        <v>-19.8958153456513</v>
      </c>
      <c r="BU729" s="101">
        <v>23734</v>
      </c>
      <c r="BV729" s="98">
        <f t="shared" si="4467"/>
        <v>-32.533613803689697</v>
      </c>
      <c r="BW729" s="101">
        <v>23110</v>
      </c>
      <c r="BX729" s="98">
        <f t="shared" si="4468"/>
        <v>-29.967574774993178</v>
      </c>
      <c r="BY729" s="101">
        <v>27293</v>
      </c>
      <c r="BZ729" s="98">
        <f t="shared" si="4469"/>
        <v>-16.127347039119876</v>
      </c>
      <c r="CA729" s="101">
        <v>34268</v>
      </c>
      <c r="CB729" s="98">
        <f t="shared" si="4470"/>
        <v>23.12003736571695</v>
      </c>
      <c r="CC729" s="101">
        <v>33121</v>
      </c>
      <c r="CD729" s="98">
        <f t="shared" si="4471"/>
        <v>39.550855313052999</v>
      </c>
      <c r="CE729" s="101">
        <v>35811</v>
      </c>
      <c r="CF729" s="98">
        <f t="shared" si="4472"/>
        <v>54.958892254435312</v>
      </c>
      <c r="CG729" s="101">
        <v>39375</v>
      </c>
      <c r="CH729" s="98">
        <f t="shared" si="4473"/>
        <v>44.267760964349833</v>
      </c>
      <c r="CI729" s="101">
        <v>46415</v>
      </c>
      <c r="CJ729" s="98">
        <f t="shared" si="4474"/>
        <v>35.447064316563548</v>
      </c>
      <c r="CK729" s="101">
        <v>48625</v>
      </c>
      <c r="CL729" s="98">
        <f t="shared" si="4475"/>
        <v>46.810180852027415</v>
      </c>
      <c r="CM729" s="101">
        <v>47900</v>
      </c>
      <c r="CN729" s="98">
        <f t="shared" si="4476"/>
        <v>33.757783921141552</v>
      </c>
      <c r="CO729" s="101">
        <v>51272</v>
      </c>
      <c r="CP729" s="98">
        <f t="shared" si="4477"/>
        <v>30.214603174603184</v>
      </c>
      <c r="CQ729" s="542">
        <v>58250</v>
      </c>
      <c r="CR729" s="98">
        <f t="shared" si="4477"/>
        <v>25.498222557362915</v>
      </c>
      <c r="CS729" s="101">
        <v>57519</v>
      </c>
      <c r="CT729" s="98">
        <f t="shared" si="4477"/>
        <v>18.291002570694094</v>
      </c>
      <c r="CU729" s="101">
        <v>58666</v>
      </c>
      <c r="CV729" s="98">
        <f t="shared" si="4478"/>
        <v>22.4759916492693</v>
      </c>
      <c r="CW729" s="101">
        <v>62406</v>
      </c>
      <c r="CX729" s="98">
        <f t="shared" si="4479"/>
        <v>21.715556249024814</v>
      </c>
      <c r="CY729" s="101">
        <v>64049</v>
      </c>
      <c r="CZ729" s="98">
        <f t="shared" si="4480"/>
        <v>9.955364806866962</v>
      </c>
      <c r="DA729" s="101">
        <v>64453</v>
      </c>
      <c r="DB729" s="98">
        <f t="shared" si="4481"/>
        <v>12.055146994906041</v>
      </c>
      <c r="DC729" s="101">
        <v>64450</v>
      </c>
      <c r="DD729" s="98">
        <f t="shared" si="4482"/>
        <v>9.8592029454880112</v>
      </c>
      <c r="DE729" s="101">
        <v>60003</v>
      </c>
      <c r="DF729" s="98">
        <f t="shared" si="4483"/>
        <v>-3.8505912892991101</v>
      </c>
      <c r="DG729" s="101">
        <v>60927</v>
      </c>
      <c r="DH729" s="98">
        <f t="shared" si="4484"/>
        <v>-4.8743930428265863</v>
      </c>
      <c r="DI729" s="101">
        <v>61553</v>
      </c>
      <c r="DJ729" s="98">
        <f t="shared" si="4485"/>
        <v>-4.4994026655082013</v>
      </c>
      <c r="DK729" s="101">
        <v>65758</v>
      </c>
      <c r="DL729" s="98">
        <f t="shared" si="4486"/>
        <v>2.0294802172226456</v>
      </c>
      <c r="DM729" s="101">
        <v>69591</v>
      </c>
      <c r="DN729" s="98">
        <f t="shared" si="4487"/>
        <v>15.979201039948009</v>
      </c>
      <c r="DO729" s="101">
        <v>70805</v>
      </c>
      <c r="DP729" s="98">
        <f t="shared" si="4487"/>
        <v>16.212844879938281</v>
      </c>
      <c r="DQ729" s="101">
        <v>72053</v>
      </c>
      <c r="DR729" s="98">
        <f t="shared" si="4487"/>
        <v>17.058469936477504</v>
      </c>
      <c r="DS729" s="101">
        <v>73770</v>
      </c>
      <c r="DT729" s="98">
        <f t="shared" si="4487"/>
        <v>12.184068858541931</v>
      </c>
      <c r="DU729" s="101">
        <v>69377</v>
      </c>
      <c r="DV729" s="98">
        <f t="shared" si="4487"/>
        <v>-0.3075110287249827</v>
      </c>
      <c r="DW729" s="101">
        <v>70503</v>
      </c>
      <c r="DX729" s="98">
        <f t="shared" si="4487"/>
        <v>-0.42652355059671354</v>
      </c>
      <c r="DY729" s="101">
        <v>67949</v>
      </c>
      <c r="DZ729" s="98">
        <f t="shared" si="4487"/>
        <v>-5.6958072529943227</v>
      </c>
      <c r="EA729" s="950">
        <v>75775</v>
      </c>
      <c r="EB729" s="860">
        <f t="shared" si="4488"/>
        <v>2.7179070082689494</v>
      </c>
      <c r="EC729" s="950">
        <v>79179</v>
      </c>
      <c r="ED729" s="860">
        <f t="shared" si="4489"/>
        <v>14.128601697969057</v>
      </c>
      <c r="EE729" s="950">
        <v>78286</v>
      </c>
      <c r="EF729" s="860">
        <f t="shared" si="4490"/>
        <v>11.039246556884109</v>
      </c>
      <c r="EG729" s="950">
        <v>67531</v>
      </c>
      <c r="EH729" s="860">
        <f t="shared" si="4491"/>
        <v>-0.61516725779628967</v>
      </c>
      <c r="EI729" s="950">
        <v>67726</v>
      </c>
      <c r="EJ729" s="860">
        <f t="shared" si="4492"/>
        <v>-10.622236885516333</v>
      </c>
      <c r="EK729" s="950">
        <v>69248</v>
      </c>
      <c r="EL729" s="860">
        <f t="shared" si="4493"/>
        <v>-12.54246706828831</v>
      </c>
      <c r="EM729" s="950">
        <v>56454</v>
      </c>
      <c r="EN729" s="860">
        <f t="shared" si="4494"/>
        <v>-27.887489461717298</v>
      </c>
      <c r="EO729" s="950">
        <v>58676</v>
      </c>
      <c r="EP729" s="98">
        <f t="shared" si="4495"/>
        <v>-13.112496483096647</v>
      </c>
      <c r="EQ729" s="792">
        <f>EO729+EQ640-EQ665-EQ677+EQ671+(EQ732-EO732)</f>
        <v>57718.669045244227</v>
      </c>
      <c r="ER729" s="98">
        <f t="shared" si="4497"/>
        <v>-14.776202573244801</v>
      </c>
      <c r="ES729" s="792">
        <f t="shared" ref="ES729" si="4525">EQ729+ES640-ES665-ES677+ES671+(ES732-EQ732)</f>
        <v>57667.799194345935</v>
      </c>
      <c r="ET729" s="98">
        <f t="shared" si="4499"/>
        <v>-16.722794601510603</v>
      </c>
      <c r="EU729" s="792">
        <f t="shared" ref="EU729" si="4526">ES729+EU640-EU665-EU677+EU671+(EU732-ES732)</f>
        <v>57736.954708075871</v>
      </c>
      <c r="EV729" s="98">
        <f t="shared" si="4501"/>
        <v>2.2725665286354779</v>
      </c>
      <c r="EW729" s="792">
        <f t="shared" ref="EW729" si="4527">EU729+EW640-EW665-EW677+EW671+(EW732-EU732)</f>
        <v>57795.100587679044</v>
      </c>
      <c r="EX729" s="98">
        <f t="shared" si="4503"/>
        <v>-1.5012942469168955</v>
      </c>
      <c r="EY729" s="118"/>
      <c r="EZ729" s="594"/>
      <c r="FA729" s="405"/>
      <c r="FB729" s="121">
        <v>14868</v>
      </c>
      <c r="FC729" s="98"/>
      <c r="FD729" s="101">
        <v>13690</v>
      </c>
      <c r="FE729" s="98">
        <f t="shared" si="4504"/>
        <v>-7.9230562281409789</v>
      </c>
      <c r="FF729" s="349">
        <f>I729</f>
        <v>16389</v>
      </c>
      <c r="FG729" s="98">
        <f t="shared" si="4505"/>
        <v>19.71512052593134</v>
      </c>
      <c r="FH729" s="349">
        <f>Q729</f>
        <v>16062</v>
      </c>
      <c r="FI729" s="98">
        <f t="shared" si="4506"/>
        <v>-1.995240710232471</v>
      </c>
      <c r="FJ729" s="349">
        <f>Y729</f>
        <v>17385</v>
      </c>
      <c r="FK729" s="98">
        <f t="shared" si="4507"/>
        <v>8.2368322749346348</v>
      </c>
      <c r="FL729" s="349">
        <f>AG729</f>
        <v>21149</v>
      </c>
      <c r="FM729" s="98">
        <f t="shared" si="4508"/>
        <v>21.650848432556803</v>
      </c>
      <c r="FN729" s="349">
        <f>AO729</f>
        <v>22824</v>
      </c>
      <c r="FO729" s="98">
        <f t="shared" si="4509"/>
        <v>7.9199962173152505</v>
      </c>
      <c r="FP729" s="349">
        <f t="shared" si="4510"/>
        <v>29101</v>
      </c>
      <c r="FQ729" s="98">
        <f t="shared" si="4511"/>
        <v>27.501752541184722</v>
      </c>
      <c r="FR729" s="349">
        <f t="shared" si="4512"/>
        <v>33798</v>
      </c>
      <c r="FS729" s="98">
        <f t="shared" si="4513"/>
        <v>16.140338819971809</v>
      </c>
      <c r="FT729" s="349">
        <f>BM729</f>
        <v>35179</v>
      </c>
      <c r="FU729" s="98">
        <f t="shared" si="4514"/>
        <v>4.08604059411799</v>
      </c>
      <c r="FV729" s="349">
        <f>BU729</f>
        <v>23734</v>
      </c>
      <c r="FW729" s="98">
        <f t="shared" si="4515"/>
        <v>-32.533613803689697</v>
      </c>
      <c r="FX729" s="510">
        <f>CC729</f>
        <v>33121</v>
      </c>
      <c r="FY729" s="98">
        <f t="shared" si="4516"/>
        <v>39.550855313052999</v>
      </c>
      <c r="FZ729" s="349">
        <f>CK729</f>
        <v>48625</v>
      </c>
      <c r="GA729" s="98">
        <f t="shared" si="4517"/>
        <v>46.810180852027415</v>
      </c>
      <c r="GB729" s="510">
        <f>CS729</f>
        <v>57519</v>
      </c>
      <c r="GC729" s="98">
        <f t="shared" si="4518"/>
        <v>18.291002570694094</v>
      </c>
      <c r="GD729" s="349">
        <f>DA729</f>
        <v>64453</v>
      </c>
      <c r="GE729" s="98">
        <f t="shared" si="4519"/>
        <v>12.055146994906041</v>
      </c>
      <c r="GF729" s="349">
        <f>DI729</f>
        <v>61553</v>
      </c>
      <c r="GG729" s="98">
        <f t="shared" si="4519"/>
        <v>-4.4994026655082013</v>
      </c>
      <c r="GH729" s="349">
        <f>DQ729</f>
        <v>72053</v>
      </c>
      <c r="GI729" s="98">
        <f t="shared" si="4519"/>
        <v>17.058469936477504</v>
      </c>
      <c r="GJ729" s="349">
        <f>DY729</f>
        <v>67949</v>
      </c>
      <c r="GK729" s="98">
        <f t="shared" si="4519"/>
        <v>-5.6958072529943227</v>
      </c>
      <c r="GL729" s="349">
        <f>EG729</f>
        <v>67531</v>
      </c>
      <c r="GM729" s="98">
        <f t="shared" si="4519"/>
        <v>-0.61516725779628967</v>
      </c>
      <c r="GN729" s="349">
        <f>EO729</f>
        <v>58676</v>
      </c>
      <c r="GO729" s="98">
        <f t="shared" si="4519"/>
        <v>-13.112496483096647</v>
      </c>
      <c r="GP729" s="349">
        <f>EW729</f>
        <v>57795.100587679044</v>
      </c>
      <c r="GQ729" s="98">
        <f t="shared" si="4519"/>
        <v>-1.5012942469168955</v>
      </c>
      <c r="GR729" s="118">
        <f>GP729+GR640-GR665-GR677+GR671+(GR732-GP732)</f>
        <v>58397.653981400239</v>
      </c>
      <c r="GS729" s="98">
        <f t="shared" si="4519"/>
        <v>1.042568293149837</v>
      </c>
      <c r="GT729" s="118">
        <f>GR729+GT640-GT665-GT677+GT671+(GT732-GR732)</f>
        <v>59143.551233292557</v>
      </c>
      <c r="GU729" s="98">
        <f t="shared" si="4519"/>
        <v>1.2772726317565652</v>
      </c>
      <c r="GV729" s="118">
        <f>GT729+GV640-GV665-GV677+GV671+(GV732-GT732)</f>
        <v>59989.273636416518</v>
      </c>
      <c r="GW729" s="98">
        <f t="shared" si="4519"/>
        <v>1.4299486342779666</v>
      </c>
      <c r="GX729" s="118">
        <f>GV729+GX640-GX665-GX677+GX671+(GX732-GV732)</f>
        <v>60886.750762615433</v>
      </c>
      <c r="GY729" s="98">
        <f t="shared" si="4520"/>
        <v>1.4960626655331044</v>
      </c>
      <c r="GZ729" s="98">
        <f t="shared" si="4521"/>
        <v>0.74243869327152989</v>
      </c>
      <c r="HA729" s="98"/>
      <c r="HB729" s="10"/>
      <c r="HC729"/>
      <c r="HD729"/>
      <c r="HE729"/>
      <c r="HF729"/>
      <c r="HG729"/>
      <c r="HH729"/>
      <c r="HI729" s="10"/>
    </row>
    <row r="730" spans="1:217" s="2" customFormat="1" ht="12.75" customHeight="1" x14ac:dyDescent="0.2">
      <c r="A730" s="10"/>
      <c r="B730" s="179" t="s">
        <v>53</v>
      </c>
      <c r="C730" s="349"/>
      <c r="D730" s="98"/>
      <c r="E730" s="349"/>
      <c r="F730" s="98"/>
      <c r="G730" s="349"/>
      <c r="H730" s="98"/>
      <c r="I730" s="349"/>
      <c r="J730" s="98"/>
      <c r="K730" s="349"/>
      <c r="L730" s="98" t="str">
        <f t="shared" si="4436"/>
        <v>NA</v>
      </c>
      <c r="M730" s="349"/>
      <c r="N730" s="98" t="str">
        <f t="shared" si="4437"/>
        <v>NA</v>
      </c>
      <c r="O730" s="349"/>
      <c r="P730" s="98" t="str">
        <f t="shared" si="4438"/>
        <v>NA</v>
      </c>
      <c r="Q730" s="349"/>
      <c r="R730" s="98" t="str">
        <f t="shared" si="4439"/>
        <v>NA</v>
      </c>
      <c r="S730" s="349"/>
      <c r="T730" s="98" t="str">
        <f t="shared" si="4440"/>
        <v>NA</v>
      </c>
      <c r="U730" s="349"/>
      <c r="V730" s="98" t="str">
        <f t="shared" si="4441"/>
        <v>NA</v>
      </c>
      <c r="W730" s="349"/>
      <c r="X730" s="98" t="str">
        <f t="shared" si="4442"/>
        <v>NA</v>
      </c>
      <c r="Y730" s="349"/>
      <c r="Z730" s="98" t="str">
        <f t="shared" si="4443"/>
        <v>NA</v>
      </c>
      <c r="AA730" s="349"/>
      <c r="AB730" s="98" t="str">
        <f t="shared" si="4444"/>
        <v>NA</v>
      </c>
      <c r="AC730" s="349"/>
      <c r="AD730" s="98" t="str">
        <f t="shared" si="4445"/>
        <v>NA</v>
      </c>
      <c r="AE730" s="349"/>
      <c r="AF730" s="98" t="str">
        <f t="shared" si="4446"/>
        <v>NA</v>
      </c>
      <c r="AG730" s="349"/>
      <c r="AH730" s="98" t="str">
        <f t="shared" si="4447"/>
        <v>NA</v>
      </c>
      <c r="AI730" s="118"/>
      <c r="AJ730" s="98" t="str">
        <f t="shared" si="4448"/>
        <v>NA</v>
      </c>
      <c r="AK730" s="118"/>
      <c r="AL730" s="98" t="str">
        <f t="shared" si="4449"/>
        <v>NA</v>
      </c>
      <c r="AM730" s="118"/>
      <c r="AN730" s="98" t="str">
        <f t="shared" si="4450"/>
        <v>NA</v>
      </c>
      <c r="AO730" s="118"/>
      <c r="AP730" s="98" t="str">
        <f t="shared" si="4451"/>
        <v>NA</v>
      </c>
      <c r="AQ730" s="118"/>
      <c r="AR730" s="98" t="str">
        <f t="shared" si="4452"/>
        <v>NA</v>
      </c>
      <c r="AS730" s="121">
        <v>2042</v>
      </c>
      <c r="AT730" s="98" t="str">
        <f t="shared" si="4453"/>
        <v>NA</v>
      </c>
      <c r="AU730" s="121">
        <v>2042</v>
      </c>
      <c r="AV730" s="98" t="str">
        <f t="shared" si="4454"/>
        <v>NA</v>
      </c>
      <c r="AW730" s="121">
        <v>2042</v>
      </c>
      <c r="AX730" s="98" t="str">
        <f t="shared" si="4455"/>
        <v>NA</v>
      </c>
      <c r="AY730" s="121">
        <v>2042</v>
      </c>
      <c r="AZ730" s="98" t="str">
        <f t="shared" si="4456"/>
        <v>NA</v>
      </c>
      <c r="BA730" s="121">
        <v>2042</v>
      </c>
      <c r="BB730" s="98">
        <f t="shared" si="4457"/>
        <v>0</v>
      </c>
      <c r="BC730" s="121">
        <v>2042</v>
      </c>
      <c r="BD730" s="98">
        <f t="shared" si="4458"/>
        <v>0</v>
      </c>
      <c r="BE730" s="121">
        <v>2042</v>
      </c>
      <c r="BF730" s="98">
        <f t="shared" si="4459"/>
        <v>0</v>
      </c>
      <c r="BG730" s="121">
        <v>2042</v>
      </c>
      <c r="BH730" s="98">
        <f t="shared" si="4460"/>
        <v>0</v>
      </c>
      <c r="BI730" s="121">
        <v>2042</v>
      </c>
      <c r="BJ730" s="98">
        <f t="shared" si="4461"/>
        <v>0</v>
      </c>
      <c r="BK730" s="121">
        <f>BI730</f>
        <v>2042</v>
      </c>
      <c r="BL730" s="98">
        <f t="shared" si="4462"/>
        <v>0</v>
      </c>
      <c r="BM730" s="121">
        <f>BK730</f>
        <v>2042</v>
      </c>
      <c r="BN730" s="98">
        <f t="shared" si="4463"/>
        <v>0</v>
      </c>
      <c r="BO730" s="121">
        <f>BM730</f>
        <v>2042</v>
      </c>
      <c r="BP730" s="98">
        <f t="shared" si="4464"/>
        <v>0</v>
      </c>
      <c r="BQ730" s="121">
        <f>BO730</f>
        <v>2042</v>
      </c>
      <c r="BR730" s="98">
        <f t="shared" si="4465"/>
        <v>0</v>
      </c>
      <c r="BS730" s="121">
        <f>BQ730</f>
        <v>2042</v>
      </c>
      <c r="BT730" s="98">
        <f t="shared" si="4466"/>
        <v>0</v>
      </c>
      <c r="BU730" s="121">
        <f>BS730</f>
        <v>2042</v>
      </c>
      <c r="BV730" s="98">
        <f t="shared" si="4467"/>
        <v>0</v>
      </c>
      <c r="BW730" s="121">
        <f>BU730</f>
        <v>2042</v>
      </c>
      <c r="BX730" s="98">
        <f t="shared" si="4468"/>
        <v>0</v>
      </c>
      <c r="BY730" s="121">
        <f>BW730</f>
        <v>2042</v>
      </c>
      <c r="BZ730" s="98">
        <f t="shared" si="4469"/>
        <v>0</v>
      </c>
      <c r="CA730" s="121">
        <f>BY730</f>
        <v>2042</v>
      </c>
      <c r="CB730" s="98">
        <f t="shared" si="4470"/>
        <v>0</v>
      </c>
      <c r="CC730" s="121">
        <f>CA730</f>
        <v>2042</v>
      </c>
      <c r="CD730" s="98">
        <f t="shared" si="4471"/>
        <v>0</v>
      </c>
      <c r="CE730" s="121">
        <f>CC730</f>
        <v>2042</v>
      </c>
      <c r="CF730" s="98">
        <f t="shared" si="4472"/>
        <v>0</v>
      </c>
      <c r="CG730" s="121">
        <f>CE730</f>
        <v>2042</v>
      </c>
      <c r="CH730" s="98">
        <f t="shared" si="4473"/>
        <v>0</v>
      </c>
      <c r="CI730" s="121">
        <f>CG730</f>
        <v>2042</v>
      </c>
      <c r="CJ730" s="98">
        <f t="shared" si="4474"/>
        <v>0</v>
      </c>
      <c r="CK730" s="121">
        <f>CI730</f>
        <v>2042</v>
      </c>
      <c r="CL730" s="98">
        <f t="shared" si="4475"/>
        <v>0</v>
      </c>
      <c r="CM730" s="121">
        <f>CK730</f>
        <v>2042</v>
      </c>
      <c r="CN730" s="98">
        <f t="shared" si="4476"/>
        <v>0</v>
      </c>
      <c r="CO730" s="121">
        <f>CM730</f>
        <v>2042</v>
      </c>
      <c r="CP730" s="98">
        <f t="shared" si="4477"/>
        <v>0</v>
      </c>
      <c r="CQ730" s="557">
        <f>CO730</f>
        <v>2042</v>
      </c>
      <c r="CR730" s="98">
        <f t="shared" si="4477"/>
        <v>0</v>
      </c>
      <c r="CS730" s="121">
        <f>CQ730</f>
        <v>2042</v>
      </c>
      <c r="CT730" s="98">
        <f t="shared" si="4477"/>
        <v>0</v>
      </c>
      <c r="CU730" s="121">
        <f>CS730</f>
        <v>2042</v>
      </c>
      <c r="CV730" s="98">
        <f t="shared" si="4478"/>
        <v>0</v>
      </c>
      <c r="CW730" s="121">
        <f>CU730</f>
        <v>2042</v>
      </c>
      <c r="CX730" s="98">
        <f t="shared" si="4479"/>
        <v>0</v>
      </c>
      <c r="CY730" s="121">
        <f>CW730</f>
        <v>2042</v>
      </c>
      <c r="CZ730" s="98">
        <f t="shared" si="4480"/>
        <v>0</v>
      </c>
      <c r="DA730" s="121">
        <f>CY730</f>
        <v>2042</v>
      </c>
      <c r="DB730" s="98">
        <f t="shared" si="4481"/>
        <v>0</v>
      </c>
      <c r="DC730" s="121">
        <f>DA730</f>
        <v>2042</v>
      </c>
      <c r="DD730" s="98">
        <f t="shared" si="4482"/>
        <v>0</v>
      </c>
      <c r="DE730" s="121">
        <f>DC730</f>
        <v>2042</v>
      </c>
      <c r="DF730" s="98">
        <f t="shared" si="4483"/>
        <v>0</v>
      </c>
      <c r="DG730" s="121">
        <f>DE730</f>
        <v>2042</v>
      </c>
      <c r="DH730" s="98">
        <f t="shared" si="4484"/>
        <v>0</v>
      </c>
      <c r="DI730" s="121">
        <f>DG730</f>
        <v>2042</v>
      </c>
      <c r="DJ730" s="98">
        <f t="shared" si="4485"/>
        <v>0</v>
      </c>
      <c r="DK730" s="121">
        <f>DI730</f>
        <v>2042</v>
      </c>
      <c r="DL730" s="98">
        <f t="shared" si="4486"/>
        <v>0</v>
      </c>
      <c r="DM730" s="121">
        <f>DK730</f>
        <v>2042</v>
      </c>
      <c r="DN730" s="98">
        <f t="shared" si="4487"/>
        <v>0</v>
      </c>
      <c r="DO730" s="121">
        <v>2043</v>
      </c>
      <c r="DP730" s="98">
        <f t="shared" si="4487"/>
        <v>4.8971596474034484E-2</v>
      </c>
      <c r="DQ730" s="121">
        <v>2043</v>
      </c>
      <c r="DR730" s="98">
        <f t="shared" si="4487"/>
        <v>4.8971596474034484E-2</v>
      </c>
      <c r="DS730" s="121">
        <v>2043</v>
      </c>
      <c r="DT730" s="98">
        <f t="shared" si="4487"/>
        <v>4.8971596474034484E-2</v>
      </c>
      <c r="DU730" s="121">
        <v>2066</v>
      </c>
      <c r="DV730" s="98">
        <f t="shared" si="4487"/>
        <v>1.1753183153770719</v>
      </c>
      <c r="DW730" s="121">
        <v>2066</v>
      </c>
      <c r="DX730" s="98">
        <f t="shared" si="4487"/>
        <v>1.1257953989231462</v>
      </c>
      <c r="DY730" s="121">
        <v>2066</v>
      </c>
      <c r="DZ730" s="98">
        <f t="shared" si="4487"/>
        <v>1.1257953989231462</v>
      </c>
      <c r="EA730" s="952">
        <v>2066</v>
      </c>
      <c r="EB730" s="860">
        <f t="shared" si="4488"/>
        <v>1.1257953989231462</v>
      </c>
      <c r="EC730" s="952">
        <v>2066</v>
      </c>
      <c r="ED730" s="860">
        <f t="shared" si="4489"/>
        <v>0</v>
      </c>
      <c r="EE730" s="952">
        <v>2066</v>
      </c>
      <c r="EF730" s="860">
        <f t="shared" si="4490"/>
        <v>0</v>
      </c>
      <c r="EG730" s="952">
        <v>2066</v>
      </c>
      <c r="EH730" s="860">
        <f t="shared" si="4491"/>
        <v>0</v>
      </c>
      <c r="EI730" s="952">
        <v>2066</v>
      </c>
      <c r="EJ730" s="860">
        <f t="shared" si="4492"/>
        <v>0</v>
      </c>
      <c r="EK730" s="952">
        <v>2066</v>
      </c>
      <c r="EL730" s="860">
        <f t="shared" si="4493"/>
        <v>0</v>
      </c>
      <c r="EM730" s="952">
        <v>2066</v>
      </c>
      <c r="EN730" s="860">
        <f t="shared" si="4494"/>
        <v>0</v>
      </c>
      <c r="EO730" s="952">
        <v>2066</v>
      </c>
      <c r="EP730" s="98">
        <f t="shared" si="4495"/>
        <v>0</v>
      </c>
      <c r="EQ730" s="952">
        <f t="shared" ref="EQ730" si="4528">EO730</f>
        <v>2066</v>
      </c>
      <c r="ER730" s="98">
        <f t="shared" si="4497"/>
        <v>0</v>
      </c>
      <c r="ES730" s="952">
        <f t="shared" ref="ES730" si="4529">EQ730</f>
        <v>2066</v>
      </c>
      <c r="ET730" s="98">
        <f t="shared" si="4499"/>
        <v>0</v>
      </c>
      <c r="EU730" s="952">
        <f t="shared" ref="EU730" si="4530">ES730</f>
        <v>2066</v>
      </c>
      <c r="EV730" s="98">
        <f t="shared" si="4501"/>
        <v>0</v>
      </c>
      <c r="EW730" s="952">
        <f t="shared" ref="EW730" si="4531">EU730</f>
        <v>2066</v>
      </c>
      <c r="EX730" s="98">
        <f t="shared" si="4503"/>
        <v>0</v>
      </c>
      <c r="EY730" s="121"/>
      <c r="EZ730" s="594"/>
      <c r="FA730" s="405"/>
      <c r="FB730" s="349"/>
      <c r="FC730" s="98"/>
      <c r="FD730" s="40"/>
      <c r="FE730" s="98"/>
      <c r="FF730" s="349"/>
      <c r="FG730" s="98"/>
      <c r="FH730" s="349"/>
      <c r="FI730" s="98"/>
      <c r="FJ730" s="349"/>
      <c r="FK730" s="98"/>
      <c r="FL730" s="349"/>
      <c r="FM730" s="98"/>
      <c r="FN730" s="349"/>
      <c r="FO730" s="98"/>
      <c r="FP730" s="349">
        <f t="shared" si="4510"/>
        <v>2042</v>
      </c>
      <c r="FQ730" s="98" t="str">
        <f>IF(ISERROR((FP730/FN730-1)*100),"NA",IF(((FP730/FN730-1)*100)&gt;100,"NM",IF(((FP730/FN730-1)*100)&lt;-50,"NM",(FP730/FN730-1)*100)))</f>
        <v>NA</v>
      </c>
      <c r="FR730" s="349">
        <f t="shared" si="4512"/>
        <v>2042</v>
      </c>
      <c r="FS730" s="98">
        <f>IF(ISERROR((FR730/FP730-1)*100),"NA",IF(((FR730/FP730-1)*100)&gt;100,"NM",IF(((FR730/FP730-1)*100)&lt;-50,"NM",(FR730/FP730-1)*100)))</f>
        <v>0</v>
      </c>
      <c r="FT730" s="349">
        <f>BM730</f>
        <v>2042</v>
      </c>
      <c r="FU730" s="98">
        <f>IF(ISERROR((FT730/FR730-1)*100),"NA",IF(((FT730/FR730-1)*100)&gt;100,"NM",IF(((FT730/FR730-1)*100)&lt;-50,"NM",(FT730/FR730-1)*100)))</f>
        <v>0</v>
      </c>
      <c r="FV730" s="349">
        <f>BU730</f>
        <v>2042</v>
      </c>
      <c r="FW730" s="98">
        <f t="shared" si="4515"/>
        <v>0</v>
      </c>
      <c r="FX730" s="510">
        <f>CC730</f>
        <v>2042</v>
      </c>
      <c r="FY730" s="98">
        <f t="shared" si="4516"/>
        <v>0</v>
      </c>
      <c r="FZ730" s="349">
        <f>CK730</f>
        <v>2042</v>
      </c>
      <c r="GA730" s="98">
        <f t="shared" si="4517"/>
        <v>0</v>
      </c>
      <c r="GB730" s="510">
        <f>CS730</f>
        <v>2042</v>
      </c>
      <c r="GC730" s="98">
        <f t="shared" si="4518"/>
        <v>0</v>
      </c>
      <c r="GD730" s="349">
        <f>DA730</f>
        <v>2042</v>
      </c>
      <c r="GE730" s="98">
        <f t="shared" si="4519"/>
        <v>0</v>
      </c>
      <c r="GF730" s="349">
        <f>DI730</f>
        <v>2042</v>
      </c>
      <c r="GG730" s="98">
        <f t="shared" si="4519"/>
        <v>0</v>
      </c>
      <c r="GH730" s="349">
        <f>DQ730</f>
        <v>2043</v>
      </c>
      <c r="GI730" s="98">
        <f t="shared" si="4519"/>
        <v>4.8971596474034484E-2</v>
      </c>
      <c r="GJ730" s="349">
        <f>DY730</f>
        <v>2066</v>
      </c>
      <c r="GK730" s="98">
        <f t="shared" si="4519"/>
        <v>1.1257953989231462</v>
      </c>
      <c r="GL730" s="349">
        <f>EG730</f>
        <v>2066</v>
      </c>
      <c r="GM730" s="98">
        <f t="shared" si="4519"/>
        <v>0</v>
      </c>
      <c r="GN730" s="349">
        <f>EO730</f>
        <v>2066</v>
      </c>
      <c r="GO730" s="98">
        <f t="shared" si="4519"/>
        <v>0</v>
      </c>
      <c r="GP730" s="349">
        <f>EW730</f>
        <v>2066</v>
      </c>
      <c r="GQ730" s="98">
        <f t="shared" si="4519"/>
        <v>0</v>
      </c>
      <c r="GR730" s="121">
        <f>GP730</f>
        <v>2066</v>
      </c>
      <c r="GS730" s="98">
        <f t="shared" si="4519"/>
        <v>0</v>
      </c>
      <c r="GT730" s="121">
        <f>GR730</f>
        <v>2066</v>
      </c>
      <c r="GU730" s="98">
        <f t="shared" si="4519"/>
        <v>0</v>
      </c>
      <c r="GV730" s="121">
        <f>GT730</f>
        <v>2066</v>
      </c>
      <c r="GW730" s="98">
        <f t="shared" si="4519"/>
        <v>0</v>
      </c>
      <c r="GX730" s="121">
        <f>GV730</f>
        <v>2066</v>
      </c>
      <c r="GY730" s="98">
        <f t="shared" si="4520"/>
        <v>0</v>
      </c>
      <c r="GZ730" s="98">
        <f t="shared" si="4521"/>
        <v>0</v>
      </c>
      <c r="HA730" s="98"/>
      <c r="HB730" s="10"/>
      <c r="HC730"/>
      <c r="HD730"/>
      <c r="HE730"/>
      <c r="HF730"/>
      <c r="HG730"/>
      <c r="HH730"/>
      <c r="HI730" s="10"/>
    </row>
    <row r="731" spans="1:217" s="2" customFormat="1" ht="12.75" customHeight="1" x14ac:dyDescent="0.2">
      <c r="A731" s="10"/>
      <c r="B731" s="179" t="s">
        <v>608</v>
      </c>
      <c r="C731" s="349">
        <f>C729-C730</f>
        <v>14016</v>
      </c>
      <c r="D731" s="349"/>
      <c r="E731" s="349">
        <f>E729-E730</f>
        <v>14567</v>
      </c>
      <c r="F731" s="98"/>
      <c r="G731" s="349">
        <f>G729-G730</f>
        <v>15207</v>
      </c>
      <c r="H731" s="98"/>
      <c r="I731" s="349">
        <f>I729-I730</f>
        <v>16389</v>
      </c>
      <c r="J731" s="98"/>
      <c r="K731" s="349">
        <f>K729-K730</f>
        <v>17022</v>
      </c>
      <c r="L731" s="98">
        <f t="shared" si="4436"/>
        <v>21.446917808219169</v>
      </c>
      <c r="M731" s="349">
        <f>M729-M730</f>
        <v>16763</v>
      </c>
      <c r="N731" s="98">
        <f t="shared" si="4437"/>
        <v>15.075169904578845</v>
      </c>
      <c r="O731" s="349">
        <f>O729-O730</f>
        <v>16928</v>
      </c>
      <c r="P731" s="98">
        <f t="shared" si="4438"/>
        <v>11.317156572631015</v>
      </c>
      <c r="Q731" s="349">
        <f>Q729-Q730</f>
        <v>16062</v>
      </c>
      <c r="R731" s="98">
        <f t="shared" si="4439"/>
        <v>-1.995240710232471</v>
      </c>
      <c r="S731" s="349">
        <f>S729-S730</f>
        <v>15320</v>
      </c>
      <c r="T731" s="98">
        <f t="shared" si="4440"/>
        <v>-9.9988250499353786</v>
      </c>
      <c r="U731" s="349">
        <f>U729-U730</f>
        <v>16144</v>
      </c>
      <c r="V731" s="98">
        <f t="shared" si="4441"/>
        <v>-3.6926564457436029</v>
      </c>
      <c r="W731" s="349">
        <f>W729-W730</f>
        <v>17077</v>
      </c>
      <c r="X731" s="98">
        <f t="shared" si="4442"/>
        <v>0.88019848771265785</v>
      </c>
      <c r="Y731" s="349">
        <f>Y729-Y730</f>
        <v>17385</v>
      </c>
      <c r="Z731" s="98">
        <f t="shared" si="4443"/>
        <v>8.2368322749346348</v>
      </c>
      <c r="AA731" s="349">
        <f>AA729-AA730</f>
        <v>18039</v>
      </c>
      <c r="AB731" s="98">
        <f t="shared" si="4444"/>
        <v>17.748041775456926</v>
      </c>
      <c r="AC731" s="349">
        <f>AC729-AC730</f>
        <v>20623</v>
      </c>
      <c r="AD731" s="98">
        <f t="shared" si="4445"/>
        <v>27.744053518334976</v>
      </c>
      <c r="AE731" s="349">
        <f>AE729-AE730</f>
        <v>20905</v>
      </c>
      <c r="AF731" s="98">
        <f t="shared" si="4446"/>
        <v>22.416115242724132</v>
      </c>
      <c r="AG731" s="349">
        <f>AG729-AG730</f>
        <v>21149</v>
      </c>
      <c r="AH731" s="98">
        <f t="shared" si="4447"/>
        <v>21.650848432556803</v>
      </c>
      <c r="AI731" s="349">
        <f>AI729-AI730</f>
        <v>22348</v>
      </c>
      <c r="AJ731" s="98">
        <f t="shared" si="4448"/>
        <v>23.887133433117125</v>
      </c>
      <c r="AK731" s="349">
        <f>AK729-AK730</f>
        <v>21398</v>
      </c>
      <c r="AL731" s="98">
        <f t="shared" si="4449"/>
        <v>3.7579401638946797</v>
      </c>
      <c r="AM731" s="349">
        <f>AM729-AM730</f>
        <v>22975</v>
      </c>
      <c r="AN731" s="98">
        <f t="shared" si="4450"/>
        <v>9.901937335565659</v>
      </c>
      <c r="AO731" s="349">
        <f>AO729-AO730</f>
        <v>22824</v>
      </c>
      <c r="AP731" s="98">
        <f t="shared" si="4451"/>
        <v>7.9199962173152505</v>
      </c>
      <c r="AQ731" s="349">
        <f>AQ729-AQ730</f>
        <v>23038</v>
      </c>
      <c r="AR731" s="98">
        <f t="shared" si="4452"/>
        <v>3.0875246107034293</v>
      </c>
      <c r="AS731" s="349">
        <f>AS729-AS730</f>
        <v>26129</v>
      </c>
      <c r="AT731" s="98">
        <f t="shared" si="4453"/>
        <v>22.109542947939055</v>
      </c>
      <c r="AU731" s="349">
        <f>AU729-AU730</f>
        <v>26715</v>
      </c>
      <c r="AV731" s="98">
        <f t="shared" si="4454"/>
        <v>16.278563656147995</v>
      </c>
      <c r="AW731" s="349">
        <f>AW729-AW730</f>
        <v>27059</v>
      </c>
      <c r="AX731" s="98">
        <f t="shared" si="4455"/>
        <v>18.555029793200141</v>
      </c>
      <c r="AY731" s="349">
        <f>AY729-AY730</f>
        <v>26525</v>
      </c>
      <c r="AZ731" s="98">
        <f t="shared" si="4456"/>
        <v>15.1358624880632</v>
      </c>
      <c r="BA731" s="349">
        <f>BA729-BA730</f>
        <v>25639</v>
      </c>
      <c r="BB731" s="98">
        <f t="shared" si="4457"/>
        <v>-1.8753109571740256</v>
      </c>
      <c r="BC731" s="349">
        <f>BC729-BC730</f>
        <v>29568</v>
      </c>
      <c r="BD731" s="98">
        <f t="shared" si="4458"/>
        <v>10.679393599101639</v>
      </c>
      <c r="BE731" s="349">
        <f>BE729-BE730</f>
        <v>31756</v>
      </c>
      <c r="BF731" s="98">
        <f t="shared" si="4459"/>
        <v>17.358365054140947</v>
      </c>
      <c r="BG731" s="349">
        <f>BG729-BG730</f>
        <v>32027</v>
      </c>
      <c r="BH731" s="98">
        <f t="shared" si="4460"/>
        <v>20.742695570216775</v>
      </c>
      <c r="BI731" s="349">
        <f>BI729-BI730</f>
        <v>31513</v>
      </c>
      <c r="BJ731" s="98">
        <f t="shared" si="4461"/>
        <v>22.910409922383867</v>
      </c>
      <c r="BK731" s="349">
        <f>BK729-BK730</f>
        <v>32704</v>
      </c>
      <c r="BL731" s="98">
        <f t="shared" si="4462"/>
        <v>10.606060606060597</v>
      </c>
      <c r="BM731" s="349">
        <f>BM729-BM730</f>
        <v>33137</v>
      </c>
      <c r="BN731" s="98">
        <f t="shared" si="4463"/>
        <v>4.3487844816727517</v>
      </c>
      <c r="BO731" s="349">
        <f>BO729-BO730</f>
        <v>30957</v>
      </c>
      <c r="BP731" s="98">
        <f t="shared" si="4464"/>
        <v>-3.3409310893933286</v>
      </c>
      <c r="BQ731" s="349">
        <f>BQ729-BQ730</f>
        <v>30499</v>
      </c>
      <c r="BR731" s="98">
        <f t="shared" si="4465"/>
        <v>-3.2177196712467881</v>
      </c>
      <c r="BS731" s="349">
        <f>BS729-BS730</f>
        <v>25791</v>
      </c>
      <c r="BT731" s="98">
        <f t="shared" si="4466"/>
        <v>-21.138087084148726</v>
      </c>
      <c r="BU731" s="349">
        <f>BU729-BU730</f>
        <v>21692</v>
      </c>
      <c r="BV731" s="98">
        <f t="shared" si="4467"/>
        <v>-34.538431360714604</v>
      </c>
      <c r="BW731" s="349">
        <f>BW729-BW730</f>
        <v>21068</v>
      </c>
      <c r="BX731" s="98">
        <f t="shared" si="4468"/>
        <v>-31.94430984914559</v>
      </c>
      <c r="BY731" s="349">
        <f>BY729-BY730</f>
        <v>25251</v>
      </c>
      <c r="BZ731" s="98">
        <f t="shared" si="4469"/>
        <v>-17.207121544968686</v>
      </c>
      <c r="CA731" s="349">
        <f>CA729-CA730</f>
        <v>32226</v>
      </c>
      <c r="CB731" s="98">
        <f t="shared" si="4470"/>
        <v>24.950564150284983</v>
      </c>
      <c r="CC731" s="349">
        <f>CC729-CC730</f>
        <v>31079</v>
      </c>
      <c r="CD731" s="98">
        <f t="shared" si="4471"/>
        <v>43.274018071178318</v>
      </c>
      <c r="CE731" s="349">
        <f>CE729-CE730</f>
        <v>33769</v>
      </c>
      <c r="CF731" s="98">
        <f t="shared" si="4472"/>
        <v>60.285741408771585</v>
      </c>
      <c r="CG731" s="349">
        <f>CG729-CG730</f>
        <v>37333</v>
      </c>
      <c r="CH731" s="98">
        <f t="shared" si="4473"/>
        <v>47.847609995643751</v>
      </c>
      <c r="CI731" s="349">
        <f>CI729-CI730</f>
        <v>44373</v>
      </c>
      <c r="CJ731" s="98">
        <f t="shared" si="4474"/>
        <v>37.693167008005958</v>
      </c>
      <c r="CK731" s="349">
        <f>CK729-CK730</f>
        <v>46583</v>
      </c>
      <c r="CL731" s="98">
        <f t="shared" si="4475"/>
        <v>49.885774960584328</v>
      </c>
      <c r="CM731" s="349">
        <f>CM729-CM730</f>
        <v>45858</v>
      </c>
      <c r="CN731" s="98">
        <f t="shared" si="4476"/>
        <v>35.799105688649348</v>
      </c>
      <c r="CO731" s="349">
        <f>CO729-CO730</f>
        <v>49230</v>
      </c>
      <c r="CP731" s="98">
        <f t="shared" si="4477"/>
        <v>31.86724881472156</v>
      </c>
      <c r="CQ731" s="510">
        <f>CQ729-CQ730</f>
        <v>56208</v>
      </c>
      <c r="CR731" s="98">
        <f t="shared" si="4477"/>
        <v>26.67162463660333</v>
      </c>
      <c r="CS731" s="349">
        <f>CS729-CS730</f>
        <v>55477</v>
      </c>
      <c r="CT731" s="98">
        <f t="shared" si="4477"/>
        <v>19.092802095184936</v>
      </c>
      <c r="CU731" s="349">
        <f>CU729-CU730</f>
        <v>56624</v>
      </c>
      <c r="CV731" s="98">
        <f t="shared" si="4478"/>
        <v>23.476819747917489</v>
      </c>
      <c r="CW731" s="349">
        <f>CW729-CW730</f>
        <v>60364</v>
      </c>
      <c r="CX731" s="98">
        <f t="shared" si="4479"/>
        <v>22.616290879544998</v>
      </c>
      <c r="CY731" s="349">
        <f>CY729-CY730</f>
        <v>62007</v>
      </c>
      <c r="CZ731" s="98">
        <f t="shared" si="4480"/>
        <v>10.317036720751505</v>
      </c>
      <c r="DA731" s="349">
        <f>DA729-DA730</f>
        <v>62411</v>
      </c>
      <c r="DB731" s="98">
        <f t="shared" si="4481"/>
        <v>12.49887340699749</v>
      </c>
      <c r="DC731" s="349">
        <f>DC729-DC730</f>
        <v>62408</v>
      </c>
      <c r="DD731" s="98">
        <f t="shared" si="4482"/>
        <v>10.214749929358579</v>
      </c>
      <c r="DE731" s="349">
        <f>DE729-DE730</f>
        <v>57961</v>
      </c>
      <c r="DF731" s="98">
        <f t="shared" si="4483"/>
        <v>-3.9808495129547428</v>
      </c>
      <c r="DG731" s="349">
        <f>DG729-DG730</f>
        <v>58885</v>
      </c>
      <c r="DH731" s="98">
        <f t="shared" si="4484"/>
        <v>-5.034915412775975</v>
      </c>
      <c r="DI731" s="349">
        <f>DI729-DI730</f>
        <v>59511</v>
      </c>
      <c r="DJ731" s="98">
        <f t="shared" si="4485"/>
        <v>-4.6466167822979969</v>
      </c>
      <c r="DK731" s="349">
        <f>DK729-DK730</f>
        <v>63716</v>
      </c>
      <c r="DL731" s="98">
        <f t="shared" si="4486"/>
        <v>2.0958851429303982</v>
      </c>
      <c r="DM731" s="349">
        <f>DM729-DM730</f>
        <v>67549</v>
      </c>
      <c r="DN731" s="98">
        <f t="shared" si="4487"/>
        <v>16.542157657735366</v>
      </c>
      <c r="DO731" s="349">
        <f>DO729-DO730</f>
        <v>68762</v>
      </c>
      <c r="DP731" s="98">
        <f t="shared" si="4487"/>
        <v>16.773371826441362</v>
      </c>
      <c r="DQ731" s="349">
        <f>DQ729-DQ730</f>
        <v>70010</v>
      </c>
      <c r="DR731" s="98">
        <f t="shared" si="4487"/>
        <v>17.642116583488775</v>
      </c>
      <c r="DS731" s="349">
        <f>DS729-DS730</f>
        <v>71727</v>
      </c>
      <c r="DT731" s="98">
        <f t="shared" si="4487"/>
        <v>12.572980099190145</v>
      </c>
      <c r="DU731" s="349">
        <f>DU729-DU730</f>
        <v>67311</v>
      </c>
      <c r="DV731" s="98">
        <f t="shared" si="4487"/>
        <v>-0.35233682215872753</v>
      </c>
      <c r="DW731" s="349">
        <f>DW729-DW730</f>
        <v>68437</v>
      </c>
      <c r="DX731" s="98">
        <f t="shared" si="4487"/>
        <v>-0.47264477473022426</v>
      </c>
      <c r="DY731" s="349">
        <f>DY729-DY730</f>
        <v>65883</v>
      </c>
      <c r="DZ731" s="98">
        <f t="shared" si="4487"/>
        <v>-5.8948721611198351</v>
      </c>
      <c r="EA731" s="840">
        <f>EA729-EA730</f>
        <v>73709</v>
      </c>
      <c r="EB731" s="860">
        <f t="shared" si="4488"/>
        <v>2.763255120108199</v>
      </c>
      <c r="EC731" s="840">
        <f>EC729-EC730</f>
        <v>77113</v>
      </c>
      <c r="ED731" s="860">
        <f t="shared" si="4489"/>
        <v>14.562255797715085</v>
      </c>
      <c r="EE731" s="840">
        <f>EE729-EE730</f>
        <v>76220</v>
      </c>
      <c r="EF731" s="860">
        <f t="shared" si="4490"/>
        <v>11.372503178105408</v>
      </c>
      <c r="EG731" s="840">
        <f>EG729-EG730</f>
        <v>65465</v>
      </c>
      <c r="EH731" s="860">
        <f t="shared" si="4491"/>
        <v>-0.63445805442982062</v>
      </c>
      <c r="EI731" s="840">
        <f>EI729-EI730</f>
        <v>65660</v>
      </c>
      <c r="EJ731" s="860">
        <f t="shared" si="4492"/>
        <v>-10.919969067549417</v>
      </c>
      <c r="EK731" s="840">
        <f>EK729-EK730</f>
        <v>67182</v>
      </c>
      <c r="EL731" s="860">
        <f t="shared" si="4493"/>
        <v>-12.878502976151884</v>
      </c>
      <c r="EM731" s="840">
        <f>EM729-EM730</f>
        <v>54388</v>
      </c>
      <c r="EN731" s="860">
        <f t="shared" si="4494"/>
        <v>-28.64340068223563</v>
      </c>
      <c r="EO731" s="840">
        <f>EO729-EO730</f>
        <v>56610</v>
      </c>
      <c r="EP731" s="98">
        <f t="shared" si="4495"/>
        <v>-13.526311769647902</v>
      </c>
      <c r="EQ731" s="840">
        <f t="shared" ref="EQ731" si="4532">EQ729-EQ730</f>
        <v>55652.669045244227</v>
      </c>
      <c r="ER731" s="98">
        <f t="shared" si="4497"/>
        <v>-15.241137610045341</v>
      </c>
      <c r="ES731" s="840">
        <f t="shared" ref="ES731" si="4533">ES729-ES730</f>
        <v>55601.799194345935</v>
      </c>
      <c r="ET731" s="98">
        <f t="shared" si="4499"/>
        <v>-17.237058744386992</v>
      </c>
      <c r="EU731" s="840">
        <f t="shared" ref="EU731" si="4534">EU729-EU730</f>
        <v>55670.954708075871</v>
      </c>
      <c r="EV731" s="98">
        <f t="shared" si="4501"/>
        <v>2.3588929691767957</v>
      </c>
      <c r="EW731" s="840">
        <f t="shared" ref="EW731" si="4535">EW729-EW730</f>
        <v>55729.100587679044</v>
      </c>
      <c r="EX731" s="98">
        <f t="shared" si="4503"/>
        <v>-1.5560844591431811</v>
      </c>
      <c r="EY731" s="349"/>
      <c r="EZ731" s="594"/>
      <c r="FA731" s="405"/>
      <c r="FB731" s="349">
        <f>FB729-FB730</f>
        <v>14868</v>
      </c>
      <c r="FC731" s="98"/>
      <c r="FD731" s="349">
        <f>FD729-FD730</f>
        <v>13690</v>
      </c>
      <c r="FE731" s="98">
        <f>IF(ISERROR((FD731/FB731-1)*100),"NA",IF(((FD731/FB731-1)*100)&gt;100,"NM",IF(((FD731/FB731-1)*100)&lt;-50,"NM",(FD731/FB731-1)*100)))</f>
        <v>-7.9230562281409789</v>
      </c>
      <c r="FF731" s="349">
        <f>FF729-FF730</f>
        <v>16389</v>
      </c>
      <c r="FG731" s="98">
        <f>IF(ISERROR((FF731/FD731-1)*100),"NA",IF(((FF731/FD731-1)*100)&gt;100,"NM",IF(((FF731/FD731-1)*100)&lt;-50,"NM",(FF731/FD731-1)*100)))</f>
        <v>19.71512052593134</v>
      </c>
      <c r="FH731" s="349">
        <f>FH729-FH730</f>
        <v>16062</v>
      </c>
      <c r="FI731" s="98">
        <f>IF(ISERROR((FH731/FF731-1)*100),"NA",IF(((FH731/FF731-1)*100)&gt;100,"NM",IF(((FH731/FF731-1)*100)&lt;-50,"NM",(FH731/FF731-1)*100)))</f>
        <v>-1.995240710232471</v>
      </c>
      <c r="FJ731" s="349">
        <f>FJ729-FJ730</f>
        <v>17385</v>
      </c>
      <c r="FK731" s="98">
        <f>IF(ISERROR((FJ731/FH731-1)*100),"NA",IF(((FJ731/FH731-1)*100)&gt;100,"NM",IF(((FJ731/FH731-1)*100)&lt;-50,"NM",(FJ731/FH731-1)*100)))</f>
        <v>8.2368322749346348</v>
      </c>
      <c r="FL731" s="349">
        <f>FL729-FL730</f>
        <v>21149</v>
      </c>
      <c r="FM731" s="98">
        <f>IF(ISERROR((FL731/FJ731-1)*100),"NA",IF(((FL731/FJ731-1)*100)&gt;100,"NM",IF(((FL731/FJ731-1)*100)&lt;-50,"NM",(FL731/FJ731-1)*100)))</f>
        <v>21.650848432556803</v>
      </c>
      <c r="FN731" s="349">
        <f>FN729-FN730</f>
        <v>22824</v>
      </c>
      <c r="FO731" s="98">
        <f>IF(ISERROR((FN731/FL731-1)*100),"NA",IF(((FN731/FL731-1)*100)&gt;100,"NM",IF(((FN731/FL731-1)*100)&lt;-50,"NM",(FN731/FL731-1)*100)))</f>
        <v>7.9199962173152505</v>
      </c>
      <c r="FP731" s="349">
        <f t="shared" si="4510"/>
        <v>27059</v>
      </c>
      <c r="FQ731" s="98">
        <f>IF(ISERROR((FP731/FN731-1)*100),"NA",IF(((FP731/FN731-1)*100)&gt;100,"NM",IF(((FP731/FN731-1)*100)&lt;-50,"NM",(FP731/FN731-1)*100)))</f>
        <v>18.555029793200141</v>
      </c>
      <c r="FR731" s="349">
        <f t="shared" si="4512"/>
        <v>31756</v>
      </c>
      <c r="FS731" s="98">
        <f>IF(ISERROR((FR731/FP731-1)*100),"NA",IF(((FR731/FP731-1)*100)&gt;100,"NM",IF(((FR731/FP731-1)*100)&lt;-50,"NM",(FR731/FP731-1)*100)))</f>
        <v>17.358365054140947</v>
      </c>
      <c r="FT731" s="349">
        <f>FT729-FT730</f>
        <v>33137</v>
      </c>
      <c r="FU731" s="98">
        <f>IF(ISERROR((FT731/FR731-1)*100),"NA",IF(((FT731/FR731-1)*100)&gt;100,"NM",IF(((FT731/FR731-1)*100)&lt;-50,"NM",(FT731/FR731-1)*100)))</f>
        <v>4.3487844816727517</v>
      </c>
      <c r="FV731" s="349">
        <f>FV729-FV730</f>
        <v>21692</v>
      </c>
      <c r="FW731" s="98">
        <f t="shared" si="4515"/>
        <v>-34.538431360714604</v>
      </c>
      <c r="FX731" s="510">
        <f>FX729-FX730</f>
        <v>31079</v>
      </c>
      <c r="FY731" s="98">
        <f t="shared" si="4516"/>
        <v>43.274018071178318</v>
      </c>
      <c r="FZ731" s="349">
        <f>FZ729-FZ730</f>
        <v>46583</v>
      </c>
      <c r="GA731" s="98">
        <f t="shared" si="4517"/>
        <v>49.885774960584328</v>
      </c>
      <c r="GB731" s="510">
        <f>GB729-GB730</f>
        <v>55477</v>
      </c>
      <c r="GC731" s="98">
        <f t="shared" si="4518"/>
        <v>19.092802095184936</v>
      </c>
      <c r="GD731" s="349">
        <f>GD729-GD730</f>
        <v>62411</v>
      </c>
      <c r="GE731" s="98">
        <f t="shared" si="4519"/>
        <v>12.49887340699749</v>
      </c>
      <c r="GF731" s="349">
        <f>GF729-GF730</f>
        <v>59511</v>
      </c>
      <c r="GG731" s="98">
        <f t="shared" si="4519"/>
        <v>-4.6466167822979969</v>
      </c>
      <c r="GH731" s="349">
        <f>GH729-GH730</f>
        <v>70010</v>
      </c>
      <c r="GI731" s="98">
        <f t="shared" si="4519"/>
        <v>17.642116583488775</v>
      </c>
      <c r="GJ731" s="349">
        <f>GJ729-GJ730</f>
        <v>65883</v>
      </c>
      <c r="GK731" s="98">
        <f t="shared" si="4519"/>
        <v>-5.8948721611198351</v>
      </c>
      <c r="GL731" s="349">
        <f>GL729-GL730</f>
        <v>65465</v>
      </c>
      <c r="GM731" s="98">
        <f t="shared" si="4519"/>
        <v>-0.63445805442982062</v>
      </c>
      <c r="GN731" s="349">
        <f>GN729-GN730</f>
        <v>56610</v>
      </c>
      <c r="GO731" s="98">
        <f t="shared" si="4519"/>
        <v>-13.526311769647902</v>
      </c>
      <c r="GP731" s="349">
        <f>GP729-GP730</f>
        <v>55729.100587679044</v>
      </c>
      <c r="GQ731" s="98">
        <f t="shared" si="4519"/>
        <v>-1.5560844591431811</v>
      </c>
      <c r="GR731" s="349">
        <f>GR729-GR730</f>
        <v>56331.653981400239</v>
      </c>
      <c r="GS731" s="98">
        <f t="shared" si="4519"/>
        <v>1.0812185866398316</v>
      </c>
      <c r="GT731" s="349">
        <f>GT729-GT730</f>
        <v>57077.551233292557</v>
      </c>
      <c r="GU731" s="98">
        <f t="shared" si="4519"/>
        <v>1.3241174351788176</v>
      </c>
      <c r="GV731" s="349">
        <f>GV729-GV730</f>
        <v>57923.273636416518</v>
      </c>
      <c r="GW731" s="98">
        <f t="shared" si="4519"/>
        <v>1.4817075800383384</v>
      </c>
      <c r="GX731" s="349">
        <f>GX729-GX730</f>
        <v>58820.750762615433</v>
      </c>
      <c r="GY731" s="98">
        <f t="shared" si="4520"/>
        <v>1.5494240395188319</v>
      </c>
      <c r="GZ731" s="98">
        <f t="shared" si="4521"/>
        <v>0.76912365156043272</v>
      </c>
      <c r="HA731" s="98"/>
      <c r="HB731" s="10"/>
      <c r="HC731"/>
      <c r="HD731"/>
      <c r="HE731"/>
      <c r="HF731"/>
      <c r="HG731"/>
      <c r="HH731"/>
      <c r="HI731" s="10"/>
    </row>
    <row r="732" spans="1:217" s="2" customFormat="1" ht="12.75" customHeight="1" x14ac:dyDescent="0.2">
      <c r="A732" s="10" t="s">
        <v>558</v>
      </c>
      <c r="B732" s="179" t="s">
        <v>791</v>
      </c>
      <c r="C732" s="40">
        <v>-320</v>
      </c>
      <c r="D732" s="98"/>
      <c r="E732" s="40">
        <v>-494</v>
      </c>
      <c r="F732" s="98"/>
      <c r="G732" s="40">
        <v>97</v>
      </c>
      <c r="H732" s="98"/>
      <c r="I732" s="40">
        <v>1047</v>
      </c>
      <c r="J732" s="98"/>
      <c r="K732" s="40">
        <v>1631</v>
      </c>
      <c r="L732" s="98" t="str">
        <f t="shared" si="4436"/>
        <v>NM</v>
      </c>
      <c r="M732" s="40">
        <v>1325</v>
      </c>
      <c r="N732" s="98" t="str">
        <f t="shared" si="4437"/>
        <v>NM</v>
      </c>
      <c r="O732" s="40">
        <v>1834</v>
      </c>
      <c r="P732" s="98" t="str">
        <f t="shared" si="4438"/>
        <v>NM</v>
      </c>
      <c r="Q732" s="40">
        <v>1673</v>
      </c>
      <c r="R732" s="98">
        <f t="shared" si="4439"/>
        <v>59.789875835721105</v>
      </c>
      <c r="S732" s="40">
        <v>842</v>
      </c>
      <c r="T732" s="98">
        <f t="shared" si="4440"/>
        <v>-48.375229920294295</v>
      </c>
      <c r="U732" s="40">
        <v>1469</v>
      </c>
      <c r="V732" s="98">
        <f t="shared" si="4441"/>
        <v>10.867924528301899</v>
      </c>
      <c r="W732" s="40">
        <v>2114</v>
      </c>
      <c r="X732" s="98">
        <f t="shared" si="4442"/>
        <v>15.267175572519086</v>
      </c>
      <c r="Y732" s="40">
        <v>2007</v>
      </c>
      <c r="Z732" s="98">
        <f t="shared" si="4443"/>
        <v>19.964136282127921</v>
      </c>
      <c r="AA732" s="40">
        <v>2312</v>
      </c>
      <c r="AB732" s="98" t="str">
        <f t="shared" si="4444"/>
        <v>NM</v>
      </c>
      <c r="AC732" s="40">
        <v>3306</v>
      </c>
      <c r="AD732" s="98" t="str">
        <f t="shared" si="4445"/>
        <v>NM</v>
      </c>
      <c r="AE732" s="40">
        <v>3009</v>
      </c>
      <c r="AF732" s="98">
        <f t="shared" si="4446"/>
        <v>42.336802270577103</v>
      </c>
      <c r="AG732" s="40">
        <v>2792</v>
      </c>
      <c r="AH732" s="98">
        <f t="shared" si="4447"/>
        <v>39.113104135525667</v>
      </c>
      <c r="AI732" s="121">
        <v>3444</v>
      </c>
      <c r="AJ732" s="98">
        <f t="shared" si="4448"/>
        <v>48.96193771626298</v>
      </c>
      <c r="AK732" s="121">
        <v>1717</v>
      </c>
      <c r="AL732" s="98">
        <f t="shared" si="4449"/>
        <v>-48.064125831820938</v>
      </c>
      <c r="AM732" s="121">
        <v>2794</v>
      </c>
      <c r="AN732" s="98">
        <f t="shared" si="4450"/>
        <v>-7.1452309737454307</v>
      </c>
      <c r="AO732" s="121">
        <v>2956</v>
      </c>
      <c r="AP732" s="98">
        <f t="shared" si="4451"/>
        <v>5.8739255014326641</v>
      </c>
      <c r="AQ732" s="121">
        <v>2156</v>
      </c>
      <c r="AR732" s="98">
        <f t="shared" si="4452"/>
        <v>-37.398373983739845</v>
      </c>
      <c r="AS732" s="121">
        <v>3080</v>
      </c>
      <c r="AT732" s="98">
        <f t="shared" si="4453"/>
        <v>79.382644146767618</v>
      </c>
      <c r="AU732" s="121">
        <v>1874</v>
      </c>
      <c r="AV732" s="98">
        <f t="shared" si="4454"/>
        <v>-32.927702219040796</v>
      </c>
      <c r="AW732" s="121">
        <v>1912</v>
      </c>
      <c r="AX732" s="98">
        <f t="shared" si="4455"/>
        <v>-35.317997293640055</v>
      </c>
      <c r="AY732" s="121">
        <v>590</v>
      </c>
      <c r="AZ732" s="98" t="str">
        <f t="shared" si="4456"/>
        <v>NM</v>
      </c>
      <c r="BA732" s="121">
        <v>-991</v>
      </c>
      <c r="BB732" s="98" t="str">
        <f t="shared" si="4457"/>
        <v>NM</v>
      </c>
      <c r="BC732" s="121">
        <v>1887</v>
      </c>
      <c r="BD732" s="98">
        <f t="shared" si="4458"/>
        <v>0.69370330843117056</v>
      </c>
      <c r="BE732" s="121">
        <v>1118</v>
      </c>
      <c r="BF732" s="98">
        <f t="shared" si="4459"/>
        <v>-41.527196652719667</v>
      </c>
      <c r="BG732" s="121">
        <v>1402</v>
      </c>
      <c r="BH732" s="98" t="str">
        <f t="shared" si="4460"/>
        <v>NM</v>
      </c>
      <c r="BI732" s="121">
        <v>-292</v>
      </c>
      <c r="BJ732" s="98" t="str">
        <f t="shared" si="4461"/>
        <v>NM</v>
      </c>
      <c r="BK732" s="121">
        <v>56</v>
      </c>
      <c r="BL732" s="98" t="str">
        <f t="shared" si="4462"/>
        <v>NM</v>
      </c>
      <c r="BM732" s="121">
        <v>1078</v>
      </c>
      <c r="BN732" s="98">
        <f t="shared" si="4463"/>
        <v>-3.5778175313059046</v>
      </c>
      <c r="BO732" s="121">
        <v>-1028</v>
      </c>
      <c r="BP732" s="98" t="str">
        <f t="shared" si="4464"/>
        <v>NM</v>
      </c>
      <c r="BQ732" s="121">
        <v>-2509</v>
      </c>
      <c r="BR732" s="98" t="str">
        <f t="shared" si="4465"/>
        <v>NM</v>
      </c>
      <c r="BS732" s="121">
        <v>-7540</v>
      </c>
      <c r="BT732" s="98" t="str">
        <f t="shared" si="4466"/>
        <v>NM</v>
      </c>
      <c r="BU732" s="121">
        <v>-14253</v>
      </c>
      <c r="BV732" s="98" t="str">
        <f t="shared" si="4467"/>
        <v>NM</v>
      </c>
      <c r="BW732" s="121">
        <v>-15358</v>
      </c>
      <c r="BX732" s="98" t="str">
        <f t="shared" si="4468"/>
        <v>NM</v>
      </c>
      <c r="BY732" s="121">
        <v>-9834</v>
      </c>
      <c r="BZ732" s="98" t="str">
        <f t="shared" si="4469"/>
        <v>NM</v>
      </c>
      <c r="CA732" s="121">
        <v>-2234</v>
      </c>
      <c r="CB732" s="98" t="str">
        <f t="shared" si="4470"/>
        <v>NM</v>
      </c>
      <c r="CC732" s="121">
        <v>-3058</v>
      </c>
      <c r="CD732" s="98" t="str">
        <f t="shared" si="4471"/>
        <v>NM</v>
      </c>
      <c r="CE732" s="121">
        <v>-1191</v>
      </c>
      <c r="CF732" s="98" t="str">
        <f t="shared" si="4472"/>
        <v>NM</v>
      </c>
      <c r="CG732" s="121">
        <v>822</v>
      </c>
      <c r="CH732" s="98" t="str">
        <f t="shared" si="4473"/>
        <v>NM</v>
      </c>
      <c r="CI732" s="121">
        <v>4030</v>
      </c>
      <c r="CJ732" s="98" t="str">
        <f t="shared" si="4474"/>
        <v>NM</v>
      </c>
      <c r="CK732" s="121">
        <v>1000</v>
      </c>
      <c r="CL732" s="98" t="str">
        <f t="shared" si="4475"/>
        <v>NM</v>
      </c>
      <c r="CM732" s="121">
        <v>1245</v>
      </c>
      <c r="CN732" s="98" t="str">
        <f t="shared" si="4476"/>
        <v>NM</v>
      </c>
      <c r="CO732" s="121">
        <v>3502</v>
      </c>
      <c r="CP732" s="98" t="str">
        <f t="shared" si="4477"/>
        <v>NM</v>
      </c>
      <c r="CQ732" s="557">
        <v>7024</v>
      </c>
      <c r="CR732" s="98">
        <f t="shared" si="4477"/>
        <v>74.292803970223332</v>
      </c>
      <c r="CS732" s="121">
        <v>6083</v>
      </c>
      <c r="CT732" s="98" t="str">
        <f t="shared" si="4477"/>
        <v>NM</v>
      </c>
      <c r="CU732" s="121">
        <v>7266</v>
      </c>
      <c r="CV732" s="98" t="str">
        <f t="shared" si="4478"/>
        <v>NM</v>
      </c>
      <c r="CW732" s="121">
        <f>8735+1</f>
        <v>8736</v>
      </c>
      <c r="CX732" s="98" t="str">
        <f t="shared" si="4479"/>
        <v>NM</v>
      </c>
      <c r="CY732" s="121">
        <v>11325</v>
      </c>
      <c r="CZ732" s="98">
        <f t="shared" si="4480"/>
        <v>61.232915717539861</v>
      </c>
      <c r="DA732" s="121">
        <v>11397</v>
      </c>
      <c r="DB732" s="98">
        <f t="shared" si="4481"/>
        <v>87.358211408844326</v>
      </c>
      <c r="DC732" s="121">
        <v>10580</v>
      </c>
      <c r="DD732" s="98">
        <f t="shared" si="4482"/>
        <v>45.609688962290122</v>
      </c>
      <c r="DE732" s="121">
        <v>6202</v>
      </c>
      <c r="DF732" s="98">
        <f t="shared" si="4483"/>
        <v>-29.006410256410252</v>
      </c>
      <c r="DG732" s="121">
        <v>5100</v>
      </c>
      <c r="DH732" s="98" t="str">
        <f t="shared" si="4484"/>
        <v>NM</v>
      </c>
      <c r="DI732" s="121">
        <v>6763</v>
      </c>
      <c r="DJ732" s="98">
        <f t="shared" si="4485"/>
        <v>-40.65982276037554</v>
      </c>
      <c r="DK732" s="121">
        <v>10058</v>
      </c>
      <c r="DL732" s="98">
        <f t="shared" si="4486"/>
        <v>-4.9338374291115317</v>
      </c>
      <c r="DM732" s="121">
        <v>12797</v>
      </c>
      <c r="DN732" s="98" t="str">
        <f t="shared" si="4487"/>
        <v>NM</v>
      </c>
      <c r="DO732" s="121">
        <f>14689-1537</f>
        <v>13152</v>
      </c>
      <c r="DP732" s="98" t="str">
        <f t="shared" si="4487"/>
        <v>NM</v>
      </c>
      <c r="DQ732" s="121">
        <f>16235-2283</f>
        <v>13952</v>
      </c>
      <c r="DR732" s="98" t="str">
        <f t="shared" si="4487"/>
        <v>NM</v>
      </c>
      <c r="DS732" s="121">
        <f>17761-2246</f>
        <v>15515</v>
      </c>
      <c r="DT732" s="98">
        <f t="shared" si="4487"/>
        <v>54.255319148936174</v>
      </c>
      <c r="DU732" s="121">
        <f>12863-2206</f>
        <v>10657</v>
      </c>
      <c r="DV732" s="98">
        <f t="shared" si="4487"/>
        <v>-16.722669375634915</v>
      </c>
      <c r="DW732" s="121">
        <f>13634-2169</f>
        <v>11465</v>
      </c>
      <c r="DX732" s="98">
        <f t="shared" si="4487"/>
        <v>-12.826946472019463</v>
      </c>
      <c r="DY732" s="121">
        <f>11773-2052</f>
        <v>9721</v>
      </c>
      <c r="DZ732" s="98">
        <f t="shared" si="4487"/>
        <v>-30.325401376146786</v>
      </c>
      <c r="EA732" s="952">
        <f>17171-2024</f>
        <v>15147</v>
      </c>
      <c r="EB732" s="860">
        <f t="shared" si="4488"/>
        <v>-2.3718981630679981</v>
      </c>
      <c r="EC732" s="952">
        <f>20635-1983</f>
        <v>18652</v>
      </c>
      <c r="ED732" s="860">
        <f t="shared" si="4489"/>
        <v>75.021112883550714</v>
      </c>
      <c r="EE732" s="952">
        <f>19657-2121</f>
        <v>17536</v>
      </c>
      <c r="EF732" s="860">
        <f t="shared" si="4490"/>
        <v>52.952464020933277</v>
      </c>
      <c r="EG732" s="952">
        <f>12631-1972</f>
        <v>10659</v>
      </c>
      <c r="EH732" s="860">
        <f t="shared" si="4491"/>
        <v>9.6492130439255206</v>
      </c>
      <c r="EI732" s="952">
        <f>13189-1951</f>
        <v>11238</v>
      </c>
      <c r="EJ732" s="860">
        <f t="shared" si="4492"/>
        <v>-25.807090512972863</v>
      </c>
      <c r="EK732" s="952">
        <f>15038-1923</f>
        <v>13115</v>
      </c>
      <c r="EL732" s="860">
        <f t="shared" si="4493"/>
        <v>-29.685824576452923</v>
      </c>
      <c r="EM732" s="952">
        <f>13343-1878</f>
        <v>11465</v>
      </c>
      <c r="EN732" s="860">
        <f t="shared" si="4494"/>
        <v>-34.620209854014597</v>
      </c>
      <c r="EO732" s="952">
        <f>13662-1845</f>
        <v>11817</v>
      </c>
      <c r="EP732" s="98">
        <f t="shared" si="4495"/>
        <v>10.864058542077126</v>
      </c>
      <c r="EQ732" s="1062">
        <f>EO732</f>
        <v>11817</v>
      </c>
      <c r="ER732" s="98">
        <f t="shared" si="4497"/>
        <v>5.1521623064602284</v>
      </c>
      <c r="ES732" s="1062">
        <f t="shared" ref="ES732" si="4536">EQ732</f>
        <v>11817</v>
      </c>
      <c r="ET732" s="98">
        <f t="shared" si="4499"/>
        <v>-9.8970644300419348</v>
      </c>
      <c r="EU732" s="1062">
        <f t="shared" ref="EU732" si="4537">ES732</f>
        <v>11817</v>
      </c>
      <c r="EV732" s="98">
        <f t="shared" si="4501"/>
        <v>3.070213693850854</v>
      </c>
      <c r="EW732" s="1062">
        <f t="shared" ref="EW732" si="4538">EU732</f>
        <v>11817</v>
      </c>
      <c r="EX732" s="98">
        <f t="shared" si="4503"/>
        <v>0</v>
      </c>
      <c r="EY732" s="40"/>
      <c r="EZ732" s="594"/>
      <c r="FA732" s="405"/>
      <c r="FB732" s="40">
        <v>1384</v>
      </c>
      <c r="FC732" s="98"/>
      <c r="FD732" s="40">
        <v>-410</v>
      </c>
      <c r="FE732" s="98" t="str">
        <f t="shared" si="4504"/>
        <v>NM</v>
      </c>
      <c r="FF732" s="349">
        <f>I732</f>
        <v>1047</v>
      </c>
      <c r="FG732" s="98" t="str">
        <f t="shared" si="4505"/>
        <v>NM</v>
      </c>
      <c r="FH732" s="349">
        <f>Q732</f>
        <v>1673</v>
      </c>
      <c r="FI732" s="98">
        <f t="shared" si="4506"/>
        <v>59.789875835721105</v>
      </c>
      <c r="FJ732" s="349">
        <f>Y732</f>
        <v>2007</v>
      </c>
      <c r="FK732" s="98">
        <f t="shared" si="4507"/>
        <v>19.964136282127921</v>
      </c>
      <c r="FL732" s="349">
        <f>AG732</f>
        <v>2792</v>
      </c>
      <c r="FM732" s="98">
        <f t="shared" si="4508"/>
        <v>39.113104135525667</v>
      </c>
      <c r="FN732" s="349">
        <f>AO732</f>
        <v>2956</v>
      </c>
      <c r="FO732" s="98">
        <f t="shared" si="4509"/>
        <v>5.8739255014326641</v>
      </c>
      <c r="FP732" s="349">
        <f t="shared" si="4510"/>
        <v>1912</v>
      </c>
      <c r="FQ732" s="98">
        <f t="shared" si="4511"/>
        <v>-35.317997293640055</v>
      </c>
      <c r="FR732" s="349">
        <f t="shared" si="4512"/>
        <v>1118</v>
      </c>
      <c r="FS732" s="98">
        <f t="shared" si="4513"/>
        <v>-41.527196652719667</v>
      </c>
      <c r="FT732" s="349">
        <f>BM732</f>
        <v>1078</v>
      </c>
      <c r="FU732" s="98">
        <f t="shared" si="4514"/>
        <v>-3.5778175313059046</v>
      </c>
      <c r="FV732" s="349">
        <f>BU732</f>
        <v>-14253</v>
      </c>
      <c r="FW732" s="98" t="str">
        <f t="shared" si="4515"/>
        <v>NM</v>
      </c>
      <c r="FX732" s="510">
        <f>CC732</f>
        <v>-3058</v>
      </c>
      <c r="FY732" s="98" t="str">
        <f t="shared" si="4516"/>
        <v>NM</v>
      </c>
      <c r="FZ732" s="349">
        <f>CK732</f>
        <v>1000</v>
      </c>
      <c r="GA732" s="98" t="str">
        <f t="shared" si="4517"/>
        <v>NM</v>
      </c>
      <c r="GB732" s="510">
        <f>CS732</f>
        <v>6083</v>
      </c>
      <c r="GC732" s="98" t="str">
        <f t="shared" si="4518"/>
        <v>NM</v>
      </c>
      <c r="GD732" s="349">
        <f>DA732</f>
        <v>11397</v>
      </c>
      <c r="GE732" s="98">
        <f t="shared" si="4519"/>
        <v>87.358211408844326</v>
      </c>
      <c r="GF732" s="349">
        <f>DI732</f>
        <v>6763</v>
      </c>
      <c r="GG732" s="98">
        <f t="shared" si="4519"/>
        <v>-40.65982276037554</v>
      </c>
      <c r="GH732" s="349">
        <f>DQ732</f>
        <v>13952</v>
      </c>
      <c r="GI732" s="98" t="str">
        <f t="shared" si="4519"/>
        <v>NM</v>
      </c>
      <c r="GJ732" s="349">
        <f>DY732</f>
        <v>9721</v>
      </c>
      <c r="GK732" s="98">
        <f t="shared" si="4519"/>
        <v>-30.325401376146786</v>
      </c>
      <c r="GL732" s="349">
        <f>EG732</f>
        <v>10659</v>
      </c>
      <c r="GM732" s="98">
        <f t="shared" si="4519"/>
        <v>9.6492130439255206</v>
      </c>
      <c r="GN732" s="349">
        <f>EO732</f>
        <v>11817</v>
      </c>
      <c r="GO732" s="98">
        <f t="shared" si="4519"/>
        <v>10.864058542077126</v>
      </c>
      <c r="GP732" s="349">
        <f>EW732</f>
        <v>11817</v>
      </c>
      <c r="GQ732" s="98">
        <f t="shared" si="4519"/>
        <v>0</v>
      </c>
      <c r="GR732" s="40">
        <f>GP732</f>
        <v>11817</v>
      </c>
      <c r="GS732" s="98">
        <f t="shared" si="4519"/>
        <v>0</v>
      </c>
      <c r="GT732" s="40">
        <f>GR732</f>
        <v>11817</v>
      </c>
      <c r="GU732" s="98">
        <f t="shared" si="4519"/>
        <v>0</v>
      </c>
      <c r="GV732" s="40">
        <f>GT732</f>
        <v>11817</v>
      </c>
      <c r="GW732" s="98">
        <f t="shared" si="4519"/>
        <v>0</v>
      </c>
      <c r="GX732" s="40">
        <f>GV732</f>
        <v>11817</v>
      </c>
      <c r="GY732" s="98">
        <f t="shared" si="4520"/>
        <v>0</v>
      </c>
      <c r="GZ732" s="98">
        <f t="shared" si="4521"/>
        <v>0</v>
      </c>
      <c r="HA732" s="98"/>
      <c r="HB732" s="10"/>
      <c r="HC732"/>
      <c r="HD732"/>
      <c r="HE732"/>
      <c r="HF732"/>
      <c r="HG732"/>
      <c r="HH732"/>
      <c r="HI732" s="10"/>
    </row>
    <row r="733" spans="1:217" s="2" customFormat="1" ht="12.75" customHeight="1" x14ac:dyDescent="0.2">
      <c r="A733" s="10" t="s">
        <v>559</v>
      </c>
      <c r="B733" s="179" t="s">
        <v>681</v>
      </c>
      <c r="C733" s="295">
        <f>C729-C732</f>
        <v>14336</v>
      </c>
      <c r="D733" s="98"/>
      <c r="E733" s="295">
        <f>E729-E732</f>
        <v>15061</v>
      </c>
      <c r="F733" s="98"/>
      <c r="G733" s="295">
        <f>G729-G732</f>
        <v>15110</v>
      </c>
      <c r="H733" s="98"/>
      <c r="I733" s="295">
        <f>I729-I732</f>
        <v>15342</v>
      </c>
      <c r="J733" s="98"/>
      <c r="K733" s="295">
        <f>K729-K732</f>
        <v>15391</v>
      </c>
      <c r="L733" s="98">
        <f t="shared" si="4436"/>
        <v>7.3590959821428603</v>
      </c>
      <c r="M733" s="295">
        <f>M729-M732</f>
        <v>15438</v>
      </c>
      <c r="N733" s="98">
        <f t="shared" si="4437"/>
        <v>2.5031538410464016</v>
      </c>
      <c r="O733" s="295">
        <f>O729-O732</f>
        <v>15094</v>
      </c>
      <c r="P733" s="98">
        <f t="shared" si="4438"/>
        <v>-0.10589013898080202</v>
      </c>
      <c r="Q733" s="295">
        <f>Q729-Q732</f>
        <v>14389</v>
      </c>
      <c r="R733" s="98">
        <f t="shared" si="4439"/>
        <v>-6.2117064268022437</v>
      </c>
      <c r="S733" s="295">
        <f>S729-S732</f>
        <v>14478</v>
      </c>
      <c r="T733" s="98">
        <f t="shared" si="4440"/>
        <v>-5.9320382041452842</v>
      </c>
      <c r="U733" s="295">
        <f>U729-U732</f>
        <v>14675</v>
      </c>
      <c r="V733" s="98">
        <f t="shared" si="4441"/>
        <v>-4.9423500453426588</v>
      </c>
      <c r="W733" s="295">
        <f>W729-W732</f>
        <v>14963</v>
      </c>
      <c r="X733" s="98">
        <f t="shared" si="4442"/>
        <v>-0.86789452762686681</v>
      </c>
      <c r="Y733" s="295">
        <f>Y729-Y732</f>
        <v>15378</v>
      </c>
      <c r="Z733" s="98">
        <f t="shared" si="4443"/>
        <v>6.8733059976370914</v>
      </c>
      <c r="AA733" s="295">
        <f>AA729-AA732</f>
        <v>15727</v>
      </c>
      <c r="AB733" s="98">
        <f t="shared" si="4444"/>
        <v>8.6268821660450357</v>
      </c>
      <c r="AC733" s="295">
        <f>AC729-AC732</f>
        <v>17317</v>
      </c>
      <c r="AD733" s="98">
        <f t="shared" si="4445"/>
        <v>18.003407155025553</v>
      </c>
      <c r="AE733" s="295">
        <f>AE729-AE732</f>
        <v>17896</v>
      </c>
      <c r="AF733" s="98">
        <f t="shared" si="4446"/>
        <v>19.601684154247145</v>
      </c>
      <c r="AG733" s="295">
        <f>AG729-AG732</f>
        <v>18357</v>
      </c>
      <c r="AH733" s="98">
        <f t="shared" si="4447"/>
        <v>19.371829886851355</v>
      </c>
      <c r="AI733" s="117">
        <f>AI729-AI732</f>
        <v>18904</v>
      </c>
      <c r="AJ733" s="98">
        <f t="shared" si="4448"/>
        <v>20.200928339797809</v>
      </c>
      <c r="AK733" s="117">
        <f>AK729-AK732</f>
        <v>19681</v>
      </c>
      <c r="AL733" s="98">
        <f t="shared" si="4449"/>
        <v>13.651325287289939</v>
      </c>
      <c r="AM733" s="117">
        <f>AM729-AM732</f>
        <v>20181</v>
      </c>
      <c r="AN733" s="98">
        <f t="shared" si="4450"/>
        <v>12.768216361198025</v>
      </c>
      <c r="AO733" s="117">
        <f>AO729-AO732</f>
        <v>19868</v>
      </c>
      <c r="AP733" s="98">
        <f t="shared" si="4451"/>
        <v>8.2311924606417222</v>
      </c>
      <c r="AQ733" s="117">
        <f>AQ729-AQ732</f>
        <v>20882</v>
      </c>
      <c r="AR733" s="98">
        <f t="shared" si="4452"/>
        <v>10.463393990689806</v>
      </c>
      <c r="AS733" s="117">
        <f>AS729-AS732-AS730</f>
        <v>23049</v>
      </c>
      <c r="AT733" s="98">
        <f t="shared" si="4453"/>
        <v>17.112951577663726</v>
      </c>
      <c r="AU733" s="117">
        <f>AU729-AU732-AU730</f>
        <v>24841</v>
      </c>
      <c r="AV733" s="98">
        <f t="shared" si="4454"/>
        <v>23.091026212774391</v>
      </c>
      <c r="AW733" s="117">
        <f>AW729-AW732-AW730</f>
        <v>25147</v>
      </c>
      <c r="AX733" s="98">
        <f t="shared" si="4455"/>
        <v>26.570364405073477</v>
      </c>
      <c r="AY733" s="117">
        <f>AY729-AY732-AY730</f>
        <v>25935</v>
      </c>
      <c r="AZ733" s="98">
        <f t="shared" si="4456"/>
        <v>24.197873766880562</v>
      </c>
      <c r="BA733" s="117">
        <f>BA729-BA732-BA730</f>
        <v>26630</v>
      </c>
      <c r="BB733" s="98">
        <f t="shared" si="4457"/>
        <v>15.536465790272903</v>
      </c>
      <c r="BC733" s="117">
        <f>BC729-BC732-BC730</f>
        <v>27681</v>
      </c>
      <c r="BD733" s="98">
        <f t="shared" si="4458"/>
        <v>11.432712048629279</v>
      </c>
      <c r="BE733" s="117">
        <f>BE729-BE732-BE730</f>
        <v>30638</v>
      </c>
      <c r="BF733" s="98">
        <f t="shared" si="4459"/>
        <v>21.835606632997973</v>
      </c>
      <c r="BG733" s="117">
        <f>BG729-BG732-BG730</f>
        <v>30625</v>
      </c>
      <c r="BH733" s="98">
        <f t="shared" si="4460"/>
        <v>18.083670715249657</v>
      </c>
      <c r="BI733" s="117">
        <f>BI729-BI732-BI730</f>
        <v>31805</v>
      </c>
      <c r="BJ733" s="98">
        <f t="shared" si="4461"/>
        <v>19.432970334209543</v>
      </c>
      <c r="BK733" s="117">
        <f>BK729-BK732-BK730</f>
        <v>32648</v>
      </c>
      <c r="BL733" s="98">
        <f t="shared" si="4462"/>
        <v>17.94371590621726</v>
      </c>
      <c r="BM733" s="117">
        <f>BM729-BM732-BM730</f>
        <v>32059</v>
      </c>
      <c r="BN733" s="98">
        <f t="shared" si="4463"/>
        <v>4.6380312030811499</v>
      </c>
      <c r="BO733" s="117">
        <f>BO729-BO732-BO730</f>
        <v>31985</v>
      </c>
      <c r="BP733" s="98">
        <f t="shared" si="4464"/>
        <v>4.4408163265306166</v>
      </c>
      <c r="BQ733" s="117">
        <f>BQ729-BQ732-BQ730</f>
        <v>33008</v>
      </c>
      <c r="BR733" s="98">
        <f t="shared" si="4465"/>
        <v>3.782424147146668</v>
      </c>
      <c r="BS733" s="117">
        <f>BS729-BS732-BS730</f>
        <v>33331</v>
      </c>
      <c r="BT733" s="98">
        <f t="shared" si="4466"/>
        <v>2.092011761823076</v>
      </c>
      <c r="BU733" s="117">
        <f>BU729-BU732-BU730</f>
        <v>35945</v>
      </c>
      <c r="BV733" s="98">
        <f t="shared" si="4467"/>
        <v>12.121401166599078</v>
      </c>
      <c r="BW733" s="117">
        <f>BW729-BW732-BW730</f>
        <v>36426</v>
      </c>
      <c r="BX733" s="98">
        <f t="shared" si="4468"/>
        <v>13.884633421916526</v>
      </c>
      <c r="BY733" s="117">
        <f>BY729-BY732-BY730</f>
        <v>35085</v>
      </c>
      <c r="BZ733" s="98">
        <f t="shared" si="4469"/>
        <v>6.2924139602520635</v>
      </c>
      <c r="CA733" s="117">
        <f>CA729-CA732-CA730</f>
        <v>34460</v>
      </c>
      <c r="CB733" s="98">
        <f t="shared" si="4470"/>
        <v>3.3872371065974516</v>
      </c>
      <c r="CC733" s="117">
        <f>CC729-CC732-CC730</f>
        <v>34137</v>
      </c>
      <c r="CD733" s="98">
        <f t="shared" si="4471"/>
        <v>-5.0299068020587034</v>
      </c>
      <c r="CE733" s="117">
        <f>CE729-CE732-CE730</f>
        <v>34960</v>
      </c>
      <c r="CF733" s="98">
        <f t="shared" si="4472"/>
        <v>-4.0245978147477102</v>
      </c>
      <c r="CG733" s="117">
        <f>CG729-CG732-CG730</f>
        <v>36511</v>
      </c>
      <c r="CH733" s="98">
        <f t="shared" si="4473"/>
        <v>4.0644149921619022</v>
      </c>
      <c r="CI733" s="117">
        <f>CI729-CI732-CI730</f>
        <v>40343</v>
      </c>
      <c r="CJ733" s="98">
        <f t="shared" si="4474"/>
        <v>17.071967498549046</v>
      </c>
      <c r="CK733" s="117">
        <f>CK729-CK732-CK730</f>
        <v>45583</v>
      </c>
      <c r="CL733" s="98">
        <f t="shared" si="4475"/>
        <v>33.529601312359027</v>
      </c>
      <c r="CM733" s="117">
        <f>CM729-CM732-CM730</f>
        <v>44613</v>
      </c>
      <c r="CN733" s="98">
        <f t="shared" si="4476"/>
        <v>27.611556064073216</v>
      </c>
      <c r="CO733" s="117">
        <f>CO729-CO732-CO730</f>
        <v>45728</v>
      </c>
      <c r="CP733" s="98">
        <f t="shared" si="4477"/>
        <v>25.244446879022764</v>
      </c>
      <c r="CQ733" s="486">
        <f>CQ729-CQ732-CQ730</f>
        <v>49184</v>
      </c>
      <c r="CR733" s="98">
        <f t="shared" si="4477"/>
        <v>21.914582455444553</v>
      </c>
      <c r="CS733" s="117">
        <f>CS729-CS732-CS730</f>
        <v>49394</v>
      </c>
      <c r="CT733" s="98">
        <f t="shared" si="4477"/>
        <v>8.3605730206436579</v>
      </c>
      <c r="CU733" s="117">
        <f>CU729-CU732-CU730</f>
        <v>49358</v>
      </c>
      <c r="CV733" s="98">
        <f t="shared" si="4478"/>
        <v>10.635913298814238</v>
      </c>
      <c r="CW733" s="117">
        <f>CW729-CW732-CW730</f>
        <v>51628</v>
      </c>
      <c r="CX733" s="98">
        <f t="shared" si="4479"/>
        <v>12.902379286214138</v>
      </c>
      <c r="CY733" s="117">
        <f>CY729-CY732-CY730</f>
        <v>50682</v>
      </c>
      <c r="CZ733" s="98">
        <f t="shared" si="4480"/>
        <v>3.0457059206245862</v>
      </c>
      <c r="DA733" s="117">
        <f>DA729-DA732-DA730</f>
        <v>51014</v>
      </c>
      <c r="DB733" s="98">
        <f t="shared" si="4481"/>
        <v>3.2797505769931679</v>
      </c>
      <c r="DC733" s="117">
        <f>DC729-DC732-DC730</f>
        <v>51828</v>
      </c>
      <c r="DD733" s="98">
        <f t="shared" si="4482"/>
        <v>5.0042546294420287</v>
      </c>
      <c r="DE733" s="117">
        <f>DE729-DE732-DE730</f>
        <v>51759</v>
      </c>
      <c r="DF733" s="98">
        <f t="shared" si="4483"/>
        <v>0.25373828155264011</v>
      </c>
      <c r="DG733" s="117">
        <f>DG729-DG732-DG730</f>
        <v>53785</v>
      </c>
      <c r="DH733" s="98">
        <f t="shared" si="4484"/>
        <v>6.1224892466753555</v>
      </c>
      <c r="DI733" s="117">
        <f>DI729-DI732-DI730</f>
        <v>52748</v>
      </c>
      <c r="DJ733" s="98">
        <f t="shared" si="4485"/>
        <v>3.3990669228054937</v>
      </c>
      <c r="DK733" s="117">
        <f>DK729-DK732-DK730</f>
        <v>53658</v>
      </c>
      <c r="DL733" s="98">
        <f t="shared" si="4486"/>
        <v>3.530909932854831</v>
      </c>
      <c r="DM733" s="117">
        <f>DM729-DM732-DM730</f>
        <v>54752</v>
      </c>
      <c r="DN733" s="98">
        <f t="shared" si="4487"/>
        <v>5.7825692150157426</v>
      </c>
      <c r="DO733" s="117">
        <f>DO729-DO732-DO730</f>
        <v>55610</v>
      </c>
      <c r="DP733" s="98">
        <f t="shared" si="4487"/>
        <v>3.3931393511202002</v>
      </c>
      <c r="DQ733" s="117">
        <f>DQ729-DQ732-DQ730</f>
        <v>56058</v>
      </c>
      <c r="DR733" s="98">
        <f t="shared" si="4487"/>
        <v>6.2751194358079854</v>
      </c>
      <c r="DS733" s="117">
        <f>DS729-DS732-DS730</f>
        <v>56212</v>
      </c>
      <c r="DT733" s="98">
        <f t="shared" si="4487"/>
        <v>4.7597748704759857</v>
      </c>
      <c r="DU733" s="117">
        <f>DU729-DU732-DU730</f>
        <v>56654</v>
      </c>
      <c r="DV733" s="98">
        <f t="shared" si="4487"/>
        <v>3.4738457042665205</v>
      </c>
      <c r="DW733" s="117">
        <f>DW729-DW732-DW730</f>
        <v>56972</v>
      </c>
      <c r="DX733" s="98">
        <f t="shared" si="4487"/>
        <v>2.4491997842114754</v>
      </c>
      <c r="DY733" s="117">
        <f>DY729-DY732-DY730</f>
        <v>56162</v>
      </c>
      <c r="DZ733" s="98">
        <f t="shared" si="4487"/>
        <v>0.18552213778586513</v>
      </c>
      <c r="EA733" s="117">
        <f>EA729-EA732-EA730</f>
        <v>58562</v>
      </c>
      <c r="EB733" s="98">
        <f t="shared" si="4488"/>
        <v>4.1806020066889715</v>
      </c>
      <c r="EC733" s="117">
        <f>EC729-EC732-EC730</f>
        <v>58461</v>
      </c>
      <c r="ED733" s="98">
        <f t="shared" si="4489"/>
        <v>3.1895364846259655</v>
      </c>
      <c r="EE733" s="117">
        <f>EE729-EE732-EE730</f>
        <v>58684</v>
      </c>
      <c r="EF733" s="860">
        <f t="shared" si="4490"/>
        <v>3.0049849048655375</v>
      </c>
      <c r="EG733" s="117">
        <f>EG729-EG732-EG730</f>
        <v>54806</v>
      </c>
      <c r="EH733" s="860">
        <f t="shared" si="4491"/>
        <v>-2.4144439300594733</v>
      </c>
      <c r="EI733" s="117">
        <f>EI729-EI732-EI730</f>
        <v>54422</v>
      </c>
      <c r="EJ733" s="860">
        <f t="shared" si="4492"/>
        <v>-7.0694306888425924</v>
      </c>
      <c r="EK733" s="1031">
        <f>EK729-EK732-EK730</f>
        <v>54067</v>
      </c>
      <c r="EL733" s="860">
        <f t="shared" si="4493"/>
        <v>-7.5161218590171224</v>
      </c>
      <c r="EM733" s="1031">
        <f>EM729-EM732-EM730</f>
        <v>42923</v>
      </c>
      <c r="EN733" s="860">
        <f t="shared" si="4494"/>
        <v>-26.857405766478081</v>
      </c>
      <c r="EO733" s="1031">
        <f>EO729-EO732-EO730</f>
        <v>44793</v>
      </c>
      <c r="EP733" s="98">
        <f t="shared" si="4495"/>
        <v>-18.269897456482866</v>
      </c>
      <c r="EQ733" s="1031">
        <f t="shared" ref="EQ733" si="4539">EQ729-EQ732-EQ730</f>
        <v>43835.669045244227</v>
      </c>
      <c r="ER733" s="98">
        <f t="shared" si="4497"/>
        <v>-19.452300457086793</v>
      </c>
      <c r="ES733" s="1031">
        <f t="shared" ref="ES733" si="4540">ES729-ES732-ES730</f>
        <v>43784.799194345935</v>
      </c>
      <c r="ET733" s="98">
        <f t="shared" si="4499"/>
        <v>-19.017516795187571</v>
      </c>
      <c r="EU733" s="1031">
        <f t="shared" ref="EU733" si="4541">EU729-EU732-EU730</f>
        <v>43853.954708075871</v>
      </c>
      <c r="EV733" s="98">
        <f t="shared" si="4501"/>
        <v>2.1688947838591766</v>
      </c>
      <c r="EW733" s="1031">
        <f t="shared" ref="EW733" si="4542">EW729-EW732-EW730</f>
        <v>43912.100587679044</v>
      </c>
      <c r="EX733" s="98">
        <f t="shared" si="4503"/>
        <v>-1.9666006124192559</v>
      </c>
      <c r="EY733" s="117"/>
      <c r="EZ733" s="594"/>
      <c r="FA733" s="405"/>
      <c r="FB733" s="349">
        <f>FB729-FB732</f>
        <v>13484</v>
      </c>
      <c r="FC733" s="98"/>
      <c r="FD733" s="295">
        <f>FD729-FD732</f>
        <v>14100</v>
      </c>
      <c r="FE733" s="98">
        <f t="shared" si="4504"/>
        <v>4.5683773361020474</v>
      </c>
      <c r="FF733" s="349">
        <f>FF729-FF732</f>
        <v>15342</v>
      </c>
      <c r="FG733" s="98">
        <f t="shared" si="4505"/>
        <v>8.8085106382978609</v>
      </c>
      <c r="FH733" s="349">
        <f>FH729-FH732</f>
        <v>14389</v>
      </c>
      <c r="FI733" s="98">
        <f t="shared" si="4506"/>
        <v>-6.2117064268022437</v>
      </c>
      <c r="FJ733" s="349">
        <f>FJ729-FJ732</f>
        <v>15378</v>
      </c>
      <c r="FK733" s="98">
        <f t="shared" si="4507"/>
        <v>6.8733059976370914</v>
      </c>
      <c r="FL733" s="349">
        <f>FL729-FL732</f>
        <v>18357</v>
      </c>
      <c r="FM733" s="98">
        <f t="shared" si="4508"/>
        <v>19.371829886851355</v>
      </c>
      <c r="FN733" s="349">
        <f>FN729-FN732</f>
        <v>19868</v>
      </c>
      <c r="FO733" s="98">
        <f t="shared" si="4509"/>
        <v>8.2311924606417222</v>
      </c>
      <c r="FP733" s="349">
        <f>FP729-FP732</f>
        <v>27189</v>
      </c>
      <c r="FQ733" s="98">
        <f t="shared" si="4511"/>
        <v>36.848198107509567</v>
      </c>
      <c r="FR733" s="349">
        <f>FR729-FR732</f>
        <v>32680</v>
      </c>
      <c r="FS733" s="98">
        <f t="shared" si="4513"/>
        <v>20.195667365478688</v>
      </c>
      <c r="FT733" s="349">
        <f>FT729-FT732-FT730</f>
        <v>32059</v>
      </c>
      <c r="FU733" s="98">
        <f t="shared" si="4514"/>
        <v>-1.9002447980416171</v>
      </c>
      <c r="FV733" s="349">
        <f>FV729-FV732-FV730</f>
        <v>35945</v>
      </c>
      <c r="FW733" s="98">
        <f t="shared" si="4515"/>
        <v>12.121401166599078</v>
      </c>
      <c r="FX733" s="510">
        <f>FX729-FX732-FX730</f>
        <v>34137</v>
      </c>
      <c r="FY733" s="98">
        <f t="shared" si="4516"/>
        <v>-5.0299068020587034</v>
      </c>
      <c r="FZ733" s="349">
        <f>FZ729-FZ732-FZ730</f>
        <v>45583</v>
      </c>
      <c r="GA733" s="98">
        <f t="shared" si="4517"/>
        <v>33.529601312359027</v>
      </c>
      <c r="GB733" s="510">
        <f>GB729-GB732-GB730</f>
        <v>49394</v>
      </c>
      <c r="GC733" s="98">
        <f t="shared" si="4518"/>
        <v>8.3605730206436579</v>
      </c>
      <c r="GD733" s="349">
        <f>GD729-GD732-GD730</f>
        <v>51014</v>
      </c>
      <c r="GE733" s="98">
        <f t="shared" si="4519"/>
        <v>3.2797505769931679</v>
      </c>
      <c r="GF733" s="349">
        <f>GF729-GF732-GF730</f>
        <v>52748</v>
      </c>
      <c r="GG733" s="98">
        <f t="shared" si="4519"/>
        <v>3.3990669228054937</v>
      </c>
      <c r="GH733" s="349">
        <f>GH729-GH732-GH730</f>
        <v>56058</v>
      </c>
      <c r="GI733" s="98">
        <f t="shared" si="4519"/>
        <v>6.2751194358079854</v>
      </c>
      <c r="GJ733" s="349">
        <f>GJ729-GJ732-GJ730</f>
        <v>56162</v>
      </c>
      <c r="GK733" s="98">
        <f t="shared" si="4519"/>
        <v>0.18552213778586513</v>
      </c>
      <c r="GL733" s="349">
        <f>GL729-GL732-GL730</f>
        <v>54806</v>
      </c>
      <c r="GM733" s="98">
        <f t="shared" si="4519"/>
        <v>-2.4144439300594733</v>
      </c>
      <c r="GN733" s="349">
        <f>GN729-GN732-GN730</f>
        <v>44793</v>
      </c>
      <c r="GO733" s="98">
        <f t="shared" si="4519"/>
        <v>-18.269897456482866</v>
      </c>
      <c r="GP733" s="349">
        <f>GP729-GP732-GP730</f>
        <v>43912.100587679044</v>
      </c>
      <c r="GQ733" s="98">
        <f t="shared" si="4519"/>
        <v>-1.9666006124192559</v>
      </c>
      <c r="GR733" s="117">
        <f>GR729-GR732-GR730</f>
        <v>44514.653981400239</v>
      </c>
      <c r="GS733" s="98">
        <f t="shared" si="4519"/>
        <v>1.3721807557761423</v>
      </c>
      <c r="GT733" s="117">
        <f>GT729-GT732-GT730</f>
        <v>45260.551233292557</v>
      </c>
      <c r="GU733" s="98">
        <f t="shared" si="4519"/>
        <v>1.6756218125473454</v>
      </c>
      <c r="GV733" s="117">
        <f>GV729-GV732-GV730</f>
        <v>46106.273636416518</v>
      </c>
      <c r="GW733" s="98">
        <f t="shared" si="4519"/>
        <v>1.8685640808145276</v>
      </c>
      <c r="GX733" s="117">
        <f>GX729-GX732-GX730</f>
        <v>47003.750762615433</v>
      </c>
      <c r="GY733" s="98">
        <f t="shared" si="4520"/>
        <v>1.9465401460899034</v>
      </c>
      <c r="GZ733" s="98">
        <f t="shared" si="4521"/>
        <v>0.96816720177343996</v>
      </c>
      <c r="HA733" s="98"/>
      <c r="HB733" s="10"/>
      <c r="HC733"/>
      <c r="HD733"/>
      <c r="HE733"/>
      <c r="HF733"/>
      <c r="HG733"/>
      <c r="HH733"/>
      <c r="HI733" s="10"/>
    </row>
    <row r="734" spans="1:217" s="2" customFormat="1" ht="12.75" customHeight="1" x14ac:dyDescent="0.2">
      <c r="A734" s="351"/>
      <c r="B734" s="179" t="s">
        <v>51</v>
      </c>
      <c r="C734" s="349">
        <f>AVERAGE(C731,A731)</f>
        <v>14016</v>
      </c>
      <c r="D734" s="98"/>
      <c r="E734" s="349">
        <f>AVERAGE(E731,C731)</f>
        <v>14291.5</v>
      </c>
      <c r="F734" s="98"/>
      <c r="G734" s="349">
        <f>AVERAGE(G731,E731)</f>
        <v>14887</v>
      </c>
      <c r="H734" s="98"/>
      <c r="I734" s="349">
        <f>AVERAGE(I731,G731)</f>
        <v>15798</v>
      </c>
      <c r="J734" s="98"/>
      <c r="K734" s="349">
        <f>AVERAGE(K731,I731)</f>
        <v>16705.5</v>
      </c>
      <c r="L734" s="98">
        <f t="shared" si="4436"/>
        <v>19.188784246575352</v>
      </c>
      <c r="M734" s="349">
        <f>AVERAGE(M731,K731)</f>
        <v>16892.5</v>
      </c>
      <c r="N734" s="98">
        <f t="shared" si="4437"/>
        <v>18.199629150194173</v>
      </c>
      <c r="O734" s="349">
        <f>AVERAGE(O731,M731)</f>
        <v>16845.5</v>
      </c>
      <c r="P734" s="98">
        <f t="shared" si="4438"/>
        <v>13.155773493652179</v>
      </c>
      <c r="Q734" s="349">
        <f>AVERAGE(Q731,O731)</f>
        <v>16495</v>
      </c>
      <c r="R734" s="98">
        <f t="shared" si="4439"/>
        <v>4.4119508798582174</v>
      </c>
      <c r="S734" s="349">
        <f>AVERAGE(S731,Q731)</f>
        <v>15691</v>
      </c>
      <c r="T734" s="98">
        <f t="shared" si="4440"/>
        <v>-6.072850258896767</v>
      </c>
      <c r="U734" s="349">
        <f>AVERAGE(U731,S731)</f>
        <v>15732</v>
      </c>
      <c r="V734" s="98">
        <f t="shared" si="4441"/>
        <v>-6.8699126831434087</v>
      </c>
      <c r="W734" s="349">
        <f>AVERAGE(W731,U731)</f>
        <v>16610.5</v>
      </c>
      <c r="X734" s="98">
        <f t="shared" si="4442"/>
        <v>-1.395031314000772</v>
      </c>
      <c r="Y734" s="349">
        <f>AVERAGE(Y731,W731)</f>
        <v>17231</v>
      </c>
      <c r="Z734" s="98">
        <f t="shared" si="4443"/>
        <v>4.4619581691421661</v>
      </c>
      <c r="AA734" s="349">
        <f>AVERAGE(AA731,Y731)</f>
        <v>17712</v>
      </c>
      <c r="AB734" s="98">
        <f t="shared" si="4444"/>
        <v>12.879994901535907</v>
      </c>
      <c r="AC734" s="349">
        <f>AVERAGE(AC731,AA731)</f>
        <v>19331</v>
      </c>
      <c r="AD734" s="98">
        <f t="shared" si="4445"/>
        <v>22.876938723620643</v>
      </c>
      <c r="AE734" s="349">
        <f>AVERAGE(AE731,AC731)</f>
        <v>20764</v>
      </c>
      <c r="AF734" s="98">
        <f t="shared" si="4446"/>
        <v>25.005267752325345</v>
      </c>
      <c r="AG734" s="349">
        <f>AVERAGE(AG731,AE731)</f>
        <v>21027</v>
      </c>
      <c r="AH734" s="98">
        <f t="shared" si="4447"/>
        <v>22.030062097382629</v>
      </c>
      <c r="AI734" s="349">
        <f>AVERAGE(AI731,AG731)</f>
        <v>21748.5</v>
      </c>
      <c r="AJ734" s="98">
        <f t="shared" si="4448"/>
        <v>22.789634146341452</v>
      </c>
      <c r="AK734" s="349">
        <f>AVERAGE(AK731,AI731)</f>
        <v>21873</v>
      </c>
      <c r="AL734" s="98">
        <f t="shared" si="4449"/>
        <v>13.149862914489674</v>
      </c>
      <c r="AM734" s="349">
        <f>AVERAGE(AM731,AK731)</f>
        <v>22186.5</v>
      </c>
      <c r="AN734" s="98">
        <f t="shared" si="4450"/>
        <v>6.850799460604895</v>
      </c>
      <c r="AO734" s="349">
        <f>AVERAGE(AO731,AM731)</f>
        <v>22899.5</v>
      </c>
      <c r="AP734" s="98">
        <f t="shared" si="4451"/>
        <v>8.9052171018214601</v>
      </c>
      <c r="AQ734" s="349">
        <f>AVERAGE(AQ731,AO731)</f>
        <v>22931</v>
      </c>
      <c r="AR734" s="98">
        <f t="shared" si="4452"/>
        <v>5.4371565855116488</v>
      </c>
      <c r="AS734" s="349">
        <f>AVERAGE(AS731,AQ731)</f>
        <v>24583.5</v>
      </c>
      <c r="AT734" s="98">
        <f t="shared" si="4453"/>
        <v>12.391990124811404</v>
      </c>
      <c r="AU734" s="349">
        <f>AVERAGE(AU731,AS731)</f>
        <v>26422</v>
      </c>
      <c r="AV734" s="98">
        <f t="shared" si="4454"/>
        <v>19.09043787889031</v>
      </c>
      <c r="AW734" s="349">
        <f>AVERAGE(AW731,AU731)</f>
        <v>26887</v>
      </c>
      <c r="AX734" s="98">
        <f t="shared" si="4455"/>
        <v>17.413043952924735</v>
      </c>
      <c r="AY734" s="349">
        <f>AVERAGE(AY731,AW731)</f>
        <v>26792</v>
      </c>
      <c r="AZ734" s="98">
        <f t="shared" si="4456"/>
        <v>16.837468928524714</v>
      </c>
      <c r="BA734" s="349">
        <f>AVERAGE(BA731,AY731)</f>
        <v>26082</v>
      </c>
      <c r="BB734" s="98">
        <f t="shared" si="4457"/>
        <v>6.0955518945634335</v>
      </c>
      <c r="BC734" s="349">
        <f>AVERAGE(BC731,BA731)</f>
        <v>27603.5</v>
      </c>
      <c r="BD734" s="98">
        <f t="shared" si="4458"/>
        <v>4.4716524108697309</v>
      </c>
      <c r="BE734" s="349">
        <f>AVERAGE(BE731,BC731)</f>
        <v>30662</v>
      </c>
      <c r="BF734" s="98">
        <f t="shared" si="4459"/>
        <v>14.040242496373722</v>
      </c>
      <c r="BG734" s="349">
        <f>AVERAGE(BG731,BE731)</f>
        <v>31891.5</v>
      </c>
      <c r="BH734" s="98">
        <f t="shared" si="4460"/>
        <v>19.033666766198863</v>
      </c>
      <c r="BI734" s="349">
        <f>AVERAGE(BI731,BG731)</f>
        <v>31770</v>
      </c>
      <c r="BJ734" s="98">
        <f t="shared" si="4461"/>
        <v>21.808143547273986</v>
      </c>
      <c r="BK734" s="349">
        <f>AVERAGE(BK731,BI731)</f>
        <v>32108.5</v>
      </c>
      <c r="BL734" s="98">
        <f t="shared" si="4462"/>
        <v>16.320394152915398</v>
      </c>
      <c r="BM734" s="349">
        <f>AVERAGE(BM731,BK731)</f>
        <v>32920.5</v>
      </c>
      <c r="BN734" s="98">
        <f t="shared" si="4463"/>
        <v>7.365794794860081</v>
      </c>
      <c r="BO734" s="349">
        <f>AVERAGE(BO731,BM731)</f>
        <v>32047</v>
      </c>
      <c r="BP734" s="98">
        <f t="shared" si="4464"/>
        <v>0.48759073734381264</v>
      </c>
      <c r="BQ734" s="349">
        <f>AVERAGE(BQ731,BO731)</f>
        <v>30728</v>
      </c>
      <c r="BR734" s="98">
        <f t="shared" si="4465"/>
        <v>-3.2798237330815216</v>
      </c>
      <c r="BS734" s="349">
        <f>AVERAGE(BS731,BQ731)</f>
        <v>28145</v>
      </c>
      <c r="BT734" s="98">
        <f t="shared" si="4466"/>
        <v>-12.344083342417111</v>
      </c>
      <c r="BU734" s="349">
        <f>AVERAGE(BU731,BS731)</f>
        <v>23741.5</v>
      </c>
      <c r="BV734" s="98">
        <f t="shared" si="4467"/>
        <v>-27.882322564967122</v>
      </c>
      <c r="BW734" s="349">
        <f>AVERAGE(BW731,BU731)</f>
        <v>21380</v>
      </c>
      <c r="BX734" s="98">
        <f t="shared" si="4468"/>
        <v>-33.285486941055318</v>
      </c>
      <c r="BY734" s="349">
        <f>AVERAGE(BY731,BW731)</f>
        <v>23159.5</v>
      </c>
      <c r="BZ734" s="98">
        <f t="shared" si="4469"/>
        <v>-24.630630044259306</v>
      </c>
      <c r="CA734" s="349">
        <f>AVERAGE(CA731,BY731)</f>
        <v>28738.5</v>
      </c>
      <c r="CB734" s="98">
        <f t="shared" si="4470"/>
        <v>2.1087226860898811</v>
      </c>
      <c r="CC734" s="349">
        <f>AVERAGE(CC731,CA731)</f>
        <v>31652.5</v>
      </c>
      <c r="CD734" s="98">
        <f t="shared" si="4471"/>
        <v>33.321399237621897</v>
      </c>
      <c r="CE734" s="349">
        <f>AVERAGE(CE731,CC731)</f>
        <v>32424</v>
      </c>
      <c r="CF734" s="98">
        <f t="shared" si="4472"/>
        <v>51.655753040224518</v>
      </c>
      <c r="CG734" s="349">
        <f>AVERAGE(CG731,CE731)</f>
        <v>35551</v>
      </c>
      <c r="CH734" s="98">
        <f t="shared" si="4473"/>
        <v>53.505041127830921</v>
      </c>
      <c r="CI734" s="349">
        <f>AVERAGE(CI731,CG731)</f>
        <v>40853</v>
      </c>
      <c r="CJ734" s="98">
        <f t="shared" si="4474"/>
        <v>42.154253005550046</v>
      </c>
      <c r="CK734" s="349">
        <f>AVERAGE(CK731,CI731)</f>
        <v>45478</v>
      </c>
      <c r="CL734" s="98">
        <f t="shared" si="4475"/>
        <v>43.679014295869202</v>
      </c>
      <c r="CM734" s="349">
        <f>AVERAGE(CM731,CK731)</f>
        <v>46220.5</v>
      </c>
      <c r="CN734" s="98">
        <f t="shared" si="4476"/>
        <v>42.550271403898357</v>
      </c>
      <c r="CO734" s="349">
        <f>AVERAGE(CO731,CM731)</f>
        <v>47544</v>
      </c>
      <c r="CP734" s="98">
        <f t="shared" si="4477"/>
        <v>33.734634750077362</v>
      </c>
      <c r="CQ734" s="510">
        <f>AVERAGE(CQ731,CO731)</f>
        <v>52719</v>
      </c>
      <c r="CR734" s="98">
        <f t="shared" si="4477"/>
        <v>29.045602526130267</v>
      </c>
      <c r="CS734" s="349">
        <f>AVERAGE(CS731,CQ731)</f>
        <v>55842.5</v>
      </c>
      <c r="CT734" s="98">
        <f t="shared" si="4477"/>
        <v>22.790140287611592</v>
      </c>
      <c r="CU734" s="349">
        <f>AVERAGE(CU731,CS731)</f>
        <v>56050.5</v>
      </c>
      <c r="CV734" s="98">
        <f t="shared" si="4478"/>
        <v>21.267619346393918</v>
      </c>
      <c r="CW734" s="349">
        <f>AVERAGE(CW731,CU731)</f>
        <v>58494</v>
      </c>
      <c r="CX734" s="98">
        <f t="shared" si="4479"/>
        <v>23.031297324583534</v>
      </c>
      <c r="CY734" s="349">
        <f>AVERAGE(CY731,CW731)</f>
        <v>61185.5</v>
      </c>
      <c r="CZ734" s="98">
        <f t="shared" si="4480"/>
        <v>16.059674880024289</v>
      </c>
      <c r="DA734" s="349">
        <f>AVERAGE(DA731,CY731)</f>
        <v>62209</v>
      </c>
      <c r="DB734" s="98">
        <f t="shared" si="4481"/>
        <v>11.400814791601377</v>
      </c>
      <c r="DC734" s="349">
        <f>AVERAGE(DC731,DA731)</f>
        <v>62409.5</v>
      </c>
      <c r="DD734" s="98">
        <f t="shared" si="4482"/>
        <v>11.345126270060035</v>
      </c>
      <c r="DE734" s="349">
        <f>AVERAGE(DE731,DC731)</f>
        <v>60184.5</v>
      </c>
      <c r="DF734" s="98">
        <f t="shared" si="4483"/>
        <v>2.8900400041029783</v>
      </c>
      <c r="DG734" s="349">
        <f>AVERAGE(DG731,DE731)</f>
        <v>58423</v>
      </c>
      <c r="DH734" s="98">
        <f t="shared" si="4484"/>
        <v>-4.514958609474462</v>
      </c>
      <c r="DI734" s="349">
        <f>AVERAGE(DI731,DG731)</f>
        <v>59198</v>
      </c>
      <c r="DJ734" s="98">
        <f t="shared" si="4485"/>
        <v>-4.8401356716873734</v>
      </c>
      <c r="DK734" s="349">
        <f>AVERAGE(DK731,DI731)</f>
        <v>61613.5</v>
      </c>
      <c r="DL734" s="98">
        <f t="shared" si="4486"/>
        <v>-1.2754468470345115</v>
      </c>
      <c r="DM734" s="349">
        <f>AVERAGE(DM731,DK731)</f>
        <v>65632.5</v>
      </c>
      <c r="DN734" s="98">
        <f t="shared" si="4487"/>
        <v>9.0521645938738349</v>
      </c>
      <c r="DO734" s="349">
        <f>AVERAGE(DO731,DM731)</f>
        <v>68155.5</v>
      </c>
      <c r="DP734" s="98">
        <f t="shared" si="4487"/>
        <v>16.658678944936067</v>
      </c>
      <c r="DQ734" s="349">
        <f>AVERAGE(DQ731,DO731)</f>
        <v>69386</v>
      </c>
      <c r="DR734" s="98">
        <f t="shared" si="4487"/>
        <v>17.210040879759458</v>
      </c>
      <c r="DS734" s="349">
        <f>AVERAGE(DS731,DQ731)</f>
        <v>70868.5</v>
      </c>
      <c r="DT734" s="98">
        <f t="shared" si="4487"/>
        <v>15.021058696551881</v>
      </c>
      <c r="DU734" s="349">
        <f>AVERAGE(DU731,DS731)</f>
        <v>69519</v>
      </c>
      <c r="DV734" s="98">
        <f t="shared" si="4487"/>
        <v>5.9216089589761101</v>
      </c>
      <c r="DW734" s="349">
        <f>AVERAGE(DW731,DU731)</f>
        <v>67874</v>
      </c>
      <c r="DX734" s="98">
        <f t="shared" si="4487"/>
        <v>-0.4130260947392328</v>
      </c>
      <c r="DY734" s="349">
        <f>AVERAGE(DY731,DW731)</f>
        <v>67160</v>
      </c>
      <c r="DZ734" s="98">
        <f t="shared" si="4487"/>
        <v>-3.2081399705992553</v>
      </c>
      <c r="EA734" s="349">
        <f>AVERAGE(EA731,DY731)</f>
        <v>69796</v>
      </c>
      <c r="EB734" s="98">
        <f t="shared" si="4488"/>
        <v>-1.5133663051990709</v>
      </c>
      <c r="EC734" s="349">
        <f>AVERAGE(EC731,EA731)</f>
        <v>75411</v>
      </c>
      <c r="ED734" s="98">
        <f t="shared" si="4489"/>
        <v>8.4753808311396774</v>
      </c>
      <c r="EE734" s="349">
        <f>AVERAGE(EE731,EC731)</f>
        <v>76666.5</v>
      </c>
      <c r="EF734" s="860">
        <f t="shared" si="4490"/>
        <v>12.954150337389869</v>
      </c>
      <c r="EG734" s="349">
        <f>AVERAGE(EG731,EE731)</f>
        <v>70842.5</v>
      </c>
      <c r="EH734" s="860">
        <f t="shared" si="4491"/>
        <v>5.4831745086360906</v>
      </c>
      <c r="EI734" s="349">
        <f>AVERAGE(EI731,EG731)</f>
        <v>65562.5</v>
      </c>
      <c r="EJ734" s="860">
        <f t="shared" si="4492"/>
        <v>-6.0655338414808853</v>
      </c>
      <c r="EK734" s="840">
        <f>AVERAGE(EK731,EI731)</f>
        <v>66421</v>
      </c>
      <c r="EL734" s="860">
        <f t="shared" si="4493"/>
        <v>-11.921337735874072</v>
      </c>
      <c r="EM734" s="840">
        <f>AVERAGE(EM731,EK731)</f>
        <v>60785</v>
      </c>
      <c r="EN734" s="860">
        <f t="shared" si="4494"/>
        <v>-20.715045032706591</v>
      </c>
      <c r="EO734" s="840">
        <f>AVERAGE(EO731,EM731)</f>
        <v>55499</v>
      </c>
      <c r="EP734" s="98">
        <f t="shared" si="4495"/>
        <v>-21.65860888590888</v>
      </c>
      <c r="EQ734" s="840">
        <f t="shared" ref="EQ734" si="4543">AVERAGE(EQ731,EO731)</f>
        <v>56131.334522622114</v>
      </c>
      <c r="ER734" s="98">
        <f t="shared" si="4497"/>
        <v>-14.384999774837581</v>
      </c>
      <c r="ES734" s="840">
        <f t="shared" ref="ES734" si="4544">AVERAGE(ES731,EQ731)</f>
        <v>55627.234119795081</v>
      </c>
      <c r="ET734" s="98">
        <f t="shared" si="4499"/>
        <v>-16.250532030841025</v>
      </c>
      <c r="EU734" s="840">
        <f t="shared" ref="EU734" si="4545">AVERAGE(EU731,ES731)</f>
        <v>55636.376951210899</v>
      </c>
      <c r="EV734" s="98">
        <f t="shared" si="4501"/>
        <v>-8.4702197068176392</v>
      </c>
      <c r="EW734" s="840">
        <f t="shared" ref="EW734" si="4546">AVERAGE(EW731,EU731)</f>
        <v>55700.027647877461</v>
      </c>
      <c r="EX734" s="98">
        <f t="shared" si="4503"/>
        <v>0.3622185046171289</v>
      </c>
      <c r="EY734" s="349"/>
      <c r="EZ734" s="594"/>
      <c r="FA734" s="405"/>
      <c r="FB734" s="349">
        <f>AVERAGE(FB729)</f>
        <v>14868</v>
      </c>
      <c r="FC734" s="98"/>
      <c r="FD734" s="40">
        <v>14051.5</v>
      </c>
      <c r="FE734" s="98">
        <f t="shared" si="4504"/>
        <v>-5.4916599408124878</v>
      </c>
      <c r="FF734" s="349">
        <f>AVERAGE(FD731,FF731)</f>
        <v>15039.5</v>
      </c>
      <c r="FG734" s="98">
        <f t="shared" si="4505"/>
        <v>7.0312777995231723</v>
      </c>
      <c r="FH734" s="349">
        <f t="shared" ref="FH734" si="4547">AVERAGE(FF731,FH731)</f>
        <v>16225.5</v>
      </c>
      <c r="FI734" s="98">
        <f t="shared" si="4506"/>
        <v>7.8859004621164352</v>
      </c>
      <c r="FJ734" s="349">
        <f t="shared" ref="FJ734" si="4548">AVERAGE(FH731,FJ731)</f>
        <v>16723.5</v>
      </c>
      <c r="FK734" s="98">
        <f t="shared" si="4507"/>
        <v>3.0692428584635278</v>
      </c>
      <c r="FL734" s="349">
        <f t="shared" ref="FL734" si="4549">AVERAGE(FJ731,FL731)</f>
        <v>19267</v>
      </c>
      <c r="FM734" s="98">
        <f t="shared" si="4508"/>
        <v>15.209136843364135</v>
      </c>
      <c r="FN734" s="349">
        <f t="shared" ref="FN734" si="4550">AVERAGE(FL731,FN731)</f>
        <v>21986.5</v>
      </c>
      <c r="FO734" s="98">
        <f t="shared" si="4509"/>
        <v>14.114807702288878</v>
      </c>
      <c r="FP734" s="349">
        <f t="shared" ref="FP734" si="4551">AVERAGE(FN731,FP731)</f>
        <v>24941.5</v>
      </c>
      <c r="FQ734" s="98">
        <f t="shared" si="4511"/>
        <v>13.440065494735398</v>
      </c>
      <c r="FR734" s="349">
        <f t="shared" ref="FR734" si="4552">AVERAGE(FP731,FR731)</f>
        <v>29407.5</v>
      </c>
      <c r="FS734" s="98">
        <f t="shared" si="4513"/>
        <v>17.905899805544976</v>
      </c>
      <c r="FT734" s="349">
        <f t="shared" ref="FT734" si="4553">AVERAGE(FR731,FT731)</f>
        <v>32446.5</v>
      </c>
      <c r="FU734" s="98">
        <f t="shared" si="4514"/>
        <v>10.334098444274421</v>
      </c>
      <c r="FV734" s="349">
        <f t="shared" ref="FV734" si="4554">AVERAGE(FT731,FV731)</f>
        <v>27414.5</v>
      </c>
      <c r="FW734" s="98">
        <f t="shared" si="4515"/>
        <v>-15.508606475274679</v>
      </c>
      <c r="FX734" s="510">
        <f t="shared" ref="FX734" si="4555">AVERAGE(FV731,FX731)</f>
        <v>26385.5</v>
      </c>
      <c r="FY734" s="98">
        <f t="shared" si="4516"/>
        <v>-3.7534881176019996</v>
      </c>
      <c r="FZ734" s="349">
        <f t="shared" ref="FZ734" si="4556">AVERAGE(FX731,FZ731)</f>
        <v>38831</v>
      </c>
      <c r="GA734" s="98">
        <f t="shared" si="4517"/>
        <v>47.167952094900613</v>
      </c>
      <c r="GB734" s="510">
        <f t="shared" ref="GB734" si="4557">AVERAGE(FZ731,GB731)</f>
        <v>51030</v>
      </c>
      <c r="GC734" s="98">
        <f t="shared" si="4518"/>
        <v>31.415621539491646</v>
      </c>
      <c r="GD734" s="349">
        <f t="shared" ref="GD734" si="4558">AVERAGE(GB731,GD731)</f>
        <v>58944</v>
      </c>
      <c r="GE734" s="98">
        <f t="shared" si="4519"/>
        <v>15.508524397413282</v>
      </c>
      <c r="GF734" s="349">
        <f t="shared" ref="GF734" si="4559">AVERAGE(GD731,GF731)</f>
        <v>60961</v>
      </c>
      <c r="GG734" s="98">
        <f t="shared" si="4519"/>
        <v>3.4218919652551527</v>
      </c>
      <c r="GH734" s="349">
        <f t="shared" ref="GH734" si="4560">AVERAGE(GF731,GH731)</f>
        <v>64760.5</v>
      </c>
      <c r="GI734" s="98">
        <f t="shared" si="4519"/>
        <v>6.2326733485343011</v>
      </c>
      <c r="GJ734" s="349">
        <f t="shared" ref="GJ734:GL734" si="4561">AVERAGE(GH731,GJ731)</f>
        <v>67946.5</v>
      </c>
      <c r="GK734" s="98">
        <f t="shared" si="4519"/>
        <v>4.9196655368627384</v>
      </c>
      <c r="GL734" s="349">
        <f t="shared" si="4561"/>
        <v>65674</v>
      </c>
      <c r="GM734" s="98">
        <f t="shared" si="4519"/>
        <v>-3.3445431332003839</v>
      </c>
      <c r="GN734" s="349">
        <f>AVERAGE(EO734,EM734,EK734,(EI734-(15832+2632)*0.8))</f>
        <v>58374.074999999997</v>
      </c>
      <c r="GO734" s="98">
        <f t="shared" si="4519"/>
        <v>-11.115395742607426</v>
      </c>
      <c r="GP734" s="349">
        <f>AVERAGE(EW734,EU734,ES734,(EQ734-(15832+2632)*0.8))</f>
        <v>52080.943310376388</v>
      </c>
      <c r="GQ734" s="98">
        <f t="shared" si="4519"/>
        <v>-10.78069620738934</v>
      </c>
      <c r="GR734" s="349">
        <f>AVERAGE(GP731,GR731)</f>
        <v>56030.377284539645</v>
      </c>
      <c r="GS734" s="98">
        <f t="shared" si="4519"/>
        <v>7.5832612144265621</v>
      </c>
      <c r="GT734" s="349">
        <f t="shared" ref="GT734" si="4562">AVERAGE(GR731,GT731)</f>
        <v>56704.602607346402</v>
      </c>
      <c r="GU734" s="98">
        <f t="shared" si="4519"/>
        <v>1.2033210474076128</v>
      </c>
      <c r="GV734" s="349">
        <f t="shared" ref="GV734" si="4563">AVERAGE(GT731,GV731)</f>
        <v>57500.412434854537</v>
      </c>
      <c r="GW734" s="98">
        <f t="shared" si="4519"/>
        <v>1.4034307462107654</v>
      </c>
      <c r="GX734" s="349">
        <f t="shared" ref="GX734" si="4564">AVERAGE(GV731,GX731)</f>
        <v>58372.012199515972</v>
      </c>
      <c r="GY734" s="98">
        <f t="shared" si="4520"/>
        <v>1.5158148050658182</v>
      </c>
      <c r="GZ734" s="98">
        <f t="shared" si="4521"/>
        <v>-7.0676225445431839E-4</v>
      </c>
      <c r="HA734" s="98"/>
      <c r="HB734" s="10"/>
      <c r="HC734"/>
      <c r="HD734"/>
      <c r="HE734"/>
      <c r="HF734"/>
      <c r="HG734"/>
      <c r="HH734"/>
      <c r="HI734" s="10"/>
    </row>
    <row r="735" spans="1:217" s="2" customFormat="1" ht="12.75" customHeight="1" x14ac:dyDescent="0.2">
      <c r="A735" s="10" t="s">
        <v>154</v>
      </c>
      <c r="B735" s="179" t="s">
        <v>793</v>
      </c>
      <c r="C735" s="349">
        <f>AVERAGE(C733,FD733)</f>
        <v>14218</v>
      </c>
      <c r="D735" s="98"/>
      <c r="E735" s="349">
        <f>AVERAGE(E733,C733)</f>
        <v>14698.5</v>
      </c>
      <c r="F735" s="98"/>
      <c r="G735" s="349">
        <f>AVERAGE(G733,E733)</f>
        <v>15085.5</v>
      </c>
      <c r="H735" s="98"/>
      <c r="I735" s="349">
        <f>AVERAGE(I733,G733)</f>
        <v>15226</v>
      </c>
      <c r="J735" s="98"/>
      <c r="K735" s="349">
        <f>AVERAGE(K733,I733)</f>
        <v>15366.5</v>
      </c>
      <c r="L735" s="98">
        <f t="shared" si="4436"/>
        <v>8.0777887185258024</v>
      </c>
      <c r="M735" s="349">
        <f>AVERAGE(M733,K733)</f>
        <v>15414.5</v>
      </c>
      <c r="N735" s="98">
        <f t="shared" si="4437"/>
        <v>4.8712453651733156</v>
      </c>
      <c r="O735" s="349">
        <f>AVERAGE(O733,M733)</f>
        <v>15266</v>
      </c>
      <c r="P735" s="98">
        <f t="shared" si="4438"/>
        <v>1.1965132080474561</v>
      </c>
      <c r="Q735" s="349">
        <f>AVERAGE(Q733,O733)</f>
        <v>14741.5</v>
      </c>
      <c r="R735" s="98">
        <f t="shared" si="4439"/>
        <v>-3.1820570077499055</v>
      </c>
      <c r="S735" s="349">
        <f>AVERAGE(S733,Q733)</f>
        <v>14433.5</v>
      </c>
      <c r="T735" s="98">
        <f t="shared" si="4440"/>
        <v>-6.071649367129794</v>
      </c>
      <c r="U735" s="349">
        <f>AVERAGE(U733,S733)</f>
        <v>14576.5</v>
      </c>
      <c r="V735" s="98">
        <f t="shared" si="4441"/>
        <v>-5.4364397158519591</v>
      </c>
      <c r="W735" s="349">
        <f>AVERAGE(W733,U733)</f>
        <v>14819</v>
      </c>
      <c r="X735" s="98">
        <f t="shared" si="4442"/>
        <v>-2.9280754618105642</v>
      </c>
      <c r="Y735" s="349">
        <f>AVERAGE(Y733,W733)</f>
        <v>15170.5</v>
      </c>
      <c r="Z735" s="98">
        <f t="shared" si="4443"/>
        <v>2.910151612793821</v>
      </c>
      <c r="AA735" s="349">
        <f>AVERAGE(AA733,Y733)</f>
        <v>15552.5</v>
      </c>
      <c r="AB735" s="98">
        <f t="shared" si="4444"/>
        <v>7.7527973118093341</v>
      </c>
      <c r="AC735" s="349">
        <f>AVERAGE(AC733,AA733)</f>
        <v>16522</v>
      </c>
      <c r="AD735" s="98">
        <f t="shared" si="4445"/>
        <v>13.346825369601767</v>
      </c>
      <c r="AE735" s="349">
        <f>AVERAGE(AE733,AC733)</f>
        <v>17606.5</v>
      </c>
      <c r="AF735" s="98">
        <f t="shared" si="4446"/>
        <v>18.810311087117881</v>
      </c>
      <c r="AG735" s="349">
        <f>AVERAGE(AG733,AE733)</f>
        <v>18126.5</v>
      </c>
      <c r="AH735" s="98">
        <f t="shared" si="4447"/>
        <v>19.485185063115917</v>
      </c>
      <c r="AI735" s="118">
        <f>AVERAGE(AI733,AG733)</f>
        <v>18630.5</v>
      </c>
      <c r="AJ735" s="98">
        <f t="shared" si="4448"/>
        <v>19.791030380967701</v>
      </c>
      <c r="AK735" s="118">
        <f>AVERAGE(AK733,AI733)</f>
        <v>19292.5</v>
      </c>
      <c r="AL735" s="98">
        <f t="shared" si="4449"/>
        <v>16.768551022878597</v>
      </c>
      <c r="AM735" s="118">
        <f>AVERAGE(AM733,AK733)</f>
        <v>19931</v>
      </c>
      <c r="AN735" s="98">
        <f t="shared" si="4450"/>
        <v>13.202510436486525</v>
      </c>
      <c r="AO735" s="118">
        <f>AVERAGE(AO733,AM733)</f>
        <v>20024.5</v>
      </c>
      <c r="AP735" s="98">
        <f t="shared" si="4451"/>
        <v>10.470857584199923</v>
      </c>
      <c r="AQ735" s="118">
        <f>AVERAGE(AQ733,AO733)</f>
        <v>20375</v>
      </c>
      <c r="AR735" s="98">
        <f t="shared" si="4452"/>
        <v>9.3636778401009035</v>
      </c>
      <c r="AS735" s="118">
        <f>AVERAGE(AS733,AQ733)</f>
        <v>21965.5</v>
      </c>
      <c r="AT735" s="98">
        <f t="shared" si="4453"/>
        <v>13.855125048594008</v>
      </c>
      <c r="AU735" s="118">
        <f>AVERAGE(AU733,AS733)</f>
        <v>23945</v>
      </c>
      <c r="AV735" s="98">
        <f t="shared" si="4454"/>
        <v>20.139481210175102</v>
      </c>
      <c r="AW735" s="118">
        <f>AVERAGE(AW733,AU733)</f>
        <v>24994</v>
      </c>
      <c r="AX735" s="98">
        <f t="shared" si="4455"/>
        <v>24.817099053659277</v>
      </c>
      <c r="AY735" s="118">
        <f>AVERAGE(AY733,AW733)</f>
        <v>25541</v>
      </c>
      <c r="AZ735" s="98">
        <f t="shared" si="4456"/>
        <v>25.354601226993868</v>
      </c>
      <c r="BA735" s="118">
        <f>AVERAGE(BA733,AY733)</f>
        <v>26282.5</v>
      </c>
      <c r="BB735" s="98">
        <f t="shared" si="4457"/>
        <v>19.653547608750088</v>
      </c>
      <c r="BC735" s="118">
        <f>AVERAGE(BC733,BA733)</f>
        <v>27155.5</v>
      </c>
      <c r="BD735" s="98">
        <f t="shared" si="4458"/>
        <v>13.407809563583207</v>
      </c>
      <c r="BE735" s="118">
        <f>AVERAGE(BE733,BC733)</f>
        <v>29159.5</v>
      </c>
      <c r="BF735" s="98">
        <f t="shared" si="4459"/>
        <v>16.6659998399616</v>
      </c>
      <c r="BG735" s="118">
        <f>AVERAGE(BG733,BE733)</f>
        <v>30631.5</v>
      </c>
      <c r="BH735" s="98">
        <f t="shared" si="4460"/>
        <v>19.9306996593712</v>
      </c>
      <c r="BI735" s="118">
        <f>AVERAGE(BI733,BG733)</f>
        <v>31215</v>
      </c>
      <c r="BJ735" s="98">
        <f t="shared" si="4461"/>
        <v>18.767240559307517</v>
      </c>
      <c r="BK735" s="118">
        <f>AVERAGE(BK733,BI733)</f>
        <v>32226.5</v>
      </c>
      <c r="BL735" s="98">
        <f t="shared" si="4462"/>
        <v>18.673933457310675</v>
      </c>
      <c r="BM735" s="118">
        <f>AVERAGE(BM733,BK733)</f>
        <v>32353.5</v>
      </c>
      <c r="BN735" s="98">
        <f t="shared" si="4463"/>
        <v>10.953548586224038</v>
      </c>
      <c r="BO735" s="118">
        <f>AVERAGE(BO733,BM733)</f>
        <v>32022</v>
      </c>
      <c r="BP735" s="98">
        <f t="shared" si="4464"/>
        <v>4.5394446892904394</v>
      </c>
      <c r="BQ735" s="118">
        <f>AVERAGE(BQ733,BO733)</f>
        <v>32496.5</v>
      </c>
      <c r="BR735" s="98">
        <f t="shared" si="4465"/>
        <v>4.1053980458113148</v>
      </c>
      <c r="BS735" s="118">
        <f>AVERAGE(BS733,BQ733)</f>
        <v>33169.5</v>
      </c>
      <c r="BT735" s="98">
        <f t="shared" si="4466"/>
        <v>2.926163250740843</v>
      </c>
      <c r="BU735" s="118">
        <f>AVERAGE(BU733,BS733)</f>
        <v>34638</v>
      </c>
      <c r="BV735" s="98">
        <f t="shared" si="4467"/>
        <v>7.0610598544206926</v>
      </c>
      <c r="BW735" s="118">
        <f>AVERAGE(BW733,BU733)</f>
        <v>36185.5</v>
      </c>
      <c r="BX735" s="98">
        <f t="shared" si="4468"/>
        <v>13.001998625944665</v>
      </c>
      <c r="BY735" s="118">
        <f>AVERAGE(BY733,BW733)</f>
        <v>35755.5</v>
      </c>
      <c r="BZ735" s="98">
        <f t="shared" si="4469"/>
        <v>10.028772329327772</v>
      </c>
      <c r="CA735" s="118">
        <f>AVERAGE(CA733,BY733)</f>
        <v>34772.5</v>
      </c>
      <c r="CB735" s="98">
        <f t="shared" si="4470"/>
        <v>4.8327529809011338</v>
      </c>
      <c r="CC735" s="118">
        <f>AVERAGE(CC733,CA733)</f>
        <v>34298.5</v>
      </c>
      <c r="CD735" s="98">
        <f t="shared" si="4471"/>
        <v>-0.9801374213291747</v>
      </c>
      <c r="CE735" s="118">
        <f>AVERAGE(CE733,CC733)</f>
        <v>34548.5</v>
      </c>
      <c r="CF735" s="98">
        <f t="shared" si="4472"/>
        <v>-4.5239115115170421</v>
      </c>
      <c r="CG735" s="118">
        <f>AVERAGE(CG733,CE733)</f>
        <v>35735.5</v>
      </c>
      <c r="CH735" s="98">
        <f t="shared" si="4473"/>
        <v>-5.5935450490129934E-2</v>
      </c>
      <c r="CI735" s="118">
        <f>AVERAGE(CI733,CG733)</f>
        <v>38427</v>
      </c>
      <c r="CJ735" s="98">
        <f t="shared" si="4474"/>
        <v>10.509741893737878</v>
      </c>
      <c r="CK735" s="118">
        <f>AVERAGE(CK733,CI733)</f>
        <v>42963</v>
      </c>
      <c r="CL735" s="98">
        <f t="shared" si="4475"/>
        <v>25.26203769844162</v>
      </c>
      <c r="CM735" s="118">
        <f>AVERAGE(CM733,CK733)</f>
        <v>45098</v>
      </c>
      <c r="CN735" s="98">
        <f t="shared" si="4476"/>
        <v>30.535334384995004</v>
      </c>
      <c r="CO735" s="118">
        <f>AVERAGE(CO733,CM733)</f>
        <v>45170.5</v>
      </c>
      <c r="CP735" s="98">
        <f t="shared" si="4477"/>
        <v>26.402317023687939</v>
      </c>
      <c r="CQ735" s="510">
        <f>AVERAGE(CQ733,CO733)</f>
        <v>47456</v>
      </c>
      <c r="CR735" s="98">
        <f t="shared" si="4477"/>
        <v>23.496499856871477</v>
      </c>
      <c r="CS735" s="118">
        <f>AVERAGE(CS733,CQ733)</f>
        <v>49289</v>
      </c>
      <c r="CT735" s="98">
        <f t="shared" si="4477"/>
        <v>14.724297651467545</v>
      </c>
      <c r="CU735" s="118">
        <f>AVERAGE(CU733,CS733)</f>
        <v>49376</v>
      </c>
      <c r="CV735" s="98">
        <f t="shared" si="4478"/>
        <v>9.4860082487028272</v>
      </c>
      <c r="CW735" s="118">
        <f>AVERAGE(CW733,CU733)</f>
        <v>50493</v>
      </c>
      <c r="CX735" s="98">
        <f t="shared" si="4479"/>
        <v>11.783132796847507</v>
      </c>
      <c r="CY735" s="118">
        <f>AVERAGE(CY733,CW733)</f>
        <v>51155</v>
      </c>
      <c r="CZ735" s="98">
        <f t="shared" si="4480"/>
        <v>7.794588671611602</v>
      </c>
      <c r="DA735" s="118">
        <f>AVERAGE(DA733,CY733)</f>
        <v>50848</v>
      </c>
      <c r="DB735" s="98">
        <f t="shared" si="4481"/>
        <v>3.1629775406277316</v>
      </c>
      <c r="DC735" s="118">
        <f>AVERAGE(DC733,DA733)</f>
        <v>51421</v>
      </c>
      <c r="DD735" s="98">
        <f t="shared" si="4482"/>
        <v>4.1416882696046597</v>
      </c>
      <c r="DE735" s="118">
        <f>AVERAGE(DE733,DC733)</f>
        <v>51793.5</v>
      </c>
      <c r="DF735" s="98">
        <f t="shared" si="4483"/>
        <v>2.5756045392430593</v>
      </c>
      <c r="DG735" s="118">
        <f>AVERAGE(DG733,DE733)</f>
        <v>52772</v>
      </c>
      <c r="DH735" s="98">
        <f t="shared" si="4484"/>
        <v>3.1609813312481583</v>
      </c>
      <c r="DI735" s="118">
        <f>AVERAGE(DI733,DG733)</f>
        <v>53266.5</v>
      </c>
      <c r="DJ735" s="98">
        <f t="shared" si="4485"/>
        <v>4.7563325991189398</v>
      </c>
      <c r="DK735" s="118">
        <f>AVERAGE(DK733,DI733)</f>
        <v>53203</v>
      </c>
      <c r="DL735" s="98">
        <f t="shared" si="4486"/>
        <v>3.4655102001127869</v>
      </c>
      <c r="DM735" s="118">
        <f>AVERAGE(DM733,DK733)</f>
        <v>54205</v>
      </c>
      <c r="DN735" s="98">
        <f t="shared" si="4487"/>
        <v>4.6559896512110566</v>
      </c>
      <c r="DO735" s="118">
        <f>AVERAGE(DO733,DM733)</f>
        <v>55181</v>
      </c>
      <c r="DP735" s="98">
        <f t="shared" si="4487"/>
        <v>4.5649207913287304</v>
      </c>
      <c r="DQ735" s="118">
        <f>AVERAGE(DQ733,DO733)</f>
        <v>55834</v>
      </c>
      <c r="DR735" s="98">
        <f t="shared" si="4487"/>
        <v>4.820102691184891</v>
      </c>
      <c r="DS735" s="118">
        <f>AVERAGE(DS733,DQ733)</f>
        <v>56135</v>
      </c>
      <c r="DT735" s="98">
        <f t="shared" si="4487"/>
        <v>5.5109674266488717</v>
      </c>
      <c r="DU735" s="118">
        <f>AVERAGE(DU733,DS733)</f>
        <v>56433</v>
      </c>
      <c r="DV735" s="98">
        <f t="shared" si="4487"/>
        <v>4.1103219260215873</v>
      </c>
      <c r="DW735" s="118">
        <f>AVERAGE(DW733,DU733)</f>
        <v>56813</v>
      </c>
      <c r="DX735" s="98">
        <f t="shared" si="4487"/>
        <v>2.9575397328790665</v>
      </c>
      <c r="DY735" s="118">
        <f>AVERAGE(DY733,DW733)</f>
        <v>56567</v>
      </c>
      <c r="DZ735" s="98">
        <f t="shared" si="4487"/>
        <v>1.3128201454311039</v>
      </c>
      <c r="EA735" s="118">
        <f>AVERAGE(EA733,DY733)</f>
        <v>57362</v>
      </c>
      <c r="EB735" s="98">
        <f t="shared" si="4488"/>
        <v>2.185802084261157</v>
      </c>
      <c r="EC735" s="118">
        <f>AVERAGE(EC733,EA733)</f>
        <v>58511.5</v>
      </c>
      <c r="ED735" s="98">
        <f t="shared" si="4489"/>
        <v>3.6831286658515427</v>
      </c>
      <c r="EE735" s="118">
        <f>AVERAGE(EE733,EC733)</f>
        <v>58572.5</v>
      </c>
      <c r="EF735" s="860">
        <f t="shared" si="4490"/>
        <v>3.0970024466231427</v>
      </c>
      <c r="EG735" s="118">
        <f>AVERAGE(EG733,EE733)</f>
        <v>56745</v>
      </c>
      <c r="EH735" s="860">
        <f t="shared" si="4491"/>
        <v>0.3146710979899936</v>
      </c>
      <c r="EI735" s="118">
        <f>AVERAGE(EI733,EG733)</f>
        <v>54614</v>
      </c>
      <c r="EJ735" s="860">
        <f t="shared" si="4492"/>
        <v>-4.7906279418430291</v>
      </c>
      <c r="EK735" s="792">
        <f>AVERAGE(EK733,EI733)</f>
        <v>54244.5</v>
      </c>
      <c r="EL735" s="860">
        <f t="shared" si="4493"/>
        <v>-7.2925835092246816</v>
      </c>
      <c r="EM735" s="792">
        <f>AVERAGE(EM733,EK733)</f>
        <v>48495</v>
      </c>
      <c r="EN735" s="860">
        <f t="shared" si="4494"/>
        <v>-17.205173076102266</v>
      </c>
      <c r="EO735" s="792">
        <f>AVERAGE(EO733,EM733)</f>
        <v>43858</v>
      </c>
      <c r="EP735" s="98">
        <f t="shared" si="4495"/>
        <v>-22.710370957793636</v>
      </c>
      <c r="EQ735" s="840">
        <f t="shared" ref="EQ735" si="4565">AVERAGE(EQ733,EO733)</f>
        <v>44314.334522622114</v>
      </c>
      <c r="ER735" s="98">
        <f t="shared" si="4497"/>
        <v>-18.859020539381632</v>
      </c>
      <c r="ES735" s="840">
        <f t="shared" ref="ES735" si="4566">AVERAGE(ES733,EQ733)</f>
        <v>43810.234119795081</v>
      </c>
      <c r="ET735" s="98">
        <f t="shared" si="4499"/>
        <v>-19.23561998028357</v>
      </c>
      <c r="EU735" s="840">
        <f t="shared" ref="EU735" si="4567">AVERAGE(EU733,ES733)</f>
        <v>43819.376951210899</v>
      </c>
      <c r="EV735" s="98">
        <f t="shared" si="4501"/>
        <v>-9.6414538587258463</v>
      </c>
      <c r="EW735" s="840">
        <f t="shared" ref="EW735" si="4568">AVERAGE(EW733,EU733)</f>
        <v>43883.027647877461</v>
      </c>
      <c r="EX735" s="98">
        <f t="shared" si="4503"/>
        <v>5.7065182811477655E-2</v>
      </c>
      <c r="EY735" s="349"/>
      <c r="EZ735" s="594"/>
      <c r="FA735" s="405"/>
      <c r="FB735" s="349">
        <f>AVERAGE(FB733)</f>
        <v>13484</v>
      </c>
      <c r="FC735" s="98"/>
      <c r="FD735" s="40">
        <v>13759.875</v>
      </c>
      <c r="FE735" s="98">
        <f t="shared" si="4504"/>
        <v>2.0459433402551186</v>
      </c>
      <c r="FF735" s="349">
        <f>AVERAGE(FD733,FF733)</f>
        <v>14721</v>
      </c>
      <c r="FG735" s="98">
        <f t="shared" si="4505"/>
        <v>6.9849835118414916</v>
      </c>
      <c r="FH735" s="349">
        <f t="shared" ref="FH735" si="4569">AVERAGE(FF733,FH733)</f>
        <v>14865.5</v>
      </c>
      <c r="FI735" s="98">
        <f t="shared" si="4506"/>
        <v>0.98159092452958507</v>
      </c>
      <c r="FJ735" s="349">
        <f t="shared" ref="FJ735" si="4570">AVERAGE(FH733,FJ733)</f>
        <v>14883.5</v>
      </c>
      <c r="FK735" s="98">
        <f t="shared" si="4507"/>
        <v>0.12108573542766177</v>
      </c>
      <c r="FL735" s="349">
        <f t="shared" ref="FL735" si="4571">AVERAGE(FJ733,FL733)</f>
        <v>16867.5</v>
      </c>
      <c r="FM735" s="98">
        <f t="shared" si="4508"/>
        <v>13.330197870124639</v>
      </c>
      <c r="FN735" s="349">
        <f t="shared" ref="FN735" si="4572">AVERAGE(FL733,FN733)</f>
        <v>19112.5</v>
      </c>
      <c r="FO735" s="98">
        <f t="shared" si="4509"/>
        <v>13.309619089965906</v>
      </c>
      <c r="FP735" s="349">
        <f t="shared" ref="FP735" si="4573">AVERAGE(FN733,FP733)</f>
        <v>23528.5</v>
      </c>
      <c r="FQ735" s="98">
        <f t="shared" si="4511"/>
        <v>23.105297580117721</v>
      </c>
      <c r="FR735" s="349">
        <f t="shared" ref="FR735" si="4574">AVERAGE(FP733,FR733)</f>
        <v>29934.5</v>
      </c>
      <c r="FS735" s="98">
        <f t="shared" si="4513"/>
        <v>27.226555029007372</v>
      </c>
      <c r="FT735" s="349">
        <f t="shared" ref="FT735" si="4575">AVERAGE(FR733,FT733)</f>
        <v>32369.5</v>
      </c>
      <c r="FU735" s="98">
        <f t="shared" si="4514"/>
        <v>8.1344268319163415</v>
      </c>
      <c r="FV735" s="349">
        <f t="shared" ref="FV735" si="4576">AVERAGE(FT733,FV733)</f>
        <v>34002</v>
      </c>
      <c r="FW735" s="98">
        <f t="shared" si="4515"/>
        <v>5.0433278240318735</v>
      </c>
      <c r="FX735" s="510">
        <f t="shared" ref="FX735" si="4577">AVERAGE(FV733,FX733)</f>
        <v>35041</v>
      </c>
      <c r="FY735" s="98">
        <f t="shared" si="4516"/>
        <v>3.0557026057290715</v>
      </c>
      <c r="FZ735" s="349">
        <f t="shared" ref="FZ735" si="4578">AVERAGE(FX733,FZ733)</f>
        <v>39860</v>
      </c>
      <c r="GA735" s="98">
        <f t="shared" si="4517"/>
        <v>13.752461402357241</v>
      </c>
      <c r="GB735" s="510">
        <f t="shared" ref="GB735" si="4579">AVERAGE(FZ733,GB733)</f>
        <v>47488.5</v>
      </c>
      <c r="GC735" s="98">
        <f t="shared" si="4518"/>
        <v>19.138233818364281</v>
      </c>
      <c r="GD735" s="349">
        <f t="shared" ref="GD735" si="4580">AVERAGE(GB733,GD733)</f>
        <v>50204</v>
      </c>
      <c r="GE735" s="98">
        <f t="shared" si="4519"/>
        <v>5.7182265179990921</v>
      </c>
      <c r="GF735" s="349">
        <f t="shared" ref="GF735" si="4581">AVERAGE(GD733,GF733)</f>
        <v>51881</v>
      </c>
      <c r="GG735" s="98">
        <f t="shared" si="4519"/>
        <v>3.3403712851565626</v>
      </c>
      <c r="GH735" s="349">
        <f t="shared" ref="GH735" si="4582">AVERAGE(GF733,GH733)</f>
        <v>54403</v>
      </c>
      <c r="GI735" s="98">
        <f t="shared" si="4519"/>
        <v>4.8611244964437805</v>
      </c>
      <c r="GJ735" s="349">
        <f t="shared" ref="GJ735:GL735" si="4583">AVERAGE(GH733,GJ733)</f>
        <v>56110</v>
      </c>
      <c r="GK735" s="98">
        <f t="shared" si="4519"/>
        <v>3.1376946124294536</v>
      </c>
      <c r="GL735" s="349">
        <f t="shared" si="4583"/>
        <v>55484</v>
      </c>
      <c r="GM735" s="98">
        <f t="shared" si="4519"/>
        <v>-1.1156656567456791</v>
      </c>
      <c r="GN735" s="349">
        <f>AVERAGE(EO735,EM735,EK735,EI735-(15832*0.8))</f>
        <v>47136.474999999999</v>
      </c>
      <c r="GO735" s="98">
        <f t="shared" si="4519"/>
        <v>-15.044922860644515</v>
      </c>
      <c r="GP735" s="349">
        <f>AVERAGE(EW735,EU735,ES735,EQ735-(15832*0.8))</f>
        <v>40790.343310376389</v>
      </c>
      <c r="GQ735" s="98">
        <f t="shared" si="4519"/>
        <v>-13.463314109983004</v>
      </c>
      <c r="GR735" s="349">
        <f>AVERAGE(GP733,GR733)</f>
        <v>44213.377284539645</v>
      </c>
      <c r="GS735" s="98">
        <f t="shared" si="4519"/>
        <v>8.3917753477021897</v>
      </c>
      <c r="GT735" s="349">
        <f t="shared" ref="GT735" si="4584">AVERAGE(GR733,GT733)</f>
        <v>44887.602607346402</v>
      </c>
      <c r="GU735" s="98">
        <f t="shared" si="4519"/>
        <v>1.5249351309847059</v>
      </c>
      <c r="GV735" s="349">
        <f t="shared" ref="GV735" si="4585">AVERAGE(GT733,GV733)</f>
        <v>45683.412434854537</v>
      </c>
      <c r="GW735" s="98">
        <f t="shared" si="4519"/>
        <v>1.7728944770552202</v>
      </c>
      <c r="GX735" s="349">
        <f t="shared" ref="GX735" si="4586">AVERAGE(GV733,GX733)</f>
        <v>46555.012199515972</v>
      </c>
      <c r="GY735" s="98">
        <f t="shared" si="4520"/>
        <v>1.9079129999413968</v>
      </c>
      <c r="GZ735" s="98">
        <f t="shared" si="4521"/>
        <v>-0.24794103853195137</v>
      </c>
      <c r="HA735" s="98"/>
      <c r="HB735" s="10"/>
      <c r="HC735"/>
      <c r="HD735"/>
      <c r="HE735"/>
      <c r="HF735"/>
      <c r="HG735"/>
      <c r="HH735"/>
      <c r="HI735" s="10"/>
    </row>
    <row r="736" spans="1:217" s="2" customFormat="1" ht="12.75" customHeight="1" x14ac:dyDescent="0.2">
      <c r="A736" s="10"/>
      <c r="B736" s="179" t="s">
        <v>260</v>
      </c>
      <c r="C736" s="349">
        <f>+C729+C724</f>
        <v>256048</v>
      </c>
      <c r="D736" s="98"/>
      <c r="E736" s="349">
        <f>+E729+E724</f>
        <v>254825</v>
      </c>
      <c r="F736" s="98"/>
      <c r="G736" s="349">
        <f>+G729+G724</f>
        <v>257489</v>
      </c>
      <c r="H736" s="98"/>
      <c r="I736" s="349">
        <f>+I729+I724</f>
        <v>255018</v>
      </c>
      <c r="J736" s="98"/>
      <c r="K736" s="349">
        <f>+K729+K724</f>
        <v>254164</v>
      </c>
      <c r="L736" s="98">
        <f t="shared" si="4436"/>
        <v>-0.73579953758670102</v>
      </c>
      <c r="M736" s="349">
        <f>+M729+M724</f>
        <v>254858</v>
      </c>
      <c r="N736" s="98">
        <f t="shared" si="4437"/>
        <v>1.2950063769245901E-2</v>
      </c>
      <c r="O736" s="349">
        <f>+O729+O724</f>
        <v>251984</v>
      </c>
      <c r="P736" s="98">
        <f t="shared" si="4438"/>
        <v>-2.1379554078038265</v>
      </c>
      <c r="Q736" s="349">
        <f>+Q729+Q724</f>
        <v>256970</v>
      </c>
      <c r="R736" s="98">
        <f t="shared" si="4439"/>
        <v>0.76543616529030079</v>
      </c>
      <c r="S736" s="349">
        <f>+S729+S724</f>
        <v>258760</v>
      </c>
      <c r="T736" s="98">
        <f t="shared" si="4440"/>
        <v>1.8082812672132853</v>
      </c>
      <c r="U736" s="349">
        <f>+U729+U724</f>
        <v>261283</v>
      </c>
      <c r="V736" s="98">
        <f t="shared" si="4441"/>
        <v>2.5210117006333022</v>
      </c>
      <c r="W736" s="349">
        <f>+W729+W724</f>
        <v>268047</v>
      </c>
      <c r="X736" s="98">
        <f t="shared" si="4442"/>
        <v>6.3746110864181915</v>
      </c>
      <c r="Y736" s="349">
        <f>+Y729+Y724</f>
        <v>277426</v>
      </c>
      <c r="Z736" s="98">
        <f t="shared" si="4443"/>
        <v>7.9604623107755845</v>
      </c>
      <c r="AA736" s="349">
        <f>+AA729+AA724</f>
        <v>286922</v>
      </c>
      <c r="AB736" s="98">
        <f t="shared" si="4444"/>
        <v>10.883444118101714</v>
      </c>
      <c r="AC736" s="349">
        <f>+AC729+AC724</f>
        <v>309822</v>
      </c>
      <c r="AD736" s="98">
        <f t="shared" si="4445"/>
        <v>18.577174940581664</v>
      </c>
      <c r="AE736" s="349">
        <f>+AE729+AE724</f>
        <v>315260</v>
      </c>
      <c r="AF736" s="98">
        <f t="shared" si="4446"/>
        <v>17.613702074636173</v>
      </c>
      <c r="AG736" s="349">
        <f>+AG729+AG724</f>
        <v>327118</v>
      </c>
      <c r="AH736" s="98">
        <f t="shared" si="4447"/>
        <v>17.911803507962489</v>
      </c>
      <c r="AI736" s="118">
        <f>+AI729+AI724</f>
        <v>337013</v>
      </c>
      <c r="AJ736" s="98">
        <f t="shared" si="4448"/>
        <v>17.458054802350475</v>
      </c>
      <c r="AK736" s="118">
        <f>+AK729+AK724</f>
        <v>338012</v>
      </c>
      <c r="AL736" s="98">
        <f t="shared" si="4449"/>
        <v>9.0987728437619033</v>
      </c>
      <c r="AM736" s="118">
        <f>+AM729+AM724</f>
        <v>346177</v>
      </c>
      <c r="AN736" s="98">
        <f t="shared" si="4450"/>
        <v>9.806826111780742</v>
      </c>
      <c r="AO736" s="118">
        <f>+AO729+AO724</f>
        <v>356808</v>
      </c>
      <c r="AP736" s="98">
        <f t="shared" si="4451"/>
        <v>9.0762354868885176</v>
      </c>
      <c r="AQ736" s="118">
        <f>+AQ729+AQ724</f>
        <v>362671</v>
      </c>
      <c r="AR736" s="98">
        <f t="shared" si="4452"/>
        <v>7.6133561613350276</v>
      </c>
      <c r="AS736" s="118">
        <f>+AS729+AS724+AS730</f>
        <v>383473</v>
      </c>
      <c r="AT736" s="98">
        <f t="shared" si="4453"/>
        <v>13.449522502159695</v>
      </c>
      <c r="AU736" s="118">
        <f>+AU729+AU724+AU730</f>
        <v>484861</v>
      </c>
      <c r="AV736" s="98">
        <f t="shared" si="4454"/>
        <v>40.061586991625674</v>
      </c>
      <c r="AW736" s="118">
        <f>+AW729+AW724+AW730</f>
        <v>483260</v>
      </c>
      <c r="AX736" s="98">
        <f t="shared" si="4455"/>
        <v>35.439788345552792</v>
      </c>
      <c r="AY736" s="118">
        <f>+AY729+AY724+AY730</f>
        <v>501144</v>
      </c>
      <c r="AZ736" s="98">
        <f t="shared" si="4456"/>
        <v>38.181437170327939</v>
      </c>
      <c r="BA736" s="118">
        <f>+BA729+BA724+BA730</f>
        <v>502347</v>
      </c>
      <c r="BB736" s="98">
        <f t="shared" si="4457"/>
        <v>30.999314162926716</v>
      </c>
      <c r="BC736" s="118">
        <f>+BC729+BC724+BC730</f>
        <v>518228</v>
      </c>
      <c r="BD736" s="98">
        <f t="shared" si="4458"/>
        <v>6.88176611441218</v>
      </c>
      <c r="BE736" s="118">
        <f>+BE729+BE724+BE730</f>
        <v>529757</v>
      </c>
      <c r="BF736" s="98">
        <f t="shared" si="4459"/>
        <v>9.6215287836775243</v>
      </c>
      <c r="BG736" s="118">
        <f>+BG729+BG724+BG730</f>
        <v>539851</v>
      </c>
      <c r="BH736" s="98">
        <f t="shared" si="4460"/>
        <v>7.7237281100841271</v>
      </c>
      <c r="BI736" s="118">
        <f>+BI729+BI724+BI730</f>
        <v>554606</v>
      </c>
      <c r="BJ736" s="98">
        <f t="shared" si="4461"/>
        <v>10.402968466020489</v>
      </c>
      <c r="BK736" s="118">
        <f>+BK729+BK724+BK730</f>
        <v>565634</v>
      </c>
      <c r="BL736" s="98">
        <f t="shared" si="4462"/>
        <v>9.1477110461032574</v>
      </c>
      <c r="BM736" s="118">
        <f>+BM729+BM724+BM730</f>
        <v>561178</v>
      </c>
      <c r="BN736" s="98">
        <f t="shared" si="4463"/>
        <v>5.931209969854101</v>
      </c>
      <c r="BO736" s="118">
        <f>+BO729+BO724+BO730</f>
        <v>503020</v>
      </c>
      <c r="BP736" s="98">
        <f t="shared" si="4464"/>
        <v>-6.8224380430896625</v>
      </c>
      <c r="BQ736" s="118">
        <f>+BQ729+BQ724+BQ730</f>
        <v>558501</v>
      </c>
      <c r="BR736" s="98">
        <f t="shared" si="4465"/>
        <v>0.70230037179548344</v>
      </c>
      <c r="BS736" s="118">
        <f>+BS729+BS724+BS730</f>
        <v>523341</v>
      </c>
      <c r="BT736" s="98">
        <f t="shared" si="4466"/>
        <v>-7.4770964970281124</v>
      </c>
      <c r="BU736" s="118">
        <f>+BU729+BU724+BU730</f>
        <v>503720</v>
      </c>
      <c r="BV736" s="98">
        <f t="shared" si="4467"/>
        <v>-10.238819055629412</v>
      </c>
      <c r="BW736" s="118">
        <f>+BW729+BW724+BW730</f>
        <v>493131</v>
      </c>
      <c r="BX736" s="98">
        <f t="shared" si="4468"/>
        <v>-1.9659258081189623</v>
      </c>
      <c r="BY736" s="118">
        <f>+BY729+BY724+BY730</f>
        <v>511180</v>
      </c>
      <c r="BZ736" s="98">
        <f t="shared" si="4469"/>
        <v>-8.4728585982836169</v>
      </c>
      <c r="CA736" s="118">
        <f>+CA729+CA724+CA730</f>
        <v>536909</v>
      </c>
      <c r="CB736" s="98">
        <f t="shared" si="4470"/>
        <v>2.5925734845922532</v>
      </c>
      <c r="CC736" s="118">
        <f>+CC729+CC724+CC730</f>
        <v>540979</v>
      </c>
      <c r="CD736" s="98">
        <f t="shared" si="4471"/>
        <v>7.3967680457396989</v>
      </c>
      <c r="CE736" s="118">
        <f>+CE729+CE724+CE730</f>
        <v>567240</v>
      </c>
      <c r="CF736" s="98">
        <f t="shared" si="4472"/>
        <v>15.028258211306934</v>
      </c>
      <c r="CG736" s="118">
        <f>+CG729+CG724+CG730</f>
        <v>575600</v>
      </c>
      <c r="CH736" s="98">
        <f t="shared" si="4473"/>
        <v>12.602214484134745</v>
      </c>
      <c r="CI736" s="118">
        <f>+CI729+CI724+CI730</f>
        <v>618943</v>
      </c>
      <c r="CJ736" s="98">
        <f t="shared" si="4474"/>
        <v>15.278939261588098</v>
      </c>
      <c r="CK736" s="118">
        <f>+CK729+CK724+CK730</f>
        <v>732460</v>
      </c>
      <c r="CL736" s="98">
        <f t="shared" si="4475"/>
        <v>35.395274123394806</v>
      </c>
      <c r="CM736" s="118">
        <f>+CM729+CM724+CM730</f>
        <v>749993</v>
      </c>
      <c r="CN736" s="98">
        <f t="shared" si="4476"/>
        <v>32.217932444820541</v>
      </c>
      <c r="CO736" s="118">
        <f>+CO729+CO724+CO730</f>
        <v>769966</v>
      </c>
      <c r="CP736" s="98">
        <f t="shared" si="4477"/>
        <v>33.767546907574712</v>
      </c>
      <c r="CQ736" s="510">
        <f>+CQ729+CQ724+CQ730</f>
        <v>783608</v>
      </c>
      <c r="CR736" s="98">
        <f t="shared" si="4477"/>
        <v>26.604226883574089</v>
      </c>
      <c r="CS736" s="118">
        <f>+CS729+CS724+CS730</f>
        <v>797793</v>
      </c>
      <c r="CT736" s="98">
        <f t="shared" si="4477"/>
        <v>8.9196679682167037</v>
      </c>
      <c r="CU736" s="118">
        <f>+CU729+CU724+CU730</f>
        <v>821188</v>
      </c>
      <c r="CV736" s="98">
        <f t="shared" si="4478"/>
        <v>9.4927552657158252</v>
      </c>
      <c r="CW736" s="118">
        <f>+CW729+CW724+CW730</f>
        <v>826812</v>
      </c>
      <c r="CX736" s="98">
        <f t="shared" si="4479"/>
        <v>7.3829234018125467</v>
      </c>
      <c r="CY736" s="118">
        <f>+CY729+CY724+CY730</f>
        <v>847826</v>
      </c>
      <c r="CZ736" s="98">
        <f t="shared" si="4480"/>
        <v>8.1951690130779742</v>
      </c>
      <c r="DA736" s="118">
        <f>+DA729+DA724+DA730</f>
        <v>838318</v>
      </c>
      <c r="DB736" s="98">
        <f t="shared" si="4481"/>
        <v>5.0796384525810589</v>
      </c>
      <c r="DC736" s="118">
        <f>+DC729+DC724+DC730</f>
        <v>843209</v>
      </c>
      <c r="DD736" s="98">
        <f t="shared" si="4482"/>
        <v>2.6816027511361584</v>
      </c>
      <c r="DE736" s="118">
        <f>+DE729+DE724+DE730</f>
        <v>817169</v>
      </c>
      <c r="DF736" s="98">
        <f t="shared" si="4483"/>
        <v>-1.1662868947233451</v>
      </c>
      <c r="DG736" s="118">
        <f>+DG729+DG724+DG730</f>
        <v>824234</v>
      </c>
      <c r="DH736" s="98">
        <f t="shared" si="4484"/>
        <v>-2.7826464392457839</v>
      </c>
      <c r="DI736" s="118">
        <f>+DI729+DI724+DI730</f>
        <v>885908</v>
      </c>
      <c r="DJ736" s="98">
        <f t="shared" si="4485"/>
        <v>5.6768433935570961</v>
      </c>
      <c r="DK736" s="118">
        <f>+DK729+DK724+DK730</f>
        <v>892264</v>
      </c>
      <c r="DL736" s="98">
        <f t="shared" si="4486"/>
        <v>5.8176561208431066</v>
      </c>
      <c r="DM736" s="118">
        <f>+DM729+DM724+DM730</f>
        <v>912471</v>
      </c>
      <c r="DN736" s="98">
        <f t="shared" si="4487"/>
        <v>11.662459050698203</v>
      </c>
      <c r="DO736" s="118">
        <f>+DO729+DO724+DO730</f>
        <v>910074</v>
      </c>
      <c r="DP736" s="98">
        <f t="shared" si="4487"/>
        <v>10.414518207208157</v>
      </c>
      <c r="DQ736" s="118">
        <f>+DQ729+DQ724+DQ730</f>
        <v>903774</v>
      </c>
      <c r="DR736" s="98">
        <f t="shared" si="4487"/>
        <v>2.0166879630842072</v>
      </c>
      <c r="DS736" s="118">
        <f>+DS729+DS724+DS730</f>
        <v>921194</v>
      </c>
      <c r="DT736" s="98">
        <f t="shared" si="4487"/>
        <v>3.2423139339926355</v>
      </c>
      <c r="DU736" s="118">
        <f>+DU729+DU724+DU730</f>
        <v>899863</v>
      </c>
      <c r="DV736" s="98">
        <f t="shared" si="4487"/>
        <v>-1.3817425430506791</v>
      </c>
      <c r="DW736" s="118">
        <f>+DW729+DW724+DW730</f>
        <v>883962</v>
      </c>
      <c r="DX736" s="98">
        <f t="shared" si="4487"/>
        <v>-2.8692172284891071</v>
      </c>
      <c r="DY736" s="118">
        <f>+DY729+DY724+DY730</f>
        <v>879452</v>
      </c>
      <c r="DZ736" s="98">
        <f t="shared" si="4487"/>
        <v>-2.6911595155426071</v>
      </c>
      <c r="EA736" s="118">
        <f>+EA729+EA724+EA730</f>
        <v>919304</v>
      </c>
      <c r="EB736" s="98">
        <f t="shared" si="4488"/>
        <v>-0.20516850956475707</v>
      </c>
      <c r="EC736" s="118">
        <f>+EC729+EC724+EC730</f>
        <v>944439</v>
      </c>
      <c r="ED736" s="98">
        <f t="shared" si="4489"/>
        <v>4.95364294342584</v>
      </c>
      <c r="EE736" s="118">
        <f>+EE729+EE724+EE730</f>
        <v>954790</v>
      </c>
      <c r="EF736" s="860">
        <f t="shared" si="4490"/>
        <v>8.0125616259522516</v>
      </c>
      <c r="EG736" s="118">
        <f>+EG729+EG724+EG730</f>
        <v>900659</v>
      </c>
      <c r="EH736" s="860">
        <f t="shared" si="4491"/>
        <v>2.4113880007095245</v>
      </c>
      <c r="EI736" s="118">
        <f>+EI729+EI724+EI730</f>
        <v>916574</v>
      </c>
      <c r="EJ736" s="860">
        <f t="shared" si="4492"/>
        <v>-0.29696378999765072</v>
      </c>
      <c r="EK736" s="792">
        <f>+EK729+EK724+EK730</f>
        <v>927051</v>
      </c>
      <c r="EL736" s="860">
        <f t="shared" si="4493"/>
        <v>-1.8410929663006281</v>
      </c>
      <c r="EM736" s="792">
        <f>+EM729+EM724+EM730</f>
        <v>722351</v>
      </c>
      <c r="EN736" s="860">
        <f t="shared" si="4494"/>
        <v>-24.344515547921532</v>
      </c>
      <c r="EO736" s="792">
        <f>+EO729+EO724+EO730</f>
        <v>721764</v>
      </c>
      <c r="EP736" s="98">
        <f t="shared" si="4495"/>
        <v>-19.862678327757788</v>
      </c>
      <c r="EQ736" s="840">
        <f t="shared" ref="EQ736" si="4587">+EQ704</f>
        <v>721568.83086935326</v>
      </c>
      <c r="ER736" s="98">
        <f t="shared" si="4497"/>
        <v>-21.275441931654914</v>
      </c>
      <c r="ES736" s="840">
        <f t="shared" ref="ES736" si="4588">+ES704</f>
        <v>718298.87773502606</v>
      </c>
      <c r="ET736" s="98">
        <f t="shared" si="4499"/>
        <v>-22.517868193332834</v>
      </c>
      <c r="EU736" s="840">
        <f t="shared" ref="EU736" si="4589">+EU704</f>
        <v>717432.51763722685</v>
      </c>
      <c r="EV736" s="98">
        <f t="shared" si="4501"/>
        <v>-0.68089922527595492</v>
      </c>
      <c r="EW736" s="840">
        <f t="shared" ref="EW736" si="4590">+EW704</f>
        <v>716825.30563340359</v>
      </c>
      <c r="EX736" s="98">
        <f t="shared" si="4503"/>
        <v>-0.68425335242494612</v>
      </c>
      <c r="EY736" s="349"/>
      <c r="EZ736" s="594"/>
      <c r="FA736" s="405"/>
      <c r="FB736" s="349"/>
      <c r="FC736" s="98"/>
      <c r="FD736" s="40"/>
      <c r="FE736" s="98" t="str">
        <f t="shared" si="4504"/>
        <v>NA</v>
      </c>
      <c r="FF736" s="349">
        <f>+FF704</f>
        <v>255018</v>
      </c>
      <c r="FG736" s="98" t="str">
        <f t="shared" si="4505"/>
        <v>NA</v>
      </c>
      <c r="FH736" s="349">
        <f>+FH704</f>
        <v>256970</v>
      </c>
      <c r="FI736" s="98">
        <f t="shared" si="4506"/>
        <v>0.76543616529030079</v>
      </c>
      <c r="FJ736" s="349">
        <f>+FJ704</f>
        <v>277426</v>
      </c>
      <c r="FK736" s="98">
        <f t="shared" si="4507"/>
        <v>7.9604623107755845</v>
      </c>
      <c r="FL736" s="349">
        <f>+FL704</f>
        <v>326841</v>
      </c>
      <c r="FM736" s="98">
        <f t="shared" si="4508"/>
        <v>17.811957062423843</v>
      </c>
      <c r="FN736" s="349">
        <f>+FN704</f>
        <v>356808</v>
      </c>
      <c r="FO736" s="98">
        <f t="shared" si="4509"/>
        <v>9.1686783481876422</v>
      </c>
      <c r="FP736" s="349">
        <f>+FP704</f>
        <v>481218</v>
      </c>
      <c r="FQ736" s="98">
        <f t="shared" si="4511"/>
        <v>34.86749176027444</v>
      </c>
      <c r="FR736" s="349">
        <f>+FR704</f>
        <v>527715</v>
      </c>
      <c r="FS736" s="98">
        <f t="shared" si="4513"/>
        <v>9.6623567696968884</v>
      </c>
      <c r="FT736" s="349">
        <f>+FT704</f>
        <v>559136</v>
      </c>
      <c r="FU736" s="98">
        <f t="shared" si="4514"/>
        <v>5.9541608633447929</v>
      </c>
      <c r="FV736" s="349">
        <f>+FV704</f>
        <v>501678</v>
      </c>
      <c r="FW736" s="98">
        <f t="shared" si="4515"/>
        <v>-10.276211869741891</v>
      </c>
      <c r="FX736" s="510">
        <f>+FX704</f>
        <v>539314</v>
      </c>
      <c r="FY736" s="98">
        <f t="shared" si="4516"/>
        <v>7.5020232101068896</v>
      </c>
      <c r="FZ736" s="349">
        <f>+FZ704</f>
        <v>730906</v>
      </c>
      <c r="GA736" s="98">
        <f t="shared" si="4517"/>
        <v>35.525130072647841</v>
      </c>
      <c r="GB736" s="510">
        <f>+GB704</f>
        <v>796226</v>
      </c>
      <c r="GC736" s="98">
        <f t="shared" si="4518"/>
        <v>8.9368537130629644</v>
      </c>
      <c r="GD736" s="349">
        <f>+GD704</f>
        <v>836781</v>
      </c>
      <c r="GE736" s="98">
        <f t="shared" si="4519"/>
        <v>5.0934031292622972</v>
      </c>
      <c r="GF736" s="349">
        <f>+GF704</f>
        <v>885296</v>
      </c>
      <c r="GG736" s="98">
        <f t="shared" si="4519"/>
        <v>5.7978132868695686</v>
      </c>
      <c r="GH736" s="349">
        <f>+GH704</f>
        <v>902337</v>
      </c>
      <c r="GI736" s="98">
        <f t="shared" si="4519"/>
        <v>1.924892917171217</v>
      </c>
      <c r="GJ736" s="349">
        <f>+GJ704</f>
        <v>877933</v>
      </c>
      <c r="GK736" s="98">
        <f t="shared" si="4519"/>
        <v>-2.7045327854227419</v>
      </c>
      <c r="GL736" s="349">
        <f>+GL704</f>
        <v>898764</v>
      </c>
      <c r="GM736" s="98">
        <f t="shared" si="4519"/>
        <v>2.3727323155639413</v>
      </c>
      <c r="GN736" s="349">
        <f>+GN704</f>
        <v>719892</v>
      </c>
      <c r="GO736" s="98">
        <f t="shared" si="4519"/>
        <v>-19.90199874494305</v>
      </c>
      <c r="GP736" s="349">
        <f>+GP704</f>
        <v>716825.30563340359</v>
      </c>
      <c r="GQ736" s="98">
        <f t="shared" si="4519"/>
        <v>-0.42599367218921769</v>
      </c>
      <c r="GR736" s="349">
        <f>+GR704</f>
        <v>713271.98039764899</v>
      </c>
      <c r="GS736" s="98">
        <f t="shared" si="4519"/>
        <v>-0.49570309639317411</v>
      </c>
      <c r="GT736" s="349">
        <f>+GT704</f>
        <v>711895.84850340325</v>
      </c>
      <c r="GU736" s="98">
        <f t="shared" si="4519"/>
        <v>-0.19293227998085083</v>
      </c>
      <c r="GV736" s="349">
        <f>+GV704</f>
        <v>713627.58771744324</v>
      </c>
      <c r="GW736" s="98">
        <f t="shared" si="4519"/>
        <v>0.24325738346144821</v>
      </c>
      <c r="GX736" s="349">
        <f>+GX704</f>
        <v>718159.76115729159</v>
      </c>
      <c r="GY736" s="98">
        <f t="shared" si="4520"/>
        <v>0.63508943850456578</v>
      </c>
      <c r="GZ736" s="98">
        <f t="shared" si="4521"/>
        <v>-4.8171351607018131E-2</v>
      </c>
      <c r="HA736" s="98"/>
      <c r="HB736" s="10"/>
      <c r="HC736"/>
      <c r="HD736"/>
      <c r="HE736"/>
      <c r="HF736"/>
      <c r="HG736"/>
      <c r="HH736"/>
      <c r="HI736" s="10"/>
    </row>
    <row r="737" spans="1:217" s="2" customFormat="1" ht="12.75" customHeight="1" x14ac:dyDescent="0.2">
      <c r="A737" s="10"/>
      <c r="B737" s="179" t="s">
        <v>790</v>
      </c>
      <c r="C737" s="349"/>
      <c r="D737" s="98"/>
      <c r="E737" s="349"/>
      <c r="F737" s="98"/>
      <c r="G737" s="349"/>
      <c r="H737" s="98"/>
      <c r="I737" s="349"/>
      <c r="J737" s="98"/>
      <c r="K737" s="349"/>
      <c r="L737" s="98"/>
      <c r="M737" s="349"/>
      <c r="N737" s="98"/>
      <c r="O737" s="349"/>
      <c r="P737" s="98"/>
      <c r="Q737" s="349"/>
      <c r="R737" s="98"/>
      <c r="S737" s="349"/>
      <c r="T737" s="98"/>
      <c r="U737" s="349"/>
      <c r="V737" s="98"/>
      <c r="W737" s="349"/>
      <c r="X737" s="98"/>
      <c r="Y737" s="349"/>
      <c r="Z737" s="98"/>
      <c r="AA737" s="349"/>
      <c r="AB737" s="98"/>
      <c r="AC737" s="349"/>
      <c r="AD737" s="98"/>
      <c r="AE737" s="349"/>
      <c r="AF737" s="98"/>
      <c r="AG737" s="349"/>
      <c r="AH737" s="98"/>
      <c r="AI737" s="118"/>
      <c r="AJ737" s="98"/>
      <c r="AK737" s="118"/>
      <c r="AL737" s="98"/>
      <c r="AM737" s="118"/>
      <c r="AN737" s="98"/>
      <c r="AO737" s="118"/>
      <c r="AP737" s="98"/>
      <c r="AQ737" s="118"/>
      <c r="AR737" s="98"/>
      <c r="AS737" s="118"/>
      <c r="AT737" s="98"/>
      <c r="AU737" s="118"/>
      <c r="AV737" s="98"/>
      <c r="AW737" s="118"/>
      <c r="AX737" s="98"/>
      <c r="AY737" s="118"/>
      <c r="AZ737" s="98"/>
      <c r="BA737" s="118"/>
      <c r="BB737" s="98"/>
      <c r="BC737" s="118"/>
      <c r="BD737" s="98"/>
      <c r="BE737" s="118"/>
      <c r="BF737" s="98"/>
      <c r="BG737" s="118"/>
      <c r="BH737" s="98"/>
      <c r="BI737" s="118"/>
      <c r="BJ737" s="98"/>
      <c r="BK737" s="118"/>
      <c r="BL737" s="98"/>
      <c r="BM737" s="118"/>
      <c r="BN737" s="98"/>
      <c r="BO737" s="118"/>
      <c r="BP737" s="98"/>
      <c r="BQ737" s="118"/>
      <c r="BR737" s="98"/>
      <c r="BS737" s="118"/>
      <c r="BT737" s="98"/>
      <c r="BU737" s="118"/>
      <c r="BV737" s="98"/>
      <c r="BW737" s="118"/>
      <c r="BX737" s="98"/>
      <c r="BY737" s="118"/>
      <c r="BZ737" s="98"/>
      <c r="CA737" s="118"/>
      <c r="CB737" s="98"/>
      <c r="CC737" s="118"/>
      <c r="CD737" s="98"/>
      <c r="CE737" s="118"/>
      <c r="CF737" s="98"/>
      <c r="CG737" s="118"/>
      <c r="CH737" s="98"/>
      <c r="CI737" s="118"/>
      <c r="CJ737" s="98"/>
      <c r="CK737" s="118"/>
      <c r="CL737" s="98"/>
      <c r="CM737" s="118"/>
      <c r="CN737" s="98"/>
      <c r="CO737" s="118"/>
      <c r="CP737" s="98"/>
      <c r="CQ737" s="510"/>
      <c r="CR737" s="98"/>
      <c r="CS737" s="118"/>
      <c r="CT737" s="98"/>
      <c r="CU737" s="118"/>
      <c r="CV737" s="98"/>
      <c r="CW737" s="118"/>
      <c r="CX737" s="98"/>
      <c r="CY737" s="118"/>
      <c r="CZ737" s="98"/>
      <c r="DA737" s="118"/>
      <c r="DB737" s="98"/>
      <c r="DC737" s="118"/>
      <c r="DD737" s="98"/>
      <c r="DE737" s="118"/>
      <c r="DF737" s="98"/>
      <c r="DG737" s="118"/>
      <c r="DH737" s="98"/>
      <c r="DI737" s="118"/>
      <c r="DJ737" s="98"/>
      <c r="DK737" s="118"/>
      <c r="DL737" s="98"/>
      <c r="DM737" s="118"/>
      <c r="DN737" s="98"/>
      <c r="DO737" s="118"/>
      <c r="DP737" s="98"/>
      <c r="DQ737" s="118"/>
      <c r="DR737" s="98"/>
      <c r="DS737" s="118"/>
      <c r="DT737" s="98"/>
      <c r="DU737" s="118"/>
      <c r="DV737" s="98"/>
      <c r="DW737" s="118"/>
      <c r="DX737" s="98"/>
      <c r="DY737" s="118"/>
      <c r="DZ737" s="98"/>
      <c r="EA737" s="118"/>
      <c r="EB737" s="98"/>
      <c r="EC737" s="118"/>
      <c r="ED737" s="98"/>
      <c r="EE737" s="118"/>
      <c r="EF737" s="860"/>
      <c r="EG737" s="118"/>
      <c r="EH737" s="860"/>
      <c r="EI737" s="118"/>
      <c r="EJ737" s="860"/>
      <c r="EK737" s="792"/>
      <c r="EL737" s="860"/>
      <c r="EM737" s="792"/>
      <c r="EN737" s="860"/>
      <c r="EO737" s="792"/>
      <c r="EP737" s="98"/>
      <c r="EQ737" s="840"/>
      <c r="ER737" s="98"/>
      <c r="ES737" s="840"/>
      <c r="ET737" s="98"/>
      <c r="EU737" s="840"/>
      <c r="EV737" s="98"/>
      <c r="EW737" s="840"/>
      <c r="EX737" s="98"/>
      <c r="EY737" s="349"/>
      <c r="EZ737" s="594"/>
      <c r="FA737" s="405"/>
      <c r="FB737" s="349"/>
      <c r="FC737" s="98"/>
      <c r="FD737" s="40"/>
      <c r="FE737" s="98"/>
      <c r="FF737" s="349"/>
      <c r="FG737" s="98"/>
      <c r="FH737" s="349"/>
      <c r="FI737" s="98"/>
      <c r="FJ737" s="349"/>
      <c r="FK737" s="98"/>
      <c r="FL737" s="349"/>
      <c r="FM737" s="98"/>
      <c r="FN737" s="349"/>
      <c r="FO737" s="98"/>
      <c r="FP737" s="349"/>
      <c r="FQ737" s="98"/>
      <c r="FR737" s="349"/>
      <c r="FS737" s="98"/>
      <c r="FT737" s="349"/>
      <c r="FU737" s="98"/>
      <c r="FV737" s="349"/>
      <c r="FW737" s="98"/>
      <c r="FX737" s="510"/>
      <c r="FY737" s="98"/>
      <c r="FZ737" s="349"/>
      <c r="GA737" s="98"/>
      <c r="GB737" s="510"/>
      <c r="GC737" s="98"/>
      <c r="GD737" s="349"/>
      <c r="GE737" s="98"/>
      <c r="GF737" s="349"/>
      <c r="GG737" s="98"/>
      <c r="GH737" s="349"/>
      <c r="GI737" s="98"/>
      <c r="GJ737" s="40">
        <v>-1624</v>
      </c>
      <c r="GK737" s="98"/>
      <c r="GL737" s="40">
        <v>-363</v>
      </c>
      <c r="GM737" s="98"/>
      <c r="GN737" s="349">
        <f>GL737</f>
        <v>-363</v>
      </c>
      <c r="GO737" s="98"/>
      <c r="GP737" s="349">
        <f>GN737</f>
        <v>-363</v>
      </c>
      <c r="GQ737" s="98"/>
      <c r="GR737" s="349">
        <f>GP737</f>
        <v>-363</v>
      </c>
      <c r="GS737" s="98"/>
      <c r="GT737" s="349">
        <f>GR737</f>
        <v>-363</v>
      </c>
      <c r="GU737" s="98"/>
      <c r="GV737" s="349">
        <f>GT737</f>
        <v>-363</v>
      </c>
      <c r="GW737" s="98"/>
      <c r="GX737" s="349">
        <f>GV737</f>
        <v>-363</v>
      </c>
      <c r="GY737" s="98"/>
      <c r="GZ737" s="98"/>
      <c r="HA737" s="98"/>
      <c r="HB737" s="10"/>
      <c r="HC737"/>
      <c r="HD737"/>
      <c r="HE737"/>
      <c r="HF737"/>
      <c r="HG737"/>
      <c r="HH737"/>
      <c r="HI737" s="10"/>
    </row>
    <row r="738" spans="1:217" s="2" customFormat="1" ht="12.75" customHeight="1" x14ac:dyDescent="0.2">
      <c r="A738" s="10"/>
      <c r="B738" s="179" t="s">
        <v>794</v>
      </c>
      <c r="C738" s="349"/>
      <c r="D738" s="98"/>
      <c r="E738" s="349"/>
      <c r="F738" s="98"/>
      <c r="G738" s="349"/>
      <c r="H738" s="98"/>
      <c r="I738" s="349"/>
      <c r="J738" s="98"/>
      <c r="K738" s="349"/>
      <c r="L738" s="98"/>
      <c r="M738" s="349"/>
      <c r="N738" s="98"/>
      <c r="O738" s="349"/>
      <c r="P738" s="98"/>
      <c r="Q738" s="349"/>
      <c r="R738" s="98"/>
      <c r="S738" s="349"/>
      <c r="T738" s="98"/>
      <c r="U738" s="349"/>
      <c r="V738" s="98"/>
      <c r="W738" s="349"/>
      <c r="X738" s="98"/>
      <c r="Y738" s="349"/>
      <c r="Z738" s="98"/>
      <c r="AA738" s="349"/>
      <c r="AB738" s="98"/>
      <c r="AC738" s="349"/>
      <c r="AD738" s="98"/>
      <c r="AE738" s="349"/>
      <c r="AF738" s="98"/>
      <c r="AG738" s="349"/>
      <c r="AH738" s="98"/>
      <c r="AI738" s="118"/>
      <c r="AJ738" s="98"/>
      <c r="AK738" s="118"/>
      <c r="AL738" s="98"/>
      <c r="AM738" s="118"/>
      <c r="AN738" s="98"/>
      <c r="AO738" s="118"/>
      <c r="AP738" s="98"/>
      <c r="AQ738" s="118"/>
      <c r="AR738" s="98"/>
      <c r="AS738" s="118"/>
      <c r="AT738" s="98"/>
      <c r="AU738" s="118"/>
      <c r="AV738" s="98"/>
      <c r="AW738" s="118"/>
      <c r="AX738" s="98"/>
      <c r="AY738" s="118"/>
      <c r="AZ738" s="98"/>
      <c r="BA738" s="118"/>
      <c r="BB738" s="98"/>
      <c r="BC738" s="118"/>
      <c r="BD738" s="98"/>
      <c r="BE738" s="118"/>
      <c r="BF738" s="98"/>
      <c r="BG738" s="118"/>
      <c r="BH738" s="98"/>
      <c r="BI738" s="118"/>
      <c r="BJ738" s="98"/>
      <c r="BK738" s="118"/>
      <c r="BL738" s="98"/>
      <c r="BM738" s="118"/>
      <c r="BN738" s="98"/>
      <c r="BO738" s="118"/>
      <c r="BP738" s="98"/>
      <c r="BQ738" s="118"/>
      <c r="BR738" s="98"/>
      <c r="BS738" s="118"/>
      <c r="BT738" s="98"/>
      <c r="BU738" s="118"/>
      <c r="BV738" s="98"/>
      <c r="BW738" s="118"/>
      <c r="BX738" s="98"/>
      <c r="BY738" s="118"/>
      <c r="BZ738" s="98"/>
      <c r="CA738" s="118"/>
      <c r="CB738" s="98"/>
      <c r="CC738" s="118"/>
      <c r="CD738" s="98"/>
      <c r="CE738" s="118"/>
      <c r="CF738" s="98"/>
      <c r="CG738" s="118"/>
      <c r="CH738" s="98"/>
      <c r="CI738" s="118"/>
      <c r="CJ738" s="98"/>
      <c r="CK738" s="118"/>
      <c r="CL738" s="98"/>
      <c r="CM738" s="118"/>
      <c r="CN738" s="98"/>
      <c r="CO738" s="118"/>
      <c r="CP738" s="98"/>
      <c r="CQ738" s="510"/>
      <c r="CR738" s="98"/>
      <c r="CS738" s="118"/>
      <c r="CT738" s="98"/>
      <c r="CU738" s="118"/>
      <c r="CV738" s="98"/>
      <c r="CW738" s="118"/>
      <c r="CX738" s="98"/>
      <c r="CY738" s="118"/>
      <c r="CZ738" s="98"/>
      <c r="DA738" s="118"/>
      <c r="DB738" s="98"/>
      <c r="DC738" s="118"/>
      <c r="DD738" s="98"/>
      <c r="DE738" s="118"/>
      <c r="DF738" s="98"/>
      <c r="DG738" s="118"/>
      <c r="DH738" s="98"/>
      <c r="DI738" s="118"/>
      <c r="DJ738" s="98"/>
      <c r="DK738" s="118"/>
      <c r="DL738" s="98"/>
      <c r="DM738" s="118"/>
      <c r="DN738" s="98"/>
      <c r="DO738" s="118"/>
      <c r="DP738" s="98"/>
      <c r="DQ738" s="118"/>
      <c r="DR738" s="98"/>
      <c r="DS738" s="118"/>
      <c r="DT738" s="98"/>
      <c r="DU738" s="118"/>
      <c r="DV738" s="98"/>
      <c r="DW738" s="118"/>
      <c r="DX738" s="98"/>
      <c r="DY738" s="118"/>
      <c r="DZ738" s="98"/>
      <c r="EA738" s="118"/>
      <c r="EB738" s="98"/>
      <c r="EC738" s="118"/>
      <c r="ED738" s="98"/>
      <c r="EE738" s="118"/>
      <c r="EF738" s="860"/>
      <c r="EG738" s="118"/>
      <c r="EH738" s="860"/>
      <c r="EI738" s="118"/>
      <c r="EJ738" s="860"/>
      <c r="EK738" s="792"/>
      <c r="EL738" s="860"/>
      <c r="EM738" s="792"/>
      <c r="EN738" s="860"/>
      <c r="EO738" s="792"/>
      <c r="EP738" s="98"/>
      <c r="EQ738" s="840"/>
      <c r="ER738" s="98"/>
      <c r="ES738" s="840"/>
      <c r="ET738" s="98"/>
      <c r="EU738" s="840"/>
      <c r="EV738" s="98"/>
      <c r="EW738" s="840"/>
      <c r="EX738" s="98"/>
      <c r="EY738" s="349"/>
      <c r="EZ738" s="594"/>
      <c r="FA738" s="405"/>
      <c r="FB738" s="349"/>
      <c r="FC738" s="98"/>
      <c r="FD738" s="40"/>
      <c r="FE738" s="98"/>
      <c r="FF738" s="349"/>
      <c r="FG738" s="98"/>
      <c r="FH738" s="349"/>
      <c r="FI738" s="98"/>
      <c r="FJ738" s="349"/>
      <c r="FK738" s="98"/>
      <c r="FL738" s="349"/>
      <c r="FM738" s="98"/>
      <c r="FN738" s="349"/>
      <c r="FO738" s="98"/>
      <c r="FP738" s="349"/>
      <c r="FQ738" s="98"/>
      <c r="FR738" s="349"/>
      <c r="FS738" s="98"/>
      <c r="FT738" s="349"/>
      <c r="FU738" s="98"/>
      <c r="FV738" s="349"/>
      <c r="FW738" s="98"/>
      <c r="FX738" s="510"/>
      <c r="FY738" s="98"/>
      <c r="FZ738" s="349"/>
      <c r="GA738" s="98"/>
      <c r="GB738" s="510"/>
      <c r="GC738" s="98"/>
      <c r="GD738" s="349"/>
      <c r="GE738" s="98"/>
      <c r="GF738" s="349"/>
      <c r="GG738" s="98"/>
      <c r="GH738" s="349"/>
      <c r="GI738" s="98"/>
      <c r="GJ738" s="349">
        <f>GJ733-GJ737</f>
        <v>57786</v>
      </c>
      <c r="GK738" s="98"/>
      <c r="GL738" s="349">
        <f>GL733-GL737</f>
        <v>55169</v>
      </c>
      <c r="GM738" s="98"/>
      <c r="GN738" s="349">
        <f>GN733-GN737</f>
        <v>45156</v>
      </c>
      <c r="GO738" s="98"/>
      <c r="GP738" s="349">
        <f>GP733-GP737</f>
        <v>44275.100587679044</v>
      </c>
      <c r="GQ738" s="98"/>
      <c r="GR738" s="349">
        <f>GR733-GR737</f>
        <v>44877.653981400239</v>
      </c>
      <c r="GS738" s="98"/>
      <c r="GT738" s="349">
        <f>GT733-GT737</f>
        <v>45623.551233292557</v>
      </c>
      <c r="GU738" s="98"/>
      <c r="GV738" s="349">
        <f>GV733-GV737</f>
        <v>46469.273636416518</v>
      </c>
      <c r="GW738" s="98"/>
      <c r="GX738" s="349">
        <f>GX733-GX737</f>
        <v>47366.750762615433</v>
      </c>
      <c r="GY738" s="98"/>
      <c r="GZ738" s="98"/>
      <c r="HA738" s="98"/>
      <c r="HB738" s="10"/>
      <c r="HC738"/>
      <c r="HD738"/>
      <c r="HE738"/>
      <c r="HF738"/>
      <c r="HG738"/>
      <c r="HH738"/>
      <c r="HI738" s="10"/>
    </row>
    <row r="739" spans="1:217" s="2" customFormat="1" ht="12.75" customHeight="1" x14ac:dyDescent="0.2">
      <c r="A739" s="10"/>
      <c r="B739" s="179" t="s">
        <v>52</v>
      </c>
      <c r="C739" s="349"/>
      <c r="D739" s="98"/>
      <c r="E739" s="349"/>
      <c r="F739" s="98"/>
      <c r="G739" s="349"/>
      <c r="H739" s="98"/>
      <c r="I739" s="349"/>
      <c r="J739" s="98"/>
      <c r="K739" s="349"/>
      <c r="L739" s="98"/>
      <c r="M739" s="349"/>
      <c r="N739" s="98"/>
      <c r="O739" s="349"/>
      <c r="P739" s="98"/>
      <c r="Q739" s="349"/>
      <c r="R739" s="98"/>
      <c r="S739" s="349"/>
      <c r="T739" s="98"/>
      <c r="U739" s="349"/>
      <c r="V739" s="98"/>
      <c r="W739" s="349"/>
      <c r="X739" s="98"/>
      <c r="Y739" s="349"/>
      <c r="Z739" s="98"/>
      <c r="AA739" s="349"/>
      <c r="AB739" s="98"/>
      <c r="AC739" s="349"/>
      <c r="AD739" s="98"/>
      <c r="AE739" s="349"/>
      <c r="AF739" s="98"/>
      <c r="AG739" s="349"/>
      <c r="AH739" s="98"/>
      <c r="AI739" s="118"/>
      <c r="AJ739" s="98"/>
      <c r="AK739" s="118"/>
      <c r="AL739" s="98"/>
      <c r="AM739" s="118"/>
      <c r="AN739" s="98"/>
      <c r="AO739" s="118"/>
      <c r="AP739" s="98"/>
      <c r="AQ739" s="118"/>
      <c r="AR739" s="98"/>
      <c r="AS739" s="118"/>
      <c r="AT739" s="98"/>
      <c r="AU739" s="118"/>
      <c r="AV739" s="98"/>
      <c r="AW739" s="118"/>
      <c r="AX739" s="98"/>
      <c r="AY739" s="118"/>
      <c r="AZ739" s="98"/>
      <c r="BA739" s="118"/>
      <c r="BB739" s="98"/>
      <c r="BC739" s="118"/>
      <c r="BD739" s="98"/>
      <c r="BE739" s="118"/>
      <c r="BF739" s="98"/>
      <c r="BG739" s="118"/>
      <c r="BH739" s="98"/>
      <c r="BI739" s="118"/>
      <c r="BJ739" s="98"/>
      <c r="BK739" s="118"/>
      <c r="BL739" s="98"/>
      <c r="BM739" s="118"/>
      <c r="BN739" s="98"/>
      <c r="BO739" s="118"/>
      <c r="BP739" s="98"/>
      <c r="BQ739" s="118"/>
      <c r="BR739" s="98"/>
      <c r="BS739" s="118"/>
      <c r="BT739" s="98"/>
      <c r="BU739" s="118"/>
      <c r="BV739" s="98"/>
      <c r="BW739" s="118"/>
      <c r="BX739" s="98"/>
      <c r="BY739" s="118"/>
      <c r="BZ739" s="98"/>
      <c r="CA739" s="118"/>
      <c r="CB739" s="98"/>
      <c r="CC739" s="118"/>
      <c r="CD739" s="98"/>
      <c r="CE739" s="118"/>
      <c r="CF739" s="98"/>
      <c r="CG739" s="118"/>
      <c r="CH739" s="98"/>
      <c r="CI739" s="118"/>
      <c r="CJ739" s="98"/>
      <c r="CK739" s="118"/>
      <c r="CL739" s="98"/>
      <c r="CM739" s="118"/>
      <c r="CN739" s="98"/>
      <c r="CO739" s="118"/>
      <c r="CP739" s="98"/>
      <c r="CQ739" s="510"/>
      <c r="CR739" s="98"/>
      <c r="CS739" s="118"/>
      <c r="CT739" s="98"/>
      <c r="CU739" s="118"/>
      <c r="CV739" s="98"/>
      <c r="CW739" s="118"/>
      <c r="CX739" s="98"/>
      <c r="CY739" s="118"/>
      <c r="CZ739" s="98"/>
      <c r="DA739" s="118"/>
      <c r="DB739" s="98"/>
      <c r="DC739" s="118"/>
      <c r="DD739" s="98"/>
      <c r="DE739" s="118"/>
      <c r="DF739" s="98"/>
      <c r="DG739" s="118"/>
      <c r="DH739" s="98"/>
      <c r="DI739" s="118"/>
      <c r="DJ739" s="98"/>
      <c r="DK739" s="118"/>
      <c r="DL739" s="98"/>
      <c r="DM739" s="118"/>
      <c r="DN739" s="98"/>
      <c r="DO739" s="118"/>
      <c r="DP739" s="98"/>
      <c r="DQ739" s="118"/>
      <c r="DR739" s="98"/>
      <c r="DS739" s="118"/>
      <c r="DT739" s="98"/>
      <c r="DU739" s="118"/>
      <c r="DV739" s="98"/>
      <c r="DW739" s="118"/>
      <c r="DX739" s="98"/>
      <c r="DY739" s="118"/>
      <c r="DZ739" s="98"/>
      <c r="EA739" s="118"/>
      <c r="EB739" s="98"/>
      <c r="EC739" s="118"/>
      <c r="ED739" s="98"/>
      <c r="EE739" s="118"/>
      <c r="EF739" s="860"/>
      <c r="EG739" s="118"/>
      <c r="EH739" s="860"/>
      <c r="EI739" s="118"/>
      <c r="EJ739" s="860"/>
      <c r="EK739" s="792"/>
      <c r="EL739" s="860"/>
      <c r="EM739" s="792"/>
      <c r="EN739" s="860"/>
      <c r="EO739" s="792"/>
      <c r="EP739" s="98"/>
      <c r="EQ739" s="840"/>
      <c r="ER739" s="98"/>
      <c r="ES739" s="840"/>
      <c r="ET739" s="98"/>
      <c r="EU739" s="840"/>
      <c r="EV739" s="98"/>
      <c r="EW739" s="840"/>
      <c r="EX739" s="98"/>
      <c r="EY739" s="349"/>
      <c r="EZ739" s="594"/>
      <c r="FA739" s="405"/>
      <c r="FB739" s="349"/>
      <c r="FC739" s="98"/>
      <c r="FD739" s="40"/>
      <c r="FE739" s="98"/>
      <c r="FF739" s="349"/>
      <c r="FG739" s="98"/>
      <c r="FH739" s="349"/>
      <c r="FI739" s="98"/>
      <c r="FJ739" s="349"/>
      <c r="FK739" s="98"/>
      <c r="FL739" s="349"/>
      <c r="FM739" s="98"/>
      <c r="FN739" s="349"/>
      <c r="FO739" s="98"/>
      <c r="FP739" s="349"/>
      <c r="FQ739" s="98"/>
      <c r="FR739" s="349"/>
      <c r="FS739" s="98"/>
      <c r="FT739" s="349"/>
      <c r="FU739" s="98"/>
      <c r="FV739" s="349"/>
      <c r="FW739" s="98"/>
      <c r="FX739" s="510"/>
      <c r="FY739" s="98"/>
      <c r="FZ739" s="349"/>
      <c r="GA739" s="98"/>
      <c r="GB739" s="510"/>
      <c r="GC739" s="98"/>
      <c r="GD739" s="349"/>
      <c r="GE739" s="98"/>
      <c r="GF739" s="349"/>
      <c r="GG739" s="98"/>
      <c r="GH739" s="349"/>
      <c r="GI739" s="98"/>
      <c r="GJ739" s="40"/>
      <c r="GK739" s="98"/>
      <c r="GL739" s="349">
        <f>AVERAGE(GJ738,GL738)</f>
        <v>56477.5</v>
      </c>
      <c r="GM739" s="98"/>
      <c r="GN739" s="349">
        <f>AVERAGE(GL738,GN738)</f>
        <v>50162.5</v>
      </c>
      <c r="GO739" s="98"/>
      <c r="GP739" s="349">
        <f>AVERAGE(GN738,GP738)</f>
        <v>44715.550293839522</v>
      </c>
      <c r="GQ739" s="98"/>
      <c r="GR739" s="349">
        <f>AVERAGE(GP738,GR738)</f>
        <v>44576.377284539645</v>
      </c>
      <c r="GS739" s="98"/>
      <c r="GT739" s="349">
        <f>AVERAGE(GR738,GT738)</f>
        <v>45250.602607346402</v>
      </c>
      <c r="GU739" s="98"/>
      <c r="GV739" s="349">
        <f>AVERAGE(GT738,GV738)</f>
        <v>46046.412434854537</v>
      </c>
      <c r="GW739" s="98"/>
      <c r="GX739" s="349">
        <f>AVERAGE(GV738,GX738)</f>
        <v>46918.012199515972</v>
      </c>
      <c r="GY739" s="98"/>
      <c r="GZ739" s="98"/>
      <c r="HA739" s="98"/>
      <c r="HB739" s="10"/>
      <c r="HC739"/>
      <c r="HD739"/>
      <c r="HE739"/>
      <c r="HF739"/>
      <c r="HG739"/>
      <c r="HH739"/>
      <c r="HI739" s="10"/>
    </row>
    <row r="740" spans="1:217" s="2" customFormat="1" ht="12.75" customHeight="1" x14ac:dyDescent="0.2">
      <c r="A740" s="351"/>
      <c r="B740" s="179"/>
      <c r="C740" s="386"/>
      <c r="D740" s="113"/>
      <c r="E740" s="386"/>
      <c r="F740" s="113"/>
      <c r="G740" s="386"/>
      <c r="H740" s="113"/>
      <c r="I740" s="386"/>
      <c r="J740" s="113"/>
      <c r="K740" s="386"/>
      <c r="L740" s="113"/>
      <c r="M740" s="386"/>
      <c r="N740" s="113"/>
      <c r="O740" s="386"/>
      <c r="P740" s="113"/>
      <c r="Q740" s="386"/>
      <c r="R740" s="113"/>
      <c r="S740" s="386"/>
      <c r="T740" s="113"/>
      <c r="U740" s="386"/>
      <c r="V740" s="113"/>
      <c r="W740" s="386"/>
      <c r="X740" s="113"/>
      <c r="Y740" s="386"/>
      <c r="Z740" s="113"/>
      <c r="AA740" s="386"/>
      <c r="AB740" s="113"/>
      <c r="AC740" s="386"/>
      <c r="AD740" s="113"/>
      <c r="AE740" s="386"/>
      <c r="AF740" s="113"/>
      <c r="AG740" s="386"/>
      <c r="AH740" s="113"/>
      <c r="AI740" s="149"/>
      <c r="AJ740" s="113"/>
      <c r="AK740" s="149"/>
      <c r="AL740" s="113"/>
      <c r="AM740" s="149"/>
      <c r="AN740" s="113"/>
      <c r="AO740" s="149"/>
      <c r="AP740" s="113"/>
      <c r="AQ740" s="149"/>
      <c r="AR740" s="113"/>
      <c r="AS740" s="149"/>
      <c r="AT740" s="113"/>
      <c r="AU740" s="149"/>
      <c r="AV740" s="113"/>
      <c r="AW740" s="149"/>
      <c r="AX740" s="113"/>
      <c r="AY740" s="149"/>
      <c r="AZ740" s="113"/>
      <c r="BA740" s="149"/>
      <c r="BB740" s="113"/>
      <c r="BC740" s="149"/>
      <c r="BD740" s="113"/>
      <c r="BE740" s="149"/>
      <c r="BF740" s="113"/>
      <c r="BG740" s="149"/>
      <c r="BH740" s="113"/>
      <c r="BI740" s="149"/>
      <c r="BJ740" s="113"/>
      <c r="BK740" s="149"/>
      <c r="BL740" s="113"/>
      <c r="BM740" s="149"/>
      <c r="BN740" s="113"/>
      <c r="BO740" s="149"/>
      <c r="BP740" s="113"/>
      <c r="BQ740" s="149"/>
      <c r="BR740" s="113"/>
      <c r="BS740" s="149"/>
      <c r="BT740" s="113"/>
      <c r="BU740" s="149"/>
      <c r="BV740" s="113"/>
      <c r="BW740" s="149"/>
      <c r="BX740" s="113"/>
      <c r="BY740" s="149"/>
      <c r="BZ740" s="113"/>
      <c r="CA740" s="149"/>
      <c r="CB740" s="113"/>
      <c r="CC740" s="149"/>
      <c r="CD740" s="113"/>
      <c r="CE740" s="149"/>
      <c r="CF740" s="113"/>
      <c r="CG740" s="149"/>
      <c r="CH740" s="113"/>
      <c r="CI740" s="149"/>
      <c r="CJ740" s="113"/>
      <c r="CK740" s="149"/>
      <c r="CL740" s="113"/>
      <c r="CM740" s="149"/>
      <c r="CN740" s="113"/>
      <c r="CO740" s="149"/>
      <c r="CP740" s="113"/>
      <c r="CQ740" s="570"/>
      <c r="CR740" s="113"/>
      <c r="CS740" s="149"/>
      <c r="CT740" s="113"/>
      <c r="CU740" s="149"/>
      <c r="CV740" s="113"/>
      <c r="CW740" s="149"/>
      <c r="CX740" s="113"/>
      <c r="CY740" s="149"/>
      <c r="CZ740" s="113"/>
      <c r="DA740" s="149"/>
      <c r="DB740" s="113"/>
      <c r="DC740" s="149"/>
      <c r="DD740" s="113"/>
      <c r="DE740" s="149"/>
      <c r="DF740" s="113"/>
      <c r="DG740" s="149"/>
      <c r="DH740" s="113"/>
      <c r="DI740" s="149"/>
      <c r="DJ740" s="113"/>
      <c r="DK740" s="149"/>
      <c r="DL740" s="113"/>
      <c r="DM740" s="149"/>
      <c r="DN740" s="113"/>
      <c r="DO740" s="149"/>
      <c r="DP740" s="113"/>
      <c r="DQ740" s="149"/>
      <c r="DR740" s="113"/>
      <c r="DS740" s="149"/>
      <c r="DT740" s="113"/>
      <c r="DU740" s="149"/>
      <c r="DV740" s="113"/>
      <c r="DW740" s="149"/>
      <c r="DX740" s="113"/>
      <c r="DY740" s="149"/>
      <c r="DZ740" s="113"/>
      <c r="EA740" s="149"/>
      <c r="EB740" s="113"/>
      <c r="EC740" s="149"/>
      <c r="ED740" s="113"/>
      <c r="EE740" s="149"/>
      <c r="EF740" s="859"/>
      <c r="EG740" s="149"/>
      <c r="EH740" s="859"/>
      <c r="EI740" s="149"/>
      <c r="EJ740" s="859"/>
      <c r="EK740" s="1154"/>
      <c r="EL740" s="859"/>
      <c r="EM740" s="1154"/>
      <c r="EN740" s="859"/>
      <c r="EO740" s="1154"/>
      <c r="EP740" s="113"/>
      <c r="EQ740" s="823"/>
      <c r="ER740" s="113"/>
      <c r="ES740" s="823"/>
      <c r="ET740" s="113"/>
      <c r="EU740" s="823"/>
      <c r="EV740" s="113"/>
      <c r="EW740" s="823"/>
      <c r="EX740" s="113"/>
      <c r="EY740" s="244"/>
      <c r="EZ740" s="594"/>
      <c r="FA740" s="405"/>
      <c r="FB740" s="244"/>
      <c r="FC740" s="113"/>
      <c r="FD740" s="244"/>
      <c r="FE740" s="113"/>
      <c r="FF740" s="244"/>
      <c r="FG740" s="98"/>
      <c r="FH740" s="244"/>
      <c r="FI740" s="98"/>
      <c r="FJ740" s="244"/>
      <c r="FK740" s="98"/>
      <c r="FL740" s="244"/>
      <c r="FM740" s="98"/>
      <c r="FN740" s="244"/>
      <c r="FO740" s="98"/>
      <c r="FP740" s="244"/>
      <c r="FQ740" s="98"/>
      <c r="FR740" s="244"/>
      <c r="FS740" s="98"/>
      <c r="FT740" s="244"/>
      <c r="FU740" s="98"/>
      <c r="FV740" s="244"/>
      <c r="FW740" s="113">
        <v>8.2251506627605266</v>
      </c>
      <c r="FX740" s="506"/>
      <c r="FY740" s="113">
        <v>8.2251506627605266</v>
      </c>
      <c r="FZ740" s="244"/>
      <c r="GA740" s="113">
        <v>8.2251506627605266</v>
      </c>
      <c r="GB740" s="506"/>
      <c r="GC740" s="113">
        <v>8.2251506627605266</v>
      </c>
      <c r="GD740" s="244"/>
      <c r="GE740" s="113"/>
      <c r="GF740" s="244"/>
      <c r="GG740" s="113"/>
      <c r="GH740" s="244"/>
      <c r="GI740" s="113"/>
      <c r="GJ740" s="244"/>
      <c r="GK740" s="113"/>
      <c r="GL740" s="244"/>
      <c r="GM740" s="113"/>
      <c r="GN740" s="244"/>
      <c r="GO740" s="113"/>
      <c r="GP740" s="244"/>
      <c r="GQ740" s="113"/>
      <c r="GR740" s="244"/>
      <c r="GS740" s="113"/>
      <c r="GT740" s="244"/>
      <c r="GU740" s="113"/>
      <c r="GV740" s="244"/>
      <c r="GW740" s="113"/>
      <c r="GX740" s="244"/>
      <c r="GY740" s="113"/>
      <c r="GZ740" s="113"/>
      <c r="HA740" s="113"/>
      <c r="HB740" s="10"/>
      <c r="HC740"/>
      <c r="HD740"/>
      <c r="HE740"/>
      <c r="HF740"/>
      <c r="HG740"/>
      <c r="HH740"/>
      <c r="HI740" s="10"/>
    </row>
    <row r="741" spans="1:217" s="2" customFormat="1" ht="12.75" customHeight="1" x14ac:dyDescent="0.2">
      <c r="A741" s="351"/>
      <c r="B741" s="131" t="s">
        <v>599</v>
      </c>
      <c r="C741" s="244"/>
      <c r="D741" s="113"/>
      <c r="E741" s="244"/>
      <c r="F741" s="113"/>
      <c r="G741" s="244"/>
      <c r="H741" s="113"/>
      <c r="I741" s="244"/>
      <c r="J741" s="113"/>
      <c r="K741" s="244"/>
      <c r="L741" s="113"/>
      <c r="M741" s="244"/>
      <c r="N741" s="113"/>
      <c r="O741" s="244"/>
      <c r="P741" s="113"/>
      <c r="Q741" s="244"/>
      <c r="R741" s="113"/>
      <c r="S741" s="244"/>
      <c r="T741" s="113"/>
      <c r="U741" s="244"/>
      <c r="V741" s="113"/>
      <c r="W741" s="244"/>
      <c r="X741" s="113"/>
      <c r="Y741" s="244"/>
      <c r="Z741" s="113"/>
      <c r="AA741" s="244"/>
      <c r="AB741" s="113"/>
      <c r="AC741" s="244"/>
      <c r="AD741" s="113"/>
      <c r="AE741" s="244"/>
      <c r="AF741" s="113"/>
      <c r="AG741" s="244"/>
      <c r="AH741" s="113"/>
      <c r="AI741" s="95"/>
      <c r="AJ741" s="113"/>
      <c r="AK741" s="95"/>
      <c r="AL741" s="113"/>
      <c r="AM741" s="95"/>
      <c r="AN741" s="113"/>
      <c r="AO741" s="95"/>
      <c r="AP741" s="113"/>
      <c r="AQ741" s="95"/>
      <c r="AR741" s="113"/>
      <c r="AS741" s="95"/>
      <c r="AT741" s="113"/>
      <c r="AU741" s="95"/>
      <c r="AV741" s="113"/>
      <c r="AW741" s="95"/>
      <c r="AX741" s="113"/>
      <c r="AY741" s="95"/>
      <c r="AZ741" s="113"/>
      <c r="BA741" s="95"/>
      <c r="BB741" s="113"/>
      <c r="BC741" s="95"/>
      <c r="BD741" s="113"/>
      <c r="BE741" s="95"/>
      <c r="BF741" s="113"/>
      <c r="BG741" s="95"/>
      <c r="BH741" s="113"/>
      <c r="BI741" s="95"/>
      <c r="BJ741" s="113"/>
      <c r="BK741" s="95"/>
      <c r="BL741" s="113"/>
      <c r="BM741" s="95"/>
      <c r="BN741" s="113"/>
      <c r="BO741" s="95"/>
      <c r="BP741" s="113"/>
      <c r="BQ741" s="95"/>
      <c r="BR741" s="113"/>
      <c r="BS741" s="95"/>
      <c r="BT741" s="113"/>
      <c r="BU741" s="95"/>
      <c r="BV741" s="113"/>
      <c r="BW741" s="95"/>
      <c r="BX741" s="113"/>
      <c r="BY741" s="95"/>
      <c r="BZ741" s="113"/>
      <c r="CA741" s="95"/>
      <c r="CB741" s="113"/>
      <c r="CC741" s="95"/>
      <c r="CD741" s="113"/>
      <c r="CE741" s="95"/>
      <c r="CF741" s="113"/>
      <c r="CG741" s="95"/>
      <c r="CH741" s="113"/>
      <c r="CI741" s="95"/>
      <c r="CJ741" s="113"/>
      <c r="CK741" s="95"/>
      <c r="CL741" s="113"/>
      <c r="CM741" s="95"/>
      <c r="CN741" s="113"/>
      <c r="CO741" s="95"/>
      <c r="CP741" s="113"/>
      <c r="CQ741" s="506"/>
      <c r="CR741" s="113"/>
      <c r="CS741" s="95"/>
      <c r="CT741" s="113"/>
      <c r="CU741" s="95"/>
      <c r="CV741" s="113"/>
      <c r="CW741" s="95"/>
      <c r="CX741" s="113"/>
      <c r="CY741" s="95"/>
      <c r="CZ741" s="113"/>
      <c r="DA741" s="95"/>
      <c r="DB741" s="113"/>
      <c r="DC741" s="95"/>
      <c r="DD741" s="113"/>
      <c r="DE741" s="95"/>
      <c r="DF741" s="113"/>
      <c r="DG741" s="95"/>
      <c r="DH741" s="113"/>
      <c r="DI741" s="95"/>
      <c r="DJ741" s="113"/>
      <c r="DK741" s="95"/>
      <c r="DL741" s="113"/>
      <c r="DM741" s="95"/>
      <c r="DN741" s="113"/>
      <c r="DO741" s="135"/>
      <c r="DP741" s="113"/>
      <c r="DQ741" s="135"/>
      <c r="DR741" s="113"/>
      <c r="DS741" s="135"/>
      <c r="DT741" s="113"/>
      <c r="DU741" s="135"/>
      <c r="DV741" s="113"/>
      <c r="DW741" s="135"/>
      <c r="DX741" s="113"/>
      <c r="DY741" s="135"/>
      <c r="DZ741" s="113"/>
      <c r="EA741" s="135"/>
      <c r="EB741" s="113"/>
      <c r="EC741" s="135"/>
      <c r="ED741" s="113"/>
      <c r="EE741" s="135"/>
      <c r="EF741" s="859"/>
      <c r="EG741" s="135"/>
      <c r="EH741" s="859"/>
      <c r="EI741" s="135"/>
      <c r="EJ741" s="859"/>
      <c r="EK741" s="877"/>
      <c r="EL741" s="859"/>
      <c r="EM741" s="877"/>
      <c r="EN741" s="859"/>
      <c r="EO741" s="877"/>
      <c r="EP741" s="113"/>
      <c r="EQ741" s="823"/>
      <c r="ER741" s="113"/>
      <c r="ES741" s="823"/>
      <c r="ET741" s="113"/>
      <c r="EU741" s="823"/>
      <c r="EV741" s="113"/>
      <c r="EW741" s="823"/>
      <c r="EX741" s="113"/>
      <c r="EY741" s="244"/>
      <c r="EZ741" s="594"/>
      <c r="FA741" s="405"/>
      <c r="FB741" s="244"/>
      <c r="FC741" s="113"/>
      <c r="FD741" s="244"/>
      <c r="FE741" s="113"/>
      <c r="FF741" s="244"/>
      <c r="FG741" s="98"/>
      <c r="FH741" s="244"/>
      <c r="FI741" s="98"/>
      <c r="FJ741" s="244"/>
      <c r="FK741" s="98"/>
      <c r="FL741" s="244"/>
      <c r="FM741" s="98"/>
      <c r="FN741" s="244"/>
      <c r="FO741" s="98"/>
      <c r="FP741" s="244"/>
      <c r="FQ741" s="98"/>
      <c r="FR741" s="244"/>
      <c r="FS741" s="98"/>
      <c r="FT741" s="244"/>
      <c r="FU741" s="98"/>
      <c r="FV741" s="244"/>
      <c r="FW741" s="113"/>
      <c r="FX741" s="506"/>
      <c r="FY741" s="113"/>
      <c r="FZ741" s="244"/>
      <c r="GA741" s="113"/>
      <c r="GB741" s="506"/>
      <c r="GC741" s="113"/>
      <c r="GD741" s="244"/>
      <c r="GE741" s="113"/>
      <c r="GF741" s="244"/>
      <c r="GG741" s="113"/>
      <c r="GH741" s="244"/>
      <c r="GI741" s="113"/>
      <c r="GJ741" s="244"/>
      <c r="GK741" s="113"/>
      <c r="GL741" s="244"/>
      <c r="GM741" s="113"/>
      <c r="GN741" s="244"/>
      <c r="GO741" s="113"/>
      <c r="GP741" s="244"/>
      <c r="GQ741" s="113"/>
      <c r="GR741" s="244"/>
      <c r="GS741" s="113"/>
      <c r="GT741" s="244"/>
      <c r="GU741" s="113"/>
      <c r="GV741" s="244"/>
      <c r="GW741" s="113"/>
      <c r="GX741" s="244"/>
      <c r="GY741" s="113"/>
      <c r="GZ741" s="113"/>
      <c r="HA741" s="113"/>
      <c r="HB741" s="10"/>
      <c r="HC741"/>
      <c r="HD741"/>
      <c r="HE741"/>
      <c r="HF741"/>
      <c r="HG741"/>
      <c r="HH741"/>
      <c r="HI741" s="10"/>
    </row>
    <row r="742" spans="1:217" s="2" customFormat="1" ht="12.75" customHeight="1" x14ac:dyDescent="0.2">
      <c r="A742" s="10" t="s">
        <v>155</v>
      </c>
      <c r="B742" s="179" t="s">
        <v>679</v>
      </c>
      <c r="C742" s="289">
        <f>C626/C735*400</f>
        <v>10.803207202138134</v>
      </c>
      <c r="D742" s="98"/>
      <c r="E742" s="289">
        <f>E626/E735*400</f>
        <v>10.177909310473858</v>
      </c>
      <c r="F742" s="98"/>
      <c r="G742" s="289">
        <f>G626/G735*400</f>
        <v>10.181962811971761</v>
      </c>
      <c r="H742" s="98"/>
      <c r="I742" s="289">
        <f>I626/I735*400</f>
        <v>10.613424405621963</v>
      </c>
      <c r="J742" s="98"/>
      <c r="K742" s="289">
        <f>K626/K735*400</f>
        <v>9.9957700191976055</v>
      </c>
      <c r="L742" s="98">
        <f>IF(ISERROR((K742/C742-1)*100),"NA",IF(((K742/C742-1)*100)&gt;100,"NM",IF(((K742/C742-1)*100)&lt;-50,"NM",(K742/C742-1)*100)))</f>
        <v>-7.4740506946929912</v>
      </c>
      <c r="M742" s="289">
        <f>M626/M735*400</f>
        <v>10.872879431703915</v>
      </c>
      <c r="N742" s="98">
        <f>IF(ISERROR((M742/E742-1)*100),"NA",IF(((M742/E742-1)*100)&gt;100,"NM",IF(((M742/E742-1)*100)&lt;-50,"NM",(M742/E742-1)*100)))</f>
        <v>6.8282208067513395</v>
      </c>
      <c r="O742" s="289">
        <f>O626/O735*400</f>
        <v>5.9478579850648501</v>
      </c>
      <c r="P742" s="98">
        <f>IF(ISERROR((O742/G742-1)*100),"NA",IF(((O742/G742-1)*100)&gt;100,"NM",IF(((O742/G742-1)*100)&lt;-50,"NM",(O742/G742-1)*100)))</f>
        <v>-41.584367425979295</v>
      </c>
      <c r="Q742" s="289">
        <f>Q626/Q735*400</f>
        <v>-3.3646508157243153</v>
      </c>
      <c r="R742" s="98" t="str">
        <f>IF(ISERROR((Q742/I742-1)*100),"NA",IF(((Q742/I742-1)*100)&gt;100,"NM",IF(((Q742/I742-1)*100)&lt;-50,"NM",(Q742/I742-1)*100)))</f>
        <v>NM</v>
      </c>
      <c r="S742" s="289">
        <f>S626/S735*400</f>
        <v>11.085322340388679</v>
      </c>
      <c r="T742" s="98">
        <f>IF(ISERROR((S742/K742-1)*100),"NA",IF(((S742/K742-1)*100)&gt;100,"NM",IF(((S742/K742-1)*100)&lt;-50,"NM",(S742/K742-1)*100)))</f>
        <v>10.90013394764493</v>
      </c>
      <c r="U742" s="289">
        <f>U626/U735*400</f>
        <v>13.830480568037595</v>
      </c>
      <c r="V742" s="98">
        <f>IF(ISERROR((U742/M742-1)*100),"NA",IF(((U742/M742-1)*100)&gt;100,"NM",IF(((U742/M742-1)*100)&lt;-50,"NM",(U742/M742-1)*100)))</f>
        <v>27.201636465403055</v>
      </c>
      <c r="W742" s="289">
        <f>W626/W735*400</f>
        <v>13.550172076388419</v>
      </c>
      <c r="X742" s="98" t="str">
        <f>IF(ISERROR((W742/O742-1)*100),"NA",IF(((W742/O742-1)*100)&gt;100,"NM",IF(((W742/O742-1)*100)&lt;-50,"NM",(W742/O742-1)*100)))</f>
        <v>NM</v>
      </c>
      <c r="Y742" s="289">
        <f>Y626/Y735*400</f>
        <v>8.9120332223723668</v>
      </c>
      <c r="Z742" s="98" t="str">
        <f>IF(ISERROR((Y742/Q742-1)*100),"NA",IF(((Y742/Q742-1)*100)&gt;100,"NM",IF(((Y742/Q742-1)*100)&lt;-50,"NM",(Y742/Q742-1)*100)))</f>
        <v>NM</v>
      </c>
      <c r="AA742" s="289">
        <f>AA626/AA735*400</f>
        <v>11.470824626265873</v>
      </c>
      <c r="AB742" s="98">
        <f>IF(ISERROR((AA742/S742-1)*100),"NA",IF(((AA742/S742-1)*100)&gt;100,"NM",IF(((AA742/S742-1)*100)&lt;-50,"NM",(AA742/S742-1)*100)))</f>
        <v>3.4775920270053051</v>
      </c>
      <c r="AC742" s="289">
        <f>AC626/AC735*400</f>
        <v>15.010289311221403</v>
      </c>
      <c r="AD742" s="98">
        <f>IF(ISERROR((AC742/U742-1)*100),"NA",IF(((AC742/U742-1)*100)&gt;100,"NM",IF(((AC742/U742-1)*100)&lt;-50,"NM",(AC742/U742-1)*100)))</f>
        <v>8.5304970957434278</v>
      </c>
      <c r="AE742" s="289">
        <f>AE626/AE735*400</f>
        <v>13.99483145429245</v>
      </c>
      <c r="AF742" s="98">
        <f>IF(ISERROR((AE742/W742-1)*100),"NA",IF(((AE742/W742-1)*100)&gt;100,"NM",IF(((AE742/W742-1)*100)&lt;-50,"NM",(AE742/W742-1)*100)))</f>
        <v>3.2815773511752244</v>
      </c>
      <c r="AG742" s="289">
        <f>AG626/AG735*400</f>
        <v>12.46793368824649</v>
      </c>
      <c r="AH742" s="98">
        <f>IF(ISERROR((AG742/Y742-1)*100),"NA",IF(((AG742/Y742-1)*100)&gt;100,"NM",IF(((AG742/Y742-1)*100)&lt;-50,"NM",(AG742/Y742-1)*100)))</f>
        <v>39.899991137236235</v>
      </c>
      <c r="AI742" s="125">
        <f>AI626/AI735*400</f>
        <v>12.774751080217921</v>
      </c>
      <c r="AJ742" s="98">
        <f>IF(ISERROR((AI742/AA742-1)*100),"NA",IF(((AI742/AA742-1)*100)&gt;100,"NM",IF(((AI742/AA742-1)*100)&lt;-50,"NM",(AI742/AA742-1)*100)))</f>
        <v>11.367329694556737</v>
      </c>
      <c r="AK742" s="125">
        <f>AK626/AK735*400</f>
        <v>15.881819359854866</v>
      </c>
      <c r="AL742" s="98">
        <f>IF(ISERROR((AK742/AC742-1)*100),"NA",IF(((AK742/AC742-1)*100)&gt;100,"NM",IF(((AK742/AC742-1)*100)&lt;-50,"NM",(AK742/AC742-1)*100)))</f>
        <v>5.8062175256137438</v>
      </c>
      <c r="AM742" s="125">
        <f>AM626/AM735*400</f>
        <v>12.402789624203502</v>
      </c>
      <c r="AN742" s="98">
        <f>IF(ISERROR((AM742/AE742-1)*100),"NA",IF(((AM742/AE742-1)*100)&gt;100,"NM",IF(((AM742/AE742-1)*100)&lt;-50,"NM",(AM742/AE742-1)*100)))</f>
        <v>-11.375927143450115</v>
      </c>
      <c r="AO742" s="125">
        <f>AO626/AO735*400</f>
        <v>13.183849784014582</v>
      </c>
      <c r="AP742" s="98">
        <f>IF(ISERROR((AO742/AG742-1)*100),"NA",IF(((AO742/AG742-1)*100)&gt;100,"NM",IF(((AO742/AG742-1)*100)&lt;-50,"NM",(AO742/AG742-1)*100)))</f>
        <v>5.7420588982036724</v>
      </c>
      <c r="AQ742" s="125">
        <f>AQ626/AQ735*400</f>
        <v>16.137423312883435</v>
      </c>
      <c r="AR742" s="98">
        <f>IF(ISERROR((AQ742/AI742-1)*100),"NA",IF(((AQ742/AI742-1)*100)&gt;100,"NM",IF(((AQ742/AI742-1)*100)&lt;-50,"NM",(AQ742/AI742-1)*100)))</f>
        <v>26.32280043305666</v>
      </c>
      <c r="AS742" s="125">
        <f>AS626/AS735*400</f>
        <v>15.843026564385058</v>
      </c>
      <c r="AT742" s="98">
        <f>IF(ISERROR((AS742/AK742-1)*100),"NA",IF(((AS742/AK742-1)*100)&gt;100,"NM",IF(((AS742/AK742-1)*100)&lt;-50,"NM",(AS742/AK742-1)*100)))</f>
        <v>-0.24425914053566311</v>
      </c>
      <c r="AU742" s="125">
        <f>AU626/AU735*400</f>
        <v>13.029860096053456</v>
      </c>
      <c r="AV742" s="98">
        <f>IF(ISERROR((AU742/AM742-1)*100),"NA",IF(((AU742/AM742-1)*100)&gt;100,"NM",IF(((AU742/AM742-1)*100)&lt;-50,"NM",(AU742/AM742-1)*100)))</f>
        <v>5.0558825139326302</v>
      </c>
      <c r="AW742" s="125">
        <f>AW626/AW735*400</f>
        <v>12.787068896535169</v>
      </c>
      <c r="AX742" s="98">
        <f>IF(ISERROR((AW742/AO742-1)*100),"NA",IF(((AW742/AO742-1)*100)&gt;100,"NM",IF(((AW742/AO742-1)*100)&lt;-50,"NM",(AW742/AO742-1)*100)))</f>
        <v>-3.0095980611104189</v>
      </c>
      <c r="AY742" s="125">
        <f>AY626/AY735*400</f>
        <v>16.068282369523512</v>
      </c>
      <c r="AZ742" s="98">
        <f>IF(ISERROR((AY742/AQ742-1)*100),"NA",IF(((AY742/AQ742-1)*100)&gt;100,"NM",IF(((AY742/AQ742-1)*100)&lt;-50,"NM",(AY742/AQ742-1)*100)))</f>
        <v>-0.42845094919660154</v>
      </c>
      <c r="BA742" s="125">
        <f>BA626/BA735*400</f>
        <v>14.97574431656045</v>
      </c>
      <c r="BB742" s="98">
        <f>IF(ISERROR((BA742/AS742-1)*100),"NA",IF(((BA742/AS742-1)*100)&gt;100,"NM",IF(((BA742/AS742-1)*100)&lt;-50,"NM",(BA742/AS742-1)*100)))</f>
        <v>-5.4742207513193808</v>
      </c>
      <c r="BC742" s="125">
        <f>BC626/BC735*400</f>
        <v>14.111321831673141</v>
      </c>
      <c r="BD742" s="98">
        <f>IF(ISERROR((BC742/AU742-1)*100),"NA",IF(((BC742/AU742-1)*100)&gt;100,"NM",IF(((BC742/AU742-1)*100)&lt;-50,"NM",(BC742/AU742-1)*100)))</f>
        <v>8.299872198529922</v>
      </c>
      <c r="BE742" s="125">
        <f>BE626/BE735*400</f>
        <v>14.458409780688969</v>
      </c>
      <c r="BF742" s="98">
        <f>IF(ISERROR((BE742/AW742-1)*100),"NA",IF(((BE742/AW742-1)*100)&gt;100,"NM",IF(((BE742/AW742-1)*100)&lt;-50,"NM",(BE742/AW742-1)*100)))</f>
        <v>13.070555087152712</v>
      </c>
      <c r="BG742" s="125">
        <f>BG626/BG735*400</f>
        <v>14.129246037575699</v>
      </c>
      <c r="BH742" s="98">
        <f>IF(ISERROR((BG742/AY742-1)*100),"NA",IF(((BG742/AY742-1)*100)&gt;100,"NM",IF(((BG742/AY742-1)*100)&lt;-50,"NM",(BG742/AY742-1)*100)))</f>
        <v>-12.067477328040709</v>
      </c>
      <c r="BI742" s="125">
        <f>BI626/BI735*400</f>
        <v>16.799615569437769</v>
      </c>
      <c r="BJ742" s="98">
        <f>IF(ISERROR((BI742/BA742-1)*100),"NA",IF(((BI742/BA742-1)*100)&gt;100,"NM",IF(((BI742/BA742-1)*100)&lt;-50,"NM",(BI742/BA742-1)*100)))</f>
        <v>12.178835417618949</v>
      </c>
      <c r="BK742" s="125">
        <f>BK626/BK735*400</f>
        <v>13.814717701270693</v>
      </c>
      <c r="BL742" s="98">
        <f>IF(ISERROR((BK742/BC742-1)*100),"NA",IF(((BK742/BC742-1)*100)&gt;100,"NM",IF(((BK742/BC742-1)*100)&lt;-50,"NM",(BK742/BC742-1)*100)))</f>
        <v>-2.1018876469581671</v>
      </c>
      <c r="BM742" s="125">
        <f>BM626/BM735*400</f>
        <v>14.353933886596504</v>
      </c>
      <c r="BN742" s="98">
        <f>IF(ISERROR((BM742/BE742-1)*100),"NA",IF(((BM742/BE742-1)*100)&gt;100,"NM",IF(((BM742/BE742-1)*100)&lt;-50,"NM",(BM742/BE742-1)*100)))</f>
        <v>-0.72259602319478811</v>
      </c>
      <c r="BO742" s="125">
        <f>BO626/BO735*400</f>
        <v>13.390793829242394</v>
      </c>
      <c r="BP742" s="98">
        <f>IF(ISERROR((BO742/BG742-1)*100),"NA",IF(((BO742/BG742-1)*100)&gt;100,"NM",IF(((BO742/BG742-1)*100)&lt;-50,"NM",(BO742/BG742-1)*100)))</f>
        <v>-5.2264091542425177</v>
      </c>
      <c r="BQ742" s="125">
        <f>BQ626/BQ735*400</f>
        <v>10.918098872186235</v>
      </c>
      <c r="BR742" s="98">
        <f>IF(ISERROR((BQ742/BI742-1)*100),"NA",IF(((BQ742/BI742-1)*100)&gt;100,"NM",IF(((BQ742/BI742-1)*100)&lt;-50,"NM",(BQ742/BI742-1)*100)))</f>
        <v>-35.009829081751839</v>
      </c>
      <c r="BS742" s="125">
        <f>BS626/BS735*400</f>
        <v>7.3320369616665912</v>
      </c>
      <c r="BT742" s="98">
        <f>IF(ISERROR((BS742/BK742-1)*100),"NA",IF(((BS742/BK742-1)*100)&gt;100,"NM",IF(((BS742/BK742-1)*100)&lt;-50,"NM",(BS742/BK742-1)*100)))</f>
        <v>-46.92590091079326</v>
      </c>
      <c r="BU742" s="125">
        <f>BU626/BU735*400</f>
        <v>-0.54275651019111959</v>
      </c>
      <c r="BV742" s="98" t="str">
        <f>IF(ISERROR((BU742/BM742-1)*100),"NA",IF(((BU742/BM742-1)*100)&gt;100,"NM",IF(((BU742/BM742-1)*100)&lt;-50,"NM",(BU742/BM742-1)*100)))</f>
        <v>NM</v>
      </c>
      <c r="BW742" s="125">
        <f>BW626/BW735*400</f>
        <v>-0.65219493996213951</v>
      </c>
      <c r="BX742" s="98" t="str">
        <f>IF(ISERROR((BW742/BO742-1)*100),"NA",IF(((BW742/BO742-1)*100)&gt;100,"NM",IF(((BW742/BO742-1)*100)&lt;-50,"NM",(BW742/BO742-1)*100)))</f>
        <v>NM</v>
      </c>
      <c r="BY742" s="125">
        <f>BY626/BY735*400</f>
        <v>1.5997538840178431</v>
      </c>
      <c r="BZ742" s="98" t="str">
        <f>IF(ISERROR((BY742/BQ742-1)*100),"NA",IF(((BY742/BQ742-1)*100)&gt;100,"NM",IF(((BY742/BQ742-1)*100)&lt;-50,"NM",(BY742/BQ742-1)*100)))</f>
        <v>NM</v>
      </c>
      <c r="CA742" s="125">
        <f>CA626/CA735*400</f>
        <v>1.6679847580703142</v>
      </c>
      <c r="CB742" s="98" t="str">
        <f>IF(ISERROR((CA742/BS742-1)*100),"NA",IF(((CA742/BS742-1)*100)&gt;100,"NM",IF(((CA742/BS742-1)*100)&lt;-50,"NM",(CA742/BS742-1)*100)))</f>
        <v>NM</v>
      </c>
      <c r="CC742" s="125">
        <f>CC626/CC735*400</f>
        <v>0.38485648060410804</v>
      </c>
      <c r="CD742" s="98" t="str">
        <f>IF(ISERROR((CC742/BU742-1)*100),"NA",IF(((CC742/BU742-1)*100)&gt;100,"NM",IF(((CC742/BU742-1)*100)&lt;-50,"NM",(CC742/BU742-1)*100)))</f>
        <v>NM</v>
      </c>
      <c r="CE742" s="125">
        <f>CE626/CE735*400</f>
        <v>2.7787024038670274</v>
      </c>
      <c r="CF742" s="98" t="str">
        <f>IF(ISERROR((CE742/BW742-1)*100),"NA",IF(((CE742/BW742-1)*100)&gt;100,"NM",IF(((CE742/BW742-1)*100)&lt;-50,"NM",(CE742/BW742-1)*100)))</f>
        <v>NM</v>
      </c>
      <c r="CG742" s="125">
        <f>CG626/CG735*400</f>
        <v>3.0110114591932393</v>
      </c>
      <c r="CH742" s="98">
        <f>IF(ISERROR((CG742/BY742-1)*100),"NA",IF(((CG742/BY742-1)*100)&gt;100,"NM",IF(((CG742/BY742-1)*100)&lt;-50,"NM",(CG742/BY742-1)*100)))</f>
        <v>88.217168232838958</v>
      </c>
      <c r="CI742" s="125">
        <f>CI626/CI735*400</f>
        <v>2.0090040856689306</v>
      </c>
      <c r="CJ742" s="98">
        <f>IF(ISERROR((CI742/CA742-1)*100),"NA",IF(((CI742/CA742-1)*100)&gt;100,"NM",IF(((CI742/CA742-1)*100)&lt;-50,"NM",(CI742/CA742-1)*100)))</f>
        <v>20.444990636073946</v>
      </c>
      <c r="CK742" s="125">
        <f>CK626/CK735*400</f>
        <v>5.4279263552359005</v>
      </c>
      <c r="CL742" s="98" t="str">
        <f>IF(ISERROR((CK742/CC742-1)*100),"NA",IF(((CK742/CC742-1)*100)&gt;100,"NM",IF(((CK742/CC742-1)*100)&lt;-50,"NM",(CK742/CC742-1)*100)))</f>
        <v>NM</v>
      </c>
      <c r="CM742" s="125">
        <f>CM626/CM735*400</f>
        <v>6.2441793427646459</v>
      </c>
      <c r="CN742" s="98" t="str">
        <f>IF(ISERROR((CM742/CE742-1)*100),"NA",IF(((CM742/CE742-1)*100)&gt;100,"NM",IF(((CM742/CE742-1)*100)&lt;-50,"NM",(CM742/CE742-1)*100)))</f>
        <v>NM</v>
      </c>
      <c r="CO742" s="125">
        <f>CO626/CO735*400</f>
        <v>5.7205477025935068</v>
      </c>
      <c r="CP742" s="98">
        <f>IF(ISERROR((CO742/CG742-1)*100),"NA",IF(((CO742/CG742-1)*100)&gt;100,"NM",IF(((CO742/CG742-1)*100)&lt;-50,"NM",(CO742/CG742-1)*100)))</f>
        <v>89.987576604117336</v>
      </c>
      <c r="CQ742" s="526">
        <f>CQ626/CQ735*400</f>
        <v>6.3300741739716795</v>
      </c>
      <c r="CR742" s="98" t="str">
        <f>IF(ISERROR((CQ742/CI742-1)*100),"NA",IF(((CQ742/CI742-1)*100)&gt;100,"NM",IF(((CQ742/CI742-1)*100)&lt;-50,"NM",(CQ742/CI742-1)*100)))</f>
        <v>NM</v>
      </c>
      <c r="CS742" s="125">
        <f>CS626/CS735*400</f>
        <v>6.4923208018016192</v>
      </c>
      <c r="CT742" s="98">
        <f>IF(ISERROR((CS742/CK742-1)*100),"NA",IF(((CS742/CK742-1)*100)&gt;100,"NM",IF(((CS742/CK742-1)*100)&lt;-50,"NM",(CS742/CK742-1)*100)))</f>
        <v>19.609596315524435</v>
      </c>
      <c r="CU742" s="125">
        <f>CU626/CU735*400</f>
        <v>8.0605962410887884</v>
      </c>
      <c r="CV742" s="98">
        <f>IF(ISERROR((CU742/CM742-1)*100),"NA",IF(((CU742/CM742-1)*100)&gt;100,"NM",IF(((CU742/CM742-1)*100)&lt;-50,"NM",(CU742/CM742-1)*100)))</f>
        <v>29.089761818402771</v>
      </c>
      <c r="CW742" s="125">
        <f>CW626/CW735*400</f>
        <v>8.1120155269047203</v>
      </c>
      <c r="CX742" s="98">
        <f>IF(ISERROR((CW742/CO742-1)*100),"NA",IF(((CW742/CO742-1)*100)&gt;100,"NM",IF(((CW742/CO742-1)*100)&lt;-50,"NM",(CW742/CO742-1)*100)))</f>
        <v>41.804875138564121</v>
      </c>
      <c r="CY742" s="125">
        <f>CY626/CY735*400</f>
        <v>7.2329195582054542</v>
      </c>
      <c r="CZ742" s="98">
        <f>IF(ISERROR((CY742/CQ742-1)*100),"NA",IF(((CY742/CQ742-1)*100)&gt;100,"NM",IF(((CY742/CQ742-1)*100)&lt;-50,"NM",(CY742/CQ742-1)*100)))</f>
        <v>14.262793127229688</v>
      </c>
      <c r="DA742" s="125">
        <f>DA626/DA735*400</f>
        <v>5.8212712397734423</v>
      </c>
      <c r="DB742" s="98">
        <f>IF(ISERROR((DA742/CS742-1)*100),"NA",IF(((DA742/CS742-1)*100)&gt;100,"NM",IF(((DA742/CS742-1)*100)&lt;-50,"NM",(DA742/CS742-1)*100)))</f>
        <v>-10.336050582127132</v>
      </c>
      <c r="DC742" s="125">
        <f>DC626/DC735*400</f>
        <v>7.7867019311176371</v>
      </c>
      <c r="DD742" s="98">
        <f>IF(ISERROR((DC742/CU742-1)*100),"NA",IF(((DC742/CU742-1)*100)&gt;100,"NM",IF(((DC742/CU742-1)*100)&lt;-50,"NM",(DC742/CU742-1)*100)))</f>
        <v>-3.3979410676220012</v>
      </c>
      <c r="DE742" s="125">
        <f>DE626/DE735*400</f>
        <v>7.7538687287014785</v>
      </c>
      <c r="DF742" s="98">
        <f>IF(ISERROR((DE742/CW742-1)*100),"NA",IF(((DE742/CW742-1)*100)&gt;100,"NM",IF(((DE742/CW742-1)*100)&lt;-50,"NM",(DE742/CW742-1)*100)))</f>
        <v>-4.4150161820498806</v>
      </c>
      <c r="DG742" s="125">
        <f>DG626/DG735*400</f>
        <v>6.336693701205184</v>
      </c>
      <c r="DH742" s="98">
        <f>IF(ISERROR((DG742/CY742-1)*100),"NA",IF(((DG742/CY742-1)*100)&gt;100,"NM",IF(((DG742/CY742-1)*100)&lt;-50,"NM",(DG742/CY742-1)*100)))</f>
        <v>-12.390928031040216</v>
      </c>
      <c r="DI742" s="125">
        <f>DI626/DI735*400</f>
        <v>6.7284315658059004</v>
      </c>
      <c r="DJ742" s="98">
        <f>IF(ISERROR((DI742/DA742-1)*100),"NA",IF(((DI742/DA742-1)*100)&gt;100,"NM",IF(((DI742/DA742-1)*100)&lt;-50,"NM",(DI742/DA742-1)*100)))</f>
        <v>15.583543330438655</v>
      </c>
      <c r="DK742" s="125">
        <f>DK626/DK735*400</f>
        <v>6.9620134202958486</v>
      </c>
      <c r="DL742" s="98">
        <f>IF(ISERROR((DK742/DC742-1)*100),"NA",IF(((DK742/DC742-1)*100)&gt;100,"NM",IF(((DK742/DC742-1)*100)&lt;-50,"NM",(DK742/DC742-1)*100)))</f>
        <v>-10.590985992749047</v>
      </c>
      <c r="DM742" s="125">
        <f>DM626/DM735*400</f>
        <v>6.7373858500138368</v>
      </c>
      <c r="DN742" s="98">
        <f t="shared" ref="DN742:DZ745" si="4591">IF(ISERROR((DM742/DE742-1)*100),"NA",IF(((DM742/DE742-1)*100)&gt;100,"NM",IF(((DM742/DE742-1)*100)&lt;-50,"NM",(DM742/DE742-1)*100)))</f>
        <v>-13.109364038174398</v>
      </c>
      <c r="DO742" s="125">
        <f>DO626/DO735*400</f>
        <v>7.5388267700839062</v>
      </c>
      <c r="DP742" s="98">
        <f t="shared" si="4591"/>
        <v>18.970982748465293</v>
      </c>
      <c r="DQ742" s="125">
        <f>DQ626/DQ735*400</f>
        <v>6.1969409320485722</v>
      </c>
      <c r="DR742" s="98">
        <f t="shared" si="4591"/>
        <v>-7.8991757374538896</v>
      </c>
      <c r="DS742" s="125">
        <f>DS626/DS735*400</f>
        <v>9.02110982453015</v>
      </c>
      <c r="DT742" s="98">
        <f t="shared" si="4591"/>
        <v>29.576162525506899</v>
      </c>
      <c r="DU742" s="125">
        <f>DU626/DU735*400</f>
        <v>9.6326617404710007</v>
      </c>
      <c r="DV742" s="98">
        <f t="shared" si="4591"/>
        <v>42.97328303456478</v>
      </c>
      <c r="DW742" s="125">
        <f>DW626/DW735*400</f>
        <v>2.5205498741485224</v>
      </c>
      <c r="DX742" s="98" t="str">
        <f t="shared" si="4591"/>
        <v>NM</v>
      </c>
      <c r="DY742" s="125">
        <f>DY626/DY735*400</f>
        <v>6.9864055014407693</v>
      </c>
      <c r="DZ742" s="98">
        <f t="shared" si="4591"/>
        <v>12.739585192902879</v>
      </c>
      <c r="EA742" s="125">
        <f>EA626/EA735*400</f>
        <v>6.9872040723824131</v>
      </c>
      <c r="EB742" s="98">
        <f t="shared" ref="EB742:EB745" si="4592">IF(ISERROR((EA742/DS742-1)*100),"NA",IF(((EA742/DS742-1)*100)&gt;100,"NM",IF(((EA742/DS742-1)*100)&lt;-50,"NM",(EA742/DS742-1)*100)))</f>
        <v>-22.546070181045263</v>
      </c>
      <c r="EC742" s="125">
        <f>EC626/EC735*400</f>
        <v>4.2795006109910014</v>
      </c>
      <c r="ED742" s="98" t="str">
        <f t="shared" ref="ED742:ED745" si="4593">IF(ISERROR((EC742/DU742-1)*100),"NA",IF(((EC742/DU742-1)*100)&gt;100,"NM",IF(((EC742/DU742-1)*100)&lt;-50,"NM",(EC742/DU742-1)*100)))</f>
        <v>NM</v>
      </c>
      <c r="EE742" s="125">
        <f>EE626/EE735*400</f>
        <v>9.2534892654402672</v>
      </c>
      <c r="EF742" s="860" t="str">
        <f t="shared" ref="EF742:EF745" si="4594">IF(ISERROR((EE742/DW742-1)*100),"NA",IF(((EE742/DW742-1)*100)&gt;100,"NM",IF(((EE742/DW742-1)*100)&lt;-50,"NM",(EE742/DW742-1)*100)))</f>
        <v>NM</v>
      </c>
      <c r="EG742" s="125">
        <f>EG626/EG735*400</f>
        <v>7.4508767292272449</v>
      </c>
      <c r="EH742" s="860">
        <f t="shared" ref="EH742:EH745" si="4595">IF(ISERROR((EG742/DY742-1)*100),"NA",IF(((EG742/DY742-1)*100)&gt;100,"NM",IF(((EG742/DY742-1)*100)&lt;-50,"NM",(EG742/DY742-1)*100)))</f>
        <v>6.6482145602726694</v>
      </c>
      <c r="EI742" s="125">
        <f>EI626/EI735*400</f>
        <v>9.6751748635880919</v>
      </c>
      <c r="EJ742" s="860">
        <f t="shared" ref="EJ742:EJ745" si="4596">IF(ISERROR((EI742/EA742-1)*100),"NA",IF(((EI742/EA742-1)*100)&gt;100,"NM",IF(((EI742/EA742-1)*100)&lt;-50,"NM",(EI742/EA742-1)*100)))</f>
        <v>38.469905320643761</v>
      </c>
      <c r="EK742" s="818">
        <f>EK626/EK735*400</f>
        <v>8.2662758436339168</v>
      </c>
      <c r="EL742" s="860">
        <f t="shared" ref="EL742:EL745" si="4597">IF(ISERROR((EK742/EC742-1)*100),"NA",IF(((EK742/EC742-1)*100)&gt;100,"NM",IF(((EK742/EC742-1)*100)&lt;-50,"NM",(EK742/EC742-1)*100)))</f>
        <v>93.159823891687694</v>
      </c>
      <c r="EM742" s="818">
        <f>EM626/EM735*400</f>
        <v>9.1968244148881322</v>
      </c>
      <c r="EN742" s="860">
        <f t="shared" ref="EN742:EN745" si="4598">IF(ISERROR((EM742/EE742-1)*100),"NA",IF(((EM742/EE742-1)*100)&gt;100,"NM",IF(((EM742/EE742-1)*100)&lt;-50,"NM",(EM742/EE742-1)*100)))</f>
        <v>-0.61236198504888151</v>
      </c>
      <c r="EO742" s="818">
        <f>EO626/EO735*400</f>
        <v>6.1835925030781151</v>
      </c>
      <c r="EP742" s="98">
        <f t="shared" ref="EP742:EP745" si="4599">IF(ISERROR((EO742/EG742-1)*100),"NA",IF(((EO742/EG742-1)*100)&gt;100,"NM",IF(((EO742/EG742-1)*100)&lt;-50,"NM",(EO742/EG742-1)*100)))</f>
        <v>-17.00852493207956</v>
      </c>
      <c r="EQ742" s="842">
        <f>EQ626/EQ735*400</f>
        <v>11.083329297889364</v>
      </c>
      <c r="ER742" s="98">
        <f t="shared" ref="ER742:ER745" si="4600">IF(ISERROR((EQ742/EI742-1)*100),"NA",IF(((EQ742/EI742-1)*100)&gt;100,"NM",IF(((EQ742/EI742-1)*100)&lt;-50,"NM",(EQ742/EI742-1)*100)))</f>
        <v>14.554304745444679</v>
      </c>
      <c r="ES742" s="842">
        <f t="shared" ref="ES742" si="4601">ES626/ES735*400</f>
        <v>11.203336269753274</v>
      </c>
      <c r="ET742" s="98">
        <f t="shared" ref="ET742:ET745" si="4602">IF(ISERROR((ES742/EK742-1)*100),"NA",IF(((ES742/EK742-1)*100)&gt;100,"NM",IF(((ES742/EK742-1)*100)&lt;-50,"NM",(ES742/EK742-1)*100)))</f>
        <v>35.530636548758146</v>
      </c>
      <c r="EU742" s="842">
        <f t="shared" ref="EU742" si="4603">EU626/EU735*400</f>
        <v>11.325358614025246</v>
      </c>
      <c r="EV742" s="98">
        <f t="shared" ref="EV742:EV745" si="4604">IF(ISERROR((EU742/EM742-1)*100),"NA",IF(((EU742/EM742-1)*100)&gt;100,"NM",IF(((EU742/EM742-1)*100)&lt;-50,"NM",(EU742/EM742-1)*100)))</f>
        <v>23.144230041962864</v>
      </c>
      <c r="EW742" s="842">
        <f t="shared" ref="EW742" si="4605">EW626/EW735*400</f>
        <v>11.418638158899501</v>
      </c>
      <c r="EX742" s="98">
        <f t="shared" ref="EX742:EX745" si="4606">IF(ISERROR((EW742/EO742-1)*100),"NA",IF(((EW742/EO742-1)*100)&gt;100,"NM",IF(((EW742/EO742-1)*100)&lt;-50,"NM",(EW742/EO742-1)*100)))</f>
        <v>84.660262674415335</v>
      </c>
      <c r="EY742" s="289"/>
      <c r="EZ742" s="594"/>
      <c r="FA742" s="405"/>
      <c r="FB742" s="289">
        <f>FB626/FB735*100</f>
        <v>9.0922574903589446</v>
      </c>
      <c r="FC742" s="98"/>
      <c r="FD742" s="289">
        <f>FD626/FD735*100</f>
        <v>5.276210721391001</v>
      </c>
      <c r="FE742" s="98">
        <f>IF(ISERROR((FD742/FB742-1)*100),"NA",IF(((FD742/FB742-1)*100)&gt;100,"NM",IF(((FD742/FB742-1)*100)&lt;-50,"NM",(FD742/FB742-1)*100)))</f>
        <v>-41.970289260003057</v>
      </c>
      <c r="FF742" s="289">
        <f>FF626/FF735*100</f>
        <v>10.502003939949732</v>
      </c>
      <c r="FG742" s="98">
        <f>IF(ISERROR((FF742/FD742-1)*100),"NA",IF(((FF742/FD742-1)*100)&gt;100,"NM",IF(((FF742/FD742-1)*100)&lt;-50,"NM",(FF742/FD742-1)*100)))</f>
        <v>99.044437277156788</v>
      </c>
      <c r="FH742" s="289">
        <f>FH626/FH735*100</f>
        <v>6.0946486831926272</v>
      </c>
      <c r="FI742" s="98">
        <f>IF(ISERROR((FH742/FF742-1)*100),"NA",IF(((FH742/FF742-1)*100)&gt;100,"NM",IF(((FH742/FF742-1)*100)&lt;-50,"NM",(FH742/FF742-1)*100)))</f>
        <v>-41.966802545097892</v>
      </c>
      <c r="FJ742" s="289">
        <f>FJ626/FJ735*100</f>
        <v>11.717673934222461</v>
      </c>
      <c r="FK742" s="98">
        <f>IF(ISERROR((FJ742/FH742-1)*100),"NA",IF(((FJ742/FH742-1)*100)&gt;100,"NM",IF(((FJ742/FH742-1)*100)&lt;-50,"NM",(FJ742/FH742-1)*100)))</f>
        <v>92.26167976731125</v>
      </c>
      <c r="FL742" s="289">
        <f>FL626/FL735*100</f>
        <v>13.321476211649621</v>
      </c>
      <c r="FM742" s="98">
        <f>IF(ISERROR((FL742/FJ742-1)*100),"NA",IF(((FL742/FJ742-1)*100)&gt;100,"NM",IF(((FL742/FJ742-1)*100)&lt;-50,"NM",(FL742/FJ742-1)*100)))</f>
        <v>13.687036236288508</v>
      </c>
      <c r="FN742" s="289">
        <f>FN626/FN735*100</f>
        <v>13.80771746239372</v>
      </c>
      <c r="FO742" s="98">
        <f>IF(ISERROR((FN742/FL742-1)*100),"NA",IF(((FN742/FL742-1)*100)&gt;100,"NM",IF(((FN742/FL742-1)*100)&lt;-50,"NM",(FN742/FL742-1)*100)))</f>
        <v>3.6500553168340444</v>
      </c>
      <c r="FP742" s="289">
        <f>FP626/FP735*100</f>
        <v>13.902288713687655</v>
      </c>
      <c r="FQ742" s="98">
        <f>IF(ISERROR((FP742/FN742-1)*100),"NA",IF(((FP742/FN742-1)*100)&gt;100,"NM",IF(((FP742/FN742-1)*100)&lt;-50,"NM",(FP742/FN742-1)*100)))</f>
        <v>0.68491589251813423</v>
      </c>
      <c r="FR742" s="289">
        <f>FR626/FR735*100</f>
        <v>13.436001937563679</v>
      </c>
      <c r="FS742" s="98">
        <f>IF(ISERROR((FR742/FP742-1)*100),"NA",IF(((FR742/FP742-1)*100)&gt;100,"NM",IF(((FR742/FP742-1)*100)&lt;-50,"NM",(FR742/FP742-1)*100)))</f>
        <v>-3.3540288633546189</v>
      </c>
      <c r="FT742" s="289">
        <f>FT626/FT735*100</f>
        <v>14.417893387293596</v>
      </c>
      <c r="FU742" s="98">
        <f>IF(ISERROR((FT742/FR742-1)*100),"NA",IF(((FT742/FR742-1)*100)&gt;100,"NM",IF(((FT742/FR742-1)*100)&lt;-50,"NM",(FT742/FR742-1)*100)))</f>
        <v>7.3079138741770633</v>
      </c>
      <c r="FV742" s="289">
        <f>FV626/FV735*100</f>
        <v>7.4113287453679195</v>
      </c>
      <c r="FW742" s="98">
        <f>IF(ISERROR((FV742/FT742-1)*100),"NA",IF(((FV742/FT742-1)*100)&gt;100,"NM",IF(((FV742/FT742-1)*100)&lt;-50,"NM",(FV742/FT742-1)*100)))</f>
        <v>-48.596313301224157</v>
      </c>
      <c r="FX742" s="526">
        <f>FX626/FX735*100</f>
        <v>0.74769555663365772</v>
      </c>
      <c r="FY742" s="98" t="str">
        <f>IF(ISERROR((FX742/FV742-1)*100),"NA",IF(((FX742/FV742-1)*100)&gt;100,"NM",IF(((FX742/FV742-1)*100)&lt;-50,"NM",(FX742/FV742-1)*100)))</f>
        <v>NM</v>
      </c>
      <c r="FZ742" s="289">
        <f>FZ626/FZ735*100</f>
        <v>3.2237832413447061</v>
      </c>
      <c r="GA742" s="98" t="str">
        <f>IF(ISERROR((FZ742/FX742-1)*100),"NA",IF(((FZ742/FX742-1)*100)&gt;100,"NM",IF(((FZ742/FX742-1)*100)&lt;-50,"NM",(FZ742/FX742-1)*100)))</f>
        <v>NM</v>
      </c>
      <c r="GB742" s="526">
        <f>GB626/GB735*100</f>
        <v>7.0374932878486369</v>
      </c>
      <c r="GC742" s="98" t="str">
        <f>IF(ISERROR((GB742/FZ742-1)*100),"NA",IF(((GB742/FZ742-1)*100)&gt;100,"NM",IF(((GB742/FZ742-1)*100)&lt;-50,"NM",(GB742/FZ742-1)*100)))</f>
        <v>NM</v>
      </c>
      <c r="GD742" s="289">
        <f>GD626/GD735*100</f>
        <v>7.3380607122938413</v>
      </c>
      <c r="GE742" s="98">
        <f>IF(ISERROR((GD742/GB742-1)*100),"NA",IF(((GD742/GB742-1)*100)&gt;100,"NM",IF(((GD742/GB742-1)*100)&lt;-50,"NM",(GD742/GB742-1)*100)))</f>
        <v>4.2709443853279794</v>
      </c>
      <c r="GF742" s="289">
        <f>GF626/GF735*100</f>
        <v>10.161716235230625</v>
      </c>
      <c r="GG742" s="98">
        <f>IF(ISERROR((GF742/GD742-1)*100),"NA",IF(((GF742/GD742-1)*100)&gt;100,"NM",IF(((GF742/GD742-1)*100)&lt;-50,"NM",(GF742/GD742-1)*100)))</f>
        <v>38.47958791355002</v>
      </c>
      <c r="GH742" s="289">
        <f>GH626/GH735*100</f>
        <v>9.8174733011047195</v>
      </c>
      <c r="GI742" s="98">
        <f t="shared" ref="GI742:GW745" si="4607">IF(ISERROR((GH742/GF742-1)*100),"NA",IF(((GH742/GF742-1)*100)&gt;100,"NM",IF(((GH742/GF742-1)*100)&lt;-50,"NM",(GH742/GF742-1)*100)))</f>
        <v>-3.3876456117955422</v>
      </c>
      <c r="GJ742" s="289">
        <f>GJ626/GJ735*100</f>
        <v>7.0771698449474245</v>
      </c>
      <c r="GK742" s="98">
        <f t="shared" si="4607"/>
        <v>-27.912512436870497</v>
      </c>
      <c r="GL742" s="289">
        <f>GL626/GL735*100</f>
        <v>7.2813784153990344</v>
      </c>
      <c r="GM742" s="98">
        <f t="shared" si="4607"/>
        <v>2.8854552727373139</v>
      </c>
      <c r="GN742" s="289">
        <f>GN626/GN735*100</f>
        <v>8.9845496507746923</v>
      </c>
      <c r="GO742" s="98">
        <f t="shared" si="4607"/>
        <v>23.390780401876988</v>
      </c>
      <c r="GP742" s="289">
        <f>GP626/GP735*100</f>
        <v>12.131092549372671</v>
      </c>
      <c r="GQ742" s="98">
        <f t="shared" si="4607"/>
        <v>35.021709722831432</v>
      </c>
      <c r="GR742" s="289">
        <f>GR626/GR735*100</f>
        <v>11.618149817394736</v>
      </c>
      <c r="GS742" s="98">
        <f t="shared" si="4607"/>
        <v>-4.2283308769617829</v>
      </c>
      <c r="GT742" s="289">
        <f>GT626/GT735*100</f>
        <v>11.891281854613879</v>
      </c>
      <c r="GU742" s="98">
        <f t="shared" si="4607"/>
        <v>2.350908204077462</v>
      </c>
      <c r="GV742" s="289">
        <f>GV626/GV735*100</f>
        <v>12.030625558132082</v>
      </c>
      <c r="GW742" s="98">
        <f t="shared" si="4607"/>
        <v>1.1718139828982066</v>
      </c>
      <c r="GX742" s="289">
        <f>GX626/GX735*100</f>
        <v>12.043122178546385</v>
      </c>
      <c r="GY742" s="98">
        <f t="shared" ref="GY742:GY745" si="4608">IF(ISERROR((GX742/GV742-1)*100),"NA",IF(((GX742/GV742-1)*100)&gt;100,"NM",IF(((GX742/GV742-1)*100)&lt;-50,"NM",(GX742/GV742-1)*100)))</f>
        <v>0.10387340503550391</v>
      </c>
      <c r="GZ742" s="98">
        <f>IF(ISERROR(((GX742/GN742)^0.2-1)*100),"NA",IF((((GX742/GN742)^0.2-1)*100)&gt;100,"NM",IF((((GX742/GN742)^0.2-1)*100)&lt;-50,"NM",((GX742/GN742)^0.2-1)*100)))</f>
        <v>6.0348327885528574</v>
      </c>
      <c r="HA742" s="98"/>
      <c r="HB742" s="10"/>
      <c r="HC742"/>
      <c r="HD742"/>
      <c r="HE742"/>
      <c r="HF742"/>
      <c r="HG742"/>
      <c r="HH742"/>
      <c r="HI742" s="10"/>
    </row>
    <row r="743" spans="1:217" s="2" customFormat="1" ht="12.75" customHeight="1" x14ac:dyDescent="0.2">
      <c r="A743" s="10"/>
      <c r="B743" s="179" t="s">
        <v>792</v>
      </c>
      <c r="C743" s="289"/>
      <c r="D743" s="98"/>
      <c r="E743" s="289"/>
      <c r="F743" s="98"/>
      <c r="G743" s="289"/>
      <c r="H743" s="98"/>
      <c r="I743" s="289"/>
      <c r="J743" s="98"/>
      <c r="K743" s="289"/>
      <c r="L743" s="98"/>
      <c r="M743" s="289"/>
      <c r="N743" s="98"/>
      <c r="O743" s="289"/>
      <c r="P743" s="98"/>
      <c r="Q743" s="289"/>
      <c r="R743" s="98"/>
      <c r="S743" s="289"/>
      <c r="T743" s="98"/>
      <c r="U743" s="289"/>
      <c r="V743" s="98"/>
      <c r="W743" s="289"/>
      <c r="X743" s="98"/>
      <c r="Y743" s="289"/>
      <c r="Z743" s="98"/>
      <c r="AA743" s="289"/>
      <c r="AB743" s="98"/>
      <c r="AC743" s="289"/>
      <c r="AD743" s="98"/>
      <c r="AE743" s="289"/>
      <c r="AF743" s="98"/>
      <c r="AG743" s="289"/>
      <c r="AH743" s="98"/>
      <c r="AI743" s="125"/>
      <c r="AJ743" s="98"/>
      <c r="AK743" s="125"/>
      <c r="AL743" s="98"/>
      <c r="AM743" s="125"/>
      <c r="AN743" s="98"/>
      <c r="AO743" s="125"/>
      <c r="AP743" s="98"/>
      <c r="AQ743" s="125"/>
      <c r="AR743" s="98"/>
      <c r="AS743" s="125"/>
      <c r="AT743" s="98"/>
      <c r="AU743" s="125"/>
      <c r="AV743" s="98"/>
      <c r="AW743" s="125"/>
      <c r="AX743" s="98"/>
      <c r="AY743" s="125"/>
      <c r="AZ743" s="98"/>
      <c r="BA743" s="125"/>
      <c r="BB743" s="98"/>
      <c r="BC743" s="125"/>
      <c r="BD743" s="98"/>
      <c r="BE743" s="125"/>
      <c r="BF743" s="98"/>
      <c r="BG743" s="125"/>
      <c r="BH743" s="98"/>
      <c r="BI743" s="125"/>
      <c r="BJ743" s="98"/>
      <c r="BK743" s="125"/>
      <c r="BL743" s="98"/>
      <c r="BM743" s="125"/>
      <c r="BN743" s="98"/>
      <c r="BO743" s="125"/>
      <c r="BP743" s="98"/>
      <c r="BQ743" s="125"/>
      <c r="BR743" s="98"/>
      <c r="BS743" s="125"/>
      <c r="BT743" s="98"/>
      <c r="BU743" s="125"/>
      <c r="BV743" s="98"/>
      <c r="BW743" s="125"/>
      <c r="BX743" s="98"/>
      <c r="BY743" s="125">
        <f>BY628/BY735*400</f>
        <v>2.4947210918599936</v>
      </c>
      <c r="BZ743" s="98"/>
      <c r="CA743" s="125">
        <f>CA628/CA735*400</f>
        <v>2.4847221223668128</v>
      </c>
      <c r="CB743" s="98"/>
      <c r="CC743" s="125">
        <f>CC628/CC735*400</f>
        <v>1.9126200854264763</v>
      </c>
      <c r="CD743" s="98"/>
      <c r="CE743" s="125">
        <f>CE628/CE735*400</f>
        <v>3.38075459137155</v>
      </c>
      <c r="CF743" s="98"/>
      <c r="CG743" s="125">
        <f>CG628/CG735*400</f>
        <v>2.6864042758601392</v>
      </c>
      <c r="CH743" s="98"/>
      <c r="CI743" s="125">
        <f>CI628/CI735*400</f>
        <v>1.9465480001040936</v>
      </c>
      <c r="CJ743" s="98"/>
      <c r="CK743" s="125">
        <f>CK628/CK735*400</f>
        <v>3.8358587621907221</v>
      </c>
      <c r="CL743" s="98"/>
      <c r="CM743" s="125">
        <f>CM628/CM735*400</f>
        <v>5.8450485609117919</v>
      </c>
      <c r="CN743" s="98"/>
      <c r="CO743" s="125">
        <f>CO628/CO735*400</f>
        <v>6.0570505086284188</v>
      </c>
      <c r="CP743" s="98"/>
      <c r="CQ743" s="526">
        <f>CQ628/CQ735*400</f>
        <v>6.7936614969656102</v>
      </c>
      <c r="CR743" s="98"/>
      <c r="CS743" s="125">
        <f>CS628/CS735*400</f>
        <v>6.7357828318691801</v>
      </c>
      <c r="CT743" s="98"/>
      <c r="CU743" s="125">
        <f>CU628/CU735*400</f>
        <v>8.1497083603370069</v>
      </c>
      <c r="CV743" s="98"/>
      <c r="CW743" s="125">
        <f>CW628/CW735*400</f>
        <v>7.7159210187550746</v>
      </c>
      <c r="CX743" s="98"/>
      <c r="CY743" s="125">
        <f>CY628/CY735*400</f>
        <v>7.3736682631218837</v>
      </c>
      <c r="CZ743" s="98"/>
      <c r="DA743" s="125">
        <f>DA628/DA735*400</f>
        <v>6.4899307740717438</v>
      </c>
      <c r="DB743" s="98"/>
      <c r="DC743" s="125">
        <f>DC628/DC735*400</f>
        <v>7.7400283930689788</v>
      </c>
      <c r="DD743" s="98"/>
      <c r="DE743" s="125">
        <f>DE628/DE735*400</f>
        <v>7.7229768214158154</v>
      </c>
      <c r="DF743" s="98"/>
      <c r="DG743" s="125">
        <f>DG628/DG735*400</f>
        <v>6.7005230046236637</v>
      </c>
      <c r="DH743" s="98"/>
      <c r="DI743" s="125">
        <f>DI628/DI735*400</f>
        <v>6.9837515136154993</v>
      </c>
      <c r="DJ743" s="98"/>
      <c r="DK743" s="125">
        <f>DK628/DK735*400</f>
        <v>7.1123808807773994</v>
      </c>
      <c r="DL743" s="98"/>
      <c r="DM743" s="125">
        <f>DM628/DM735*400</f>
        <v>6.597177382160317</v>
      </c>
      <c r="DN743" s="98">
        <f t="shared" si="4591"/>
        <v>-14.577273314269911</v>
      </c>
      <c r="DO743" s="125">
        <f>DO628/DO735*400</f>
        <v>7.5243290262952831</v>
      </c>
      <c r="DP743" s="98">
        <f t="shared" si="4591"/>
        <v>12.294652538363881</v>
      </c>
      <c r="DQ743" s="125">
        <f>DQ628/DQ735*400</f>
        <v>6.6697711072106607</v>
      </c>
      <c r="DR743" s="98">
        <f t="shared" si="4591"/>
        <v>-4.4958702467105756</v>
      </c>
      <c r="DS743" s="125">
        <f>DS628/DS735*400</f>
        <v>9.1351206911908793</v>
      </c>
      <c r="DT743" s="98">
        <f t="shared" si="4591"/>
        <v>28.439700352385945</v>
      </c>
      <c r="DU743" s="125">
        <f>DU628/DU735*400</f>
        <v>9.2002906101040178</v>
      </c>
      <c r="DV743" s="98">
        <f t="shared" si="4591"/>
        <v>39.457984485651096</v>
      </c>
      <c r="DW743" s="125">
        <f>DW628/DW735*400</f>
        <v>8.1108197067572565</v>
      </c>
      <c r="DX743" s="98">
        <f t="shared" si="4591"/>
        <v>7.794591097921999</v>
      </c>
      <c r="DY743" s="125">
        <f>DY628/DY735*400</f>
        <v>7.474322484840985</v>
      </c>
      <c r="DZ743" s="98">
        <f t="shared" si="4591"/>
        <v>12.062653495867748</v>
      </c>
      <c r="EA743" s="125">
        <f>EA628/EA735*400</f>
        <v>7.7054496007810043</v>
      </c>
      <c r="EB743" s="98">
        <f t="shared" si="4592"/>
        <v>-15.650270409547263</v>
      </c>
      <c r="EC743" s="125">
        <f>EC628/EC735*400</f>
        <v>7.0071695307760011</v>
      </c>
      <c r="ED743" s="98">
        <f t="shared" si="4593"/>
        <v>-23.837519620515792</v>
      </c>
      <c r="EE743" s="125">
        <f>EE628/EE735*400</f>
        <v>9.5963122625805628</v>
      </c>
      <c r="EF743" s="860">
        <f t="shared" si="4594"/>
        <v>18.314949777341472</v>
      </c>
      <c r="EG743" s="125">
        <f>EG628/EG735*400</f>
        <v>8.0923429377037621</v>
      </c>
      <c r="EH743" s="860">
        <f t="shared" si="4595"/>
        <v>8.2685815887153957</v>
      </c>
      <c r="EI743" s="125">
        <f>EI628/EI735*400</f>
        <v>9.3895338191672462</v>
      </c>
      <c r="EJ743" s="860">
        <f t="shared" si="4596"/>
        <v>21.855755415174571</v>
      </c>
      <c r="EK743" s="818">
        <f>EK628/EK735*400</f>
        <v>8.5391145646102373</v>
      </c>
      <c r="EL743" s="860">
        <f t="shared" si="4597"/>
        <v>21.862537035900466</v>
      </c>
      <c r="EM743" s="818">
        <f>EM628/EM735*400</f>
        <v>9.3123002371378494</v>
      </c>
      <c r="EN743" s="860">
        <f t="shared" si="4598"/>
        <v>-2.9595954953464565</v>
      </c>
      <c r="EO743" s="818">
        <f>EO628/EO735*400</f>
        <v>10.406311277304027</v>
      </c>
      <c r="EP743" s="98">
        <f t="shared" si="4599"/>
        <v>28.594541252312066</v>
      </c>
      <c r="EQ743" s="842">
        <f>EQ628/EQ735*400</f>
        <v>11.083329297889364</v>
      </c>
      <c r="ER743" s="98">
        <f t="shared" si="4600"/>
        <v>18.039186091054948</v>
      </c>
      <c r="ES743" s="842">
        <f t="shared" ref="ES743" si="4609">ES628/ES735*400</f>
        <v>11.203336269753274</v>
      </c>
      <c r="ET743" s="98">
        <f t="shared" si="4602"/>
        <v>31.200210337787439</v>
      </c>
      <c r="EU743" s="842">
        <f t="shared" ref="EU743" si="4610">EU628/EU735*400</f>
        <v>11.325358614025246</v>
      </c>
      <c r="EV743" s="98">
        <f t="shared" si="4604"/>
        <v>21.617197959954449</v>
      </c>
      <c r="EW743" s="842">
        <f t="shared" ref="EW743" si="4611">EW628/EW735*400</f>
        <v>11.418638158899501</v>
      </c>
      <c r="EX743" s="98">
        <f t="shared" si="4606"/>
        <v>9.7280088459715799</v>
      </c>
      <c r="EY743" s="289"/>
      <c r="EZ743" s="594"/>
      <c r="FA743" s="405"/>
      <c r="FB743" s="289"/>
      <c r="FC743" s="98"/>
      <c r="FD743" s="289"/>
      <c r="FE743" s="98"/>
      <c r="FF743" s="289"/>
      <c r="FG743" s="98"/>
      <c r="FH743" s="289"/>
      <c r="FI743" s="98"/>
      <c r="FJ743" s="289"/>
      <c r="FK743" s="98"/>
      <c r="FL743" s="289"/>
      <c r="FM743" s="98"/>
      <c r="FN743" s="289"/>
      <c r="FO743" s="98"/>
      <c r="FP743" s="289"/>
      <c r="FQ743" s="98"/>
      <c r="FR743" s="289">
        <f>FR628/FR735*100</f>
        <v>12.674338973425311</v>
      </c>
      <c r="FS743" s="98"/>
      <c r="FT743" s="289">
        <f>FT628/FT735*100</f>
        <v>13.245184510109825</v>
      </c>
      <c r="FU743" s="98"/>
      <c r="FV743" s="289">
        <f>FV628/FV735*100</f>
        <v>8.5524380918769491</v>
      </c>
      <c r="FW743" s="98"/>
      <c r="FX743" s="526">
        <f>FX628/FX735*100</f>
        <v>2.143203675694187</v>
      </c>
      <c r="FY743" s="98"/>
      <c r="FZ743" s="289">
        <f>FZ628/FZ735*100</f>
        <v>2.8374310085298546</v>
      </c>
      <c r="GA743" s="98"/>
      <c r="GB743" s="526">
        <f>GB628/GB735*100</f>
        <v>7.1659454394221767</v>
      </c>
      <c r="GC743" s="98"/>
      <c r="GD743" s="289">
        <f>GD628/GD735*100</f>
        <v>7.46554059437495</v>
      </c>
      <c r="GE743" s="98"/>
      <c r="GF743" s="289">
        <f>GF628/GF735*100</f>
        <v>10.300495364391589</v>
      </c>
      <c r="GG743" s="98"/>
      <c r="GH743" s="289">
        <f>GH628/GH735*100</f>
        <v>9.9369520063231818</v>
      </c>
      <c r="GI743" s="98">
        <f t="shared" si="4607"/>
        <v>-3.5293774251397902</v>
      </c>
      <c r="GJ743" s="289">
        <f>GJ628/GJ735*100</f>
        <v>8.5350204954553561</v>
      </c>
      <c r="GK743" s="98">
        <f t="shared" si="4607"/>
        <v>-14.108264888224619</v>
      </c>
      <c r="GL743" s="289">
        <f>GL628/GL735*100</f>
        <v>8.4406315334150381</v>
      </c>
      <c r="GM743" s="98">
        <f t="shared" si="4607"/>
        <v>-1.1059019962585626</v>
      </c>
      <c r="GN743" s="289">
        <f>GN628/GN735*100</f>
        <v>9.992261831203967</v>
      </c>
      <c r="GO743" s="98">
        <f t="shared" si="4607"/>
        <v>18.382869713555028</v>
      </c>
      <c r="GP743" s="289">
        <f>GP628/GP735*100</f>
        <v>12.131092549372671</v>
      </c>
      <c r="GQ743" s="98">
        <f t="shared" si="4607"/>
        <v>21.404870631887718</v>
      </c>
      <c r="GR743" s="289">
        <f>GR628/GR735*100</f>
        <v>11.618149817394736</v>
      </c>
      <c r="GS743" s="98">
        <f t="shared" si="4607"/>
        <v>-4.2283308769617829</v>
      </c>
      <c r="GT743" s="289">
        <f>GT628/GT735*100</f>
        <v>11.891281854613879</v>
      </c>
      <c r="GU743" s="98">
        <f t="shared" si="4607"/>
        <v>2.350908204077462</v>
      </c>
      <c r="GV743" s="289">
        <f>GV628/GV735*100</f>
        <v>12.030625558132082</v>
      </c>
      <c r="GW743" s="98">
        <f t="shared" si="4607"/>
        <v>1.1718139828982066</v>
      </c>
      <c r="GX743" s="289">
        <f>GX628/GX735*100</f>
        <v>12.043122178546385</v>
      </c>
      <c r="GY743" s="98">
        <f t="shared" si="4608"/>
        <v>0.10387340503550391</v>
      </c>
      <c r="GZ743" s="98">
        <f>IF(ISERROR(((GX743/GN743)^0.2-1)*100),"NA",IF((((GX743/GN743)^0.2-1)*100)&gt;100,"NM",IF((((GX743/GN743)^0.2-1)*100)&lt;-50,"NM",((GX743/GN743)^0.2-1)*100)))</f>
        <v>3.8042314545642331</v>
      </c>
      <c r="HA743" s="98"/>
      <c r="HB743" s="10"/>
      <c r="HC743"/>
      <c r="HD743"/>
      <c r="HE743"/>
      <c r="HF743"/>
      <c r="HG743"/>
      <c r="HH743"/>
      <c r="HI743" s="10"/>
    </row>
    <row r="744" spans="1:217" s="2" customFormat="1" ht="12.75" customHeight="1" x14ac:dyDescent="0.2">
      <c r="A744" s="10" t="s">
        <v>376</v>
      </c>
      <c r="B744" s="179" t="s">
        <v>680</v>
      </c>
      <c r="C744" s="26">
        <f>C640/C735*400</f>
        <v>7.9336052890701936</v>
      </c>
      <c r="D744" s="98"/>
      <c r="E744" s="26">
        <f>E640/E735*400</f>
        <v>0.38099125761132085</v>
      </c>
      <c r="F744" s="98"/>
      <c r="G744" s="26">
        <f>G640/G735*400</f>
        <v>6.3902422856385268</v>
      </c>
      <c r="H744" s="98"/>
      <c r="I744" s="26">
        <f>I640/I735*400</f>
        <v>15.526073821095496</v>
      </c>
      <c r="J744" s="233"/>
      <c r="K744" s="26">
        <f>K640/K735*400</f>
        <v>7.4707968633065436</v>
      </c>
      <c r="L744" s="233">
        <f>IF(ISERROR((K744/C744-1)*100),"NA",IF(((K744/C744-1)*100)&gt;100,"NM",IF(((K744/C744-1)*100)&lt;-50,"NM",(K744/C744-1)*100)))</f>
        <v>-5.8335196786414638</v>
      </c>
      <c r="M744" s="26">
        <f>M640/M735*400</f>
        <v>8.3038697330435625</v>
      </c>
      <c r="N744" s="233" t="str">
        <f>IF(ISERROR((M744/E744-1)*100),"NA",IF(((M744/E744-1)*100)&gt;100,"NM",IF(((M744/E744-1)*100)&lt;-50,"NM",(M744/E744-1)*100)))</f>
        <v>NM</v>
      </c>
      <c r="O744" s="26">
        <f>O640/O735*400</f>
        <v>4.2447268439669852</v>
      </c>
      <c r="P744" s="233">
        <f>IF(ISERROR((O744/G744-1)*100),"NA",IF(((O744/G744-1)*100)&gt;100,"NM",IF(((O744/G744-1)*100)&lt;-50,"NM",(O744/G744-1)*100)))</f>
        <v>-33.574868459892159</v>
      </c>
      <c r="Q744" s="26">
        <f>Q640/Q735*400</f>
        <v>-8.0317471085032057</v>
      </c>
      <c r="R744" s="233" t="str">
        <f>IF(ISERROR((Q744/I744-1)*100),"NA",IF(((Q744/I744-1)*100)&gt;100,"NM",IF(((Q744/I744-1)*100)&lt;-50,"NM",(Q744/I744-1)*100)))</f>
        <v>NM</v>
      </c>
      <c r="S744" s="26">
        <f>S640/S735*400</f>
        <v>9.1176776249696889</v>
      </c>
      <c r="T744" s="233">
        <f>IF(ISERROR((S744/K744-1)*100),"NA",IF(((S744/K744-1)*100)&gt;100,"NM",IF(((S744/K744-1)*100)&lt;-50,"NM",(S744/K744-1)*100)))</f>
        <v>22.044244968725369</v>
      </c>
      <c r="U744" s="26">
        <f>U640/U735*400</f>
        <v>10.619833293314581</v>
      </c>
      <c r="V744" s="233">
        <f>IF(ISERROR((U744/M744-1)*100),"NA",IF(((U744/M744-1)*100)&gt;100,"NM",IF(((U744/M744-1)*100)&lt;-50,"NM",(U744/M744-1)*100)))</f>
        <v>27.890172109216891</v>
      </c>
      <c r="W744" s="26">
        <f>W640/W735*400</f>
        <v>8.8534988865645445</v>
      </c>
      <c r="X744" s="233" t="str">
        <f>IF(ISERROR((W744/O744-1)*100),"NA",IF(((W744/O744-1)*100)&gt;100,"NM",IF(((W744/O744-1)*100)&lt;-50,"NM",(W744/O744-1)*100)))</f>
        <v>NM</v>
      </c>
      <c r="Y744" s="26">
        <f>Y640/Y735*400</f>
        <v>14.791865792162421</v>
      </c>
      <c r="Z744" s="233" t="str">
        <f>IF(ISERROR((Y744/Q744-1)*100),"NA",IF(((Y744/Q744-1)*100)&gt;100,"NM",IF(((Y744/Q744-1)*100)&lt;-50,"NM",(Y744/Q744-1)*100)))</f>
        <v>NM</v>
      </c>
      <c r="AA744" s="26">
        <f>AA640/AA735*400</f>
        <v>9.3104002571933773</v>
      </c>
      <c r="AB744" s="233">
        <f>IF(ISERROR((AA744/S744-1)*100),"NA",IF(((AA744/S744-1)*100)&gt;100,"NM",IF(((AA744/S744-1)*100)&lt;-50,"NM",(AA744/S744-1)*100)))</f>
        <v>2.1137250092709836</v>
      </c>
      <c r="AC744" s="26">
        <f>AC640/AC735*400</f>
        <v>14.041883549207117</v>
      </c>
      <c r="AD744" s="233">
        <f>IF(ISERROR((AC744/U744-1)*100),"NA",IF(((AC744/U744-1)*100)&gt;100,"NM",IF(((AC744/U744-1)*100)&lt;-50,"NM",(AC744/U744-1)*100)))</f>
        <v>32.223201262931234</v>
      </c>
      <c r="AE744" s="26">
        <f>AE640/AE735*400</f>
        <v>13.040638400590691</v>
      </c>
      <c r="AF744" s="233">
        <f>IF(ISERROR((AE744/W744-1)*100),"NA",IF(((AE744/W744-1)*100)&gt;100,"NM",IF(((AE744/W744-1)*100)&lt;-50,"NM",(AE744/W744-1)*100)))</f>
        <v>47.293613154232816</v>
      </c>
      <c r="AG744" s="26">
        <f>AG640/AG735*400</f>
        <v>15.469064629134142</v>
      </c>
      <c r="AH744" s="233">
        <f>IF(ISERROR((AG744/Y744-1)*100),"NA",IF(((AG744/Y744-1)*100)&gt;100,"NM",IF(((AG744/Y744-1)*100)&lt;-50,"NM",(AG744/Y744-1)*100)))</f>
        <v>4.5781840268625196</v>
      </c>
      <c r="AI744" s="218">
        <f>AI640/AI735*400</f>
        <v>12.83916158986608</v>
      </c>
      <c r="AJ744" s="233">
        <f>IF(ISERROR((AI744/AA744-1)*100),"NA",IF(((AI744/AA744-1)*100)&gt;100,"NM",IF(((AI744/AA744-1)*100)&lt;-50,"NM",(AI744/AA744-1)*100)))</f>
        <v>37.901284962978046</v>
      </c>
      <c r="AK744" s="218">
        <f>AK640/AK735*400</f>
        <v>19.77970714008034</v>
      </c>
      <c r="AL744" s="233">
        <f>IF(ISERROR((AK744/AC744-1)*100),"NA",IF(((AK744/AC744-1)*100)&gt;100,"NM",IF(((AK744/AC744-1)*100)&lt;-50,"NM",(AK744/AC744-1)*100)))</f>
        <v>40.862207486382495</v>
      </c>
      <c r="AM744" s="218">
        <f>AM640/AM735*400</f>
        <v>13.948121017510411</v>
      </c>
      <c r="AN744" s="233">
        <f>IF(ISERROR((AM744/AE744-1)*100),"NA",IF(((AM744/AE744-1)*100)&gt;100,"NM",IF(((AM744/AE744-1)*100)&lt;-50,"NM",(AM744/AE744-1)*100)))</f>
        <v>6.9588818357130044</v>
      </c>
      <c r="AO744" s="218">
        <f>AO640/AO735*400</f>
        <v>10.207495817623412</v>
      </c>
      <c r="AP744" s="233">
        <f>IF(ISERROR((AO744/AG744-1)*100),"NA",IF(((AO744/AG744-1)*100)&gt;100,"NM",IF(((AO744/AG744-1)*100)&lt;-50,"NM",(AO744/AG744-1)*100)))</f>
        <v>-34.013490392956214</v>
      </c>
      <c r="AQ744" s="218">
        <f>AQ640/AQ735*400</f>
        <v>19.376687116564419</v>
      </c>
      <c r="AR744" s="233">
        <f>IF(ISERROR((AQ744/AI744-1)*100),"NA",IF(((AQ744/AI744-1)*100)&gt;100,"NM",IF(((AQ744/AI744-1)*100)&lt;-50,"NM",(AQ744/AI744-1)*100)))</f>
        <v>50.918632661017305</v>
      </c>
      <c r="AS744" s="218">
        <f>AS640/AS735*400</f>
        <v>40.882292686257991</v>
      </c>
      <c r="AT744" s="233" t="str">
        <f>IF(ISERROR((AS744/AK744-1)*100),"NA",IF(((AS744/AK744-1)*100)&gt;100,"NM",IF(((AS744/AK744-1)*100)&lt;-50,"NM",(AS744/AK744-1)*100)))</f>
        <v>NM</v>
      </c>
      <c r="AU744" s="218">
        <f>AU640/AU735*400</f>
        <v>12.395072040091877</v>
      </c>
      <c r="AV744" s="233">
        <f>IF(ISERROR((AU744/AM744-1)*100),"NA",IF(((AU744/AM744-1)*100)&gt;100,"NM",IF(((AU744/AM744-1)*100)&lt;-50,"NM",(AU744/AM744-1)*100)))</f>
        <v>-11.134467326952802</v>
      </c>
      <c r="AW744" s="218">
        <f>AW640/AW735*400</f>
        <v>10.834600304072978</v>
      </c>
      <c r="AX744" s="233">
        <f>IF(ISERROR((AW744/AO744-1)*100),"NA",IF(((AW744/AO744-1)*100)&gt;100,"NM",IF(((AW744/AO744-1)*100)&lt;-50,"NM",(AW744/AO744-1)*100)))</f>
        <v>6.1435683898773741</v>
      </c>
      <c r="AY744" s="125">
        <f>AY640/AY735*400</f>
        <v>11.182021064171332</v>
      </c>
      <c r="AZ744" s="233">
        <f>IF(ISERROR((AY744/AQ744-1)*100),"NA",IF(((AY744/AQ744-1)*100)&gt;100,"NM",IF(((AY744/AQ744-1)*100)&lt;-50,"NM",(AY744/AQ744-1)*100)))</f>
        <v>-42.291367988224195</v>
      </c>
      <c r="BA744" s="125">
        <f>BA640/BA735*400</f>
        <v>9.3902787025587369</v>
      </c>
      <c r="BB744" s="233" t="str">
        <f>IF(ISERROR((BA744/AS744-1)*100),"NA",IF(((BA744/AS744-1)*100)&gt;100,"NM",IF(((BA744/AS744-1)*100)&lt;-50,"NM",(BA744/AS744-1)*100)))</f>
        <v>NM</v>
      </c>
      <c r="BC744" s="125">
        <f>BC640/BC735*400</f>
        <v>14.715251054114267</v>
      </c>
      <c r="BD744" s="233">
        <f>IF(ISERROR((BC744/AU744-1)*100),"NA",IF(((BC744/AU744-1)*100)&gt;100,"NM",IF(((BC744/AU744-1)*100)&lt;-50,"NM",(BC744/AU744-1)*100)))</f>
        <v>18.718560138398299</v>
      </c>
      <c r="BE744" s="125">
        <f>BE640/BE735*400</f>
        <v>52.524906119789435</v>
      </c>
      <c r="BF744" s="233" t="str">
        <f>IF(ISERROR((BE744/AW744-1)*100),"NA",IF(((BE744/AW744-1)*100)&gt;100,"NM",IF(((BE744/AW744-1)*100)&lt;-50,"NM",(BE744/AW744-1)*100)))</f>
        <v>NM</v>
      </c>
      <c r="BG744" s="125">
        <f>BG640/BG735*400</f>
        <v>12.836459200496222</v>
      </c>
      <c r="BH744" s="233">
        <f>IF(ISERROR((BG744/AY744-1)*100),"NA",IF(((BG744/AY744-1)*100)&gt;100,"NM",IF(((BG744/AY744-1)*100)&lt;-50,"NM",(BG744/AY744-1)*100)))</f>
        <v>14.795519761860643</v>
      </c>
      <c r="BI744" s="125">
        <f>BI640/BI735*400</f>
        <v>14.467403491910941</v>
      </c>
      <c r="BJ744" s="233">
        <f>IF(ISERROR((BI744/BA744-1)*100),"NA",IF(((BI744/BA744-1)*100)&gt;100,"NM",IF(((BI744/BA744-1)*100)&lt;-50,"NM",(BI744/BA744-1)*100)))</f>
        <v>54.067881797467308</v>
      </c>
      <c r="BK744" s="125">
        <f>BK640/BK735*400</f>
        <v>12.225963104898142</v>
      </c>
      <c r="BL744" s="233">
        <f>IF(ISERROR((BK744/BC744-1)*100),"NA",IF(((BK744/BC744-1)*100)&gt;100,"NM",IF(((BK744/BC744-1)*100)&lt;-50,"NM",(BK744/BC744-1)*100)))</f>
        <v>-16.916381107341959</v>
      </c>
      <c r="BM744" s="125">
        <f>BM640/BM735*400</f>
        <v>13.389586907135239</v>
      </c>
      <c r="BN744" s="233" t="str">
        <f>IF(ISERROR((BM744/BE744-1)*100),"NA",IF(((BM744/BE744-1)*100)&gt;100,"NM",IF(((BM744/BE744-1)*100)&lt;-50,"NM",(BM744/BE744-1)*100)))</f>
        <v>NM</v>
      </c>
      <c r="BO744" s="125">
        <f>BO640/BO735*400</f>
        <v>7.6822184747985762</v>
      </c>
      <c r="BP744" s="233">
        <f>IF(ISERROR((BO744/BG744-1)*100),"NA",IF(((BO744/BG744-1)*100)&gt;100,"NM",IF(((BO744/BG744-1)*100)&lt;-50,"NM",(BO744/BG744-1)*100)))</f>
        <v>-40.153134483521725</v>
      </c>
      <c r="BQ744" s="125">
        <f>BQ640/BQ735*400</f>
        <v>11.262751373224809</v>
      </c>
      <c r="BR744" s="233">
        <f>IF(ISERROR((BQ744/BI744-1)*100),"NA",IF(((BQ744/BI744-1)*100)&gt;100,"NM",IF(((BQ744/BI744-1)*100)&lt;-50,"NM",(BQ744/BI744-1)*100)))</f>
        <v>-22.150844970059257</v>
      </c>
      <c r="BS744" s="125">
        <f>BS640/BS735*400</f>
        <v>7.2355627911183467</v>
      </c>
      <c r="BT744" s="233">
        <f>IF(ISERROR((BS744/BK744-1)*100),"NA",IF(((BS744/BK744-1)*100)&gt;100,"NM",IF(((BS744/BK744-1)*100)&lt;-50,"NM",(BS744/BK744-1)*100)))</f>
        <v>-40.818054749244816</v>
      </c>
      <c r="BU744" s="125">
        <f>BU640/BU735*400</f>
        <v>8.9497084127259079</v>
      </c>
      <c r="BV744" s="233">
        <f>IF(ISERROR((BU744/BM744-1)*100),"NA",IF(((BU744/BM744-1)*100)&gt;100,"NM",IF(((BU744/BM744-1)*100)&lt;-50,"NM",(BU744/BM744-1)*100)))</f>
        <v>-33.159189489582715</v>
      </c>
      <c r="BW744" s="125">
        <f>BW640/BW735*400</f>
        <v>-8.4343176134086857</v>
      </c>
      <c r="BX744" s="233" t="str">
        <f>IF(ISERROR((BW744/BO744-1)*100),"NA",IF(((BW744/BO744-1)*100)&gt;100,"NM",IF(((BW744/BO744-1)*100)&lt;-50,"NM",(BW744/BO744-1)*100)))</f>
        <v>NM</v>
      </c>
      <c r="BY744" s="125">
        <f>BY640/BY735*400</f>
        <v>-22.519612367328104</v>
      </c>
      <c r="BZ744" s="233" t="str">
        <f>IF(ISERROR((BY744/BQ744-1)*100),"NA",IF(((BY744/BQ744-1)*100)&gt;100,"NM",IF(((BY744/BQ744-1)*100)&lt;-50,"NM",(BY744/BQ744-1)*100)))</f>
        <v>NM</v>
      </c>
      <c r="CA744" s="125">
        <f>CA640/CA735*400</f>
        <v>-14.068588683586167</v>
      </c>
      <c r="CB744" s="233" t="str">
        <f>IF(ISERROR((CA744/BS744-1)*100),"NA",IF(((CA744/BS744-1)*100)&gt;100,"NM",IF(((CA744/BS744-1)*100)&lt;-50,"NM",(CA744/BS744-1)*100)))</f>
        <v>NM</v>
      </c>
      <c r="CC744" s="125">
        <f>CC640/CC735*400</f>
        <v>-5.4929515868040877</v>
      </c>
      <c r="CD744" s="233" t="str">
        <f>IF(ISERROR((CC744/BU744-1)*100),"NA",IF(((CC744/BU744-1)*100)&gt;100,"NM",IF(((CC744/BU744-1)*100)&lt;-50,"NM",(CC744/BU744-1)*100)))</f>
        <v>NM</v>
      </c>
      <c r="CE744" s="125">
        <f>CE640/CE735*400</f>
        <v>2.0956047295830498</v>
      </c>
      <c r="CF744" s="233" t="str">
        <f>IF(ISERROR((CE744/BW744-1)*100),"NA",IF(((CE744/BW744-1)*100)&gt;100,"NM",IF(((CE744/BW744-1)*100)&lt;-50,"NM",(CE744/BW744-1)*100)))</f>
        <v>NM</v>
      </c>
      <c r="CG744" s="125">
        <f>CG640/CG735*400</f>
        <v>9.8613423626365933</v>
      </c>
      <c r="CH744" s="233" t="str">
        <f>IF(ISERROR((CG744/BY744-1)*100),"NA",IF(((CG744/BY744-1)*100)&gt;100,"NM",IF(((CG744/BY744-1)*100)&lt;-50,"NM",(CG744/BY744-1)*100)))</f>
        <v>NM</v>
      </c>
      <c r="CI744" s="125">
        <f>CI640/CI735*400</f>
        <v>-4.9964868451869782</v>
      </c>
      <c r="CJ744" s="233" t="str">
        <f>IF(ISERROR((CI744/CA744-1)*100),"NA",IF(((CI744/CA744-1)*100)&gt;100,"NM",IF(((CI744/CA744-1)*100)&lt;-50,"NM",(CI744/CA744-1)*100)))</f>
        <v>NM</v>
      </c>
      <c r="CK744" s="125">
        <f>CK640/CK735*400</f>
        <v>-5.2137886088029228</v>
      </c>
      <c r="CL744" s="233">
        <f>IF(ISERROR((CK744/CC744-1)*100),"NA",IF(((CK744/CC744-1)*100)&gt;100,"NM",IF(((CK744/CC744-1)*100)&lt;-50,"NM",(CK744/CC744-1)*100)))</f>
        <v>-5.0822035037011437</v>
      </c>
      <c r="CM744" s="125">
        <f>CM640/CM735*400</f>
        <v>0.77342675950153039</v>
      </c>
      <c r="CN744" s="233" t="str">
        <f>IF(ISERROR((CM744/CE744-1)*100),"NA",IF(((CM744/CE744-1)*100)&gt;100,"NM",IF(((CM744/CE744-1)*100)&lt;-50,"NM",(CM744/CE744-1)*100)))</f>
        <v>NM</v>
      </c>
      <c r="CO744" s="125">
        <f>CO640/CO735*400</f>
        <v>4.4985111964667208</v>
      </c>
      <c r="CP744" s="233" t="str">
        <f>IF(ISERROR((CO744/CG744-1)*100),"NA",IF(((CO744/CG744-1)*100)&gt;100,"NM",IF(((CO744/CG744-1)*100)&lt;-50,"NM",(CO744/CG744-1)*100)))</f>
        <v>NM</v>
      </c>
      <c r="CQ744" s="526">
        <f>CQ640/CQ735*400</f>
        <v>27.073499662845585</v>
      </c>
      <c r="CR744" s="233" t="str">
        <f>IF(ISERROR((CQ744/CI744-1)*100),"NA",IF(((CQ744/CI744-1)*100)&gt;100,"NM",IF(((CQ744/CI744-1)*100)&lt;-50,"NM",(CQ744/CI744-1)*100)))</f>
        <v>NM</v>
      </c>
      <c r="CS744" s="125">
        <f>CS640/CS735*400</f>
        <v>4.176185355758891</v>
      </c>
      <c r="CT744" s="233" t="str">
        <f>IF(ISERROR((CS744/CK744-1)*100),"NA",IF(((CS744/CK744-1)*100)&gt;100,"NM",IF(((CS744/CK744-1)*100)&lt;-50,"NM",(CS744/CK744-1)*100)))</f>
        <v>NM</v>
      </c>
      <c r="CU744" s="125">
        <f>CU640/CU735*400</f>
        <v>-5.2090084251458197</v>
      </c>
      <c r="CV744" s="233" t="str">
        <f>IF(ISERROR((CU744/CM744-1)*100),"NA",IF(((CU744/CM744-1)*100)&gt;100,"NM",IF(((CU744/CM744-1)*100)&lt;-50,"NM",(CU744/CM744-1)*100)))</f>
        <v>NM</v>
      </c>
      <c r="CW744" s="125">
        <f>CW640/CW735*400</f>
        <v>14.703028142514803</v>
      </c>
      <c r="CX744" s="233" t="str">
        <f>IF(ISERROR((CW744/CO744-1)*100),"NA",IF(((CW744/CO744-1)*100)&gt;100,"NM",IF(((CW744/CO744-1)*100)&lt;-50,"NM",(CW744/CO744-1)*100)))</f>
        <v>NM</v>
      </c>
      <c r="CY744" s="125">
        <f>CY640/CY735*400</f>
        <v>-11.541393803147297</v>
      </c>
      <c r="CZ744" s="233" t="str">
        <f>IF(ISERROR((CY744/CQ744-1)*100),"NA",IF(((CY744/CQ744-1)*100)&gt;100,"NM",IF(((CY744/CQ744-1)*100)&lt;-50,"NM",(CY744/CQ744-1)*100)))</f>
        <v>NM</v>
      </c>
      <c r="DA744" s="125">
        <f>DA640/DA735*400</f>
        <v>-4.2243549402139706</v>
      </c>
      <c r="DB744" s="233" t="str">
        <f>IF(ISERROR((DA744/CS744-1)*100),"NA",IF(((DA744/CS744-1)*100)&gt;100,"NM",IF(((DA744/CS744-1)*100)&lt;-50,"NM",(DA744/CS744-1)*100)))</f>
        <v>NM</v>
      </c>
      <c r="DC744" s="125">
        <f>DC640/DC735*400</f>
        <v>2.5670445926761438</v>
      </c>
      <c r="DD744" s="233" t="str">
        <f>IF(ISERROR((DC744/CU744-1)*100),"NA",IF(((DC744/CU744-1)*100)&gt;100,"NM",IF(((DC744/CU744-1)*100)&lt;-50,"NM",(DC744/CU744-1)*100)))</f>
        <v>NM</v>
      </c>
      <c r="DE744" s="125">
        <f>DE640/DE735*400</f>
        <v>-0.84952745035573962</v>
      </c>
      <c r="DF744" s="233" t="str">
        <f>IF(ISERROR((DE744/CW744-1)*100),"NA",IF(((DE744/CW744-1)*100)&gt;100,"NM",IF(((DE744/CW744-1)*100)&lt;-50,"NM",(DE744/CW744-1)*100)))</f>
        <v>NM</v>
      </c>
      <c r="DG744" s="125">
        <f>DG640/DG735*400</f>
        <v>2.1450769347381189</v>
      </c>
      <c r="DH744" s="233" t="str">
        <f>IF(ISERROR((DG744/CY744-1)*100),"NA",IF(((DG744/CY744-1)*100)&gt;100,"NM",IF(((DG744/CY744-1)*100)&lt;-50,"NM",(DG744/CY744-1)*100)))</f>
        <v>NM</v>
      </c>
      <c r="DI744" s="125">
        <f>DI640/DI735*400</f>
        <v>1.6445608403030048</v>
      </c>
      <c r="DJ744" s="233" t="str">
        <f>IF(ISERROR((DI744/DA744-1)*100),"NA",IF(((DI744/DA744-1)*100)&gt;100,"NM",IF(((DI744/DA744-1)*100)&lt;-50,"NM",(DI744/DA744-1)*100)))</f>
        <v>NM</v>
      </c>
      <c r="DK744" s="125">
        <f>DK640/DK735*400</f>
        <v>4.9771629419393646</v>
      </c>
      <c r="DL744" s="233">
        <f>IF(ISERROR((DK744/DC744-1)*100),"NA",IF(((DK744/DC744-1)*100)&gt;100,"NM",IF(((DK744/DC744-1)*100)&lt;-50,"NM",(DK744/DC744-1)*100)))</f>
        <v>93.886890634442494</v>
      </c>
      <c r="DM744" s="125">
        <f>DM640/DM735*400</f>
        <v>4.8556406235587124</v>
      </c>
      <c r="DN744" s="98" t="str">
        <f t="shared" si="4591"/>
        <v>NM</v>
      </c>
      <c r="DO744" s="125">
        <f>DO640/DO735*400</f>
        <v>9.2713071528243418</v>
      </c>
      <c r="DP744" s="98" t="str">
        <f t="shared" si="4591"/>
        <v>NM</v>
      </c>
      <c r="DQ744" s="125">
        <f>DQ640/DQ735*400</f>
        <v>5.5306802306838128</v>
      </c>
      <c r="DR744" s="98" t="str">
        <f t="shared" si="4591"/>
        <v>NM</v>
      </c>
      <c r="DS744" s="125">
        <f>DS640/DS735*400</f>
        <v>12.512692616014965</v>
      </c>
      <c r="DT744" s="98" t="str">
        <f t="shared" si="4591"/>
        <v>NM</v>
      </c>
      <c r="DU744" s="125">
        <f>DU640/DU735*400</f>
        <v>4.5080006379246189</v>
      </c>
      <c r="DV744" s="98">
        <f t="shared" si="4591"/>
        <v>-7.159508138790283</v>
      </c>
      <c r="DW744" s="125">
        <f>DW640/DW735*400</f>
        <v>5.9845457905761004</v>
      </c>
      <c r="DX744" s="98">
        <f t="shared" si="4591"/>
        <v>-35.450894982451175</v>
      </c>
      <c r="DY744" s="125">
        <f>DY640/DY735*400</f>
        <v>2.8072904697084873</v>
      </c>
      <c r="DZ744" s="98">
        <f t="shared" si="4591"/>
        <v>-49.241497381572643</v>
      </c>
      <c r="EA744" s="125">
        <f>EA640/EA735*400</f>
        <v>16.20585056309055</v>
      </c>
      <c r="EB744" s="98">
        <f t="shared" si="4592"/>
        <v>29.515293473674255</v>
      </c>
      <c r="EC744" s="125">
        <f>EC640/EC735*400</f>
        <v>1.8799723131350248</v>
      </c>
      <c r="ED744" s="98" t="str">
        <f t="shared" si="4593"/>
        <v>NM</v>
      </c>
      <c r="EE744" s="125">
        <f>EE640/EE735*400</f>
        <v>3.6604208459601351</v>
      </c>
      <c r="EF744" s="860">
        <f t="shared" si="4594"/>
        <v>-38.835444258372597</v>
      </c>
      <c r="EG744" s="125">
        <f>EG640/EG735*400</f>
        <v>-16.833201163098071</v>
      </c>
      <c r="EH744" s="860" t="str">
        <f t="shared" si="4595"/>
        <v>NM</v>
      </c>
      <c r="EI744" s="125">
        <f>EI640/EI735*400</f>
        <v>6.3500201413556958</v>
      </c>
      <c r="EJ744" s="860" t="str">
        <f t="shared" si="4596"/>
        <v>NM</v>
      </c>
      <c r="EK744" s="818">
        <f>EK640/EK735*400</f>
        <v>6.3785268552572143</v>
      </c>
      <c r="EL744" s="860" t="str">
        <f t="shared" si="4597"/>
        <v>NM</v>
      </c>
      <c r="EM744" s="818">
        <f>EM640/EM735*400</f>
        <v>-0.80008248273017846</v>
      </c>
      <c r="EN744" s="860" t="str">
        <f t="shared" si="4598"/>
        <v>NM</v>
      </c>
      <c r="EO744" s="818">
        <f>EO640/EO735*400</f>
        <v>20.721419125359112</v>
      </c>
      <c r="EP744" s="98" t="str">
        <f t="shared" si="4599"/>
        <v>NM</v>
      </c>
      <c r="EQ744" s="842">
        <f>EQ640/EQ735*400</f>
        <v>2.8586572931695251</v>
      </c>
      <c r="ER744" s="98" t="str">
        <f t="shared" si="4600"/>
        <v>NM</v>
      </c>
      <c r="ES744" s="842">
        <f t="shared" ref="ES744" si="4612">ES640/ES735*400</f>
        <v>11.100591590592863</v>
      </c>
      <c r="ET744" s="98">
        <f t="shared" si="4602"/>
        <v>74.030647553732535</v>
      </c>
      <c r="EU744" s="842">
        <f t="shared" ref="EU744" si="4613">EU640/EU735*400</f>
        <v>11.221936854307463</v>
      </c>
      <c r="EV744" s="98" t="str">
        <f t="shared" si="4604"/>
        <v>NM</v>
      </c>
      <c r="EW744" s="842">
        <f t="shared" ref="EW744" si="4614">EW640/EW735*400</f>
        <v>11.314664160688935</v>
      </c>
      <c r="EX744" s="98">
        <f t="shared" si="4606"/>
        <v>-45.396287328400597</v>
      </c>
      <c r="EY744" s="289"/>
      <c r="EZ744" s="601"/>
      <c r="FA744" s="411"/>
      <c r="FB744" s="289">
        <f>FB640/FB735*100</f>
        <v>9.9896173242361321</v>
      </c>
      <c r="FC744" s="233"/>
      <c r="FD744" s="289">
        <f>FD640/FD735*100</f>
        <v>1.8968195568637067</v>
      </c>
      <c r="FE744" s="233" t="str">
        <f>IF(ISERROR((FD744/FB744-1)*100),"NA",IF(((FD744/FB744-1)*100)&gt;100,"NM",IF(((FD744/FB744-1)*100)&lt;-50,"NM",(FD744/FB744-1)*100)))</f>
        <v>NM</v>
      </c>
      <c r="FF744" s="289">
        <f>FF640/FF735*100</f>
        <v>7.6625229264316284</v>
      </c>
      <c r="FG744" s="98" t="str">
        <f>IF(ISERROR((FF744/FD744-1)*100),"NA",IF(((FF744/FD744-1)*100)&gt;100,"NM",IF(((FF744/FD744-1)*100)&lt;-50,"NM",(FF744/FD744-1)*100)))</f>
        <v>NM</v>
      </c>
      <c r="FH744" s="289">
        <f>FH640/FH735*100</f>
        <v>3.1818640476270561</v>
      </c>
      <c r="FI744" s="98" t="str">
        <f>IF(ISERROR((FH744/FF744-1)*100),"NA",IF(((FH744/FF744-1)*100)&gt;100,"NM",IF(((FH744/FF744-1)*100)&lt;-50,"NM",(FH744/FF744-1)*100)))</f>
        <v>NM</v>
      </c>
      <c r="FJ744" s="289">
        <f>FJ640/FJ735*100</f>
        <v>10.783753821345785</v>
      </c>
      <c r="FK744" s="98" t="str">
        <f>IF(ISERROR((FJ744/FH744-1)*100),"NA",IF(((FJ744/FH744-1)*100)&gt;100,"NM",IF(((FJ744/FH744-1)*100)&lt;-50,"NM",(FJ744/FH744-1)*100)))</f>
        <v>NM</v>
      </c>
      <c r="FL744" s="289">
        <f>FL640/FL735*100</f>
        <v>13.143619386393954</v>
      </c>
      <c r="FM744" s="98">
        <f>IF(ISERROR((FL744/FJ744-1)*100),"NA",IF(((FL744/FJ744-1)*100)&gt;100,"NM",IF(((FL744/FJ744-1)*100)&lt;-50,"NM",(FL744/FJ744-1)*100)))</f>
        <v>21.88352594230183</v>
      </c>
      <c r="FN744" s="289">
        <f>FN640/FN735*100</f>
        <v>14.430346631785481</v>
      </c>
      <c r="FO744" s="98">
        <f>IF(ISERROR((FN744/FL744-1)*100),"NA",IF(((FN744/FL744-1)*100)&gt;100,"NM",IF(((FN744/FL744-1)*100)&lt;-50,"NM",(FN744/FL744-1)*100)))</f>
        <v>9.7897482235640876</v>
      </c>
      <c r="FP744" s="289">
        <f>FP640/FP735*100</f>
        <v>19.767515991244661</v>
      </c>
      <c r="FQ744" s="98">
        <f>IF(ISERROR((FP744/FN744-1)*100),"NA",IF(((FP744/FN744-1)*100)&gt;100,"NM",IF(((FP744/FN744-1)*100)&lt;-50,"NM",(FP744/FN744-1)*100)))</f>
        <v>36.985732190958508</v>
      </c>
      <c r="FR744" s="289">
        <f>FR640/FR735*100</f>
        <v>20.574921912843042</v>
      </c>
      <c r="FS744" s="98">
        <f>IF(ISERROR((FR744/FP744-1)*100),"NA",IF(((FR744/FP744-1)*100)&gt;100,"NM",IF(((FR744/FP744-1)*100)&lt;-50,"NM",(FR744/FP744-1)*100)))</f>
        <v>4.0845087564668869</v>
      </c>
      <c r="FT744" s="289">
        <f>FT640/FT735*100</f>
        <v>12.913390691854987</v>
      </c>
      <c r="FU744" s="98">
        <f>IF(ISERROR((FT744/FR744-1)*100),"NA",IF(((FT744/FR744-1)*100)&gt;100,"NM",IF(((FT744/FR744-1)*100)&lt;-50,"NM",(FT744/FR744-1)*100)))</f>
        <v>-37.237231098338519</v>
      </c>
      <c r="FV744" s="289">
        <f>FV640/FV735*100</f>
        <v>8.543615081465795</v>
      </c>
      <c r="FW744" s="233">
        <f>IF(ISERROR((FV744/FT744-1)*100),"NA",IF(((FV744/FT744-1)*100)&gt;100,"NM",IF(((FV744/FT744-1)*100)&lt;-50,"NM",(FV744/FT744-1)*100)))</f>
        <v>-33.839103258491143</v>
      </c>
      <c r="FX744" s="526">
        <f>FX640/FX735*100</f>
        <v>-12.756485260123855</v>
      </c>
      <c r="FY744" s="233" t="str">
        <f>IF(ISERROR((FX744/FV744-1)*100),"NA",IF(((FX744/FV744-1)*100)&gt;100,"NM",IF(((FX744/FV744-1)*100)&lt;-50,"NM",(FX744/FV744-1)*100)))</f>
        <v>NM</v>
      </c>
      <c r="FZ744" s="289">
        <f>FZ640/FZ735*100</f>
        <v>5.5193176116407422E-2</v>
      </c>
      <c r="GA744" s="233" t="str">
        <f>IF(ISERROR((FZ744/FX744-1)*100),"NA",IF(((FZ744/FX744-1)*100)&gt;100,"NM",IF(((FZ744/FX744-1)*100)&lt;-50,"NM",(FZ744/FX744-1)*100)))</f>
        <v>NM</v>
      </c>
      <c r="GB744" s="526">
        <f>GB640/GB735*100</f>
        <v>10.149825747286185</v>
      </c>
      <c r="GC744" s="98" t="str">
        <f>IF(ISERROR((GB744/FZ744-1)*100),"NA",IF(((GB744/FZ744-1)*100)&gt;100,"NM",IF(((GB744/FZ744-1)*100)&lt;-50,"NM",(GB744/FZ744-1)*100)))</f>
        <v>NM</v>
      </c>
      <c r="GD744" s="289">
        <f>GD640/GD735*100</f>
        <v>-1.5934985260138634</v>
      </c>
      <c r="GE744" s="98" t="str">
        <f>IF(ISERROR((GD744/GB744-1)*100),"NA",IF(((GD744/GB744-1)*100)&gt;100,"NM",IF(((GD744/GB744-1)*100)&lt;-50,"NM",(GD744/GB744-1)*100)))</f>
        <v>NM</v>
      </c>
      <c r="GF744" s="289">
        <f>GF640/GF735*100</f>
        <v>4.3503402016152348</v>
      </c>
      <c r="GG744" s="98" t="str">
        <f>IF(ISERROR((GF744/GD744-1)*100),"NA",IF(((GF744/GD744-1)*100)&gt;100,"NM",IF(((GF744/GD744-1)*100)&lt;-50,"NM",(GF744/GD744-1)*100)))</f>
        <v>NM</v>
      </c>
      <c r="GH744" s="289">
        <f>GH640/GH735*100</f>
        <v>9.1318493465433885</v>
      </c>
      <c r="GI744" s="98" t="str">
        <f t="shared" si="4607"/>
        <v>NM</v>
      </c>
      <c r="GJ744" s="289">
        <f>GJ640/GJ735*100</f>
        <v>6.4854749599001966</v>
      </c>
      <c r="GK744" s="98">
        <f t="shared" si="4607"/>
        <v>-28.97961065953092</v>
      </c>
      <c r="GL744" s="289">
        <f>GL640/GL735*100</f>
        <v>1.3463340782928412</v>
      </c>
      <c r="GM744" s="98" t="str">
        <f t="shared" si="4607"/>
        <v>NM</v>
      </c>
      <c r="GN744" s="289">
        <f>GN640/GN735*100</f>
        <v>8.2886978714466881</v>
      </c>
      <c r="GO744" s="98" t="str">
        <f t="shared" si="4607"/>
        <v>NM</v>
      </c>
      <c r="GP744" s="289">
        <f>GP640/GP735*100</f>
        <v>9.8139589140903443</v>
      </c>
      <c r="GQ744" s="98">
        <f t="shared" si="4607"/>
        <v>18.401696699525626</v>
      </c>
      <c r="GR744" s="289">
        <f>GR640/GR735*100</f>
        <v>11.513439576388443</v>
      </c>
      <c r="GS744" s="98">
        <f t="shared" si="4607"/>
        <v>17.316973478033184</v>
      </c>
      <c r="GT744" s="289">
        <f>GT640/GT735*100</f>
        <v>11.785565956452528</v>
      </c>
      <c r="GU744" s="98">
        <f t="shared" si="4607"/>
        <v>2.3635541599762888</v>
      </c>
      <c r="GV744" s="289">
        <f>GV640/GV735*100</f>
        <v>11.924154384081103</v>
      </c>
      <c r="GW744" s="98">
        <f t="shared" si="4607"/>
        <v>1.1759166096957596</v>
      </c>
      <c r="GX744" s="289">
        <f>GX640/GX735*100</f>
        <v>11.93603240485794</v>
      </c>
      <c r="GY744" s="98">
        <f t="shared" si="4608"/>
        <v>9.9613107934048983E-2</v>
      </c>
      <c r="GZ744" s="98">
        <f>IF(ISERROR(((GX744/GN744)^0.2-1)*100),"NA",IF((((GX744/GN744)^0.2-1)*100)&gt;100,"NM",IF((((GX744/GN744)^0.2-1)*100)&lt;-50,"NM",((GX744/GN744)^0.2-1)*100)))</f>
        <v>7.5659298746366677</v>
      </c>
      <c r="HA744" s="98"/>
      <c r="HB744" s="10"/>
      <c r="HC744"/>
      <c r="HD744"/>
      <c r="HE744"/>
      <c r="HF744"/>
      <c r="HG744"/>
      <c r="HH744"/>
      <c r="HI744" s="10"/>
    </row>
    <row r="745" spans="1:217" s="2" customFormat="1" ht="12.75" customHeight="1" x14ac:dyDescent="0.2">
      <c r="A745" s="10" t="s">
        <v>377</v>
      </c>
      <c r="B745" s="179" t="s">
        <v>574</v>
      </c>
      <c r="C745" s="26">
        <f>C640/C734*400</f>
        <v>8.0479452054794525</v>
      </c>
      <c r="D745" s="98"/>
      <c r="E745" s="26">
        <f>E640/E734*400</f>
        <v>0.39184130427176989</v>
      </c>
      <c r="F745" s="98"/>
      <c r="G745" s="26">
        <f>G640/G734*400</f>
        <v>6.4754483777792711</v>
      </c>
      <c r="H745" s="98"/>
      <c r="I745" s="26">
        <f>I640/I734*400</f>
        <v>14.963919483478922</v>
      </c>
      <c r="J745" s="98"/>
      <c r="K745" s="26">
        <f>K640/K734*400</f>
        <v>6.8719882673371053</v>
      </c>
      <c r="L745" s="98">
        <f>IF(ISERROR((K745/C745-1)*100),"NA",IF(((K745/C745-1)*100)&gt;100,"NM",IF(((K745/C745-1)*100)&lt;-50,"NM",(K745/C745-1)*100)))</f>
        <v>-14.611890465428312</v>
      </c>
      <c r="M745" s="26">
        <f>M640/M734*400</f>
        <v>7.5773272162202154</v>
      </c>
      <c r="N745" s="98" t="str">
        <f>IF(ISERROR((M745/E745-1)*100),"NA",IF(((M745/E745-1)*100)&gt;100,"NM",IF(((M745/E745-1)*100)&lt;-50,"NM",(M745/E745-1)*100)))</f>
        <v>NM</v>
      </c>
      <c r="O745" s="26">
        <f>O640/O734*400</f>
        <v>3.8467246445638299</v>
      </c>
      <c r="P745" s="98">
        <f>IF(ISERROR((O745/G745-1)*100),"NA",IF(((O745/G745-1)*100)&gt;100,"NM",IF(((O745/G745-1)*100)&lt;-50,"NM",(O745/G745-1)*100)))</f>
        <v>-40.595238813670406</v>
      </c>
      <c r="Q745" s="26">
        <f>Q640/Q734*400</f>
        <v>-7.1779327068808723</v>
      </c>
      <c r="R745" s="98" t="str">
        <f>IF(ISERROR((Q745/I745-1)*100),"NA",IF(((Q745/I745-1)*100)&gt;100,"NM",IF(((Q745/I745-1)*100)&lt;-50,"NM",(Q745/I745-1)*100)))</f>
        <v>NM</v>
      </c>
      <c r="S745" s="26">
        <f>S640/S734*400</f>
        <v>8.3869734242559435</v>
      </c>
      <c r="T745" s="98">
        <f>IF(ISERROR((S745/K745-1)*100),"NA",IF(((S745/K745-1)*100)&gt;100,"NM",IF(((S745/K745-1)*100)&lt;-50,"NM",(S745/K745-1)*100)))</f>
        <v>22.045805347480531</v>
      </c>
      <c r="U745" s="26">
        <f>U640/U734*400</f>
        <v>9.8398169336384438</v>
      </c>
      <c r="V745" s="98">
        <f>IF(ISERROR((U745/M745-1)*100),"NA",IF(((U745/M745-1)*100)&gt;100,"NM",IF(((U745/M745-1)*100)&lt;-50,"NM",(U745/M745-1)*100)))</f>
        <v>29.858677774599542</v>
      </c>
      <c r="W745" s="26">
        <f>W640/W734*400</f>
        <v>7.8986183438186686</v>
      </c>
      <c r="X745" s="98" t="str">
        <f>IF(ISERROR((W745/O745-1)*100),"NA",IF(((W745/O745-1)*100)&gt;100,"NM",IF(((W745/O745-1)*100)&lt;-50,"NM",(W745/O745-1)*100)))</f>
        <v>NM</v>
      </c>
      <c r="Y745" s="26">
        <f>Y640/Y734*400</f>
        <v>13.023039870001741</v>
      </c>
      <c r="Z745" s="98" t="str">
        <f>IF(ISERROR((Y745/Q745-1)*100),"NA",IF(((Y745/Q745-1)*100)&gt;100,"NM",IF(((Y745/Q745-1)*100)&lt;-50,"NM",(Y745/Q745-1)*100)))</f>
        <v>NM</v>
      </c>
      <c r="AA745" s="26">
        <f>AA640/AA734*400</f>
        <v>8.1752484191508579</v>
      </c>
      <c r="AB745" s="98">
        <f>IF(ISERROR((AA745/S745-1)*100),"NA",IF(((AA745/S745-1)*100)&gt;100,"NM",IF(((AA745/S745-1)*100)&lt;-50,"NM",(AA745/S745-1)*100)))</f>
        <v>-2.5244506497750008</v>
      </c>
      <c r="AC745" s="26">
        <f>AC640/AC734*400</f>
        <v>12.001448450675081</v>
      </c>
      <c r="AD745" s="98">
        <f>IF(ISERROR((AC745/U745-1)*100),"NA",IF(((AC745/U745-1)*100)&gt;100,"NM",IF(((AC745/U745-1)*100)&lt;-50,"NM",(AC745/U745-1)*100)))</f>
        <v>21.968208673139777</v>
      </c>
      <c r="AE745" s="26">
        <f>AE640/AE734*400</f>
        <v>11.057599691774225</v>
      </c>
      <c r="AF745" s="98">
        <f>IF(ISERROR((AE745/W745-1)*100),"NA",IF(((AE745/W745-1)*100)&gt;100,"NM",IF(((AE745/W745-1)*100)&lt;-50,"NM",(AE745/W745-1)*100)))</f>
        <v>39.994100366018117</v>
      </c>
      <c r="AG745" s="26">
        <f>AG640/AG734*400</f>
        <v>13.335235649403149</v>
      </c>
      <c r="AH745" s="98">
        <f>IF(ISERROR((AG745/Y745-1)*100),"NA",IF(((AG745/Y745-1)*100)&gt;100,"NM",IF(((AG745/Y745-1)*100)&lt;-50,"NM",(AG745/Y745-1)*100)))</f>
        <v>2.3972573417404996</v>
      </c>
      <c r="AI745" s="218">
        <f>AI640/AI734*400</f>
        <v>10.998459663884866</v>
      </c>
      <c r="AJ745" s="98">
        <f>IF(ISERROR((AI745/AA745-1)*100),"NA",IF(((AI745/AA745-1)*100)&gt;100,"NM",IF(((AI745/AA745-1)*100)&lt;-50,"NM",(AI745/AA745-1)*100)))</f>
        <v>34.533644728403836</v>
      </c>
      <c r="AK745" s="218">
        <f>AK640/AK734*400</f>
        <v>17.446166506652037</v>
      </c>
      <c r="AL745" s="98">
        <f>IF(ISERROR((AK745/AC745-1)*100),"NA",IF(((AK745/AC745-1)*100)&gt;100,"NM",IF(((AK745/AC745-1)*100)&lt;-50,"NM",(AK745/AC745-1)*100)))</f>
        <v>45.367174456935587</v>
      </c>
      <c r="AM745" s="218">
        <f>AM640/AM734*400</f>
        <v>12.530142203592273</v>
      </c>
      <c r="AN745" s="98">
        <f>IF(ISERROR((AM745/AE745-1)*100),"NA",IF(((AM745/AE745-1)*100)&gt;100,"NM",IF(((AM745/AE745-1)*100)&lt;-50,"NM",(AM745/AE745-1)*100)))</f>
        <v>13.317017733183768</v>
      </c>
      <c r="AO745" s="218">
        <f>AO640/AO734*400</f>
        <v>8.9259590820760284</v>
      </c>
      <c r="AP745" s="98">
        <f>IF(ISERROR((AO745/AG745-1)*100),"NA",IF(((AO745/AG745-1)*100)&gt;100,"NM",IF(((AO745/AG745-1)*100)&lt;-50,"NM",(AO745/AG745-1)*100)))</f>
        <v>-33.064856769325026</v>
      </c>
      <c r="AQ745" s="218">
        <f>AQ640/AQ734*400</f>
        <v>17.216867995290219</v>
      </c>
      <c r="AR745" s="98">
        <f>IF(ISERROR((AQ745/AI745-1)*100),"NA",IF(((AQ745/AI745-1)*100)&gt;100,"NM",IF(((AQ745/AI745-1)*100)&lt;-50,"NM",(AQ745/AI745-1)*100)))</f>
        <v>56.538902004836665</v>
      </c>
      <c r="AS745" s="218">
        <f>AS640/AS734*400</f>
        <v>36.528565908027744</v>
      </c>
      <c r="AT745" s="98" t="str">
        <f>IF(ISERROR((AS745/AK745-1)*100),"NA",IF(((AS745/AK745-1)*100)&gt;100,"NM",IF(((AS745/AK745-1)*100)&lt;-50,"NM",(AS745/AK745-1)*100)))</f>
        <v>NM</v>
      </c>
      <c r="AU745" s="218">
        <f>AU640/AU734*400</f>
        <v>11.233063356293997</v>
      </c>
      <c r="AV745" s="98">
        <f>IF(ISERROR((AU745/AM745-1)*100),"NA",IF(((AU745/AM745-1)*100)&gt;100,"NM",IF(((AU745/AM745-1)*100)&lt;-50,"NM",(AU745/AM745-1)*100)))</f>
        <v>-10.351669009202602</v>
      </c>
      <c r="AW745" s="218">
        <f>AW640/AW734*400</f>
        <v>10.071781902034441</v>
      </c>
      <c r="AX745" s="98">
        <f>IF(ISERROR((AW745/AO745-1)*100),"NA",IF(((AW745/AO745-1)*100)&gt;100,"NM",IF(((AW745/AO745-1)*100)&lt;-50,"NM",(AW745/AO745-1)*100)))</f>
        <v>12.836971460683788</v>
      </c>
      <c r="AY745" s="125">
        <f>AY640/AY734*400</f>
        <v>10.659898477157361</v>
      </c>
      <c r="AZ745" s="98">
        <f>IF(ISERROR((AY745/AQ745-1)*100),"NA",IF(((AY745/AQ745-1)*100)&gt;100,"NM",IF(((AY745/AQ745-1)*100)&lt;-50,"NM",(AY745/AQ745-1)*100)))</f>
        <v>-38.084566367858294</v>
      </c>
      <c r="BA745" s="125">
        <f>BA640/BA734*400</f>
        <v>9.4624645349283032</v>
      </c>
      <c r="BB745" s="98" t="str">
        <f>IF(ISERROR((BA745/AS745-1)*100),"NA",IF(((BA745/AS745-1)*100)&gt;100,"NM",IF(((BA745/AS745-1)*100)&lt;-50,"NM",(BA745/AS745-1)*100)))</f>
        <v>NM</v>
      </c>
      <c r="BC745" s="125">
        <f>BC640/BC734*400</f>
        <v>14.476425091021067</v>
      </c>
      <c r="BD745" s="98">
        <f>IF(ISERROR((BC745/AU745-1)*100),"NA",IF(((BC745/AU745-1)*100)&gt;100,"NM",IF(((BC745/AU745-1)*100)&lt;-50,"NM",(BC745/AU745-1)*100)))</f>
        <v>28.87335032175158</v>
      </c>
      <c r="BE745" s="125">
        <f>BE640/BE734*400</f>
        <v>49.951079512099668</v>
      </c>
      <c r="BF745" s="98" t="str">
        <f>IF(ISERROR((BE745/AW745-1)*100),"NA",IF(((BE745/AW745-1)*100)&gt;100,"NM",IF(((BE745/AW745-1)*100)&lt;-50,"NM",(BE745/AW745-1)*100)))</f>
        <v>NM</v>
      </c>
      <c r="BG745" s="125">
        <f>BG640/BG734*400</f>
        <v>12.329304046532776</v>
      </c>
      <c r="BH745" s="98">
        <f>IF(ISERROR((BG745/AY745-1)*100),"NA",IF(((BG745/AY745-1)*100)&gt;100,"NM",IF(((BG745/AY745-1)*100)&lt;-50,"NM",(BG745/AY745-1)*100)))</f>
        <v>15.660614150807461</v>
      </c>
      <c r="BI745" s="125">
        <f>BI640/BI734*400</f>
        <v>14.214667925716086</v>
      </c>
      <c r="BJ745" s="98">
        <f>IF(ISERROR((BI745/BA745-1)*100),"NA",IF(((BI745/BA745-1)*100)&gt;100,"NM",IF(((BI745/BA745-1)*100)&lt;-50,"NM",(BI745/BA745-1)*100)))</f>
        <v>50.221624326793737</v>
      </c>
      <c r="BK745" s="125">
        <f>BK640/BK734*400</f>
        <v>12.270894000031145</v>
      </c>
      <c r="BL745" s="98">
        <f>IF(ISERROR((BK745/BC745-1)*100),"NA",IF(((BK745/BC745-1)*100)&gt;100,"NM",IF(((BK745/BC745-1)*100)&lt;-50,"NM",(BK745/BC745-1)*100)))</f>
        <v>-15.235329697232313</v>
      </c>
      <c r="BM745" s="125">
        <f>BM640/BM734*400</f>
        <v>13.158973891648063</v>
      </c>
      <c r="BN745" s="98" t="str">
        <f>IF(ISERROR((BM745/BE745-1)*100),"NA",IF(((BM745/BE745-1)*100)&gt;100,"NM",IF(((BM745/BE745-1)*100)&lt;-50,"NM",(BM745/BE745-1)*100)))</f>
        <v>NM</v>
      </c>
      <c r="BO745" s="125">
        <f>BO640/BO734*400</f>
        <v>7.6762255437326425</v>
      </c>
      <c r="BP745" s="98">
        <f>IF(ISERROR((BO745/BG745-1)*100),"NA",IF(((BO745/BG745-1)*100)&gt;100,"NM",IF(((BO745/BG745-1)*100)&lt;-50,"NM",(BO745/BG745-1)*100)))</f>
        <v>-37.739993151589637</v>
      </c>
      <c r="BQ745" s="125">
        <f>BQ640/BQ734*400</f>
        <v>11.91096068732101</v>
      </c>
      <c r="BR745" s="98">
        <f>IF(ISERROR((BQ745/BI745-1)*100),"NA",IF(((BQ745/BI745-1)*100)&gt;100,"NM",IF(((BQ745/BI745-1)*100)&lt;-50,"NM",(BQ745/BI745-1)*100)))</f>
        <v>-16.206549814838688</v>
      </c>
      <c r="BS745" s="125">
        <f>BS640/BS734*400</f>
        <v>8.5272694972464027</v>
      </c>
      <c r="BT745" s="98">
        <f>IF(ISERROR((BS745/BK745-1)*100),"NA",IF(((BS745/BK745-1)*100)&gt;100,"NM",IF(((BS745/BK745-1)*100)&lt;-50,"NM",(BS745/BK745-1)*100)))</f>
        <v>-30.508164301437535</v>
      </c>
      <c r="BU745" s="125">
        <f>BU640/BU734*400</f>
        <v>13.057304719583851</v>
      </c>
      <c r="BV745" s="98">
        <f>IF(ISERROR((BU745/BM745-1)*100),"NA",IF(((BU745/BM745-1)*100)&gt;100,"NM",IF(((BU745/BM745-1)*100)&lt;-50,"NM",(BU745/BM745-1)*100)))</f>
        <v>-0.77262234047551503</v>
      </c>
      <c r="BW745" s="125">
        <f>BW640/BW734*400</f>
        <v>-14.275023386342376</v>
      </c>
      <c r="BX745" s="98" t="str">
        <f>IF(ISERROR((BW745/BO745-1)*100),"NA",IF(((BW745/BO745-1)*100)&gt;100,"NM",IF(((BW745/BO745-1)*100)&lt;-50,"NM",(BW745/BO745-1)*100)))</f>
        <v>NM</v>
      </c>
      <c r="BY745" s="125">
        <f>BY640/BY734*400</f>
        <v>-34.767589973876809</v>
      </c>
      <c r="BZ745" s="98" t="str">
        <f>IF(ISERROR((BY745/BQ745-1)*100),"NA",IF(((BY745/BQ745-1)*100)&gt;100,"NM",IF(((BY745/BQ745-1)*100)&lt;-50,"NM",(BY745/BQ745-1)*100)))</f>
        <v>NM</v>
      </c>
      <c r="CA745" s="125">
        <f>CA640/CA734*400</f>
        <v>-17.022461158376395</v>
      </c>
      <c r="CB745" s="98" t="str">
        <f>IF(ISERROR((CA745/BS745-1)*100),"NA",IF(((CA745/BS745-1)*100)&gt;100,"NM",IF(((CA745/BS745-1)*100)&lt;-50,"NM",(CA745/BS745-1)*100)))</f>
        <v>NM</v>
      </c>
      <c r="CC745" s="125">
        <f>CC640/CC734*400</f>
        <v>-5.9521364821104177</v>
      </c>
      <c r="CD745" s="98" t="str">
        <f>IF(ISERROR((CC745/BU745-1)*100),"NA",IF(((CC745/BU745-1)*100)&gt;100,"NM",IF(((CC745/BU745-1)*100)&lt;-50,"NM",(CC745/BU745-1)*100)))</f>
        <v>NM</v>
      </c>
      <c r="CE745" s="125">
        <f>CE640/CE734*400</f>
        <v>2.2329138909449791</v>
      </c>
      <c r="CF745" s="98" t="str">
        <f>IF(ISERROR((CE745/BW745-1)*100),"NA",IF(((CE745/BW745-1)*100)&gt;100,"NM",IF(((CE745/BW745-1)*100)&lt;-50,"NM",(CE745/BW745-1)*100)))</f>
        <v>NM</v>
      </c>
      <c r="CG745" s="125">
        <f>CG640/CG734*400</f>
        <v>9.9125200416303336</v>
      </c>
      <c r="CH745" s="98" t="str">
        <f>IF(ISERROR((CG745/BY745-1)*100),"NA",IF(((CG745/BY745-1)*100)&gt;100,"NM",IF(((CG745/BY745-1)*100)&lt;-50,"NM",(CG745/BY745-1)*100)))</f>
        <v>NM</v>
      </c>
      <c r="CI745" s="125">
        <f>CI640/CI734*400</f>
        <v>-4.6997772501407482</v>
      </c>
      <c r="CJ745" s="98" t="str">
        <f>IF(ISERROR((CI745/CA745-1)*100),"NA",IF(((CI745/CA745-1)*100)&gt;100,"NM",IF(((CI745/CA745-1)*100)&lt;-50,"NM",(CI745/CA745-1)*100)))</f>
        <v>NM</v>
      </c>
      <c r="CK745" s="125">
        <f>CK640/CK734*400</f>
        <v>-4.925458463432868</v>
      </c>
      <c r="CL745" s="98">
        <f>IF(ISERROR((CK745/CC745-1)*100),"NA",IF(((CK745/CC745-1)*100)&gt;100,"NM",IF(((CK745/CC745-1)*100)&lt;-50,"NM",(CK745/CC745-1)*100)))</f>
        <v>-17.248899143413553</v>
      </c>
      <c r="CM745" s="125">
        <f>CM640/CM734*400</f>
        <v>0.75464350234203481</v>
      </c>
      <c r="CN745" s="98" t="str">
        <f>IF(ISERROR((CM745/CE745-1)*100),"NA",IF(((CM745/CE745-1)*100)&gt;100,"NM",IF(((CM745/CE745-1)*100)&lt;-50,"NM",(CM745/CE745-1)*100)))</f>
        <v>NM</v>
      </c>
      <c r="CO745" s="125">
        <f>CO640/CO734*400</f>
        <v>4.2739357226989743</v>
      </c>
      <c r="CP745" s="98" t="str">
        <f>IF(ISERROR((CO745/CG745-1)*100),"NA",IF(((CO745/CG745-1)*100)&gt;100,"NM",IF(((CO745/CG745-1)*100)&lt;-50,"NM",(CO745/CG745-1)*100)))</f>
        <v>NM</v>
      </c>
      <c r="CQ745" s="526">
        <f>CQ640/CQ734*400</f>
        <v>24.370720233691838</v>
      </c>
      <c r="CR745" s="98" t="str">
        <f>IF(ISERROR((CQ745/CI745-1)*100),"NA",IF(((CQ745/CI745-1)*100)&gt;100,"NM",IF(((CQ745/CI745-1)*100)&lt;-50,"NM",(CQ745/CI745-1)*100)))</f>
        <v>NM</v>
      </c>
      <c r="CS745" s="125">
        <f>CS640/CS734*400</f>
        <v>3.6860813896225997</v>
      </c>
      <c r="CT745" s="98" t="str">
        <f>IF(ISERROR((CS745/CK745-1)*100),"NA",IF(((CS745/CK745-1)*100)&gt;100,"NM",IF(((CS745/CK745-1)*100)&lt;-50,"NM",(CS745/CK745-1)*100)))</f>
        <v>NM</v>
      </c>
      <c r="CU745" s="125">
        <f>CU640/CU734*400</f>
        <v>-4.5887191015245179</v>
      </c>
      <c r="CV745" s="98" t="str">
        <f>IF(ISERROR((CU745/CM745-1)*100),"NA",IF(((CU745/CM745-1)*100)&gt;100,"NM",IF(((CU745/CM745-1)*100)&lt;-50,"NM",(CU745/CM745-1)*100)))</f>
        <v>NM</v>
      </c>
      <c r="CW745" s="125">
        <f>CW640/CW734*400</f>
        <v>12.691900023934078</v>
      </c>
      <c r="CX745" s="98" t="str">
        <f>IF(ISERROR((CW745/CO745-1)*100),"NA",IF(((CW745/CO745-1)*100)&gt;100,"NM",IF(((CW745/CO745-1)*100)&lt;-50,"NM",(CW745/CO745-1)*100)))</f>
        <v>NM</v>
      </c>
      <c r="CY745" s="125">
        <f>CY640/CY734*400</f>
        <v>-9.6493450245564709</v>
      </c>
      <c r="CZ745" s="98" t="str">
        <f>IF(ISERROR((CY745/CQ745-1)*100),"NA",IF(((CY745/CQ745-1)*100)&gt;100,"NM",IF(((CY745/CQ745-1)*100)&lt;-50,"NM",(CY745/CQ745-1)*100)))</f>
        <v>NM</v>
      </c>
      <c r="DA745" s="125">
        <f>DA640/DA734*400</f>
        <v>-3.4528765934189591</v>
      </c>
      <c r="DB745" s="98" t="str">
        <f>IF(ISERROR((DA745/CS745-1)*100),"NA",IF(((DA745/CS745-1)*100)&gt;100,"NM",IF(((DA745/CS745-1)*100)&lt;-50,"NM",(DA745/CS745-1)*100)))</f>
        <v>NM</v>
      </c>
      <c r="DC745" s="125">
        <f>DC640/DC734*400</f>
        <v>2.1150626106602362</v>
      </c>
      <c r="DD745" s="98" t="str">
        <f>IF(ISERROR((DC745/CU745-1)*100),"NA",IF(((DC745/CU745-1)*100)&gt;100,"NM",IF(((DC745/CU745-1)*100)&lt;-50,"NM",(DC745/CU745-1)*100)))</f>
        <v>NM</v>
      </c>
      <c r="DE745" s="125">
        <f>DE640/DE734*400</f>
        <v>-0.73108524620126447</v>
      </c>
      <c r="DF745" s="98" t="str">
        <f>IF(ISERROR((DE745/CW745-1)*100),"NA",IF(((DE745/CW745-1)*100)&gt;100,"NM",IF(((DE745/CW745-1)*100)&lt;-50,"NM",(DE745/CW745-1)*100)))</f>
        <v>NM</v>
      </c>
      <c r="DG745" s="125">
        <f>DG640/DG734*400</f>
        <v>1.9375930712219502</v>
      </c>
      <c r="DH745" s="98" t="str">
        <f>IF(ISERROR((DG745/CY745-1)*100),"NA",IF(((DG745/CY745-1)*100)&gt;100,"NM",IF(((DG745/CY745-1)*100)&lt;-50,"NM",(DG745/CY745-1)*100)))</f>
        <v>NM</v>
      </c>
      <c r="DI745" s="125">
        <f>DI640/DI734*400</f>
        <v>1.479779722287915</v>
      </c>
      <c r="DJ745" s="98" t="str">
        <f>IF(ISERROR((DI745/DA745-1)*100),"NA",IF(((DI745/DA745-1)*100)&gt;100,"NM",IF(((DI745/DA745-1)*100)&lt;-50,"NM",(DI745/DA745-1)*100)))</f>
        <v>NM</v>
      </c>
      <c r="DK745" s="125">
        <f>DK640/DK734*400</f>
        <v>4.2977594196077158</v>
      </c>
      <c r="DL745" s="98" t="str">
        <f>IF(ISERROR((DK745/DC745-1)*100),"NA",IF(((DK745/DC745-1)*100)&gt;100,"NM",IF(((DK745/DC745-1)*100)&lt;-50,"NM",(DK745/DC745-1)*100)))</f>
        <v>NM</v>
      </c>
      <c r="DM745" s="125">
        <f>DM640/DM734*400</f>
        <v>4.0102083571401357</v>
      </c>
      <c r="DN745" s="98" t="str">
        <f t="shared" si="4591"/>
        <v>NM</v>
      </c>
      <c r="DO745" s="125">
        <f>DO640/DO734*400</f>
        <v>7.506364123218229</v>
      </c>
      <c r="DP745" s="98" t="str">
        <f t="shared" si="4591"/>
        <v>NM</v>
      </c>
      <c r="DQ745" s="125">
        <f>DQ640/DQ734*400</f>
        <v>4.4504655117747092</v>
      </c>
      <c r="DR745" s="98" t="str">
        <f t="shared" si="4591"/>
        <v>NM</v>
      </c>
      <c r="DS745" s="125">
        <f>DS640/DS734*400</f>
        <v>9.9113146179191034</v>
      </c>
      <c r="DT745" s="98" t="str">
        <f t="shared" si="4591"/>
        <v>NM</v>
      </c>
      <c r="DU745" s="125">
        <f>DU640/DU734*400</f>
        <v>3.659431234626505</v>
      </c>
      <c r="DV745" s="98">
        <f t="shared" si="4591"/>
        <v>-8.7471046707355171</v>
      </c>
      <c r="DW745" s="125">
        <f>DW640/DW734*400</f>
        <v>5.0092819047057784</v>
      </c>
      <c r="DX745" s="98">
        <f t="shared" si="4591"/>
        <v>-33.266201552741457</v>
      </c>
      <c r="DY745" s="125">
        <f>DY640/DY734*400</f>
        <v>2.3645026801667659</v>
      </c>
      <c r="DZ745" s="98">
        <f t="shared" si="4591"/>
        <v>-46.87066613793678</v>
      </c>
      <c r="EA745" s="125">
        <f>EA640/EA734*400</f>
        <v>13.318814831795519</v>
      </c>
      <c r="EB745" s="98">
        <f t="shared" si="4592"/>
        <v>34.379901609780859</v>
      </c>
      <c r="EC745" s="125">
        <f>EC640/EC734*400</f>
        <v>1.4586731378711328</v>
      </c>
      <c r="ED745" s="98" t="str">
        <f t="shared" si="4593"/>
        <v>NM</v>
      </c>
      <c r="EE745" s="125">
        <f>EE640/EE734*400</f>
        <v>2.7965278185387357</v>
      </c>
      <c r="EF745" s="860">
        <f t="shared" si="4594"/>
        <v>-44.173079660147607</v>
      </c>
      <c r="EG745" s="125">
        <f>EG640/EG734*400</f>
        <v>-13.483431555916292</v>
      </c>
      <c r="EH745" s="860" t="str">
        <f t="shared" si="4595"/>
        <v>NM</v>
      </c>
      <c r="EI745" s="125">
        <f>EI640/EI734*400</f>
        <v>5.2896091515729262</v>
      </c>
      <c r="EJ745" s="860" t="str">
        <f t="shared" si="4596"/>
        <v>NM</v>
      </c>
      <c r="EK745" s="818">
        <f>EK640/EK734*400</f>
        <v>5.2091958868430162</v>
      </c>
      <c r="EL745" s="860" t="str">
        <f t="shared" si="4597"/>
        <v>NM</v>
      </c>
      <c r="EM745" s="818">
        <f>EM640/EM734*400</f>
        <v>-0.63831537385868231</v>
      </c>
      <c r="EN745" s="860" t="str">
        <f t="shared" si="4598"/>
        <v>NM</v>
      </c>
      <c r="EO745" s="818">
        <f>EO640/EO734*400</f>
        <v>16.375069821077854</v>
      </c>
      <c r="EP745" s="98" t="str">
        <f t="shared" si="4599"/>
        <v>NM</v>
      </c>
      <c r="EQ745" s="842">
        <f>EQ640/EQ734*400</f>
        <v>2.2568409722023133</v>
      </c>
      <c r="ER745" s="98" t="str">
        <f t="shared" si="4600"/>
        <v>NM</v>
      </c>
      <c r="ES745" s="842">
        <f t="shared" ref="ES745" si="4615">ES640/ES734*400</f>
        <v>8.7424716354725938</v>
      </c>
      <c r="ET745" s="98">
        <f t="shared" si="4602"/>
        <v>67.827661416105542</v>
      </c>
      <c r="EU745" s="842">
        <f t="shared" ref="EU745" si="4616">EU640/EU734*400</f>
        <v>8.8384310425677732</v>
      </c>
      <c r="EV745" s="98" t="str">
        <f t="shared" si="4604"/>
        <v>NM</v>
      </c>
      <c r="EW745" s="842">
        <f t="shared" ref="EW745" si="4617">EW640/EW734*400</f>
        <v>8.9142095822439238</v>
      </c>
      <c r="EX745" s="98">
        <f t="shared" si="4606"/>
        <v>-45.562311002975832</v>
      </c>
      <c r="EY745" s="289"/>
      <c r="EZ745" s="601"/>
      <c r="FA745" s="411"/>
      <c r="FB745" s="289">
        <f>FB640/FB734*100</f>
        <v>9.0597255851493141</v>
      </c>
      <c r="FC745" s="233"/>
      <c r="FD745" s="289">
        <f>FD640/FD734*100</f>
        <v>1.8574529409671567</v>
      </c>
      <c r="FE745" s="233" t="str">
        <f>IF(ISERROR((FD745/FB745-1)*100),"NA",IF(((FD745/FB745-1)*100)&gt;100,"NM",IF(((FD745/FB745-1)*100)&lt;-50,"NM",(FD745/FB745-1)*100)))</f>
        <v>NM</v>
      </c>
      <c r="FF745" s="289">
        <f>FF640/FF734*100</f>
        <v>7.5002493433957245</v>
      </c>
      <c r="FG745" s="98" t="str">
        <f>IF(ISERROR((FF745/FD745-1)*100),"NA",IF(((FF745/FD745-1)*100)&gt;100,"NM",IF(((FF745/FD745-1)*100)&lt;-50,"NM",(FF745/FD745-1)*100)))</f>
        <v>NM</v>
      </c>
      <c r="FH745" s="289">
        <f>FH640/FH734*100</f>
        <v>2.9151644017133527</v>
      </c>
      <c r="FI745" s="98" t="str">
        <f>IF(ISERROR((FH745/FF745-1)*100),"NA",IF(((FH745/FF745-1)*100)&gt;100,"NM",IF(((FH745/FF745-1)*100)&lt;-50,"NM",(FH745/FF745-1)*100)))</f>
        <v>NM</v>
      </c>
      <c r="FJ745" s="289">
        <f>FJ640/FJ734*100</f>
        <v>9.5972732980536364</v>
      </c>
      <c r="FK745" s="98" t="str">
        <f>IF(ISERROR((FJ745/FH745-1)*100),"NA",IF(((FJ745/FH745-1)*100)&gt;100,"NM",IF(((FJ745/FH745-1)*100)&lt;-50,"NM",(FJ745/FH745-1)*100)))</f>
        <v>NM</v>
      </c>
      <c r="FL745" s="289">
        <f>FL640/FL734*100</f>
        <v>11.506721337001089</v>
      </c>
      <c r="FM745" s="98">
        <f>IF(ISERROR((FL745/FJ745-1)*100),"NA",IF(((FL745/FJ745-1)*100)&gt;100,"NM",IF(((FL745/FJ745-1)*100)&lt;-50,"NM",(FL745/FJ745-1)*100)))</f>
        <v>19.895734753481452</v>
      </c>
      <c r="FN745" s="289">
        <f>FN640/FN734*100</f>
        <v>12.544061128419711</v>
      </c>
      <c r="FO745" s="98">
        <f>IF(ISERROR((FN745/FL745-1)*100),"NA",IF(((FN745/FL745-1)*100)&gt;100,"NM",IF(((FN745/FL745-1)*100)&lt;-50,"NM",(FN745/FL745-1)*100)))</f>
        <v>9.0150770235735589</v>
      </c>
      <c r="FP745" s="289">
        <f>FP640/FP734*100</f>
        <v>18.647635466992764</v>
      </c>
      <c r="FQ745" s="98">
        <f>IF(ISERROR((FP745/FN745-1)*100),"NA",IF(((FP745/FN745-1)*100)&gt;100,"NM",IF(((FP745/FN745-1)*100)&lt;-50,"NM",(FP745/FN745-1)*100)))</f>
        <v>48.657083827061797</v>
      </c>
      <c r="FR745" s="289">
        <f>FR640/FR734*100</f>
        <v>20.943636827339965</v>
      </c>
      <c r="FS745" s="98">
        <f>IF(ISERROR((FR745/FP745-1)*100),"NA",IF(((FR745/FP745-1)*100)&gt;100,"NM",IF(((FR745/FP745-1)*100)&lt;-50,"NM",(FR745/FP745-1)*100)))</f>
        <v>12.312560294366737</v>
      </c>
      <c r="FT745" s="289">
        <f>FT640/FT734*100</f>
        <v>12.882745442497651</v>
      </c>
      <c r="FU745" s="98">
        <f>IF(ISERROR((FT745/FR745-1)*100),"NA",IF(((FT745/FR745-1)*100)&gt;100,"NM",IF(((FT745/FR745-1)*100)&lt;-50,"NM",(FT745/FR745-1)*100)))</f>
        <v>-38.488498684810899</v>
      </c>
      <c r="FV745" s="289">
        <f>FV640/FV734*100</f>
        <v>10.596582100713126</v>
      </c>
      <c r="FW745" s="98">
        <f>IF(ISERROR((FV745/FT745-1)*100),"NA",IF(((FV745/FT745-1)*100)&gt;100,"NM",IF(((FV745/FT745-1)*100)&lt;-50,"NM",(FV745/FT745-1)*100)))</f>
        <v>-17.745932743830515</v>
      </c>
      <c r="FX745" s="526">
        <f>FX640/FX734*100</f>
        <v>-16.941122965265013</v>
      </c>
      <c r="FY745" s="98" t="str">
        <f>IF(ISERROR((FX745/FV745-1)*100),"NA",IF(((FX745/FV745-1)*100)&gt;100,"NM",IF(((FX745/FV745-1)*100)&lt;-50,"NM",(FX745/FV745-1)*100)))</f>
        <v>NM</v>
      </c>
      <c r="FZ745" s="289">
        <f>FZ640/FZ734*100</f>
        <v>5.665576472406067E-2</v>
      </c>
      <c r="GA745" s="98" t="str">
        <f>IF(ISERROR((FZ745/FX745-1)*100),"NA",IF(((FZ745/FX745-1)*100)&gt;100,"NM",IF(((FZ745/FX745-1)*100)&lt;-50,"NM",(FZ745/FX745-1)*100)))</f>
        <v>NM</v>
      </c>
      <c r="GB745" s="526">
        <f>GB640/GB734*100</f>
        <v>9.4454242602390757</v>
      </c>
      <c r="GC745" s="98" t="str">
        <f>IF(ISERROR((GB745/FZ745-1)*100),"NA",IF(((GB745/FZ745-1)*100)&gt;100,"NM",IF(((GB745/FZ745-1)*100)&lt;-50,"NM",(GB745/FZ745-1)*100)))</f>
        <v>NM</v>
      </c>
      <c r="GD745" s="289">
        <f>GD640/GD734*100</f>
        <v>-1.3572204125950056</v>
      </c>
      <c r="GE745" s="98" t="str">
        <f>IF(ISERROR((GD745/GB745-1)*100),"NA",IF(((GD745/GB745-1)*100)&gt;100,"NM",IF(((GD745/GB745-1)*100)&lt;-50,"NM",(GD745/GB745-1)*100)))</f>
        <v>NM</v>
      </c>
      <c r="GF745" s="289">
        <f>GF640/GF734*100</f>
        <v>3.7023670871540819</v>
      </c>
      <c r="GG745" s="98" t="str">
        <f>IF(ISERROR((GF745/GD745-1)*100),"NA",IF(((GF745/GD745-1)*100)&gt;100,"NM",IF(((GF745/GD745-1)*100)&lt;-50,"NM",(GF745/GD745-1)*100)))</f>
        <v>NM</v>
      </c>
      <c r="GH745" s="289">
        <f>GH640/GH734*100</f>
        <v>7.6713428710402169</v>
      </c>
      <c r="GI745" s="98" t="str">
        <f t="shared" si="4607"/>
        <v>NM</v>
      </c>
      <c r="GJ745" s="289">
        <f>GJ640/GJ734*100</f>
        <v>5.3556842515802874</v>
      </c>
      <c r="GK745" s="98">
        <f t="shared" si="4607"/>
        <v>-30.18583132559074</v>
      </c>
      <c r="GL745" s="289">
        <f>GL640/GL734*100</f>
        <v>1.1374364284191611</v>
      </c>
      <c r="GM745" s="98" t="str">
        <f t="shared" si="4607"/>
        <v>NM</v>
      </c>
      <c r="GN745" s="289">
        <f>GN640/GN734*100</f>
        <v>6.6930396755751591</v>
      </c>
      <c r="GO745" s="98" t="str">
        <f t="shared" si="4607"/>
        <v>NM</v>
      </c>
      <c r="GP745" s="289">
        <f>GP640/GP734*100</f>
        <v>7.6863959808484648</v>
      </c>
      <c r="GQ745" s="98">
        <f t="shared" si="4607"/>
        <v>14.841631805924461</v>
      </c>
      <c r="GR745" s="289">
        <f>GR640/GR734*100</f>
        <v>9.0852154224932047</v>
      </c>
      <c r="GS745" s="98">
        <f t="shared" si="4607"/>
        <v>18.198638804584853</v>
      </c>
      <c r="GT745" s="289">
        <f>GT640/GT734*100</f>
        <v>9.3295037233427891</v>
      </c>
      <c r="GU745" s="98">
        <f t="shared" si="4607"/>
        <v>2.6888553489306855</v>
      </c>
      <c r="GV745" s="289">
        <f>GV640/GV734*100</f>
        <v>9.4736027029722276</v>
      </c>
      <c r="GW745" s="98">
        <f t="shared" si="4607"/>
        <v>1.5445513920413267</v>
      </c>
      <c r="GX745" s="289">
        <f>GX640/GX734*100</f>
        <v>9.5196672734640995</v>
      </c>
      <c r="GY745" s="98">
        <f t="shared" si="4608"/>
        <v>0.48624131638346224</v>
      </c>
      <c r="GZ745" s="98">
        <f>IF(ISERROR(((GX745/GN745)^0.2-1)*100),"NA",IF((((GX745/GN745)^0.2-1)*100)&gt;100,"NM",IF((((GX745/GN745)^0.2-1)*100)&lt;-50,"NM",((GX745/GN745)^0.2-1)*100)))</f>
        <v>7.2999881468141847</v>
      </c>
      <c r="HA745" s="98"/>
      <c r="HB745" s="10"/>
      <c r="HC745"/>
      <c r="HD745"/>
      <c r="HE745"/>
      <c r="HF745"/>
      <c r="HG745"/>
      <c r="HH745"/>
      <c r="HI745" s="10"/>
    </row>
    <row r="746" spans="1:217" s="2" customFormat="1" ht="12.75" customHeight="1" x14ac:dyDescent="0.2">
      <c r="A746" s="10"/>
      <c r="B746" s="179" t="s">
        <v>42</v>
      </c>
      <c r="C746" s="26"/>
      <c r="D746" s="98"/>
      <c r="E746" s="26"/>
      <c r="F746" s="98"/>
      <c r="G746" s="26"/>
      <c r="H746" s="98"/>
      <c r="I746" s="26"/>
      <c r="J746" s="98"/>
      <c r="K746" s="26"/>
      <c r="L746" s="98"/>
      <c r="M746" s="26"/>
      <c r="N746" s="98"/>
      <c r="O746" s="26"/>
      <c r="P746" s="98"/>
      <c r="Q746" s="26"/>
      <c r="R746" s="98"/>
      <c r="S746" s="26"/>
      <c r="T746" s="98"/>
      <c r="U746" s="26"/>
      <c r="V746" s="98"/>
      <c r="W746" s="26"/>
      <c r="X746" s="98"/>
      <c r="Y746" s="26"/>
      <c r="Z746" s="98"/>
      <c r="AA746" s="26"/>
      <c r="AB746" s="98"/>
      <c r="AC746" s="26"/>
      <c r="AD746" s="98"/>
      <c r="AE746" s="26"/>
      <c r="AF746" s="98"/>
      <c r="AG746" s="26"/>
      <c r="AH746" s="98"/>
      <c r="AI746" s="218"/>
      <c r="AJ746" s="98"/>
      <c r="AK746" s="218"/>
      <c r="AL746" s="98"/>
      <c r="AM746" s="218"/>
      <c r="AN746" s="98"/>
      <c r="AO746" s="218"/>
      <c r="AP746" s="98"/>
      <c r="AQ746" s="218"/>
      <c r="AR746" s="98"/>
      <c r="AS746" s="218"/>
      <c r="AT746" s="98"/>
      <c r="AU746" s="218"/>
      <c r="AV746" s="98"/>
      <c r="AW746" s="218"/>
      <c r="AX746" s="98"/>
      <c r="AY746" s="125"/>
      <c r="AZ746" s="98"/>
      <c r="BA746" s="125"/>
      <c r="BB746" s="98"/>
      <c r="BC746" s="125"/>
      <c r="BD746" s="98"/>
      <c r="BE746" s="125"/>
      <c r="BF746" s="98"/>
      <c r="BG746" s="125"/>
      <c r="BH746" s="98"/>
      <c r="BI746" s="125"/>
      <c r="BJ746" s="98"/>
      <c r="BK746" s="125"/>
      <c r="BL746" s="98"/>
      <c r="BM746" s="125"/>
      <c r="BN746" s="98"/>
      <c r="BO746" s="125"/>
      <c r="BP746" s="98"/>
      <c r="BQ746" s="125"/>
      <c r="BR746" s="98"/>
      <c r="BS746" s="125"/>
      <c r="BT746" s="98"/>
      <c r="BU746" s="125"/>
      <c r="BV746" s="98"/>
      <c r="BW746" s="125"/>
      <c r="BX746" s="98"/>
      <c r="BY746" s="125"/>
      <c r="BZ746" s="98"/>
      <c r="CA746" s="125"/>
      <c r="CB746" s="98"/>
      <c r="CC746" s="125"/>
      <c r="CD746" s="98"/>
      <c r="CE746" s="125"/>
      <c r="CF746" s="98"/>
      <c r="CG746" s="125"/>
      <c r="CH746" s="98"/>
      <c r="CI746" s="125"/>
      <c r="CJ746" s="98"/>
      <c r="CK746" s="125"/>
      <c r="CL746" s="98"/>
      <c r="CM746" s="125"/>
      <c r="CN746" s="98"/>
      <c r="CO746" s="125"/>
      <c r="CP746" s="98"/>
      <c r="CQ746" s="526"/>
      <c r="CR746" s="98"/>
      <c r="CS746" s="125"/>
      <c r="CT746" s="98"/>
      <c r="CU746" s="125"/>
      <c r="CV746" s="98"/>
      <c r="CW746" s="125"/>
      <c r="CX746" s="98"/>
      <c r="CY746" s="125"/>
      <c r="CZ746" s="98"/>
      <c r="DA746" s="125"/>
      <c r="DB746" s="98"/>
      <c r="DC746" s="125"/>
      <c r="DD746" s="98"/>
      <c r="DE746" s="125"/>
      <c r="DF746" s="98"/>
      <c r="DG746" s="125"/>
      <c r="DH746" s="98"/>
      <c r="DI746" s="125"/>
      <c r="DJ746" s="98"/>
      <c r="DK746" s="125"/>
      <c r="DL746" s="98"/>
      <c r="DM746" s="125"/>
      <c r="DN746" s="98"/>
      <c r="DO746" s="125"/>
      <c r="DP746" s="98"/>
      <c r="DQ746" s="125"/>
      <c r="DR746" s="98"/>
      <c r="DS746" s="125"/>
      <c r="DT746" s="98"/>
      <c r="DU746" s="125"/>
      <c r="DV746" s="98"/>
      <c r="DW746" s="125"/>
      <c r="DX746" s="98"/>
      <c r="DY746" s="125"/>
      <c r="DZ746" s="98"/>
      <c r="EA746" s="125"/>
      <c r="EB746" s="98"/>
      <c r="EC746" s="125"/>
      <c r="ED746" s="98"/>
      <c r="EE746" s="125"/>
      <c r="EF746" s="860"/>
      <c r="EG746" s="125"/>
      <c r="EH746" s="860"/>
      <c r="EI746" s="125"/>
      <c r="EJ746" s="860"/>
      <c r="EK746" s="818"/>
      <c r="EL746" s="860"/>
      <c r="EM746" s="818"/>
      <c r="EN746" s="860"/>
      <c r="EO746" s="818"/>
      <c r="EP746" s="98"/>
      <c r="EQ746" s="842"/>
      <c r="ER746" s="98"/>
      <c r="ES746" s="842"/>
      <c r="ET746" s="98"/>
      <c r="EU746" s="842"/>
      <c r="EV746" s="98"/>
      <c r="EW746" s="842"/>
      <c r="EX746" s="98"/>
      <c r="EY746" s="289"/>
      <c r="EZ746" s="601"/>
      <c r="FA746" s="411"/>
      <c r="FB746" s="289"/>
      <c r="FC746" s="233"/>
      <c r="FD746" s="289"/>
      <c r="FE746" s="233"/>
      <c r="FF746" s="289"/>
      <c r="FG746" s="98"/>
      <c r="FH746" s="289"/>
      <c r="FI746" s="98"/>
      <c r="FJ746" s="289"/>
      <c r="FK746" s="98"/>
      <c r="FL746" s="289"/>
      <c r="FM746" s="98"/>
      <c r="FN746" s="289"/>
      <c r="FO746" s="98"/>
      <c r="FP746" s="289"/>
      <c r="FQ746" s="98"/>
      <c r="FR746" s="289"/>
      <c r="FS746" s="98"/>
      <c r="FT746" s="289"/>
      <c r="FU746" s="98"/>
      <c r="FV746" s="289"/>
      <c r="FW746" s="98"/>
      <c r="FX746" s="526"/>
      <c r="FY746" s="98"/>
      <c r="FZ746" s="289"/>
      <c r="GA746" s="98"/>
      <c r="GB746" s="526"/>
      <c r="GC746" s="98"/>
      <c r="GD746" s="289"/>
      <c r="GE746" s="98"/>
      <c r="GF746" s="289"/>
      <c r="GG746" s="98"/>
      <c r="GH746" s="289"/>
      <c r="GI746" s="98"/>
      <c r="GJ746" s="289"/>
      <c r="GK746" s="98"/>
      <c r="GL746" s="289">
        <f>GL628/GL739*100</f>
        <v>8.292151741844096</v>
      </c>
      <c r="GM746" s="98"/>
      <c r="GN746" s="289">
        <f>GN628/GN739*100</f>
        <v>9.3894841764266133</v>
      </c>
      <c r="GO746" s="98"/>
      <c r="GP746" s="289">
        <f>GP628/GP739*100</f>
        <v>11.066204632777012</v>
      </c>
      <c r="GQ746" s="98"/>
      <c r="GR746" s="289">
        <f>GR628/GR739*100</f>
        <v>11.52353942865018</v>
      </c>
      <c r="GS746" s="98"/>
      <c r="GT746" s="289">
        <f>GT628/GT739*100</f>
        <v>11.795890079377628</v>
      </c>
      <c r="GU746" s="98"/>
      <c r="GV746" s="289">
        <f>GV628/GV739*100</f>
        <v>11.935783922341662</v>
      </c>
      <c r="GW746" s="98"/>
      <c r="GX746" s="289">
        <f>GX628/GX739*100</f>
        <v>11.949945738499817</v>
      </c>
      <c r="GY746" s="98"/>
      <c r="GZ746" s="98"/>
      <c r="HA746" s="98"/>
      <c r="HB746" s="10"/>
      <c r="HC746"/>
      <c r="HD746"/>
      <c r="HE746"/>
      <c r="HF746"/>
      <c r="HG746"/>
      <c r="HH746"/>
      <c r="HI746" s="10"/>
    </row>
    <row r="747" spans="1:217" s="2" customFormat="1" ht="12.75" customHeight="1" x14ac:dyDescent="0.2">
      <c r="B747" s="179"/>
      <c r="C747" s="95"/>
      <c r="D747" s="113"/>
      <c r="E747" s="95"/>
      <c r="F747" s="113"/>
      <c r="G747" s="95"/>
      <c r="H747" s="113"/>
      <c r="I747" s="95"/>
      <c r="J747" s="98"/>
      <c r="K747" s="95"/>
      <c r="L747" s="98"/>
      <c r="M747" s="95"/>
      <c r="N747" s="98"/>
      <c r="O747" s="95"/>
      <c r="P747" s="98"/>
      <c r="Q747" s="95"/>
      <c r="R747" s="98"/>
      <c r="S747" s="95"/>
      <c r="T747" s="98"/>
      <c r="U747" s="95"/>
      <c r="V747" s="98"/>
      <c r="W747" s="95"/>
      <c r="X747" s="98"/>
      <c r="Y747" s="95"/>
      <c r="Z747" s="98"/>
      <c r="AA747" s="95"/>
      <c r="AB747" s="98"/>
      <c r="AC747" s="95"/>
      <c r="AD747" s="98"/>
      <c r="AE747" s="95"/>
      <c r="AF747" s="98"/>
      <c r="AG747" s="95"/>
      <c r="AH747" s="98"/>
      <c r="AI747" s="95"/>
      <c r="AJ747" s="98"/>
      <c r="AK747" s="95"/>
      <c r="AL747" s="98"/>
      <c r="AM747" s="95"/>
      <c r="AN747" s="98"/>
      <c r="AO747" s="95"/>
      <c r="AP747" s="98"/>
      <c r="AQ747" s="95"/>
      <c r="AR747" s="98"/>
      <c r="AS747" s="95"/>
      <c r="AT747" s="98"/>
      <c r="AU747" s="95"/>
      <c r="AV747" s="98"/>
      <c r="AW747" s="95"/>
      <c r="AX747" s="98"/>
      <c r="AY747" s="95"/>
      <c r="AZ747" s="98"/>
      <c r="BA747" s="95"/>
      <c r="BB747" s="98"/>
      <c r="BC747" s="95"/>
      <c r="BD747" s="98"/>
      <c r="BE747" s="95"/>
      <c r="BF747" s="98"/>
      <c r="BG747" s="95"/>
      <c r="BH747" s="98"/>
      <c r="BI747" s="95"/>
      <c r="BJ747" s="98"/>
      <c r="BK747" s="95"/>
      <c r="BL747" s="98"/>
      <c r="BM747" s="95"/>
      <c r="BN747" s="98"/>
      <c r="BO747" s="95"/>
      <c r="BP747" s="98"/>
      <c r="BQ747" s="95"/>
      <c r="BR747" s="98"/>
      <c r="BS747" s="95"/>
      <c r="BT747" s="98"/>
      <c r="BU747" s="95"/>
      <c r="BV747" s="98"/>
      <c r="BW747" s="95"/>
      <c r="BX747" s="98"/>
      <c r="BY747" s="95"/>
      <c r="BZ747" s="98"/>
      <c r="CA747" s="95"/>
      <c r="CB747" s="98"/>
      <c r="CC747" s="95"/>
      <c r="CD747" s="98"/>
      <c r="CE747" s="95"/>
      <c r="CF747" s="98"/>
      <c r="CG747" s="95"/>
      <c r="CH747" s="98"/>
      <c r="CI747" s="95"/>
      <c r="CJ747" s="98"/>
      <c r="CK747" s="95"/>
      <c r="CL747" s="98"/>
      <c r="CM747" s="95"/>
      <c r="CN747" s="98"/>
      <c r="CO747" s="95"/>
      <c r="CP747" s="98"/>
      <c r="CQ747" s="506"/>
      <c r="CR747" s="98"/>
      <c r="CS747" s="95"/>
      <c r="CT747" s="98"/>
      <c r="CU747" s="95"/>
      <c r="CV747" s="98"/>
      <c r="CW747" s="95"/>
      <c r="CX747" s="98"/>
      <c r="CY747" s="95"/>
      <c r="CZ747" s="98"/>
      <c r="DA747" s="95"/>
      <c r="DB747" s="98"/>
      <c r="DC747" s="95"/>
      <c r="DD747" s="98"/>
      <c r="DE747" s="95"/>
      <c r="DF747" s="98"/>
      <c r="DG747" s="95"/>
      <c r="DH747" s="98"/>
      <c r="DI747" s="95"/>
      <c r="DJ747" s="98"/>
      <c r="DK747" s="95"/>
      <c r="DL747" s="98"/>
      <c r="DM747" s="95"/>
      <c r="DN747" s="98"/>
      <c r="DO747" s="95"/>
      <c r="DP747" s="98"/>
      <c r="DQ747" s="95"/>
      <c r="DR747" s="98"/>
      <c r="DS747" s="95"/>
      <c r="DT747" s="98"/>
      <c r="DU747" s="95"/>
      <c r="DV747" s="98"/>
      <c r="DW747" s="95"/>
      <c r="DX747" s="98"/>
      <c r="DY747" s="95"/>
      <c r="DZ747" s="98"/>
      <c r="EA747" s="95"/>
      <c r="EB747" s="98"/>
      <c r="EC747" s="95"/>
      <c r="ED747" s="98"/>
      <c r="EE747" s="95"/>
      <c r="EF747" s="860"/>
      <c r="EG747" s="95"/>
      <c r="EH747" s="860"/>
      <c r="EI747" s="95"/>
      <c r="EJ747" s="860"/>
      <c r="EK747" s="789"/>
      <c r="EL747" s="860"/>
      <c r="EM747" s="789"/>
      <c r="EN747" s="860"/>
      <c r="EO747" s="789"/>
      <c r="EP747" s="98"/>
      <c r="EQ747" s="789"/>
      <c r="ER747" s="98"/>
      <c r="ES747" s="789"/>
      <c r="ET747" s="98"/>
      <c r="EU747" s="789"/>
      <c r="EV747" s="98"/>
      <c r="EW747" s="789"/>
      <c r="EX747" s="98"/>
      <c r="EY747" s="95"/>
      <c r="EZ747" s="594"/>
      <c r="FA747" s="405"/>
      <c r="FB747" s="95"/>
      <c r="FC747" s="113"/>
      <c r="FD747" s="95"/>
      <c r="FE747" s="113"/>
      <c r="FF747" s="95"/>
      <c r="FG747" s="98"/>
      <c r="FH747" s="95"/>
      <c r="FI747" s="98"/>
      <c r="FJ747" s="95"/>
      <c r="FK747" s="98"/>
      <c r="FL747" s="95"/>
      <c r="FM747" s="98"/>
      <c r="FN747" s="95"/>
      <c r="FO747" s="98"/>
      <c r="FP747" s="95"/>
      <c r="FQ747" s="98"/>
      <c r="FR747" s="95"/>
      <c r="FS747" s="98"/>
      <c r="FT747" s="95"/>
      <c r="FU747" s="98"/>
      <c r="FV747" s="95"/>
      <c r="FW747" s="98"/>
      <c r="FX747" s="506"/>
      <c r="FY747" s="98"/>
      <c r="FZ747" s="95"/>
      <c r="GA747" s="98"/>
      <c r="GB747" s="506"/>
      <c r="GC747" s="98"/>
      <c r="GD747" s="95"/>
      <c r="GE747" s="98"/>
      <c r="GF747" s="95"/>
      <c r="GG747" s="98"/>
      <c r="GH747" s="95"/>
      <c r="GI747" s="98"/>
      <c r="GJ747" s="95"/>
      <c r="GK747" s="98"/>
      <c r="GL747" s="95"/>
      <c r="GM747" s="98"/>
      <c r="GN747" s="95"/>
      <c r="GO747" s="98"/>
      <c r="GP747" s="95"/>
      <c r="GQ747" s="98"/>
      <c r="GR747" s="95"/>
      <c r="GS747" s="98"/>
      <c r="GT747" s="95"/>
      <c r="GU747" s="98"/>
      <c r="GV747" s="95"/>
      <c r="GW747" s="98"/>
      <c r="GX747" s="95"/>
      <c r="GY747" s="98"/>
      <c r="GZ747" s="98"/>
      <c r="HA747" s="98"/>
      <c r="HB747" s="10"/>
      <c r="HC747"/>
      <c r="HD747"/>
      <c r="HE747"/>
      <c r="HF747"/>
      <c r="HG747"/>
      <c r="HH747"/>
      <c r="HI747" s="10"/>
    </row>
    <row r="748" spans="1:217" s="2" customFormat="1" ht="12.75" customHeight="1" x14ac:dyDescent="0.2">
      <c r="B748" s="131" t="s">
        <v>678</v>
      </c>
      <c r="C748" s="244"/>
      <c r="D748" s="113"/>
      <c r="E748" s="244"/>
      <c r="F748" s="113"/>
      <c r="G748" s="244"/>
      <c r="H748" s="113"/>
      <c r="I748" s="244"/>
      <c r="J748" s="98"/>
      <c r="K748" s="244"/>
      <c r="L748" s="98"/>
      <c r="M748" s="244"/>
      <c r="N748" s="98"/>
      <c r="O748" s="244"/>
      <c r="P748" s="98"/>
      <c r="Q748" s="244"/>
      <c r="R748" s="98"/>
      <c r="S748" s="244"/>
      <c r="T748" s="98"/>
      <c r="U748" s="244"/>
      <c r="V748" s="98"/>
      <c r="W748" s="244"/>
      <c r="X748" s="98"/>
      <c r="Y748" s="244"/>
      <c r="Z748" s="98"/>
      <c r="AA748" s="244"/>
      <c r="AB748" s="98"/>
      <c r="AC748" s="244"/>
      <c r="AD748" s="98"/>
      <c r="AE748" s="244"/>
      <c r="AF748" s="98"/>
      <c r="AG748" s="244"/>
      <c r="AH748" s="98"/>
      <c r="AI748" s="95"/>
      <c r="AJ748" s="98"/>
      <c r="AK748" s="95"/>
      <c r="AL748" s="98"/>
      <c r="AM748" s="95"/>
      <c r="AN748" s="98"/>
      <c r="AO748" s="95"/>
      <c r="AP748" s="98"/>
      <c r="AQ748" s="95"/>
      <c r="AR748" s="98"/>
      <c r="AS748" s="95"/>
      <c r="AT748" s="98"/>
      <c r="AU748" s="95"/>
      <c r="AV748" s="98"/>
      <c r="AW748" s="95"/>
      <c r="AX748" s="98"/>
      <c r="AY748" s="95"/>
      <c r="AZ748" s="98"/>
      <c r="BA748" s="95"/>
      <c r="BB748" s="98"/>
      <c r="BC748" s="95"/>
      <c r="BD748" s="98"/>
      <c r="BE748" s="95"/>
      <c r="BF748" s="98"/>
      <c r="BG748" s="95"/>
      <c r="BH748" s="98"/>
      <c r="BI748" s="95"/>
      <c r="BJ748" s="98"/>
      <c r="BK748" s="95"/>
      <c r="BL748" s="98"/>
      <c r="BM748" s="95"/>
      <c r="BN748" s="98"/>
      <c r="BO748" s="95"/>
      <c r="BP748" s="98"/>
      <c r="BQ748" s="95"/>
      <c r="BR748" s="98"/>
      <c r="BS748" s="95"/>
      <c r="BT748" s="98"/>
      <c r="BU748" s="95"/>
      <c r="BV748" s="98"/>
      <c r="BW748" s="95"/>
      <c r="BX748" s="98"/>
      <c r="BY748" s="95"/>
      <c r="BZ748" s="98"/>
      <c r="CA748" s="95"/>
      <c r="CB748" s="98"/>
      <c r="CC748" s="95"/>
      <c r="CD748" s="98"/>
      <c r="CE748" s="95"/>
      <c r="CF748" s="98"/>
      <c r="CG748" s="95"/>
      <c r="CH748" s="98"/>
      <c r="CI748" s="95"/>
      <c r="CJ748" s="98"/>
      <c r="CK748" s="95"/>
      <c r="CL748" s="98"/>
      <c r="CM748" s="95"/>
      <c r="CN748" s="98"/>
      <c r="CO748" s="95"/>
      <c r="CP748" s="98"/>
      <c r="CQ748" s="506"/>
      <c r="CR748" s="98"/>
      <c r="CS748" s="95"/>
      <c r="CT748" s="98"/>
      <c r="CU748" s="95"/>
      <c r="CV748" s="98"/>
      <c r="CW748" s="95"/>
      <c r="CX748" s="98"/>
      <c r="CY748" s="95"/>
      <c r="CZ748" s="98"/>
      <c r="DA748" s="95"/>
      <c r="DB748" s="98"/>
      <c r="DC748" s="95"/>
      <c r="DD748" s="98"/>
      <c r="DE748" s="95"/>
      <c r="DF748" s="98"/>
      <c r="DG748" s="95"/>
      <c r="DH748" s="98"/>
      <c r="DI748" s="95"/>
      <c r="DJ748" s="98"/>
      <c r="DK748" s="95"/>
      <c r="DL748" s="98"/>
      <c r="DM748" s="95"/>
      <c r="DN748" s="98"/>
      <c r="DO748" s="95"/>
      <c r="DP748" s="98"/>
      <c r="DQ748" s="95"/>
      <c r="DR748" s="98"/>
      <c r="DS748" s="95"/>
      <c r="DT748" s="98"/>
      <c r="DU748" s="95"/>
      <c r="DV748" s="98"/>
      <c r="DW748" s="95"/>
      <c r="DX748" s="98"/>
      <c r="DY748" s="95"/>
      <c r="DZ748" s="98"/>
      <c r="EA748" s="95"/>
      <c r="EB748" s="98"/>
      <c r="EC748" s="95"/>
      <c r="ED748" s="98"/>
      <c r="EE748" s="95"/>
      <c r="EF748" s="860"/>
      <c r="EG748" s="95"/>
      <c r="EH748" s="860"/>
      <c r="EI748" s="95"/>
      <c r="EJ748" s="860"/>
      <c r="EK748" s="789"/>
      <c r="EL748" s="860"/>
      <c r="EM748" s="789"/>
      <c r="EN748" s="860"/>
      <c r="EO748" s="789"/>
      <c r="EP748" s="98"/>
      <c r="EQ748" s="823"/>
      <c r="ER748" s="98"/>
      <c r="ES748" s="823"/>
      <c r="ET748" s="98"/>
      <c r="EU748" s="823"/>
      <c r="EV748" s="98"/>
      <c r="EW748" s="823"/>
      <c r="EX748" s="98"/>
      <c r="EY748" s="244"/>
      <c r="EZ748" s="594"/>
      <c r="FA748" s="405"/>
      <c r="FB748" s="244"/>
      <c r="FC748" s="113"/>
      <c r="FD748" s="244"/>
      <c r="FE748" s="113"/>
      <c r="FF748" s="244"/>
      <c r="FG748" s="98"/>
      <c r="FH748" s="244"/>
      <c r="FI748" s="98"/>
      <c r="FJ748" s="244"/>
      <c r="FK748" s="98"/>
      <c r="FL748" s="244"/>
      <c r="FM748" s="98"/>
      <c r="FN748" s="244"/>
      <c r="FO748" s="98"/>
      <c r="FP748" s="244"/>
      <c r="FQ748" s="98"/>
      <c r="FR748" s="244"/>
      <c r="FS748" s="98"/>
      <c r="FT748" s="244"/>
      <c r="FU748" s="98"/>
      <c r="FV748" s="244"/>
      <c r="FW748" s="98"/>
      <c r="FX748" s="506"/>
      <c r="FY748" s="98"/>
      <c r="FZ748" s="244"/>
      <c r="GA748" s="98"/>
      <c r="GB748" s="506"/>
      <c r="GC748" s="98"/>
      <c r="GD748" s="244"/>
      <c r="GE748" s="98"/>
      <c r="GF748" s="244"/>
      <c r="GG748" s="98"/>
      <c r="GH748" s="244"/>
      <c r="GI748" s="98"/>
      <c r="GJ748" s="244"/>
      <c r="GK748" s="98"/>
      <c r="GL748" s="244"/>
      <c r="GM748" s="98"/>
      <c r="GN748" s="244"/>
      <c r="GO748" s="98"/>
      <c r="GP748" s="244"/>
      <c r="GQ748" s="98"/>
      <c r="GR748" s="244"/>
      <c r="GS748" s="98"/>
      <c r="GT748" s="244"/>
      <c r="GU748" s="98"/>
      <c r="GV748" s="244"/>
      <c r="GW748" s="98"/>
      <c r="GX748" s="244"/>
      <c r="GY748" s="98"/>
      <c r="GZ748" s="98"/>
      <c r="HA748" s="98"/>
      <c r="HB748" s="10"/>
      <c r="HC748"/>
      <c r="HD748"/>
      <c r="HE748"/>
      <c r="HF748"/>
      <c r="HG748"/>
      <c r="HH748"/>
      <c r="HI748" s="10"/>
    </row>
    <row r="749" spans="1:217" s="2" customFormat="1" ht="12.75" customHeight="1" x14ac:dyDescent="0.2">
      <c r="A749" s="2" t="s">
        <v>219</v>
      </c>
      <c r="B749" s="179" t="s">
        <v>220</v>
      </c>
      <c r="C749" s="349">
        <f>+C715+C718+C733</f>
        <v>17247</v>
      </c>
      <c r="D749" s="113"/>
      <c r="E749" s="349">
        <f>+E715+E718+E733</f>
        <v>18978</v>
      </c>
      <c r="F749" s="113"/>
      <c r="G749" s="349">
        <f>+G715+G718+G733</f>
        <v>19087</v>
      </c>
      <c r="H749" s="113"/>
      <c r="I749" s="349">
        <f>+I715+I718+I733</f>
        <v>18858</v>
      </c>
      <c r="J749" s="98"/>
      <c r="K749" s="349">
        <f>+K715+K718+K733</f>
        <v>18885</v>
      </c>
      <c r="L749" s="98">
        <f t="shared" ref="L749:L756" si="4618">IF(ISERROR((K749/C749-1)*100),"NA",IF(((K749/C749-1)*100)&gt;100,"NM",IF(((K749/C749-1)*100)&lt;-50,"NM",(K749/C749-1)*100)))</f>
        <v>9.4973038789354582</v>
      </c>
      <c r="M749" s="349">
        <f>+M715+M718+M733</f>
        <v>18817</v>
      </c>
      <c r="N749" s="98">
        <f t="shared" ref="N749:N756" si="4619">IF(ISERROR((M749/E749-1)*100),"NA",IF(((M749/E749-1)*100)&gt;100,"NM",IF(((M749/E749-1)*100)&lt;-50,"NM",(M749/E749-1)*100)))</f>
        <v>-0.84835072188850225</v>
      </c>
      <c r="O749" s="349">
        <f>+O715+O718+O733</f>
        <v>18494</v>
      </c>
      <c r="P749" s="98">
        <f t="shared" ref="P749:P756" si="4620">IF(ISERROR((O749/G749-1)*100),"NA",IF(((O749/G749-1)*100)&gt;100,"NM",IF(((O749/G749-1)*100)&lt;-50,"NM",(O749/G749-1)*100)))</f>
        <v>-3.1068266359302155</v>
      </c>
      <c r="Q749" s="349">
        <f>+Q715+Q718+Q733</f>
        <v>19273</v>
      </c>
      <c r="R749" s="98">
        <f t="shared" ref="R749:R756" si="4621">IF(ISERROR((Q749/I749-1)*100),"NA",IF(((Q749/I749-1)*100)&gt;100,"NM",IF(((Q749/I749-1)*100)&lt;-50,"NM",(Q749/I749-1)*100)))</f>
        <v>2.2006575458691335</v>
      </c>
      <c r="S749" s="349">
        <f>+S715+S718+S733</f>
        <v>19170</v>
      </c>
      <c r="T749" s="98">
        <f t="shared" ref="T749:T756" si="4622">IF(ISERROR((S749/K749-1)*100),"NA",IF(((S749/K749-1)*100)&gt;100,"NM",IF(((S749/K749-1)*100)&lt;-50,"NM",(S749/K749-1)*100)))</f>
        <v>1.5091342335186608</v>
      </c>
      <c r="U749" s="349">
        <f>+U715+U718+U733</f>
        <v>19371</v>
      </c>
      <c r="V749" s="98">
        <f t="shared" ref="V749:V756" si="4623">IF(ISERROR((U749/M749-1)*100),"NA",IF(((U749/M749-1)*100)&gt;100,"NM",IF(((U749/M749-1)*100)&lt;-50,"NM",(U749/M749-1)*100)))</f>
        <v>2.944146250730717</v>
      </c>
      <c r="W749" s="349">
        <f>+W715+W718+W733</f>
        <v>19654</v>
      </c>
      <c r="X749" s="98">
        <f t="shared" ref="X749:X756" si="4624">IF(ISERROR((W749/O749-1)*100),"NA",IF(((W749/O749-1)*100)&gt;100,"NM",IF(((W749/O749-1)*100)&lt;-50,"NM",(W749/O749-1)*100)))</f>
        <v>6.2723045311993131</v>
      </c>
      <c r="Y749" s="349">
        <f>+Y715+Y718+Y733</f>
        <v>21068</v>
      </c>
      <c r="Z749" s="98">
        <f t="shared" ref="Z749:Z756" si="4625">IF(ISERROR((Y749/Q749-1)*100),"NA",IF(((Y749/Q749-1)*100)&gt;100,"NM",IF(((Y749/Q749-1)*100)&lt;-50,"NM",(Y749/Q749-1)*100)))</f>
        <v>9.3135474498002413</v>
      </c>
      <c r="AA749" s="349">
        <f>+AA715+AA718+AA733</f>
        <v>21485</v>
      </c>
      <c r="AB749" s="98">
        <f t="shared" ref="AB749:AB756" si="4626">IF(ISERROR((AA749/S749-1)*100),"NA",IF(((AA749/S749-1)*100)&gt;100,"NM",IF(((AA749/S749-1)*100)&lt;-50,"NM",(AA749/S749-1)*100)))</f>
        <v>12.076160667709956</v>
      </c>
      <c r="AC749" s="349">
        <f>+AC715+AC718+AC733</f>
        <v>23156</v>
      </c>
      <c r="AD749" s="98">
        <f t="shared" ref="AD749:AD756" si="4627">IF(ISERROR((AC749/U749-1)*100),"NA",IF(((AC749/U749-1)*100)&gt;100,"NM",IF(((AC749/U749-1)*100)&lt;-50,"NM",(AC749/U749-1)*100)))</f>
        <v>19.539517835940323</v>
      </c>
      <c r="AE749" s="349">
        <f>+AE715+AE718+AE733</f>
        <v>23876</v>
      </c>
      <c r="AF749" s="98">
        <f t="shared" ref="AF749:AF756" si="4628">IF(ISERROR((AE749/W749-1)*100),"NA",IF(((AE749/W749-1)*100)&gt;100,"NM",IF(((AE749/W749-1)*100)&lt;-50,"NM",(AE749/W749-1)*100)))</f>
        <v>21.481632237712422</v>
      </c>
      <c r="AG749" s="349">
        <f>+AG715+AG718+AG733</f>
        <v>24337</v>
      </c>
      <c r="AH749" s="98">
        <f t="shared" ref="AH749:AH756" si="4629">IF(ISERROR((AG749/Y749-1)*100),"NA",IF(((AG749/Y749-1)*100)&gt;100,"NM",IF(((AG749/Y749-1)*100)&lt;-50,"NM",(AG749/Y749-1)*100)))</f>
        <v>15.51642301120182</v>
      </c>
      <c r="AI749" s="118">
        <f>+AI715+AI718+AI733</f>
        <v>24888</v>
      </c>
      <c r="AJ749" s="98">
        <f t="shared" ref="AJ749:AJ756" si="4630">IF(ISERROR((AI749/AA749-1)*100),"NA",IF(((AI749/AA749-1)*100)&gt;100,"NM",IF(((AI749/AA749-1)*100)&lt;-50,"NM",(AI749/AA749-1)*100)))</f>
        <v>15.838957412148002</v>
      </c>
      <c r="AK749" s="118">
        <f>+AK715+AK718+AK733</f>
        <v>26184</v>
      </c>
      <c r="AL749" s="98">
        <f t="shared" ref="AL749:AL756" si="4631">IF(ISERROR((AK749/AC749-1)*100),"NA",IF(((AK749/AC749-1)*100)&gt;100,"NM",IF(((AK749/AC749-1)*100)&lt;-50,"NM",(AK749/AC749-1)*100)))</f>
        <v>13.076524442908966</v>
      </c>
      <c r="AM749" s="118">
        <f>+AM715+AM718+AM733</f>
        <v>27153</v>
      </c>
      <c r="AN749" s="98">
        <f t="shared" ref="AN749:AN756" si="4632">IF(ISERROR((AM749/AE749-1)*100),"NA",IF(((AM749/AE749-1)*100)&gt;100,"NM",IF(((AM749/AE749-1)*100)&lt;-50,"NM",(AM749/AE749-1)*100)))</f>
        <v>13.725079577818722</v>
      </c>
      <c r="AO749" s="118">
        <f>+AO715+AO718+AO733</f>
        <v>27558</v>
      </c>
      <c r="AP749" s="98">
        <f t="shared" ref="AP749:AP756" si="4633">IF(ISERROR((AO749/AG749-1)*100),"NA",IF(((AO749/AG749-1)*100)&gt;100,"NM",IF(((AO749/AG749-1)*100)&lt;-50,"NM",(AO749/AG749-1)*100)))</f>
        <v>13.234991987508726</v>
      </c>
      <c r="AQ749" s="118">
        <f>+AQ715+AQ718+AQ733</f>
        <v>28574</v>
      </c>
      <c r="AR749" s="98">
        <f t="shared" ref="AR749:AR756" si="4634">IF(ISERROR((AQ749/AI749-1)*100),"NA",IF(((AQ749/AI749-1)*100)&gt;100,"NM",IF(((AQ749/AI749-1)*100)&lt;-50,"NM",(AQ749/AI749-1)*100)))</f>
        <v>14.810350369656057</v>
      </c>
      <c r="AS749" s="118">
        <f>+AS715+AS718+AS733+AS730</f>
        <v>34673</v>
      </c>
      <c r="AT749" s="98">
        <f t="shared" ref="AT749:AT756" si="4635">IF(ISERROR((AS749/AK749-1)*100),"NA",IF(((AS749/AK749-1)*100)&gt;100,"NM",IF(((AS749/AK749-1)*100)&lt;-50,"NM",(AS749/AK749-1)*100)))</f>
        <v>32.420562175374279</v>
      </c>
      <c r="AU749" s="118">
        <f>+AU715+AU718+AU733+AU730</f>
        <v>36653</v>
      </c>
      <c r="AV749" s="98">
        <f t="shared" ref="AV749:AV756" si="4636">IF(ISERROR((AU749/AM749-1)*100),"NA",IF(((AU749/AM749-1)*100)&gt;100,"NM",IF(((AU749/AM749-1)*100)&lt;-50,"NM",(AU749/AM749-1)*100)))</f>
        <v>34.986925938202027</v>
      </c>
      <c r="AW749" s="118">
        <f>+AW715+AW718+AW733+AW730</f>
        <v>37355</v>
      </c>
      <c r="AX749" s="98">
        <f t="shared" ref="AX749:AX756" si="4637">IF(ISERROR((AW749/AO749-1)*100),"NA",IF(((AW749/AO749-1)*100)&gt;100,"NM",IF(((AW749/AO749-1)*100)&lt;-50,"NM",(AW749/AO749-1)*100)))</f>
        <v>35.550475361056691</v>
      </c>
      <c r="AY749" s="118">
        <f>+AY715+AY718+AY733+AY730</f>
        <v>38187</v>
      </c>
      <c r="AZ749" s="98">
        <f t="shared" ref="AZ749:AZ756" si="4638">IF(ISERROR((AY749/AQ749-1)*100),"NA",IF(((AY749/AQ749-1)*100)&gt;100,"NM",IF(((AY749/AQ749-1)*100)&lt;-50,"NM",(AY749/AQ749-1)*100)))</f>
        <v>33.642472177504025</v>
      </c>
      <c r="BA749" s="118">
        <f>+BA715+BA718+BA733+BA730</f>
        <v>39687</v>
      </c>
      <c r="BB749" s="98">
        <f t="shared" ref="BB749:BB756" si="4639">IF(ISERROR((BA749/AS749-1)*100),"NA",IF(((BA749/AS749-1)*100)&gt;100,"NM",IF(((BA749/AS749-1)*100)&lt;-50,"NM",(BA749/AS749-1)*100)))</f>
        <v>14.460819657947098</v>
      </c>
      <c r="BC749" s="118">
        <f>+BC715+BC718+BC733+BC730</f>
        <v>40712</v>
      </c>
      <c r="BD749" s="98">
        <f t="shared" ref="BD749:BD756" si="4640">IF(ISERROR((BC749/AU749-1)*100),"NA",IF(((BC749/AU749-1)*100)&gt;100,"NM",IF(((BC749/AU749-1)*100)&lt;-50,"NM",(BC749/AU749-1)*100)))</f>
        <v>11.07412762938913</v>
      </c>
      <c r="BE749" s="118">
        <f>+BE715+BE718+BE733+BE730</f>
        <v>42937</v>
      </c>
      <c r="BF749" s="98">
        <f t="shared" ref="BF749:BF756" si="4641">IF(ISERROR((BE749/AW749-1)*100),"NA",IF(((BE749/AW749-1)*100)&gt;100,"NM",IF(((BE749/AW749-1)*100)&lt;-50,"NM",(BE749/AW749-1)*100)))</f>
        <v>14.94311337170393</v>
      </c>
      <c r="BG749" s="118">
        <f>+BG715+BG718+BG733+BG730</f>
        <v>43283</v>
      </c>
      <c r="BH749" s="98">
        <f t="shared" ref="BH749:BH756" si="4642">IF(ISERROR((BG749/AY749-1)*100),"NA",IF(((BG749/AY749-1)*100)&gt;100,"NM",IF(((BG749/AY749-1)*100)&lt;-50,"NM",(BG749/AY749-1)*100)))</f>
        <v>13.344855579123793</v>
      </c>
      <c r="BI749" s="118">
        <f>+BI715+BI718+BI733+BI730</f>
        <v>46622</v>
      </c>
      <c r="BJ749" s="98">
        <f t="shared" ref="BJ749:BJ756" si="4643">IF(ISERROR((BI749/BA749-1)*100),"NA",IF(((BI749/BA749-1)*100)&gt;100,"NM",IF(((BI749/BA749-1)*100)&lt;-50,"NM",(BI749/BA749-1)*100)))</f>
        <v>17.474235895885304</v>
      </c>
      <c r="BK749" s="118">
        <f>+BK715+BK718+BK733+BK730</f>
        <v>46227</v>
      </c>
      <c r="BL749" s="98">
        <f t="shared" ref="BL749:BL756" si="4644">IF(ISERROR((BK749/BC749-1)*100),"NA",IF(((BK749/BC749-1)*100)&gt;100,"NM",IF(((BK749/BC749-1)*100)&lt;-50,"NM",(BK749/BC749-1)*100)))</f>
        <v>13.546374533307137</v>
      </c>
      <c r="BM749" s="118">
        <f>+BM715+BM718+BM733+BM730</f>
        <v>48242</v>
      </c>
      <c r="BN749" s="98">
        <f t="shared" ref="BN749:BN756" si="4645">IF(ISERROR((BM749/BE749-1)*100),"NA",IF(((BM749/BE749-1)*100)&gt;100,"NM",IF(((BM749/BE749-1)*100)&lt;-50,"NM",(BM749/BE749-1)*100)))</f>
        <v>12.355311270000225</v>
      </c>
      <c r="BO749" s="118">
        <f>+BO715+BO718+BO733+BO730</f>
        <v>50470</v>
      </c>
      <c r="BP749" s="98">
        <f t="shared" ref="BP749:BP756" si="4646">IF(ISERROR((BO749/BG749-1)*100),"NA",IF(((BO749/BG749-1)*100)&gt;100,"NM",IF(((BO749/BG749-1)*100)&lt;-50,"NM",(BO749/BG749-1)*100)))</f>
        <v>16.604671580066068</v>
      </c>
      <c r="BQ749" s="118">
        <f>+BQ715+BQ718+BQ733+BQ730</f>
        <v>49373</v>
      </c>
      <c r="BR749" s="98">
        <f t="shared" ref="BR749:BR756" si="4647">IF(ISERROR((BQ749/BI749-1)*100),"NA",IF(((BQ749/BI749-1)*100)&gt;100,"NM",IF(((BQ749/BI749-1)*100)&lt;-50,"NM",(BQ749/BI749-1)*100)))</f>
        <v>5.9006477628587461</v>
      </c>
      <c r="BS749" s="118">
        <f>+BS715+BS718+BS733+BS730</f>
        <v>51475</v>
      </c>
      <c r="BT749" s="98">
        <f t="shared" ref="BT749:BT756" si="4648">IF(ISERROR((BS749/BK749-1)*100),"NA",IF(((BS749/BK749-1)*100)&gt;100,"NM",IF(((BS749/BK749-1)*100)&lt;-50,"NM",(BS749/BK749-1)*100)))</f>
        <v>11.352672680468135</v>
      </c>
      <c r="BU749" s="118">
        <f>+BU715+BU718+BU733+BU730</f>
        <v>53005</v>
      </c>
      <c r="BV749" s="98">
        <f t="shared" ref="BV749:BV756" si="4649">IF(ISERROR((BU749/BM749-1)*100),"NA",IF(((BU749/BM749-1)*100)&gt;100,"NM",IF(((BU749/BM749-1)*100)&lt;-50,"NM",(BU749/BM749-1)*100)))</f>
        <v>9.8731395879109396</v>
      </c>
      <c r="BW749" s="118">
        <f>+BW715+BW718+BW733+BW730</f>
        <v>54911</v>
      </c>
      <c r="BX749" s="98">
        <f t="shared" ref="BX749:BX756" si="4650">IF(ISERROR((BW749/BO749-1)*100),"NA",IF(((BW749/BO749-1)*100)&gt;100,"NM",IF(((BW749/BO749-1)*100)&lt;-50,"NM",(BW749/BO749-1)*100)))</f>
        <v>8.7992867049732517</v>
      </c>
      <c r="BY749" s="118">
        <f>+BY715+BY718+BY733+BY730</f>
        <v>55523</v>
      </c>
      <c r="BZ749" s="98">
        <f t="shared" ref="BZ749:BZ756" si="4651">IF(ISERROR((BY749/BQ749-1)*100),"NA",IF(((BY749/BQ749-1)*100)&gt;100,"NM",IF(((BY749/BQ749-1)*100)&lt;-50,"NM",(BY749/BQ749-1)*100)))</f>
        <v>12.456200757499047</v>
      </c>
      <c r="CA749" s="118">
        <f>+CA715+CA718+CA733+CA730</f>
        <v>55160</v>
      </c>
      <c r="CB749" s="98">
        <f t="shared" ref="CB749:CB756" si="4652">IF(ISERROR((CA749/BS749-1)*100),"NA",IF(((CA749/BS749-1)*100)&gt;100,"NM",IF(((CA749/BS749-1)*100)&lt;-50,"NM",(CA749/BS749-1)*100)))</f>
        <v>7.1588149587178185</v>
      </c>
      <c r="CC749" s="118">
        <f>+CC715+CC718+CC733+CC730</f>
        <v>54855</v>
      </c>
      <c r="CD749" s="98">
        <f t="shared" ref="CD749:CD756" si="4653">IF(ISERROR((CC749/BU749-1)*100),"NA",IF(((CC749/BU749-1)*100)&gt;100,"NM",IF(((CC749/BU749-1)*100)&lt;-50,"NM",(CC749/BU749-1)*100)))</f>
        <v>3.4902367701160175</v>
      </c>
      <c r="CE749" s="118">
        <f>+CE715+CE718+CE733+CE730</f>
        <v>62465</v>
      </c>
      <c r="CF749" s="98">
        <f t="shared" ref="CF749:CF756" si="4654">IF(ISERROR((CE749/BW749-1)*100),"NA",IF(((CE749/BW749-1)*100)&gt;100,"NM",IF(((CE749/BW749-1)*100)&lt;-50,"NM",(CE749/BW749-1)*100)))</f>
        <v>13.756806468649273</v>
      </c>
      <c r="CG749" s="118">
        <f>+CG715+CG718+CG733+CG730</f>
        <v>64656</v>
      </c>
      <c r="CH749" s="98">
        <f t="shared" ref="CH749:CH756" si="4655">IF(ISERROR((CG749/BY749-1)*100),"NA",IF(((CG749/BY749-1)*100)&gt;100,"NM",IF(((CG749/BY749-1)*100)&lt;-50,"NM",(CG749/BY749-1)*100)))</f>
        <v>16.449039136934253</v>
      </c>
      <c r="CI749" s="118">
        <f>+CI715+CI718+CI733+CI730</f>
        <v>72353</v>
      </c>
      <c r="CJ749" s="98">
        <f t="shared" ref="CJ749:CJ756" si="4656">IF(ISERROR((CI749/CA749-1)*100),"NA",IF(((CI749/CA749-1)*100)&gt;100,"NM",IF(((CI749/CA749-1)*100)&lt;-50,"NM",(CI749/CA749-1)*100)))</f>
        <v>31.169325598259601</v>
      </c>
      <c r="CK749" s="118">
        <f>+CK715+CK718+CK733+CK730</f>
        <v>80667</v>
      </c>
      <c r="CL749" s="98">
        <f t="shared" ref="CL749:CL756" si="4657">IF(ISERROR((CK749/CC749-1)*100),"NA",IF(((CK749/CC749-1)*100)&gt;100,"NM",IF(((CK749/CC749-1)*100)&lt;-50,"NM",(CK749/CC749-1)*100)))</f>
        <v>47.054963084495483</v>
      </c>
      <c r="CM749" s="118">
        <f>+CM715+CM718+CM733+CM730</f>
        <v>79715</v>
      </c>
      <c r="CN749" s="98">
        <f t="shared" ref="CN749:CN756" si="4658">IF(ISERROR((CM749/CE749-1)*100),"NA",IF(((CM749/CE749-1)*100)&gt;100,"NM",IF(((CM749/CE749-1)*100)&lt;-50,"NM",(CM749/CE749-1)*100)))</f>
        <v>27.615464660209721</v>
      </c>
      <c r="CO749" s="118">
        <f>+CO715+CO718+CO733+CO730</f>
        <v>81495</v>
      </c>
      <c r="CP749" s="98">
        <f t="shared" ref="CP749:CT756" si="4659">IF(ISERROR((CO749/CG749-1)*100),"NA",IF(((CO749/CG749-1)*100)&gt;100,"NM",IF(((CO749/CG749-1)*100)&lt;-50,"NM",(CO749/CG749-1)*100)))</f>
        <v>26.043986636971049</v>
      </c>
      <c r="CQ749" s="510">
        <f>+CQ715+CQ718+CQ733+CQ730</f>
        <v>81435</v>
      </c>
      <c r="CR749" s="98">
        <f t="shared" si="4659"/>
        <v>12.552347518416651</v>
      </c>
      <c r="CS749" s="118">
        <f>+CS715+CS718+CS733+CS730</f>
        <v>79934</v>
      </c>
      <c r="CT749" s="98">
        <f t="shared" si="4659"/>
        <v>-0.90867393109945738</v>
      </c>
      <c r="CU749" s="118">
        <f>+CU715+CU718+CU733+CU730</f>
        <v>79595</v>
      </c>
      <c r="CV749" s="98">
        <f t="shared" ref="CV749:CV756" si="4660">IF(ISERROR((CU749/CM749-1)*100),"NA",IF(((CU749/CM749-1)*100)&gt;100,"NM",IF(((CU749/CM749-1)*100)&lt;-50,"NM",(CU749/CM749-1)*100)))</f>
        <v>-0.15053628551715548</v>
      </c>
      <c r="CW749" s="118">
        <f>+CW715+CW718+CW733+CW730</f>
        <v>76904</v>
      </c>
      <c r="CX749" s="98">
        <f t="shared" ref="CX749:CX756" si="4661">IF(ISERROR((CW749/CO749-1)*100),"NA",IF(((CW749/CO749-1)*100)&gt;100,"NM",IF(((CW749/CO749-1)*100)&lt;-50,"NM",(CW749/CO749-1)*100)))</f>
        <v>-5.6334744462850477</v>
      </c>
      <c r="CY749" s="118">
        <f>+CY715+CY718+CY733+CY730</f>
        <v>72504</v>
      </c>
      <c r="CZ749" s="98">
        <f t="shared" ref="CZ749:CZ756" si="4662">IF(ISERROR((CY749/CQ749-1)*100),"NA",IF(((CY749/CQ749-1)*100)&gt;100,"NM",IF(((CY749/CQ749-1)*100)&lt;-50,"NM",(CY749/CQ749-1)*100)))</f>
        <v>-10.967028918769572</v>
      </c>
      <c r="DA749" s="118">
        <f>+DA715+DA718+DA733+DA730</f>
        <v>72277</v>
      </c>
      <c r="DB749" s="98">
        <f t="shared" ref="DB749:DB756" si="4663">IF(ISERROR((DA749/CS749-1)*100),"NA",IF(((DA749/CS749-1)*100)&gt;100,"NM",IF(((DA749/CS749-1)*100)&lt;-50,"NM",(DA749/CS749-1)*100)))</f>
        <v>-9.5791528010608751</v>
      </c>
      <c r="DC749" s="118">
        <f>+DC715+DC718+DC733+DC730</f>
        <v>72750</v>
      </c>
      <c r="DD749" s="98">
        <f t="shared" ref="DD749:DD756" si="4664">IF(ISERROR((DC749/CU749-1)*100),"NA",IF(((DC749/CU749-1)*100)&gt;100,"NM",IF(((DC749/CU749-1)*100)&lt;-50,"NM",(DC749/CU749-1)*100)))</f>
        <v>-8.5997864187448929</v>
      </c>
      <c r="DE749" s="118">
        <f>+DE715+DE718+DE733+DE730</f>
        <v>72537</v>
      </c>
      <c r="DF749" s="98">
        <f t="shared" ref="DF749:DF756" si="4665">IF(ISERROR((DE749/CW749-1)*100),"NA",IF(((DE749/CW749-1)*100)&gt;100,"NM",IF(((DE749/CW749-1)*100)&lt;-50,"NM",(DE749/CW749-1)*100)))</f>
        <v>-5.6785082700509744</v>
      </c>
      <c r="DG749" s="118">
        <f>+DG715+DG718+DG733+DG730</f>
        <v>74238</v>
      </c>
      <c r="DH749" s="98">
        <f t="shared" ref="DH749:DH756" si="4666">IF(ISERROR((DG749/CY749-1)*100),"NA",IF(((DG749/CY749-1)*100)&gt;100,"NM",IF(((DG749/CY749-1)*100)&lt;-50,"NM",(DG749/CY749-1)*100)))</f>
        <v>2.3915921880172109</v>
      </c>
      <c r="DI749" s="118">
        <f>+DI715+DI718+DI733+DI730</f>
        <v>73602</v>
      </c>
      <c r="DJ749" s="98">
        <f t="shared" ref="DJ749:DJ756" si="4667">IF(ISERROR((DI749/DA749-1)*100),"NA",IF(((DI749/DA749-1)*100)&gt;100,"NM",IF(((DI749/DA749-1)*100)&lt;-50,"NM",(DI749/DA749-1)*100)))</f>
        <v>1.8332249539964263</v>
      </c>
      <c r="DK749" s="118">
        <f>+DK715+DK718+DK733+DK730</f>
        <v>72652</v>
      </c>
      <c r="DL749" s="98">
        <f t="shared" ref="DL749:DL756" si="4668">IF(ISERROR((DK749/DC749-1)*100),"NA",IF(((DK749/DC749-1)*100)&gt;100,"NM",IF(((DK749/DC749-1)*100)&lt;-50,"NM",(DK749/DC749-1)*100)))</f>
        <v>-0.13470790378007358</v>
      </c>
      <c r="DM749" s="118">
        <f>+DM715+DM718+DM733+DM730</f>
        <v>73736</v>
      </c>
      <c r="DN749" s="98">
        <f t="shared" ref="DN749:DZ756" si="4669">IF(ISERROR((DM749/DE749-1)*100),"NA",IF(((DM749/DE749-1)*100)&gt;100,"NM",IF(((DM749/DE749-1)*100)&lt;-50,"NM",(DM749/DE749-1)*100)))</f>
        <v>1.6529495292057828</v>
      </c>
      <c r="DO749" s="118">
        <f>+DO715+DO718+DO733+DO730</f>
        <v>74201</v>
      </c>
      <c r="DP749" s="98">
        <f t="shared" si="4669"/>
        <v>-4.983970473342314E-2</v>
      </c>
      <c r="DQ749" s="118">
        <f>+DQ715+DQ718+DQ733+DQ730</f>
        <v>74546</v>
      </c>
      <c r="DR749" s="98">
        <f t="shared" si="4669"/>
        <v>1.2825738431020861</v>
      </c>
      <c r="DS749" s="118">
        <f>+DS715+DS718+DS733+DS730</f>
        <v>76128</v>
      </c>
      <c r="DT749" s="98">
        <f t="shared" si="4669"/>
        <v>4.7844519077244962</v>
      </c>
      <c r="DU749" s="118">
        <f>+DU715+DU718+DU733+DU730</f>
        <v>75649</v>
      </c>
      <c r="DV749" s="98">
        <f t="shared" si="4669"/>
        <v>2.594390799609414</v>
      </c>
      <c r="DW749" s="118">
        <f>+DW715+DW718+DW733+DW730</f>
        <v>75952</v>
      </c>
      <c r="DX749" s="98">
        <f t="shared" si="4669"/>
        <v>2.3598064716108924</v>
      </c>
      <c r="DY749" s="118">
        <f>+DY715+DY718+DY733+DY730</f>
        <v>76410</v>
      </c>
      <c r="DZ749" s="98">
        <f t="shared" si="4669"/>
        <v>2.500469508759684</v>
      </c>
      <c r="EA749" s="118">
        <f>+EA715+EA718+EA733+EA730</f>
        <v>78620</v>
      </c>
      <c r="EB749" s="98">
        <f t="shared" ref="EB749:EB756" si="4670">IF(ISERROR((EA749/DS749-1)*100),"NA",IF(((EA749/DS749-1)*100)&gt;100,"NM",IF(((EA749/DS749-1)*100)&lt;-50,"NM",(EA749/DS749-1)*100)))</f>
        <v>3.2734342160571694</v>
      </c>
      <c r="EC749" s="118">
        <f>+EC715+EC718+EC733+EC730</f>
        <v>77199</v>
      </c>
      <c r="ED749" s="98">
        <f t="shared" ref="ED749:ED756" si="4671">IF(ISERROR((EC749/DU749-1)*100),"NA",IF(((EC749/DU749-1)*100)&gt;100,"NM",IF(((EC749/DU749-1)*100)&lt;-50,"NM",(EC749/DU749-1)*100)))</f>
        <v>2.048936535843171</v>
      </c>
      <c r="EE749" s="118">
        <f>+EE715+EE718+EE733+EE730</f>
        <v>77397</v>
      </c>
      <c r="EF749" s="860">
        <f t="shared" ref="EF749:EF756" si="4672">IF(ISERROR((EE749/DW749-1)*100),"NA",IF(((EE749/DW749-1)*100)&gt;100,"NM",IF(((EE749/DW749-1)*100)&lt;-50,"NM",(EE749/DW749-1)*100)))</f>
        <v>1.9025173793975059</v>
      </c>
      <c r="EG749" s="118">
        <f>+EG715+EG718+EG733+EG730</f>
        <v>73472</v>
      </c>
      <c r="EH749" s="860">
        <f t="shared" ref="EH749:EH756" si="4673">IF(ISERROR((EG749/DY749-1)*100),"NA",IF(((EG749/DY749-1)*100)&gt;100,"NM",IF(((EG749/DY749-1)*100)&lt;-50,"NM",(EG749/DY749-1)*100)))</f>
        <v>-3.8450464598874468</v>
      </c>
      <c r="EI749" s="118">
        <f>+EI715+EI718+EI733+EI730</f>
        <v>73102</v>
      </c>
      <c r="EJ749" s="860">
        <f t="shared" ref="EJ749:EJ756" si="4674">IF(ISERROR((EI749/EA749-1)*100),"NA",IF(((EI749/EA749-1)*100)&gt;100,"NM",IF(((EI749/EA749-1)*100)&lt;-50,"NM",(EI749/EA749-1)*100)))</f>
        <v>-7.0185703383363052</v>
      </c>
      <c r="EK749" s="792">
        <f>+EK715+EK718+EK733+EK730</f>
        <v>72784</v>
      </c>
      <c r="EL749" s="860">
        <f t="shared" ref="EL749:EL756" si="4675">IF(ISERROR((EK749/EC749-1)*100),"NA",IF(((EK749/EC749-1)*100)&gt;100,"NM",IF(((EK749/EC749-1)*100)&lt;-50,"NM",(EK749/EC749-1)*100)))</f>
        <v>-5.7189859972279429</v>
      </c>
      <c r="EM749" s="792">
        <f>+EM715+EM718+EM733+EM730</f>
        <v>61836</v>
      </c>
      <c r="EN749" s="860">
        <f t="shared" ref="EN749:EN756" si="4676">IF(ISERROR((EM749/EE749-1)*100),"NA",IF(((EM749/EE749-1)*100)&gt;100,"NM",IF(((EM749/EE749-1)*100)&lt;-50,"NM",(EM749/EE749-1)*100)))</f>
        <v>-20.105430443040429</v>
      </c>
      <c r="EO749" s="792">
        <f>+EO715+EO718+EO733+EO730</f>
        <v>62704</v>
      </c>
      <c r="EP749" s="98">
        <f t="shared" ref="EP749:EP756" si="4677">IF(ISERROR((EO749/EG749-1)*100),"NA",IF(((EO749/EG749-1)*100)&gt;100,"NM",IF(((EO749/EG749-1)*100)&lt;-50,"NM",(EO749/EG749-1)*100)))</f>
        <v>-14.65592334494773</v>
      </c>
      <c r="EQ749" s="792">
        <f t="shared" ref="EQ749" si="4678">+EQ715+EQ718+EQ733+EQ730</f>
        <v>61746.669045244227</v>
      </c>
      <c r="ER749" s="98">
        <f t="shared" ref="ER749:ER756" si="4679">IF(ISERROR((EQ749/EI749-1)*100),"NA",IF(((EQ749/EI749-1)*100)&gt;100,"NM",IF(((EQ749/EI749-1)*100)&lt;-50,"NM",(EQ749/EI749-1)*100)))</f>
        <v>-15.533543480008449</v>
      </c>
      <c r="ES749" s="792">
        <f t="shared" ref="ES749" si="4680">+ES715+ES718+ES733+ES730</f>
        <v>61695.799194345935</v>
      </c>
      <c r="ET749" s="98">
        <f t="shared" ref="ET749:ET756" si="4681">IF(ISERROR((ES749/EK749-1)*100),"NA",IF(((ES749/EK749-1)*100)&gt;100,"NM",IF(((ES749/EK749-1)*100)&lt;-50,"NM",(ES749/EK749-1)*100)))</f>
        <v>-15.234393281015146</v>
      </c>
      <c r="EU749" s="792">
        <f t="shared" ref="EU749" si="4682">+EU715+EU718+EU733+EU730</f>
        <v>61764.954708075871</v>
      </c>
      <c r="EV749" s="98">
        <f t="shared" ref="EV749:EV756" si="4683">IF(ISERROR((EU749/EM749-1)*100),"NA",IF(((EU749/EM749-1)*100)&gt;100,"NM",IF(((EU749/EM749-1)*100)&lt;-50,"NM",(EU749/EM749-1)*100)))</f>
        <v>-0.11489309128036584</v>
      </c>
      <c r="EW749" s="792">
        <f t="shared" ref="EW749" si="4684">+EW715+EW718+EW733+EW730</f>
        <v>61823.100587679044</v>
      </c>
      <c r="EX749" s="98">
        <f t="shared" ref="EX749:EX756" si="4685">IF(ISERROR((EW749/EO749-1)*100),"NA",IF(((EW749/EO749-1)*100)&gt;100,"NM",IF(((EW749/EO749-1)*100)&lt;-50,"NM",(EW749/EO749-1)*100)))</f>
        <v>-1.4048536175059856</v>
      </c>
      <c r="EY749" s="118"/>
      <c r="EZ749" s="594"/>
      <c r="FA749" s="405"/>
      <c r="FB749" s="349">
        <f>+FB715+FB718+FB733</f>
        <v>16388</v>
      </c>
      <c r="FC749" s="113"/>
      <c r="FD749" s="349">
        <f>+FD715+FD718+FD733</f>
        <v>16614</v>
      </c>
      <c r="FE749" s="98">
        <f t="shared" ref="FE749:FE756" si="4686">IF(ISERROR((FD749/FB749-1)*100),"NA",IF(((FD749/FB749-1)*100)&gt;100,"NM",IF(((FD749/FB749-1)*100)&lt;-50,"NM",(FD749/FB749-1)*100)))</f>
        <v>1.3790578472052673</v>
      </c>
      <c r="FF749" s="349">
        <f>+FF715+FF718+FF733</f>
        <v>18858</v>
      </c>
      <c r="FG749" s="98">
        <f t="shared" ref="FG749:FG756" si="4687">IF(ISERROR((FF749/FD749-1)*100),"NA",IF(((FF749/FD749-1)*100)&gt;100,"NM",IF(((FF749/FD749-1)*100)&lt;-50,"NM",(FF749/FD749-1)*100)))</f>
        <v>13.506681112314922</v>
      </c>
      <c r="FH749" s="349">
        <f>+FH715+FH718+FH733</f>
        <v>19273</v>
      </c>
      <c r="FI749" s="98">
        <f t="shared" ref="FI749:FI756" si="4688">IF(ISERROR((FH749/FF749-1)*100),"NA",IF(((FH749/FF749-1)*100)&gt;100,"NM",IF(((FH749/FF749-1)*100)&lt;-50,"NM",(FH749/FF749-1)*100)))</f>
        <v>2.2006575458691335</v>
      </c>
      <c r="FJ749" s="349">
        <f>+FJ715+FJ718+FJ733</f>
        <v>21061</v>
      </c>
      <c r="FK749" s="98">
        <f t="shared" ref="FK749:FK756" si="4689">IF(ISERROR((FJ749/FH749-1)*100),"NA",IF(((FJ749/FH749-1)*100)&gt;100,"NM",IF(((FJ749/FH749-1)*100)&lt;-50,"NM",(FJ749/FH749-1)*100)))</f>
        <v>9.2772272090489327</v>
      </c>
      <c r="FL749" s="349">
        <f>+FL715+FL718+FL733</f>
        <v>24337</v>
      </c>
      <c r="FM749" s="98">
        <f t="shared" ref="FM749:FM756" si="4690">IF(ISERROR((FL749/FJ749-1)*100),"NA",IF(((FL749/FJ749-1)*100)&gt;100,"NM",IF(((FL749/FJ749-1)*100)&lt;-50,"NM",(FL749/FJ749-1)*100)))</f>
        <v>15.55481696025829</v>
      </c>
      <c r="FN749" s="349">
        <f>+FN715+FN718+FN733</f>
        <v>27558</v>
      </c>
      <c r="FO749" s="98">
        <f t="shared" ref="FO749:FO756" si="4691">IF(ISERROR((FN749/FL749-1)*100),"NA",IF(((FN749/FL749-1)*100)&gt;100,"NM",IF(((FN749/FL749-1)*100)&lt;-50,"NM",(FN749/FL749-1)*100)))</f>
        <v>13.234991987508726</v>
      </c>
      <c r="FP749" s="349">
        <f>+FP715+FP718+FP733+FP730</f>
        <v>39397</v>
      </c>
      <c r="FQ749" s="98">
        <f t="shared" ref="FQ749:FQ756" si="4692">IF(ISERROR((FP749/FN749-1)*100),"NA",IF(((FP749/FN749-1)*100)&gt;100,"NM",IF(((FP749/FN749-1)*100)&lt;-50,"NM",(FP749/FN749-1)*100)))</f>
        <v>42.960301908701638</v>
      </c>
      <c r="FR749" s="349">
        <f>+FR715+FR718+FR733+FR730</f>
        <v>44979</v>
      </c>
      <c r="FS749" s="98">
        <f t="shared" ref="FS749:FS756" si="4693">IF(ISERROR((FR749/FP749-1)*100),"NA",IF(((FR749/FP749-1)*100)&gt;100,"NM",IF(((FR749/FP749-1)*100)&lt;-50,"NM",(FR749/FP749-1)*100)))</f>
        <v>14.1685915171206</v>
      </c>
      <c r="FT749" s="349">
        <f>+FT715+FT718+FT733+FT730</f>
        <v>48242</v>
      </c>
      <c r="FU749" s="98">
        <f t="shared" ref="FU749:FU756" si="4694">IF(ISERROR((FT749/FR749-1)*100),"NA",IF(((FT749/FR749-1)*100)&gt;100,"NM",IF(((FT749/FR749-1)*100)&lt;-50,"NM",(FT749/FR749-1)*100)))</f>
        <v>7.2544965428311015</v>
      </c>
      <c r="FV749" s="349">
        <f>+FV715+FV718+FV733+FV730</f>
        <v>53005</v>
      </c>
      <c r="FW749" s="98">
        <f t="shared" ref="FW749:FW756" si="4695">IF(ISERROR((FV749/FT749-1)*100),"NA",IF(((FV749/FT749-1)*100)&gt;100,"NM",IF(((FV749/FT749-1)*100)&lt;-50,"NM",(FV749/FT749-1)*100)))</f>
        <v>9.8731395879109396</v>
      </c>
      <c r="FX749" s="510">
        <f>+FX715+FX718+FX733+FX730</f>
        <v>54855</v>
      </c>
      <c r="FY749" s="98">
        <f t="shared" ref="FY749:FY756" si="4696">IF(ISERROR((FX749/FV749-1)*100),"NA",IF(((FX749/FV749-1)*100)&gt;100,"NM",IF(((FX749/FV749-1)*100)&lt;-50,"NM",(FX749/FV749-1)*100)))</f>
        <v>3.4902367701160175</v>
      </c>
      <c r="FZ749" s="349">
        <f>+FZ715+FZ718+FZ733+FZ730</f>
        <v>80667</v>
      </c>
      <c r="GA749" s="98">
        <f t="shared" ref="GA749:GA756" si="4697">IF(ISERROR((FZ749/FX749-1)*100),"NA",IF(((FZ749/FX749-1)*100)&gt;100,"NM",IF(((FZ749/FX749-1)*100)&lt;-50,"NM",(FZ749/FX749-1)*100)))</f>
        <v>47.054963084495483</v>
      </c>
      <c r="GB749" s="510">
        <f>+GB715+GB718+GB733+GB730</f>
        <v>79934</v>
      </c>
      <c r="GC749" s="98">
        <f t="shared" ref="GC749:GC756" si="4698">IF(ISERROR((GB749/FZ749-1)*100),"NA",IF(((GB749/FZ749-1)*100)&gt;100,"NM",IF(((GB749/FZ749-1)*100)&lt;-50,"NM",(GB749/FZ749-1)*100)))</f>
        <v>-0.90867393109945738</v>
      </c>
      <c r="GD749" s="349">
        <f>+GD715+GD718+GD733+GD730</f>
        <v>72277</v>
      </c>
      <c r="GE749" s="98">
        <f t="shared" ref="GE749:GW756" si="4699">IF(ISERROR((GD749/GB749-1)*100),"NA",IF(((GD749/GB749-1)*100)&gt;100,"NM",IF(((GD749/GB749-1)*100)&lt;-50,"NM",(GD749/GB749-1)*100)))</f>
        <v>-9.5791528010608751</v>
      </c>
      <c r="GF749" s="349">
        <f>+GF715+GF718+GF733+GF730</f>
        <v>73602</v>
      </c>
      <c r="GG749" s="98">
        <f t="shared" si="4699"/>
        <v>1.8332249539964263</v>
      </c>
      <c r="GH749" s="349">
        <f>+GH715+GH718+GH733+GH730</f>
        <v>74546</v>
      </c>
      <c r="GI749" s="98">
        <f t="shared" si="4699"/>
        <v>1.2825738431020861</v>
      </c>
      <c r="GJ749" s="349">
        <f>+GJ715+GJ718+GJ733+GJ730</f>
        <v>76410</v>
      </c>
      <c r="GK749" s="98">
        <f t="shared" si="4699"/>
        <v>2.500469508759684</v>
      </c>
      <c r="GL749" s="349">
        <f>+GL715+GL718+GL733+GL730</f>
        <v>73472</v>
      </c>
      <c r="GM749" s="98">
        <f t="shared" si="4699"/>
        <v>-3.8450464598874468</v>
      </c>
      <c r="GN749" s="349">
        <f>+GN715+GN718+GN733+GN730</f>
        <v>62704</v>
      </c>
      <c r="GO749" s="98">
        <f t="shared" si="4699"/>
        <v>-14.65592334494773</v>
      </c>
      <c r="GP749" s="349">
        <f>+GP715+GP718+GP733+GP730</f>
        <v>61823.100587679044</v>
      </c>
      <c r="GQ749" s="98">
        <f t="shared" si="4699"/>
        <v>-1.4048536175059856</v>
      </c>
      <c r="GR749" s="118">
        <f>+GR715+GR718+GR733+GR730</f>
        <v>62425.653981400239</v>
      </c>
      <c r="GS749" s="98">
        <f t="shared" si="4699"/>
        <v>0.97464117456651511</v>
      </c>
      <c r="GT749" s="118">
        <f>+GT715+GT718+GT733+GT730</f>
        <v>63171.551233292557</v>
      </c>
      <c r="GU749" s="98">
        <f t="shared" si="4699"/>
        <v>1.1948569287148603</v>
      </c>
      <c r="GV749" s="118">
        <f>+GV715+GV718+GV733+GV730</f>
        <v>64017.273636416518</v>
      </c>
      <c r="GW749" s="98">
        <f t="shared" si="4699"/>
        <v>1.3387709920256841</v>
      </c>
      <c r="GX749" s="118">
        <f>+GX715+GX718+GX733+GX730</f>
        <v>64914.750762615433</v>
      </c>
      <c r="GY749" s="98">
        <f t="shared" ref="GY749:GY756" si="4700">IF(ISERROR((GX749/GV749-1)*100),"NA",IF(((GX749/GV749-1)*100)&gt;100,"NM",IF(((GX749/GV749-1)*100)&lt;-50,"NM",(GX749/GV749-1)*100)))</f>
        <v>1.4019296280814775</v>
      </c>
      <c r="GZ749" s="98">
        <f t="shared" ref="GZ749:GZ756" si="4701">IF(ISERROR(((GX749/GN749)^0.2-1)*100),"NA",IF((((GX749/GN749)^0.2-1)*100)&gt;100,"NM",IF((((GX749/GN749)^0.2-1)*100)&lt;-50,"NM",((GX749/GN749)^0.2-1)*100)))</f>
        <v>0.69539956966535588</v>
      </c>
      <c r="HA749" s="98"/>
      <c r="HB749" s="10"/>
      <c r="HC749"/>
      <c r="HD749"/>
      <c r="HE749"/>
      <c r="HF749"/>
      <c r="HG749"/>
      <c r="HH749"/>
      <c r="HI749" s="10"/>
    </row>
    <row r="750" spans="1:217" s="2" customFormat="1" ht="12.75" customHeight="1" x14ac:dyDescent="0.2">
      <c r="A750" s="10" t="s">
        <v>378</v>
      </c>
      <c r="B750" s="18" t="s">
        <v>575</v>
      </c>
      <c r="C750" s="289">
        <f>C715/(C733+C715+C718)*100</f>
        <v>16.194120716646374</v>
      </c>
      <c r="D750" s="98"/>
      <c r="E750" s="289">
        <f>E715/(E733+E715+E718)*100</f>
        <v>14.927811149752346</v>
      </c>
      <c r="F750" s="98"/>
      <c r="G750" s="289">
        <f>G715/(G733+G715+G718)*100</f>
        <v>15.151673914182428</v>
      </c>
      <c r="H750" s="98"/>
      <c r="I750" s="289">
        <f>I715/(I733+I715+I718)*100</f>
        <v>12.864566762116874</v>
      </c>
      <c r="J750" s="98"/>
      <c r="K750" s="289">
        <f>K715/(K733+K715+K718)*100</f>
        <v>12.719089224252054</v>
      </c>
      <c r="L750" s="98">
        <f t="shared" si="4618"/>
        <v>-21.458599408995649</v>
      </c>
      <c r="M750" s="289">
        <f>M715/(M733+M715+M718)*100</f>
        <v>12.143274698411011</v>
      </c>
      <c r="N750" s="98">
        <f t="shared" si="4619"/>
        <v>-18.653347255049724</v>
      </c>
      <c r="O750" s="289">
        <f>O715/(O733+O715+O718)*100</f>
        <v>12.458094517140694</v>
      </c>
      <c r="P750" s="98">
        <f t="shared" si="4620"/>
        <v>-17.777437742508852</v>
      </c>
      <c r="Q750" s="289">
        <f>Q715/(Q733+Q715+Q718)*100</f>
        <v>18.824261920821876</v>
      </c>
      <c r="R750" s="98">
        <f t="shared" si="4621"/>
        <v>46.326434997056424</v>
      </c>
      <c r="S750" s="289">
        <f>S715/(S733+S715+S718)*100</f>
        <v>17.913406364110589</v>
      </c>
      <c r="T750" s="98">
        <f t="shared" si="4622"/>
        <v>40.838750702010174</v>
      </c>
      <c r="U750" s="289">
        <f>U715/(U733+U715+U718)*100</f>
        <v>17.73785555727634</v>
      </c>
      <c r="V750" s="98">
        <f t="shared" si="4623"/>
        <v>46.071434582612227</v>
      </c>
      <c r="W750" s="289">
        <f>W715/(W733+W715+W718)*100</f>
        <v>17.441742139004781</v>
      </c>
      <c r="X750" s="98">
        <f t="shared" si="4624"/>
        <v>40.003289548070484</v>
      </c>
      <c r="Y750" s="289">
        <f>Y715/(Y733+Y715+Y718)*100</f>
        <v>21.00341750522119</v>
      </c>
      <c r="Z750" s="98">
        <f t="shared" si="4625"/>
        <v>11.576313555162066</v>
      </c>
      <c r="AA750" s="289">
        <f>AA715/(AA733+AA715+AA718)*100</f>
        <v>25.510821503374448</v>
      </c>
      <c r="AB750" s="98">
        <f t="shared" si="4626"/>
        <v>42.411895229961601</v>
      </c>
      <c r="AC750" s="289">
        <f>AC715/(AC733+AC715+AC718)*100</f>
        <v>24.019692520297113</v>
      </c>
      <c r="AD750" s="98">
        <f t="shared" si="4627"/>
        <v>35.414861411721589</v>
      </c>
      <c r="AE750" s="289">
        <f>AE715/(AE733+AE715+AE718)*100</f>
        <v>23.885910537778525</v>
      </c>
      <c r="AF750" s="98">
        <f t="shared" si="4628"/>
        <v>36.94681613462636</v>
      </c>
      <c r="AG750" s="289">
        <f>AG715/(AG733+AG715+AG718)*100</f>
        <v>23.433455232773142</v>
      </c>
      <c r="AH750" s="98">
        <f t="shared" si="4629"/>
        <v>11.56972538848915</v>
      </c>
      <c r="AI750" s="125">
        <f>AI715/(AI733+AI715+AI718)*100</f>
        <v>22.930729668916747</v>
      </c>
      <c r="AJ750" s="98">
        <f t="shared" si="4630"/>
        <v>-10.113715209509888</v>
      </c>
      <c r="AK750" s="125">
        <f>AK715/(AK733+AK715+AK718)*100</f>
        <v>23.777879621142684</v>
      </c>
      <c r="AL750" s="98">
        <f t="shared" si="4631"/>
        <v>-1.0067277045702872</v>
      </c>
      <c r="AM750" s="125">
        <f>AM715/(AM733+AM715+AM718)*100</f>
        <v>24.656575700659229</v>
      </c>
      <c r="AN750" s="98">
        <f t="shared" si="4632"/>
        <v>3.2264424739504971</v>
      </c>
      <c r="AO750" s="125">
        <f>AO715/(AO733+AO715+AO718)*100</f>
        <v>26.896001161187318</v>
      </c>
      <c r="AP750" s="98">
        <f t="shared" si="4633"/>
        <v>14.776079302089396</v>
      </c>
      <c r="AQ750" s="125">
        <f>AQ715/(AQ733+AQ715+AQ718)*100</f>
        <v>25.946664800167984</v>
      </c>
      <c r="AR750" s="98">
        <f t="shared" si="4634"/>
        <v>13.152373146413311</v>
      </c>
      <c r="AS750" s="125">
        <f>(AS715+AS716)/(AS733+AS715+AS716+AS718+AS730)*100</f>
        <v>31.075610617545575</v>
      </c>
      <c r="AT750" s="98">
        <f t="shared" si="4635"/>
        <v>30.691260586221205</v>
      </c>
      <c r="AU750" s="125">
        <f>(AU715+AU716)/(AU733+AU715+AU716+AU718+AU730)*100</f>
        <v>29.973960347539126</v>
      </c>
      <c r="AV750" s="98">
        <f t="shared" si="4636"/>
        <v>21.565787201901387</v>
      </c>
      <c r="AW750" s="125">
        <f>(AW715+AW716)/(AW733+AW715+AW716+AW718+AW730)*100</f>
        <v>30.443921091949655</v>
      </c>
      <c r="AX750" s="98">
        <f t="shared" si="4637"/>
        <v>13.191254378298488</v>
      </c>
      <c r="AY750" s="125">
        <f>(AY715+AY716)/(AY733+AY715+AY716+AY718+AY730)*100</f>
        <v>29.924853054239726</v>
      </c>
      <c r="AZ750" s="98">
        <f t="shared" si="4638"/>
        <v>15.332175771762335</v>
      </c>
      <c r="BA750" s="125">
        <f>(BA715+BA716)/(BA733+BA715+BA716+BA718+BA730)*100</f>
        <v>30.776404198847469</v>
      </c>
      <c r="BB750" s="98">
        <f t="shared" si="4639"/>
        <v>-0.96283359442395078</v>
      </c>
      <c r="BC750" s="125">
        <f>(BC715+BC716)/(BC733+BC715+BC716+BC718+BC730)*100</f>
        <v>29.979461326611585</v>
      </c>
      <c r="BD750" s="98">
        <f t="shared" si="4640"/>
        <v>1.835252668875853E-2</v>
      </c>
      <c r="BE750" s="125">
        <f>(BE715+BE716)/(BE733+BE715+BE716+BE718+BE730)*100</f>
        <v>26.87537440926538</v>
      </c>
      <c r="BF750" s="98">
        <f t="shared" si="4641"/>
        <v>-11.721705203170796</v>
      </c>
      <c r="BG750" s="125">
        <f>(BG715+BG716)/(BG733+BG715+BG716+BG718+BG730)*100</f>
        <v>27.46108285443777</v>
      </c>
      <c r="BH750" s="98">
        <f t="shared" si="4642"/>
        <v>-8.2331906370143102</v>
      </c>
      <c r="BI750" s="125">
        <f>(BI715+BI716)/(BI733+BI715+BI716+BI718+BI730)*100</f>
        <v>30.008614324390841</v>
      </c>
      <c r="BJ750" s="98">
        <f t="shared" si="4643"/>
        <v>-2.4947354781796771</v>
      </c>
      <c r="BK750" s="125">
        <f>(BK715+BK716)/(BK733+BK715+BK716+BK718+BK730)*100</f>
        <v>27.691735075784209</v>
      </c>
      <c r="BL750" s="98">
        <f t="shared" si="4644"/>
        <v>-7.6309785085986626</v>
      </c>
      <c r="BM750" s="125">
        <f>(BM715+BM716)/(BM733+BM715+BM716+BM718+BM730)*100</f>
        <v>31.991424487851354</v>
      </c>
      <c r="BN750" s="98">
        <f t="shared" si="4645"/>
        <v>19.036200205725116</v>
      </c>
      <c r="BO750" s="125">
        <f>(BO715+BO716)/(BO733+BO715+BO716+BO718+BO730)*100</f>
        <v>35.012546574404993</v>
      </c>
      <c r="BP750" s="98">
        <f t="shared" si="4646"/>
        <v>27.498783496612521</v>
      </c>
      <c r="BQ750" s="125">
        <f>(BQ715+BQ716)/(BQ733+BQ715+BQ716+BQ718+BQ730)*100</f>
        <v>31.642301046459703</v>
      </c>
      <c r="BR750" s="98">
        <f t="shared" si="4647"/>
        <v>5.4440591771710345</v>
      </c>
      <c r="BS750" s="125">
        <f>(BS715+BS716)/(BS733+BS715+BS716+BS718+BS730)*100</f>
        <v>33.720084314200975</v>
      </c>
      <c r="BT750" s="98">
        <f t="shared" si="4648"/>
        <v>21.769489062057445</v>
      </c>
      <c r="BU750" s="125">
        <f>(BU715+BU716)/(BU733+BU715+BU716+BU718+BU730)*100</f>
        <v>30.818476940096843</v>
      </c>
      <c r="BV750" s="98">
        <f t="shared" si="4649"/>
        <v>-3.6664436377315202</v>
      </c>
      <c r="BW750" s="125">
        <f>(BW715+BW716)/(BW733+BW715+BW716+BW718+BW730)*100</f>
        <v>32.941564529009412</v>
      </c>
      <c r="BX750" s="98">
        <f t="shared" si="4650"/>
        <v>-5.9149711975235775</v>
      </c>
      <c r="BY750" s="125">
        <f>(BY715+BY716)/(BY733+BY715+BY716+BY718+BY730)*100</f>
        <v>35.950115092589414</v>
      </c>
      <c r="BZ750" s="98">
        <f t="shared" si="4651"/>
        <v>13.61409854423874</v>
      </c>
      <c r="CA750" s="125">
        <f>(CA715+CA716)/(CA733+CA715+CA716+CA718+CA730)*100</f>
        <v>37.171599458449727</v>
      </c>
      <c r="CB750" s="98">
        <f t="shared" si="4652"/>
        <v>10.235784442553042</v>
      </c>
      <c r="CC750" s="125">
        <f>(CC715+CC716)/(CC733+CC715+CC716+CC718+CC730)*100</f>
        <v>37.397925782999693</v>
      </c>
      <c r="CD750" s="98">
        <f t="shared" si="4653"/>
        <v>21.349039589761688</v>
      </c>
      <c r="CE750" s="125">
        <f>(CE715+CE716)/(CE733+CE715+CE716+CE718+CE730)*100</f>
        <v>43.400450834653341</v>
      </c>
      <c r="CF750" s="98">
        <f t="shared" si="4654"/>
        <v>31.749816546914445</v>
      </c>
      <c r="CG750" s="125">
        <f>(CG715+CG716)/(CG733+CG715+CG716+CG718+CG730)*100</f>
        <v>42.942208203752564</v>
      </c>
      <c r="CH750" s="98">
        <f t="shared" si="4655"/>
        <v>19.44943178389007</v>
      </c>
      <c r="CI750" s="125">
        <f>(CI715+CI716)/(CI733+CI715+CI716+CI718+CI730)*100</f>
        <v>43.683151540823886</v>
      </c>
      <c r="CJ750" s="98">
        <f t="shared" si="4656"/>
        <v>17.517546129949956</v>
      </c>
      <c r="CK750" s="125">
        <f>(CK715+CK716)/(CK733+CK715+CK716+CK718+CK730)*100</f>
        <v>43.017958930573116</v>
      </c>
      <c r="CL750" s="98">
        <f t="shared" si="4657"/>
        <v>15.027660037039192</v>
      </c>
      <c r="CM750" s="125">
        <f>(CM715+CM716)/(CM733+CM715+CM716+CM718+CM730)*100</f>
        <v>43.533640508527732</v>
      </c>
      <c r="CN750" s="98">
        <f t="shared" si="4658"/>
        <v>0.30688546158614827</v>
      </c>
      <c r="CO750" s="125">
        <f>(CO715+CO716)/(CO733+CO715+CO716+CO718+CO730)*100</f>
        <v>43.404536705751767</v>
      </c>
      <c r="CP750" s="98">
        <f t="shared" si="4659"/>
        <v>1.0766295477995458</v>
      </c>
      <c r="CQ750" s="526">
        <f>(CQ715+CQ716)/(CQ733+CQ715+CQ716+CQ718+CQ730)*100</f>
        <v>39.28060784383235</v>
      </c>
      <c r="CR750" s="98">
        <f t="shared" si="4659"/>
        <v>-10.078356395319055</v>
      </c>
      <c r="CS750" s="125">
        <f>(CS715+CS716)/(CS733+CS715+CS716+CS718+CS730)*100</f>
        <v>37.931573755503692</v>
      </c>
      <c r="CT750" s="98">
        <f t="shared" si="4659"/>
        <v>-11.823864501052606</v>
      </c>
      <c r="CU750" s="125">
        <f>(CU715+CU716)/(CU733+CU715+CU716+CU718+CU730)*100</f>
        <v>37.720898208655953</v>
      </c>
      <c r="CV750" s="98">
        <f t="shared" si="4660"/>
        <v>-13.352300041925346</v>
      </c>
      <c r="CW750" s="125">
        <f>(CW715+CW716)/(CW733+CW715+CW716+CW718+CW730)*100</f>
        <v>32.794396723931285</v>
      </c>
      <c r="CX750" s="98">
        <f t="shared" si="4661"/>
        <v>-24.444771876610016</v>
      </c>
      <c r="CY750" s="125">
        <f>(CY715+CY716)/(CY733+CY715+CY716+CY718+CY730)*100</f>
        <v>30.13765588670471</v>
      </c>
      <c r="CZ750" s="98">
        <f t="shared" si="4662"/>
        <v>-23.27599408206007</v>
      </c>
      <c r="DA750" s="125">
        <f>(DA715+DA716)/(DA733+DA715+DA716+DA718+DA730)*100</f>
        <v>29.487604181849502</v>
      </c>
      <c r="DB750" s="98">
        <f t="shared" si="4663"/>
        <v>-22.261057840841659</v>
      </c>
      <c r="DC750" s="125">
        <f>(DC715+DC716)/(DC733+DC715+DC716+DC718+DC730)*100</f>
        <v>28.85585241562751</v>
      </c>
      <c r="DD750" s="98">
        <f t="shared" si="4664"/>
        <v>-23.501682658750024</v>
      </c>
      <c r="DE750" s="125">
        <f>(DE715+DE716)/(DE733+DE715+DE716+DE718+DE730)*100</f>
        <v>28.74686385844447</v>
      </c>
      <c r="DF750" s="98">
        <f t="shared" si="4665"/>
        <v>-12.342147652721358</v>
      </c>
      <c r="DG750" s="125">
        <f>(DG715+DG716)/(DG733+DG715+DG716+DG718+DG730)*100</f>
        <v>27.695625782955148</v>
      </c>
      <c r="DH750" s="98">
        <f t="shared" si="4666"/>
        <v>-8.1029198585642845</v>
      </c>
      <c r="DI750" s="125">
        <f>(DI715+DI716)/(DI733+DI715+DI716+DI718+DI730)*100</f>
        <v>28.447164528940689</v>
      </c>
      <c r="DJ750" s="98">
        <f t="shared" si="4667"/>
        <v>-3.528396700160652</v>
      </c>
      <c r="DK750" s="125">
        <f>(DK715+DK716)/(DK733+DK715+DK716+DK718+DK730)*100</f>
        <v>26.351110818115892</v>
      </c>
      <c r="DL750" s="98">
        <f t="shared" si="4668"/>
        <v>-8.6801857780334437</v>
      </c>
      <c r="DM750" s="125">
        <f>(DM715+DM716)/(DM733+DM715+DM716+DM718+DM730)*100</f>
        <v>25.96680055635716</v>
      </c>
      <c r="DN750" s="98">
        <f t="shared" si="4669"/>
        <v>-9.6708403246243417</v>
      </c>
      <c r="DO750" s="125">
        <f>(DO715+DO716)/(DO733+DO715+DO716+DO718+DO730)*100</f>
        <v>25.301702974390778</v>
      </c>
      <c r="DP750" s="98">
        <f t="shared" si="4669"/>
        <v>-8.6436855672626596</v>
      </c>
      <c r="DQ750" s="125">
        <f>(DQ715+DQ716)/(DQ733+DQ715+DQ716+DQ718+DQ730)*100</f>
        <v>25.056921236445028</v>
      </c>
      <c r="DR750" s="98">
        <f t="shared" si="4669"/>
        <v>-11.917684411205908</v>
      </c>
      <c r="DS750" s="125">
        <f>(DS715+DS716)/(DS733+DS715+DS716+DS718+DS730)*100</f>
        <v>26.35745893269122</v>
      </c>
      <c r="DT750" s="98">
        <f t="shared" si="4669"/>
        <v>2.4090500848883423E-2</v>
      </c>
      <c r="DU750" s="125">
        <f>(DU715+DU716)/(DU733+DU715+DU716+DU718+DU730)*100</f>
        <v>25.320260774713987</v>
      </c>
      <c r="DV750" s="98">
        <f t="shared" si="4669"/>
        <v>-2.4898707880470439</v>
      </c>
      <c r="DW750" s="125">
        <f>(DW715+DW716)/(DW733+DW715+DW716+DW718+DW730)*100</f>
        <v>25.205316756374295</v>
      </c>
      <c r="DX750" s="98">
        <f t="shared" si="4669"/>
        <v>-0.38094755168868177</v>
      </c>
      <c r="DY750" s="125">
        <f>(DY715+DY716)/(DY733+DY715+DY716+DY718+DY730)*100</f>
        <v>26.653183257122759</v>
      </c>
      <c r="DZ750" s="98">
        <f t="shared" si="4669"/>
        <v>6.3705433146191259</v>
      </c>
      <c r="EA750" s="125">
        <f>(EA715+EA716)/(EA733+EA715+EA716+EA718+EA730)*100</f>
        <v>25.677360982051155</v>
      </c>
      <c r="EB750" s="98">
        <f t="shared" si="4670"/>
        <v>-2.5802864850394847</v>
      </c>
      <c r="EC750" s="125">
        <f>(EC715+EC716)/(EC733+EC715+EC716+EC718+EC730)*100</f>
        <v>24.488907138502121</v>
      </c>
      <c r="ED750" s="98">
        <f t="shared" si="4671"/>
        <v>-3.2833533730509346</v>
      </c>
      <c r="EE750" s="125">
        <f>(EE715+EE716)/(EE733+EE715+EE716+EE718+EE730)*100</f>
        <v>24.397691305157327</v>
      </c>
      <c r="EF750" s="860">
        <f t="shared" si="4672"/>
        <v>-3.2041868746312208</v>
      </c>
      <c r="EG750" s="125">
        <f>(EG715+EG716)/(EG733+EG715+EG716+EG718+EG730)*100</f>
        <v>25.586826894221108</v>
      </c>
      <c r="EH750" s="860">
        <f t="shared" si="4673"/>
        <v>-4.0008593068022291</v>
      </c>
      <c r="EI750" s="125">
        <f>(EI715+EI716)/(EI733+EI715+EI716+EI718+EI730)*100</f>
        <v>25.729307338306828</v>
      </c>
      <c r="EJ750" s="860">
        <f t="shared" si="4674"/>
        <v>0.20230410863477655</v>
      </c>
      <c r="EK750" s="818">
        <f>(EK715+EK716)/(EK733+EK715+EK716+EK718+EK730)*100</f>
        <v>25.885745131857856</v>
      </c>
      <c r="EL750" s="860">
        <f t="shared" si="4675"/>
        <v>5.7039621468431667</v>
      </c>
      <c r="EM750" s="818">
        <f>(EM715+EM716)/(EM733+EM715+EM716+EM718+EM730)*100</f>
        <v>30.52016004924592</v>
      </c>
      <c r="EN750" s="860">
        <f t="shared" si="4676"/>
        <v>25.094459420405848</v>
      </c>
      <c r="EO750" s="818">
        <f>(EO715+EO716)/(EO733+EO715+EO716+EO718+EO730)*100</f>
        <v>28.596160855303122</v>
      </c>
      <c r="EP750" s="98">
        <f t="shared" si="4677"/>
        <v>11.761262830764242</v>
      </c>
      <c r="EQ750" s="818">
        <f t="shared" ref="EQ750" si="4702">(EQ715+EQ716)/(EQ733+EQ715+EQ716+EQ718+EQ730)*100</f>
        <v>29.018039537966562</v>
      </c>
      <c r="ER750" s="98">
        <f t="shared" si="4679"/>
        <v>12.782047166747223</v>
      </c>
      <c r="ES750" s="818">
        <f t="shared" ref="ES750" si="4703">(ES715+ES716)/(ES733+ES715+ES716+ES718+ES730)*100</f>
        <v>29.0408055453108</v>
      </c>
      <c r="ET750" s="98">
        <f t="shared" si="4681"/>
        <v>12.188408706728616</v>
      </c>
      <c r="EU750" s="818">
        <f t="shared" ref="EU750" si="4704">(EU715+EU716)/(EU733+EU715+EU716+EU718+EU730)*100</f>
        <v>29.00986479398227</v>
      </c>
      <c r="EV750" s="98">
        <f t="shared" si="4683"/>
        <v>-4.9485168256873768</v>
      </c>
      <c r="EW750" s="818">
        <f t="shared" ref="EW750" si="4705">(EW715+EW716)/(EW733+EW715+EW716+EW718+EW730)*100</f>
        <v>28.983900820057674</v>
      </c>
      <c r="EX750" s="98">
        <f t="shared" si="4685"/>
        <v>1.3559161550269705</v>
      </c>
      <c r="EY750" s="125"/>
      <c r="EZ750" s="594"/>
      <c r="FA750" s="405"/>
      <c r="FB750" s="289">
        <f>FB715/(FB733+FB715+FB718)*100</f>
        <v>17.720283134000489</v>
      </c>
      <c r="FC750" s="98"/>
      <c r="FD750" s="289">
        <f>FD715/(FD733+FD715+FD718)*100</f>
        <v>15.131816540267245</v>
      </c>
      <c r="FE750" s="98">
        <f t="shared" si="4686"/>
        <v>-14.607365887775625</v>
      </c>
      <c r="FF750" s="289">
        <f>FF715/(FF733+FF715+FF718)*100</f>
        <v>12.864566762116874</v>
      </c>
      <c r="FG750" s="98">
        <f t="shared" si="4687"/>
        <v>-14.983328486153646</v>
      </c>
      <c r="FH750" s="289">
        <f>FH715/(FH733+FH715+FH718)*100</f>
        <v>18.824261920821876</v>
      </c>
      <c r="FI750" s="98">
        <f t="shared" si="4688"/>
        <v>46.326434997056424</v>
      </c>
      <c r="FJ750" s="289">
        <f>FJ715/(FJ733+FJ715+FJ718)*100</f>
        <v>21.010398366649259</v>
      </c>
      <c r="FK750" s="98">
        <f t="shared" si="4689"/>
        <v>11.613397938376835</v>
      </c>
      <c r="FL750" s="289">
        <f>FL715/(FL733+FL715+FL718)*100</f>
        <v>23.433455232773142</v>
      </c>
      <c r="FM750" s="98">
        <f t="shared" si="4690"/>
        <v>11.532655515804535</v>
      </c>
      <c r="FN750" s="289">
        <f>FN715/(FN733+FN715+FN718)*100</f>
        <v>26.896001161187318</v>
      </c>
      <c r="FO750" s="98">
        <f t="shared" si="4691"/>
        <v>14.776079302089396</v>
      </c>
      <c r="FP750" s="289">
        <f>(FP715+FP716)/(FP733+FP715+FP716+FP718+FP730)*100</f>
        <v>28.947051600009633</v>
      </c>
      <c r="FQ750" s="98">
        <f t="shared" si="4692"/>
        <v>7.6258564480660151</v>
      </c>
      <c r="FR750" s="289">
        <f>(FR715+FR716)/(FR733+FR715+FR716+FR718+FR730)*100</f>
        <v>25.710525757221998</v>
      </c>
      <c r="FS750" s="98">
        <f t="shared" si="4693"/>
        <v>-11.180848010049349</v>
      </c>
      <c r="FT750" s="289">
        <f>(FT715+FT716)/(FT733+FT715+FT716+FT718+FT730)*100</f>
        <v>31.991424487851354</v>
      </c>
      <c r="FU750" s="98">
        <f t="shared" si="4694"/>
        <v>24.429289349966222</v>
      </c>
      <c r="FV750" s="289">
        <f>(FV715+FV716)/(FV733+FV715+FV716+FV718+FV730)*100</f>
        <v>30.818476940096843</v>
      </c>
      <c r="FW750" s="98">
        <f t="shared" si="4695"/>
        <v>-3.6664436377315202</v>
      </c>
      <c r="FX750" s="526">
        <f>(FX715+FX716)/(FX733+FX715+FX716+FX718+FX730)*100</f>
        <v>37.397925782999693</v>
      </c>
      <c r="FY750" s="98">
        <f t="shared" si="4696"/>
        <v>21.349039589761688</v>
      </c>
      <c r="FZ750" s="289">
        <f>(FZ715+FZ716)/(FZ733+FZ715+FZ716+FZ718+FZ730)*100</f>
        <v>43.017958930573116</v>
      </c>
      <c r="GA750" s="98">
        <f t="shared" si="4697"/>
        <v>15.027660037039192</v>
      </c>
      <c r="GB750" s="526">
        <f>(GB715+GB716)/(GB733+GB715+GB716+GB718+GB730)*100</f>
        <v>37.931573755503692</v>
      </c>
      <c r="GC750" s="98">
        <f t="shared" si="4698"/>
        <v>-11.823864501052606</v>
      </c>
      <c r="GD750" s="289">
        <f>(GD715+GD716)/(GD733+GD715+GD716+GD718+GD730)*100</f>
        <v>29.487604181849502</v>
      </c>
      <c r="GE750" s="98">
        <f t="shared" si="4699"/>
        <v>-22.261057840841659</v>
      </c>
      <c r="GF750" s="289">
        <f>(GF715+GF716)/(GF733+GF715+GF716+GF718+GF730)*100</f>
        <v>28.447164528940689</v>
      </c>
      <c r="GG750" s="98">
        <f t="shared" si="4699"/>
        <v>-3.528396700160652</v>
      </c>
      <c r="GH750" s="289">
        <f>(GH715+GH716)/(GH733+GH715+GH716+GH718+GH730)*100</f>
        <v>25.056921236445028</v>
      </c>
      <c r="GI750" s="98">
        <f t="shared" si="4699"/>
        <v>-11.917684411205908</v>
      </c>
      <c r="GJ750" s="289">
        <f>(GJ715+GJ716)/(GJ733+GJ715+GJ716+GJ718+GJ730)*100</f>
        <v>26.653183257122759</v>
      </c>
      <c r="GK750" s="98">
        <f t="shared" si="4699"/>
        <v>6.3705433146191259</v>
      </c>
      <c r="GL750" s="289">
        <f>(GL715+GL716)/(GL733+GL715+GL716+GL718+GL730)*100</f>
        <v>25.586826894221108</v>
      </c>
      <c r="GM750" s="98">
        <f t="shared" si="4699"/>
        <v>-4.0008593068022291</v>
      </c>
      <c r="GN750" s="289">
        <f>(GN715+GN716)/(GN733+GN715+GN716+GN718+GN730)*100</f>
        <v>28.596160855303122</v>
      </c>
      <c r="GO750" s="98">
        <f t="shared" si="4699"/>
        <v>11.761262830764242</v>
      </c>
      <c r="GP750" s="289">
        <f>(GP715+GP716)/(GP733+GP715+GP716+GP718+GP730)*100</f>
        <v>28.983900820057674</v>
      </c>
      <c r="GQ750" s="98">
        <f t="shared" si="4699"/>
        <v>1.3559161550269705</v>
      </c>
      <c r="GR750" s="125">
        <f>(GR715+GR716)/(GR733+GR715+GR716+GR718+GR730)*100</f>
        <v>26.474896347436889</v>
      </c>
      <c r="GS750" s="98">
        <f t="shared" si="4699"/>
        <v>-8.6565451910616602</v>
      </c>
      <c r="GT750" s="125">
        <f>(GT715+GT716)/(GT733+GT715+GT716+GT718+GT730)*100</f>
        <v>23.798232875258527</v>
      </c>
      <c r="GU750" s="98">
        <f t="shared" si="4699"/>
        <v>-10.110194340524759</v>
      </c>
      <c r="GV750" s="125">
        <f>(GV715+GV716)/(GV733+GV715+GV716+GV718+GV730)*100</f>
        <v>20.977326398188001</v>
      </c>
      <c r="GW750" s="98">
        <f t="shared" si="4699"/>
        <v>-11.853428327458882</v>
      </c>
      <c r="GX750" s="125">
        <f>(GX715+GX716)/(GX733+GX715+GX716+GX718+GX730)*100</f>
        <v>18.032343101517377</v>
      </c>
      <c r="GY750" s="98">
        <f t="shared" si="4700"/>
        <v>-14.038887705561031</v>
      </c>
      <c r="GZ750" s="98">
        <f t="shared" si="4701"/>
        <v>-8.8096492513774045</v>
      </c>
      <c r="HA750" s="98"/>
      <c r="HB750" s="10"/>
      <c r="HC750"/>
      <c r="HD750"/>
      <c r="HE750"/>
      <c r="HF750"/>
      <c r="HG750"/>
      <c r="HH750"/>
      <c r="HI750" s="10"/>
    </row>
    <row r="751" spans="1:217" s="2" customFormat="1" ht="12.75" customHeight="1" x14ac:dyDescent="0.2">
      <c r="A751" s="10" t="s">
        <v>379</v>
      </c>
      <c r="B751" s="18" t="s">
        <v>274</v>
      </c>
      <c r="C751" s="289">
        <f>(C715+C718)/(C733+C715+C718)*100</f>
        <v>16.878297674957963</v>
      </c>
      <c r="D751" s="98"/>
      <c r="E751" s="289">
        <f>(E715+E718)/(E733+E715+E718)*100</f>
        <v>20.639688059858784</v>
      </c>
      <c r="F751" s="98"/>
      <c r="G751" s="289">
        <f>(G715+G718)/(G733+G715+G718)*100</f>
        <v>20.8361712160109</v>
      </c>
      <c r="H751" s="98"/>
      <c r="I751" s="289">
        <f>(I715+I718)/(I733+I715+I718)*100</f>
        <v>18.644607063315306</v>
      </c>
      <c r="J751" s="98"/>
      <c r="K751" s="289">
        <f>(K715+K718)/(K733+K715+K718)*100</f>
        <v>18.501456182155149</v>
      </c>
      <c r="L751" s="98">
        <f t="shared" si="4618"/>
        <v>9.6168377786430383</v>
      </c>
      <c r="M751" s="289">
        <f>(M715+M718)/(M733+M715+M718)*100</f>
        <v>17.957166392092258</v>
      </c>
      <c r="N751" s="98">
        <f t="shared" si="4619"/>
        <v>-12.996909933845579</v>
      </c>
      <c r="O751" s="289">
        <f>(O715+O718)/(O733+O715+O718)*100</f>
        <v>18.384340867308318</v>
      </c>
      <c r="P751" s="98">
        <f t="shared" si="4620"/>
        <v>-11.767182767333717</v>
      </c>
      <c r="Q751" s="289">
        <f>(Q715+Q718)/(Q733+Q715+Q718)*100</f>
        <v>25.341150832771238</v>
      </c>
      <c r="R751" s="98">
        <f t="shared" si="4621"/>
        <v>35.916786804436839</v>
      </c>
      <c r="S751" s="289">
        <f>(S715+S718)/(S733+S715+S718)*100</f>
        <v>24.475743348982785</v>
      </c>
      <c r="T751" s="98">
        <f t="shared" si="4622"/>
        <v>32.290902445775593</v>
      </c>
      <c r="U751" s="289">
        <f>(U715+U718)/(U733+U715+U718)*100</f>
        <v>24.242424242424242</v>
      </c>
      <c r="V751" s="98">
        <f t="shared" si="4623"/>
        <v>35.001390047261594</v>
      </c>
      <c r="W751" s="289">
        <f>(W715+W718)/(W733+W715+W718)*100</f>
        <v>23.86791492825888</v>
      </c>
      <c r="X751" s="98">
        <f t="shared" si="4624"/>
        <v>29.827417259770495</v>
      </c>
      <c r="Y751" s="289">
        <f>(Y715+Y718)/(Y733+Y715+Y718)*100</f>
        <v>27.007784317448262</v>
      </c>
      <c r="Z751" s="98">
        <f t="shared" si="4625"/>
        <v>6.5767868857863121</v>
      </c>
      <c r="AA751" s="289">
        <f>(AA715+AA718)/(AA733+AA715+AA718)*100</f>
        <v>26.80009308820107</v>
      </c>
      <c r="AB751" s="98">
        <f t="shared" si="4626"/>
        <v>9.4965440112562796</v>
      </c>
      <c r="AC751" s="289">
        <f>(AC715+AC718)/(AC733+AC715+AC718)*100</f>
        <v>25.215926757643807</v>
      </c>
      <c r="AD751" s="98">
        <f t="shared" si="4627"/>
        <v>4.0156978752807104</v>
      </c>
      <c r="AE751" s="289">
        <f>(AE715+AE718)/(AE733+AE715+AE718)*100</f>
        <v>25.046071368738481</v>
      </c>
      <c r="AF751" s="98">
        <f t="shared" si="4628"/>
        <v>4.9361514988672139</v>
      </c>
      <c r="AG751" s="289">
        <f>(AG715+AG718)/(AG733+AG715+AG718)*100</f>
        <v>24.571639889879606</v>
      </c>
      <c r="AH751" s="98">
        <f t="shared" si="4629"/>
        <v>-9.0201565553631795</v>
      </c>
      <c r="AI751" s="125">
        <f>(AI715+AI718)/(AI733+AI715+AI718)*100</f>
        <v>24.043715846994534</v>
      </c>
      <c r="AJ751" s="98">
        <f t="shared" si="4630"/>
        <v>-10.2849539818205</v>
      </c>
      <c r="AK751" s="125">
        <f>(AK715+AK718)/(AK733+AK715+AK718)*100</f>
        <v>24.835777574091047</v>
      </c>
      <c r="AL751" s="98">
        <f t="shared" si="4631"/>
        <v>-1.5075756969254561</v>
      </c>
      <c r="AM751" s="125">
        <f>(AM715+AM718)/(AM733+AM715+AM718)*100</f>
        <v>25.676720804331016</v>
      </c>
      <c r="AN751" s="98">
        <f t="shared" si="4632"/>
        <v>2.5179575124092635</v>
      </c>
      <c r="AO751" s="125">
        <f>(AO715+AO718)/(AO733+AO715+AO718)*100</f>
        <v>27.904782640249653</v>
      </c>
      <c r="AP751" s="98">
        <f t="shared" si="4633"/>
        <v>13.56499918323677</v>
      </c>
      <c r="AQ751" s="125">
        <f>(AQ715+AQ718)/(AQ733+AQ715+AQ718)*100</f>
        <v>26.919577238048575</v>
      </c>
      <c r="AR751" s="98">
        <f t="shared" si="4634"/>
        <v>11.960968967338403</v>
      </c>
      <c r="AS751" s="125">
        <f>(AS715+AS716+AS718)/(AS733+AS715+AS716+AS718+AS730)*100</f>
        <v>31.830901730649064</v>
      </c>
      <c r="AT751" s="98">
        <f t="shared" si="4635"/>
        <v>28.165512980980335</v>
      </c>
      <c r="AU751" s="125">
        <f>(AU715+AU716+AU718)/(AU733+AU715+AU716+AU718+AU730)*100</f>
        <v>30.690695336066209</v>
      </c>
      <c r="AV751" s="98">
        <f t="shared" si="4636"/>
        <v>19.527316474498811</v>
      </c>
      <c r="AW751" s="125">
        <f>(AW715+AW716+AW718)/(AW733+AW715+AW716+AW718+AW730)*100</f>
        <v>31.147914609131654</v>
      </c>
      <c r="AX751" s="98">
        <f t="shared" si="4637"/>
        <v>11.622136644791969</v>
      </c>
      <c r="AY751" s="125">
        <f>(AY715+AY716+AY718)/(AY733+AY715+AY716+AY718+AY730)*100</f>
        <v>30.614320081347191</v>
      </c>
      <c r="AZ751" s="98">
        <f t="shared" si="4638"/>
        <v>13.725114665160509</v>
      </c>
      <c r="BA751" s="125">
        <f>(BA715+BA716+BA718)/(BA733+BA715+BA716+BA718+BA730)*100</f>
        <v>31.441142009994977</v>
      </c>
      <c r="BB751" s="98">
        <f t="shared" si="4639"/>
        <v>-1.2244696174560366</v>
      </c>
      <c r="BC751" s="125">
        <f>(BC715+BC716+BC718)/(BC733+BC715+BC716+BC718+BC730)*100</f>
        <v>30.628296690472855</v>
      </c>
      <c r="BD751" s="98">
        <f t="shared" si="4640"/>
        <v>-0.20331453852734382</v>
      </c>
      <c r="BE751" s="125">
        <f>(BE715+BE716+BE718)/(BE733+BE715+BE716+BE718+BE730)*100</f>
        <v>27.492179006456478</v>
      </c>
      <c r="BF751" s="98">
        <f t="shared" si="4641"/>
        <v>-11.736694570247153</v>
      </c>
      <c r="BG751" s="125">
        <f>(BG715+BG716+BG718)/(BG733+BG715+BG716+BG718+BG730)*100</f>
        <v>28.073188453662723</v>
      </c>
      <c r="BH751" s="98">
        <f t="shared" si="4642"/>
        <v>-8.300467300701996</v>
      </c>
      <c r="BI751" s="125">
        <f>(BI715+BI716+BI718)/(BI733+BI715+BI716+BI718+BI730)*100</f>
        <v>30.578800557880054</v>
      </c>
      <c r="BJ751" s="98">
        <f t="shared" si="4643"/>
        <v>-2.7427166985244611</v>
      </c>
      <c r="BK751" s="125">
        <f>(BK715+BK716+BK718)/(BK733+BK715+BK716+BK718+BK730)*100</f>
        <v>28.268646223196374</v>
      </c>
      <c r="BL751" s="98">
        <f t="shared" si="4644"/>
        <v>-7.7041517885337303</v>
      </c>
      <c r="BM751" s="125">
        <f>(BM715+BM716+BM718)/(BM733+BM715+BM716+BM718+BM730)*100</f>
        <v>32.307050976655546</v>
      </c>
      <c r="BN751" s="98">
        <f t="shared" si="4645"/>
        <v>17.513606211673171</v>
      </c>
      <c r="BO751" s="125">
        <f>(BO715+BO716+BO718)/(BO733+BO715+BO716+BO718+BO730)*100</f>
        <v>35.314804957797882</v>
      </c>
      <c r="BP751" s="98">
        <f t="shared" si="4646"/>
        <v>25.795489942612271</v>
      </c>
      <c r="BQ751" s="125">
        <f>(BQ715+BQ716+BQ718)/(BQ733+BQ715+BQ716+BQ718+BQ730)*100</f>
        <v>31.950996951870618</v>
      </c>
      <c r="BR751" s="98">
        <f t="shared" si="4647"/>
        <v>4.4874107844526057</v>
      </c>
      <c r="BS751" s="125">
        <f>(BS715+BS716+BS718)/(BS733+BS715+BS716+BS718+BS730)*100</f>
        <v>34.016676304351883</v>
      </c>
      <c r="BT751" s="98">
        <f t="shared" si="4648"/>
        <v>20.333588088271636</v>
      </c>
      <c r="BU751" s="125">
        <f>(BU715+BU716+BU718)/(BU733+BU715+BU716+BU718+BU730)*100</f>
        <v>31.106839079417469</v>
      </c>
      <c r="BV751" s="98">
        <f t="shared" si="4649"/>
        <v>-3.7150153324279844</v>
      </c>
      <c r="BW751" s="125">
        <f>(BW715+BW716+BW718)/(BW733+BW715+BW716+BW718+BW730)*100</f>
        <v>33.217596611228778</v>
      </c>
      <c r="BX751" s="98">
        <f t="shared" si="4650"/>
        <v>-5.9386094559358948</v>
      </c>
      <c r="BY751" s="125">
        <f>(BY715+BY716+BY718)/(BY733+BY715+BY716+BY718+BY730)*100</f>
        <v>36.223245267461436</v>
      </c>
      <c r="BZ751" s="98">
        <f t="shared" si="4651"/>
        <v>13.371251989496047</v>
      </c>
      <c r="CA751" s="125">
        <f>(CA715+CA716+CA718)/(CA733+CA715+CA716+CA718+CA730)*100</f>
        <v>37.444088361810422</v>
      </c>
      <c r="CB751" s="98">
        <f t="shared" si="4652"/>
        <v>10.07568178264393</v>
      </c>
      <c r="CC751" s="125">
        <f>(CC715+CC716+CC718)/(CC733+CC715+CC716+CC718+CC730)*100</f>
        <v>37.671846466595461</v>
      </c>
      <c r="CD751" s="98">
        <f t="shared" si="4653"/>
        <v>21.104707458116103</v>
      </c>
      <c r="CE751" s="125">
        <f>(CE715+CE716+CE718)/(CE733+CE715+CE716+CE718+CE730)*100</f>
        <v>43.642622151821612</v>
      </c>
      <c r="CF751" s="98">
        <f t="shared" si="4654"/>
        <v>31.384045217373703</v>
      </c>
      <c r="CG751" s="125">
        <f>(CG715+CG716+CG718)/(CG733+CG715+CG716+CG718+CG730)*100</f>
        <v>43.176559022506524</v>
      </c>
      <c r="CH751" s="98">
        <f t="shared" si="4655"/>
        <v>19.195722811978698</v>
      </c>
      <c r="CI751" s="125">
        <f>(CI715+CI716+CI718)/(CI733+CI715+CI716+CI718+CI730)*100</f>
        <v>43.893624907338769</v>
      </c>
      <c r="CJ751" s="98">
        <f t="shared" si="4656"/>
        <v>17.22444537361547</v>
      </c>
      <c r="CK751" s="125">
        <f>(CK715+CK716+CK718)/(CK733+CK715+CK716+CK718+CK730)*100</f>
        <v>43.20756516969162</v>
      </c>
      <c r="CL751" s="98">
        <f t="shared" si="4657"/>
        <v>14.694577575338164</v>
      </c>
      <c r="CM751" s="125">
        <f>(CM715+CM716+CM718)/(CM733+CM715+CM716+CM718+CM730)*100</f>
        <v>43.725423974139389</v>
      </c>
      <c r="CN751" s="98">
        <f t="shared" si="4658"/>
        <v>0.18972696468542161</v>
      </c>
      <c r="CO751" s="125">
        <f>(CO715+CO716+CO718)/(CO733+CO715+CO716+CO718+CO730)*100</f>
        <v>43.592286891730723</v>
      </c>
      <c r="CP751" s="98">
        <f t="shared" si="4659"/>
        <v>0.96285549065522336</v>
      </c>
      <c r="CQ751" s="526">
        <f>(CQ715+CQ716+CQ718)/(CQ733+CQ715+CQ716+CQ718+CQ730)*100</f>
        <v>39.468491143488485</v>
      </c>
      <c r="CR751" s="98">
        <f t="shared" si="4659"/>
        <v>-10.081495372487282</v>
      </c>
      <c r="CS751" s="125">
        <f>(CS715+CS716+CS718)/(CS733+CS715+CS716+CS718+CS730)*100</f>
        <v>38.122849649929023</v>
      </c>
      <c r="CT751" s="98">
        <f t="shared" si="4659"/>
        <v>-11.768113986041783</v>
      </c>
      <c r="CU751" s="125">
        <f>(CU715+CU716+CU718)/(CU733+CU715+CU716+CU718+CU730)*100</f>
        <v>37.912957348375954</v>
      </c>
      <c r="CV751" s="98">
        <f t="shared" si="4660"/>
        <v>-13.293105240560077</v>
      </c>
      <c r="CW751" s="125">
        <f>(CW715+CW716+CW718)/(CW733+CW715+CW716+CW718+CW730)*100</f>
        <v>32.992908509788258</v>
      </c>
      <c r="CX751" s="98">
        <f t="shared" si="4661"/>
        <v>-24.314802314152328</v>
      </c>
      <c r="CY751" s="125">
        <f>(CY715+CY716+CY718)/(CY733+CY715+CY716+CY718+CY730)*100</f>
        <v>30.347706615937437</v>
      </c>
      <c r="CZ751" s="98">
        <f t="shared" si="4662"/>
        <v>-23.109027640282108</v>
      </c>
      <c r="DA751" s="125">
        <f>(DA715+DA716+DA718)/(DA733+DA715+DA716+DA718+DA730)*100</f>
        <v>29.698286713750015</v>
      </c>
      <c r="DB751" s="98">
        <f t="shared" si="4663"/>
        <v>-22.098460670016284</v>
      </c>
      <c r="DC751" s="125">
        <f>(DC715+DC716+DC718)/(DC733+DC715+DC716+DC718+DC730)*100</f>
        <v>29.065219967607288</v>
      </c>
      <c r="DD751" s="98">
        <f t="shared" si="4664"/>
        <v>-23.336975006903991</v>
      </c>
      <c r="DE751" s="125">
        <f>(DE715+DE716+DE718)/(DE733+DE715+DE716+DE718+DE730)*100</f>
        <v>28.956820282582861</v>
      </c>
      <c r="DF751" s="98">
        <f t="shared" si="4665"/>
        <v>-12.233199222214619</v>
      </c>
      <c r="DG751" s="125">
        <f>(DG715+DG716+DG718)/(DG733+DG715+DG716+DG718+DG730)*100</f>
        <v>27.900969895778179</v>
      </c>
      <c r="DH751" s="98">
        <f t="shared" si="4666"/>
        <v>-8.0623447139637427</v>
      </c>
      <c r="DI751" s="125">
        <f>(DI715+DI716+DI718)/(DI733+DI715+DI716+DI718+DI730)*100</f>
        <v>28.654209258415264</v>
      </c>
      <c r="DJ751" s="98">
        <f t="shared" si="4667"/>
        <v>-3.5156151107240574</v>
      </c>
      <c r="DK751" s="125">
        <f>(DK715+DK716+DK718)/(DK733+DK715+DK716+DK718+DK730)*100</f>
        <v>26.560748895774278</v>
      </c>
      <c r="DL751" s="98">
        <f t="shared" si="4668"/>
        <v>-8.6167284287688268</v>
      </c>
      <c r="DM751" s="125">
        <f>(DM715+DM716+DM718)/(DM733+DM715+DM716+DM718+DM730)*100</f>
        <v>26.173484641682592</v>
      </c>
      <c r="DN751" s="98">
        <f t="shared" si="4669"/>
        <v>-9.6120209806820789</v>
      </c>
      <c r="DO751" s="125">
        <f>(DO715+DO716+DO718)/(DO733+DO715+DO716+DO718+DO730)*100</f>
        <v>25.507145256738252</v>
      </c>
      <c r="DP751" s="98">
        <f t="shared" si="4669"/>
        <v>-8.5797183681494467</v>
      </c>
      <c r="DQ751" s="125">
        <f>(DQ715+DQ716+DQ718)/(DQ733+DQ715+DQ716+DQ718+DQ730)*100</f>
        <v>25.261451780959366</v>
      </c>
      <c r="DR751" s="98">
        <f t="shared" si="4669"/>
        <v>-11.840345852361999</v>
      </c>
      <c r="DS751" s="125">
        <f>(DS715+DS716+DS718)/(DS733+DS715+DS716+DS718+DS730)*100</f>
        <v>26.557910263360267</v>
      </c>
      <c r="DT751" s="98">
        <f t="shared" si="4669"/>
        <v>-1.0687320696978198E-2</v>
      </c>
      <c r="DU751" s="125">
        <f>(DU715+DU716+DU718)/(DU733+DU715+DU716+DU718+DU730)*100</f>
        <v>25.521929935821007</v>
      </c>
      <c r="DV751" s="98">
        <f t="shared" si="4669"/>
        <v>-2.4893693552135998</v>
      </c>
      <c r="DW751" s="125">
        <f>(DW715+DW716+DW718)/(DW733+DW715+DW716+DW718+DW730)*100</f>
        <v>25.40621130568822</v>
      </c>
      <c r="DX751" s="98">
        <f t="shared" si="4669"/>
        <v>-0.39570853591844868</v>
      </c>
      <c r="DY751" s="125">
        <f>(DY715+DY716+DY718)/(DY733+DY715+DY716+DY718+DY730)*100</f>
        <v>26.852921963720416</v>
      </c>
      <c r="DZ751" s="98">
        <f t="shared" si="4669"/>
        <v>6.2999949352103624</v>
      </c>
      <c r="EA751" s="125">
        <f>(EA715+EA716+EA718)/(EA733+EA715+EA716+EA718+EA730)*100</f>
        <v>25.871766029246345</v>
      </c>
      <c r="EB751" s="98">
        <f t="shared" si="4670"/>
        <v>-2.5835776509138153</v>
      </c>
      <c r="EC751" s="125">
        <f>(EC715+EC716+EC718)/(EC733+EC715+EC716+EC718+EC730)*100</f>
        <v>24.686749536501303</v>
      </c>
      <c r="ED751" s="98">
        <f t="shared" si="4671"/>
        <v>-3.2724029938954402</v>
      </c>
      <c r="EE751" s="125">
        <f>(EE715+EE716+EE718)/(EE733+EE715+EE716+EE718+EE730)*100</f>
        <v>24.595047477192331</v>
      </c>
      <c r="EF751" s="860">
        <f t="shared" si="4672"/>
        <v>-3.1927776193622304</v>
      </c>
      <c r="EG751" s="125">
        <f>(EG715+EG716+EG718)/(EG733+EG715+EG716+EG718+EG730)*100</f>
        <v>25.794287652822902</v>
      </c>
      <c r="EH751" s="860">
        <f t="shared" si="4673"/>
        <v>-3.9423430803090187</v>
      </c>
      <c r="EI751" s="125">
        <f>(EI715+EI716+EI718)/(EI733+EI715+EI716+EI718+EI730)*100</f>
        <v>25.937774514559926</v>
      </c>
      <c r="EJ751" s="860">
        <f t="shared" si="4674"/>
        <v>0.25513714540770227</v>
      </c>
      <c r="EK751" s="818">
        <f>(EK715+EK716+EK718)/(EK733+EK715+EK716+EK718+EK730)*100</f>
        <v>26.0950851184285</v>
      </c>
      <c r="EL751" s="860">
        <f t="shared" si="4675"/>
        <v>5.7048238766503445</v>
      </c>
      <c r="EM751" s="818">
        <f>(EM715+EM716+EM718)/(EM733+EM715+EM716+EM718+EM730)*100</f>
        <v>30.764850723299475</v>
      </c>
      <c r="EN751" s="860">
        <f t="shared" si="4676"/>
        <v>25.08555127542882</v>
      </c>
      <c r="EO751" s="818">
        <f>(EO715+EO716+EO718)/(EO733+EO715+EO716+EO718+EO730)*100</f>
        <v>28.837626047867815</v>
      </c>
      <c r="EP751" s="98">
        <f t="shared" si="4677"/>
        <v>11.798497543357644</v>
      </c>
      <c r="EQ751" s="818">
        <f t="shared" ref="EQ751" si="4706">(EQ715+EQ716+EQ718)/(EQ733+EQ715+EQ716+EQ718+EQ730)*100</f>
        <v>29.263067062477276</v>
      </c>
      <c r="ER751" s="98">
        <f t="shared" si="4679"/>
        <v>12.820269318212807</v>
      </c>
      <c r="ES751" s="818">
        <f t="shared" ref="ES751" si="4707">(ES715+ES716+ES718)/(ES733+ES715+ES716+ES718+ES730)*100</f>
        <v>29.286025305358827</v>
      </c>
      <c r="ET751" s="98">
        <f t="shared" si="4681"/>
        <v>12.228127145202784</v>
      </c>
      <c r="EU751" s="818">
        <f t="shared" ref="EU751" si="4708">(EU715+EU716+EU718)/(EU733+EU715+EU716+EU718+EU730)*100</f>
        <v>29.254823291180525</v>
      </c>
      <c r="EV751" s="98">
        <f t="shared" si="4683"/>
        <v>-4.9082878564898902</v>
      </c>
      <c r="EW751" s="818">
        <f t="shared" ref="EW751" si="4709">(EW715+EW716+EW718)/(EW733+EW715+EW716+EW718+EW730)*100</f>
        <v>29.228640078177122</v>
      </c>
      <c r="EX751" s="98">
        <f t="shared" si="4685"/>
        <v>1.3559161550269705</v>
      </c>
      <c r="EY751" s="125"/>
      <c r="EZ751" s="594"/>
      <c r="FA751" s="405"/>
      <c r="FB751" s="289">
        <f>(FB715+FB718)/(FB733+FB715+FB718)*100</f>
        <v>17.720283134000489</v>
      </c>
      <c r="FC751" s="98"/>
      <c r="FD751" s="289">
        <f>(FD715+FD718)/(FD733+FD715+FD718)*100</f>
        <v>15.131816540267245</v>
      </c>
      <c r="FE751" s="98">
        <f t="shared" si="4686"/>
        <v>-14.607365887775625</v>
      </c>
      <c r="FF751" s="289">
        <f>(FF715+FF718)/(FF733+FF715+FF718)*100</f>
        <v>18.644607063315306</v>
      </c>
      <c r="FG751" s="98">
        <f t="shared" si="4687"/>
        <v>23.214598945871323</v>
      </c>
      <c r="FH751" s="289">
        <f>(FH715+FH718)/(FH733+FH715+FH718)*100</f>
        <v>25.341150832771238</v>
      </c>
      <c r="FI751" s="98">
        <f t="shared" si="4688"/>
        <v>35.916786804436839</v>
      </c>
      <c r="FJ751" s="289">
        <f>(FJ715+FJ718)/(FJ733+FJ715+FJ718)*100</f>
        <v>26.98352404919045</v>
      </c>
      <c r="FK751" s="98">
        <f t="shared" si="4689"/>
        <v>6.4810522113119218</v>
      </c>
      <c r="FL751" s="289">
        <f>(FL715+FL718)/(FL733+FL715+FL718)*100</f>
        <v>24.571639889879606</v>
      </c>
      <c r="FM751" s="98">
        <f t="shared" si="4690"/>
        <v>-8.938358662545431</v>
      </c>
      <c r="FN751" s="289">
        <f>(FN715+FN718)/(FN733+FN715+FN718)*100</f>
        <v>27.904782640249653</v>
      </c>
      <c r="FO751" s="98">
        <f t="shared" si="4691"/>
        <v>13.56499918323677</v>
      </c>
      <c r="FP751" s="289">
        <f>(FP715+FP716+FP718)/(FP733+FP715+FP716+FP718+FP730)*100</f>
        <v>29.616431099660495</v>
      </c>
      <c r="FQ751" s="98">
        <f t="shared" si="4692"/>
        <v>6.1338892385492727</v>
      </c>
      <c r="FR751" s="289">
        <f>(FR715+FR716+FR718)/(FR733+FR715+FR716+FR718+FR730)*100</f>
        <v>26.30059643835035</v>
      </c>
      <c r="FS751" s="98">
        <f t="shared" si="4693"/>
        <v>-11.19592921291639</v>
      </c>
      <c r="FT751" s="289">
        <f>(FT715+FT716+FT718)/(FT733+FT715+FT716+FT718+FT730)*100</f>
        <v>32.307050976655546</v>
      </c>
      <c r="FU751" s="98">
        <f t="shared" si="4694"/>
        <v>22.837712263995869</v>
      </c>
      <c r="FV751" s="289">
        <f>(FV715+FV716+FV718)/(FV733+FV715+FV716+FV718+FV730)*100</f>
        <v>31.106839079417469</v>
      </c>
      <c r="FW751" s="98">
        <f t="shared" si="4695"/>
        <v>-3.7150153324279844</v>
      </c>
      <c r="FX751" s="526">
        <f>(FX715+FX716+FX718)/(FX733+FX715+FX716+FX718+FX730)*100</f>
        <v>37.671846466595461</v>
      </c>
      <c r="FY751" s="98">
        <f t="shared" si="4696"/>
        <v>21.104707458116103</v>
      </c>
      <c r="FZ751" s="289">
        <f>(FZ715+FZ716+FZ718)/(FZ733+FZ715+FZ716+FZ718+FZ730)*100</f>
        <v>43.20756516969162</v>
      </c>
      <c r="GA751" s="98">
        <f t="shared" si="4697"/>
        <v>14.694577575338164</v>
      </c>
      <c r="GB751" s="526">
        <f>(GB715+GB716+GB718)/(GB733+GB715+GB716+GB718+GB730)*100</f>
        <v>38.122849649929023</v>
      </c>
      <c r="GC751" s="98">
        <f t="shared" si="4698"/>
        <v>-11.768113986041783</v>
      </c>
      <c r="GD751" s="289">
        <f>(GD715+GD716+GD718)/(GD733+GD715+GD716+GD718+GD730)*100</f>
        <v>29.698286713750015</v>
      </c>
      <c r="GE751" s="98">
        <f t="shared" si="4699"/>
        <v>-22.098460670016284</v>
      </c>
      <c r="GF751" s="289">
        <f>(GF715+GF716+GF718)/(GF733+GF715+GF716+GF718+GF730)*100</f>
        <v>28.654209258415264</v>
      </c>
      <c r="GG751" s="98">
        <f t="shared" si="4699"/>
        <v>-3.5156151107240574</v>
      </c>
      <c r="GH751" s="289">
        <f>(GH715+GH716+GH718)/(GH733+GH715+GH716+GH718+GH730)*100</f>
        <v>25.261451780959366</v>
      </c>
      <c r="GI751" s="98">
        <f t="shared" si="4699"/>
        <v>-11.840345852361999</v>
      </c>
      <c r="GJ751" s="289">
        <f>(GJ715+GJ716+GJ718)/(GJ733+GJ715+GJ716+GJ718+GJ730)*100</f>
        <v>26.852921963720416</v>
      </c>
      <c r="GK751" s="98">
        <f t="shared" si="4699"/>
        <v>6.2999949352103624</v>
      </c>
      <c r="GL751" s="289">
        <f>(GL715+GL716+GL718)/(GL733+GL715+GL716+GL718+GL730)*100</f>
        <v>25.794287652822902</v>
      </c>
      <c r="GM751" s="98">
        <f t="shared" si="4699"/>
        <v>-3.9423430803090187</v>
      </c>
      <c r="GN751" s="289">
        <f>(GN715+GN716+GN718)/(GN733+GN715+GN716+GN718+GN730)*100</f>
        <v>28.837626047867815</v>
      </c>
      <c r="GO751" s="98">
        <f t="shared" si="4699"/>
        <v>11.798497543357644</v>
      </c>
      <c r="GP751" s="289">
        <f>(GP715+GP716+GP718)/(GP733+GP715+GP716+GP718+GP730)*100</f>
        <v>29.228640078177122</v>
      </c>
      <c r="GQ751" s="98">
        <f t="shared" si="4699"/>
        <v>1.3559161550269705</v>
      </c>
      <c r="GR751" s="125">
        <f>(GR715+GR716+GR718)/(GR733+GR715+GR716+GR718+GR730)*100</f>
        <v>26.725015689043691</v>
      </c>
      <c r="GS751" s="98">
        <f t="shared" si="4699"/>
        <v>-8.5656547223444175</v>
      </c>
      <c r="GT751" s="125">
        <f>(GT715+GT716+GT718)/(GT733+GT715+GT716+GT718+GT730)*100</f>
        <v>24.053385877764672</v>
      </c>
      <c r="GU751" s="98">
        <f t="shared" si="4699"/>
        <v>-9.9967380463476871</v>
      </c>
      <c r="GV751" s="125">
        <f>(GV715+GV716+GV718)/(GV733+GV715+GV716+GV718+GV730)*100</f>
        <v>21.237294823543564</v>
      </c>
      <c r="GW751" s="98">
        <f t="shared" si="4699"/>
        <v>-11.707670049164875</v>
      </c>
      <c r="GX751" s="125">
        <f>(GX715+GX716+GX718)/(GX733+GX715+GX716+GX718+GX730)*100</f>
        <v>18.297083872813893</v>
      </c>
      <c r="GY751" s="98">
        <f t="shared" si="4700"/>
        <v>-13.844564362642686</v>
      </c>
      <c r="GZ751" s="98">
        <f t="shared" si="4701"/>
        <v>-8.6971204728873985</v>
      </c>
      <c r="HA751" s="98"/>
      <c r="HB751" s="10"/>
      <c r="HC751"/>
      <c r="HD751"/>
      <c r="HE751"/>
      <c r="HF751"/>
      <c r="HG751"/>
      <c r="HH751"/>
      <c r="HI751" s="10"/>
    </row>
    <row r="752" spans="1:217" s="2" customFormat="1" ht="12.75" customHeight="1" x14ac:dyDescent="0.2">
      <c r="A752" s="10"/>
      <c r="B752" s="18" t="s">
        <v>333</v>
      </c>
      <c r="C752" s="289">
        <f>(C715+C718)/(C733)*100</f>
        <v>20.305524553571427</v>
      </c>
      <c r="D752" s="98"/>
      <c r="E752" s="289">
        <f>(E715+E718)/(E733)*100</f>
        <v>26.007569218511389</v>
      </c>
      <c r="F752" s="98"/>
      <c r="G752" s="289">
        <f>(G715+G718)/(G733)*100</f>
        <v>26.320317670416944</v>
      </c>
      <c r="H752" s="98"/>
      <c r="I752" s="289">
        <f>(I715+I718)/(I733)*100</f>
        <v>22.917481423543215</v>
      </c>
      <c r="J752" s="98"/>
      <c r="K752" s="289">
        <f>(K715+K718)/(K733)*100</f>
        <v>22.701578844779416</v>
      </c>
      <c r="L752" s="98">
        <f t="shared" si="4618"/>
        <v>11.800011789336207</v>
      </c>
      <c r="M752" s="289">
        <f>(M715+M718)/(M733)*100</f>
        <v>21.887550200803211</v>
      </c>
      <c r="N752" s="98">
        <f t="shared" si="4619"/>
        <v>-15.841615120169228</v>
      </c>
      <c r="O752" s="289">
        <f>(O715+O718)/(O733)*100</f>
        <v>22.525506823903537</v>
      </c>
      <c r="P752" s="98">
        <f t="shared" si="4620"/>
        <v>-14.417800324570674</v>
      </c>
      <c r="Q752" s="289">
        <f>(Q715+Q718)/(Q733)*100</f>
        <v>33.942595037876153</v>
      </c>
      <c r="R752" s="98">
        <f t="shared" si="4621"/>
        <v>48.107876300084172</v>
      </c>
      <c r="S752" s="289">
        <f>(S715+S718)/(S733)*100</f>
        <v>32.407791131371738</v>
      </c>
      <c r="T752" s="98">
        <f t="shared" si="4622"/>
        <v>42.755670664837567</v>
      </c>
      <c r="U752" s="289">
        <f>(U715+U718)/(U733)*100</f>
        <v>32</v>
      </c>
      <c r="V752" s="98">
        <f t="shared" si="4623"/>
        <v>46.20183486238534</v>
      </c>
      <c r="W752" s="289">
        <f>(W715+W718)/(W733)*100</f>
        <v>31.35066497360155</v>
      </c>
      <c r="X752" s="98">
        <f t="shared" si="4624"/>
        <v>39.178510915159357</v>
      </c>
      <c r="Y752" s="289">
        <f>(Y715+Y718)/(Y733)*100</f>
        <v>37.000910391468331</v>
      </c>
      <c r="Z752" s="98">
        <f t="shared" si="4625"/>
        <v>9.0102579080339584</v>
      </c>
      <c r="AA752" s="289">
        <f>(AA715+AA718)/(AA733)*100</f>
        <v>36.612195587206713</v>
      </c>
      <c r="AB752" s="98">
        <f t="shared" si="4626"/>
        <v>12.97343727868261</v>
      </c>
      <c r="AC752" s="289">
        <f>(AC715+AC718)/(AC733)*100</f>
        <v>33.718311485823179</v>
      </c>
      <c r="AD752" s="98">
        <f t="shared" si="4627"/>
        <v>5.3697233931974342</v>
      </c>
      <c r="AE752" s="289">
        <f>(AE715+AE718)/(AE733)*100</f>
        <v>33.41528833258829</v>
      </c>
      <c r="AF752" s="98">
        <f t="shared" si="4628"/>
        <v>6.585580754747089</v>
      </c>
      <c r="AG752" s="289">
        <f>(AG715+AG718)/(AG733)*100</f>
        <v>32.576128997112818</v>
      </c>
      <c r="AH752" s="98">
        <f t="shared" si="4629"/>
        <v>-11.958574390579802</v>
      </c>
      <c r="AI752" s="125">
        <f>(AI715+AI718)/(AI733)*100</f>
        <v>31.654676258992804</v>
      </c>
      <c r="AJ752" s="98">
        <f t="shared" si="4630"/>
        <v>-13.540622868152163</v>
      </c>
      <c r="AK752" s="125">
        <f>(AK715+AK718)/(AK733)*100</f>
        <v>33.042020222549667</v>
      </c>
      <c r="AL752" s="98">
        <f t="shared" si="4631"/>
        <v>-2.0057091635737989</v>
      </c>
      <c r="AM752" s="125">
        <f>(AM715+AM718)/(AM733)*100</f>
        <v>34.547346514047867</v>
      </c>
      <c r="AN752" s="98">
        <f t="shared" si="4632"/>
        <v>3.3878450192977638</v>
      </c>
      <c r="AO752" s="125">
        <f>(AO715+AO718)/(AO733)*100</f>
        <v>38.705456009663777</v>
      </c>
      <c r="AP752" s="98">
        <f t="shared" si="4633"/>
        <v>18.815393974815709</v>
      </c>
      <c r="AQ752" s="125">
        <f>(AQ715+AQ718)/(AQ733)*100</f>
        <v>36.835552150177186</v>
      </c>
      <c r="AR752" s="98">
        <f t="shared" si="4634"/>
        <v>16.366857928968837</v>
      </c>
      <c r="AS752" s="125">
        <f>(AS715+AS718+AS716)/(AS733)*100</f>
        <v>50.830838648097533</v>
      </c>
      <c r="AT752" s="98">
        <f t="shared" si="4635"/>
        <v>53.836957624666695</v>
      </c>
      <c r="AU752" s="125">
        <f>(AU715+AU718+AU716)/(AU733)*100</f>
        <v>47.920776136226401</v>
      </c>
      <c r="AV752" s="98">
        <f t="shared" si="4636"/>
        <v>38.710439358173396</v>
      </c>
      <c r="AW752" s="125">
        <f>(AW715+AW718+AW716)/(AW733)*100</f>
        <v>48.912395116713725</v>
      </c>
      <c r="AX752" s="98">
        <f t="shared" si="4637"/>
        <v>26.370801843806024</v>
      </c>
      <c r="AY752" s="125">
        <f>(AY715+AY718+AY716)/(AY733)*100</f>
        <v>47.595912859070758</v>
      </c>
      <c r="AZ752" s="98">
        <f t="shared" si="4638"/>
        <v>29.21188927757612</v>
      </c>
      <c r="BA752" s="125">
        <f>(BA715+BA718+BA716)/(BA733)*100</f>
        <v>49.376642883965452</v>
      </c>
      <c r="BB752" s="98">
        <f t="shared" si="4639"/>
        <v>-2.8608533772175093</v>
      </c>
      <c r="BC752" s="125">
        <f>(BC715+BC718+BC716)/(BC733)*100</f>
        <v>47.407969365268599</v>
      </c>
      <c r="BD752" s="98">
        <f t="shared" si="4640"/>
        <v>-1.0701136590526517</v>
      </c>
      <c r="BE752" s="125">
        <f>(BE715+BE718+BE716)/(BE733)*100</f>
        <v>40.443240420392982</v>
      </c>
      <c r="BF752" s="98">
        <f t="shared" si="4641"/>
        <v>-17.314945784420953</v>
      </c>
      <c r="BG752" s="125">
        <f>(BG715+BG718+BG716)/(BG733)*100</f>
        <v>41.632653061224488</v>
      </c>
      <c r="BH752" s="98">
        <f t="shared" si="4642"/>
        <v>-12.528932506249435</v>
      </c>
      <c r="BI752" s="125">
        <f>(BI715+BI718+BI716)/(BI733)*100</f>
        <v>46.876277314887602</v>
      </c>
      <c r="BJ752" s="98">
        <f t="shared" si="4643"/>
        <v>-5.0638630393598838</v>
      </c>
      <c r="BK752" s="125">
        <f>(BK715+BK718+BK716)/(BK733)*100</f>
        <v>41.873927958833619</v>
      </c>
      <c r="BL752" s="98">
        <f t="shared" si="4644"/>
        <v>-11.673230219578345</v>
      </c>
      <c r="BM752" s="125">
        <f>(BM715+BM718+BM716)/(BM733)*100</f>
        <v>50.765775601235219</v>
      </c>
      <c r="BN752" s="98">
        <f t="shared" si="4645"/>
        <v>25.523511651250463</v>
      </c>
      <c r="BO752" s="125">
        <f>(BO715+BO718+BO716)/(BO733)*100</f>
        <v>58.080350164139439</v>
      </c>
      <c r="BP752" s="98">
        <f t="shared" si="4646"/>
        <v>39.506723433472189</v>
      </c>
      <c r="BQ752" s="125">
        <f>(BQ715+BQ718+BQ716)/(BQ733)*100</f>
        <v>49.857610276296654</v>
      </c>
      <c r="BR752" s="98">
        <f t="shared" si="4647"/>
        <v>6.3600036781551239</v>
      </c>
      <c r="BS752" s="125">
        <f>(BS715+BS718+BS716)/(BS733)*100</f>
        <v>54.711829828087964</v>
      </c>
      <c r="BT752" s="98">
        <f t="shared" si="4648"/>
        <v>30.658460992423088</v>
      </c>
      <c r="BU752" s="125">
        <f>(BU715+BU718+BU716)/(BU733)*100</f>
        <v>47.717345945194047</v>
      </c>
      <c r="BV752" s="98">
        <f t="shared" si="4649"/>
        <v>-6.0048913267603083</v>
      </c>
      <c r="BW752" s="125">
        <f>(BW715+BW718+BW716)/(BW733)*100</f>
        <v>52.5284137703838</v>
      </c>
      <c r="BX752" s="98">
        <f t="shared" si="4650"/>
        <v>-9.5590615037021145</v>
      </c>
      <c r="BY752" s="125">
        <f>(BY715+BY718+BY716)/(BY733)*100</f>
        <v>60.102607952116294</v>
      </c>
      <c r="BZ752" s="98">
        <f t="shared" si="4651"/>
        <v>20.548513294248938</v>
      </c>
      <c r="CA752" s="125">
        <f>(CA715+CA718+CA716)/(CA733)*100</f>
        <v>63.403946604759142</v>
      </c>
      <c r="CB752" s="98">
        <f t="shared" si="4652"/>
        <v>15.887088412109396</v>
      </c>
      <c r="CC752" s="125">
        <f>(CC715+CC718+CC716)/(CC733)*100</f>
        <v>64.056595482907113</v>
      </c>
      <c r="CD752" s="98">
        <f t="shared" si="4653"/>
        <v>34.241740008925859</v>
      </c>
      <c r="CE752" s="125">
        <f>(CE715+CE718+CE716)/(CE733)*100</f>
        <v>81.962242562929063</v>
      </c>
      <c r="CF752" s="98">
        <f t="shared" si="4654"/>
        <v>56.034109313120808</v>
      </c>
      <c r="CG752" s="125">
        <f>(CG715+CG718+CG716)/(CG733)*100</f>
        <v>80.233354331571306</v>
      </c>
      <c r="CH752" s="98">
        <f t="shared" si="4655"/>
        <v>33.493964846738699</v>
      </c>
      <c r="CI752" s="125">
        <f>(CI715+CI718+CI716)/(CI733)*100</f>
        <v>82.192697617926285</v>
      </c>
      <c r="CJ752" s="98">
        <f t="shared" si="4656"/>
        <v>29.633409305402523</v>
      </c>
      <c r="CK752" s="125">
        <f>(CK715+CK718+CK716)/(CK733)*100</f>
        <v>79.487967005243192</v>
      </c>
      <c r="CL752" s="98">
        <f t="shared" si="4657"/>
        <v>24.090214920107321</v>
      </c>
      <c r="CM752" s="125">
        <f>(CM715+CM718+CM716)/(CM733)*100</f>
        <v>81.256584403649157</v>
      </c>
      <c r="CN752" s="98">
        <f t="shared" si="4658"/>
        <v>-0.86095516327303612</v>
      </c>
      <c r="CO752" s="125">
        <f>(CO715+CO718+CO716)/(CO733)*100</f>
        <v>80.731717984604629</v>
      </c>
      <c r="CP752" s="98">
        <f t="shared" si="4659"/>
        <v>0.62114273693929523</v>
      </c>
      <c r="CQ752" s="526">
        <f>(CQ715+CQ718+CQ716)/(CQ733)*100</f>
        <v>67.910296031229663</v>
      </c>
      <c r="CR752" s="98">
        <f t="shared" si="4659"/>
        <v>-17.376728104348793</v>
      </c>
      <c r="CS752" s="125">
        <f>(CS715+CS718+CS716)/(CS733)*100</f>
        <v>64.157589990687129</v>
      </c>
      <c r="CT752" s="98">
        <f t="shared" si="4659"/>
        <v>-19.286412261046802</v>
      </c>
      <c r="CU752" s="125">
        <f>(CU715+CU718+CU716)/(CU733)*100</f>
        <v>63.590502046274153</v>
      </c>
      <c r="CV752" s="98">
        <f t="shared" si="4660"/>
        <v>-21.741108720023473</v>
      </c>
      <c r="CW752" s="125">
        <f>(CW715+CW718+CW716)/(CW733)*100</f>
        <v>51.185403269543663</v>
      </c>
      <c r="CX752" s="98">
        <f t="shared" si="4661"/>
        <v>-36.598149342858513</v>
      </c>
      <c r="CY752" s="125">
        <f>(CY715+CY718+CY716)/(CY733)*100</f>
        <v>45.325756678899808</v>
      </c>
      <c r="CZ752" s="98">
        <f t="shared" si="4662"/>
        <v>-33.256428954372375</v>
      </c>
      <c r="DA752" s="125">
        <f>(DA715+DA718+DA716)/(DA733)*100</f>
        <v>43.934998235778416</v>
      </c>
      <c r="DB752" s="98">
        <f t="shared" si="4663"/>
        <v>-31.520186088417823</v>
      </c>
      <c r="DC752" s="125">
        <f>(DC715+DC718+DC716)/(DC733)*100</f>
        <v>42.588948058964263</v>
      </c>
      <c r="DD752" s="98">
        <f t="shared" si="4664"/>
        <v>-33.026243403499592</v>
      </c>
      <c r="DE752" s="125">
        <f>(DE715+DE718+DE716)/(DE733)*100</f>
        <v>42.367510964276747</v>
      </c>
      <c r="DF752" s="98">
        <f t="shared" si="4665"/>
        <v>-17.227357297219413</v>
      </c>
      <c r="DG752" s="125">
        <f>(DG715+DG718+DG716)/(DG733)*100</f>
        <v>40.167332899507294</v>
      </c>
      <c r="DH752" s="98">
        <f t="shared" si="4666"/>
        <v>-11.380778077101317</v>
      </c>
      <c r="DI752" s="125">
        <f>(DI715+DI718+DI716)/(DI733)*100</f>
        <v>41.717221506028665</v>
      </c>
      <c r="DJ752" s="98">
        <f t="shared" si="4667"/>
        <v>-5.0478589252422212</v>
      </c>
      <c r="DK752" s="125">
        <f>(DK715+DK718+DK716)/(DK733)*100</f>
        <v>37.543329978754329</v>
      </c>
      <c r="DL752" s="98">
        <f t="shared" si="4668"/>
        <v>-11.847247490650137</v>
      </c>
      <c r="DM752" s="125">
        <f>(DM715+DM718+DM716)/(DM733)*100</f>
        <v>36.774912331969603</v>
      </c>
      <c r="DN752" s="98">
        <f t="shared" si="4669"/>
        <v>-13.200205782734532</v>
      </c>
      <c r="DO752" s="125">
        <f>(DO715+DO718+DO716)/(DO733)*100</f>
        <v>35.499010969250136</v>
      </c>
      <c r="DP752" s="98">
        <f t="shared" si="4669"/>
        <v>-11.622185475786019</v>
      </c>
      <c r="DQ752" s="125">
        <f>(DQ715+DQ718+DQ716)/(DQ733)*100</f>
        <v>35.031574440757787</v>
      </c>
      <c r="DR752" s="98">
        <f t="shared" si="4669"/>
        <v>-16.026108220809288</v>
      </c>
      <c r="DS752" s="125">
        <f>(DS715+DS718+DS716)/(DS733)*100</f>
        <v>37.475983775706254</v>
      </c>
      <c r="DT752" s="98">
        <f t="shared" si="4669"/>
        <v>-0.17938260427667885</v>
      </c>
      <c r="DU752" s="125">
        <f>(DU715+DU718+DU716)/(DU733)*100</f>
        <v>35.517350937268333</v>
      </c>
      <c r="DV752" s="98">
        <f t="shared" si="4669"/>
        <v>-3.4196176549631918</v>
      </c>
      <c r="DW752" s="125">
        <f>(DW715+DW718+DW716)/(DW733)*100</f>
        <v>35.294530646633433</v>
      </c>
      <c r="DX752" s="98">
        <f t="shared" si="4669"/>
        <v>-0.57601695662402586</v>
      </c>
      <c r="DY752" s="125">
        <f>(DY715+DY718+DY716)/(DY733)*100</f>
        <v>38.061322602471421</v>
      </c>
      <c r="DZ752" s="98">
        <f t="shared" si="4669"/>
        <v>8.6486211655638421</v>
      </c>
      <c r="EA752" s="125">
        <f>(EA715+EA718+EA716)/(EA733)*100</f>
        <v>36.13264574297326</v>
      </c>
      <c r="EB752" s="98">
        <f t="shared" si="4670"/>
        <v>-3.5845304042526838</v>
      </c>
      <c r="EC752" s="125">
        <f>(EC715+EC718+EC716)/(EC733)*100</f>
        <v>33.937154684319459</v>
      </c>
      <c r="ED752" s="98">
        <f t="shared" si="4671"/>
        <v>-4.4490825223419854</v>
      </c>
      <c r="EE752" s="125">
        <f>(EE715+EE718+EE716)/(EE733)*100</f>
        <v>33.765591984186486</v>
      </c>
      <c r="EF752" s="860">
        <f t="shared" si="4672"/>
        <v>-4.3319421860417489</v>
      </c>
      <c r="EG752" s="125">
        <f>(EG715+EG718+EG716)/(EG733)*100</f>
        <v>36.070868153121921</v>
      </c>
      <c r="EH752" s="860">
        <f t="shared" si="4673"/>
        <v>-5.2295987455261317</v>
      </c>
      <c r="EI752" s="125">
        <f>(EI715+EI718+EI716)/(EI733)*100</f>
        <v>36.35110800779097</v>
      </c>
      <c r="EJ752" s="860">
        <f t="shared" si="4674"/>
        <v>0.60461186919917864</v>
      </c>
      <c r="EK752" s="818">
        <f>(EK715+EK718+EK716)/(EK733)*100</f>
        <v>36.658220356224689</v>
      </c>
      <c r="EL752" s="860">
        <f t="shared" si="4675"/>
        <v>8.0179546494582468</v>
      </c>
      <c r="EM752" s="818">
        <f>(EM715+EM718+EM716)/(EM733)*100</f>
        <v>46.574097803042655</v>
      </c>
      <c r="EN752" s="860">
        <f t="shared" si="4676"/>
        <v>37.933603607053023</v>
      </c>
      <c r="EO752" s="818">
        <f>(EO715+EO718+EO716)/(EO733)*100</f>
        <v>42.392784586877411</v>
      </c>
      <c r="EP752" s="98">
        <f t="shared" si="4677"/>
        <v>17.526377260782212</v>
      </c>
      <c r="EQ752" s="818">
        <f t="shared" ref="EQ752" si="4710">(EQ715+EQ718+EQ716)/(EQ733)*100</f>
        <v>43.318604263575473</v>
      </c>
      <c r="ER752" s="98">
        <f t="shared" si="4679"/>
        <v>19.167218381049601</v>
      </c>
      <c r="ES752" s="818">
        <f t="shared" ref="ES752" si="4711">(ES715+ES718+ES716)/(ES733)*100</f>
        <v>43.368932482056707</v>
      </c>
      <c r="ET752" s="98">
        <f t="shared" si="4681"/>
        <v>18.306159056879913</v>
      </c>
      <c r="EU752" s="818">
        <f t="shared" ref="EU752" si="4712">(EU715+EU718+EU716)/(EU733)*100</f>
        <v>43.300541824345672</v>
      </c>
      <c r="EV752" s="98">
        <f t="shared" si="4683"/>
        <v>-7.0287050809669687</v>
      </c>
      <c r="EW752" s="818">
        <f t="shared" ref="EW752" si="4713">(EW715+EW718+EW716)/(EW733)*100</f>
        <v>43.243205735705516</v>
      </c>
      <c r="EX752" s="98">
        <f t="shared" si="4685"/>
        <v>2.0060516361818603</v>
      </c>
      <c r="EY752" s="125"/>
      <c r="EZ752" s="594"/>
      <c r="FA752" s="405"/>
      <c r="FB752" s="289">
        <f>(FB715+FB718)/(FB733)*100</f>
        <v>21.536636013052508</v>
      </c>
      <c r="FC752" s="98"/>
      <c r="FD752" s="289">
        <f>(FD715+FD718)/(FD733)*100</f>
        <v>17.829787234042556</v>
      </c>
      <c r="FE752" s="98">
        <f t="shared" si="4686"/>
        <v>-17.211828146064111</v>
      </c>
      <c r="FF752" s="289">
        <f>(FF715+FF718)/(FF733)*100</f>
        <v>22.917481423543215</v>
      </c>
      <c r="FG752" s="98">
        <f t="shared" si="4687"/>
        <v>28.534800346841394</v>
      </c>
      <c r="FH752" s="289">
        <f>(FH715+FH718)/(FH733)*100</f>
        <v>33.942595037876153</v>
      </c>
      <c r="FI752" s="98">
        <f t="shared" si="4688"/>
        <v>48.107876300084172</v>
      </c>
      <c r="FJ752" s="289">
        <f>(FJ715+FJ718)/(FJ733)*100</f>
        <v>36.955390818051761</v>
      </c>
      <c r="FK752" s="98">
        <f t="shared" si="4689"/>
        <v>8.8761503851242587</v>
      </c>
      <c r="FL752" s="289">
        <f>(FL715+FL718)/(FL733)*100</f>
        <v>32.576128997112818</v>
      </c>
      <c r="FM752" s="98">
        <f t="shared" si="4690"/>
        <v>-11.850129910680817</v>
      </c>
      <c r="FN752" s="289">
        <f>(FN715+FN718)/(FN733)*100</f>
        <v>38.705456009663777</v>
      </c>
      <c r="FO752" s="98">
        <f t="shared" si="4691"/>
        <v>18.815393974815709</v>
      </c>
      <c r="FP752" s="289">
        <f>(FP715+FP718+FP716)/(FP733)*100</f>
        <v>45.238883371951893</v>
      </c>
      <c r="FQ752" s="98">
        <f t="shared" si="4692"/>
        <v>16.879861486858296</v>
      </c>
      <c r="FR752" s="289">
        <f>(FR715+FR718+FR716)/(FR733)*100</f>
        <v>37.916156670746631</v>
      </c>
      <c r="FS752" s="98">
        <f t="shared" si="4693"/>
        <v>-16.186798071469099</v>
      </c>
      <c r="FT752" s="289">
        <f>(FT715+FT718+FT716)/(FT733)*100</f>
        <v>50.765775601235219</v>
      </c>
      <c r="FU752" s="98">
        <f t="shared" si="4694"/>
        <v>33.889560701183697</v>
      </c>
      <c r="FV752" s="289">
        <f>(FV715+FV718+FV716)/(FV733)*100</f>
        <v>47.717345945194047</v>
      </c>
      <c r="FW752" s="98">
        <f t="shared" si="4695"/>
        <v>-6.0048913267603083</v>
      </c>
      <c r="FX752" s="526">
        <f>(FX715+FX718+FX716)/(FX733)*100</f>
        <v>64.056595482907113</v>
      </c>
      <c r="FY752" s="98">
        <f t="shared" si="4696"/>
        <v>34.241740008925859</v>
      </c>
      <c r="FZ752" s="289">
        <f>(FZ715+FZ718+FZ716)/(FZ733)*100</f>
        <v>79.487967005243192</v>
      </c>
      <c r="GA752" s="98">
        <f t="shared" si="4697"/>
        <v>24.090214920107321</v>
      </c>
      <c r="GB752" s="526">
        <f>(GB715+GB718+GB716)/(GB733)*100</f>
        <v>64.157589990687129</v>
      </c>
      <c r="GC752" s="98">
        <f t="shared" si="4698"/>
        <v>-19.286412261046802</v>
      </c>
      <c r="GD752" s="289">
        <f>(GD715+GD718+GD716)/(GD733)*100</f>
        <v>43.934998235778416</v>
      </c>
      <c r="GE752" s="98">
        <f t="shared" si="4699"/>
        <v>-31.520186088417823</v>
      </c>
      <c r="GF752" s="289">
        <f>(GF715+GF718+GF716)/(GF733)*100</f>
        <v>41.717221506028665</v>
      </c>
      <c r="GG752" s="98">
        <f t="shared" si="4699"/>
        <v>-5.0478589252422212</v>
      </c>
      <c r="GH752" s="289">
        <f>(GH715+GH718+GH716)/(GH733)*100</f>
        <v>35.031574440757787</v>
      </c>
      <c r="GI752" s="98">
        <f t="shared" si="4699"/>
        <v>-16.026108220809288</v>
      </c>
      <c r="GJ752" s="289">
        <f>(GJ715+GJ718+GJ716)/(GJ733)*100</f>
        <v>38.061322602471421</v>
      </c>
      <c r="GK752" s="98">
        <f t="shared" si="4699"/>
        <v>8.6486211655638421</v>
      </c>
      <c r="GL752" s="289">
        <f>(GL715+GL718+GL716)/(GL733)*100</f>
        <v>36.070868153121921</v>
      </c>
      <c r="GM752" s="98">
        <f t="shared" si="4699"/>
        <v>-5.2295987455261317</v>
      </c>
      <c r="GN752" s="289">
        <f>(GN715+GN718+GN716)/(GN733)*100</f>
        <v>42.392784586877411</v>
      </c>
      <c r="GO752" s="98">
        <f t="shared" si="4699"/>
        <v>17.526377260782212</v>
      </c>
      <c r="GP752" s="289">
        <f>(GP715+GP718+GP716)/(GP733)*100</f>
        <v>43.243205735705516</v>
      </c>
      <c r="GQ752" s="98">
        <f t="shared" si="4699"/>
        <v>2.0060516361818603</v>
      </c>
      <c r="GR752" s="125">
        <f>(GR715+GR718+GR716)/(GR733)*100</f>
        <v>38.164960255781374</v>
      </c>
      <c r="GS752" s="98">
        <f t="shared" si="4699"/>
        <v>-11.743452858147108</v>
      </c>
      <c r="GT752" s="125">
        <f>(GT715+GT718+GT716)/(GT733)*100</f>
        <v>33.117139742156873</v>
      </c>
      <c r="GU752" s="98">
        <f t="shared" si="4699"/>
        <v>-13.226321945035535</v>
      </c>
      <c r="GV752" s="125">
        <f>(GV715+GV718+GV716)/(GV733)*100</f>
        <v>28.171871148009643</v>
      </c>
      <c r="GW752" s="98">
        <f t="shared" si="4699"/>
        <v>-14.932656119006825</v>
      </c>
      <c r="GX752" s="125">
        <f>(GX715+GX718+GX716)/(GX733)*100</f>
        <v>23.378985339910646</v>
      </c>
      <c r="GY752" s="98">
        <f t="shared" si="4700"/>
        <v>-17.013019060459587</v>
      </c>
      <c r="GZ752" s="98">
        <f t="shared" si="4701"/>
        <v>-11.221716696350637</v>
      </c>
      <c r="HA752" s="98"/>
      <c r="HB752" s="10"/>
      <c r="HC752"/>
      <c r="HD752"/>
      <c r="HE752"/>
      <c r="HF752"/>
      <c r="HG752"/>
      <c r="HH752"/>
      <c r="HI752" s="10"/>
    </row>
    <row r="753" spans="1:217" s="2" customFormat="1" ht="12.75" customHeight="1" x14ac:dyDescent="0.2">
      <c r="A753" s="10"/>
      <c r="B753" s="179" t="s">
        <v>556</v>
      </c>
      <c r="C753" s="289">
        <f>C733/C707*100</f>
        <v>7.9530450798300221</v>
      </c>
      <c r="D753" s="98"/>
      <c r="E753" s="289">
        <f>E733/E707*100</f>
        <v>8.2929085472956228</v>
      </c>
      <c r="F753" s="98"/>
      <c r="G753" s="289">
        <f>G733/G707*100</f>
        <v>8.2890355424627931</v>
      </c>
      <c r="H753" s="98"/>
      <c r="I753" s="289">
        <f>I733/I707*100</f>
        <v>8.3507056896054337</v>
      </c>
      <c r="J753" s="98"/>
      <c r="K753" s="289">
        <f>K733/K707*100</f>
        <v>8.1680633023579166</v>
      </c>
      <c r="L753" s="98">
        <f t="shared" si="4618"/>
        <v>2.7035961744163783</v>
      </c>
      <c r="M753" s="289">
        <f>M733/M707*100</f>
        <v>8.2029319716685887</v>
      </c>
      <c r="N753" s="98">
        <f t="shared" si="4619"/>
        <v>-1.084982127969758</v>
      </c>
      <c r="O753" s="289">
        <f>O733/O707*100</f>
        <v>7.9221120033590511</v>
      </c>
      <c r="P753" s="98">
        <f t="shared" si="4620"/>
        <v>-4.4266131713886159</v>
      </c>
      <c r="Q753" s="289">
        <f>Q733/Q707*100</f>
        <v>7.4715836808025626</v>
      </c>
      <c r="R753" s="98">
        <f t="shared" si="4621"/>
        <v>-10.527517571325273</v>
      </c>
      <c r="S753" s="289">
        <f>S733/S707*100</f>
        <v>7.4101750435049647</v>
      </c>
      <c r="T753" s="98">
        <f t="shared" si="4622"/>
        <v>-9.2786775860829618</v>
      </c>
      <c r="U753" s="289">
        <f>U733/U707*100</f>
        <v>7.318070522762067</v>
      </c>
      <c r="V753" s="98">
        <f t="shared" si="4623"/>
        <v>-10.787136257653597</v>
      </c>
      <c r="W753" s="289">
        <f>W733/W707*100</f>
        <v>7.1291761163309246</v>
      </c>
      <c r="X753" s="98">
        <f t="shared" si="4624"/>
        <v>-10.00914764512183</v>
      </c>
      <c r="Y753" s="289">
        <f>Y733/Y707*100</f>
        <v>7.1284870622919811</v>
      </c>
      <c r="Z753" s="98">
        <f t="shared" si="4625"/>
        <v>-4.5920200210315727</v>
      </c>
      <c r="AA753" s="289">
        <f>AA733/AA707*100</f>
        <v>7.0212955935532841</v>
      </c>
      <c r="AB753" s="98">
        <f t="shared" si="4626"/>
        <v>-5.2479117924823404</v>
      </c>
      <c r="AC753" s="289">
        <f>AC733/AC707*100</f>
        <v>7.2439093768824039</v>
      </c>
      <c r="AD753" s="98">
        <f t="shared" si="4627"/>
        <v>-1.0133975294306485</v>
      </c>
      <c r="AE753" s="289">
        <f>AE733/AE707*100</f>
        <v>7.3957747875822388</v>
      </c>
      <c r="AF753" s="98">
        <f t="shared" si="4628"/>
        <v>3.7395439094373373</v>
      </c>
      <c r="AG753" s="289">
        <f>AG733/AG707*100</f>
        <v>7.3932813248863232</v>
      </c>
      <c r="AH753" s="98">
        <f t="shared" si="4629"/>
        <v>3.7145927358841924</v>
      </c>
      <c r="AI753" s="125">
        <f>AI733/AI707*100</f>
        <v>7.4065657653986747</v>
      </c>
      <c r="AJ753" s="98">
        <f t="shared" si="4630"/>
        <v>5.4871663884815236</v>
      </c>
      <c r="AK753" s="125">
        <f>AK733/AK707*100</f>
        <v>7.6714688869139502</v>
      </c>
      <c r="AL753" s="98">
        <f t="shared" si="4631"/>
        <v>5.9023310175031041</v>
      </c>
      <c r="AM753" s="125">
        <f>AM733/AM707*100</f>
        <v>7.6967376297663632</v>
      </c>
      <c r="AN753" s="98">
        <f t="shared" si="4632"/>
        <v>4.069388952857933</v>
      </c>
      <c r="AO753" s="125">
        <f>AO733/AO707*100</f>
        <v>7.4388860391713436</v>
      </c>
      <c r="AP753" s="98">
        <f t="shared" si="4633"/>
        <v>0.61683996971022559</v>
      </c>
      <c r="AQ753" s="125">
        <f>AQ733/AQ707*100</f>
        <v>7.6009449311867332</v>
      </c>
      <c r="AR753" s="98">
        <f t="shared" si="4634"/>
        <v>2.6244169287761077</v>
      </c>
      <c r="AS753" s="125">
        <f>AS733/AS707*100</f>
        <v>7.9784140786176154</v>
      </c>
      <c r="AT753" s="98">
        <f t="shared" si="4635"/>
        <v>4.0011267232961778</v>
      </c>
      <c r="AU753" s="125">
        <f>AU733/AU707*100</f>
        <v>6.9601934429995991</v>
      </c>
      <c r="AV753" s="98">
        <f t="shared" si="4636"/>
        <v>-9.5695633942133203</v>
      </c>
      <c r="AW753" s="125">
        <f>AW733/AW707*100</f>
        <v>7.155478791362321</v>
      </c>
      <c r="AX753" s="98">
        <f t="shared" si="4637"/>
        <v>-3.8098076286781302</v>
      </c>
      <c r="AY753" s="125">
        <f>AY733/AY707*100</f>
        <v>7.0862591874094925</v>
      </c>
      <c r="AZ753" s="98">
        <f t="shared" si="4638"/>
        <v>-6.7713389379454814</v>
      </c>
      <c r="BA753" s="125">
        <f>BA733/BA707*100</f>
        <v>7.2263197599005737</v>
      </c>
      <c r="BB753" s="98">
        <f t="shared" si="4639"/>
        <v>-9.4266142532345665</v>
      </c>
      <c r="BC753" s="125">
        <f>BC733/BC707*100</f>
        <v>7.3419534513626417</v>
      </c>
      <c r="BD753" s="98">
        <f t="shared" si="4640"/>
        <v>5.4849051465230225</v>
      </c>
      <c r="BE753" s="125">
        <f>BE733/BE707*100</f>
        <v>8.0155507649804303</v>
      </c>
      <c r="BF753" s="98">
        <f t="shared" si="4641"/>
        <v>12.019768329917181</v>
      </c>
      <c r="BG753" s="125">
        <f>BG733/BG707*100</f>
        <v>7.8708284609157149</v>
      </c>
      <c r="BH753" s="98">
        <f t="shared" si="4642"/>
        <v>11.071698801254758</v>
      </c>
      <c r="BI753" s="125">
        <f>BI733/BI707*100</f>
        <v>8.0109112616209224</v>
      </c>
      <c r="BJ753" s="98">
        <f t="shared" si="4643"/>
        <v>10.857414670107879</v>
      </c>
      <c r="BK753" s="125">
        <f>BK733/BK707*100</f>
        <v>8.1037743810719967</v>
      </c>
      <c r="BL753" s="98">
        <f t="shared" si="4644"/>
        <v>10.376270222306626</v>
      </c>
      <c r="BM753" s="125">
        <f>BM733/BM707*100</f>
        <v>8.0567255400637325</v>
      </c>
      <c r="BN753" s="98">
        <f t="shared" si="4645"/>
        <v>0.51368616194402694</v>
      </c>
      <c r="BO753" s="125">
        <f>BO733/BO707*100</f>
        <v>8.4600735313566275</v>
      </c>
      <c r="BP753" s="98">
        <f t="shared" si="4646"/>
        <v>7.486442797819004</v>
      </c>
      <c r="BQ753" s="125">
        <f>BQ733/BQ707*100</f>
        <v>8.0645988834459246</v>
      </c>
      <c r="BR753" s="98">
        <f t="shared" si="4647"/>
        <v>0.67018120750146348</v>
      </c>
      <c r="BS753" s="125">
        <f>BS733/BS707*100</f>
        <v>8.5671691663132457</v>
      </c>
      <c r="BT753" s="98">
        <f t="shared" si="4648"/>
        <v>5.7182587205734769</v>
      </c>
      <c r="BU753" s="125">
        <f>BU733/BU707*100</f>
        <v>9.0978809998683854</v>
      </c>
      <c r="BV753" s="98">
        <f t="shared" si="4649"/>
        <v>12.922811564416481</v>
      </c>
      <c r="BW753" s="125">
        <f>BW733/BW707*100</f>
        <v>9.2828746177370025</v>
      </c>
      <c r="BX753" s="98">
        <f t="shared" si="4650"/>
        <v>9.7256966305401917</v>
      </c>
      <c r="BY753" s="125">
        <f>BY733/BY707*100</f>
        <v>8.9428863461994332</v>
      </c>
      <c r="BZ753" s="98">
        <f t="shared" si="4651"/>
        <v>10.890652783194898</v>
      </c>
      <c r="CA753" s="125">
        <f>CA733/CA707*100</f>
        <v>8.7686263333604764</v>
      </c>
      <c r="CB753" s="98">
        <f t="shared" si="4652"/>
        <v>2.3515021489172394</v>
      </c>
      <c r="CC753" s="125">
        <f>CC733/CC707*100</f>
        <v>8.6789497903801127</v>
      </c>
      <c r="CD753" s="98">
        <f t="shared" si="4653"/>
        <v>-4.6047119048307277</v>
      </c>
      <c r="CE753" s="125">
        <f>CE733/CE707*100</f>
        <v>8.5580347853759431</v>
      </c>
      <c r="CF753" s="98">
        <f t="shared" si="4654"/>
        <v>-7.8083553016658369</v>
      </c>
      <c r="CG753" s="125">
        <f>CG733/CG707*100</f>
        <v>8.6953104719535688</v>
      </c>
      <c r="CH753" s="98">
        <f t="shared" si="4655"/>
        <v>-2.7684112786592663</v>
      </c>
      <c r="CI753" s="125">
        <f>CI733/CI707*100</f>
        <v>9.1472221403452298</v>
      </c>
      <c r="CJ753" s="98">
        <f t="shared" si="4656"/>
        <v>4.3176182059939672</v>
      </c>
      <c r="CK753" s="125">
        <f>CK733/CK707*100</f>
        <v>8.3368082989494638</v>
      </c>
      <c r="CL753" s="98">
        <f t="shared" si="4657"/>
        <v>-3.9421992256469141</v>
      </c>
      <c r="CM753" s="125">
        <f>CM733/CM707*100</f>
        <v>8.0920483422483169</v>
      </c>
      <c r="CN753" s="98">
        <f t="shared" si="4658"/>
        <v>-5.4450169322039716</v>
      </c>
      <c r="CO753" s="125">
        <f>CO733/CO707*100</f>
        <v>8.1285840748865006</v>
      </c>
      <c r="CP753" s="98">
        <f t="shared" si="4659"/>
        <v>-6.5176096804711587</v>
      </c>
      <c r="CQ753" s="526">
        <f>CQ733/CQ707*100</f>
        <v>8.42819565943811</v>
      </c>
      <c r="CR753" s="98">
        <f t="shared" si="4659"/>
        <v>-7.8605993150176463</v>
      </c>
      <c r="CS753" s="125">
        <f>CS733/CS707*100</f>
        <v>8.4129309170186666</v>
      </c>
      <c r="CT753" s="98">
        <f t="shared" si="4659"/>
        <v>0.91309066179192655</v>
      </c>
      <c r="CU753" s="125">
        <f>CU733/CU707*100</f>
        <v>8.3606188057178379</v>
      </c>
      <c r="CV753" s="98">
        <f t="shared" si="4660"/>
        <v>3.318942894437793</v>
      </c>
      <c r="CW753" s="125">
        <f>CW733/CW707*100</f>
        <v>8.6604544272689896</v>
      </c>
      <c r="CX753" s="98">
        <f t="shared" si="4661"/>
        <v>6.5432103239937867</v>
      </c>
      <c r="CY753" s="125">
        <f>CY733/CY707*100</f>
        <v>8.4811081901045373</v>
      </c>
      <c r="CZ753" s="98">
        <f t="shared" si="4662"/>
        <v>0.62780377680451416</v>
      </c>
      <c r="DA753" s="125">
        <f>DA733/DA707*100</f>
        <v>8.6465725748358864</v>
      </c>
      <c r="DB753" s="98">
        <f t="shared" si="4663"/>
        <v>2.7771731412245648</v>
      </c>
      <c r="DC753" s="125">
        <f>DC733/DC707*100</f>
        <v>8.9069145965268053</v>
      </c>
      <c r="DD753" s="98">
        <f t="shared" si="4664"/>
        <v>6.5341549890464368</v>
      </c>
      <c r="DE753" s="125">
        <f>DE733/DE707*100</f>
        <v>9.178966707868776</v>
      </c>
      <c r="DF753" s="98">
        <f t="shared" si="4665"/>
        <v>5.9871255596837702</v>
      </c>
      <c r="DG753" s="125">
        <f>DG733/DG707*100</f>
        <v>9.5652978073708894</v>
      </c>
      <c r="DH753" s="98">
        <f t="shared" si="4666"/>
        <v>12.783584326059504</v>
      </c>
      <c r="DI753" s="125">
        <f>DI733/DI707*100</f>
        <v>9.3969344345235974</v>
      </c>
      <c r="DJ753" s="98">
        <f t="shared" si="4667"/>
        <v>8.678142156251468</v>
      </c>
      <c r="DK753" s="125">
        <f>DK733/DK707*100</f>
        <v>9.5069018853282454</v>
      </c>
      <c r="DL753" s="98">
        <f t="shared" si="4668"/>
        <v>6.7361967188436012</v>
      </c>
      <c r="DM753" s="125">
        <f>DM733/DM707*100</f>
        <v>9.5495564632874395</v>
      </c>
      <c r="DN753" s="98">
        <f t="shared" si="4669"/>
        <v>4.037379883957648</v>
      </c>
      <c r="DO753" s="125">
        <f>DO733/DO707*100</f>
        <v>9.6545976961605557</v>
      </c>
      <c r="DP753" s="98">
        <f t="shared" si="4669"/>
        <v>0.93358189768908417</v>
      </c>
      <c r="DQ753" s="125">
        <f>DQ733/DQ707*100</f>
        <v>9.810795059775181</v>
      </c>
      <c r="DR753" s="98">
        <f t="shared" si="4669"/>
        <v>4.4042089272336771</v>
      </c>
      <c r="DS753" s="125">
        <f>DS733/DS707*100</f>
        <v>9.6992326818519849</v>
      </c>
      <c r="DT753" s="98">
        <f t="shared" si="4669"/>
        <v>2.0230649147706004</v>
      </c>
      <c r="DU753" s="125">
        <f>DU733/DU707*100</f>
        <v>9.9694690070828393</v>
      </c>
      <c r="DV753" s="98">
        <f t="shared" si="4669"/>
        <v>4.3971942090684779</v>
      </c>
      <c r="DW753" s="125">
        <f>DW733/DW707*100</f>
        <v>9.9645646843178621</v>
      </c>
      <c r="DX753" s="98">
        <f t="shared" si="4669"/>
        <v>3.210563483971729</v>
      </c>
      <c r="DY753" s="125">
        <f>DY733/DY707*100</f>
        <v>9.9118623966227446</v>
      </c>
      <c r="DZ753" s="98">
        <f t="shared" si="4669"/>
        <v>1.0301645914707391</v>
      </c>
      <c r="EA753" s="125">
        <f>EA733/EA707*100</f>
        <v>8.2521207338725588</v>
      </c>
      <c r="EB753" s="98">
        <f t="shared" si="4670"/>
        <v>-14.91986011106925</v>
      </c>
      <c r="EC753" s="125">
        <f>EC733/EC707*100</f>
        <v>8.0335904423071369</v>
      </c>
      <c r="ED753" s="98">
        <f t="shared" si="4671"/>
        <v>-19.418070946410005</v>
      </c>
      <c r="EE753" s="125">
        <f>EE733/EE707*100</f>
        <v>7.9848803778272748</v>
      </c>
      <c r="EF753" s="860">
        <f t="shared" si="4672"/>
        <v>-19.867243268601541</v>
      </c>
      <c r="EG753" s="125">
        <f>EG733/EG707*100</f>
        <v>7.9139152697295563</v>
      </c>
      <c r="EH753" s="860">
        <f t="shared" si="4673"/>
        <v>-20.157131394135842</v>
      </c>
      <c r="EI753" s="125">
        <f>EI733/EI707*100</f>
        <v>7.7602371619280381</v>
      </c>
      <c r="EJ753" s="860">
        <f t="shared" si="4674"/>
        <v>-5.9606928668103691</v>
      </c>
      <c r="EK753" s="818">
        <f>EK733/EK707*100</f>
        <v>7.6452746413648285</v>
      </c>
      <c r="EL753" s="860">
        <f t="shared" si="4675"/>
        <v>-4.8336519484155964</v>
      </c>
      <c r="EM753" s="818">
        <f>EM733/EM707*100</f>
        <v>8.4886611516638943</v>
      </c>
      <c r="EN753" s="860">
        <f t="shared" si="4676"/>
        <v>6.3091837322389654</v>
      </c>
      <c r="EO753" s="818">
        <f>EO733/EO707*100</f>
        <v>8.9038590744105228</v>
      </c>
      <c r="EP753" s="98">
        <f t="shared" si="4677"/>
        <v>12.508900726641169</v>
      </c>
      <c r="EQ753" s="842">
        <f t="shared" ref="EQ753" si="4714">EQ733/EQ707*100</f>
        <v>8.6511052614125088</v>
      </c>
      <c r="ER753" s="98">
        <f t="shared" si="4679"/>
        <v>11.479908163826448</v>
      </c>
      <c r="ES753" s="842">
        <f t="shared" ref="ES753" si="4715">ES733/ES707*100</f>
        <v>8.5791207019897175</v>
      </c>
      <c r="ET753" s="98">
        <f t="shared" si="4681"/>
        <v>12.2146829830325</v>
      </c>
      <c r="EU753" s="842">
        <f t="shared" ref="EU753" si="4716">EU733/EU707*100</f>
        <v>8.5310652966789018</v>
      </c>
      <c r="EV753" s="98">
        <f t="shared" si="4683"/>
        <v>0.49953866996677032</v>
      </c>
      <c r="EW753" s="842">
        <f t="shared" ref="EW753" si="4717">EW733/EW707*100</f>
        <v>8.4811242802048383</v>
      </c>
      <c r="EX753" s="98">
        <f t="shared" si="4685"/>
        <v>-4.7477704967345495</v>
      </c>
      <c r="EY753" s="289"/>
      <c r="EZ753" s="594"/>
      <c r="FA753" s="405"/>
      <c r="FB753" s="289">
        <f>FB733/FB707*100</f>
        <v>8.6494669454886015</v>
      </c>
      <c r="FC753" s="98"/>
      <c r="FD753" s="289">
        <f>FD733/FD707*100</f>
        <v>8.6778309115415144</v>
      </c>
      <c r="FE753" s="98">
        <f t="shared" si="4686"/>
        <v>0.32792733045481359</v>
      </c>
      <c r="FF753" s="289">
        <f>FF733/FF707*100</f>
        <v>8.3507056896054337</v>
      </c>
      <c r="FG753" s="98">
        <f t="shared" si="4687"/>
        <v>-3.769665775591502</v>
      </c>
      <c r="FH753" s="289">
        <f>FH733/FH707*100</f>
        <v>7.4715836808025626</v>
      </c>
      <c r="FI753" s="98">
        <f t="shared" si="4688"/>
        <v>-10.527517571325273</v>
      </c>
      <c r="FJ753" s="289">
        <f>FJ733/FJ707*100</f>
        <v>7.1284870622919811</v>
      </c>
      <c r="FK753" s="98">
        <f t="shared" si="4689"/>
        <v>-4.5920200210315727</v>
      </c>
      <c r="FL753" s="289">
        <f>FL733/FL707*100</f>
        <v>7.3932813248863232</v>
      </c>
      <c r="FM753" s="98">
        <f t="shared" si="4690"/>
        <v>3.7145927358841924</v>
      </c>
      <c r="FN753" s="289">
        <f>FN733/FN707*100</f>
        <v>7.4388860391713436</v>
      </c>
      <c r="FO753" s="98">
        <f t="shared" si="4691"/>
        <v>0.61683996971022559</v>
      </c>
      <c r="FP753" s="289">
        <f>FP733/FP707*100</f>
        <v>7.73652176634788</v>
      </c>
      <c r="FQ753" s="98">
        <f t="shared" si="4692"/>
        <v>4.0010792692515951</v>
      </c>
      <c r="FR753" s="289">
        <f>FR733/FR707*100</f>
        <v>8.5497812846648102</v>
      </c>
      <c r="FS753" s="98">
        <f t="shared" si="4693"/>
        <v>10.511952824257854</v>
      </c>
      <c r="FT753" s="289">
        <f>FT733/FT707*100</f>
        <v>8.0567255400637325</v>
      </c>
      <c r="FU753" s="98">
        <f t="shared" si="4694"/>
        <v>-5.7668813760819777</v>
      </c>
      <c r="FV753" s="289">
        <f>FV733/FV707*100</f>
        <v>9.0978809998683854</v>
      </c>
      <c r="FW753" s="98">
        <f t="shared" si="4695"/>
        <v>12.922811564416481</v>
      </c>
      <c r="FX753" s="526">
        <f>FX733/FX707*100</f>
        <v>8.6789497903801127</v>
      </c>
      <c r="FY753" s="98">
        <f t="shared" si="4696"/>
        <v>-4.6047119048307277</v>
      </c>
      <c r="FZ753" s="289">
        <f>FZ733/FZ707*100</f>
        <v>8.3368082989494638</v>
      </c>
      <c r="GA753" s="98">
        <f t="shared" si="4697"/>
        <v>-3.9421992256469141</v>
      </c>
      <c r="GB753" s="526">
        <f>GB733/GB707*100</f>
        <v>8.4129309170186666</v>
      </c>
      <c r="GC753" s="98">
        <f t="shared" si="4698"/>
        <v>0.91309066179192655</v>
      </c>
      <c r="GD753" s="289">
        <f>GD733/GD707*100</f>
        <v>8.6465725748358864</v>
      </c>
      <c r="GE753" s="98">
        <f t="shared" si="4699"/>
        <v>2.7771731412245648</v>
      </c>
      <c r="GF753" s="289">
        <f>GF733/GF707*100</f>
        <v>9.3969344345235974</v>
      </c>
      <c r="GG753" s="98">
        <f t="shared" si="4699"/>
        <v>8.678142156251468</v>
      </c>
      <c r="GH753" s="289">
        <f>GH733/GH707*100</f>
        <v>9.810795059775181</v>
      </c>
      <c r="GI753" s="98">
        <f t="shared" si="4699"/>
        <v>4.4042089272336771</v>
      </c>
      <c r="GJ753" s="289">
        <f>GJ733/GJ707*100</f>
        <v>9.9118623966227446</v>
      </c>
      <c r="GK753" s="98">
        <f t="shared" si="4699"/>
        <v>1.0301645914707391</v>
      </c>
      <c r="GL753" s="289">
        <f>GL733/GL707*100</f>
        <v>7.9139152697295563</v>
      </c>
      <c r="GM753" s="98">
        <f t="shared" si="4699"/>
        <v>-20.157131394135842</v>
      </c>
      <c r="GN753" s="289">
        <f>GN733/GN707*100</f>
        <v>8.9038590744105228</v>
      </c>
      <c r="GO753" s="98">
        <f t="shared" si="4699"/>
        <v>12.508900726641169</v>
      </c>
      <c r="GP753" s="289">
        <f>GP733/GP707*100</f>
        <v>8.4811242802048383</v>
      </c>
      <c r="GQ753" s="98">
        <f t="shared" si="4699"/>
        <v>-4.7477704967345495</v>
      </c>
      <c r="GR753" s="289">
        <f>GR733/GR707*100</f>
        <v>8.3618287996302136</v>
      </c>
      <c r="GS753" s="98">
        <f t="shared" si="4699"/>
        <v>-1.4065998402247648</v>
      </c>
      <c r="GT753" s="289">
        <f>GT733/GT707*100</f>
        <v>8.2683877595873501</v>
      </c>
      <c r="GU753" s="98">
        <f t="shared" si="4699"/>
        <v>-1.1174713364975331</v>
      </c>
      <c r="GV753" s="289">
        <f>GV733/GV707*100</f>
        <v>8.1909992405228138</v>
      </c>
      <c r="GW753" s="98">
        <f t="shared" si="4699"/>
        <v>-0.93595657720336733</v>
      </c>
      <c r="GX753" s="289">
        <f>GX733/GX707*100</f>
        <v>8.1200339388462499</v>
      </c>
      <c r="GY753" s="98">
        <f t="shared" si="4700"/>
        <v>-0.86638149501323536</v>
      </c>
      <c r="GZ753" s="98">
        <f t="shared" si="4701"/>
        <v>-1.8261295004048161</v>
      </c>
      <c r="HA753" s="98"/>
      <c r="HB753" s="10"/>
      <c r="HC753"/>
      <c r="HD753"/>
      <c r="HE753"/>
      <c r="HF753"/>
      <c r="HG753"/>
      <c r="HH753"/>
      <c r="HI753" s="10"/>
    </row>
    <row r="754" spans="1:217" s="2" customFormat="1" ht="12.75" customHeight="1" x14ac:dyDescent="0.2">
      <c r="B754" s="179" t="s">
        <v>334</v>
      </c>
      <c r="C754" s="26">
        <f>C733/C704*100</f>
        <v>5.5989501968380928</v>
      </c>
      <c r="D754" s="98"/>
      <c r="E754" s="26">
        <f>E733/E704*100</f>
        <v>5.9103306190522913</v>
      </c>
      <c r="F754" s="98"/>
      <c r="G754" s="26">
        <f>G733/G704*100</f>
        <v>5.8682118459429331</v>
      </c>
      <c r="H754" s="98"/>
      <c r="I754" s="26">
        <f>I733/I704*100</f>
        <v>6.0160459261699177</v>
      </c>
      <c r="J754" s="98"/>
      <c r="K754" s="26">
        <f>K733/K704*100</f>
        <v>6.055538943359406</v>
      </c>
      <c r="L754" s="98">
        <f t="shared" si="4618"/>
        <v>8.1548992305586765</v>
      </c>
      <c r="M754" s="26">
        <f>M733/M704*100</f>
        <v>6.0574908380352985</v>
      </c>
      <c r="N754" s="98">
        <f t="shared" si="4619"/>
        <v>2.4898813360563654</v>
      </c>
      <c r="O754" s="26">
        <f>O733/O704*100</f>
        <v>5.9900628611340396</v>
      </c>
      <c r="P754" s="98">
        <f t="shared" si="4620"/>
        <v>2.0764590370974778</v>
      </c>
      <c r="Q754" s="26">
        <f>Q733/Q704*100</f>
        <v>5.5994863213604704</v>
      </c>
      <c r="R754" s="98">
        <f t="shared" si="4621"/>
        <v>-6.9241426997324718</v>
      </c>
      <c r="S754" s="26">
        <f>S733/S704*100</f>
        <v>5.5951460813108671</v>
      </c>
      <c r="T754" s="98">
        <f t="shared" si="4622"/>
        <v>-7.6028387622444793</v>
      </c>
      <c r="U754" s="26">
        <f>U733/U704*100</f>
        <v>5.6165154258026737</v>
      </c>
      <c r="V754" s="98">
        <f t="shared" si="4623"/>
        <v>-7.2798362230070186</v>
      </c>
      <c r="W754" s="26">
        <f>W733/W704*100</f>
        <v>5.5822299820553862</v>
      </c>
      <c r="X754" s="98">
        <f t="shared" si="4624"/>
        <v>-6.808490804409395</v>
      </c>
      <c r="Y754" s="26">
        <f>Y733/Y704*100</f>
        <v>5.543099781563372</v>
      </c>
      <c r="Z754" s="98">
        <f t="shared" si="4625"/>
        <v>-1.0069948663326445</v>
      </c>
      <c r="AA754" s="26">
        <f>AA733/AA704*100</f>
        <v>5.4812806267905563</v>
      </c>
      <c r="AB754" s="98">
        <f t="shared" si="4626"/>
        <v>-2.0350756327998099</v>
      </c>
      <c r="AC754" s="26">
        <f>AC733/AC704*100</f>
        <v>5.5893383943038266</v>
      </c>
      <c r="AD754" s="98">
        <f t="shared" si="4627"/>
        <v>-0.48387709172833526</v>
      </c>
      <c r="AE754" s="26">
        <f>AE733/AE704*100</f>
        <v>5.6815764660315002</v>
      </c>
      <c r="AF754" s="98">
        <f t="shared" si="4628"/>
        <v>1.7796917055634243</v>
      </c>
      <c r="AG754" s="26">
        <f>AG733/AG704*100</f>
        <v>5.6164924229212367</v>
      </c>
      <c r="AH754" s="98">
        <f t="shared" si="4629"/>
        <v>1.3240360854042788</v>
      </c>
      <c r="AI754" s="218">
        <f>AI733/AI704*100</f>
        <v>5.6092791672724784</v>
      </c>
      <c r="AJ754" s="98">
        <f t="shared" si="4630"/>
        <v>2.3351940759301915</v>
      </c>
      <c r="AK754" s="218">
        <f>AK733/AK704*100</f>
        <v>5.8225743464729067</v>
      </c>
      <c r="AL754" s="98">
        <f t="shared" si="4631"/>
        <v>4.1728722742350621</v>
      </c>
      <c r="AM754" s="218">
        <f>AM733/AM704*100</f>
        <v>5.8296767260678788</v>
      </c>
      <c r="AN754" s="98">
        <f t="shared" si="4632"/>
        <v>2.6066754697719352</v>
      </c>
      <c r="AO754" s="218">
        <f>AO733/AO704*100</f>
        <v>5.5682608013273249</v>
      </c>
      <c r="AP754" s="98">
        <f t="shared" si="4633"/>
        <v>-0.85874987380158974</v>
      </c>
      <c r="AQ754" s="218">
        <f>AQ733/AQ704*100</f>
        <v>5.757835614096523</v>
      </c>
      <c r="AR754" s="98">
        <f t="shared" si="4634"/>
        <v>2.6484053011802677</v>
      </c>
      <c r="AS754" s="218">
        <f>AS733/AS704*100</f>
        <v>6.0427705141952277</v>
      </c>
      <c r="AT754" s="98">
        <f t="shared" si="4635"/>
        <v>3.7817665283347957</v>
      </c>
      <c r="AU754" s="218">
        <f>AU733/AU704*100</f>
        <v>5.1449922227584253</v>
      </c>
      <c r="AV754" s="98">
        <f t="shared" si="4636"/>
        <v>-11.744810827122375</v>
      </c>
      <c r="AW754" s="218">
        <f>AW733/AW704*100</f>
        <v>5.2256981243428129</v>
      </c>
      <c r="AX754" s="98">
        <f t="shared" si="4637"/>
        <v>-6.1520587703588596</v>
      </c>
      <c r="AY754" s="125">
        <f>AY733/AY704*100</f>
        <v>5.1963326133736194</v>
      </c>
      <c r="AZ754" s="98">
        <f t="shared" si="4638"/>
        <v>-9.7519804029870816</v>
      </c>
      <c r="BA754" s="125">
        <f>BA733/BA704*100</f>
        <v>5.3227531205964365</v>
      </c>
      <c r="BB754" s="98">
        <f t="shared" si="4639"/>
        <v>-11.915352269416479</v>
      </c>
      <c r="BC754" s="125">
        <f>BC733/BC704*100</f>
        <v>5.3626018528204948</v>
      </c>
      <c r="BD754" s="98">
        <f t="shared" si="4640"/>
        <v>4.2295424490535138</v>
      </c>
      <c r="BE754" s="125">
        <f>BE733/BE704*100</f>
        <v>5.8057853197275042</v>
      </c>
      <c r="BF754" s="98">
        <f t="shared" si="4641"/>
        <v>11.100664094668566</v>
      </c>
      <c r="BG754" s="125">
        <f>BG733/BG704*100</f>
        <v>5.6944008002841153</v>
      </c>
      <c r="BH754" s="98">
        <f t="shared" si="4642"/>
        <v>9.584994340597742</v>
      </c>
      <c r="BI754" s="125">
        <f>BI733/BI704*100</f>
        <v>5.755894339841177</v>
      </c>
      <c r="BJ754" s="98">
        <f t="shared" si="4643"/>
        <v>8.1375410324536102</v>
      </c>
      <c r="BK754" s="125">
        <f>BK733/BK704*100</f>
        <v>5.7928430495819674</v>
      </c>
      <c r="BL754" s="98">
        <f t="shared" si="4644"/>
        <v>8.0229934753627941</v>
      </c>
      <c r="BM754" s="125">
        <f>BM733/BM704*100</f>
        <v>5.7336676586733821</v>
      </c>
      <c r="BN754" s="98">
        <f t="shared" si="4645"/>
        <v>-1.2421689243154233</v>
      </c>
      <c r="BO754" s="125">
        <f>BO733/BO704*100</f>
        <v>6.5088480448018755</v>
      </c>
      <c r="BP754" s="98">
        <f t="shared" si="4646"/>
        <v>14.302597816387008</v>
      </c>
      <c r="BQ754" s="125">
        <f>BQ733/BQ704*100</f>
        <v>5.931655141678287</v>
      </c>
      <c r="BR754" s="98">
        <f t="shared" si="4647"/>
        <v>3.0535793650784626</v>
      </c>
      <c r="BS754" s="125">
        <f>BS733/BS704*100</f>
        <v>6.3936023693791508</v>
      </c>
      <c r="BT754" s="98">
        <f t="shared" si="4648"/>
        <v>10.370716324526285</v>
      </c>
      <c r="BU754" s="125">
        <f>BU733/BU704*100</f>
        <v>7.1649544129900056</v>
      </c>
      <c r="BV754" s="98">
        <f t="shared" si="4649"/>
        <v>24.962848206793087</v>
      </c>
      <c r="BW754" s="125">
        <f>BW733/BW704*100</f>
        <v>7.4125777358121967</v>
      </c>
      <c r="BX754" s="98">
        <f t="shared" si="4650"/>
        <v>13.884633421916526</v>
      </c>
      <c r="BY754" s="125">
        <f>BY733/BY704*100</f>
        <v>6.8867441216824972</v>
      </c>
      <c r="BZ754" s="98">
        <f t="shared" si="4651"/>
        <v>16.101559466823279</v>
      </c>
      <c r="CA754" s="125">
        <f>CA733/CA704*100</f>
        <v>6.4388107445552247</v>
      </c>
      <c r="CB754" s="98">
        <f t="shared" si="4652"/>
        <v>0.70708768803937616</v>
      </c>
      <c r="CC754" s="125">
        <f>CC733/CC704*100</f>
        <v>6.3297077398324531</v>
      </c>
      <c r="CD754" s="98">
        <f t="shared" si="4653"/>
        <v>-11.657389915046167</v>
      </c>
      <c r="CE754" s="125">
        <f>CE733/CE704*100</f>
        <v>6.1814182606450885</v>
      </c>
      <c r="CF754" s="98">
        <f t="shared" si="4654"/>
        <v>-16.609059885052389</v>
      </c>
      <c r="CG754" s="125">
        <f>CG733/CG704*100</f>
        <v>6.3618321435354508</v>
      </c>
      <c r="CH754" s="98">
        <f t="shared" si="4655"/>
        <v>-7.6220630369348674</v>
      </c>
      <c r="CI754" s="125">
        <f>CI733/CI704*100</f>
        <v>6.5358725324217701</v>
      </c>
      <c r="CJ754" s="98">
        <f t="shared" si="4656"/>
        <v>1.5074489951210746</v>
      </c>
      <c r="CK754" s="125">
        <f>CK733/CK704*100</f>
        <v>6.2365064727885668</v>
      </c>
      <c r="CL754" s="98">
        <f t="shared" si="4657"/>
        <v>-1.4724418705365561</v>
      </c>
      <c r="CM754" s="125">
        <f>CM733/CM704*100</f>
        <v>5.9604958328768509</v>
      </c>
      <c r="CN754" s="98">
        <f t="shared" si="4658"/>
        <v>-3.573976366795506</v>
      </c>
      <c r="CO754" s="125">
        <f>CO733/CO704*100</f>
        <v>5.9507418907347596</v>
      </c>
      <c r="CP754" s="98">
        <f t="shared" si="4659"/>
        <v>-6.4618217445177155</v>
      </c>
      <c r="CQ754" s="526">
        <f>CQ733/CQ704*100</f>
        <v>6.2888063747302088</v>
      </c>
      <c r="CR754" s="98">
        <f t="shared" si="4659"/>
        <v>-3.7801556940709635</v>
      </c>
      <c r="CS754" s="125">
        <f>CS733/CS704*100</f>
        <v>6.2035150824012275</v>
      </c>
      <c r="CT754" s="98">
        <f t="shared" si="4659"/>
        <v>-0.52900434772719107</v>
      </c>
      <c r="CU754" s="125">
        <f>CU733/CU704*100</f>
        <v>6.0221765633159432</v>
      </c>
      <c r="CV754" s="98">
        <f t="shared" si="4660"/>
        <v>1.0348254938603363</v>
      </c>
      <c r="CW754" s="125">
        <f>CW733/CW704*100</f>
        <v>6.2565136671885675</v>
      </c>
      <c r="CX754" s="98">
        <f t="shared" si="4661"/>
        <v>5.1383807610592358</v>
      </c>
      <c r="CY754" s="125">
        <f>CY733/CY704*100</f>
        <v>5.9887626508800222</v>
      </c>
      <c r="CZ754" s="98">
        <f t="shared" si="4662"/>
        <v>-4.771075876271647</v>
      </c>
      <c r="DA754" s="125">
        <f>DA733/DA704*100</f>
        <v>6.0964577350585154</v>
      </c>
      <c r="DB754" s="98">
        <f t="shared" si="4663"/>
        <v>-1.7257529952078854</v>
      </c>
      <c r="DC754" s="125">
        <f>DC733/DC704*100</f>
        <v>6.1576480512305674</v>
      </c>
      <c r="DD754" s="98">
        <f t="shared" si="4664"/>
        <v>2.2495436075363084</v>
      </c>
      <c r="DE754" s="125">
        <f>DE733/DE704*100</f>
        <v>6.3456431708232088</v>
      </c>
      <c r="DF754" s="98">
        <f t="shared" si="4665"/>
        <v>1.4245873720706292</v>
      </c>
      <c r="DG754" s="125">
        <f>DG733/DG704*100</f>
        <v>6.5380730158768747</v>
      </c>
      <c r="DH754" s="98">
        <f t="shared" si="4666"/>
        <v>9.1723515694203339</v>
      </c>
      <c r="DI754" s="125">
        <f>DI733/DI704*100</f>
        <v>5.9582331785075269</v>
      </c>
      <c r="DJ754" s="98">
        <f t="shared" si="4667"/>
        <v>-2.2672929520385132</v>
      </c>
      <c r="DK754" s="125">
        <f>DK733/DK704*100</f>
        <v>6.0228779115122517</v>
      </c>
      <c r="DL754" s="98">
        <f t="shared" si="4668"/>
        <v>-2.1886625964499973</v>
      </c>
      <c r="DM754" s="125">
        <f>DM733/DM704*100</f>
        <v>6.0093072262709626</v>
      </c>
      <c r="DN754" s="98">
        <f t="shared" si="4669"/>
        <v>-5.3002656389299352</v>
      </c>
      <c r="DO754" s="125">
        <f>DO733/DO704*100</f>
        <v>6.1202231498733806</v>
      </c>
      <c r="DP754" s="98">
        <f t="shared" si="4669"/>
        <v>-6.3910247711947976</v>
      </c>
      <c r="DQ754" s="125">
        <f>DQ733/DQ704*100</f>
        <v>6.2125347846757917</v>
      </c>
      <c r="DR754" s="98">
        <f t="shared" si="4669"/>
        <v>4.268070727503237</v>
      </c>
      <c r="DS754" s="125">
        <f>DS733/DS704*100</f>
        <v>6.1113949923352067</v>
      </c>
      <c r="DT754" s="98">
        <f t="shared" si="4669"/>
        <v>1.4696808091321456</v>
      </c>
      <c r="DU754" s="125">
        <f>DU733/DU704*100</f>
        <v>6.3060365601858388</v>
      </c>
      <c r="DV754" s="98">
        <f t="shared" si="4669"/>
        <v>4.9378293161258302</v>
      </c>
      <c r="DW754" s="125">
        <f>DW733/DW704*100</f>
        <v>6.4560433334088803</v>
      </c>
      <c r="DX754" s="98">
        <f t="shared" si="4669"/>
        <v>5.4870578296225547</v>
      </c>
      <c r="DY754" s="125">
        <f>DY733/DY704*100</f>
        <v>6.3970713027076105</v>
      </c>
      <c r="DZ754" s="98">
        <f t="shared" si="4669"/>
        <v>2.9703900972435138</v>
      </c>
      <c r="EA754" s="125">
        <f>EA733/EA704*100</f>
        <v>6.3832802138151443</v>
      </c>
      <c r="EB754" s="98">
        <f t="shared" si="4670"/>
        <v>4.4488242344167039</v>
      </c>
      <c r="EC754" s="125">
        <f>EC733/EC704*100</f>
        <v>6.202317713223569</v>
      </c>
      <c r="ED754" s="98">
        <f t="shared" si="4671"/>
        <v>-1.6447549260515726</v>
      </c>
      <c r="EE754" s="125">
        <f>EE733/EE704*100</f>
        <v>6.158437785967946</v>
      </c>
      <c r="EF754" s="860">
        <f t="shared" si="4672"/>
        <v>-4.6097204134439185</v>
      </c>
      <c r="EG754" s="125">
        <f>EG733/EG704*100</f>
        <v>6.0979300461522712</v>
      </c>
      <c r="EH754" s="860">
        <f t="shared" si="4673"/>
        <v>-4.6762220147323568</v>
      </c>
      <c r="EI754" s="125">
        <f>EI733/EI704*100</f>
        <v>5.949794847855058</v>
      </c>
      <c r="EJ754" s="860">
        <f t="shared" si="4674"/>
        <v>-6.7909499730547163</v>
      </c>
      <c r="EK754" s="818">
        <f>EK733/EK704*100</f>
        <v>5.8438238692432654</v>
      </c>
      <c r="EL754" s="860">
        <f t="shared" si="4675"/>
        <v>-5.7799980677542777</v>
      </c>
      <c r="EM754" s="818">
        <f>EM733/EM704*100</f>
        <v>5.9572666773072038</v>
      </c>
      <c r="EN754" s="860">
        <f t="shared" si="4676"/>
        <v>-3.2665931791843739</v>
      </c>
      <c r="EO754" s="818">
        <f>EO733/EO704*100</f>
        <v>6.2221833274991249</v>
      </c>
      <c r="EP754" s="98">
        <f t="shared" si="4677"/>
        <v>2.0376304812689039</v>
      </c>
      <c r="EQ754" s="842">
        <f t="shared" ref="EQ754" si="4718">EQ733/EQ704*100</f>
        <v>6.0750502474491004</v>
      </c>
      <c r="ER754" s="98">
        <f t="shared" si="4679"/>
        <v>2.1052053524029946</v>
      </c>
      <c r="ES754" s="842">
        <f t="shared" ref="ES754" si="4719">ES733/ES704*100</f>
        <v>6.0956240572740743</v>
      </c>
      <c r="ET754" s="98">
        <f t="shared" si="4681"/>
        <v>4.308825756300827</v>
      </c>
      <c r="EU754" s="842">
        <f t="shared" ref="EU754" si="4720">EU733/EU704*100</f>
        <v>6.1126243416598012</v>
      </c>
      <c r="EV754" s="98">
        <f t="shared" si="4683"/>
        <v>2.6078682182282709</v>
      </c>
      <c r="EW754" s="842">
        <f t="shared" ref="EW754" si="4721">EW733/EW704*100</f>
        <v>6.1259138373857054</v>
      </c>
      <c r="EX754" s="98">
        <f t="shared" si="4685"/>
        <v>-1.5471979054032969</v>
      </c>
      <c r="EY754" s="289"/>
      <c r="EZ754" s="601"/>
      <c r="FA754" s="411"/>
      <c r="FB754" s="289">
        <f>FB733/FB704*100</f>
        <v>6.2615511781040745</v>
      </c>
      <c r="FC754" s="233"/>
      <c r="FD754" s="289">
        <f>FD733/FD704*100</f>
        <v>6.2110706828653734</v>
      </c>
      <c r="FE754" s="233">
        <f t="shared" si="4686"/>
        <v>-0.80619791810095931</v>
      </c>
      <c r="FF754" s="289">
        <f>FF733/FF704*100</f>
        <v>6.0160459261699177</v>
      </c>
      <c r="FG754" s="98">
        <f t="shared" si="4687"/>
        <v>-3.139953908968951</v>
      </c>
      <c r="FH754" s="289">
        <f>FH733/FH704*100</f>
        <v>5.5994863213604704</v>
      </c>
      <c r="FI754" s="98">
        <f t="shared" si="4688"/>
        <v>-6.9241426997324718</v>
      </c>
      <c r="FJ754" s="289">
        <f>FJ733/FJ704*100</f>
        <v>5.543099781563372</v>
      </c>
      <c r="FK754" s="98">
        <f t="shared" si="4689"/>
        <v>-1.0069948663326445</v>
      </c>
      <c r="FL754" s="289">
        <f>FL733/FL704*100</f>
        <v>5.6164924229212367</v>
      </c>
      <c r="FM754" s="98">
        <f t="shared" si="4690"/>
        <v>1.3240360854042788</v>
      </c>
      <c r="FN754" s="289">
        <f>FN733/FN704*100</f>
        <v>5.5682608013273249</v>
      </c>
      <c r="FO754" s="98">
        <f t="shared" si="4691"/>
        <v>-0.85874987380158974</v>
      </c>
      <c r="FP754" s="289">
        <f>FP733/FP704*100</f>
        <v>5.6500380285026752</v>
      </c>
      <c r="FQ754" s="98">
        <f t="shared" si="4692"/>
        <v>1.4686314110117893</v>
      </c>
      <c r="FR754" s="289">
        <f>FR733/FR704*100</f>
        <v>6.1927366097230516</v>
      </c>
      <c r="FS754" s="98">
        <f t="shared" si="4693"/>
        <v>9.6052199734343766</v>
      </c>
      <c r="FT754" s="289">
        <f>FT733/FT704*100</f>
        <v>5.7336676586733821</v>
      </c>
      <c r="FU754" s="98">
        <f t="shared" si="4694"/>
        <v>-7.4130223838181237</v>
      </c>
      <c r="FV754" s="289">
        <f>FV733/FV704*100</f>
        <v>7.1649544129900056</v>
      </c>
      <c r="FW754" s="98">
        <f t="shared" si="4695"/>
        <v>24.962848206793087</v>
      </c>
      <c r="FX754" s="526">
        <f>FX733/FX704*100</f>
        <v>6.3297077398324531</v>
      </c>
      <c r="FY754" s="98">
        <f t="shared" si="4696"/>
        <v>-11.657389915046167</v>
      </c>
      <c r="FZ754" s="289">
        <f>FZ733/FZ704*100</f>
        <v>6.2365064727885668</v>
      </c>
      <c r="GA754" s="98">
        <f t="shared" si="4697"/>
        <v>-1.4724418705365561</v>
      </c>
      <c r="GB754" s="526">
        <f>GB733/GB704*100</f>
        <v>6.2035150824012275</v>
      </c>
      <c r="GC754" s="98">
        <f t="shared" si="4698"/>
        <v>-0.52900434772719107</v>
      </c>
      <c r="GD754" s="289">
        <f>GD733/GD704*100</f>
        <v>6.0964577350585154</v>
      </c>
      <c r="GE754" s="98">
        <f t="shared" si="4699"/>
        <v>-1.7257529952078854</v>
      </c>
      <c r="GF754" s="289">
        <f>GF733/GF704*100</f>
        <v>5.9582331785075269</v>
      </c>
      <c r="GG754" s="98">
        <f t="shared" si="4699"/>
        <v>-2.2672929520385132</v>
      </c>
      <c r="GH754" s="289">
        <f>GH733/GH704*100</f>
        <v>6.2125347846757917</v>
      </c>
      <c r="GI754" s="98">
        <f t="shared" si="4699"/>
        <v>4.268070727503237</v>
      </c>
      <c r="GJ754" s="289">
        <f>GJ733/GJ704*100</f>
        <v>6.3970713027076105</v>
      </c>
      <c r="GK754" s="98">
        <f t="shared" si="4699"/>
        <v>2.9703900972435138</v>
      </c>
      <c r="GL754" s="289">
        <f>GL733/GL704*100</f>
        <v>6.0979300461522712</v>
      </c>
      <c r="GM754" s="98">
        <f t="shared" si="4699"/>
        <v>-4.6762220147323568</v>
      </c>
      <c r="GN754" s="289">
        <f>GN733/GN704*100</f>
        <v>6.2221833274991249</v>
      </c>
      <c r="GO754" s="98">
        <f t="shared" si="4699"/>
        <v>2.0376304812689039</v>
      </c>
      <c r="GP754" s="289">
        <f>GP733/GP704*100</f>
        <v>6.1259138373857054</v>
      </c>
      <c r="GQ754" s="98">
        <f t="shared" si="4699"/>
        <v>-1.5471979054032969</v>
      </c>
      <c r="GR754" s="289">
        <f>GR733/GR704*100</f>
        <v>6.2409088264736443</v>
      </c>
      <c r="GS754" s="98">
        <f t="shared" si="4699"/>
        <v>1.8771891368458027</v>
      </c>
      <c r="GT754" s="289">
        <f>GT733/GT704*100</f>
        <v>6.3577490061843207</v>
      </c>
      <c r="GU754" s="98">
        <f t="shared" si="4699"/>
        <v>1.8721661052801375</v>
      </c>
      <c r="GV754" s="289">
        <f>GV733/GV704*100</f>
        <v>6.4608311716043172</v>
      </c>
      <c r="GW754" s="98">
        <f t="shared" si="4699"/>
        <v>1.6213626130840764</v>
      </c>
      <c r="GX754" s="289">
        <f>GX733/GX704*100</f>
        <v>6.5450270684715592</v>
      </c>
      <c r="GY754" s="98">
        <f t="shared" si="4700"/>
        <v>1.303174384702821</v>
      </c>
      <c r="GZ754" s="98">
        <f t="shared" si="4701"/>
        <v>1.0168283733514194</v>
      </c>
      <c r="HA754" s="98"/>
      <c r="HB754" s="10"/>
      <c r="HC754"/>
      <c r="HD754"/>
      <c r="HE754"/>
      <c r="HF754"/>
      <c r="HG754"/>
      <c r="HH754"/>
      <c r="HI754" s="10"/>
    </row>
    <row r="755" spans="1:217" s="2" customFormat="1" ht="12.75" customHeight="1" x14ac:dyDescent="0.2">
      <c r="A755" s="10"/>
      <c r="B755" s="179" t="s">
        <v>335</v>
      </c>
      <c r="C755" s="218">
        <f>(C626*4)/AVERAGE(C704,FD704)*100</f>
        <v>0.63594321225846784</v>
      </c>
      <c r="D755" s="98"/>
      <c r="E755" s="218">
        <f>(E626*4)/AVERAGE(E704,C704)*100</f>
        <v>0.58566414744956186</v>
      </c>
      <c r="F755" s="98"/>
      <c r="G755" s="218">
        <f>(G626*4)/AVERAGE(G704,E704)*100</f>
        <v>0.59963225678002163</v>
      </c>
      <c r="H755" s="98"/>
      <c r="I755" s="218">
        <f>(I626*4)/AVERAGE(I704,G704)*100</f>
        <v>0.63062553291955037</v>
      </c>
      <c r="J755" s="98"/>
      <c r="K755" s="218">
        <f>(K626*4)/AVERAGE(K704,I704)*100</f>
        <v>0.6033206201318978</v>
      </c>
      <c r="L755" s="98">
        <f t="shared" si="4618"/>
        <v>-5.1297964185693878</v>
      </c>
      <c r="M755" s="218">
        <f>(M626*4)/AVERAGE(M704,K704)*100</f>
        <v>0.65851770650384467</v>
      </c>
      <c r="N755" s="98">
        <f t="shared" si="4619"/>
        <v>12.439477364551689</v>
      </c>
      <c r="O755" s="218">
        <f>(O626*4)/AVERAGE(O704,M704)*100</f>
        <v>0.35829706299004427</v>
      </c>
      <c r="P755" s="98">
        <f t="shared" si="4620"/>
        <v>-40.247200023215647</v>
      </c>
      <c r="Q755" s="218">
        <f>(Q626*4)/AVERAGE(Q704,O704)*100</f>
        <v>-0.19490955960656564</v>
      </c>
      <c r="R755" s="98" t="str">
        <f t="shared" si="4621"/>
        <v>NM</v>
      </c>
      <c r="S755" s="218">
        <f>(S626*4)/AVERAGE(S704,Q704)*100</f>
        <v>0.62047970837453703</v>
      </c>
      <c r="T755" s="98">
        <f t="shared" si="4622"/>
        <v>2.8441077049360386</v>
      </c>
      <c r="U755" s="218">
        <f>(U626*4)/AVERAGE(U704,S704)*100</f>
        <v>0.77532050234307548</v>
      </c>
      <c r="V755" s="98">
        <f t="shared" si="4623"/>
        <v>17.737229338805772</v>
      </c>
      <c r="W755" s="218">
        <f>(W626*4)/AVERAGE(W704,U704)*100</f>
        <v>0.75869495399845088</v>
      </c>
      <c r="X755" s="98" t="str">
        <f t="shared" si="4624"/>
        <v>NM</v>
      </c>
      <c r="Y755" s="218">
        <f>(Y626*4)/AVERAGE(Y704,W704)*100</f>
        <v>0.4957165615896662</v>
      </c>
      <c r="Z755" s="98" t="str">
        <f t="shared" si="4625"/>
        <v>NM</v>
      </c>
      <c r="AA755" s="218">
        <f>(AA626*4)/AVERAGE(AA704,Y704)*100</f>
        <v>0.63223401163820903</v>
      </c>
      <c r="AB755" s="98">
        <f t="shared" si="4626"/>
        <v>1.8943896319292275</v>
      </c>
      <c r="AC755" s="218">
        <f>(AC626*4)/AVERAGE(AC704,AA704)*100</f>
        <v>0.8311771882080089</v>
      </c>
      <c r="AD755" s="98">
        <f t="shared" si="4627"/>
        <v>7.2043349422761915</v>
      </c>
      <c r="AE755" s="218">
        <f>(AE626*4)/AVERAGE(AE704,AC704)*100</f>
        <v>0.78872608253775178</v>
      </c>
      <c r="AF755" s="98">
        <f t="shared" si="4628"/>
        <v>3.9582612723376931</v>
      </c>
      <c r="AG755" s="218">
        <f>(AG626*4)/AVERAGE(AG704,AE704)*100</f>
        <v>0.7042429077130179</v>
      </c>
      <c r="AH755" s="98">
        <f t="shared" si="4629"/>
        <v>42.065640384224487</v>
      </c>
      <c r="AI755" s="218">
        <f>(AI626*4)/AVERAGE(AI704,AG704)*100</f>
        <v>0.71702512901933257</v>
      </c>
      <c r="AJ755" s="98">
        <f t="shared" si="4630"/>
        <v>13.411350199496175</v>
      </c>
      <c r="AK755" s="218">
        <f>(AK626*4)/AVERAGE(AK704,AI704)*100</f>
        <v>0.90781822895448316</v>
      </c>
      <c r="AL755" s="98">
        <f t="shared" si="4631"/>
        <v>9.2207825038737923</v>
      </c>
      <c r="AM755" s="218">
        <f>(AM626*4)/AVERAGE(AM704,AK704)*100</f>
        <v>0.72260734972354135</v>
      </c>
      <c r="AN755" s="98">
        <f t="shared" si="4632"/>
        <v>-8.3829778522692244</v>
      </c>
      <c r="AO755" s="218">
        <f>(AO626*4)/AVERAGE(AO704,AM704)*100</f>
        <v>0.75108288228056075</v>
      </c>
      <c r="AP755" s="98">
        <f t="shared" si="4633"/>
        <v>6.6511105833713779</v>
      </c>
      <c r="AQ755" s="218">
        <f>(AQ626*4)/AVERAGE(AQ704,AO704)*100</f>
        <v>0.91399471006103017</v>
      </c>
      <c r="AR755" s="98">
        <f t="shared" si="4634"/>
        <v>27.470387448078814</v>
      </c>
      <c r="AS755" s="218">
        <f>(AS626*4)/AVERAGE(AS704,AQ704)*100</f>
        <v>0.93535563672722288</v>
      </c>
      <c r="AT755" s="98">
        <f t="shared" si="4635"/>
        <v>3.0333614036869516</v>
      </c>
      <c r="AU755" s="218">
        <f>(AU626*4)/AVERAGE(AU704,AS704)*100</f>
        <v>0.72201330633497252</v>
      </c>
      <c r="AV755" s="98">
        <f t="shared" si="4636"/>
        <v>-8.220832362085817E-2</v>
      </c>
      <c r="AW755" s="218">
        <f>(AW626*4)/AVERAGE(AW704,AU704)*100</f>
        <v>0.66304509059299588</v>
      </c>
      <c r="AX755" s="98">
        <f t="shared" si="4637"/>
        <v>-11.721448293462656</v>
      </c>
      <c r="AY755" s="125">
        <f>(AY626*4)/AVERAGE(AY704,AW704)*100</f>
        <v>0.83727762363309932</v>
      </c>
      <c r="AZ755" s="98">
        <f t="shared" si="4638"/>
        <v>-8.3936028932605318</v>
      </c>
      <c r="BA755" s="125">
        <f>(BA626*4)/AVERAGE(BA704,AY704)*100</f>
        <v>0.7876670865823433</v>
      </c>
      <c r="BB755" s="98">
        <f t="shared" si="4639"/>
        <v>-15.789561140790976</v>
      </c>
      <c r="BC755" s="125">
        <f>(BC626*4)/AVERAGE(BC704,BA704)*100</f>
        <v>0.75396634106942406</v>
      </c>
      <c r="BD755" s="98">
        <f t="shared" si="4640"/>
        <v>4.4255465175079722</v>
      </c>
      <c r="BE755" s="125">
        <f>(BE626*4)/AVERAGE(BE704,BC704)*100</f>
        <v>0.80773943122958969</v>
      </c>
      <c r="BF755" s="98">
        <f t="shared" si="4641"/>
        <v>21.822699947478096</v>
      </c>
      <c r="BG755" s="125">
        <f>(BG626*4)/AVERAGE(BG704,BE704)*100</f>
        <v>0.81237025163206078</v>
      </c>
      <c r="BH755" s="98">
        <f t="shared" si="4642"/>
        <v>-2.9748044493248194</v>
      </c>
      <c r="BI755" s="125">
        <f>(BI626*4)/AVERAGE(BI704,BG704)*100</f>
        <v>0.96187268026629424</v>
      </c>
      <c r="BJ755" s="98">
        <f t="shared" si="4643"/>
        <v>22.116652663477687</v>
      </c>
      <c r="BK755" s="125">
        <f>(BK626*4)/AVERAGE(BK704,BI704)*100</f>
        <v>0.79773795060905461</v>
      </c>
      <c r="BL755" s="98">
        <f t="shared" si="4644"/>
        <v>5.8055124155204307</v>
      </c>
      <c r="BM755" s="125">
        <f>(BM626*4)/AVERAGE(BM704,BK704)*100</f>
        <v>0.82727071917686212</v>
      </c>
      <c r="BN755" s="98">
        <f t="shared" si="4645"/>
        <v>2.4180183846591152</v>
      </c>
      <c r="BO755" s="125">
        <f>(BO626*4)/AVERAGE(BO704,BM704)*100</f>
        <v>0.81633896343227885</v>
      </c>
      <c r="BP755" s="98">
        <f t="shared" si="4646"/>
        <v>0.4885348512263743</v>
      </c>
      <c r="BQ755" s="125">
        <f>(BQ626*4)/AVERAGE(BQ704,BO704)*100</f>
        <v>0.67717677596671366</v>
      </c>
      <c r="BR755" s="98">
        <f t="shared" si="4647"/>
        <v>-29.598086123078428</v>
      </c>
      <c r="BS755" s="125">
        <f>(BS626*4)/AVERAGE(BS704,BQ704)*100</f>
        <v>0.45129385130684085</v>
      </c>
      <c r="BT755" s="98">
        <f t="shared" si="4648"/>
        <v>-43.428308636653377</v>
      </c>
      <c r="BU755" s="125">
        <f>(BU626*4)/AVERAGE(BU704,BS704)*100</f>
        <v>-3.6754786919987958E-2</v>
      </c>
      <c r="BV755" s="98" t="str">
        <f t="shared" si="4649"/>
        <v>NM</v>
      </c>
      <c r="BW755" s="125">
        <f>(BW626*4)/AVERAGE(BW704,BU704)*100</f>
        <v>-4.7528612829100404E-2</v>
      </c>
      <c r="BX755" s="98" t="str">
        <f t="shared" si="4650"/>
        <v>NM</v>
      </c>
      <c r="BY755" s="125">
        <f>(BY626*4)/AVERAGE(BY704,BW704)*100</f>
        <v>0.11430112952296263</v>
      </c>
      <c r="BZ755" s="98" t="str">
        <f t="shared" si="4651"/>
        <v>NM</v>
      </c>
      <c r="CA755" s="125">
        <f>(CA626*4)/AVERAGE(CA704,BY704)*100</f>
        <v>0.11104208207732932</v>
      </c>
      <c r="CB755" s="98" t="str">
        <f t="shared" si="4652"/>
        <v>NM</v>
      </c>
      <c r="CC755" s="125">
        <f>(CC626*4)/AVERAGE(CC704,CA704)*100</f>
        <v>2.4569430045062568E-2</v>
      </c>
      <c r="CD755" s="98" t="str">
        <f t="shared" si="4653"/>
        <v>NM</v>
      </c>
      <c r="CE755" s="125">
        <f>(CE626*4)/AVERAGE(CE704,CC704)*100</f>
        <v>0.17377452755050321</v>
      </c>
      <c r="CF755" s="98" t="str">
        <f t="shared" si="4654"/>
        <v>NM</v>
      </c>
      <c r="CG755" s="125">
        <f>(CG626*4)/AVERAGE(CG704,CE704)*100</f>
        <v>0.18885923580462197</v>
      </c>
      <c r="CH755" s="98">
        <f t="shared" si="4655"/>
        <v>65.229544618525324</v>
      </c>
      <c r="CI755" s="125">
        <f>(CI626*4)/AVERAGE(CI704,CG704)*100</f>
        <v>0.12962132774551235</v>
      </c>
      <c r="CJ755" s="98">
        <f t="shared" si="4656"/>
        <v>16.731715868984253</v>
      </c>
      <c r="CK755" s="125">
        <f>(CK626*4)/AVERAGE(CK704,CI704)*100</f>
        <v>0.34595274599992137</v>
      </c>
      <c r="CL755" s="98" t="str">
        <f t="shared" si="4657"/>
        <v>NM</v>
      </c>
      <c r="CM755" s="125">
        <f>(CM626*4)/AVERAGE(CM704,CK704)*100</f>
        <v>0.38069899363518866</v>
      </c>
      <c r="CN755" s="98" t="str">
        <f t="shared" si="4658"/>
        <v>NM</v>
      </c>
      <c r="CO755" s="125">
        <f>(CO626*4)/AVERAGE(CO704,CM704)*100</f>
        <v>0.3406903462278828</v>
      </c>
      <c r="CP755" s="98">
        <f t="shared" si="4659"/>
        <v>80.393796880726896</v>
      </c>
      <c r="CQ755" s="526">
        <f>(CQ626*4)/AVERAGE(CQ704,CO704)*100</f>
        <v>0.38748040992434846</v>
      </c>
      <c r="CR755" s="98" t="str">
        <f t="shared" si="4659"/>
        <v>NM</v>
      </c>
      <c r="CS755" s="125">
        <f>(CS626*4)/AVERAGE(CS704,CQ704)*100</f>
        <v>0.40549599129197356</v>
      </c>
      <c r="CT755" s="98">
        <f t="shared" si="4659"/>
        <v>17.211381028340121</v>
      </c>
      <c r="CU755" s="125">
        <f>(CU626*4)/AVERAGE(CU704,CS704)*100</f>
        <v>0.49262608071393649</v>
      </c>
      <c r="CV755" s="98">
        <f t="shared" si="4660"/>
        <v>29.40041580094217</v>
      </c>
      <c r="CW755" s="125">
        <f>(CW626*4)/AVERAGE(CW704,CU704)*100</f>
        <v>0.49805689716389673</v>
      </c>
      <c r="CX755" s="98">
        <f t="shared" si="4661"/>
        <v>46.190493120328611</v>
      </c>
      <c r="CY755" s="125">
        <f>(CY626*4)/AVERAGE(CY704,CW704)*100</f>
        <v>0.44272327462064898</v>
      </c>
      <c r="CZ755" s="98">
        <f t="shared" si="4662"/>
        <v>14.256943907715524</v>
      </c>
      <c r="DA755" s="125">
        <f>(DA626*4)/AVERAGE(DA704,CY704)*100</f>
        <v>0.35173902865365941</v>
      </c>
      <c r="DB755" s="98">
        <f t="shared" si="4663"/>
        <v>-13.257088551488771</v>
      </c>
      <c r="DC755" s="125">
        <f>(DC626*4)/AVERAGE(DC704,DA704)*100</f>
        <v>0.47710230651082591</v>
      </c>
      <c r="DD755" s="98">
        <f t="shared" si="4664"/>
        <v>-3.151228652086957</v>
      </c>
      <c r="DE755" s="125">
        <f>(DE626*4)/AVERAGE(DE704,DC704)*100</f>
        <v>0.48462995377552198</v>
      </c>
      <c r="DF755" s="98">
        <f t="shared" si="4665"/>
        <v>-2.6958653649477138</v>
      </c>
      <c r="DG755" s="125">
        <f>(DG626*4)/AVERAGE(DG704,DE704)*100</f>
        <v>0.40822679537692924</v>
      </c>
      <c r="DH755" s="98">
        <f t="shared" si="4666"/>
        <v>-7.7918829258024296</v>
      </c>
      <c r="DI755" s="125">
        <f>(DI626*4)/AVERAGE(DI704,DG704)*100</f>
        <v>0.41968711997325436</v>
      </c>
      <c r="DJ755" s="98">
        <f t="shared" si="4667"/>
        <v>19.317757139342142</v>
      </c>
      <c r="DK755" s="125">
        <f>(DK626*4)/AVERAGE(DK704,DI704)*100</f>
        <v>0.41707038456839574</v>
      </c>
      <c r="DL755" s="98">
        <f t="shared" si="4668"/>
        <v>-12.582609877000872</v>
      </c>
      <c r="DM755" s="125">
        <f>(DM626*4)/AVERAGE(DM704,DK704)*100</f>
        <v>0.40532224061513089</v>
      </c>
      <c r="DN755" s="98">
        <f t="shared" si="4669"/>
        <v>-16.364591693629816</v>
      </c>
      <c r="DO755" s="125">
        <f>(DO626*4)/AVERAGE(DO704,DM704)*100</f>
        <v>0.45720641385862976</v>
      </c>
      <c r="DP755" s="98">
        <f t="shared" si="4669"/>
        <v>11.998139033591858</v>
      </c>
      <c r="DQ755" s="125">
        <f>(DQ626*4)/AVERAGE(DQ704,DO704)*100</f>
        <v>0.38211692777990064</v>
      </c>
      <c r="DR755" s="98">
        <f t="shared" si="4669"/>
        <v>-8.9519526345597562</v>
      </c>
      <c r="DS755" s="125">
        <f>(DS626*4)/AVERAGE(DS704,DQ704)*100</f>
        <v>0.5558339237605282</v>
      </c>
      <c r="DT755" s="98">
        <f t="shared" si="4669"/>
        <v>33.271012358197424</v>
      </c>
      <c r="DU755" s="125">
        <f>(DU626*4)/AVERAGE(DU704,DS704)*100</f>
        <v>0.59795434933139879</v>
      </c>
      <c r="DV755" s="98">
        <f t="shared" si="4669"/>
        <v>47.525669557121475</v>
      </c>
      <c r="DW755" s="125">
        <f>(DW626*4)/AVERAGE(DW704,DU704)*100</f>
        <v>0.1608203635416193</v>
      </c>
      <c r="DX755" s="98" t="str">
        <f t="shared" si="4669"/>
        <v>NM</v>
      </c>
      <c r="DY755" s="125">
        <f>(DY626*4)/AVERAGE(DY704,DW704)*100</f>
        <v>0.44899065151929146</v>
      </c>
      <c r="DZ755" s="98">
        <f t="shared" si="4669"/>
        <v>17.500853502598581</v>
      </c>
      <c r="EA755" s="125">
        <f>(EA626*4)/AVERAGE(EA704,DY704)*100</f>
        <v>0.44648402187638025</v>
      </c>
      <c r="EB755" s="98">
        <f t="shared" si="4670"/>
        <v>-19.673124868725989</v>
      </c>
      <c r="EC755" s="125">
        <f>(EC626*4)/AVERAGE(EC704,EA704)*100</f>
        <v>0.26924803561299898</v>
      </c>
      <c r="ED755" s="98" t="str">
        <f t="shared" si="4671"/>
        <v>NM</v>
      </c>
      <c r="EE755" s="125">
        <f>(EE626*4)/AVERAGE(EE704,EC704)*100</f>
        <v>0.57188951980800551</v>
      </c>
      <c r="EF755" s="860" t="str">
        <f t="shared" si="4672"/>
        <v>NM</v>
      </c>
      <c r="EG755" s="125">
        <f>(EG626*4)/AVERAGE(EG704,EE704)*100</f>
        <v>0.45666933813188976</v>
      </c>
      <c r="EH755" s="860">
        <f t="shared" si="4673"/>
        <v>1.7102107998496541</v>
      </c>
      <c r="EI755" s="125">
        <f>(EI626*4)/AVERAGE(EI704,EG704)*100</f>
        <v>0.58275630276197143</v>
      </c>
      <c r="EJ755" s="860">
        <f t="shared" si="4674"/>
        <v>30.521199910558373</v>
      </c>
      <c r="EK755" s="818">
        <f>(EK626*4)/AVERAGE(EK704,EI704)*100</f>
        <v>0.48742150328879069</v>
      </c>
      <c r="EL755" s="860">
        <f t="shared" si="4675"/>
        <v>81.030662741540354</v>
      </c>
      <c r="EM755" s="818">
        <f>(EM626*4)/AVERAGE(EM704,EK704)*100</f>
        <v>0.54201398298853865</v>
      </c>
      <c r="EN755" s="860">
        <f t="shared" si="4676"/>
        <v>-5.224004949329486</v>
      </c>
      <c r="EO755" s="818">
        <f>(EO626*4)/AVERAGE(EO704,EM704)*100</f>
        <v>0.37656023609993566</v>
      </c>
      <c r="EP755" s="98">
        <f t="shared" si="4677"/>
        <v>-17.542036511507142</v>
      </c>
      <c r="EQ755" s="818">
        <f>(EQ626*4)/AVERAGE(EQ704,EO704)*100</f>
        <v>0.68146196082876864</v>
      </c>
      <c r="ER755" s="98">
        <f t="shared" si="4679"/>
        <v>16.937724671356126</v>
      </c>
      <c r="ES755" s="818">
        <f t="shared" ref="ES755" si="4722">(ES626*4)/AVERAGE(ES704,EQ704)*100</f>
        <v>0.68175816704219383</v>
      </c>
      <c r="ET755" s="98">
        <f t="shared" si="4681"/>
        <v>39.870350906176832</v>
      </c>
      <c r="EU755" s="818">
        <f t="shared" ref="EU755" si="4723">(EU626*4)/AVERAGE(EU704,ES704)*100</f>
        <v>0.69131337493242462</v>
      </c>
      <c r="EV755" s="98">
        <f t="shared" si="4683"/>
        <v>27.545302636047133</v>
      </c>
      <c r="EW755" s="818">
        <f t="shared" ref="EW755" si="4724">(EW626*4)/AVERAGE(EW704,EU704)*100</f>
        <v>0.69873687407950169</v>
      </c>
      <c r="EX755" s="98">
        <f t="shared" si="4685"/>
        <v>85.557795830057643</v>
      </c>
      <c r="EY755" s="125"/>
      <c r="EZ755" s="601"/>
      <c r="FA755" s="411"/>
      <c r="FB755" s="125">
        <f>(FB626)/AVERAGE(FB704,EZ704)*100</f>
        <v>0.56931635600382646</v>
      </c>
      <c r="FC755" s="242"/>
      <c r="FD755" s="125">
        <f>(FD626)/AVERAGE(FD704,FB704)*100</f>
        <v>0.32823944298761193</v>
      </c>
      <c r="FE755" s="233">
        <f t="shared" si="4686"/>
        <v>-42.344982798034039</v>
      </c>
      <c r="FF755" s="125">
        <f>(FF626)/AVERAGE(FF704,FD704)*100</f>
        <v>0.64145118996249206</v>
      </c>
      <c r="FG755" s="98">
        <f t="shared" si="4687"/>
        <v>95.421727542567453</v>
      </c>
      <c r="FH755" s="125">
        <f>(FH626)/AVERAGE(FH704,FF704)*100</f>
        <v>0.35391454487214546</v>
      </c>
      <c r="FI755" s="98">
        <f t="shared" si="4688"/>
        <v>-44.825958637189508</v>
      </c>
      <c r="FJ755" s="125">
        <f>(FJ626)/AVERAGE(FJ704,FH704)*100</f>
        <v>0.65269949625371448</v>
      </c>
      <c r="FK755" s="98">
        <f t="shared" si="4689"/>
        <v>84.422908216306155</v>
      </c>
      <c r="FL755" s="125">
        <f>(FL626)/AVERAGE(FL704,FJ704)*100</f>
        <v>0.74371097544628451</v>
      </c>
      <c r="FM755" s="98">
        <f t="shared" si="4690"/>
        <v>13.943856202578164</v>
      </c>
      <c r="FN755" s="125">
        <f>(FN626)/AVERAGE(FN704,FL704)*100</f>
        <v>0.77203360203847304</v>
      </c>
      <c r="FO755" s="98">
        <f t="shared" si="4691"/>
        <v>3.8082840683093089</v>
      </c>
      <c r="FP755" s="125">
        <f>(FP626)/AVERAGE(FP704,FN704)*100</f>
        <v>0.78064403729717213</v>
      </c>
      <c r="FQ755" s="98">
        <f t="shared" si="4692"/>
        <v>1.1152928105673254</v>
      </c>
      <c r="FR755" s="125">
        <f>(FR626)/AVERAGE(FR704,FP704)*100</f>
        <v>0.79727791637303969</v>
      </c>
      <c r="FS755" s="98">
        <f t="shared" si="4693"/>
        <v>2.130789230576724</v>
      </c>
      <c r="FT755" s="125">
        <f>(FT626)/AVERAGE(FT704,FR704)*100</f>
        <v>0.85881137340813041</v>
      </c>
      <c r="FU755" s="98">
        <f t="shared" si="4694"/>
        <v>7.7179432380389379</v>
      </c>
      <c r="FV755" s="125">
        <f>(FV626)/AVERAGE(FV704,FT704)*100</f>
        <v>0.47510685190806307</v>
      </c>
      <c r="FW755" s="98">
        <f t="shared" si="4695"/>
        <v>-44.678556127798345</v>
      </c>
      <c r="FX755" s="526">
        <f>(FX626)/AVERAGE(FX704,FV704)*100</f>
        <v>5.0336602010390086E-2</v>
      </c>
      <c r="FY755" s="98" t="str">
        <f t="shared" si="4696"/>
        <v>NM</v>
      </c>
      <c r="FZ755" s="125">
        <f>(FZ626)/AVERAGE(FZ704,FX704)*100</f>
        <v>0.20232715592574516</v>
      </c>
      <c r="GA755" s="98" t="str">
        <f t="shared" si="4697"/>
        <v>NM</v>
      </c>
      <c r="GB755" s="526">
        <f>(GB626)/AVERAGE(GB704,FZ704)*100</f>
        <v>0.43768318652218668</v>
      </c>
      <c r="GC755" s="98" t="str">
        <f t="shared" si="4698"/>
        <v>NM</v>
      </c>
      <c r="GD755" s="125">
        <f>(GD626)/AVERAGE(GD704,GB704)*100</f>
        <v>0.45119218717372306</v>
      </c>
      <c r="GE755" s="98">
        <f t="shared" si="4699"/>
        <v>3.086479231445538</v>
      </c>
      <c r="GF755" s="125">
        <f>(GF626)/AVERAGE(GF704,GD704)*100</f>
        <v>0.61228388742199102</v>
      </c>
      <c r="GG755" s="98">
        <f t="shared" si="4699"/>
        <v>35.703565980907072</v>
      </c>
      <c r="GH755" s="125">
        <f>(GH626)/AVERAGE(GH704,GF704)*100</f>
        <v>0.5975499445355954</v>
      </c>
      <c r="GI755" s="98">
        <f t="shared" si="4699"/>
        <v>-2.4063907591023836</v>
      </c>
      <c r="GJ755" s="125">
        <f>(GJ626)/AVERAGE(GJ704,GH704)*100</f>
        <v>0.44611210659057332</v>
      </c>
      <c r="GK755" s="98">
        <f t="shared" si="4699"/>
        <v>-25.343126433174845</v>
      </c>
      <c r="GL755" s="125">
        <f>(GL626)/AVERAGE(GL704,GJ704)*100</f>
        <v>0.45477647567367985</v>
      </c>
      <c r="GM755" s="98">
        <f t="shared" si="4699"/>
        <v>1.9421954605366443</v>
      </c>
      <c r="GN755" s="125">
        <f>(GN626)/AVERAGE(GN704,GL704)*100</f>
        <v>0.52327362948026013</v>
      </c>
      <c r="GO755" s="98">
        <f t="shared" si="4699"/>
        <v>15.06171877186755</v>
      </c>
      <c r="GP755" s="125">
        <f>(GP626)/AVERAGE(GP704,GN704)*100</f>
        <v>0.6888361793633504</v>
      </c>
      <c r="GQ755" s="98">
        <f t="shared" si="4699"/>
        <v>31.639765613171591</v>
      </c>
      <c r="GR755" s="125">
        <f>(GR626)/AVERAGE(GR704,GP704)*100</f>
        <v>0.71838139438805293</v>
      </c>
      <c r="GS755" s="98">
        <f t="shared" si="4699"/>
        <v>4.2891497151048785</v>
      </c>
      <c r="GT755" s="125">
        <f>(GT626)/AVERAGE(GT704,GR704)*100</f>
        <v>0.74906424851513531</v>
      </c>
      <c r="GU755" s="98">
        <f t="shared" si="4699"/>
        <v>4.2711092418003638</v>
      </c>
      <c r="GV755" s="125">
        <f>(GV626)/AVERAGE(GV704,GT704)*100</f>
        <v>0.77108522421556902</v>
      </c>
      <c r="GW755" s="98">
        <f t="shared" si="4699"/>
        <v>2.9397979871667479</v>
      </c>
      <c r="GX755" s="125">
        <f>(GX626)/AVERAGE(GX704,GV704)*100</f>
        <v>0.78317174737313655</v>
      </c>
      <c r="GY755" s="98">
        <f t="shared" si="4700"/>
        <v>1.5674691691652143</v>
      </c>
      <c r="GZ755" s="98">
        <f t="shared" si="4701"/>
        <v>8.3990890705951884</v>
      </c>
      <c r="HA755" s="98"/>
      <c r="HB755" s="10"/>
      <c r="HC755"/>
      <c r="HD755"/>
      <c r="HE755"/>
      <c r="HF755"/>
      <c r="HG755"/>
      <c r="HH755"/>
      <c r="HI755" s="10"/>
    </row>
    <row r="756" spans="1:217" s="2" customFormat="1" ht="12.75" customHeight="1" x14ac:dyDescent="0.2">
      <c r="A756" s="10" t="s">
        <v>380</v>
      </c>
      <c r="B756" s="179" t="s">
        <v>336</v>
      </c>
      <c r="C756" s="218">
        <f>C733/C687</f>
        <v>18.234545917069447</v>
      </c>
      <c r="D756" s="98"/>
      <c r="E756" s="218">
        <f>E733/E687</f>
        <v>19.306499166773492</v>
      </c>
      <c r="F756" s="98"/>
      <c r="G756" s="218">
        <f>G733/G687</f>
        <v>19.158108279447191</v>
      </c>
      <c r="H756" s="98"/>
      <c r="I756" s="218">
        <f>I733/I687</f>
        <v>19.427630745852856</v>
      </c>
      <c r="J756" s="98"/>
      <c r="K756" s="218">
        <f>K733/K687</f>
        <v>19.598879409143002</v>
      </c>
      <c r="L756" s="98">
        <f t="shared" si="4618"/>
        <v>7.482135822183511</v>
      </c>
      <c r="M756" s="218">
        <f>M733/M687</f>
        <v>19.922570654277973</v>
      </c>
      <c r="N756" s="98">
        <f t="shared" si="4619"/>
        <v>3.1910056928639907</v>
      </c>
      <c r="O756" s="218">
        <f>O733/O687</f>
        <v>19.829217025748818</v>
      </c>
      <c r="P756" s="98">
        <f t="shared" si="4620"/>
        <v>3.5030011132236583</v>
      </c>
      <c r="Q756" s="218">
        <f>Q733/Q687</f>
        <v>19.262382864792503</v>
      </c>
      <c r="R756" s="98">
        <f t="shared" si="4621"/>
        <v>-0.85058174731691416</v>
      </c>
      <c r="S756" s="218">
        <f>S733/S687</f>
        <v>19.578093306288032</v>
      </c>
      <c r="T756" s="98">
        <f t="shared" si="4622"/>
        <v>-0.10605760881039483</v>
      </c>
      <c r="U756" s="218">
        <f>U733/U687</f>
        <v>19.995912249625292</v>
      </c>
      <c r="V756" s="98">
        <f t="shared" si="4623"/>
        <v>0.36813319234769715</v>
      </c>
      <c r="W756" s="218">
        <f>W733/W687</f>
        <v>20.70430330704303</v>
      </c>
      <c r="X756" s="98">
        <f t="shared" si="4624"/>
        <v>4.4131156573549379</v>
      </c>
      <c r="Y756" s="218">
        <f>Y733/Y687</f>
        <v>21.331668747399085</v>
      </c>
      <c r="Z756" s="98">
        <f t="shared" si="4625"/>
        <v>10.742626689186995</v>
      </c>
      <c r="AA756" s="218">
        <f>AA733/AA687</f>
        <v>21.770487264673314</v>
      </c>
      <c r="AB756" s="98">
        <f t="shared" si="4626"/>
        <v>11.198199559510403</v>
      </c>
      <c r="AC756" s="218">
        <f>AC733/AC687</f>
        <v>23.679748393272256</v>
      </c>
      <c r="AD756" s="98">
        <f t="shared" si="4627"/>
        <v>18.422946138483852</v>
      </c>
      <c r="AE756" s="218">
        <f>AE733/AE687</f>
        <v>23.519516362202655</v>
      </c>
      <c r="AF756" s="98">
        <f t="shared" si="4628"/>
        <v>13.597236349420982</v>
      </c>
      <c r="AG756" s="218">
        <f>AG733/AG687</f>
        <v>24.112701957178512</v>
      </c>
      <c r="AH756" s="98">
        <f t="shared" si="4629"/>
        <v>13.037110423527043</v>
      </c>
      <c r="AI756" s="218">
        <f>AI733/AI687</f>
        <v>24.863869525187429</v>
      </c>
      <c r="AJ756" s="98">
        <f t="shared" si="4630"/>
        <v>14.209063044416581</v>
      </c>
      <c r="AK756" s="218">
        <f>AK733/AK687</f>
        <v>25.964379947229553</v>
      </c>
      <c r="AL756" s="98">
        <f t="shared" si="4631"/>
        <v>9.6480398187271064</v>
      </c>
      <c r="AM756" s="218">
        <f>AM733/AM687</f>
        <v>26.786567560392886</v>
      </c>
      <c r="AN756" s="98">
        <f t="shared" si="4632"/>
        <v>13.890809436203334</v>
      </c>
      <c r="AO756" s="218">
        <f>AO733/AO687</f>
        <v>26.572154607462885</v>
      </c>
      <c r="AP756" s="98">
        <f t="shared" si="4633"/>
        <v>10.19982188081654</v>
      </c>
      <c r="AQ756" s="218">
        <f>AQ733/AQ687</f>
        <v>28.234180638182799</v>
      </c>
      <c r="AR756" s="98">
        <f t="shared" si="4634"/>
        <v>13.555054693241541</v>
      </c>
      <c r="AS756" s="218">
        <f>AS733/AS687</f>
        <v>31.017359709325795</v>
      </c>
      <c r="AT756" s="98">
        <f t="shared" si="4635"/>
        <v>19.461199429241162</v>
      </c>
      <c r="AU756" s="218">
        <f>AU733/AU687</f>
        <v>32.315597762456093</v>
      </c>
      <c r="AV756" s="98">
        <f t="shared" si="4636"/>
        <v>20.641055221418259</v>
      </c>
      <c r="AW756" s="218">
        <f>AW733/AW687</f>
        <v>32.700910273081924</v>
      </c>
      <c r="AX756" s="98">
        <f t="shared" si="4637"/>
        <v>23.064579279159236</v>
      </c>
      <c r="AY756" s="218">
        <f>AY733/AY687</f>
        <v>33.734391259105102</v>
      </c>
      <c r="AZ756" s="98">
        <f t="shared" si="4638"/>
        <v>19.480680850656707</v>
      </c>
      <c r="BA756" s="218">
        <f>BA733/BA687</f>
        <v>34.588907650344204</v>
      </c>
      <c r="BB756" s="98">
        <f t="shared" si="4639"/>
        <v>11.514674280753102</v>
      </c>
      <c r="BC756" s="218">
        <f>BC733/BC687</f>
        <v>35.777433113609924</v>
      </c>
      <c r="BD756" s="98">
        <f t="shared" si="4640"/>
        <v>10.712583367947936</v>
      </c>
      <c r="BE756" s="218">
        <f>BE733/BE687</f>
        <v>39.63006079420515</v>
      </c>
      <c r="BF756" s="98">
        <f t="shared" si="4641"/>
        <v>21.189472902309458</v>
      </c>
      <c r="BG756" s="218">
        <f>BG733/BG687</f>
        <v>39.819269275776882</v>
      </c>
      <c r="BH756" s="98">
        <f t="shared" si="4642"/>
        <v>18.037610253392188</v>
      </c>
      <c r="BI756" s="218">
        <f>BI733/BI687</f>
        <v>41.651388161341018</v>
      </c>
      <c r="BJ756" s="98">
        <f t="shared" si="4643"/>
        <v>20.418339261796635</v>
      </c>
      <c r="BK756" s="218">
        <f>BK733/BK687</f>
        <v>42.805821423888816</v>
      </c>
      <c r="BL756" s="98">
        <f t="shared" si="4644"/>
        <v>19.644752847306023</v>
      </c>
      <c r="BM756" s="218">
        <f>BM733/BM687</f>
        <v>42.512929319718872</v>
      </c>
      <c r="BN756" s="98">
        <f t="shared" si="4645"/>
        <v>7.2744489100941889</v>
      </c>
      <c r="BO756" s="218">
        <f>BO733/BO684</f>
        <v>45.087397800958556</v>
      </c>
      <c r="BP756" s="98">
        <f t="shared" si="4646"/>
        <v>13.230098444790928</v>
      </c>
      <c r="BQ756" s="218">
        <f>BQ733/BQ684</f>
        <v>46.509792870226853</v>
      </c>
      <c r="BR756" s="98">
        <f t="shared" si="4647"/>
        <v>11.664448469439481</v>
      </c>
      <c r="BS756" s="218">
        <f>BS733/BS684</f>
        <v>47.124275413544467</v>
      </c>
      <c r="BT756" s="98">
        <f t="shared" si="4648"/>
        <v>10.088473590757063</v>
      </c>
      <c r="BU756" s="218">
        <f>BU733/BU684</f>
        <v>45.293598790322577</v>
      </c>
      <c r="BV756" s="98">
        <f t="shared" si="4649"/>
        <v>6.5407618696224246</v>
      </c>
      <c r="BW756" s="218">
        <f>BW733/BW684</f>
        <v>44.525119178584525</v>
      </c>
      <c r="BX756" s="98">
        <f t="shared" si="4650"/>
        <v>-1.2470859925344246</v>
      </c>
      <c r="BY756" s="218">
        <f>BY733/BY684</f>
        <v>42.8597605668214</v>
      </c>
      <c r="BZ756" s="98">
        <f t="shared" si="4651"/>
        <v>-7.8478790769717977</v>
      </c>
      <c r="CA756" s="218">
        <f>CA733/CA684</f>
        <v>42.08597948216903</v>
      </c>
      <c r="CB756" s="98">
        <f t="shared" si="4652"/>
        <v>-10.691508542383509</v>
      </c>
      <c r="CC756" s="218">
        <f>CC733/CC684</f>
        <v>41.691499755740111</v>
      </c>
      <c r="CD756" s="98">
        <f t="shared" si="4653"/>
        <v>-7.9527772815263464</v>
      </c>
      <c r="CE756" s="218">
        <f>CE733/CE684</f>
        <v>42.665364901147179</v>
      </c>
      <c r="CF756" s="98">
        <f t="shared" si="4654"/>
        <v>-4.1768653554370321</v>
      </c>
      <c r="CG756" s="218">
        <f>CG733/CG684</f>
        <v>44.503900536323748</v>
      </c>
      <c r="CH756" s="98">
        <f t="shared" si="4655"/>
        <v>3.8360922874009384</v>
      </c>
      <c r="CI756" s="218">
        <f>CI733/CI684</f>
        <v>44.48450766346896</v>
      </c>
      <c r="CJ756" s="98">
        <f t="shared" si="4656"/>
        <v>5.6991145526650744</v>
      </c>
      <c r="CK756" s="218">
        <f>CK733/CK684</f>
        <v>43.231221547799692</v>
      </c>
      <c r="CL756" s="98">
        <f t="shared" si="4657"/>
        <v>3.6931312163880348</v>
      </c>
      <c r="CM756" s="218">
        <f>CM733/CM684</f>
        <v>42.243158791781084</v>
      </c>
      <c r="CN756" s="98">
        <f t="shared" si="4658"/>
        <v>-0.98957576091126542</v>
      </c>
      <c r="CO756" s="218">
        <f>CO733/CO684</f>
        <v>43.245696992623415</v>
      </c>
      <c r="CP756" s="98">
        <f t="shared" si="4659"/>
        <v>-2.827175884669697</v>
      </c>
      <c r="CQ756" s="534">
        <f>CQ733/CQ684</f>
        <v>46.50397587057855</v>
      </c>
      <c r="CR756" s="98">
        <f t="shared" si="4659"/>
        <v>4.5397112684423258</v>
      </c>
      <c r="CS756" s="218">
        <f>CS733/CS684</f>
        <v>46.685317857885487</v>
      </c>
      <c r="CT756" s="98">
        <f t="shared" si="4659"/>
        <v>7.9898189003673847</v>
      </c>
      <c r="CU756" s="218">
        <f>CU733/CU684</f>
        <v>46.524648883023843</v>
      </c>
      <c r="CV756" s="98">
        <f t="shared" si="4660"/>
        <v>10.135345494276283</v>
      </c>
      <c r="CW756" s="218">
        <f>CW733/CW684</f>
        <v>48.604782526831102</v>
      </c>
      <c r="CX756" s="98">
        <f t="shared" si="4661"/>
        <v>12.392182128829621</v>
      </c>
      <c r="CY756" s="218">
        <f>CY733/CY684</f>
        <v>47.696216826651614</v>
      </c>
      <c r="CZ756" s="98">
        <f t="shared" si="4662"/>
        <v>2.5637398389141808</v>
      </c>
      <c r="DA756" s="218">
        <f>DA733/DA684</f>
        <v>46.728954841073566</v>
      </c>
      <c r="DB756" s="98">
        <f t="shared" si="4663"/>
        <v>9.3470463928113645E-2</v>
      </c>
      <c r="DC756" s="218">
        <f>DC733/DC684</f>
        <v>47.366112228111874</v>
      </c>
      <c r="DD756" s="98">
        <f t="shared" si="4664"/>
        <v>1.8086398614285182</v>
      </c>
      <c r="DE756" s="218">
        <f>DE733/DE684</f>
        <v>47.199525807039947</v>
      </c>
      <c r="DF756" s="98">
        <f t="shared" si="4665"/>
        <v>-2.8911902218992869</v>
      </c>
      <c r="DG756" s="218">
        <f>DG733/DG684</f>
        <v>47.98804425410421</v>
      </c>
      <c r="DH756" s="98">
        <f t="shared" si="4666"/>
        <v>0.61184606844861822</v>
      </c>
      <c r="DI756" s="218">
        <f>DI733/DI684</f>
        <v>47.012477718360074</v>
      </c>
      <c r="DJ756" s="98">
        <f t="shared" si="4667"/>
        <v>0.60673917970297531</v>
      </c>
      <c r="DK756" s="218">
        <f>DK733/DK684</f>
        <v>47.704480796586061</v>
      </c>
      <c r="DL756" s="98">
        <f t="shared" si="4668"/>
        <v>0.71436846419783429</v>
      </c>
      <c r="DM756" s="218">
        <f>DM733/DM684</f>
        <v>48.599325403870054</v>
      </c>
      <c r="DN756" s="98">
        <f t="shared" si="4669"/>
        <v>2.9657069067870134</v>
      </c>
      <c r="DO756" s="218">
        <f>DO733/DO684</f>
        <v>49.691716557948354</v>
      </c>
      <c r="DP756" s="98">
        <f t="shared" si="4669"/>
        <v>3.5502015769238948</v>
      </c>
      <c r="DQ756" s="218">
        <f>DQ733/DQ684</f>
        <v>49.525576464351978</v>
      </c>
      <c r="DR756" s="98">
        <f t="shared" si="4669"/>
        <v>5.3455994407426211</v>
      </c>
      <c r="DS756" s="218">
        <f>DS733/DS684</f>
        <v>50.446019922821513</v>
      </c>
      <c r="DT756" s="98">
        <f t="shared" si="4669"/>
        <v>5.7469216317969973</v>
      </c>
      <c r="DU756" s="218">
        <f>DU733/DU684</f>
        <v>50.72886819484242</v>
      </c>
      <c r="DV756" s="98">
        <f t="shared" si="4669"/>
        <v>4.3818361124880578</v>
      </c>
      <c r="DW756" s="218">
        <f>DW733/DW684</f>
        <v>51.105130965195563</v>
      </c>
      <c r="DX756" s="98">
        <f t="shared" si="4669"/>
        <v>2.8443662347605647</v>
      </c>
      <c r="DY756" s="218">
        <f>DY733/DY684</f>
        <v>51.149362477231342</v>
      </c>
      <c r="DZ756" s="98">
        <f t="shared" si="4669"/>
        <v>3.2786817010563185</v>
      </c>
      <c r="EA756" s="218">
        <f>EA733/EA684</f>
        <v>53.310878470641796</v>
      </c>
      <c r="EB756" s="98">
        <f t="shared" si="4670"/>
        <v>5.6790576386468006</v>
      </c>
      <c r="EC756" s="218">
        <f>EC733/EC684</f>
        <v>53.204404805242099</v>
      </c>
      <c r="ED756" s="98">
        <f t="shared" si="4671"/>
        <v>4.8799366090556129</v>
      </c>
      <c r="EE756" s="218">
        <f>EE733/EE684</f>
        <v>53.397634212920849</v>
      </c>
      <c r="EF756" s="860">
        <f t="shared" si="4672"/>
        <v>4.4858572993122126</v>
      </c>
      <c r="EG756" s="218">
        <f>EG733/EG684</f>
        <v>50.028297581013248</v>
      </c>
      <c r="EH756" s="860">
        <f t="shared" si="4673"/>
        <v>-2.1917475446876278</v>
      </c>
      <c r="EI756" s="218">
        <f>EI733/EI684</f>
        <v>50.33015814297606</v>
      </c>
      <c r="EJ756" s="860">
        <f t="shared" si="4674"/>
        <v>-5.5912046718705088</v>
      </c>
      <c r="EK756" s="820">
        <f>EK733/EK684</f>
        <v>50.838740009402926</v>
      </c>
      <c r="EL756" s="860">
        <f t="shared" si="4675"/>
        <v>-4.4463701915261167</v>
      </c>
      <c r="EM756" s="820">
        <f>EM733/EM684</f>
        <v>40.71232097126056</v>
      </c>
      <c r="EN756" s="860">
        <f t="shared" si="4676"/>
        <v>-23.756320722146839</v>
      </c>
      <c r="EO756" s="820">
        <f>EO733/EO684</f>
        <v>42.921617477960915</v>
      </c>
      <c r="EP756" s="98">
        <f t="shared" si="4677"/>
        <v>-14.205320681848388</v>
      </c>
      <c r="EQ756" s="820">
        <f t="shared" ref="EQ756" si="4725">EQ733/EQ684</f>
        <v>42.722683874822778</v>
      </c>
      <c r="ER756" s="98">
        <f t="shared" si="4679"/>
        <v>-15.115140799959836</v>
      </c>
      <c r="ES756" s="820">
        <f t="shared" ref="ES756" si="4726">ES733/ES684</f>
        <v>43.406369406094036</v>
      </c>
      <c r="ET756" s="98">
        <f t="shared" si="4681"/>
        <v>-14.619501982020456</v>
      </c>
      <c r="EU756" s="820">
        <f t="shared" ref="EU756" si="4727">EU733/EU684</f>
        <v>44.135845830282371</v>
      </c>
      <c r="EV756" s="98">
        <f t="shared" si="4683"/>
        <v>8.4090633433513418</v>
      </c>
      <c r="EW756" s="820">
        <f t="shared" ref="EW756" si="4728">EW733/EW684</f>
        <v>44.868309606572204</v>
      </c>
      <c r="EX756" s="98">
        <f t="shared" si="4685"/>
        <v>4.5354584542645959</v>
      </c>
      <c r="EY756" s="218"/>
      <c r="EZ756" s="601"/>
      <c r="FA756" s="411"/>
      <c r="FB756" s="125">
        <f>FB733/FB684</f>
        <v>17.150852200457898</v>
      </c>
      <c r="FC756" s="233"/>
      <c r="FD756" s="125">
        <f>FD733/FD684</f>
        <v>17.934367845331977</v>
      </c>
      <c r="FE756" s="233">
        <f t="shared" si="4686"/>
        <v>4.5683773361020474</v>
      </c>
      <c r="FF756" s="218">
        <f>+I756</f>
        <v>19.427630745852856</v>
      </c>
      <c r="FG756" s="98">
        <f t="shared" si="4687"/>
        <v>8.32626448503202</v>
      </c>
      <c r="FH756" s="218">
        <f>+Q756</f>
        <v>19.262382864792503</v>
      </c>
      <c r="FI756" s="98">
        <f t="shared" si="4688"/>
        <v>-0.85058174731691416</v>
      </c>
      <c r="FJ756" s="218">
        <f>+Y756</f>
        <v>21.331668747399085</v>
      </c>
      <c r="FK756" s="98">
        <f t="shared" si="4689"/>
        <v>10.742626689186995</v>
      </c>
      <c r="FL756" s="218">
        <f>+AG756</f>
        <v>24.112701957178512</v>
      </c>
      <c r="FM756" s="98">
        <f t="shared" si="4690"/>
        <v>13.037110423527043</v>
      </c>
      <c r="FN756" s="218">
        <f>+AO756</f>
        <v>26.572154607462885</v>
      </c>
      <c r="FO756" s="98">
        <f t="shared" si="4691"/>
        <v>10.19982188081654</v>
      </c>
      <c r="FP756" s="218">
        <f>+AW756</f>
        <v>32.700910273081924</v>
      </c>
      <c r="FQ756" s="98">
        <f t="shared" si="4692"/>
        <v>23.064579279159236</v>
      </c>
      <c r="FR756" s="218">
        <f>BE756</f>
        <v>39.63006079420515</v>
      </c>
      <c r="FS756" s="98">
        <f t="shared" si="4693"/>
        <v>21.189472902309458</v>
      </c>
      <c r="FT756" s="218">
        <f>BM756</f>
        <v>42.512929319718872</v>
      </c>
      <c r="FU756" s="98">
        <f t="shared" si="4694"/>
        <v>7.2744489100941889</v>
      </c>
      <c r="FV756" s="218">
        <f>BU756</f>
        <v>45.293598790322577</v>
      </c>
      <c r="FW756" s="98">
        <f t="shared" si="4695"/>
        <v>6.5407618696224246</v>
      </c>
      <c r="FX756" s="534">
        <f>CC756</f>
        <v>41.691499755740111</v>
      </c>
      <c r="FY756" s="98">
        <f t="shared" si="4696"/>
        <v>-7.9527772815263464</v>
      </c>
      <c r="FZ756" s="218">
        <f>CK756</f>
        <v>43.231221547799692</v>
      </c>
      <c r="GA756" s="98">
        <f t="shared" si="4697"/>
        <v>3.6931312163880348</v>
      </c>
      <c r="GB756" s="534">
        <f>CS756</f>
        <v>46.685317857885487</v>
      </c>
      <c r="GC756" s="98">
        <f t="shared" si="4698"/>
        <v>7.9898189003673847</v>
      </c>
      <c r="GD756" s="218">
        <f>DA756</f>
        <v>46.728954841073566</v>
      </c>
      <c r="GE756" s="98">
        <f t="shared" si="4699"/>
        <v>9.3470463928113645E-2</v>
      </c>
      <c r="GF756" s="218">
        <f>DI756</f>
        <v>47.012477718360074</v>
      </c>
      <c r="GG756" s="98">
        <f t="shared" si="4699"/>
        <v>0.60673917970297531</v>
      </c>
      <c r="GH756" s="218">
        <f>DQ756</f>
        <v>49.525576464351978</v>
      </c>
      <c r="GI756" s="98">
        <f t="shared" si="4699"/>
        <v>5.3455994407426211</v>
      </c>
      <c r="GJ756" s="218">
        <f>DY756</f>
        <v>51.149362477231342</v>
      </c>
      <c r="GK756" s="98">
        <f t="shared" si="4699"/>
        <v>3.2786817010563185</v>
      </c>
      <c r="GL756" s="218">
        <f>EG756</f>
        <v>50.028297581013248</v>
      </c>
      <c r="GM756" s="98">
        <f t="shared" si="4699"/>
        <v>-2.1917475446876278</v>
      </c>
      <c r="GN756" s="218">
        <f>EO756</f>
        <v>42.921617477960915</v>
      </c>
      <c r="GO756" s="98">
        <f t="shared" si="4699"/>
        <v>-14.205320681848388</v>
      </c>
      <c r="GP756" s="218">
        <f>EW756</f>
        <v>44.868309606572204</v>
      </c>
      <c r="GQ756" s="98">
        <f t="shared" si="4699"/>
        <v>4.5354584542645959</v>
      </c>
      <c r="GR756" s="218">
        <f>GR733/GR684</f>
        <v>48.149055111547476</v>
      </c>
      <c r="GS756" s="98">
        <f t="shared" si="4699"/>
        <v>7.3119436273451965</v>
      </c>
      <c r="GT756" s="218">
        <f>GT733/GT684</f>
        <v>51.864020459885424</v>
      </c>
      <c r="GU756" s="98">
        <f t="shared" si="4699"/>
        <v>7.7155519246046467</v>
      </c>
      <c r="GV756" s="218">
        <f>GV733/GV684</f>
        <v>56.023311405389691</v>
      </c>
      <c r="GW756" s="98">
        <f t="shared" si="4699"/>
        <v>8.0196076367070379</v>
      </c>
      <c r="GX756" s="218">
        <f>GX733/GX684</f>
        <v>60.631250426492407</v>
      </c>
      <c r="GY756" s="98">
        <f t="shared" si="4700"/>
        <v>8.2250386589240563</v>
      </c>
      <c r="GZ756" s="98">
        <f t="shared" si="4701"/>
        <v>7.15293940423265</v>
      </c>
      <c r="HA756" s="98"/>
      <c r="HB756" s="10"/>
      <c r="HC756"/>
      <c r="HD756"/>
      <c r="HE756"/>
      <c r="HF756"/>
      <c r="HG756"/>
      <c r="HH756"/>
      <c r="HI756" s="10"/>
    </row>
    <row r="757" spans="1:217" s="2" customFormat="1" ht="12.75" customHeight="1" x14ac:dyDescent="0.2">
      <c r="A757" s="10"/>
      <c r="B757" s="179" t="s">
        <v>795</v>
      </c>
      <c r="C757" s="218"/>
      <c r="D757" s="98"/>
      <c r="E757" s="218"/>
      <c r="F757" s="98"/>
      <c r="G757" s="218"/>
      <c r="H757" s="98"/>
      <c r="I757" s="218"/>
      <c r="J757" s="98"/>
      <c r="K757" s="218"/>
      <c r="L757" s="98"/>
      <c r="M757" s="218"/>
      <c r="N757" s="98"/>
      <c r="O757" s="218"/>
      <c r="P757" s="98"/>
      <c r="Q757" s="218"/>
      <c r="R757" s="98"/>
      <c r="S757" s="218"/>
      <c r="T757" s="98"/>
      <c r="U757" s="218"/>
      <c r="V757" s="98"/>
      <c r="W757" s="218"/>
      <c r="X757" s="98"/>
      <c r="Y757" s="218"/>
      <c r="Z757" s="98"/>
      <c r="AA757" s="218"/>
      <c r="AB757" s="98"/>
      <c r="AC757" s="218"/>
      <c r="AD757" s="98"/>
      <c r="AE757" s="218"/>
      <c r="AF757" s="98"/>
      <c r="AG757" s="218"/>
      <c r="AH757" s="98"/>
      <c r="AI757" s="218"/>
      <c r="AJ757" s="98"/>
      <c r="AK757" s="218"/>
      <c r="AL757" s="98"/>
      <c r="AM757" s="218"/>
      <c r="AN757" s="98"/>
      <c r="AO757" s="218"/>
      <c r="AP757" s="98"/>
      <c r="AQ757" s="218"/>
      <c r="AR757" s="98"/>
      <c r="AS757" s="218"/>
      <c r="AT757" s="98"/>
      <c r="AU757" s="218"/>
      <c r="AV757" s="98"/>
      <c r="AW757" s="218"/>
      <c r="AX757" s="98"/>
      <c r="AY757" s="218"/>
      <c r="AZ757" s="98"/>
      <c r="BA757" s="218"/>
      <c r="BB757" s="98"/>
      <c r="BC757" s="218"/>
      <c r="BD757" s="98"/>
      <c r="BE757" s="218"/>
      <c r="BF757" s="98"/>
      <c r="BG757" s="218"/>
      <c r="BH757" s="98"/>
      <c r="BI757" s="218"/>
      <c r="BJ757" s="98"/>
      <c r="BK757" s="218"/>
      <c r="BL757" s="98"/>
      <c r="BM757" s="218"/>
      <c r="BN757" s="98"/>
      <c r="BO757" s="218"/>
      <c r="BP757" s="98"/>
      <c r="BQ757" s="218"/>
      <c r="BR757" s="98"/>
      <c r="BS757" s="218"/>
      <c r="BT757" s="98"/>
      <c r="BU757" s="218"/>
      <c r="BV757" s="98"/>
      <c r="BW757" s="218"/>
      <c r="BX757" s="98"/>
      <c r="BY757" s="218"/>
      <c r="BZ757" s="98"/>
      <c r="CA757" s="218"/>
      <c r="CB757" s="98"/>
      <c r="CC757" s="218"/>
      <c r="CD757" s="98"/>
      <c r="CE757" s="218"/>
      <c r="CF757" s="98"/>
      <c r="CG757" s="218"/>
      <c r="CH757" s="98"/>
      <c r="CI757" s="218"/>
      <c r="CJ757" s="98"/>
      <c r="CK757" s="218"/>
      <c r="CL757" s="98"/>
      <c r="CM757" s="218"/>
      <c r="CN757" s="98"/>
      <c r="CO757" s="218"/>
      <c r="CP757" s="98"/>
      <c r="CQ757" s="534"/>
      <c r="CR757" s="98"/>
      <c r="CS757" s="218"/>
      <c r="CT757" s="98"/>
      <c r="CU757" s="218"/>
      <c r="CV757" s="98"/>
      <c r="CW757" s="218"/>
      <c r="CX757" s="98"/>
      <c r="CY757" s="218"/>
      <c r="CZ757" s="98"/>
      <c r="DA757" s="218"/>
      <c r="DB757" s="98"/>
      <c r="DC757" s="218"/>
      <c r="DD757" s="98"/>
      <c r="DE757" s="218"/>
      <c r="DF757" s="98"/>
      <c r="DG757" s="218"/>
      <c r="DH757" s="98"/>
      <c r="DI757" s="218"/>
      <c r="DJ757" s="98"/>
      <c r="DK757" s="218"/>
      <c r="DL757" s="98"/>
      <c r="DM757" s="218"/>
      <c r="DN757" s="98"/>
      <c r="DO757" s="218"/>
      <c r="DP757" s="98"/>
      <c r="DQ757" s="218"/>
      <c r="DR757" s="98"/>
      <c r="DS757" s="218"/>
      <c r="DT757" s="98"/>
      <c r="DU757" s="218"/>
      <c r="DV757" s="98"/>
      <c r="DW757" s="218"/>
      <c r="DX757" s="98"/>
      <c r="DY757" s="218"/>
      <c r="DZ757" s="98"/>
      <c r="EA757" s="218"/>
      <c r="EB757" s="98"/>
      <c r="EC757" s="218"/>
      <c r="ED757" s="98"/>
      <c r="EE757" s="218"/>
      <c r="EF757" s="860"/>
      <c r="EG757" s="218"/>
      <c r="EH757" s="860"/>
      <c r="EI757" s="218"/>
      <c r="EJ757" s="860"/>
      <c r="EK757" s="820"/>
      <c r="EL757" s="860"/>
      <c r="EM757" s="820"/>
      <c r="EN757" s="860"/>
      <c r="EO757" s="820"/>
      <c r="EP757" s="98"/>
      <c r="EQ757" s="820"/>
      <c r="ER757" s="98"/>
      <c r="ES757" s="820"/>
      <c r="ET757" s="98"/>
      <c r="EU757" s="820"/>
      <c r="EV757" s="98"/>
      <c r="EW757" s="820"/>
      <c r="EX757" s="98"/>
      <c r="EY757" s="218"/>
      <c r="EZ757" s="601"/>
      <c r="FA757" s="411"/>
      <c r="FB757" s="125"/>
      <c r="FC757" s="233"/>
      <c r="FD757" s="125"/>
      <c r="FE757" s="233"/>
      <c r="FF757" s="218"/>
      <c r="FG757" s="98"/>
      <c r="FH757" s="218"/>
      <c r="FI757" s="98"/>
      <c r="FJ757" s="218"/>
      <c r="FK757" s="98"/>
      <c r="FL757" s="218"/>
      <c r="FM757" s="98"/>
      <c r="FN757" s="218"/>
      <c r="FO757" s="98"/>
      <c r="FP757" s="218"/>
      <c r="FQ757" s="98"/>
      <c r="FR757" s="218"/>
      <c r="FS757" s="98"/>
      <c r="FT757" s="218"/>
      <c r="FU757" s="98"/>
      <c r="FV757" s="218"/>
      <c r="FW757" s="98"/>
      <c r="FX757" s="534"/>
      <c r="FY757" s="98"/>
      <c r="FZ757" s="218"/>
      <c r="GA757" s="98"/>
      <c r="GB757" s="534"/>
      <c r="GC757" s="98"/>
      <c r="GD757" s="218"/>
      <c r="GE757" s="98"/>
      <c r="GF757" s="218"/>
      <c r="GG757" s="98"/>
      <c r="GH757" s="218"/>
      <c r="GI757" s="98"/>
      <c r="GJ757" s="218">
        <f>GJ738/GJ684</f>
        <v>52.627456694777877</v>
      </c>
      <c r="GK757" s="98"/>
      <c r="GL757" s="218">
        <f>GL738/GL684</f>
        <v>50.358733752008177</v>
      </c>
      <c r="GM757" s="98"/>
      <c r="GN757" s="218">
        <f>GN738/GN684</f>
        <v>43.268622678752799</v>
      </c>
      <c r="GO757" s="98"/>
      <c r="GP757" s="218">
        <f>GP738/GP684</f>
        <v>45.238289654395686</v>
      </c>
      <c r="GQ757" s="98"/>
      <c r="GR757" s="218">
        <f>GR738/GR684</f>
        <v>48.541692264535229</v>
      </c>
      <c r="GS757" s="98"/>
      <c r="GT757" s="218">
        <f>GT738/GT684</f>
        <v>52.279981797384337</v>
      </c>
      <c r="GU757" s="98"/>
      <c r="GV757" s="218">
        <f>GV738/GV684</f>
        <v>56.464389385374048</v>
      </c>
      <c r="GW757" s="98"/>
      <c r="GX757" s="218">
        <f>GX738/GX684</f>
        <v>61.099492716686868</v>
      </c>
      <c r="GY757" s="98"/>
      <c r="GZ757" s="98"/>
      <c r="HA757" s="98"/>
      <c r="HB757" s="10"/>
      <c r="HC757"/>
      <c r="HD757"/>
      <c r="HE757"/>
      <c r="HF757"/>
      <c r="HG757"/>
      <c r="HH757"/>
      <c r="HI757" s="10"/>
    </row>
    <row r="758" spans="1:217" s="2" customFormat="1" ht="12.75" customHeight="1" x14ac:dyDescent="0.2">
      <c r="B758" s="179"/>
      <c r="C758" s="95"/>
      <c r="D758" s="113"/>
      <c r="E758" s="95"/>
      <c r="F758" s="113"/>
      <c r="G758" s="95"/>
      <c r="H758" s="113"/>
      <c r="I758" s="95"/>
      <c r="J758" s="98"/>
      <c r="K758" s="95"/>
      <c r="L758" s="98"/>
      <c r="M758" s="95"/>
      <c r="N758" s="98"/>
      <c r="O758" s="95"/>
      <c r="P758" s="98"/>
      <c r="Q758" s="95"/>
      <c r="R758" s="98"/>
      <c r="S758" s="95"/>
      <c r="T758" s="98"/>
      <c r="U758" s="95"/>
      <c r="V758" s="98"/>
      <c r="W758" s="95"/>
      <c r="X758" s="98"/>
      <c r="Y758" s="95"/>
      <c r="Z758" s="98"/>
      <c r="AA758" s="95"/>
      <c r="AB758" s="98"/>
      <c r="AC758" s="95"/>
      <c r="AD758" s="98"/>
      <c r="AE758" s="95"/>
      <c r="AF758" s="98"/>
      <c r="AG758" s="95"/>
      <c r="AH758" s="98"/>
      <c r="AI758" s="95"/>
      <c r="AJ758" s="98"/>
      <c r="AK758" s="95"/>
      <c r="AL758" s="98"/>
      <c r="AM758" s="95"/>
      <c r="AN758" s="98"/>
      <c r="AO758" s="95"/>
      <c r="AP758" s="98"/>
      <c r="AQ758" s="95"/>
      <c r="AR758" s="98"/>
      <c r="AS758" s="95"/>
      <c r="AT758" s="98"/>
      <c r="AU758" s="95"/>
      <c r="AV758" s="98"/>
      <c r="AW758" s="95"/>
      <c r="AX758" s="98"/>
      <c r="AY758" s="95"/>
      <c r="AZ758" s="98"/>
      <c r="BA758" s="95"/>
      <c r="BB758" s="98"/>
      <c r="BC758" s="95"/>
      <c r="BD758" s="98"/>
      <c r="BE758" s="95"/>
      <c r="BF758" s="98"/>
      <c r="BG758" s="95"/>
      <c r="BH758" s="98"/>
      <c r="BI758" s="95"/>
      <c r="BJ758" s="98"/>
      <c r="BK758" s="95"/>
      <c r="BL758" s="98"/>
      <c r="BM758" s="95"/>
      <c r="BN758" s="98"/>
      <c r="BO758" s="95"/>
      <c r="BP758" s="98"/>
      <c r="BQ758" s="95"/>
      <c r="BR758" s="98"/>
      <c r="BS758" s="95"/>
      <c r="BT758" s="98"/>
      <c r="BU758" s="95"/>
      <c r="BV758" s="98"/>
      <c r="BW758" s="95"/>
      <c r="BX758" s="98"/>
      <c r="BY758" s="95"/>
      <c r="BZ758" s="98"/>
      <c r="CA758" s="95"/>
      <c r="CB758" s="98"/>
      <c r="CC758" s="95"/>
      <c r="CD758" s="98"/>
      <c r="CE758" s="95"/>
      <c r="CF758" s="98"/>
      <c r="CG758" s="95"/>
      <c r="CH758" s="98"/>
      <c r="CI758" s="95"/>
      <c r="CJ758" s="98"/>
      <c r="CK758" s="95"/>
      <c r="CL758" s="98"/>
      <c r="CM758" s="95"/>
      <c r="CN758" s="98"/>
      <c r="CO758" s="95"/>
      <c r="CP758" s="98"/>
      <c r="CQ758" s="506"/>
      <c r="CR758" s="98"/>
      <c r="CS758" s="215"/>
      <c r="CT758" s="98"/>
      <c r="CU758" s="215"/>
      <c r="CV758" s="98"/>
      <c r="CW758" s="215"/>
      <c r="CX758" s="98"/>
      <c r="CY758" s="215"/>
      <c r="CZ758" s="98"/>
      <c r="DA758" s="215"/>
      <c r="DB758" s="98"/>
      <c r="DC758" s="215"/>
      <c r="DD758" s="98"/>
      <c r="DE758" s="215"/>
      <c r="DF758" s="98"/>
      <c r="DG758" s="215"/>
      <c r="DH758" s="98"/>
      <c r="DI758" s="215"/>
      <c r="DJ758" s="98"/>
      <c r="DK758" s="215"/>
      <c r="DL758" s="98"/>
      <c r="DM758" s="215"/>
      <c r="DN758" s="98"/>
      <c r="DO758" s="215"/>
      <c r="DP758" s="98"/>
      <c r="DQ758" s="215"/>
      <c r="DR758" s="98"/>
      <c r="DS758" s="215"/>
      <c r="DT758" s="98"/>
      <c r="DU758" s="215"/>
      <c r="DV758" s="98"/>
      <c r="DW758" s="215"/>
      <c r="DX758" s="98"/>
      <c r="DY758" s="215"/>
      <c r="DZ758" s="98"/>
      <c r="EA758" s="215"/>
      <c r="EB758" s="98"/>
      <c r="EC758" s="215"/>
      <c r="ED758" s="98"/>
      <c r="EE758" s="215"/>
      <c r="EF758" s="860"/>
      <c r="EG758" s="215"/>
      <c r="EH758" s="860"/>
      <c r="EI758" s="215"/>
      <c r="EJ758" s="860"/>
      <c r="EK758" s="804"/>
      <c r="EL758" s="860"/>
      <c r="EM758" s="804"/>
      <c r="EN758" s="860"/>
      <c r="EO758" s="804"/>
      <c r="EP758" s="98"/>
      <c r="EQ758" s="804"/>
      <c r="ER758" s="98"/>
      <c r="ES758" s="804"/>
      <c r="ET758" s="98"/>
      <c r="EU758" s="804"/>
      <c r="EV758" s="98"/>
      <c r="EW758" s="804"/>
      <c r="EX758" s="98"/>
      <c r="EY758" s="95"/>
      <c r="EZ758" s="594"/>
      <c r="FA758" s="405"/>
      <c r="FB758" s="95"/>
      <c r="FC758" s="113"/>
      <c r="FD758" s="95"/>
      <c r="FE758" s="113"/>
      <c r="FF758" s="215"/>
      <c r="FG758" s="98"/>
      <c r="FH758" s="215"/>
      <c r="FI758" s="98"/>
      <c r="FJ758" s="215"/>
      <c r="FK758" s="98"/>
      <c r="FL758" s="215"/>
      <c r="FM758" s="98"/>
      <c r="FN758" s="215"/>
      <c r="FO758" s="98"/>
      <c r="FP758" s="215"/>
      <c r="FQ758" s="98"/>
      <c r="FR758" s="215"/>
      <c r="FS758" s="98"/>
      <c r="FT758" s="215"/>
      <c r="FU758" s="98"/>
      <c r="FV758" s="215"/>
      <c r="FW758" s="98"/>
      <c r="FX758" s="507"/>
      <c r="FY758" s="98"/>
      <c r="FZ758" s="215"/>
      <c r="GA758" s="98"/>
      <c r="GB758" s="507"/>
      <c r="GC758" s="98"/>
      <c r="GD758" s="215"/>
      <c r="GE758" s="98"/>
      <c r="GF758" s="215"/>
      <c r="GG758" s="98"/>
      <c r="GH758" s="215"/>
      <c r="GI758" s="98"/>
      <c r="GJ758" s="215"/>
      <c r="GK758" s="98"/>
      <c r="GL758" s="215"/>
      <c r="GM758" s="98"/>
      <c r="GN758" s="215"/>
      <c r="GO758" s="98"/>
      <c r="GP758" s="215"/>
      <c r="GQ758" s="98"/>
      <c r="GR758" s="95"/>
      <c r="GS758" s="98"/>
      <c r="GT758" s="95"/>
      <c r="GU758" s="98"/>
      <c r="GV758" s="95"/>
      <c r="GW758" s="98"/>
      <c r="GX758" s="95"/>
      <c r="GY758" s="98"/>
      <c r="GZ758" s="98"/>
      <c r="HA758" s="98"/>
      <c r="HB758" s="10"/>
      <c r="HC758"/>
      <c r="HD758"/>
      <c r="HE758"/>
      <c r="HF758"/>
      <c r="HG758"/>
      <c r="HH758"/>
      <c r="HI758" s="10"/>
    </row>
    <row r="759" spans="1:217" s="2" customFormat="1" ht="12.75" customHeight="1" x14ac:dyDescent="0.2">
      <c r="B759" s="131" t="s">
        <v>337</v>
      </c>
      <c r="C759" s="244"/>
      <c r="D759" s="113"/>
      <c r="E759" s="244"/>
      <c r="F759" s="113"/>
      <c r="G759" s="244"/>
      <c r="H759" s="113"/>
      <c r="I759" s="244"/>
      <c r="J759" s="98"/>
      <c r="K759" s="244"/>
      <c r="L759" s="98"/>
      <c r="M759" s="244"/>
      <c r="N759" s="98"/>
      <c r="O759" s="244"/>
      <c r="P759" s="98"/>
      <c r="Q759" s="244"/>
      <c r="R759" s="98"/>
      <c r="S759" s="244"/>
      <c r="T759" s="98"/>
      <c r="U759" s="244"/>
      <c r="V759" s="98"/>
      <c r="W759" s="244"/>
      <c r="X759" s="98"/>
      <c r="Y759" s="244"/>
      <c r="Z759" s="98"/>
      <c r="AA759" s="244"/>
      <c r="AB759" s="98"/>
      <c r="AC759" s="244"/>
      <c r="AD759" s="98"/>
      <c r="AE759" s="244"/>
      <c r="AF759" s="98"/>
      <c r="AG759" s="244"/>
      <c r="AH759" s="98"/>
      <c r="AI759" s="95"/>
      <c r="AJ759" s="98"/>
      <c r="AK759" s="95"/>
      <c r="AL759" s="98"/>
      <c r="AM759" s="95"/>
      <c r="AN759" s="98"/>
      <c r="AO759" s="95"/>
      <c r="AP759" s="98"/>
      <c r="AQ759" s="95"/>
      <c r="AR759" s="98"/>
      <c r="AS759" s="95"/>
      <c r="AT759" s="98"/>
      <c r="AU759" s="95"/>
      <c r="AV759" s="98"/>
      <c r="AW759" s="95"/>
      <c r="AX759" s="98"/>
      <c r="AY759" s="95"/>
      <c r="AZ759" s="98"/>
      <c r="BA759" s="95"/>
      <c r="BB759" s="98"/>
      <c r="BC759" s="95"/>
      <c r="BD759" s="98"/>
      <c r="BE759" s="95"/>
      <c r="BF759" s="98"/>
      <c r="BG759" s="95"/>
      <c r="BH759" s="98"/>
      <c r="BI759" s="95"/>
      <c r="BJ759" s="98"/>
      <c r="BK759" s="95"/>
      <c r="BL759" s="98"/>
      <c r="BM759" s="95"/>
      <c r="BN759" s="98"/>
      <c r="BO759" s="95"/>
      <c r="BP759" s="98"/>
      <c r="BQ759" s="95"/>
      <c r="BR759" s="98"/>
      <c r="BS759" s="95"/>
      <c r="BT759" s="98"/>
      <c r="BU759" s="95"/>
      <c r="BV759" s="98"/>
      <c r="BW759" s="95"/>
      <c r="BX759" s="98"/>
      <c r="BY759" s="95"/>
      <c r="BZ759" s="98"/>
      <c r="CA759" s="95"/>
      <c r="CB759" s="98"/>
      <c r="CC759" s="95"/>
      <c r="CD759" s="98"/>
      <c r="CE759" s="95"/>
      <c r="CF759" s="98"/>
      <c r="CG759" s="95"/>
      <c r="CH759" s="98"/>
      <c r="CI759" s="95"/>
      <c r="CJ759" s="98"/>
      <c r="CK759" s="95"/>
      <c r="CL759" s="98"/>
      <c r="CM759" s="95"/>
      <c r="CN759" s="98"/>
      <c r="CO759" s="95"/>
      <c r="CP759" s="98"/>
      <c r="CQ759" s="506"/>
      <c r="CR759" s="98"/>
      <c r="CS759" s="95"/>
      <c r="CT759" s="98"/>
      <c r="CU759" s="95"/>
      <c r="CV759" s="98"/>
      <c r="CW759" s="95"/>
      <c r="CX759" s="98"/>
      <c r="CY759" s="95"/>
      <c r="CZ759" s="98"/>
      <c r="DA759" s="95"/>
      <c r="DB759" s="98"/>
      <c r="DC759" s="95"/>
      <c r="DD759" s="98"/>
      <c r="DE759" s="95"/>
      <c r="DF759" s="98"/>
      <c r="DG759" s="95"/>
      <c r="DH759" s="98"/>
      <c r="DI759" s="95"/>
      <c r="DJ759" s="98"/>
      <c r="DK759" s="95"/>
      <c r="DL759" s="98"/>
      <c r="DM759" s="95"/>
      <c r="DN759" s="98"/>
      <c r="DO759" s="95"/>
      <c r="DP759" s="98"/>
      <c r="DQ759" s="95"/>
      <c r="DR759" s="98"/>
      <c r="DS759" s="95"/>
      <c r="DT759" s="98"/>
      <c r="DU759" s="95"/>
      <c r="DV759" s="98"/>
      <c r="DW759" s="95"/>
      <c r="DX759" s="98"/>
      <c r="DY759" s="95"/>
      <c r="DZ759" s="98"/>
      <c r="EA759" s="95"/>
      <c r="EB759" s="98"/>
      <c r="EC759" s="95"/>
      <c r="ED759" s="98"/>
      <c r="EE759" s="95"/>
      <c r="EF759" s="860"/>
      <c r="EG759" s="95"/>
      <c r="EH759" s="860"/>
      <c r="EI759" s="95"/>
      <c r="EJ759" s="860"/>
      <c r="EK759" s="789"/>
      <c r="EL759" s="860"/>
      <c r="EM759" s="789"/>
      <c r="EN759" s="860"/>
      <c r="EO759" s="789"/>
      <c r="EP759" s="98"/>
      <c r="EQ759" s="823"/>
      <c r="ER759" s="98"/>
      <c r="ES759" s="823"/>
      <c r="ET759" s="98"/>
      <c r="EU759" s="823"/>
      <c r="EV759" s="98"/>
      <c r="EW759" s="823"/>
      <c r="EX759" s="98"/>
      <c r="EY759" s="244"/>
      <c r="EZ759" s="594"/>
      <c r="FA759" s="405"/>
      <c r="FB759" s="244"/>
      <c r="FC759" s="113"/>
      <c r="FD759" s="244"/>
      <c r="FE759" s="113"/>
      <c r="FF759" s="244"/>
      <c r="FG759" s="98"/>
      <c r="FH759" s="244"/>
      <c r="FI759" s="98"/>
      <c r="FJ759" s="244"/>
      <c r="FK759" s="98"/>
      <c r="FL759" s="244"/>
      <c r="FM759" s="98"/>
      <c r="FN759" s="244"/>
      <c r="FO759" s="98"/>
      <c r="FP759" s="244"/>
      <c r="FQ759" s="98"/>
      <c r="FR759" s="244"/>
      <c r="FS759" s="98"/>
      <c r="FT759" s="244"/>
      <c r="FU759" s="98"/>
      <c r="FV759" s="244"/>
      <c r="FW759" s="98"/>
      <c r="FX759" s="506"/>
      <c r="FY759" s="98"/>
      <c r="FZ759" s="244"/>
      <c r="GA759" s="98"/>
      <c r="GB759" s="506"/>
      <c r="GC759" s="98"/>
      <c r="GD759" s="244"/>
      <c r="GE759" s="98"/>
      <c r="GF759" s="244"/>
      <c r="GG759" s="98"/>
      <c r="GH759" s="244"/>
      <c r="GI759" s="98"/>
      <c r="GJ759" s="244"/>
      <c r="GK759" s="98"/>
      <c r="GL759" s="244"/>
      <c r="GM759" s="98"/>
      <c r="GN759" s="244"/>
      <c r="GO759" s="98"/>
      <c r="GP759" s="244"/>
      <c r="GQ759" s="98"/>
      <c r="GR759" s="244"/>
      <c r="GS759" s="98"/>
      <c r="GT759" s="244"/>
      <c r="GU759" s="98"/>
      <c r="GV759" s="244"/>
      <c r="GW759" s="98"/>
      <c r="GX759" s="244"/>
      <c r="GY759" s="98"/>
      <c r="GZ759" s="98"/>
      <c r="HA759" s="98"/>
      <c r="HB759" s="10"/>
      <c r="HC759"/>
      <c r="HD759"/>
      <c r="HE759"/>
      <c r="HF759"/>
      <c r="HG759"/>
      <c r="HH759"/>
      <c r="HI759" s="10"/>
    </row>
    <row r="760" spans="1:217" s="2" customFormat="1" ht="12.75" customHeight="1" x14ac:dyDescent="0.2">
      <c r="A760" s="2" t="s">
        <v>73</v>
      </c>
      <c r="B760" s="179" t="s">
        <v>220</v>
      </c>
      <c r="C760" s="349">
        <f>+C715+C718+C729</f>
        <v>16927</v>
      </c>
      <c r="D760" s="113"/>
      <c r="E760" s="349">
        <f>+E715+E718+E729</f>
        <v>18484</v>
      </c>
      <c r="F760" s="113"/>
      <c r="G760" s="349">
        <f>+G715+G718+G729</f>
        <v>19184</v>
      </c>
      <c r="H760" s="349"/>
      <c r="I760" s="349">
        <f>+I715+I718+I729</f>
        <v>19905</v>
      </c>
      <c r="J760" s="98"/>
      <c r="K760" s="349">
        <f>+K715+K718+K729</f>
        <v>20516</v>
      </c>
      <c r="L760" s="98">
        <f t="shared" ref="L760:L766" si="4729">IF(ISERROR((K760/C760-1)*100),"NA",IF(((K760/C760-1)*100)&gt;100,"NM",IF(((K760/C760-1)*100)&lt;-50,"NM",(K760/C760-1)*100)))</f>
        <v>21.202812075382525</v>
      </c>
      <c r="M760" s="349">
        <f>+M715+M718+M729</f>
        <v>20142</v>
      </c>
      <c r="N760" s="98">
        <f t="shared" ref="N760:N766" si="4730">IF(ISERROR((M760/E760-1)*100),"NA",IF(((M760/E760-1)*100)&gt;100,"NM",IF(((M760/E760-1)*100)&lt;-50,"NM",(M760/E760-1)*100)))</f>
        <v>8.9699199307509137</v>
      </c>
      <c r="O760" s="349">
        <f>+O715+O718+O729</f>
        <v>20328</v>
      </c>
      <c r="P760" s="98">
        <f t="shared" ref="P760:P766" si="4731">IF(ISERROR((O760/G760-1)*100),"NA",IF(((O760/G760-1)*100)&gt;100,"NM",IF(((O760/G760-1)*100)&lt;-50,"NM",(O760/G760-1)*100)))</f>
        <v>5.9633027522935755</v>
      </c>
      <c r="Q760" s="349">
        <f>+Q715+Q718+Q729</f>
        <v>20946</v>
      </c>
      <c r="R760" s="98">
        <f t="shared" ref="R760:R766" si="4732">IF(ISERROR((Q760/I760-1)*100),"NA",IF(((Q760/I760-1)*100)&gt;100,"NM",IF(((Q760/I760-1)*100)&lt;-50,"NM",(Q760/I760-1)*100)))</f>
        <v>5.2298417483044535</v>
      </c>
      <c r="S760" s="349">
        <f>+S715+S718+S729</f>
        <v>20012</v>
      </c>
      <c r="T760" s="98">
        <f t="shared" ref="T760:T766" si="4733">IF(ISERROR((S760/K760-1)*100),"NA",IF(((S760/K760-1)*100)&gt;100,"NM",IF(((S760/K760-1)*100)&lt;-50,"NM",(S760/K760-1)*100)))</f>
        <v>-2.4566192240202733</v>
      </c>
      <c r="U760" s="349">
        <f>+U715+U718+U729</f>
        <v>20840</v>
      </c>
      <c r="V760" s="98">
        <f t="shared" ref="V760:V766" si="4734">IF(ISERROR((U760/M760-1)*100),"NA",IF(((U760/M760-1)*100)&gt;100,"NM",IF(((U760/M760-1)*100)&lt;-50,"NM",(U760/M760-1)*100)))</f>
        <v>3.465395690596762</v>
      </c>
      <c r="W760" s="349">
        <f>+W715+W718+W729</f>
        <v>21768</v>
      </c>
      <c r="X760" s="98">
        <f t="shared" ref="X760:X766" si="4735">IF(ISERROR((W760/O760-1)*100),"NA",IF(((W760/O760-1)*100)&gt;100,"NM",IF(((W760/O760-1)*100)&lt;-50,"NM",(W760/O760-1)*100)))</f>
        <v>7.0838252656434397</v>
      </c>
      <c r="Y760" s="349">
        <f>+Y715+Y718+Y729</f>
        <v>23075</v>
      </c>
      <c r="Z760" s="98">
        <f t="shared" ref="Z760:Z766" si="4736">IF(ISERROR((Y760/Q760-1)*100),"NA",IF(((Y760/Q760-1)*100)&gt;100,"NM",IF(((Y760/Q760-1)*100)&lt;-50,"NM",(Y760/Q760-1)*100)))</f>
        <v>10.164231834240422</v>
      </c>
      <c r="AA760" s="349">
        <f>+AA715+AA718+AA729</f>
        <v>23797</v>
      </c>
      <c r="AB760" s="98">
        <f t="shared" ref="AB760:AB766" si="4737">IF(ISERROR((AA760/S760-1)*100),"NA",IF(((AA760/S760-1)*100)&gt;100,"NM",IF(((AA760/S760-1)*100)&lt;-50,"NM",(AA760/S760-1)*100)))</f>
        <v>18.913651808914643</v>
      </c>
      <c r="AC760" s="349">
        <f>+AC715+AC718+AC729</f>
        <v>26462</v>
      </c>
      <c r="AD760" s="98">
        <f t="shared" ref="AD760:AD766" si="4738">IF(ISERROR((AC760/U760-1)*100),"NA",IF(((AC760/U760-1)*100)&gt;100,"NM",IF(((AC760/U760-1)*100)&lt;-50,"NM",(AC760/U760-1)*100)))</f>
        <v>26.976967370441464</v>
      </c>
      <c r="AE760" s="349">
        <f>+AE715+AE718+AE729</f>
        <v>26885</v>
      </c>
      <c r="AF760" s="98">
        <f t="shared" ref="AF760:AF766" si="4739">IF(ISERROR((AE760/W760-1)*100),"NA",IF(((AE760/W760-1)*100)&gt;100,"NM",IF(((AE760/W760-1)*100)&lt;-50,"NM",(AE760/W760-1)*100)))</f>
        <v>23.506982726938631</v>
      </c>
      <c r="AG760" s="349">
        <f>+AG715+AG718+AG729</f>
        <v>27129</v>
      </c>
      <c r="AH760" s="98">
        <f t="shared" ref="AH760:AH766" si="4740">IF(ISERROR((AG760/Y760-1)*100),"NA",IF(((AG760/Y760-1)*100)&gt;100,"NM",IF(((AG760/Y760-1)*100)&lt;-50,"NM",(AG760/Y760-1)*100)))</f>
        <v>17.568797399783321</v>
      </c>
      <c r="AI760" s="118">
        <f>+AI715+AI718+AI729</f>
        <v>28332</v>
      </c>
      <c r="AJ760" s="98">
        <f t="shared" ref="AJ760:AJ766" si="4741">IF(ISERROR((AI760/AA760-1)*100),"NA",IF(((AI760/AA760-1)*100)&gt;100,"NM",IF(((AI760/AA760-1)*100)&lt;-50,"NM",(AI760/AA760-1)*100)))</f>
        <v>19.057023994621169</v>
      </c>
      <c r="AK760" s="118">
        <f>+AK715+AK718+AK729</f>
        <v>27901</v>
      </c>
      <c r="AL760" s="98">
        <f t="shared" ref="AL760:AL766" si="4742">IF(ISERROR((AK760/AC760-1)*100),"NA",IF(((AK760/AC760-1)*100)&gt;100,"NM",IF(((AK760/AC760-1)*100)&lt;-50,"NM",(AK760/AC760-1)*100)))</f>
        <v>5.4379865467462762</v>
      </c>
      <c r="AM760" s="118">
        <f>+AM715+AM718+AM729</f>
        <v>29947</v>
      </c>
      <c r="AN760" s="98">
        <f t="shared" ref="AN760:AN766" si="4743">IF(ISERROR((AM760/AE760-1)*100),"NA",IF(((AM760/AE760-1)*100)&gt;100,"NM",IF(((AM760/AE760-1)*100)&lt;-50,"NM",(AM760/AE760-1)*100)))</f>
        <v>11.389250511437599</v>
      </c>
      <c r="AO760" s="118">
        <f>+AO715+AO718+AO729</f>
        <v>30514</v>
      </c>
      <c r="AP760" s="98">
        <f t="shared" ref="AP760:AP766" si="4744">IF(ISERROR((AO760/AG760-1)*100),"NA",IF(((AO760/AG760-1)*100)&gt;100,"NM",IF(((AO760/AG760-1)*100)&lt;-50,"NM",(AO760/AG760-1)*100)))</f>
        <v>12.477422684212458</v>
      </c>
      <c r="AQ760" s="118">
        <f>+AQ715+AQ718+AQ729</f>
        <v>30730</v>
      </c>
      <c r="AR760" s="98">
        <f t="shared" ref="AR760:AR766" si="4745">IF(ISERROR((AQ760/AI760-1)*100),"NA",IF(((AQ760/AI760-1)*100)&gt;100,"NM",IF(((AQ760/AI760-1)*100)&lt;-50,"NM",(AQ760/AI760-1)*100)))</f>
        <v>8.4639277142453793</v>
      </c>
      <c r="AS760" s="349">
        <f>+AS715+AS718+AS729+AS730</f>
        <v>39795</v>
      </c>
      <c r="AT760" s="98">
        <f t="shared" ref="AT760:AT766" si="4746">IF(ISERROR((AS760/AK760-1)*100),"NA",IF(((AS760/AK760-1)*100)&gt;100,"NM",IF(((AS760/AK760-1)*100)&lt;-50,"NM",(AS760/AK760-1)*100)))</f>
        <v>42.629296440987787</v>
      </c>
      <c r="AU760" s="349">
        <f>+AU715+AU718+AU729+AU730</f>
        <v>40569</v>
      </c>
      <c r="AV760" s="98">
        <f t="shared" ref="AV760:AV766" si="4747">IF(ISERROR((AU760/AM760-1)*100),"NA",IF(((AU760/AM760-1)*100)&gt;100,"NM",IF(((AU760/AM760-1)*100)&lt;-50,"NM",(AU760/AM760-1)*100)))</f>
        <v>35.469329148161741</v>
      </c>
      <c r="AW760" s="349">
        <f>+AW715+AW718+AW729+AW730</f>
        <v>41309</v>
      </c>
      <c r="AX760" s="98">
        <f t="shared" ref="AX760:AX766" si="4748">IF(ISERROR((AW760/AO760-1)*100),"NA",IF(((AW760/AO760-1)*100)&gt;100,"NM",IF(((AW760/AO760-1)*100)&lt;-50,"NM",(AW760/AO760-1)*100)))</f>
        <v>35.377203906403622</v>
      </c>
      <c r="AY760" s="349">
        <f>+AY715+AY718+AY729+AY730</f>
        <v>40819</v>
      </c>
      <c r="AZ760" s="98">
        <f t="shared" ref="AZ760:AZ766" si="4749">IF(ISERROR((AY760/AQ760-1)*100),"NA",IF(((AY760/AQ760-1)*100)&gt;100,"NM",IF(((AY760/AQ760-1)*100)&lt;-50,"NM",(AY760/AQ760-1)*100)))</f>
        <v>32.831109664822655</v>
      </c>
      <c r="BA760" s="349">
        <f>+BA715+BA718+BA729+BA730</f>
        <v>40738</v>
      </c>
      <c r="BB760" s="98">
        <f t="shared" ref="BB760:BB766" si="4750">IF(ISERROR((BA760/AS760-1)*100),"NA",IF(((BA760/AS760-1)*100)&gt;100,"NM",IF(((BA760/AS760-1)*100)&lt;-50,"NM",(BA760/AS760-1)*100)))</f>
        <v>2.3696444276919193</v>
      </c>
      <c r="BC760" s="349">
        <f>+BC715+BC718+BC729+BC730</f>
        <v>44641</v>
      </c>
      <c r="BD760" s="98">
        <f t="shared" ref="BD760:BD766" si="4751">IF(ISERROR((BC760/AU760-1)*100),"NA",IF(((BC760/AU760-1)*100)&gt;100,"NM",IF(((BC760/AU760-1)*100)&lt;-50,"NM",(BC760/AU760-1)*100)))</f>
        <v>10.037220537849102</v>
      </c>
      <c r="BE760" s="349">
        <f>+BE715+BE718+BE729+BE730</f>
        <v>46097</v>
      </c>
      <c r="BF760" s="98">
        <f t="shared" ref="BF760:BF766" si="4752">IF(ISERROR((BE760/AW760-1)*100),"NA",IF(((BE760/AW760-1)*100)&gt;100,"NM",IF(((BE760/AW760-1)*100)&lt;-50,"NM",(BE760/AW760-1)*100)))</f>
        <v>11.590694521774925</v>
      </c>
      <c r="BG760" s="349">
        <f>+BG715+BG718+BG729+BG730</f>
        <v>46727</v>
      </c>
      <c r="BH760" s="98">
        <f t="shared" ref="BH760:BH766" si="4753">IF(ISERROR((BG760/AY760-1)*100),"NA",IF(((BG760/AY760-1)*100)&gt;100,"NM",IF(((BG760/AY760-1)*100)&lt;-50,"NM",(BG760/AY760-1)*100)))</f>
        <v>14.473651975795576</v>
      </c>
      <c r="BI760" s="349">
        <f>+BI715+BI718+BI729+BI730</f>
        <v>48372</v>
      </c>
      <c r="BJ760" s="98">
        <f t="shared" ref="BJ760:BJ766" si="4754">IF(ISERROR((BI760/BA760-1)*100),"NA",IF(((BI760/BA760-1)*100)&gt;100,"NM",IF(((BI760/BA760-1)*100)&lt;-50,"NM",(BI760/BA760-1)*100)))</f>
        <v>18.739260641170397</v>
      </c>
      <c r="BK760" s="349">
        <f>+BK715+BK718+BK729+BK730</f>
        <v>48325</v>
      </c>
      <c r="BL760" s="98">
        <f t="shared" ref="BL760:BL766" si="4755">IF(ISERROR((BK760/BC760-1)*100),"NA",IF(((BK760/BC760-1)*100)&gt;100,"NM",IF(((BK760/BC760-1)*100)&lt;-50,"NM",(BK760/BC760-1)*100)))</f>
        <v>8.2525033041374485</v>
      </c>
      <c r="BM760" s="349">
        <f>+BM715+BM718+BM729+BM730</f>
        <v>51362</v>
      </c>
      <c r="BN760" s="98">
        <f t="shared" ref="BN760:BN766" si="4756">IF(ISERROR((BM760/BE760-1)*100),"NA",IF(((BM760/BE760-1)*100)&gt;100,"NM",IF(((BM760/BE760-1)*100)&lt;-50,"NM",(BM760/BE760-1)*100)))</f>
        <v>11.421567564049727</v>
      </c>
      <c r="BO760" s="349">
        <f>+BO715+BO718+BO729+BO730</f>
        <v>51484</v>
      </c>
      <c r="BP760" s="98">
        <f t="shared" ref="BP760:BP766" si="4757">IF(ISERROR((BO760/BG760-1)*100),"NA",IF(((BO760/BG760-1)*100)&gt;100,"NM",IF(((BO760/BG760-1)*100)&lt;-50,"NM",(BO760/BG760-1)*100)))</f>
        <v>10.180409613285679</v>
      </c>
      <c r="BQ760" s="349">
        <f>+BQ715+BQ718+BQ729+BQ730</f>
        <v>48906</v>
      </c>
      <c r="BR760" s="98">
        <f t="shared" ref="BR760:BR766" si="4758">IF(ISERROR((BQ760/BI760-1)*100),"NA",IF(((BQ760/BI760-1)*100)&gt;100,"NM",IF(((BQ760/BI760-1)*100)&lt;-50,"NM",(BQ760/BI760-1)*100)))</f>
        <v>1.1039444306623736</v>
      </c>
      <c r="BS760" s="349">
        <f>+BS715+BS718+BS729+BS730</f>
        <v>45977</v>
      </c>
      <c r="BT760" s="98">
        <f t="shared" ref="BT760:BT766" si="4759">IF(ISERROR((BS760/BK760-1)*100),"NA",IF(((BS760/BK760-1)*100)&gt;100,"NM",IF(((BS760/BK760-1)*100)&lt;-50,"NM",(BS760/BK760-1)*100)))</f>
        <v>-4.8587687532333117</v>
      </c>
      <c r="BU760" s="349">
        <f>+BU715+BU718+BU729+BU730</f>
        <v>40794</v>
      </c>
      <c r="BV760" s="98">
        <f t="shared" ref="BV760:BV766" si="4760">IF(ISERROR((BU760/BM760-1)*100),"NA",IF(((BU760/BM760-1)*100)&gt;100,"NM",IF(((BU760/BM760-1)*100)&lt;-50,"NM",(BU760/BM760-1)*100)))</f>
        <v>-20.57552276001713</v>
      </c>
      <c r="BW760" s="349">
        <f>+BW715+BW718+BW729+BW730</f>
        <v>41595</v>
      </c>
      <c r="BX760" s="98">
        <f t="shared" ref="BX760:BX766" si="4761">IF(ISERROR((BW760/BO760-1)*100),"NA",IF(((BW760/BO760-1)*100)&gt;100,"NM",IF(((BW760/BO760-1)*100)&lt;-50,"NM",(BW760/BO760-1)*100)))</f>
        <v>-19.207909253360267</v>
      </c>
      <c r="BY760" s="349">
        <f>+BY715+BY718+BY729+BY730</f>
        <v>47731</v>
      </c>
      <c r="BZ760" s="98">
        <f t="shared" ref="BZ760:BZ766" si="4762">IF(ISERROR((BY760/BQ760-1)*100),"NA",IF(((BY760/BQ760-1)*100)&gt;100,"NM",IF(((BY760/BQ760-1)*100)&lt;-50,"NM",(BY760/BQ760-1)*100)))</f>
        <v>-2.4025681920418762</v>
      </c>
      <c r="CA760" s="349">
        <f>+CA715+CA718+CA729+CA730</f>
        <v>54968</v>
      </c>
      <c r="CB760" s="98">
        <f t="shared" ref="CB760:CB766" si="4763">IF(ISERROR((CA760/BS760-1)*100),"NA",IF(((CA760/BS760-1)*100)&gt;100,"NM",IF(((CA760/BS760-1)*100)&lt;-50,"NM",(CA760/BS760-1)*100)))</f>
        <v>19.555429888857478</v>
      </c>
      <c r="CC760" s="349">
        <f>+CC715+CC718+CC729+CC730</f>
        <v>53839</v>
      </c>
      <c r="CD760" s="98">
        <f t="shared" ref="CD760:CD766" si="4764">IF(ISERROR((CC760/BU760-1)*100),"NA",IF(((CC760/BU760-1)*100)&gt;100,"NM",IF(((CC760/BU760-1)*100)&lt;-50,"NM",(CC760/BU760-1)*100)))</f>
        <v>31.97774182477815</v>
      </c>
      <c r="CE760" s="349">
        <f>+CE715+CE718+CE729+CE730</f>
        <v>63316</v>
      </c>
      <c r="CF760" s="98">
        <f t="shared" ref="CF760:CF766" si="4765">IF(ISERROR((CE760/BW760-1)*100),"NA",IF(((CE760/BW760-1)*100)&gt;100,"NM",IF(((CE760/BW760-1)*100)&lt;-50,"NM",(CE760/BW760-1)*100)))</f>
        <v>52.220218776295233</v>
      </c>
      <c r="CG760" s="349">
        <f>+CG715+CG718+CG729+CG730</f>
        <v>67520</v>
      </c>
      <c r="CH760" s="98">
        <f t="shared" ref="CH760:CH766" si="4766">IF(ISERROR((CG760/BY760-1)*100),"NA",IF(((CG760/BY760-1)*100)&gt;100,"NM",IF(((CG760/BY760-1)*100)&lt;-50,"NM",(CG760/BY760-1)*100)))</f>
        <v>41.459428882696784</v>
      </c>
      <c r="CI760" s="349">
        <f>+CI715+CI718+CI729+CI730</f>
        <v>78425</v>
      </c>
      <c r="CJ760" s="98">
        <f t="shared" ref="CJ760:CJ766" si="4767">IF(ISERROR((CI760/CA760-1)*100),"NA",IF(((CI760/CA760-1)*100)&gt;100,"NM",IF(((CI760/CA760-1)*100)&lt;-50,"NM",(CI760/CA760-1)*100)))</f>
        <v>42.673919371270564</v>
      </c>
      <c r="CK760" s="349">
        <f>+CK715+CK718+CK729+CK730</f>
        <v>83709</v>
      </c>
      <c r="CL760" s="98">
        <f t="shared" ref="CL760:CL766" si="4768">IF(ISERROR((CK760/CC760-1)*100),"NA",IF(((CK760/CC760-1)*100)&gt;100,"NM",IF(((CK760/CC760-1)*100)&lt;-50,"NM",(CK760/CC760-1)*100)))</f>
        <v>55.480228087445902</v>
      </c>
      <c r="CM760" s="349">
        <f>+CM715+CM718+CM729+CM730</f>
        <v>83002</v>
      </c>
      <c r="CN760" s="98">
        <f t="shared" ref="CN760:CN766" si="4769">IF(ISERROR((CM760/CE760-1)*100),"NA",IF(((CM760/CE760-1)*100)&gt;100,"NM",IF(((CM760/CE760-1)*100)&lt;-50,"NM",(CM760/CE760-1)*100)))</f>
        <v>31.091667193126547</v>
      </c>
      <c r="CO760" s="349">
        <f>+CO715+CO718+CO729+CO730</f>
        <v>87039</v>
      </c>
      <c r="CP760" s="98">
        <f t="shared" ref="CP760:CT766" si="4770">IF(ISERROR((CO760/CG760-1)*100),"NA",IF(((CO760/CG760-1)*100)&gt;100,"NM",IF(((CO760/CG760-1)*100)&lt;-50,"NM",(CO760/CG760-1)*100)))</f>
        <v>28.908471563981042</v>
      </c>
      <c r="CQ760" s="510">
        <f>+CQ715+CQ718+CQ729+CQ730</f>
        <v>90501</v>
      </c>
      <c r="CR760" s="98">
        <f t="shared" si="4770"/>
        <v>15.398151099776847</v>
      </c>
      <c r="CS760" s="349">
        <f>+CS715+CS718+CS729+CS730</f>
        <v>88059</v>
      </c>
      <c r="CT760" s="98">
        <f t="shared" si="4770"/>
        <v>5.196573845106256</v>
      </c>
      <c r="CU760" s="349">
        <f>+CU715+CU718+CU729+CU730</f>
        <v>88903</v>
      </c>
      <c r="CV760" s="98">
        <f t="shared" ref="CV760:CV766" si="4771">IF(ISERROR((CU760/CM760-1)*100),"NA",IF(((CU760/CM760-1)*100)&gt;100,"NM",IF(((CU760/CM760-1)*100)&lt;-50,"NM",(CU760/CM760-1)*100)))</f>
        <v>7.109467241753209</v>
      </c>
      <c r="CW760" s="349">
        <f>+CW715+CW718+CW729+CW730</f>
        <v>87682</v>
      </c>
      <c r="CX760" s="98">
        <f t="shared" ref="CX760:CX766" si="4772">IF(ISERROR((CW760/CO760-1)*100),"NA",IF(((CW760/CO760-1)*100)&gt;100,"NM",IF(((CW760/CO760-1)*100)&lt;-50,"NM",(CW760/CO760-1)*100)))</f>
        <v>0.73874929629247355</v>
      </c>
      <c r="CY760" s="349">
        <f>+CY715+CY718+CY729+CY730</f>
        <v>85871</v>
      </c>
      <c r="CZ760" s="98">
        <f t="shared" ref="CZ760:CZ766" si="4773">IF(ISERROR((CY760/CQ760-1)*100),"NA",IF(((CY760/CQ760-1)*100)&gt;100,"NM",IF(((CY760/CQ760-1)*100)&lt;-50,"NM",(CY760/CQ760-1)*100)))</f>
        <v>-5.1159655694412169</v>
      </c>
      <c r="DA760" s="349">
        <f>+DA715+DA718+DA729+DA730</f>
        <v>85716</v>
      </c>
      <c r="DB760" s="98">
        <f t="shared" ref="DB760:DB766" si="4774">IF(ISERROR((DA760/CS760-1)*100),"NA",IF(((DA760/CS760-1)*100)&gt;100,"NM",IF(((DA760/CS760-1)*100)&lt;-50,"NM",(DA760/CS760-1)*100)))</f>
        <v>-2.6607161107893518</v>
      </c>
      <c r="DC760" s="349">
        <f>+DC715+DC718+DC729+DC730</f>
        <v>85372</v>
      </c>
      <c r="DD760" s="98">
        <f t="shared" ref="DD760:DD766" si="4775">IF(ISERROR((DC760/CU760-1)*100),"NA",IF(((DC760/CU760-1)*100)&gt;100,"NM",IF(((DC760/CU760-1)*100)&lt;-50,"NM",(DC760/CU760-1)*100)))</f>
        <v>-3.9717444855629114</v>
      </c>
      <c r="DE760" s="349">
        <f>+DE715+DE718+DE729+DE730</f>
        <v>80781</v>
      </c>
      <c r="DF760" s="98">
        <f t="shared" ref="DF760:DF766" si="4776">IF(ISERROR((DE760/CW760-1)*100),"NA",IF(((DE760/CW760-1)*100)&gt;100,"NM",IF(((DE760/CW760-1)*100)&lt;-50,"NM",(DE760/CW760-1)*100)))</f>
        <v>-7.8704865308729222</v>
      </c>
      <c r="DG760" s="349">
        <f>+DG715+DG718+DG729+DG730</f>
        <v>81380</v>
      </c>
      <c r="DH760" s="98">
        <f t="shared" ref="DH760:DH766" si="4777">IF(ISERROR((DG760/CY760-1)*100),"NA",IF(((DG760/CY760-1)*100)&gt;100,"NM",IF(((DG760/CY760-1)*100)&lt;-50,"NM",(DG760/CY760-1)*100)))</f>
        <v>-5.2299379301510402</v>
      </c>
      <c r="DI760" s="349">
        <f>+DI715+DI718+DI729+DI730</f>
        <v>82407</v>
      </c>
      <c r="DJ760" s="98">
        <f t="shared" ref="DJ760:DJ766" si="4778">IF(ISERROR((DI760/DA760-1)*100),"NA",IF(((DI760/DA760-1)*100)&gt;100,"NM",IF(((DI760/DA760-1)*100)&lt;-50,"NM",(DI760/DA760-1)*100)))</f>
        <v>-3.8604227915441713</v>
      </c>
      <c r="DK760" s="349">
        <f>+DK715+DK718+DK729+DK730</f>
        <v>84752</v>
      </c>
      <c r="DL760" s="98">
        <f t="shared" ref="DL760:DL766" si="4779">IF(ISERROR((DK760/DC760-1)*100),"NA",IF(((DK760/DC760-1)*100)&gt;100,"NM",IF(((DK760/DC760-1)*100)&lt;-50,"NM",(DK760/DC760-1)*100)))</f>
        <v>-0.72623342547908365</v>
      </c>
      <c r="DM760" s="349">
        <f>+DM715+DM718+DM729+DM730</f>
        <v>88575</v>
      </c>
      <c r="DN760" s="98">
        <f t="shared" ref="DN760:DZ766" si="4780">IF(ISERROR((DM760/DE760-1)*100),"NA",IF(((DM760/DE760-1)*100)&gt;100,"NM",IF(((DM760/DE760-1)*100)&lt;-50,"NM",(DM760/DE760-1)*100)))</f>
        <v>9.6483083893489798</v>
      </c>
      <c r="DO760" s="349">
        <f>+DO715+DO718+DO729+DO730</f>
        <v>89396</v>
      </c>
      <c r="DP760" s="98">
        <f t="shared" si="4780"/>
        <v>9.8500860162201942</v>
      </c>
      <c r="DQ760" s="349">
        <f>+DQ715+DQ718+DQ729+DQ730</f>
        <v>90541</v>
      </c>
      <c r="DR760" s="98">
        <f t="shared" si="4780"/>
        <v>9.8705207081922541</v>
      </c>
      <c r="DS760" s="349">
        <f>+DS715+DS718+DS729+DS730</f>
        <v>93686</v>
      </c>
      <c r="DT760" s="98">
        <f t="shared" si="4780"/>
        <v>10.541344157070043</v>
      </c>
      <c r="DU760" s="349">
        <f>+DU715+DU718+DU729+DU730</f>
        <v>88372</v>
      </c>
      <c r="DV760" s="98">
        <f t="shared" si="4780"/>
        <v>-0.22918430708439574</v>
      </c>
      <c r="DW760" s="349">
        <f>+DW715+DW718+DW729+DW730</f>
        <v>89483</v>
      </c>
      <c r="DX760" s="98">
        <f t="shared" si="4780"/>
        <v>9.7319790594663225E-2</v>
      </c>
      <c r="DY760" s="349">
        <f>+DY715+DY718+DY729+DY730</f>
        <v>88197</v>
      </c>
      <c r="DZ760" s="98">
        <f t="shared" si="4780"/>
        <v>-2.588882384775959</v>
      </c>
      <c r="EA760" s="349">
        <f>+EA715+EA718+EA729+EA730</f>
        <v>95833</v>
      </c>
      <c r="EB760" s="98">
        <f t="shared" ref="EB760:EB766" si="4781">IF(ISERROR((EA760/DS760-1)*100),"NA",IF(((EA760/DS760-1)*100)&gt;100,"NM",IF(((EA760/DS760-1)*100)&lt;-50,"NM",(EA760/DS760-1)*100)))</f>
        <v>2.2916977990308007</v>
      </c>
      <c r="EC760" s="349">
        <f>+EC715+EC718+EC729+EC730</f>
        <v>97917</v>
      </c>
      <c r="ED760" s="98">
        <f t="shared" ref="ED760:ED766" si="4782">IF(ISERROR((EC760/DU760-1)*100),"NA",IF(((EC760/DU760-1)*100)&gt;100,"NM",IF(((EC760/DU760-1)*100)&lt;-50,"NM",(EC760/DU760-1)*100)))</f>
        <v>10.800932422034126</v>
      </c>
      <c r="EE760" s="349">
        <f>+EE715+EE718+EE729+EE730</f>
        <v>96999</v>
      </c>
      <c r="EF760" s="860">
        <f t="shared" ref="EF760:EF766" si="4783">IF(ISERROR((EE760/DW760-1)*100),"NA",IF(((EE760/DW760-1)*100)&gt;100,"NM",IF(((EE760/DW760-1)*100)&lt;-50,"NM",(EE760/DW760-1)*100)))</f>
        <v>8.3993607724372144</v>
      </c>
      <c r="EG760" s="349">
        <f>+EG715+EG718+EG729+EG730</f>
        <v>86197</v>
      </c>
      <c r="EH760" s="860">
        <f t="shared" ref="EH760:EH766" si="4784">IF(ISERROR((EG760/DY760-1)*100),"NA",IF(((EG760/DY760-1)*100)&gt;100,"NM",IF(((EG760/DY760-1)*100)&lt;-50,"NM",(EG760/DY760-1)*100)))</f>
        <v>-2.2676508271256446</v>
      </c>
      <c r="EI760" s="349">
        <f>+EI715+EI718+EI729+EI730</f>
        <v>86406</v>
      </c>
      <c r="EJ760" s="860">
        <f t="shared" ref="EJ760:EJ766" si="4785">IF(ISERROR((EI760/EA760-1)*100),"NA",IF(((EI760/EA760-1)*100)&gt;100,"NM",IF(((EI760/EA760-1)*100)&lt;-50,"NM",(EI760/EA760-1)*100)))</f>
        <v>-9.8369037805348896</v>
      </c>
      <c r="EK760" s="840">
        <f>+EK715+EK718+EK729+EK730</f>
        <v>87965</v>
      </c>
      <c r="EL760" s="860">
        <f t="shared" ref="EL760:EL766" si="4786">IF(ISERROR((EK760/EC760-1)*100),"NA",IF(((EK760/EC760-1)*100)&gt;100,"NM",IF(((EK760/EC760-1)*100)&lt;-50,"NM",(EK760/EC760-1)*100)))</f>
        <v>-10.163710080986954</v>
      </c>
      <c r="EM760" s="840">
        <f>+EM715+EM718+EM729+EM730</f>
        <v>75367</v>
      </c>
      <c r="EN760" s="860">
        <f t="shared" ref="EN760:EN766" si="4787">IF(ISERROR((EM760/EE760-1)*100),"NA",IF(((EM760/EE760-1)*100)&gt;100,"NM",IF(((EM760/EE760-1)*100)&lt;-50,"NM",(EM760/EE760-1)*100)))</f>
        <v>-22.3012608377406</v>
      </c>
      <c r="EO760" s="840">
        <f>+EO715+EO718+EO729+EO730</f>
        <v>76587</v>
      </c>
      <c r="EP760" s="98">
        <f t="shared" ref="EP760:EP766" si="4788">IF(ISERROR((EO760/EG760-1)*100),"NA",IF(((EO760/EG760-1)*100)&gt;100,"NM",IF(((EO760/EG760-1)*100)&lt;-50,"NM",(EO760/EG760-1)*100)))</f>
        <v>-11.148879891411534</v>
      </c>
      <c r="EQ760" s="840">
        <f t="shared" ref="EQ760" si="4789">+EQ715+EQ718+EQ729+EQ730</f>
        <v>75629.669045244227</v>
      </c>
      <c r="ER760" s="98">
        <f t="shared" ref="ER760:ER766" si="4790">IF(ISERROR((EQ760/EI760-1)*100),"NA",IF(((EQ760/EI760-1)*100)&gt;100,"NM",IF(((EQ760/EI760-1)*100)&lt;-50,"NM",(EQ760/EI760-1)*100)))</f>
        <v>-12.471739178709552</v>
      </c>
      <c r="ES760" s="840">
        <f t="shared" ref="ES760" si="4791">+ES715+ES718+ES729+ES730</f>
        <v>75578.799194345935</v>
      </c>
      <c r="ET760" s="98">
        <f t="shared" ref="ET760:ET766" si="4792">IF(ISERROR((ES760/EK760-1)*100),"NA",IF(((ES760/EK760-1)*100)&gt;100,"NM",IF(((ES760/EK760-1)*100)&lt;-50,"NM",(ES760/EK760-1)*100)))</f>
        <v>-14.080828517767364</v>
      </c>
      <c r="EU760" s="840">
        <f t="shared" ref="EU760" si="4793">+EU715+EU718+EU729+EU730</f>
        <v>75647.954708075878</v>
      </c>
      <c r="EV760" s="98">
        <f t="shared" ref="EV760:EV766" si="4794">IF(ISERROR((EU760/EM760-1)*100),"NA",IF(((EU760/EM760-1)*100)&gt;100,"NM",IF(((EU760/EM760-1)*100)&lt;-50,"NM",(EU760/EM760-1)*100)))</f>
        <v>0.37278213021068041</v>
      </c>
      <c r="EW760" s="840">
        <f t="shared" ref="EW760" si="4795">+EW715+EW718+EW729+EW730</f>
        <v>75706.100587679044</v>
      </c>
      <c r="EX760" s="98">
        <f t="shared" ref="EX760:EX766" si="4796">IF(ISERROR((EW760/EO760-1)*100),"NA",IF(((EW760/EO760-1)*100)&gt;100,"NM",IF(((EW760/EO760-1)*100)&lt;-50,"NM",(EW760/EO760-1)*100)))</f>
        <v>-1.150194435505969</v>
      </c>
      <c r="EY760" s="349"/>
      <c r="EZ760" s="594"/>
      <c r="FA760" s="405"/>
      <c r="FB760" s="349">
        <f>+FB715+FB718+FB729</f>
        <v>17772</v>
      </c>
      <c r="FC760" s="349"/>
      <c r="FD760" s="349">
        <f>+FD715+FD718+FD729</f>
        <v>16204</v>
      </c>
      <c r="FE760" s="98">
        <f t="shared" ref="FE760:FE766" si="4797">IF(ISERROR((FD760/FB760-1)*100),"NA",IF(((FD760/FB760-1)*100)&gt;100,"NM",IF(((FD760/FB760-1)*100)&lt;-50,"NM",(FD760/FB760-1)*100)))</f>
        <v>-8.8228674319153715</v>
      </c>
      <c r="FF760" s="349">
        <f>+FF715+FF718+FF729</f>
        <v>19905</v>
      </c>
      <c r="FG760" s="98">
        <f t="shared" ref="FG760:FG766" si="4798">IF(ISERROR((FF760/FD760-1)*100),"NA",IF(((FF760/FD760-1)*100)&gt;100,"NM",IF(((FF760/FD760-1)*100)&lt;-50,"NM",(FF760/FD760-1)*100)))</f>
        <v>22.840039496420637</v>
      </c>
      <c r="FH760" s="349">
        <f>+FH715+FH718+FH729</f>
        <v>20946</v>
      </c>
      <c r="FI760" s="98">
        <f t="shared" ref="FI760:FI766" si="4799">IF(ISERROR((FH760/FF760-1)*100),"NA",IF(((FH760/FF760-1)*100)&gt;100,"NM",IF(((FH760/FF760-1)*100)&lt;-50,"NM",(FH760/FF760-1)*100)))</f>
        <v>5.2298417483044535</v>
      </c>
      <c r="FJ760" s="349">
        <f>+FJ715+FJ718+FJ729</f>
        <v>23068</v>
      </c>
      <c r="FK760" s="98">
        <f t="shared" ref="FK760:FK766" si="4800">IF(ISERROR((FJ760/FH760-1)*100),"NA",IF(((FJ760/FH760-1)*100)&gt;100,"NM",IF(((FJ760/FH760-1)*100)&lt;-50,"NM",(FJ760/FH760-1)*100)))</f>
        <v>10.130812565644987</v>
      </c>
      <c r="FL760" s="349">
        <f>+FL715+FL718+FL729</f>
        <v>27129</v>
      </c>
      <c r="FM760" s="98">
        <f t="shared" ref="FM760:FM766" si="4801">IF(ISERROR((FL760/FJ760-1)*100),"NA",IF(((FL760/FJ760-1)*100)&gt;100,"NM",IF(((FL760/FJ760-1)*100)&lt;-50,"NM",(FL760/FJ760-1)*100)))</f>
        <v>17.604473729842198</v>
      </c>
      <c r="FN760" s="349">
        <f>+FN715+FN718+FN729</f>
        <v>30514</v>
      </c>
      <c r="FO760" s="98">
        <f t="shared" ref="FO760:FO766" si="4802">IF(ISERROR((FN760/FL760-1)*100),"NA",IF(((FN760/FL760-1)*100)&gt;100,"NM",IF(((FN760/FL760-1)*100)&lt;-50,"NM",(FN760/FL760-1)*100)))</f>
        <v>12.477422684212458</v>
      </c>
      <c r="FP760" s="349">
        <f>+FP715+FP718+FP729+FP730</f>
        <v>41309</v>
      </c>
      <c r="FQ760" s="98">
        <f t="shared" ref="FQ760:FQ766" si="4803">IF(ISERROR((FP760/FN760-1)*100),"NA",IF(((FP760/FN760-1)*100)&gt;100,"NM",IF(((FP760/FN760-1)*100)&lt;-50,"NM",(FP760/FN760-1)*100)))</f>
        <v>35.377203906403622</v>
      </c>
      <c r="FR760" s="349">
        <f>+FR715+FR718+FR729+FR730</f>
        <v>46097</v>
      </c>
      <c r="FS760" s="98">
        <f t="shared" ref="FS760:FS766" si="4804">IF(ISERROR((FR760/FP760-1)*100),"NA",IF(((FR760/FP760-1)*100)&gt;100,"NM",IF(((FR760/FP760-1)*100)&lt;-50,"NM",(FR760/FP760-1)*100)))</f>
        <v>11.590694521774925</v>
      </c>
      <c r="FT760" s="349">
        <f>+FT715+FT718+FT729+FT730</f>
        <v>51362</v>
      </c>
      <c r="FU760" s="98">
        <f t="shared" ref="FU760:FU766" si="4805">IF(ISERROR((FT760/FR760-1)*100),"NA",IF(((FT760/FR760-1)*100)&gt;100,"NM",IF(((FT760/FR760-1)*100)&lt;-50,"NM",(FT760/FR760-1)*100)))</f>
        <v>11.421567564049727</v>
      </c>
      <c r="FV760" s="349">
        <f>+FV715+FV718+FV729+FV730</f>
        <v>40794</v>
      </c>
      <c r="FW760" s="98">
        <f t="shared" ref="FW760:FW766" si="4806">IF(ISERROR((FV760/FT760-1)*100),"NA",IF(((FV760/FT760-1)*100)&gt;100,"NM",IF(((FV760/FT760-1)*100)&lt;-50,"NM",(FV760/FT760-1)*100)))</f>
        <v>-20.57552276001713</v>
      </c>
      <c r="FX760" s="510">
        <f>+FX715+FX718+FX729+FX730</f>
        <v>53839</v>
      </c>
      <c r="FY760" s="98">
        <f t="shared" ref="FY760:FY766" si="4807">IF(ISERROR((FX760/FV760-1)*100),"NA",IF(((FX760/FV760-1)*100)&gt;100,"NM",IF(((FX760/FV760-1)*100)&lt;-50,"NM",(FX760/FV760-1)*100)))</f>
        <v>31.97774182477815</v>
      </c>
      <c r="FZ760" s="349">
        <f>+FZ715+FZ718+FZ729+FZ730</f>
        <v>83709</v>
      </c>
      <c r="GA760" s="98">
        <f t="shared" ref="GA760:GA766" si="4808">IF(ISERROR((FZ760/FX760-1)*100),"NA",IF(((FZ760/FX760-1)*100)&gt;100,"NM",IF(((FZ760/FX760-1)*100)&lt;-50,"NM",(FZ760/FX760-1)*100)))</f>
        <v>55.480228087445902</v>
      </c>
      <c r="GB760" s="510">
        <f>+GB715+GB718+GB729+GB730</f>
        <v>88059</v>
      </c>
      <c r="GC760" s="98">
        <f t="shared" ref="GC760:GC766" si="4809">IF(ISERROR((GB760/FZ760-1)*100),"NA",IF(((GB760/FZ760-1)*100)&gt;100,"NM",IF(((GB760/FZ760-1)*100)&lt;-50,"NM",(GB760/FZ760-1)*100)))</f>
        <v>5.196573845106256</v>
      </c>
      <c r="GD760" s="349">
        <f>+GD715+GD718+GD729+GD730</f>
        <v>85716</v>
      </c>
      <c r="GE760" s="98">
        <f t="shared" ref="GE760:GW766" si="4810">IF(ISERROR((GD760/GB760-1)*100),"NA",IF(((GD760/GB760-1)*100)&gt;100,"NM",IF(((GD760/GB760-1)*100)&lt;-50,"NM",(GD760/GB760-1)*100)))</f>
        <v>-2.6607161107893518</v>
      </c>
      <c r="GF760" s="349">
        <f>+GF715+GF718+GF729+GF730</f>
        <v>82407</v>
      </c>
      <c r="GG760" s="98">
        <f t="shared" si="4810"/>
        <v>-3.8604227915441713</v>
      </c>
      <c r="GH760" s="349">
        <f>+GH715+GH718+GH729+GH730</f>
        <v>90541</v>
      </c>
      <c r="GI760" s="98">
        <f t="shared" si="4810"/>
        <v>9.8705207081922541</v>
      </c>
      <c r="GJ760" s="349">
        <f>+GJ715+GJ718+GJ729+GJ730</f>
        <v>88197</v>
      </c>
      <c r="GK760" s="98">
        <f t="shared" si="4810"/>
        <v>-2.588882384775959</v>
      </c>
      <c r="GL760" s="349">
        <f>+GL715+GL718+GL729+GL730</f>
        <v>86197</v>
      </c>
      <c r="GM760" s="98">
        <f t="shared" si="4810"/>
        <v>-2.2676508271256446</v>
      </c>
      <c r="GN760" s="349">
        <f>+GN715+GN718+GN729+GN730</f>
        <v>76587</v>
      </c>
      <c r="GO760" s="98">
        <f t="shared" si="4810"/>
        <v>-11.148879891411534</v>
      </c>
      <c r="GP760" s="349">
        <f>+GP715+GP718+GP729+GP730</f>
        <v>75706.100587679044</v>
      </c>
      <c r="GQ760" s="98">
        <f t="shared" si="4810"/>
        <v>-1.150194435505969</v>
      </c>
      <c r="GR760" s="349">
        <f>+GR715+GR718+GR729+GR730</f>
        <v>76308.653981400246</v>
      </c>
      <c r="GS760" s="98">
        <f t="shared" si="4810"/>
        <v>0.79591127933389405</v>
      </c>
      <c r="GT760" s="349">
        <f>+GT715+GT718+GT729+GT730</f>
        <v>77054.551233292557</v>
      </c>
      <c r="GU760" s="98">
        <f t="shared" si="4810"/>
        <v>0.97747399931089607</v>
      </c>
      <c r="GV760" s="349">
        <f>+GV715+GV718+GV729+GV730</f>
        <v>77900.273636416518</v>
      </c>
      <c r="GW760" s="98">
        <f t="shared" si="4810"/>
        <v>1.0975632063100704</v>
      </c>
      <c r="GX760" s="349">
        <f>+GX715+GX718+GX729+GX730</f>
        <v>78797.75076261544</v>
      </c>
      <c r="GY760" s="98">
        <f t="shared" ref="GY760:GY766" si="4811">IF(ISERROR((GX760/GV760-1)*100),"NA",IF(((GX760/GV760-1)*100)&gt;100,"NM",IF(((GX760/GV760-1)*100)&lt;-50,"NM",(GX760/GV760-1)*100)))</f>
        <v>1.1520846902126625</v>
      </c>
      <c r="GZ760" s="98">
        <f t="shared" ref="GZ760:GZ766" si="4812">IF(ISERROR(((GX760/GN760)^0.2-1)*100),"NA",IF((((GX760/GN760)^0.2-1)*100)&gt;100,"NM",IF((((GX760/GN760)^0.2-1)*100)&lt;-50,"NM",((GX760/GN760)^0.2-1)*100)))</f>
        <v>0.57076475616262279</v>
      </c>
      <c r="HA760" s="98"/>
      <c r="HB760" s="10"/>
      <c r="HC760"/>
      <c r="HD760"/>
      <c r="HE760"/>
      <c r="HF760"/>
      <c r="HG760"/>
      <c r="HH760"/>
      <c r="HI760" s="10"/>
    </row>
    <row r="761" spans="1:217" s="2" customFormat="1" ht="12.75" customHeight="1" x14ac:dyDescent="0.2">
      <c r="A761" s="10" t="s">
        <v>355</v>
      </c>
      <c r="B761" s="18" t="s">
        <v>575</v>
      </c>
      <c r="C761" s="289">
        <f>C715/(C715+C729+C718)*100</f>
        <v>16.500265847462632</v>
      </c>
      <c r="D761" s="98"/>
      <c r="E761" s="289">
        <f>E715/(E715+E729+E718)*100</f>
        <v>15.326769097597923</v>
      </c>
      <c r="F761" s="98"/>
      <c r="G761" s="289">
        <f>G715/(G715+G729+G718)*100</f>
        <v>15.075062552126772</v>
      </c>
      <c r="H761" s="98"/>
      <c r="I761" s="289">
        <f>I715/(I715+I729+I718)*100</f>
        <v>12.187892489324291</v>
      </c>
      <c r="J761" s="98"/>
      <c r="K761" s="289">
        <f>K715/(K715+K729+K718)*100</f>
        <v>11.707935270033145</v>
      </c>
      <c r="L761" s="98">
        <f t="shared" si="4729"/>
        <v>-29.043959786662711</v>
      </c>
      <c r="M761" s="289">
        <f>M715/(M715+M729+M718)*100</f>
        <v>11.344454373944989</v>
      </c>
      <c r="N761" s="98">
        <f t="shared" si="4730"/>
        <v>-25.982741034945576</v>
      </c>
      <c r="O761" s="289">
        <f>O715/(O715+O729+O718)*100</f>
        <v>11.334120425029516</v>
      </c>
      <c r="P761" s="98">
        <f t="shared" si="4731"/>
        <v>-24.815433529126473</v>
      </c>
      <c r="Q761" s="289">
        <f>Q715/(Q715+Q729+Q718)*100</f>
        <v>17.320729494891626</v>
      </c>
      <c r="R761" s="98">
        <f t="shared" si="4732"/>
        <v>42.114229429438495</v>
      </c>
      <c r="S761" s="289">
        <f>S715/(S715+S729+S718)*100</f>
        <v>17.159704177493502</v>
      </c>
      <c r="T761" s="98">
        <f t="shared" si="4733"/>
        <v>46.564733932330007</v>
      </c>
      <c r="U761" s="289">
        <f>U715/(U715+U729+U718)*100</f>
        <v>16.487523992322455</v>
      </c>
      <c r="V761" s="98">
        <f t="shared" si="4734"/>
        <v>45.3355397170061</v>
      </c>
      <c r="W761" s="289">
        <f>W715/(W715+W729+W718)*100</f>
        <v>15.747886806321205</v>
      </c>
      <c r="X761" s="98">
        <f t="shared" si="4735"/>
        <v>38.942292968271452</v>
      </c>
      <c r="Y761" s="289">
        <f>Y715/(Y715+Y729+Y718)*100</f>
        <v>19.176598049837487</v>
      </c>
      <c r="Z761" s="98">
        <f t="shared" si="4736"/>
        <v>10.714725124557889</v>
      </c>
      <c r="AA761" s="289">
        <f>AA715/(AA715+AA729+AA718)*100</f>
        <v>23.032314997688786</v>
      </c>
      <c r="AB761" s="98">
        <f t="shared" si="4737"/>
        <v>34.223263754731526</v>
      </c>
      <c r="AC761" s="289">
        <f>AC715/(AC715+AC729+AC718)*100</f>
        <v>21.018819439195827</v>
      </c>
      <c r="AD761" s="98">
        <f t="shared" si="4738"/>
        <v>27.483177273818704</v>
      </c>
      <c r="AE761" s="289">
        <f>AE715/(AE715+AE729+AE718)*100</f>
        <v>21.212572066207922</v>
      </c>
      <c r="AF761" s="98">
        <f t="shared" si="4739"/>
        <v>34.701070226725214</v>
      </c>
      <c r="AG761" s="289">
        <f>AG715/(AG715+AG729+AG718)*100</f>
        <v>21.021784805927236</v>
      </c>
      <c r="AH761" s="98">
        <f t="shared" si="4740"/>
        <v>9.6220755698917415</v>
      </c>
      <c r="AI761" s="125">
        <f>AI715/(AI715+AI729+AI718)*100</f>
        <v>20.143300861216996</v>
      </c>
      <c r="AJ761" s="98">
        <f t="shared" si="4741"/>
        <v>-12.54330768210531</v>
      </c>
      <c r="AK761" s="125">
        <f>AK715/(AK715+AK729+AK718)*100</f>
        <v>22.314612379484604</v>
      </c>
      <c r="AL761" s="98">
        <f t="shared" si="4742"/>
        <v>6.1649177968215785</v>
      </c>
      <c r="AM761" s="125">
        <f>AM715/(AM715+AM729+AM718)*100</f>
        <v>22.356162553845127</v>
      </c>
      <c r="AN761" s="98">
        <f t="shared" si="4743"/>
        <v>5.3910977135062765</v>
      </c>
      <c r="AO761" s="125">
        <f>AO715/(AO715+AO729+AO718)*100</f>
        <v>24.290489611325949</v>
      </c>
      <c r="AP761" s="98">
        <f t="shared" si="4744"/>
        <v>15.549130749721485</v>
      </c>
      <c r="AQ761" s="125">
        <f>AQ715/(AQ715+AQ729+AQ718)*100</f>
        <v>24.12626098275301</v>
      </c>
      <c r="AR761" s="98">
        <f t="shared" si="4745"/>
        <v>19.77312531336224</v>
      </c>
      <c r="AS761" s="125">
        <f>(AS715+AS716)/(AS715+AS716+AS729+AS730+AS718)*100</f>
        <v>27.279448591666867</v>
      </c>
      <c r="AT761" s="98">
        <f t="shared" si="4746"/>
        <v>22.249260384853422</v>
      </c>
      <c r="AU761" s="125">
        <f>(AU715+AU716)/(AU715+AU716+AU729+AU730+AU718)*100</f>
        <v>27.225253495070607</v>
      </c>
      <c r="AV761" s="98">
        <f t="shared" si="4747"/>
        <v>21.779636507375578</v>
      </c>
      <c r="AW761" s="125">
        <f>(AW715+AW716)/(AW715+AW716+AW729+AW730+AW718)*100</f>
        <v>27.673042837741406</v>
      </c>
      <c r="AX761" s="98">
        <f t="shared" si="4748"/>
        <v>13.925422173615921</v>
      </c>
      <c r="AY761" s="125">
        <f>(AY715+AY716)/(AY715+AY716+AY729+AY730+AY718)*100</f>
        <v>28.091169417735664</v>
      </c>
      <c r="AZ761" s="98">
        <f t="shared" si="4749"/>
        <v>16.433994632724168</v>
      </c>
      <c r="BA761" s="125">
        <f>(BA715+BA716)/(BA715+BA716+BA729+BA730+BA718)*100</f>
        <v>30.021925732412765</v>
      </c>
      <c r="BB761" s="98">
        <f t="shared" si="4750"/>
        <v>10.053271903683747</v>
      </c>
      <c r="BC761" s="125">
        <f>(BC715+BC716)/(BC715+BC716+BC729+BC730+BC718)*100</f>
        <v>27.461250668091928</v>
      </c>
      <c r="BD761" s="98">
        <f t="shared" si="4751"/>
        <v>0.86683186646563382</v>
      </c>
      <c r="BE761" s="125">
        <f>(BE715+BE716)/(BE715+BE716+BE729+BE730+BE718)*100</f>
        <v>25.114552880927203</v>
      </c>
      <c r="BF761" s="98">
        <f t="shared" si="4752"/>
        <v>-9.2454233233970626</v>
      </c>
      <c r="BG761" s="125">
        <f>(BG715+BG716)/(BG715+BG716+BG729+BG730+BG718)*100</f>
        <v>25.525470211416057</v>
      </c>
      <c r="BH761" s="98">
        <f t="shared" si="4753"/>
        <v>-9.1334724025398657</v>
      </c>
      <c r="BI761" s="125">
        <f>(BI715+BI716)/(BI715+BI716+BI729+BI730+BI718)*100</f>
        <v>28.968835385894749</v>
      </c>
      <c r="BJ761" s="98">
        <f t="shared" si="4754"/>
        <v>-3.5077374979349152</v>
      </c>
      <c r="BK761" s="125">
        <f>(BK715+BK716)/(BK715+BK716+BK729+BK730+BK718)*100</f>
        <v>26.540359499791911</v>
      </c>
      <c r="BL761" s="98">
        <f t="shared" si="4755"/>
        <v>-3.3534203501154769</v>
      </c>
      <c r="BM761" s="125">
        <f>(BM715+BM716)/(BM715+BM716+BM729+BM730+BM718)*100</f>
        <v>30.125616868550921</v>
      </c>
      <c r="BN761" s="98">
        <f t="shared" si="4756"/>
        <v>19.952829785113479</v>
      </c>
      <c r="BO761" s="125">
        <f>(BO715+BO716)/(BO715+BO716+BO729+BO730+BO718)*100</f>
        <v>34.350404714834568</v>
      </c>
      <c r="BP761" s="98">
        <f t="shared" si="4757"/>
        <v>34.57305362183547</v>
      </c>
      <c r="BQ761" s="125">
        <f>(BQ715+BQ716)/(BQ715+BQ716+BQ729+BQ730+BQ718)*100</f>
        <v>31.931818181818183</v>
      </c>
      <c r="BR761" s="98">
        <f t="shared" si="4758"/>
        <v>10.228173678552999</v>
      </c>
      <c r="BS761" s="125">
        <f>(BS715+BS716)/(BS715+BS716+BS729+BS730+BS718)*100</f>
        <v>37.573527883436221</v>
      </c>
      <c r="BT761" s="98">
        <f t="shared" si="4759"/>
        <v>41.571284607997924</v>
      </c>
      <c r="BU761" s="125">
        <f>(BU715+BU716)/(BU715+BU716+BU729+BU730+BU718)*100</f>
        <v>39.584886321282148</v>
      </c>
      <c r="BV761" s="98">
        <f t="shared" si="4760"/>
        <v>31.399421608544898</v>
      </c>
      <c r="BW761" s="125">
        <f>(BW715+BW716)/(BW715+BW716+BW729+BW730+BW718)*100</f>
        <v>42.846497764530547</v>
      </c>
      <c r="BX761" s="98">
        <f t="shared" si="4761"/>
        <v>24.733603927603376</v>
      </c>
      <c r="BY761" s="125">
        <f>(BY715+BY716)/(BY715+BY716+BY729+BY730+BY718)*100</f>
        <v>41.505691959858794</v>
      </c>
      <c r="BZ761" s="98">
        <f t="shared" si="4762"/>
        <v>29.982238166105834</v>
      </c>
      <c r="CA761" s="125">
        <f>(CA715+CA716)/(CA715+CA716+CA729+CA730+CA718)*100</f>
        <v>37.294313863718429</v>
      </c>
      <c r="CB761" s="98">
        <f t="shared" si="4763"/>
        <v>-0.74311366391783817</v>
      </c>
      <c r="CC761" s="125">
        <f>(CC715+CC716)/(CC715+CC716+CC729+CC730+CC718)*100</f>
        <v>38.064176749079429</v>
      </c>
      <c r="CD761" s="98">
        <f t="shared" si="4764"/>
        <v>-3.8416418828646104</v>
      </c>
      <c r="CE761" s="125">
        <f>(CE715+CE716)/(CE715+CE716+CE729+CE730+CE718)*100</f>
        <v>42.845114048145312</v>
      </c>
      <c r="CF761" s="98">
        <f t="shared" si="4765"/>
        <v>-3.2294737199678458E-3</v>
      </c>
      <c r="CG761" s="125">
        <f>(CG715+CG716)/(CG715+CG716+CG729+CG730+CG718)*100</f>
        <v>41.202924580334042</v>
      </c>
      <c r="CH761" s="98">
        <f t="shared" si="4766"/>
        <v>-0.72945990110842018</v>
      </c>
      <c r="CI761" s="125">
        <f>(CI715+CI716)/(CI715+CI716+CI729+CI730+CI718)*100</f>
        <v>40.433248382670065</v>
      </c>
      <c r="CJ761" s="98">
        <f t="shared" si="4767"/>
        <v>8.4166571087002318</v>
      </c>
      <c r="CK761" s="125">
        <f>(CK715+CK716)/(CK715+CK716+CK729+CK730+CK718)*100</f>
        <v>41.512082853855006</v>
      </c>
      <c r="CL761" s="98">
        <f t="shared" si="4768"/>
        <v>9.0581391724410931</v>
      </c>
      <c r="CM761" s="125">
        <f>(CM715+CM716)/(CM715+CM716+CM729+CM730+CM718)*100</f>
        <v>41.873470003364545</v>
      </c>
      <c r="CN761" s="98">
        <f t="shared" si="4769"/>
        <v>-2.2678059479289137</v>
      </c>
      <c r="CO761" s="125">
        <f>(CO715+CO716)/(CO715+CO716+CO729+CO730+CO718)*100</f>
        <v>40.737662222517763</v>
      </c>
      <c r="CP761" s="98">
        <f t="shared" si="4770"/>
        <v>-1.1291974114826409</v>
      </c>
      <c r="CQ761" s="526">
        <f>(CQ715+CQ716)/(CQ715+CQ716+CQ729+CQ730+CQ718)*100</f>
        <v>35.479704993969669</v>
      </c>
      <c r="CR761" s="98">
        <f t="shared" si="4770"/>
        <v>-12.25116355188398</v>
      </c>
      <c r="CS761" s="125">
        <f>(CS715+CS716)/(CS715+CS716+CS729+CS730+CS718)*100</f>
        <v>34.554141872417837</v>
      </c>
      <c r="CT761" s="98">
        <f t="shared" si="4770"/>
        <v>-16.761242758964624</v>
      </c>
      <c r="CU761" s="125">
        <f>(CU715+CU716)/(CU715+CU716+CU729+CU730+CU718)*100</f>
        <v>33.908464085998155</v>
      </c>
      <c r="CV761" s="98">
        <f t="shared" si="4771"/>
        <v>-19.021604650215039</v>
      </c>
      <c r="CW761" s="125">
        <f>(CW715+CW716)/(CW715+CW716+CW729+CW730+CW718)*100</f>
        <v>28.904857274908114</v>
      </c>
      <c r="CX761" s="98">
        <f t="shared" si="4772"/>
        <v>-29.046352446481482</v>
      </c>
      <c r="CY761" s="125">
        <f>(CY715+CY716)/(CY715+CY716+CY729+CY730+CY718)*100</f>
        <v>25.614452690791911</v>
      </c>
      <c r="CZ761" s="98">
        <f t="shared" si="4773"/>
        <v>-27.805339150521434</v>
      </c>
      <c r="DA761" s="125">
        <f>(DA715+DA716)/(DA715+DA716+DA729+DA730+DA718)*100</f>
        <v>25.030368470778779</v>
      </c>
      <c r="DB761" s="98">
        <f t="shared" si="4774"/>
        <v>-27.561886609145468</v>
      </c>
      <c r="DC761" s="125">
        <f>(DC715+DC716)/(DC715+DC716+DC729+DC730+DC718)*100</f>
        <v>24.743408795799695</v>
      </c>
      <c r="DD761" s="98">
        <f t="shared" si="4775"/>
        <v>-27.028812826656434</v>
      </c>
      <c r="DE761" s="125">
        <f>(DE715+DE716)/(DE715+DE716+DE729+DE730+DE718)*100</f>
        <v>25.924690975778219</v>
      </c>
      <c r="DF761" s="98">
        <f t="shared" si="4776"/>
        <v>-10.31026125050939</v>
      </c>
      <c r="DG761" s="125">
        <f>(DG715+DG716)/(DG715+DG716+DG729+DG730+DG718)*100</f>
        <v>25.356792356898772</v>
      </c>
      <c r="DH761" s="98">
        <f t="shared" si="4777"/>
        <v>-1.005917780104526</v>
      </c>
      <c r="DI761" s="125">
        <f>(DI715+DI716)/(DI715+DI716+DI729+DI730+DI718)*100</f>
        <v>25.521028037383175</v>
      </c>
      <c r="DJ761" s="98">
        <f t="shared" si="4778"/>
        <v>1.9602570660404162</v>
      </c>
      <c r="DK761" s="125">
        <f>(DK715+DK716)/(DK715+DK716+DK729+DK730+DK718)*100</f>
        <v>22.725567115811018</v>
      </c>
      <c r="DL761" s="98">
        <f t="shared" si="4779"/>
        <v>-8.1550674631832294</v>
      </c>
      <c r="DM761" s="125">
        <f>(DM715+DM716)/(DM715+DM716+DM729+DM730+DM718)*100</f>
        <v>21.767936535611543</v>
      </c>
      <c r="DN761" s="98">
        <f t="shared" si="4780"/>
        <v>-16.033959456065983</v>
      </c>
      <c r="DO761" s="125">
        <f>(DO715+DO716)/(DO715+DO716+DO729+DO730+DO718)*100</f>
        <v>21.149380595967123</v>
      </c>
      <c r="DP761" s="98">
        <f t="shared" si="4780"/>
        <v>-16.592839116683255</v>
      </c>
      <c r="DQ761" s="125">
        <f>(DQ715+DQ716)/(DQ715+DQ716+DQ729+DQ730+DQ718)*100</f>
        <v>20.781146649028102</v>
      </c>
      <c r="DR761" s="98">
        <f t="shared" si="4780"/>
        <v>-18.572454767151626</v>
      </c>
      <c r="DS761" s="125">
        <f>(DS715+DS716)/(DS715+DS716+DS729+DS730+DS718)*100</f>
        <v>21.580528287864244</v>
      </c>
      <c r="DT761" s="98">
        <f t="shared" si="4780"/>
        <v>-5.0385489704682822</v>
      </c>
      <c r="DU761" s="125">
        <f>(DU715+DU716)/(DU715+DU716+DU729+DU730+DU718)*100</f>
        <v>21.801998580243541</v>
      </c>
      <c r="DV761" s="98">
        <f t="shared" si="4780"/>
        <v>0.15647805926057856</v>
      </c>
      <c r="DW761" s="125">
        <f>(DW715+DW716)/(DW715+DW716+DW729+DW730+DW718)*100</f>
        <v>21.525297538763663</v>
      </c>
      <c r="DX761" s="98">
        <f t="shared" si="4780"/>
        <v>1.7774371267791134</v>
      </c>
      <c r="DY761" s="125">
        <f>(DY715+DY716)/(DY715+DY716+DY729+DY730+DY718)*100</f>
        <v>23.215633924565875</v>
      </c>
      <c r="DZ761" s="98">
        <f t="shared" si="4780"/>
        <v>11.714884248947977</v>
      </c>
      <c r="EA761" s="125">
        <f>(EA715+EA716)/(EA715+EA716+EA729+EA730+EA718)*100</f>
        <v>21.212917041242008</v>
      </c>
      <c r="EB761" s="98">
        <f t="shared" si="4781"/>
        <v>-1.7034395160240856</v>
      </c>
      <c r="EC761" s="125">
        <f>(EC715+EC716)/(EC715+EC716+EC729+EC730+EC718)*100</f>
        <v>19.469753178018497</v>
      </c>
      <c r="ED761" s="98">
        <f t="shared" si="4782"/>
        <v>-10.697392689211849</v>
      </c>
      <c r="EE761" s="125">
        <f>(EE715+EE716)/(EE715+EE716+EE729+EE730+EE718)*100</f>
        <v>19.623229207223936</v>
      </c>
      <c r="EF761" s="860">
        <f t="shared" si="4783"/>
        <v>-8.836432240318171</v>
      </c>
      <c r="EG761" s="125">
        <f>(EG715+EG716)/(EG715+EG716+EG729+EG730+EG718)*100</f>
        <v>21.943468433184879</v>
      </c>
      <c r="EH761" s="860">
        <f t="shared" si="4784"/>
        <v>-5.4797792535608458</v>
      </c>
      <c r="EI761" s="125">
        <f>(EI715+EI716)/(EI715+EI716+EI729+EI730+EI718)*100</f>
        <v>21.907898409154338</v>
      </c>
      <c r="EJ761" s="860">
        <f t="shared" si="4785"/>
        <v>3.2762178184224</v>
      </c>
      <c r="EK761" s="818">
        <f>(EK715+EK716)/(EK715+EK716+EK729+EK730+EK718)*100</f>
        <v>21.573726600390632</v>
      </c>
      <c r="EL761" s="860">
        <f t="shared" si="4786"/>
        <v>10.806369259716853</v>
      </c>
      <c r="EM761" s="818">
        <f>(EM715+EM716)/(EM715+EM716+EM729+EM730+EM718)*100</f>
        <v>25.260154628013908</v>
      </c>
      <c r="EN761" s="860">
        <f t="shared" si="4787"/>
        <v>28.725778827038507</v>
      </c>
      <c r="EO761" s="818">
        <f>(EO715+EO716)/(EO715+EO716+EO729+EO730+EO718)*100</f>
        <v>23.616911866149927</v>
      </c>
      <c r="EP761" s="98">
        <f t="shared" si="4788"/>
        <v>7.6261573600384658</v>
      </c>
      <c r="EQ761" s="818">
        <f t="shared" ref="EQ761" si="4813">(EQ715+EQ716)/(EQ715+EQ716+EQ729+EQ730+EQ718)*100</f>
        <v>23.903926563563839</v>
      </c>
      <c r="ER761" s="98">
        <f t="shared" si="4790"/>
        <v>9.1109978562592175</v>
      </c>
      <c r="ES761" s="818">
        <f t="shared" ref="ES761" si="4814">(ES715+ES716)/(ES715+ES716+ES729+ES730+ES718)*100</f>
        <v>23.919373031329425</v>
      </c>
      <c r="ET761" s="98">
        <f t="shared" si="4792"/>
        <v>10.872699345769599</v>
      </c>
      <c r="EU761" s="818">
        <f t="shared" ref="EU761" si="4815">(EU715+EU716)/(EU715+EU716+EU729+EU730+EU718)*100</f>
        <v>23.898379053756354</v>
      </c>
      <c r="EV761" s="98">
        <f t="shared" si="4794"/>
        <v>-5.3910025267514534</v>
      </c>
      <c r="EW761" s="818">
        <f t="shared" ref="EW761" si="4816">(EW715+EW716)/(EW715+EW716+EW729+EW730+EW718)*100</f>
        <v>23.880755838810352</v>
      </c>
      <c r="EX761" s="98">
        <f t="shared" si="4796"/>
        <v>1.1171823570997441</v>
      </c>
      <c r="EY761" s="125"/>
      <c r="EZ761" s="594"/>
      <c r="FA761" s="405"/>
      <c r="FB761" s="289">
        <f>FB715/(FB715+FB729+FB718)*100</f>
        <v>16.340310600945308</v>
      </c>
      <c r="FC761" s="98"/>
      <c r="FD761" s="289">
        <f>FD715/(FD715+FD729+FD718)*100</f>
        <v>15.51468773142434</v>
      </c>
      <c r="FE761" s="98">
        <f t="shared" si="4797"/>
        <v>-5.0526754948783221</v>
      </c>
      <c r="FF761" s="289">
        <f>FF715/(FF715+FF729+FF718)*100</f>
        <v>12.187892489324291</v>
      </c>
      <c r="FG761" s="98">
        <f t="shared" si="4798"/>
        <v>-21.44287593595433</v>
      </c>
      <c r="FH761" s="289">
        <f>FH715/(FH715+FH729+FH718)*100</f>
        <v>17.320729494891626</v>
      </c>
      <c r="FI761" s="98">
        <f t="shared" si="4799"/>
        <v>42.114229429438495</v>
      </c>
      <c r="FJ761" s="289">
        <f>FJ715/(FJ715+FJ729+FJ718)*100</f>
        <v>19.182417201317843</v>
      </c>
      <c r="FK761" s="98">
        <f t="shared" si="4800"/>
        <v>10.74832158180914</v>
      </c>
      <c r="FL761" s="289">
        <f>FL715/(FL715+FL729+FL718)*100</f>
        <v>21.021784805927236</v>
      </c>
      <c r="FM761" s="98">
        <f t="shared" si="4801"/>
        <v>9.5888207690688176</v>
      </c>
      <c r="FN761" s="289">
        <f>FN715/(FN715+FN729+FN718)*100</f>
        <v>24.290489611325949</v>
      </c>
      <c r="FO761" s="98">
        <f t="shared" si="4802"/>
        <v>15.549130749721485</v>
      </c>
      <c r="FP761" s="289">
        <f>(FP715+FP716)/(FP715+FP716+FP729+FP730+FP718)*100</f>
        <v>27.673042837741406</v>
      </c>
      <c r="FQ761" s="98">
        <f t="shared" si="4803"/>
        <v>13.925422173615921</v>
      </c>
      <c r="FR761" s="289">
        <f>(FR715+FR716)/(FR715+FR716+FR729+FR730+FR718)*100</f>
        <v>25.114552880927203</v>
      </c>
      <c r="FS761" s="98">
        <f t="shared" si="4804"/>
        <v>-9.2454233233970626</v>
      </c>
      <c r="FT761" s="289">
        <f>(FT715+FT716)/(FT715+FT716+FT729+FT730+FT718)*100</f>
        <v>30.125616868550921</v>
      </c>
      <c r="FU761" s="98">
        <f t="shared" si="4805"/>
        <v>19.952829785113479</v>
      </c>
      <c r="FV761" s="289">
        <f>(FV715+FV716)/(FV715+FV716+FV729+FV730+FV718)*100</f>
        <v>39.584886321282148</v>
      </c>
      <c r="FW761" s="98">
        <f t="shared" si="4806"/>
        <v>31.399421608544898</v>
      </c>
      <c r="FX761" s="526">
        <f>(FX715+FX716)/(FX715+FX716+FX729+FX730+FX718)*100</f>
        <v>38.064176749079429</v>
      </c>
      <c r="FY761" s="98">
        <f t="shared" si="4807"/>
        <v>-3.8416418828646104</v>
      </c>
      <c r="FZ761" s="289">
        <f>(FZ715+FZ716)/(FZ715+FZ716+FZ729+FZ730+FZ718)*100</f>
        <v>41.512082853855006</v>
      </c>
      <c r="GA761" s="98">
        <f t="shared" si="4808"/>
        <v>9.0581391724410931</v>
      </c>
      <c r="GB761" s="526">
        <f>(GB715+GB716)/(GB715+GB716+GB729+GB730+GB718)*100</f>
        <v>34.554141872417837</v>
      </c>
      <c r="GC761" s="98">
        <f t="shared" si="4809"/>
        <v>-16.761242758964624</v>
      </c>
      <c r="GD761" s="289">
        <f>(GD715+GD716)/(GD715+GD716+GD729+GD730+GD718)*100</f>
        <v>25.030368470778779</v>
      </c>
      <c r="GE761" s="98">
        <f t="shared" si="4810"/>
        <v>-27.561886609145468</v>
      </c>
      <c r="GF761" s="289">
        <f>(GF715+GF716)/(GF715+GF716+GF729+GF730+GF718)*100</f>
        <v>25.521028037383175</v>
      </c>
      <c r="GG761" s="98">
        <f t="shared" si="4810"/>
        <v>1.9602570660404162</v>
      </c>
      <c r="GH761" s="289">
        <f>(GH715+GH716)/(GH715+GH716+GH729+GH730+GH718)*100</f>
        <v>20.781146649028102</v>
      </c>
      <c r="GI761" s="98">
        <f t="shared" si="4810"/>
        <v>-18.572454767151626</v>
      </c>
      <c r="GJ761" s="289">
        <f>(GJ715+GJ716)/(GJ715+GJ716+GJ729+GJ730+GJ718)*100</f>
        <v>23.215633924565875</v>
      </c>
      <c r="GK761" s="98">
        <f t="shared" si="4810"/>
        <v>11.714884248947977</v>
      </c>
      <c r="GL761" s="289">
        <f>(GL715+GL716)/(GL715+GL716+GL729+GL730+GL718)*100</f>
        <v>21.943468433184879</v>
      </c>
      <c r="GM761" s="98">
        <f t="shared" si="4810"/>
        <v>-5.4797792535608458</v>
      </c>
      <c r="GN761" s="289">
        <f>(GN715+GN716)/(GN715+GN716+GN729+GN730+GN718)*100</f>
        <v>23.616911866149927</v>
      </c>
      <c r="GO761" s="98">
        <f t="shared" si="4810"/>
        <v>7.6261573600384658</v>
      </c>
      <c r="GP761" s="289">
        <f>(GP715+GP716)/(GP715+GP716+GP729+GP730+GP718)*100</f>
        <v>23.880755838810352</v>
      </c>
      <c r="GQ761" s="98">
        <f t="shared" si="4810"/>
        <v>1.1171823570997441</v>
      </c>
      <c r="GR761" s="125">
        <f>(GR715+GR716)/(GR715+GR716+GR729+GR730+GR718)*100</f>
        <v>21.729403880778076</v>
      </c>
      <c r="GS761" s="98">
        <f t="shared" si="4810"/>
        <v>-9.0087264094713344</v>
      </c>
      <c r="GT761" s="125">
        <f>(GT715+GT716)/(GT715+GT716+GT729+GT730+GT718)*100</f>
        <v>19.462312288058961</v>
      </c>
      <c r="GU761" s="98">
        <f t="shared" si="4810"/>
        <v>-10.433289404338398</v>
      </c>
      <c r="GV761" s="125">
        <f>(GV715+GV716)/(GV715+GV716+GV729+GV730+GV718)*100</f>
        <v>17.096574299806434</v>
      </c>
      <c r="GW761" s="98">
        <f t="shared" si="4810"/>
        <v>-12.155482623223646</v>
      </c>
      <c r="GX761" s="125">
        <f>(GX715+GX716)/(GX715+GX716+GX729+GX730+GX718)*100</f>
        <v>14.646664284118616</v>
      </c>
      <c r="GY761" s="98">
        <f t="shared" si="4811"/>
        <v>-14.329829898821057</v>
      </c>
      <c r="GZ761" s="98">
        <f t="shared" si="4812"/>
        <v>-9.1127163885450173</v>
      </c>
      <c r="HA761" s="98"/>
      <c r="HB761" s="10"/>
      <c r="HC761"/>
      <c r="HD761"/>
      <c r="HE761"/>
      <c r="HF761"/>
      <c r="HG761"/>
      <c r="HH761"/>
      <c r="HI761" s="10"/>
    </row>
    <row r="762" spans="1:217" s="2" customFormat="1" ht="12.75" customHeight="1" x14ac:dyDescent="0.2">
      <c r="A762" s="10" t="s">
        <v>496</v>
      </c>
      <c r="B762" s="18" t="s">
        <v>274</v>
      </c>
      <c r="C762" s="289">
        <f>(C715+C718)/(C715+C718+C729)*100</f>
        <v>17.197376971702013</v>
      </c>
      <c r="D762" s="98"/>
      <c r="E762" s="289">
        <f>(E715+E718)/(E715+E718+E729)*100</f>
        <v>21.191300584289117</v>
      </c>
      <c r="F762" s="98"/>
      <c r="G762" s="289">
        <f>(G715+G718)/(G715+G718+G729)*100</f>
        <v>20.730817347789827</v>
      </c>
      <c r="H762" s="98"/>
      <c r="I762" s="289">
        <f>(I715+I718)/(I715+I718+I729)*100</f>
        <v>17.663903541823661</v>
      </c>
      <c r="J762" s="98"/>
      <c r="K762" s="289">
        <f>(K715+K718)/(K715+K718+K729)*100</f>
        <v>17.030610255410412</v>
      </c>
      <c r="L762" s="98">
        <f t="shared" si="4729"/>
        <v>-0.96972181610028851</v>
      </c>
      <c r="M762" s="289">
        <f>(M715+M718)/(M715+M718+M729)*100</f>
        <v>16.775891172674015</v>
      </c>
      <c r="N762" s="98">
        <f t="shared" si="4730"/>
        <v>-20.835952914039702</v>
      </c>
      <c r="O762" s="289">
        <f>(O715+O718)/(O715+O718+O729)*100</f>
        <v>16.725698543880362</v>
      </c>
      <c r="P762" s="98">
        <f t="shared" si="4731"/>
        <v>-19.319637700326663</v>
      </c>
      <c r="Q762" s="289">
        <f>(Q715+Q718)/(Q715+Q718+Q729)*100</f>
        <v>23.317101117158405</v>
      </c>
      <c r="R762" s="98">
        <f t="shared" si="4732"/>
        <v>32.00423712657512</v>
      </c>
      <c r="S762" s="289">
        <f>(S715+S718)/(S715+S718+S729)*100</f>
        <v>23.445932440535678</v>
      </c>
      <c r="T762" s="98">
        <f t="shared" si="4733"/>
        <v>37.66936174872064</v>
      </c>
      <c r="U762" s="289">
        <f>(U715+U718)/(U715+U718+U729)*100</f>
        <v>22.53358925143954</v>
      </c>
      <c r="V762" s="98">
        <f t="shared" si="4734"/>
        <v>34.321265079164021</v>
      </c>
      <c r="W762" s="289">
        <f>(W715+W718)/(W715+W718+W729)*100</f>
        <v>21.549981624402793</v>
      </c>
      <c r="X762" s="98">
        <f t="shared" si="4735"/>
        <v>28.843537194370583</v>
      </c>
      <c r="Y762" s="289">
        <f>(Y715+Y718)/(Y715+Y718+Y729)*100</f>
        <v>24.658721560130012</v>
      </c>
      <c r="Z762" s="98">
        <f t="shared" si="4736"/>
        <v>5.7538046270440679</v>
      </c>
      <c r="AA762" s="289">
        <f>(AA715+AA718)/(AA715+AA718+AA729)*100</f>
        <v>24.19632726814304</v>
      </c>
      <c r="AB762" s="98">
        <f t="shared" si="4737"/>
        <v>3.2005330967771917</v>
      </c>
      <c r="AC762" s="289">
        <f>(AC715+AC718)/(AC715+AC718+AC729)*100</f>
        <v>22.065603506915576</v>
      </c>
      <c r="AD762" s="98">
        <f t="shared" si="4738"/>
        <v>-2.0768362256983419</v>
      </c>
      <c r="AE762" s="289">
        <f>(AE715+AE718)/(AE715+AE718+AE729)*100</f>
        <v>22.242886367863122</v>
      </c>
      <c r="AF762" s="98">
        <f t="shared" si="4739"/>
        <v>3.2153379781804325</v>
      </c>
      <c r="AG762" s="289">
        <f>(AG715+AG718)/(AG715+AG718+AG729)*100</f>
        <v>22.042832393379776</v>
      </c>
      <c r="AH762" s="98">
        <f t="shared" si="4740"/>
        <v>-10.608373026847396</v>
      </c>
      <c r="AI762" s="125">
        <f>(AI715+AI718)/(AI715+AI718+AI729)*100</f>
        <v>21.12099392912608</v>
      </c>
      <c r="AJ762" s="98">
        <f t="shared" si="4741"/>
        <v>-12.709917934801428</v>
      </c>
      <c r="AK762" s="125">
        <f>(AK715+AK718)/(AK715+AK718+AK729)*100</f>
        <v>23.30740833661876</v>
      </c>
      <c r="AL762" s="98">
        <f t="shared" si="4742"/>
        <v>5.6277854775827585</v>
      </c>
      <c r="AM762" s="125">
        <f>(AM715+AM718)/(AM715+AM718+AM729)*100</f>
        <v>23.281129996326843</v>
      </c>
      <c r="AN762" s="98">
        <f t="shared" si="4743"/>
        <v>4.667755844690169</v>
      </c>
      <c r="AO762" s="125">
        <f>(AO715+AO718)/(AO715+AO718+AO729)*100</f>
        <v>25.201546830962833</v>
      </c>
      <c r="AP762" s="98">
        <f t="shared" si="4744"/>
        <v>14.329893641670699</v>
      </c>
      <c r="AQ762" s="125">
        <f>(AQ715+AQ718)/(AQ715+AQ718+AQ729)*100</f>
        <v>25.030914415880247</v>
      </c>
      <c r="AR762" s="98">
        <f t="shared" si="4745"/>
        <v>18.51200989818167</v>
      </c>
      <c r="AS762" s="125">
        <f>(AS715+AS718+AS716)/(AS715+AS716+AS718+AS730+AS729)*100</f>
        <v>27.942474182546682</v>
      </c>
      <c r="AT762" s="98">
        <f t="shared" si="4746"/>
        <v>19.886663411846062</v>
      </c>
      <c r="AU762" s="125">
        <f>(AU715+AU718+AU716)/(AU715+AU716+AU718+AU730+AU729)*100</f>
        <v>27.876261620963401</v>
      </c>
      <c r="AV762" s="98">
        <f t="shared" si="4747"/>
        <v>19.737579856998131</v>
      </c>
      <c r="AW762" s="125">
        <f>(AW715+AW718+AW716)/(AW715+AW716+AW718+AW730+AW729)*100</f>
        <v>28.312961812029556</v>
      </c>
      <c r="AX762" s="98">
        <f t="shared" si="4748"/>
        <v>12.346127013299091</v>
      </c>
      <c r="AY762" s="125">
        <f>(AY715+AY718+AY716)/(AY715+AY716+AY718+AY730+AY729)*100</f>
        <v>28.738388471119595</v>
      </c>
      <c r="AZ762" s="98">
        <f t="shared" si="4749"/>
        <v>14.811580566498339</v>
      </c>
      <c r="BA762" s="125">
        <f>(BA715+BA718+BA716)/(BA715+BA716+BA718+BA730+BA729)*100</f>
        <v>30.670367605896619</v>
      </c>
      <c r="BB762" s="98">
        <f t="shared" si="4750"/>
        <v>9.7625335735438199</v>
      </c>
      <c r="BC762" s="125">
        <f>(BC715+BC718+BC716)/(BC715+BC716+BC718+BC730+BC729)*100</f>
        <v>28.055585248530196</v>
      </c>
      <c r="BD762" s="98">
        <f t="shared" si="4751"/>
        <v>0.64328434710894111</v>
      </c>
      <c r="BE762" s="125">
        <f>(BE715+BE718+BE716)/(BE715+BE716+BE718+BE730+BE729)*100</f>
        <v>25.6909456573573</v>
      </c>
      <c r="BF762" s="98">
        <f t="shared" si="4752"/>
        <v>-9.2608331550753533</v>
      </c>
      <c r="BG762" s="125">
        <f>(BG715+BG718+BG716)/(BG715+BG716+BG718+BG730+BG729)*100</f>
        <v>26.09443114140112</v>
      </c>
      <c r="BH762" s="98">
        <f t="shared" si="4753"/>
        <v>-9.2000890459654645</v>
      </c>
      <c r="BI762" s="125">
        <f>(BI715+BI718+BI716)/(BI715+BI716+BI718+BI730+BI729)*100</f>
        <v>29.519265037817288</v>
      </c>
      <c r="BJ762" s="98">
        <f t="shared" si="4754"/>
        <v>-3.7531423909572648</v>
      </c>
      <c r="BK762" s="125">
        <f>(BK715+BK718+BK716)/(BK715+BK716+BK718+BK730+BK729)*100</f>
        <v>27.093283656037574</v>
      </c>
      <c r="BL762" s="98">
        <f t="shared" si="4755"/>
        <v>-3.4299822440632788</v>
      </c>
      <c r="BM762" s="125">
        <f>(BM715+BM718+BM716)/(BM715+BM716+BM718+BM730+BM729)*100</f>
        <v>30.422835352175863</v>
      </c>
      <c r="BN762" s="98">
        <f t="shared" si="4756"/>
        <v>18.418511167040119</v>
      </c>
      <c r="BO762" s="125">
        <f>(BO715+BO718+BO716)/(BO715+BO716+BO718+BO730+BO729)*100</f>
        <v>34.646946920810173</v>
      </c>
      <c r="BP762" s="98">
        <f t="shared" si="4757"/>
        <v>32.775252823349454</v>
      </c>
      <c r="BQ762" s="125">
        <f>(BQ715+BQ718+BQ716)/(BQ715+BQ716+BQ718+BQ730+BQ729)*100</f>
        <v>32.243338557993731</v>
      </c>
      <c r="BR762" s="98">
        <f t="shared" si="4758"/>
        <v>9.2281210818989443</v>
      </c>
      <c r="BS762" s="125">
        <f>(BS715+BS718+BS716)/(BS715+BS716+BS718+BS730+BS729)*100</f>
        <v>37.904013635135414</v>
      </c>
      <c r="BT762" s="98">
        <f t="shared" si="4759"/>
        <v>39.901881648401584</v>
      </c>
      <c r="BU762" s="125">
        <f>(BU715+BU718+BU716)/(BU715+BU716+BU718+BU730+BU729)*100</f>
        <v>39.955273947074168</v>
      </c>
      <c r="BV762" s="98">
        <f t="shared" si="4760"/>
        <v>31.333169589719191</v>
      </c>
      <c r="BW762" s="125">
        <f>(BW715+BW718+BW716)/(BW715+BW716+BW718+BW730+BW729)*100</f>
        <v>43.205527706272861</v>
      </c>
      <c r="BX762" s="98">
        <f t="shared" si="4761"/>
        <v>24.702265411796233</v>
      </c>
      <c r="BY762" s="125">
        <f>(BY715+BY718+BY716)/(BY715+BY716+BY718+BY730+BY729)*100</f>
        <v>41.821030502558408</v>
      </c>
      <c r="BZ762" s="98">
        <f t="shared" si="4762"/>
        <v>29.704405228813346</v>
      </c>
      <c r="CA762" s="125">
        <f>(CA715+CA718+CA716)/(CA715+CA716+CA718+CA730+CA729)*100</f>
        <v>37.567702333258822</v>
      </c>
      <c r="CB762" s="98">
        <f t="shared" si="4763"/>
        <v>-0.88727095002109069</v>
      </c>
      <c r="CC762" s="125">
        <f>(CC715+CC718+CC716)/(CC715+CC716+CC718+CC730+CC729)*100</f>
        <v>38.34297738032614</v>
      </c>
      <c r="CD762" s="98">
        <f t="shared" si="4764"/>
        <v>-4.035253440844178</v>
      </c>
      <c r="CE762" s="125">
        <f>(CE715+CE718+CE716)/(CE715+CE716+CE718+CE730+CE729)*100</f>
        <v>43.084186626971601</v>
      </c>
      <c r="CF762" s="98">
        <f t="shared" si="4765"/>
        <v>-0.28084619201085292</v>
      </c>
      <c r="CG762" s="125">
        <f>(CG715+CG718+CG716)/(CG715+CG716+CG718+CG730+CG729)*100</f>
        <v>41.427783513173338</v>
      </c>
      <c r="CH762" s="98">
        <f t="shared" si="4766"/>
        <v>-0.94030918095385774</v>
      </c>
      <c r="CI762" s="125">
        <f>(CI715+CI718+CI716)/(CI715+CI716+CI718+CI730+CI729)*100</f>
        <v>40.628063124877471</v>
      </c>
      <c r="CJ762" s="98">
        <f t="shared" si="4767"/>
        <v>8.1462548986108718</v>
      </c>
      <c r="CK762" s="125">
        <f>(CK715+CK718+CK716)/(CK715+CK716+CK718+CK730+CK729)*100</f>
        <v>41.695051783659373</v>
      </c>
      <c r="CL762" s="98">
        <f t="shared" si="4768"/>
        <v>8.7423424896919677</v>
      </c>
      <c r="CM762" s="125">
        <f>(CM715+CM718+CM716)/(CM715+CM716+CM718+CM730+CM729)*100</f>
        <v>42.057939739886066</v>
      </c>
      <c r="CN762" s="98">
        <f t="shared" si="4769"/>
        <v>-2.3819572038597636</v>
      </c>
      <c r="CO762" s="125">
        <f>(CO715+CO718+CO716)/(CO715+CO716+CO718+CO730+CO729)*100</f>
        <v>40.913876605601182</v>
      </c>
      <c r="CP762" s="98">
        <f t="shared" si="4770"/>
        <v>-1.2404885417264588</v>
      </c>
      <c r="CQ762" s="526">
        <f>(CQ715+CQ718+CQ716)/(CQ715+CQ716+CQ718+CQ730+CQ729)*100</f>
        <v>35.64940817350282</v>
      </c>
      <c r="CR762" s="98">
        <f t="shared" si="4770"/>
        <v>-12.254226680882818</v>
      </c>
      <c r="CS762" s="125">
        <f>(CS715+CS718+CS716)/(CS715+CS716+CS718+CS730+CS729)*100</f>
        <v>34.728386538229714</v>
      </c>
      <c r="CT762" s="98">
        <f t="shared" si="4770"/>
        <v>-16.70861396593817</v>
      </c>
      <c r="CU762" s="125">
        <f>(CU715+CU718+CU716)/(CU715+CU716+CU718+CU730+CU729)*100</f>
        <v>34.081111895325478</v>
      </c>
      <c r="CV762" s="98">
        <f t="shared" si="4771"/>
        <v>-18.966282927538845</v>
      </c>
      <c r="CW762" s="125">
        <f>(CW715+CW718+CW716)/(CW715+CW716+CW718+CW730+CW729)*100</f>
        <v>29.079824812377581</v>
      </c>
      <c r="CX762" s="98">
        <f t="shared" si="4772"/>
        <v>-28.924298489973687</v>
      </c>
      <c r="CY762" s="125">
        <f>(CY715+CY718+CY716)/(CY715+CY716+CY718+CY730+CY729)*100</f>
        <v>25.79297800433401</v>
      </c>
      <c r="CZ762" s="98">
        <f t="shared" si="4773"/>
        <v>-27.648229449415684</v>
      </c>
      <c r="DA762" s="125">
        <f>(DA715+DA718+DA716)/(DA715+DA716+DA718+DA730+DA729)*100</f>
        <v>25.2092050209205</v>
      </c>
      <c r="DB762" s="98">
        <f t="shared" si="4774"/>
        <v>-27.410376542631209</v>
      </c>
      <c r="DC762" s="125">
        <f>(DC715+DC718+DC716)/(DC715+DC716+DC718+DC730+DC729)*100</f>
        <v>24.922937955174167</v>
      </c>
      <c r="DD762" s="98">
        <f t="shared" si="4775"/>
        <v>-26.871699398420844</v>
      </c>
      <c r="DE762" s="125">
        <f>(DE715+DE718+DE716)/(DE715+DE716+DE718+DE730+DE729)*100</f>
        <v>26.114035296639436</v>
      </c>
      <c r="DF762" s="98">
        <f t="shared" si="4776"/>
        <v>-10.198787423491563</v>
      </c>
      <c r="DG762" s="125">
        <f>(DG715+DG718+DG716)/(DG715+DG716+DG718+DG730+DG729)*100</f>
        <v>25.54479562035165</v>
      </c>
      <c r="DH762" s="98">
        <f t="shared" si="4777"/>
        <v>-0.96220910955167049</v>
      </c>
      <c r="DI762" s="125">
        <f>(DI715+DI718+DI716)/(DI715+DI716+DI718+DI730+DI729)*100</f>
        <v>25.706775700934582</v>
      </c>
      <c r="DJ762" s="98">
        <f t="shared" si="4778"/>
        <v>1.9737658510102118</v>
      </c>
      <c r="DK762" s="125">
        <f>(DK715+DK718+DK716)/(DK715+DK716+DK718+DK730+DK729)*100</f>
        <v>22.906361930752176</v>
      </c>
      <c r="DL762" s="98">
        <f t="shared" si="4779"/>
        <v>-8.0912452137422939</v>
      </c>
      <c r="DM762" s="125">
        <f>(DM715+DM718+DM716)/(DM715+DM716+DM718+DM730+DM729)*100</f>
        <v>21.941199546682942</v>
      </c>
      <c r="DN762" s="98">
        <f t="shared" si="4780"/>
        <v>-15.979283563630197</v>
      </c>
      <c r="DO762" s="125">
        <f>(DO715+DO718+DO716)/(DO715+DO716+DO718+DO730+DO729)*100</f>
        <v>21.321107258961646</v>
      </c>
      <c r="DP762" s="98">
        <f t="shared" si="4780"/>
        <v>-16.534437872053175</v>
      </c>
      <c r="DQ762" s="125">
        <f>(DQ715+DQ718+DQ716)/(DQ715+DQ716+DQ718+DQ730+DQ729)*100</f>
        <v>20.950775599035566</v>
      </c>
      <c r="DR762" s="98">
        <f t="shared" si="4780"/>
        <v>-18.50095926937313</v>
      </c>
      <c r="DS762" s="125">
        <f>(DS715+DS718+DS716)/(DS715+DS716+DS718+DS730+DS729)*100</f>
        <v>21.744650543461429</v>
      </c>
      <c r="DT762" s="98">
        <f t="shared" si="4780"/>
        <v>-5.071566540346728</v>
      </c>
      <c r="DU762" s="125">
        <f>(DU715+DU718+DU716)/(DU715+DU716+DU718+DU730+DU729)*100</f>
        <v>21.975645716157921</v>
      </c>
      <c r="DV762" s="98">
        <f t="shared" si="4780"/>
        <v>0.15699310059000826</v>
      </c>
      <c r="DW762" s="125">
        <f>(DW715+DW718+DW716)/(DW715+DW716+DW718+DW730+DW729)*100</f>
        <v>21.696861141383515</v>
      </c>
      <c r="DX762" s="98">
        <f t="shared" si="4780"/>
        <v>1.7623563253917451</v>
      </c>
      <c r="DY762" s="125">
        <f>(DY715+DY718+DY716)/(DY715+DY716+DY718+DY730+DY729)*100</f>
        <v>23.389611668545044</v>
      </c>
      <c r="DZ762" s="98">
        <f t="shared" si="4780"/>
        <v>11.640791330043854</v>
      </c>
      <c r="EA762" s="125">
        <f>(EA715+EA718+EA716)/(EA715+EA716+EA718+EA730+EA729)*100</f>
        <v>21.373521479581015</v>
      </c>
      <c r="EB762" s="98">
        <f t="shared" si="4781"/>
        <v>-1.7067603047408397</v>
      </c>
      <c r="EC762" s="125">
        <f>(EC715+EC718+EC716)/(EC715+EC716+EC718+EC730+EC729)*100</f>
        <v>19.627046544986893</v>
      </c>
      <c r="ED762" s="98">
        <f t="shared" si="4782"/>
        <v>-10.687281736819166</v>
      </c>
      <c r="EE762" s="125">
        <f>(EE715+EE718+EE716)/(EE715+EE716+EE718+EE730+EE729)*100</f>
        <v>19.781964119919735</v>
      </c>
      <c r="EF762" s="860">
        <f t="shared" si="4783"/>
        <v>-8.8256868538988833</v>
      </c>
      <c r="EG762" s="125">
        <f>(EG715+EG718+EG716)/(EG715+EG716+EG718+EG730+EG729)*100</f>
        <v>22.121388447508</v>
      </c>
      <c r="EH762" s="860">
        <f t="shared" si="4784"/>
        <v>-5.4221645019552955</v>
      </c>
      <c r="EI762" s="125">
        <f>(EI715+EI718+EI716)/(EI715+EI716+EI718+EI730+EI729)*100</f>
        <v>22.085403293329612</v>
      </c>
      <c r="EJ762" s="860">
        <f t="shared" si="4785"/>
        <v>3.3306716182856855</v>
      </c>
      <c r="EK762" s="818">
        <f>(EK715+EK718+EK716)/(EK715+EK716+EK718+EK730+EK729)*100</f>
        <v>21.748194965654967</v>
      </c>
      <c r="EL762" s="860">
        <f t="shared" si="4786"/>
        <v>10.807272585848393</v>
      </c>
      <c r="EM762" s="818">
        <f>(EM715+EM718+EM716)/(EM715+EM716+EM718+EM730+EM729)*100</f>
        <v>25.462674020200993</v>
      </c>
      <c r="EN762" s="860">
        <f t="shared" si="4787"/>
        <v>28.716612090914605</v>
      </c>
      <c r="EO762" s="818">
        <f>(EO715+EO718+EO716)/(EO715+EO716+EO718+EO730+EO729)*100</f>
        <v>23.816332417754701</v>
      </c>
      <c r="EP762" s="98">
        <f t="shared" si="4788"/>
        <v>7.662014408673512</v>
      </c>
      <c r="EQ762" s="818">
        <f t="shared" ref="EQ762" si="4817">(EQ715+EQ718+EQ716)/(EQ715+EQ716+EQ718+EQ730+EQ729)*100</f>
        <v>24.105770659347517</v>
      </c>
      <c r="ER762" s="98">
        <f t="shared" si="4790"/>
        <v>9.1479758788380892</v>
      </c>
      <c r="ES762" s="818">
        <f t="shared" ref="ES762" si="4818">(ES715+ES718+ES716)/(ES715+ES716+ES718+ES730+ES729)*100</f>
        <v>24.121347556660353</v>
      </c>
      <c r="ET762" s="98">
        <f t="shared" si="4792"/>
        <v>10.91195197924748</v>
      </c>
      <c r="EU762" s="818">
        <f t="shared" ref="EU762" si="4819">(EU715+EU718+EU716)/(EU715+EU716+EU718+EU730+EU729)*100</f>
        <v>24.100176306520417</v>
      </c>
      <c r="EV762" s="98">
        <f t="shared" si="4794"/>
        <v>-5.3509608323133229</v>
      </c>
      <c r="EW762" s="818">
        <f t="shared" ref="EW762" si="4820">(EW715+EW718+EW716)/(EW715+EW716+EW718+EW730+EW729)*100</f>
        <v>24.082404281634084</v>
      </c>
      <c r="EX762" s="98">
        <f t="shared" si="4796"/>
        <v>1.1171823570997441</v>
      </c>
      <c r="EY762" s="125"/>
      <c r="EZ762" s="594"/>
      <c r="FA762" s="405"/>
      <c r="FB762" s="289">
        <f>(FB715+FB718)/(FB715+FB718+FB729)*100</f>
        <v>16.340310600945308</v>
      </c>
      <c r="FC762" s="98"/>
      <c r="FD762" s="289">
        <f>(FD715+FD718)/(FD715+FD718+FD729)*100</f>
        <v>15.51468773142434</v>
      </c>
      <c r="FE762" s="98">
        <f t="shared" si="4797"/>
        <v>-5.0526754948783221</v>
      </c>
      <c r="FF762" s="289">
        <f>(FF715+FF718)/(FF715+FF718+FF729)*100</f>
        <v>17.663903541823661</v>
      </c>
      <c r="FG762" s="98">
        <f t="shared" si="4798"/>
        <v>13.852781619614408</v>
      </c>
      <c r="FH762" s="289">
        <f>(FH715+FH718)/(FH715+FH718+FH729)*100</f>
        <v>23.317101117158405</v>
      </c>
      <c r="FI762" s="98">
        <f t="shared" si="4799"/>
        <v>32.00423712657512</v>
      </c>
      <c r="FJ762" s="289">
        <f>(FJ715+FJ718)/(FJ715+FJ718+FJ729)*100</f>
        <v>24.635859198890238</v>
      </c>
      <c r="FK762" s="98">
        <f t="shared" si="4800"/>
        <v>5.6557548689506465</v>
      </c>
      <c r="FL762" s="289">
        <f>(FL715+FL718)/(FL715+FL718+FL729)*100</f>
        <v>22.042832393379776</v>
      </c>
      <c r="FM762" s="98">
        <f t="shared" si="4801"/>
        <v>-10.525416566868795</v>
      </c>
      <c r="FN762" s="289">
        <f>(FN715+FN718)/(FN715+FN718+FN729)*100</f>
        <v>25.201546830962833</v>
      </c>
      <c r="FO762" s="98">
        <f t="shared" si="4802"/>
        <v>14.329893641670699</v>
      </c>
      <c r="FP762" s="289">
        <f>(FP715+FP718+FP716)/(FP715+FP716+FP718+FP730+FP729)*100</f>
        <v>28.312961812029556</v>
      </c>
      <c r="FQ762" s="98">
        <f t="shared" si="4803"/>
        <v>12.346127013299091</v>
      </c>
      <c r="FR762" s="289">
        <f>(FR715+FR718+FR716)/(FR715+FR716+FR718+FR730+FR729)*100</f>
        <v>25.6909456573573</v>
      </c>
      <c r="FS762" s="98">
        <f t="shared" si="4804"/>
        <v>-9.2608331550753533</v>
      </c>
      <c r="FT762" s="289">
        <f>(FT715+FT718+FT716)/(FT715+FT716+FT718+FT730+FT729)*100</f>
        <v>30.422835352175863</v>
      </c>
      <c r="FU762" s="98">
        <f t="shared" si="4805"/>
        <v>18.418511167040119</v>
      </c>
      <c r="FV762" s="289">
        <f>(FV715+FV718+FV716)/(FV715+FV716+FV718+FV730+FV729)*100</f>
        <v>39.955273947074168</v>
      </c>
      <c r="FW762" s="98">
        <f t="shared" si="4806"/>
        <v>31.333169589719191</v>
      </c>
      <c r="FX762" s="526">
        <f>(FX715+FX718+FX716)/(FX715+FX716+FX718+FX730+FX729)*100</f>
        <v>38.34297738032614</v>
      </c>
      <c r="FY762" s="98">
        <f t="shared" si="4807"/>
        <v>-4.035253440844178</v>
      </c>
      <c r="FZ762" s="289">
        <f>(FZ715+FZ718+FZ716)/(FZ715+FZ716+FZ718+FZ730+FZ729)*100</f>
        <v>41.695051783659373</v>
      </c>
      <c r="GA762" s="98">
        <f t="shared" si="4808"/>
        <v>8.7423424896919677</v>
      </c>
      <c r="GB762" s="526">
        <f>(GB715+GB718+GB716)/(GB715+GB716+GB718+GB730+GB729)*100</f>
        <v>34.728386538229714</v>
      </c>
      <c r="GC762" s="98">
        <f t="shared" si="4809"/>
        <v>-16.70861396593817</v>
      </c>
      <c r="GD762" s="289">
        <f>(GD715+GD718+GD716)/(GD715+GD716+GD718+GD730+GD729)*100</f>
        <v>25.2092050209205</v>
      </c>
      <c r="GE762" s="98">
        <f t="shared" si="4810"/>
        <v>-27.410376542631209</v>
      </c>
      <c r="GF762" s="289">
        <f>(GF715+GF718+GF716)/(GF715+GF716+GF718+GF730+GF729)*100</f>
        <v>25.706775700934582</v>
      </c>
      <c r="GG762" s="98">
        <f t="shared" si="4810"/>
        <v>1.9737658510102118</v>
      </c>
      <c r="GH762" s="289">
        <f>(GH715+GH718+GH716)/(GH715+GH716+GH718+GH730+GH729)*100</f>
        <v>20.950775599035566</v>
      </c>
      <c r="GI762" s="98">
        <f t="shared" si="4810"/>
        <v>-18.50095926937313</v>
      </c>
      <c r="GJ762" s="289">
        <f>(GJ715+GJ718+GJ716)/(GJ715+GJ716+GJ718+GJ730+GJ729)*100</f>
        <v>23.389611668545044</v>
      </c>
      <c r="GK762" s="98">
        <f t="shared" si="4810"/>
        <v>11.640791330043854</v>
      </c>
      <c r="GL762" s="289">
        <f>(GL715+GL718+GL716)/(GL715+GL716+GL718+GL730+GL729)*100</f>
        <v>22.121388447508</v>
      </c>
      <c r="GM762" s="98">
        <f t="shared" si="4810"/>
        <v>-5.4221645019552955</v>
      </c>
      <c r="GN762" s="289">
        <f>(GN715+GN718+GN716)/(GN715+GN716+GN718+GN730+GN729)*100</f>
        <v>23.816332417754701</v>
      </c>
      <c r="GO762" s="98">
        <f t="shared" si="4810"/>
        <v>7.662014408673512</v>
      </c>
      <c r="GP762" s="289">
        <f>(GP715+GP718+GP716)/(GP715+GP716+GP718+GP730+GP729)*100</f>
        <v>24.082404281634084</v>
      </c>
      <c r="GQ762" s="98">
        <f t="shared" si="4810"/>
        <v>1.1171823570997441</v>
      </c>
      <c r="GR762" s="125">
        <f>(GR715+GR718+GR716)/(GR715+GR716+GR718+GR730+GR729)*100</f>
        <v>21.934690584108065</v>
      </c>
      <c r="GS762" s="98">
        <f t="shared" si="4810"/>
        <v>-8.9181863754522421</v>
      </c>
      <c r="GT762" s="125">
        <f>(GT715+GT718+GT716)/(GT715+GT716+GT718+GT730+GT729)*100</f>
        <v>19.670977672671324</v>
      </c>
      <c r="GU762" s="98">
        <f t="shared" si="4810"/>
        <v>-10.320240911338985</v>
      </c>
      <c r="GV762" s="125">
        <f>(GV715+GV718+GV716)/(GV715+GV716+GV718+GV730+GV729)*100</f>
        <v>17.308449226826635</v>
      </c>
      <c r="GW762" s="98">
        <f t="shared" si="4810"/>
        <v>-12.010223818854326</v>
      </c>
      <c r="GX762" s="125">
        <f>(GX715+GX718+GX716)/(GX715+GX716+GX718+GX730+GX729)*100</f>
        <v>14.861698413497642</v>
      </c>
      <c r="GY762" s="98">
        <f t="shared" si="4811"/>
        <v>-14.13616425864852</v>
      </c>
      <c r="GZ762" s="98">
        <f t="shared" si="4812"/>
        <v>-9.0005615945222939</v>
      </c>
      <c r="HA762" s="98"/>
      <c r="HB762" s="10"/>
      <c r="HC762"/>
      <c r="HD762"/>
      <c r="HE762"/>
      <c r="HF762"/>
      <c r="HG762"/>
      <c r="HH762"/>
      <c r="HI762" s="10"/>
    </row>
    <row r="763" spans="1:217" s="2" customFormat="1" ht="12.75" customHeight="1" x14ac:dyDescent="0.2">
      <c r="B763" s="18" t="s">
        <v>333</v>
      </c>
      <c r="C763" s="289">
        <f>(C715+C718)/C729*100</f>
        <v>20.769121004566209</v>
      </c>
      <c r="D763" s="98"/>
      <c r="E763" s="289">
        <f>(E715+E718)/E729*100</f>
        <v>26.889544861673649</v>
      </c>
      <c r="F763" s="98"/>
      <c r="G763" s="289">
        <f>(G715+G718)/G729*100</f>
        <v>26.152429802064837</v>
      </c>
      <c r="H763" s="98"/>
      <c r="I763" s="289">
        <f>(I715+I718)/I729*100</f>
        <v>21.45341387516017</v>
      </c>
      <c r="J763" s="98"/>
      <c r="K763" s="289">
        <f>(K715+K718)/K729*100</f>
        <v>20.526377628950769</v>
      </c>
      <c r="L763" s="98">
        <f t="shared" si="4729"/>
        <v>-1.1687705780233593</v>
      </c>
      <c r="M763" s="289">
        <f>(M715+M718)/M729*100</f>
        <v>20.157489709479208</v>
      </c>
      <c r="N763" s="98">
        <f t="shared" si="4730"/>
        <v>-25.03595797855921</v>
      </c>
      <c r="O763" s="289">
        <f>(O715+O718)/O729*100</f>
        <v>20.08506616257089</v>
      </c>
      <c r="P763" s="98">
        <f t="shared" si="4731"/>
        <v>-23.199999714806253</v>
      </c>
      <c r="Q763" s="289">
        <f>(Q715+Q718)/Q729*100</f>
        <v>30.407172207695183</v>
      </c>
      <c r="R763" s="98">
        <f t="shared" si="4732"/>
        <v>41.735820623411925</v>
      </c>
      <c r="S763" s="289">
        <f>(S715+S718)/S729*100</f>
        <v>30.626631853785902</v>
      </c>
      <c r="T763" s="98">
        <f t="shared" si="4733"/>
        <v>49.206218493172194</v>
      </c>
      <c r="U763" s="289">
        <f>(U715+U718)/U729*100</f>
        <v>29.088206144697722</v>
      </c>
      <c r="V763" s="98">
        <f t="shared" si="4734"/>
        <v>44.304705416859427</v>
      </c>
      <c r="W763" s="289">
        <f>(W715+W718)/W729*100</f>
        <v>27.469696082450078</v>
      </c>
      <c r="X763" s="98">
        <f t="shared" si="4735"/>
        <v>36.766769201092607</v>
      </c>
      <c r="Y763" s="289">
        <f>(Y715+Y718)/Y729*100</f>
        <v>32.729364394593041</v>
      </c>
      <c r="Z763" s="98">
        <f t="shared" si="4736"/>
        <v>7.6369883099822733</v>
      </c>
      <c r="AA763" s="289">
        <f>(AA715+AA718)/AA729*100</f>
        <v>31.919729475026333</v>
      </c>
      <c r="AB763" s="98">
        <f t="shared" si="4737"/>
        <v>4.2221346030271611</v>
      </c>
      <c r="AC763" s="289">
        <f>(AC715+AC718)/AC729*100</f>
        <v>28.313048538040054</v>
      </c>
      <c r="AD763" s="98">
        <f t="shared" si="4738"/>
        <v>-2.6648518743359051</v>
      </c>
      <c r="AE763" s="289">
        <f>(AE715+AE718)/AE729*100</f>
        <v>28.605596747189665</v>
      </c>
      <c r="AF763" s="98">
        <f t="shared" si="4739"/>
        <v>4.1351045942779718</v>
      </c>
      <c r="AG763" s="289">
        <f>(AG715+AG718)/AG729*100</f>
        <v>28.275568584803061</v>
      </c>
      <c r="AH763" s="98">
        <f t="shared" si="4740"/>
        <v>-13.607950817785374</v>
      </c>
      <c r="AI763" s="125">
        <f>(AI715+AI718)/AI729*100</f>
        <v>26.776445319491675</v>
      </c>
      <c r="AJ763" s="98">
        <f t="shared" si="4741"/>
        <v>-16.113182160765838</v>
      </c>
      <c r="AK763" s="125">
        <f>(AK715+AK718)/AK729*100</f>
        <v>30.390690718758762</v>
      </c>
      <c r="AL763" s="98">
        <f t="shared" si="4742"/>
        <v>7.3381083563901273</v>
      </c>
      <c r="AM763" s="125">
        <f>(AM715+AM718)/AM729*100</f>
        <v>30.34602829162133</v>
      </c>
      <c r="AN763" s="98">
        <f t="shared" si="4743"/>
        <v>6.0842343539036836</v>
      </c>
      <c r="AO763" s="125">
        <f>(AO715+AO718)/AO729*100</f>
        <v>33.692604276200491</v>
      </c>
      <c r="AP763" s="98">
        <f t="shared" si="4744"/>
        <v>19.158007999559246</v>
      </c>
      <c r="AQ763" s="125">
        <f>(AQ715+AQ718)/AQ729*100</f>
        <v>33.388314957895645</v>
      </c>
      <c r="AR763" s="98">
        <f t="shared" si="4745"/>
        <v>24.692858068023394</v>
      </c>
      <c r="AS763" s="125">
        <f>(AS715+AS718+AS716)/AS729*100</f>
        <v>41.588867984807074</v>
      </c>
      <c r="AT763" s="98">
        <f t="shared" si="4746"/>
        <v>36.847393070721466</v>
      </c>
      <c r="AU763" s="125">
        <f>(AU715+AU718+AU716)/AU729*100</f>
        <v>41.395138574955666</v>
      </c>
      <c r="AV763" s="98">
        <f t="shared" si="4747"/>
        <v>36.410399994206301</v>
      </c>
      <c r="AW763" s="125">
        <f>(AW715+AW718+AW716)/AW729*100</f>
        <v>42.266588777017972</v>
      </c>
      <c r="AX763" s="98">
        <f t="shared" si="4748"/>
        <v>25.44767519462394</v>
      </c>
      <c r="AY763" s="125">
        <f>(AY715+AY718+AY716)/AY729*100</f>
        <v>43.210697658137008</v>
      </c>
      <c r="AZ763" s="98">
        <f t="shared" si="4749"/>
        <v>29.41862358920444</v>
      </c>
      <c r="BA763" s="125">
        <f>(BA715+BA718+BA716)/BA729*100</f>
        <v>47.501896607781511</v>
      </c>
      <c r="BB763" s="98">
        <f t="shared" si="4750"/>
        <v>14.217815750922913</v>
      </c>
      <c r="BC763" s="125">
        <f>(BC715+BC718+BC716)/BC729*100</f>
        <v>41.515343245808289</v>
      </c>
      <c r="BD763" s="98">
        <f t="shared" si="4751"/>
        <v>0.29038354500241503</v>
      </c>
      <c r="BE763" s="125">
        <f>(BE715+BE718+BE716)/BE729*100</f>
        <v>36.6619326587372</v>
      </c>
      <c r="BF763" s="98">
        <f t="shared" si="4752"/>
        <v>-13.260251845373073</v>
      </c>
      <c r="BG763" s="125">
        <f>(BG715+BG718+BG716)/BG729*100</f>
        <v>37.424051190231587</v>
      </c>
      <c r="BH763" s="98">
        <f t="shared" si="4753"/>
        <v>-13.391698772574056</v>
      </c>
      <c r="BI763" s="125">
        <f>(BI715+BI718+BI716)/BI729*100</f>
        <v>44.431530323349719</v>
      </c>
      <c r="BJ763" s="98">
        <f t="shared" si="4754"/>
        <v>-6.4636709346228898</v>
      </c>
      <c r="BK763" s="125">
        <f>(BK715+BK718+BK716)/BK729*100</f>
        <v>39.345536176826108</v>
      </c>
      <c r="BL763" s="98">
        <f t="shared" si="4755"/>
        <v>-5.2265184371353186</v>
      </c>
      <c r="BM763" s="125">
        <f>(BM715+BM718+BM716)/BM729*100</f>
        <v>46.263395775889023</v>
      </c>
      <c r="BN763" s="98">
        <f t="shared" si="4756"/>
        <v>26.189189769469557</v>
      </c>
      <c r="BO763" s="125">
        <f>(BO715+BO718+BO716)/BO729*100</f>
        <v>56.295645322585528</v>
      </c>
      <c r="BP763" s="98">
        <f t="shared" si="4757"/>
        <v>50.426379646679734</v>
      </c>
      <c r="BQ763" s="125">
        <f>(BQ715+BQ718+BQ716)/BQ729*100</f>
        <v>50.57312313696567</v>
      </c>
      <c r="BR763" s="98">
        <f t="shared" si="4758"/>
        <v>13.822600232133819</v>
      </c>
      <c r="BS763" s="125">
        <f>(BS715+BS718+BS716)/BS729*100</f>
        <v>65.519347537096252</v>
      </c>
      <c r="BT763" s="98">
        <f t="shared" si="4759"/>
        <v>66.522950005409001</v>
      </c>
      <c r="BU763" s="125">
        <f>(BU715+BU718+BU716)/BU729*100</f>
        <v>72.267632931659222</v>
      </c>
      <c r="BV763" s="98">
        <f t="shared" si="4760"/>
        <v>56.209097321219033</v>
      </c>
      <c r="BW763" s="125">
        <f>(BW715+BW718+BW716)/BW729*100</f>
        <v>82.795326698398966</v>
      </c>
      <c r="BX763" s="98">
        <f t="shared" si="4761"/>
        <v>47.072346757843974</v>
      </c>
      <c r="BY763" s="125">
        <f>(BY715+BY718+BY716)/BY729*100</f>
        <v>77.261568900450655</v>
      </c>
      <c r="BZ763" s="98">
        <f t="shared" si="4762"/>
        <v>52.771994506262686</v>
      </c>
      <c r="CA763" s="125">
        <f>(CA715+CA718+CA716)/CA729*100</f>
        <v>63.759192249328819</v>
      </c>
      <c r="CB763" s="98">
        <f t="shared" si="4763"/>
        <v>-2.6864664468321475</v>
      </c>
      <c r="CC763" s="125">
        <f>(CC715+CC718+CC716)/CC729*100</f>
        <v>66.021557320129219</v>
      </c>
      <c r="CD763" s="98">
        <f t="shared" si="4764"/>
        <v>-8.6429779946392884</v>
      </c>
      <c r="CE763" s="125">
        <f>(CE715+CE718+CE716)/CE729*100</f>
        <v>80.014520678003962</v>
      </c>
      <c r="CF763" s="98">
        <f t="shared" si="4765"/>
        <v>-3.3586509423710997</v>
      </c>
      <c r="CG763" s="125">
        <f>(CG715+CG718+CG716)/CG729*100</f>
        <v>74.397460317460315</v>
      </c>
      <c r="CH763" s="98">
        <f t="shared" si="4766"/>
        <v>-3.7070287644309419</v>
      </c>
      <c r="CI763" s="125">
        <f>(CI715+CI718+CI716)/CI729*100</f>
        <v>71.440267155014553</v>
      </c>
      <c r="CJ763" s="98">
        <f t="shared" si="4767"/>
        <v>12.047007866174141</v>
      </c>
      <c r="CK763" s="125">
        <f>(CK715+CK718+CK716)/CK729*100</f>
        <v>74.515167095115686</v>
      </c>
      <c r="CL763" s="98">
        <f t="shared" si="4768"/>
        <v>12.864903706833442</v>
      </c>
      <c r="CM763" s="125">
        <f>(CM715+CM718+CM716)/CM729*100</f>
        <v>75.680584551148229</v>
      </c>
      <c r="CN763" s="98">
        <f t="shared" si="4769"/>
        <v>-5.4164370293442676</v>
      </c>
      <c r="CO763" s="125">
        <f>(CO715+CO718+CO716)/CO729*100</f>
        <v>72.002262443438909</v>
      </c>
      <c r="CP763" s="98">
        <f t="shared" si="4770"/>
        <v>-3.2194618792105167</v>
      </c>
      <c r="CQ763" s="526">
        <f>(CQ715+CQ718+CQ716)/CQ729*100</f>
        <v>57.340772532188844</v>
      </c>
      <c r="CR763" s="98">
        <f t="shared" si="4770"/>
        <v>-19.736060885987371</v>
      </c>
      <c r="CS763" s="125">
        <f>(CS715+CS718+CS716)/CS729*100</f>
        <v>55.094838227368349</v>
      </c>
      <c r="CT763" s="98">
        <f t="shared" si="4770"/>
        <v>-26.062249639671407</v>
      </c>
      <c r="CU763" s="125">
        <f>(CU715+CU718+CU716)/CU729*100</f>
        <v>53.501176149728977</v>
      </c>
      <c r="CV763" s="98">
        <f t="shared" si="4771"/>
        <v>-29.306602919312073</v>
      </c>
      <c r="CW763" s="125">
        <f>(CW715+CW718+CW716)/CW729*100</f>
        <v>42.345287312117428</v>
      </c>
      <c r="CX763" s="98">
        <f t="shared" si="4772"/>
        <v>-41.188948964788985</v>
      </c>
      <c r="CY763" s="125">
        <f>(CY715+CY718+CY716)/CY729*100</f>
        <v>35.866289871816889</v>
      </c>
      <c r="CZ763" s="98">
        <f t="shared" si="4773"/>
        <v>-37.450633662664778</v>
      </c>
      <c r="DA763" s="125">
        <f>(DA715+DA718+DA716)/DA729*100</f>
        <v>34.774176531736309</v>
      </c>
      <c r="DB763" s="98">
        <f t="shared" si="4774"/>
        <v>-36.883059011393485</v>
      </c>
      <c r="DC763" s="125">
        <f>(DC715+DC718+DC716)/DC729*100</f>
        <v>34.248254460822345</v>
      </c>
      <c r="DD763" s="98">
        <f t="shared" si="4775"/>
        <v>-35.985978392372516</v>
      </c>
      <c r="DE763" s="125">
        <f>(DE715+DE718+DE716)/DE729*100</f>
        <v>36.546506008032928</v>
      </c>
      <c r="DF763" s="98">
        <f t="shared" si="4776"/>
        <v>-13.694041703727288</v>
      </c>
      <c r="DG763" s="125">
        <f>(DG715+DG718+DG716)/DG729*100</f>
        <v>35.458827777504226</v>
      </c>
      <c r="DH763" s="98">
        <f t="shared" si="4777"/>
        <v>-1.1360586661427696</v>
      </c>
      <c r="DI763" s="125">
        <f>(DI715+DI718+DI716)/DI729*100</f>
        <v>35.749679138303577</v>
      </c>
      <c r="DJ763" s="98">
        <f t="shared" si="4778"/>
        <v>2.8052500558193971</v>
      </c>
      <c r="DK763" s="125">
        <f>(DK715+DK718+DK716)/DK729*100</f>
        <v>30.635055810699839</v>
      </c>
      <c r="DL763" s="98">
        <f t="shared" si="4779"/>
        <v>-10.550022788039481</v>
      </c>
      <c r="DM763" s="125">
        <f>(DM715+DM718+DM716)/DM729*100</f>
        <v>28.93333908120303</v>
      </c>
      <c r="DN763" s="98">
        <f t="shared" si="4780"/>
        <v>-20.831449455541716</v>
      </c>
      <c r="DO763" s="125">
        <f>(DO715+DO718+DO716)/DO729*100</f>
        <v>27.880799378574959</v>
      </c>
      <c r="DP763" s="98">
        <f t="shared" si="4780"/>
        <v>-21.371344948230121</v>
      </c>
      <c r="DQ763" s="125">
        <f>(DQ715+DQ718+DQ716)/DQ729*100</f>
        <v>27.254937337793013</v>
      </c>
      <c r="DR763" s="98">
        <f t="shared" si="4780"/>
        <v>-23.761728791039616</v>
      </c>
      <c r="DS763" s="125">
        <f>(DS715+DS718+DS716)/DS729*100</f>
        <v>28.556323708824728</v>
      </c>
      <c r="DT763" s="98">
        <f t="shared" si="4780"/>
        <v>-6.7854686301863314</v>
      </c>
      <c r="DU763" s="125">
        <f>(DU715+DU718+DU716)/DU729*100</f>
        <v>29.003848537699817</v>
      </c>
      <c r="DV763" s="98">
        <f t="shared" si="4780"/>
        <v>0.24369622980222605</v>
      </c>
      <c r="DW763" s="125">
        <f>(DW715+DW718+DW716)/DW729*100</f>
        <v>28.520772165723447</v>
      </c>
      <c r="DX763" s="98">
        <f t="shared" si="4780"/>
        <v>2.2953889465603838</v>
      </c>
      <c r="DY763" s="125">
        <f>(DY715+DY718+DY716)/DY729*100</f>
        <v>31.458888283859952</v>
      </c>
      <c r="DZ763" s="98">
        <f t="shared" si="4780"/>
        <v>15.424548198236131</v>
      </c>
      <c r="EA763" s="125">
        <f>(EA715+EA718+EA716)/EA729*100</f>
        <v>27.924777301220722</v>
      </c>
      <c r="EB763" s="98">
        <f t="shared" si="4781"/>
        <v>-2.2115816238938324</v>
      </c>
      <c r="EC763" s="125">
        <f>(EC715+EC718+EC716)/EC729*100</f>
        <v>25.05714899152553</v>
      </c>
      <c r="ED763" s="98">
        <f t="shared" si="4782"/>
        <v>-13.607502952734995</v>
      </c>
      <c r="EE763" s="125">
        <f>(EE715+EE718+EE716)/EE729*100</f>
        <v>25.311039010806528</v>
      </c>
      <c r="EF763" s="860">
        <f t="shared" si="4783"/>
        <v>-11.254019127765435</v>
      </c>
      <c r="EG763" s="125">
        <f>(EG715+EG718+EG716)/EG729*100</f>
        <v>29.27396306881284</v>
      </c>
      <c r="EH763" s="860">
        <f t="shared" si="4784"/>
        <v>-6.9453351158886729</v>
      </c>
      <c r="EI763" s="125">
        <f>(EI715+EI718+EI716)/EI729*100</f>
        <v>29.210347577001443</v>
      </c>
      <c r="EJ763" s="860">
        <f t="shared" si="4785"/>
        <v>4.6036903424992559</v>
      </c>
      <c r="EK763" s="818">
        <f>(EK715+EK718+EK716)/EK729*100</f>
        <v>28.621765249537894</v>
      </c>
      <c r="EL763" s="860">
        <f t="shared" si="4786"/>
        <v>14.225945095421434</v>
      </c>
      <c r="EM763" s="818">
        <f>(EM715+EM718+EM716)/EM729*100</f>
        <v>35.411131186452685</v>
      </c>
      <c r="EN763" s="860">
        <f t="shared" si="4787"/>
        <v>39.903901895666685</v>
      </c>
      <c r="EO763" s="818">
        <f>(EO715+EO718+EO716)/EO729*100</f>
        <v>32.362465062376437</v>
      </c>
      <c r="EP763" s="98">
        <f t="shared" si="4788"/>
        <v>10.550337808050148</v>
      </c>
      <c r="EQ763" s="818">
        <f t="shared" ref="EQ763" si="4821">(EQ715+EQ718+EQ716)/EQ729*100</f>
        <v>32.899234015799976</v>
      </c>
      <c r="ER763" s="98">
        <f t="shared" si="4790"/>
        <v>12.628697515749355</v>
      </c>
      <c r="ES763" s="818">
        <f t="shared" ref="ES763" si="4822">(ES715+ES718+ES716)/ES729*100</f>
        <v>32.928255049243816</v>
      </c>
      <c r="ET763" s="98">
        <f t="shared" si="4792"/>
        <v>15.046206137741457</v>
      </c>
      <c r="EU763" s="818">
        <f t="shared" ref="EU763" si="4823">(EU715+EU718+EU716)/EU729*100</f>
        <v>32.888814617969345</v>
      </c>
      <c r="EV763" s="98">
        <f t="shared" si="4794"/>
        <v>-7.1229483045949893</v>
      </c>
      <c r="EW763" s="818">
        <f t="shared" ref="EW763" si="4824">(EW715+EW718+EW716)/EW729*100</f>
        <v>32.855726189441285</v>
      </c>
      <c r="EX763" s="98">
        <f t="shared" si="4796"/>
        <v>1.524176622868878</v>
      </c>
      <c r="EY763" s="125"/>
      <c r="EZ763" s="594"/>
      <c r="FA763" s="405"/>
      <c r="FB763" s="289">
        <f>(FB715+FB718)/FB729*100</f>
        <v>19.531880548829701</v>
      </c>
      <c r="FC763" s="98"/>
      <c r="FD763" s="289">
        <f>(FD715+FD718)/FD729*100</f>
        <v>18.363769174579986</v>
      </c>
      <c r="FE763" s="98">
        <f t="shared" si="4797"/>
        <v>-5.9805371598983363</v>
      </c>
      <c r="FF763" s="289">
        <f>(FF715+FF718)/FF729*100</f>
        <v>21.45341387516017</v>
      </c>
      <c r="FG763" s="98">
        <f t="shared" si="4798"/>
        <v>16.824676193692412</v>
      </c>
      <c r="FH763" s="289">
        <f>(FH715+FH718)/FH729*100</f>
        <v>30.407172207695183</v>
      </c>
      <c r="FI763" s="98">
        <f t="shared" si="4799"/>
        <v>41.735820623411925</v>
      </c>
      <c r="FJ763" s="289">
        <f>(FJ715+FJ718)/FJ729*100</f>
        <v>32.68909979867702</v>
      </c>
      <c r="FK763" s="98">
        <f t="shared" si="4800"/>
        <v>7.5045702224304289</v>
      </c>
      <c r="FL763" s="289">
        <f>(FL715+FL718)/FL729*100</f>
        <v>28.275568584803061</v>
      </c>
      <c r="FM763" s="98">
        <f t="shared" si="4801"/>
        <v>-13.501537947069997</v>
      </c>
      <c r="FN763" s="289">
        <f>(FN715+FN718)/FN729*100</f>
        <v>33.692604276200491</v>
      </c>
      <c r="FO763" s="98">
        <f t="shared" si="4802"/>
        <v>19.158007999559246</v>
      </c>
      <c r="FP763" s="289">
        <f>(FP715+FP718+FP716)/FP729*100</f>
        <v>42.266588777017972</v>
      </c>
      <c r="FQ763" s="98">
        <f t="shared" si="4803"/>
        <v>25.44767519462394</v>
      </c>
      <c r="FR763" s="289">
        <f>(FR715+FR718+FR716)/FR729*100</f>
        <v>36.6619326587372</v>
      </c>
      <c r="FS763" s="98">
        <f t="shared" si="4804"/>
        <v>-13.260251845373073</v>
      </c>
      <c r="FT763" s="289">
        <f>(FT715+FT718+FT716)/FT729*100</f>
        <v>46.263395775889023</v>
      </c>
      <c r="FU763" s="98">
        <f t="shared" si="4805"/>
        <v>26.189189769469557</v>
      </c>
      <c r="FV763" s="289">
        <f>(FV715+FV718+FV716)/FV729*100</f>
        <v>72.267632931659222</v>
      </c>
      <c r="FW763" s="98">
        <f t="shared" si="4806"/>
        <v>56.209097321219033</v>
      </c>
      <c r="FX763" s="526">
        <f>(FX715+FX718+FX716)/FX729*100</f>
        <v>66.021557320129219</v>
      </c>
      <c r="FY763" s="98">
        <f t="shared" si="4807"/>
        <v>-8.6429779946392884</v>
      </c>
      <c r="FZ763" s="289">
        <f>(FZ715+FZ718+FZ716)/FZ729*100</f>
        <v>74.515167095115686</v>
      </c>
      <c r="GA763" s="98">
        <f t="shared" si="4808"/>
        <v>12.864903706833442</v>
      </c>
      <c r="GB763" s="526">
        <f>(GB715+GB718+GB716)/GB729*100</f>
        <v>55.094838227368349</v>
      </c>
      <c r="GC763" s="98">
        <f t="shared" si="4809"/>
        <v>-26.062249639671407</v>
      </c>
      <c r="GD763" s="289">
        <f>(GD715+GD718+GD716)/GD729*100</f>
        <v>34.774176531736309</v>
      </c>
      <c r="GE763" s="98">
        <f t="shared" si="4810"/>
        <v>-36.883059011393485</v>
      </c>
      <c r="GF763" s="289">
        <f>(GF715+GF718+GF716)/GF729*100</f>
        <v>35.749679138303577</v>
      </c>
      <c r="GG763" s="98">
        <f t="shared" si="4810"/>
        <v>2.8052500558193971</v>
      </c>
      <c r="GH763" s="289">
        <f>(GH715+GH718+GH716)/GH729*100</f>
        <v>27.254937337793013</v>
      </c>
      <c r="GI763" s="98">
        <f t="shared" si="4810"/>
        <v>-23.761728791039616</v>
      </c>
      <c r="GJ763" s="289">
        <f>(GJ715+GJ718+GJ716)/GJ729*100</f>
        <v>31.458888283859952</v>
      </c>
      <c r="GK763" s="98">
        <f t="shared" si="4810"/>
        <v>15.424548198236131</v>
      </c>
      <c r="GL763" s="289">
        <f>(GL715+GL718+GL716)/GL729*100</f>
        <v>29.27396306881284</v>
      </c>
      <c r="GM763" s="98">
        <f t="shared" si="4810"/>
        <v>-6.9453351158886729</v>
      </c>
      <c r="GN763" s="289">
        <f>(GN715+GN718+GN716)/GN729*100</f>
        <v>32.362465062376437</v>
      </c>
      <c r="GO763" s="98">
        <f t="shared" si="4810"/>
        <v>10.550337808050148</v>
      </c>
      <c r="GP763" s="289">
        <f>(GP715+GP718+GP716)/GP729*100</f>
        <v>32.855726189441285</v>
      </c>
      <c r="GQ763" s="98">
        <f t="shared" si="4810"/>
        <v>1.524176622868878</v>
      </c>
      <c r="GR763" s="125">
        <f>(GR715+GR718+GR716)/GR729*100</f>
        <v>29.091922092300194</v>
      </c>
      <c r="GS763" s="98">
        <f t="shared" si="4810"/>
        <v>-11.455549865005421</v>
      </c>
      <c r="GT763" s="125">
        <f>(GT715+GT718+GT716)/GT729*100</f>
        <v>25.343422380701629</v>
      </c>
      <c r="GU763" s="98">
        <f t="shared" si="4810"/>
        <v>-12.88501907748023</v>
      </c>
      <c r="GV763" s="125">
        <f>(GV715+GV718+GV716)/GV729*100</f>
        <v>21.652204156902847</v>
      </c>
      <c r="GW763" s="98">
        <f t="shared" si="4810"/>
        <v>-14.564797793882612</v>
      </c>
      <c r="GX763" s="125">
        <f>(GX715+GX718+GX716)/GX729*100</f>
        <v>18.048261505764675</v>
      </c>
      <c r="GY763" s="98">
        <f t="shared" si="4811"/>
        <v>-16.644691806072842</v>
      </c>
      <c r="GZ763" s="98">
        <f t="shared" si="4812"/>
        <v>-11.022795668257324</v>
      </c>
      <c r="HA763" s="98"/>
      <c r="HB763" s="10"/>
      <c r="HC763"/>
      <c r="HD763"/>
      <c r="HE763"/>
      <c r="HF763"/>
      <c r="HG763"/>
      <c r="HH763"/>
      <c r="HI763" s="10"/>
    </row>
    <row r="764" spans="1:217" s="2" customFormat="1" ht="12.75" customHeight="1" x14ac:dyDescent="0.2">
      <c r="A764" s="351"/>
      <c r="B764" s="179" t="s">
        <v>556</v>
      </c>
      <c r="C764" s="289">
        <f>C729/(C704-C700)*100</f>
        <v>7.7893496648845719</v>
      </c>
      <c r="D764" s="98"/>
      <c r="E764" s="289">
        <f>E729/(E704-E700)*100</f>
        <v>8.042778504739978</v>
      </c>
      <c r="F764" s="98"/>
      <c r="G764" s="289">
        <f>G729/(G704-G700)*100</f>
        <v>8.3378110161964187</v>
      </c>
      <c r="H764" s="98"/>
      <c r="I764" s="289">
        <f>I729/(I704-I700)*100</f>
        <v>8.8700424315898871</v>
      </c>
      <c r="J764" s="98"/>
      <c r="K764" s="289">
        <f>K729/(K704-K700)*100</f>
        <v>8.9561191202778065</v>
      </c>
      <c r="L764" s="98">
        <f t="shared" si="4729"/>
        <v>14.979035549696619</v>
      </c>
      <c r="M764" s="289">
        <f>M729/(M704-M700)*100</f>
        <v>8.8446967698363288</v>
      </c>
      <c r="N764" s="98">
        <f t="shared" si="4730"/>
        <v>9.9706620619198105</v>
      </c>
      <c r="O764" s="289">
        <f>O729/(O704-O700)*100</f>
        <v>8.7999833648707657</v>
      </c>
      <c r="P764" s="98">
        <f t="shared" si="4731"/>
        <v>5.5430897603287566</v>
      </c>
      <c r="Q764" s="289">
        <f>Q729/(Q704-Q700)*100</f>
        <v>8.268470471954533</v>
      </c>
      <c r="R764" s="98">
        <f t="shared" si="4732"/>
        <v>-6.7820640574717821</v>
      </c>
      <c r="S764" s="289">
        <f>S729/(S704-S700)*100</f>
        <v>7.8074833606833076</v>
      </c>
      <c r="T764" s="98">
        <f t="shared" si="4733"/>
        <v>-12.825150538628272</v>
      </c>
      <c r="U764" s="289">
        <f>U729/(U704-U700)*100</f>
        <v>7.9920792079207921</v>
      </c>
      <c r="V764" s="98">
        <f t="shared" si="4734"/>
        <v>-9.6398732947326806</v>
      </c>
      <c r="W764" s="289">
        <f>W729/(W704-W700)*100</f>
        <v>8.0552646723082297</v>
      </c>
      <c r="X764" s="98">
        <f t="shared" si="4735"/>
        <v>-8.4627284130493692</v>
      </c>
      <c r="Y764" s="289">
        <f>Y729/(Y704-Y700)*100</f>
        <v>7.9845498844915559</v>
      </c>
      <c r="Z764" s="98">
        <f t="shared" si="4736"/>
        <v>-3.4337739782223986</v>
      </c>
      <c r="AA764" s="289">
        <f>AA729/(AA704-AA700)*100</f>
        <v>7.9712066177055441</v>
      </c>
      <c r="AB764" s="98">
        <f t="shared" si="4737"/>
        <v>2.0970042388653631</v>
      </c>
      <c r="AC764" s="289">
        <f>AC729/(AC704-AC700)*100</f>
        <v>8.5091722299700461</v>
      </c>
      <c r="AD764" s="98">
        <f t="shared" si="4738"/>
        <v>6.4700687843130211</v>
      </c>
      <c r="AE764" s="289">
        <f>AE729/(AE704-AE700)*100</f>
        <v>8.5331755005408496</v>
      </c>
      <c r="AF764" s="98">
        <f t="shared" si="4739"/>
        <v>5.9329003785008494</v>
      </c>
      <c r="AG764" s="289">
        <f>AG729/(AG704-AG700)*100</f>
        <v>8.4230439890873612</v>
      </c>
      <c r="AH764" s="98">
        <f t="shared" si="4740"/>
        <v>5.4917823914845343</v>
      </c>
      <c r="AI764" s="125">
        <f>AI729/(AI704-AI700)*100</f>
        <v>8.6393455931528518</v>
      </c>
      <c r="AJ764" s="98">
        <f t="shared" si="4741"/>
        <v>8.3819051178932735</v>
      </c>
      <c r="AK764" s="125">
        <f>AK729/(AK704-AK700)*100</f>
        <v>8.2852883666001986</v>
      </c>
      <c r="AL764" s="98">
        <f t="shared" si="4742"/>
        <v>-2.6310886337605033</v>
      </c>
      <c r="AM764" s="125">
        <f>AM729/(AM704-AM700)*100</f>
        <v>8.6699421878066083</v>
      </c>
      <c r="AN764" s="98">
        <f t="shared" si="4743"/>
        <v>1.6027642611720516</v>
      </c>
      <c r="AO764" s="125">
        <f>AO729/(AO704-AO700)*100</f>
        <v>8.45211247264284</v>
      </c>
      <c r="AP764" s="98">
        <f t="shared" si="4744"/>
        <v>0.34510663357734117</v>
      </c>
      <c r="AQ764" s="125">
        <f>AQ729/(AQ704-AQ700)*100</f>
        <v>8.3204218357801984</v>
      </c>
      <c r="AR764" s="98">
        <f t="shared" si="4745"/>
        <v>-3.6915267937124518</v>
      </c>
      <c r="AS764" s="125">
        <f>AS729/(AS704-AS700)*100</f>
        <v>9.648527941035443</v>
      </c>
      <c r="AT764" s="98">
        <f t="shared" si="4746"/>
        <v>16.453737204015241</v>
      </c>
      <c r="AU764" s="125">
        <f>AU729/(AU704-AU700)*100</f>
        <v>8.0153299421643087</v>
      </c>
      <c r="AV764" s="98">
        <f t="shared" si="4747"/>
        <v>-7.5503645983123757</v>
      </c>
      <c r="AW764" s="125">
        <f>AW729/(AW704-AW700)*100</f>
        <v>8.235766904674982</v>
      </c>
      <c r="AX764" s="98">
        <f t="shared" si="4748"/>
        <v>-2.5596626721202442</v>
      </c>
      <c r="AY764" s="125">
        <f>AY729/(AY704-AY700)*100</f>
        <v>7.7928419444595995</v>
      </c>
      <c r="AZ764" s="98">
        <f t="shared" si="4749"/>
        <v>-6.3407829763132195</v>
      </c>
      <c r="BA764" s="125">
        <f>BA729/(BA704-BA700)*100</f>
        <v>7.531773521657148</v>
      </c>
      <c r="BB764" s="98">
        <f t="shared" si="4750"/>
        <v>-21.938625584278849</v>
      </c>
      <c r="BC764" s="125">
        <f>BC729/(BC704-BC700)*100</f>
        <v>8.3423063930411274</v>
      </c>
      <c r="BD764" s="98">
        <f t="shared" si="4751"/>
        <v>4.0793885371676719</v>
      </c>
      <c r="BE764" s="125">
        <f>BE729/(BE704-BE700)*100</f>
        <v>8.8164862397287074</v>
      </c>
      <c r="BF764" s="98">
        <f t="shared" si="4752"/>
        <v>7.0511871180336971</v>
      </c>
      <c r="BG764" s="125">
        <f>BG729/(BG704-BG700)*100</f>
        <v>8.7245228516480289</v>
      </c>
      <c r="BH764" s="98">
        <f t="shared" si="4753"/>
        <v>11.95559866129221</v>
      </c>
      <c r="BI764" s="125">
        <f>BI729/(BI704-BI700)*100</f>
        <v>8.4579145966138096</v>
      </c>
      <c r="BJ764" s="98">
        <f t="shared" si="4754"/>
        <v>12.296454112615042</v>
      </c>
      <c r="BK764" s="125">
        <f>BK729/(BK704-BK700)*100</f>
        <v>8.623334077879532</v>
      </c>
      <c r="BL764" s="98">
        <f t="shared" si="4755"/>
        <v>3.3687049072284037</v>
      </c>
      <c r="BM764" s="125">
        <f>BM729/(BM704-BM700)*100</f>
        <v>8.816924565281683</v>
      </c>
      <c r="BN764" s="98">
        <f t="shared" si="4756"/>
        <v>4.9716581079772837E-3</v>
      </c>
      <c r="BO764" s="125">
        <f>BO729/(BO704-BO700)*100</f>
        <v>8.7520753656091372</v>
      </c>
      <c r="BP764" s="98">
        <f t="shared" si="4757"/>
        <v>0.31580539623325965</v>
      </c>
      <c r="BQ764" s="125">
        <f>BQ729/(BQ704-BQ700)*100</f>
        <v>7.9995378405353188</v>
      </c>
      <c r="BR764" s="98">
        <f t="shared" si="4758"/>
        <v>-5.4195008810091982</v>
      </c>
      <c r="BS764" s="125">
        <f>BS729/(BS704-BS700)*100</f>
        <v>7.2953881236648632</v>
      </c>
      <c r="BT764" s="98">
        <f t="shared" si="4759"/>
        <v>-15.399449241113118</v>
      </c>
      <c r="BU764" s="125">
        <f>BU729/(BU704-BU700)*100</f>
        <v>6.2320298078715677</v>
      </c>
      <c r="BV764" s="98">
        <f t="shared" si="4760"/>
        <v>-29.317419450185955</v>
      </c>
      <c r="BW764" s="125">
        <f>BW729/(BW704-BW700)*100</f>
        <v>6.129290636056461</v>
      </c>
      <c r="BX764" s="98">
        <f t="shared" si="4761"/>
        <v>-29.967574774993189</v>
      </c>
      <c r="BY764" s="125">
        <f>BY729/(BY704-BY700)*100</f>
        <v>7.1356300442627116</v>
      </c>
      <c r="BZ764" s="98">
        <f t="shared" si="4762"/>
        <v>-10.799471338144151</v>
      </c>
      <c r="CA764" s="125">
        <f>CA729/(CA704-CA700)*100</f>
        <v>8.7696221190609016</v>
      </c>
      <c r="CB764" s="98">
        <f t="shared" si="4763"/>
        <v>20.207752766626651</v>
      </c>
      <c r="CC764" s="125">
        <f>CC729/(CC704-CC700)*100</f>
        <v>8.4866234661378055</v>
      </c>
      <c r="CD764" s="98">
        <f t="shared" si="4764"/>
        <v>36.177517241950618</v>
      </c>
      <c r="CE764" s="125">
        <f>CE729/(CE704-CE700)*100</f>
        <v>8.7919884904520842</v>
      </c>
      <c r="CF764" s="98">
        <f t="shared" si="4765"/>
        <v>43.442186257768697</v>
      </c>
      <c r="CG764" s="125">
        <f>CG729/(CG704-CG700)*100</f>
        <v>9.3590673020928659</v>
      </c>
      <c r="CH764" s="98">
        <f t="shared" si="4766"/>
        <v>31.159648749137059</v>
      </c>
      <c r="CI764" s="125">
        <f>CI729/(CI704-CI700)*100</f>
        <v>10.428673177987333</v>
      </c>
      <c r="CJ764" s="98">
        <f t="shared" si="4767"/>
        <v>18.918159031282087</v>
      </c>
      <c r="CK764" s="125">
        <f>CK729/(CK704-CK700)*100</f>
        <v>8.8769333002292932</v>
      </c>
      <c r="CL764" s="98">
        <f t="shared" si="4768"/>
        <v>4.5991180785721175</v>
      </c>
      <c r="CM764" s="125">
        <f>CM729/(CM704-CM700)*100</f>
        <v>8.6686791032351014</v>
      </c>
      <c r="CN764" s="98">
        <f t="shared" si="4769"/>
        <v>-1.4025198889977442</v>
      </c>
      <c r="CO764" s="125">
        <f>CO729/(CO704-CO700)*100</f>
        <v>9.0576970639154855</v>
      </c>
      <c r="CP764" s="98">
        <f t="shared" si="4770"/>
        <v>-3.2200883747249942</v>
      </c>
      <c r="CQ764" s="526">
        <f>CQ729/(CQ704-CQ700)*100</f>
        <v>9.86303503790284</v>
      </c>
      <c r="CR764" s="98">
        <f t="shared" si="4770"/>
        <v>-5.423874451051292</v>
      </c>
      <c r="CS764" s="125">
        <f>CS729/(CS704-CS700)*100</f>
        <v>9.696343410265964</v>
      </c>
      <c r="CT764" s="98">
        <f t="shared" si="4770"/>
        <v>9.2307791702738839</v>
      </c>
      <c r="CU764" s="125">
        <f>CU729/(CU704-CU700)*100</f>
        <v>9.816458036674927</v>
      </c>
      <c r="CV764" s="98">
        <f t="shared" si="4771"/>
        <v>13.24052857154998</v>
      </c>
      <c r="CW764" s="125">
        <f>CW729/(CW704-CW700)*100</f>
        <v>10.317241196883302</v>
      </c>
      <c r="CX764" s="98">
        <f t="shared" si="4772"/>
        <v>13.905787796609491</v>
      </c>
      <c r="CY764" s="125">
        <f>CY729/(CY704-CY700)*100</f>
        <v>10.518597104343485</v>
      </c>
      <c r="CZ764" s="98">
        <f t="shared" si="4773"/>
        <v>6.6466565709375702</v>
      </c>
      <c r="DA764" s="125">
        <f>DA729/(DA704-DA700)*100</f>
        <v>10.717373808589462</v>
      </c>
      <c r="DB764" s="98">
        <f t="shared" si="4774"/>
        <v>10.53005607497861</v>
      </c>
      <c r="DC764" s="125">
        <f>DC729/(DC704-DC700)*100</f>
        <v>10.87827972960428</v>
      </c>
      <c r="DD764" s="98">
        <f t="shared" si="4775"/>
        <v>10.816749676536253</v>
      </c>
      <c r="DE764" s="125">
        <f>DE729/(DE704-DE700)*100</f>
        <v>10.525198697045548</v>
      </c>
      <c r="DF764" s="98">
        <f t="shared" si="4776"/>
        <v>2.0156308861429606</v>
      </c>
      <c r="DG764" s="125">
        <f>DG729/(DG704-DG700)*100</f>
        <v>10.738059863269374</v>
      </c>
      <c r="DH764" s="98">
        <f t="shared" si="4777"/>
        <v>2.0864261341017265</v>
      </c>
      <c r="DI764" s="125">
        <f>DI729/(DI704-DI700)*100</f>
        <v>10.834983585491862</v>
      </c>
      <c r="DJ764" s="98">
        <f t="shared" si="4778"/>
        <v>1.0973749633342189</v>
      </c>
      <c r="DK764" s="125">
        <f>DK729/(DK704-DK700)*100</f>
        <v>11.446744732962092</v>
      </c>
      <c r="DL764" s="98">
        <f t="shared" si="4779"/>
        <v>5.2256884129462611</v>
      </c>
      <c r="DM764" s="125">
        <f>DM729/(DM704-DM700)*100</f>
        <v>11.872700006653666</v>
      </c>
      <c r="DN764" s="98">
        <f t="shared" si="4780"/>
        <v>12.802621103831191</v>
      </c>
      <c r="DO764" s="125">
        <f>DO729/(DO704-DO700)*100</f>
        <v>12.018222956240123</v>
      </c>
      <c r="DP764" s="98">
        <f t="shared" si="4780"/>
        <v>11.921735483610751</v>
      </c>
      <c r="DQ764" s="125">
        <f>DQ729/(DQ704-DQ700)*100</f>
        <v>12.309534751419253</v>
      </c>
      <c r="DR764" s="98">
        <f t="shared" si="4780"/>
        <v>13.609168433829733</v>
      </c>
      <c r="DS764" s="125">
        <f>DS729/(DS704-DS700)*100</f>
        <v>12.396944204508408</v>
      </c>
      <c r="DT764" s="98">
        <f t="shared" si="4780"/>
        <v>8.301045351436187</v>
      </c>
      <c r="DU764" s="125">
        <f>DU729/(DU704-DU700)*100</f>
        <v>11.983618110589845</v>
      </c>
      <c r="DV764" s="98">
        <f t="shared" si="4780"/>
        <v>0.93422813575696484</v>
      </c>
      <c r="DW764" s="125">
        <f>DW729/(DW704-DW700)*100</f>
        <v>12.088763757885225</v>
      </c>
      <c r="DX764" s="98">
        <f t="shared" si="4780"/>
        <v>0.58694868535846823</v>
      </c>
      <c r="DY764" s="125">
        <f>DY729/(DY704-DY700)*100</f>
        <v>11.789844448107438</v>
      </c>
      <c r="DZ764" s="98">
        <f t="shared" si="4780"/>
        <v>-4.2218517093174146</v>
      </c>
      <c r="EA764" s="125">
        <f>EA729/(EA704-EA700)*100</f>
        <v>10.454507199847683</v>
      </c>
      <c r="EB764" s="98">
        <f t="shared" si="4781"/>
        <v>-15.668675865737281</v>
      </c>
      <c r="EC764" s="125">
        <f>EC729/(EC704-EC700)*100</f>
        <v>10.608701710570918</v>
      </c>
      <c r="ED764" s="98">
        <f t="shared" si="4782"/>
        <v>-11.473299527159686</v>
      </c>
      <c r="EE764" s="125">
        <f>EE729/(EE704-EE700)*100</f>
        <v>10.403800790723944</v>
      </c>
      <c r="EF764" s="860">
        <f t="shared" si="4783"/>
        <v>-13.93825705347429</v>
      </c>
      <c r="EG764" s="125">
        <f>EG729/(EG704-EG700)*100</f>
        <v>9.6035757253415177</v>
      </c>
      <c r="EH764" s="860">
        <f t="shared" si="4784"/>
        <v>-18.543660456155298</v>
      </c>
      <c r="EI764" s="125">
        <f>EI729/(EI704-EI700)*100</f>
        <v>9.5049899583316382</v>
      </c>
      <c r="EJ764" s="860">
        <f t="shared" si="4785"/>
        <v>-9.0823720656089684</v>
      </c>
      <c r="EK764" s="818">
        <f>EK729/(EK704-EK700)*100</f>
        <v>9.6136385722813777</v>
      </c>
      <c r="EL764" s="860">
        <f t="shared" si="4786"/>
        <v>-9.3796881601263316</v>
      </c>
      <c r="EM764" s="818">
        <f>EM729/(EM704-EM700)*100</f>
        <v>10.917086301719536</v>
      </c>
      <c r="EN764" s="860">
        <f t="shared" si="4787"/>
        <v>4.9336345564520823</v>
      </c>
      <c r="EO764" s="818">
        <f>EO729/(EO704-EO700)*100</f>
        <v>11.395809986968116</v>
      </c>
      <c r="EP764" s="98">
        <f t="shared" si="4788"/>
        <v>18.662155772847445</v>
      </c>
      <c r="EQ764" s="842">
        <f t="shared" ref="EQ764" si="4825">EQ729/(EQ704-EQ700)*100</f>
        <v>11.131361489273212</v>
      </c>
      <c r="ER764" s="98">
        <f t="shared" si="4790"/>
        <v>17.110712773725467</v>
      </c>
      <c r="ES764" s="842">
        <f t="shared" ref="ES764" si="4826">ES729/(ES704-ES700)*100</f>
        <v>11.043628091243175</v>
      </c>
      <c r="ET764" s="98">
        <f t="shared" si="4792"/>
        <v>14.874592051804703</v>
      </c>
      <c r="EU764" s="842">
        <f t="shared" ref="EU764" si="4827">EU729/(EU704-EU700)*100</f>
        <v>10.979380198556886</v>
      </c>
      <c r="EV764" s="98">
        <f t="shared" si="4794"/>
        <v>0.57060918193472254</v>
      </c>
      <c r="EW764" s="842">
        <f t="shared" ref="EW764" si="4828">EW729/(EW704-EW700)*100</f>
        <v>10.91338987118619</v>
      </c>
      <c r="EX764" s="98">
        <f t="shared" si="4796"/>
        <v>-4.2333113340219386</v>
      </c>
      <c r="EY764" s="289"/>
      <c r="EZ764" s="594"/>
      <c r="FA764" s="405"/>
      <c r="FB764" s="289">
        <f>FB729/(FB704-FB700)*100</f>
        <v>9.4533246862243931</v>
      </c>
      <c r="FC764" s="98"/>
      <c r="FD764" s="289">
        <f>FD729/(FD704-FD700)*100</f>
        <v>8.4468110049175369</v>
      </c>
      <c r="FE764" s="98">
        <f t="shared" si="4797"/>
        <v>-10.647192545640284</v>
      </c>
      <c r="FF764" s="289">
        <f>FF729/(FF704-FF700)*100</f>
        <v>8.8700424315898871</v>
      </c>
      <c r="FG764" s="98">
        <f t="shared" si="4798"/>
        <v>5.0105468966448408</v>
      </c>
      <c r="FH764" s="289">
        <f>FH729/(FH704-FH700)*100</f>
        <v>8.268470471954533</v>
      </c>
      <c r="FI764" s="98">
        <f t="shared" si="4799"/>
        <v>-6.7820640574717821</v>
      </c>
      <c r="FJ764" s="289">
        <f>FJ729/(FJ704-FJ700)*100</f>
        <v>7.9845498844915559</v>
      </c>
      <c r="FK764" s="98">
        <f t="shared" si="4800"/>
        <v>-3.4337739782223986</v>
      </c>
      <c r="FL764" s="289">
        <f>FL729/(FL704-FL700)*100</f>
        <v>8.4230439890873612</v>
      </c>
      <c r="FM764" s="98">
        <f t="shared" si="4801"/>
        <v>5.4917823914845343</v>
      </c>
      <c r="FN764" s="289">
        <f>FN729/(FN704-FN700)*100</f>
        <v>8.45211247264284</v>
      </c>
      <c r="FO764" s="98">
        <f t="shared" si="4802"/>
        <v>0.34510663357734117</v>
      </c>
      <c r="FP764" s="289">
        <f>FP729/(FP704-FP700)*100</f>
        <v>8.235766904674982</v>
      </c>
      <c r="FQ764" s="98">
        <f t="shared" si="4803"/>
        <v>-2.5596626721202442</v>
      </c>
      <c r="FR764" s="289">
        <f>FR729/(FR704-FR700)*100</f>
        <v>8.8164862397287074</v>
      </c>
      <c r="FS764" s="98">
        <f t="shared" si="4804"/>
        <v>7.0511871180336971</v>
      </c>
      <c r="FT764" s="289">
        <f>FT729/(FT704-FT700)*100</f>
        <v>8.816924565281683</v>
      </c>
      <c r="FU764" s="98">
        <f t="shared" si="4805"/>
        <v>4.9716581079772837E-3</v>
      </c>
      <c r="FV764" s="289">
        <f>FV729/(FV704-FV700)*100</f>
        <v>6.2320298078715677</v>
      </c>
      <c r="FW764" s="98">
        <f t="shared" si="4806"/>
        <v>-29.317419450185955</v>
      </c>
      <c r="FX764" s="526">
        <f>FX729/(FX704-FX700)*100</f>
        <v>8.4866234661378055</v>
      </c>
      <c r="FY764" s="98">
        <f t="shared" si="4807"/>
        <v>36.177517241950618</v>
      </c>
      <c r="FZ764" s="289">
        <f>FZ729/(FZ704-FZ700)*100</f>
        <v>8.8769333002292932</v>
      </c>
      <c r="GA764" s="98">
        <f t="shared" si="4808"/>
        <v>4.5991180785721175</v>
      </c>
      <c r="GB764" s="526">
        <f>GB729/(GB704-GB700)*100</f>
        <v>9.696343410265964</v>
      </c>
      <c r="GC764" s="98">
        <f t="shared" si="4809"/>
        <v>9.2307791702738839</v>
      </c>
      <c r="GD764" s="289">
        <f>GD729/(GD704-GD700)*100</f>
        <v>10.717373808589462</v>
      </c>
      <c r="GE764" s="98">
        <f t="shared" si="4810"/>
        <v>10.53005607497861</v>
      </c>
      <c r="GF764" s="289">
        <f>GF729/(GF704-GF700)*100</f>
        <v>10.834983585491862</v>
      </c>
      <c r="GG764" s="98">
        <f t="shared" si="4810"/>
        <v>1.0973749633342189</v>
      </c>
      <c r="GH764" s="289">
        <f>GH729/(GH704-GH700)*100</f>
        <v>12.309534751419253</v>
      </c>
      <c r="GI764" s="98">
        <f t="shared" si="4810"/>
        <v>13.609168433829733</v>
      </c>
      <c r="GJ764" s="289">
        <f>GJ729/(GJ704-GJ700)*100</f>
        <v>11.789844448107438</v>
      </c>
      <c r="GK764" s="98">
        <f t="shared" si="4810"/>
        <v>-4.2218517093174146</v>
      </c>
      <c r="GL764" s="289">
        <f>GL729/(GL704-GL700)*100</f>
        <v>9.6035757253415177</v>
      </c>
      <c r="GM764" s="98">
        <f t="shared" si="4810"/>
        <v>-18.543660456155298</v>
      </c>
      <c r="GN764" s="289">
        <f>GN729/(GN704-GN700)*100</f>
        <v>11.395809986968116</v>
      </c>
      <c r="GO764" s="98">
        <f t="shared" si="4810"/>
        <v>18.662155772847445</v>
      </c>
      <c r="GP764" s="289">
        <f>GP729/(GP704-GP700)*100</f>
        <v>10.91338987118619</v>
      </c>
      <c r="GQ764" s="98">
        <f t="shared" si="4810"/>
        <v>-4.2333113340219386</v>
      </c>
      <c r="GR764" s="289">
        <f>GR729/(GR704-GR700)*100</f>
        <v>10.731460327402617</v>
      </c>
      <c r="GS764" s="98">
        <f t="shared" si="4810"/>
        <v>-1.6670305554088882</v>
      </c>
      <c r="GT764" s="289">
        <f>GT729/(GT704-GT700)*100</f>
        <v>10.576274148961183</v>
      </c>
      <c r="GU764" s="98">
        <f t="shared" si="4810"/>
        <v>-1.4460863079852171</v>
      </c>
      <c r="GV764" s="289">
        <f>GV729/(GV704-GV700)*100</f>
        <v>10.438245426760838</v>
      </c>
      <c r="GW764" s="98">
        <f t="shared" si="4810"/>
        <v>-1.3050788988284823</v>
      </c>
      <c r="GX764" s="289">
        <f>GX729/(GX704-GX700)*100</f>
        <v>10.307934032336529</v>
      </c>
      <c r="GY764" s="98">
        <f t="shared" si="4811"/>
        <v>-1.2484032430414627</v>
      </c>
      <c r="GZ764" s="98">
        <f t="shared" si="4812"/>
        <v>-1.9866380266202688</v>
      </c>
      <c r="HA764" s="98"/>
      <c r="HB764" s="10"/>
      <c r="HC764"/>
      <c r="HD764"/>
      <c r="HE764"/>
      <c r="HF764"/>
      <c r="HG764"/>
      <c r="HH764"/>
      <c r="HI764" s="10"/>
    </row>
    <row r="765" spans="1:217" s="2" customFormat="1" ht="12.75" customHeight="1" x14ac:dyDescent="0.2">
      <c r="A765" s="387"/>
      <c r="B765" s="179" t="s">
        <v>334</v>
      </c>
      <c r="C765" s="26">
        <f>C729/C704*100</f>
        <v>5.4739736299443855</v>
      </c>
      <c r="D765" s="98"/>
      <c r="E765" s="26">
        <f>E729/E704*100</f>
        <v>5.7164720886883149</v>
      </c>
      <c r="F765" s="98"/>
      <c r="G765" s="26">
        <f>G729/G704*100</f>
        <v>5.9058833581240364</v>
      </c>
      <c r="H765" s="98"/>
      <c r="I765" s="26">
        <f>I729/I704*100</f>
        <v>6.4266051808107667</v>
      </c>
      <c r="J765" s="98"/>
      <c r="K765" s="26">
        <f>K729/K704*100</f>
        <v>6.6972505941045934</v>
      </c>
      <c r="L765" s="98">
        <f t="shared" si="4729"/>
        <v>22.347147554173286</v>
      </c>
      <c r="M765" s="26">
        <f>M729/M704*100</f>
        <v>6.5773881926406084</v>
      </c>
      <c r="N765" s="98">
        <f t="shared" si="4730"/>
        <v>15.060269526302129</v>
      </c>
      <c r="O765" s="26">
        <f>O729/O704*100</f>
        <v>6.7178868499587274</v>
      </c>
      <c r="P765" s="98">
        <f t="shared" si="4731"/>
        <v>13.749060768660669</v>
      </c>
      <c r="Q765" s="26">
        <f>Q729/Q704*100</f>
        <v>6.2505350819161771</v>
      </c>
      <c r="R765" s="98">
        <f t="shared" si="4732"/>
        <v>-2.739706173646983</v>
      </c>
      <c r="S765" s="26">
        <f>S729/S704*100</f>
        <v>5.9205441335600559</v>
      </c>
      <c r="T765" s="98">
        <f t="shared" si="4733"/>
        <v>-11.597392835027719</v>
      </c>
      <c r="U765" s="26">
        <f>U729/U704*100</f>
        <v>6.1787410585457145</v>
      </c>
      <c r="V765" s="98">
        <f t="shared" si="4734"/>
        <v>-6.0608728330941002</v>
      </c>
      <c r="W765" s="26">
        <f>W729/W704*100</f>
        <v>6.3708976410853326</v>
      </c>
      <c r="X765" s="98">
        <f t="shared" si="4735"/>
        <v>-5.165154112048298</v>
      </c>
      <c r="Y765" s="26">
        <f>Y729/Y704*100</f>
        <v>6.266535941115829</v>
      </c>
      <c r="Z765" s="98">
        <f t="shared" si="4736"/>
        <v>0.25599183093851785</v>
      </c>
      <c r="AA765" s="26">
        <f>AA729/AA704*100</f>
        <v>6.287074535936596</v>
      </c>
      <c r="AB765" s="98">
        <f t="shared" si="4737"/>
        <v>6.1908229059369102</v>
      </c>
      <c r="AC765" s="26">
        <f>AC729/AC704*100</f>
        <v>6.656402708652065</v>
      </c>
      <c r="AD765" s="98">
        <f t="shared" si="4738"/>
        <v>7.7307277579743205</v>
      </c>
      <c r="AE765" s="26">
        <f>AE729/AE704*100</f>
        <v>6.6368661165840699</v>
      </c>
      <c r="AF765" s="98">
        <f t="shared" si="4739"/>
        <v>4.1747409938519553</v>
      </c>
      <c r="AG765" s="26">
        <f>AG729/AG704*100</f>
        <v>6.4707304163186379</v>
      </c>
      <c r="AH765" s="98">
        <f t="shared" si="4740"/>
        <v>3.2584904502510392</v>
      </c>
      <c r="AI765" s="218">
        <f>AI729/AI704*100</f>
        <v>6.6311982030366785</v>
      </c>
      <c r="AJ765" s="98">
        <f t="shared" si="4741"/>
        <v>5.4735102174006345</v>
      </c>
      <c r="AK765" s="218">
        <f>AK729/AK704*100</f>
        <v>6.3305444777108502</v>
      </c>
      <c r="AL765" s="98">
        <f t="shared" si="4742"/>
        <v>-4.8954104071507132</v>
      </c>
      <c r="AM765" s="218">
        <f>AM729/AM704*100</f>
        <v>6.6367782954962342</v>
      </c>
      <c r="AN765" s="98">
        <f t="shared" si="4743"/>
        <v>-1.3232312705002691E-3</v>
      </c>
      <c r="AO765" s="218">
        <f>AO729/AO704*100</f>
        <v>6.3967175623864936</v>
      </c>
      <c r="AP765" s="98">
        <f t="shared" si="4744"/>
        <v>-1.1438098818873699</v>
      </c>
      <c r="AQ765" s="218">
        <f>AQ729/AQ704*100</f>
        <v>6.3523138050740195</v>
      </c>
      <c r="AR765" s="98">
        <f t="shared" si="4745"/>
        <v>-4.2056411137725735</v>
      </c>
      <c r="AS765" s="218">
        <f>AS729/AS704*100</f>
        <v>7.3856084062386129</v>
      </c>
      <c r="AT765" s="98">
        <f t="shared" si="4746"/>
        <v>16.666243041850937</v>
      </c>
      <c r="AU765" s="218">
        <f>AU729/AU704*100</f>
        <v>5.9560622096479223</v>
      </c>
      <c r="AV765" s="98">
        <f t="shared" si="4747"/>
        <v>-10.256724807430295</v>
      </c>
      <c r="AW765" s="218">
        <f>AW729/AW704*100</f>
        <v>6.0473631493418782</v>
      </c>
      <c r="AX765" s="98">
        <f t="shared" si="4748"/>
        <v>-5.4614637841580382</v>
      </c>
      <c r="AY765" s="125">
        <f>AY729/AY704*100</f>
        <v>5.723679728792912</v>
      </c>
      <c r="AZ765" s="98">
        <f t="shared" si="4749"/>
        <v>-9.8961432884341338</v>
      </c>
      <c r="BA765" s="125">
        <f>BA729/BA704*100</f>
        <v>5.5328249767641742</v>
      </c>
      <c r="BB765" s="98">
        <f t="shared" si="4750"/>
        <v>-25.086402196864309</v>
      </c>
      <c r="BC765" s="125">
        <f>BC729/BC704*100</f>
        <v>6.1237615898145243</v>
      </c>
      <c r="BD765" s="98">
        <f t="shared" si="4751"/>
        <v>2.8156082704266394</v>
      </c>
      <c r="BE765" s="125">
        <f>BE729/BE704*100</f>
        <v>6.4045933884767345</v>
      </c>
      <c r="BF765" s="98">
        <f t="shared" si="4752"/>
        <v>5.9072066669872969</v>
      </c>
      <c r="BG765" s="125">
        <f>BG729/BG704*100</f>
        <v>6.3347768445674957</v>
      </c>
      <c r="BH765" s="98">
        <f t="shared" si="4753"/>
        <v>10.676647624088154</v>
      </c>
      <c r="BI765" s="125">
        <f>BI729/BI704*100</f>
        <v>6.0725997350533145</v>
      </c>
      <c r="BJ765" s="98">
        <f t="shared" si="4754"/>
        <v>9.7558617985567189</v>
      </c>
      <c r="BK765" s="125">
        <f>BK729/BK704*100</f>
        <v>6.1650981561129328</v>
      </c>
      <c r="BL765" s="98">
        <f t="shared" si="4755"/>
        <v>0.67501919681463018</v>
      </c>
      <c r="BM765" s="125">
        <f>BM729/BM704*100</f>
        <v>6.2916714359297199</v>
      </c>
      <c r="BN765" s="98">
        <f t="shared" si="4756"/>
        <v>-1.7631400730323654</v>
      </c>
      <c r="BO765" s="125">
        <f>BO729/BO704*100</f>
        <v>6.7151938918373331</v>
      </c>
      <c r="BP765" s="98">
        <f t="shared" si="4757"/>
        <v>6.0052162310353596</v>
      </c>
      <c r="BQ765" s="125">
        <f>BQ729/BQ704*100</f>
        <v>5.8477335786885947</v>
      </c>
      <c r="BR765" s="98">
        <f t="shared" si="4758"/>
        <v>-3.7029635769785463</v>
      </c>
      <c r="BS765" s="125">
        <f>BS729/BS704*100</f>
        <v>5.3389677701518075</v>
      </c>
      <c r="BT765" s="98">
        <f t="shared" si="4759"/>
        <v>-13.400117322414163</v>
      </c>
      <c r="BU765" s="125">
        <f>BU729/BU704*100</f>
        <v>4.7309230223370369</v>
      </c>
      <c r="BV765" s="98">
        <f t="shared" si="4760"/>
        <v>-24.806578498040267</v>
      </c>
      <c r="BW765" s="125">
        <f>BW729/BW704*100</f>
        <v>4.7028131410152056</v>
      </c>
      <c r="BX765" s="98">
        <f t="shared" si="4761"/>
        <v>-29.967574774993178</v>
      </c>
      <c r="BY765" s="125">
        <f>BY729/BY704*100</f>
        <v>5.357272547045187</v>
      </c>
      <c r="BZ765" s="98">
        <f t="shared" si="4762"/>
        <v>-8.3871986478802221</v>
      </c>
      <c r="CA765" s="125">
        <f>CA729/CA704*100</f>
        <v>6.4029357688455733</v>
      </c>
      <c r="CB765" s="98">
        <f t="shared" si="4763"/>
        <v>19.928346536235274</v>
      </c>
      <c r="CC765" s="125">
        <f>CC729/CC704*100</f>
        <v>6.1413202698242584</v>
      </c>
      <c r="CD765" s="98">
        <f t="shared" si="4764"/>
        <v>29.812305988240251</v>
      </c>
      <c r="CE765" s="125">
        <f>CE729/CE704*100</f>
        <v>6.3318869946213177</v>
      </c>
      <c r="CF765" s="98">
        <f t="shared" si="4765"/>
        <v>34.640412126909226</v>
      </c>
      <c r="CG765" s="125">
        <f>CG729/CG704*100</f>
        <v>6.8608677015614035</v>
      </c>
      <c r="CH765" s="98">
        <f t="shared" si="4766"/>
        <v>28.066430096888141</v>
      </c>
      <c r="CI765" s="125">
        <f>CI729/CI704*100</f>
        <v>7.5195826684271498</v>
      </c>
      <c r="CJ765" s="98">
        <f t="shared" si="4767"/>
        <v>17.439608015666597</v>
      </c>
      <c r="CK765" s="125">
        <f>CK729/CK704*100</f>
        <v>6.6527022626712604</v>
      </c>
      <c r="CL765" s="98">
        <f t="shared" si="4768"/>
        <v>8.3269064367104804</v>
      </c>
      <c r="CM765" s="125">
        <f>CM729/CM704*100</f>
        <v>6.3996536972362588</v>
      </c>
      <c r="CN765" s="98">
        <f t="shared" si="4769"/>
        <v>1.0702449786691659</v>
      </c>
      <c r="CO765" s="125">
        <f>CO729/CO704*100</f>
        <v>6.6722016755981581</v>
      </c>
      <c r="CP765" s="98">
        <f t="shared" si="4770"/>
        <v>-2.7498857895235096</v>
      </c>
      <c r="CQ765" s="526">
        <f>CQ729/CQ704*100</f>
        <v>7.4480109655179465</v>
      </c>
      <c r="CR765" s="98">
        <f t="shared" si="4770"/>
        <v>-0.95180419000797656</v>
      </c>
      <c r="CS765" s="125">
        <f>CS729/CS704*100</f>
        <v>7.2239540030091964</v>
      </c>
      <c r="CT765" s="98">
        <f t="shared" si="4770"/>
        <v>8.5867624580655999</v>
      </c>
      <c r="CU765" s="125">
        <f>CU729/CU704*100</f>
        <v>7.1578469602393353</v>
      </c>
      <c r="CV765" s="98">
        <f t="shared" si="4771"/>
        <v>11.84741079553271</v>
      </c>
      <c r="CW765" s="125">
        <f>CW729/CW704*100</f>
        <v>7.5626402710655034</v>
      </c>
      <c r="CX765" s="98">
        <f t="shared" si="4772"/>
        <v>13.345498813740786</v>
      </c>
      <c r="CY765" s="125">
        <f>CY729/CY704*100</f>
        <v>7.5682541933273075</v>
      </c>
      <c r="CZ765" s="98">
        <f t="shared" si="4773"/>
        <v>1.6144340867118911</v>
      </c>
      <c r="DA765" s="125">
        <f>DA729/DA704*100</f>
        <v>7.7024932449470045</v>
      </c>
      <c r="DB765" s="98">
        <f t="shared" si="4774"/>
        <v>6.6243395478220002</v>
      </c>
      <c r="DC765" s="125">
        <f>DC729/DC704*100</f>
        <v>7.6572589507951321</v>
      </c>
      <c r="DD765" s="98">
        <f t="shared" si="4775"/>
        <v>6.9771258498532829</v>
      </c>
      <c r="DE765" s="125">
        <f>DE729/DE704*100</f>
        <v>7.3563559415542228</v>
      </c>
      <c r="DF765" s="98">
        <f t="shared" si="4776"/>
        <v>-2.7276760776328346</v>
      </c>
      <c r="DG765" s="125">
        <f>DG729/DG704*100</f>
        <v>7.4062503418858476</v>
      </c>
      <c r="DH765" s="98">
        <f t="shared" si="4777"/>
        <v>-2.1405709600014977</v>
      </c>
      <c r="DI765" s="125">
        <f>DI729/DI704*100</f>
        <v>6.952815781388372</v>
      </c>
      <c r="DJ765" s="98">
        <f t="shared" si="4778"/>
        <v>-9.7329194550145992</v>
      </c>
      <c r="DK765" s="125">
        <f>DK729/DK704*100</f>
        <v>7.3810504622837723</v>
      </c>
      <c r="DL765" s="98">
        <f t="shared" si="4779"/>
        <v>-3.6071457199795764</v>
      </c>
      <c r="DM765" s="125">
        <f>DM729/DM704*100</f>
        <v>7.6379620686627447</v>
      </c>
      <c r="DN765" s="98">
        <f t="shared" si="4780"/>
        <v>3.828065544215975</v>
      </c>
      <c r="DO765" s="125">
        <f>DO729/DO704*100</f>
        <v>7.7925265262863643</v>
      </c>
      <c r="DP765" s="98">
        <f t="shared" si="4780"/>
        <v>5.2155431773071692</v>
      </c>
      <c r="DQ765" s="125">
        <f>DQ729/DQ704*100</f>
        <v>7.9851541053952131</v>
      </c>
      <c r="DR765" s="98">
        <f t="shared" si="4780"/>
        <v>14.847773283023734</v>
      </c>
      <c r="DS765" s="125">
        <f>DS729/DS704*100</f>
        <v>8.0203089835723365</v>
      </c>
      <c r="DT765" s="98">
        <f t="shared" si="4780"/>
        <v>8.6608068127307156</v>
      </c>
      <c r="DU765" s="125">
        <f>DU729/DU704*100</f>
        <v>7.7222067009569146</v>
      </c>
      <c r="DV765" s="98">
        <f t="shared" si="4780"/>
        <v>1.1029726455412892</v>
      </c>
      <c r="DW765" s="125">
        <f>DW729/DW704*100</f>
        <v>7.9893706230310721</v>
      </c>
      <c r="DX765" s="98">
        <f t="shared" si="4780"/>
        <v>2.5260625816376558</v>
      </c>
      <c r="DY765" s="125">
        <f>DY729/DY704*100</f>
        <v>7.7396566708393468</v>
      </c>
      <c r="DZ765" s="98">
        <f t="shared" si="4780"/>
        <v>-3.0744232523952753</v>
      </c>
      <c r="EA765" s="125">
        <f>EA729/EA704*100</f>
        <v>8.2595037430730258</v>
      </c>
      <c r="EB765" s="98">
        <f t="shared" si="4781"/>
        <v>2.9823633976025388</v>
      </c>
      <c r="EC765" s="125">
        <f>EC729/EC704*100</f>
        <v>8.4003577464519772</v>
      </c>
      <c r="ED765" s="98">
        <f t="shared" si="4782"/>
        <v>8.7818297509574261</v>
      </c>
      <c r="EE765" s="125">
        <f>EE729/EE704*100</f>
        <v>8.2155180374938084</v>
      </c>
      <c r="EF765" s="860">
        <f t="shared" si="4783"/>
        <v>2.8306036249065469</v>
      </c>
      <c r="EG765" s="125">
        <f>EG729/EG704*100</f>
        <v>7.5137633461064306</v>
      </c>
      <c r="EH765" s="860">
        <f t="shared" si="4784"/>
        <v>-2.9186478721209053</v>
      </c>
      <c r="EI765" s="125">
        <f>EI729/EI704*100</f>
        <v>7.4042814645884327</v>
      </c>
      <c r="EJ765" s="860">
        <f t="shared" si="4785"/>
        <v>-10.354402698852693</v>
      </c>
      <c r="EK765" s="818">
        <f>EK729/EK704*100</f>
        <v>7.4846600569174848</v>
      </c>
      <c r="EL765" s="860">
        <f t="shared" si="4786"/>
        <v>-10.900698722280634</v>
      </c>
      <c r="EM765" s="818">
        <f>EM729/EM704*100</f>
        <v>7.835228968168602</v>
      </c>
      <c r="EN765" s="860">
        <f t="shared" si="4787"/>
        <v>-4.6289116229755845</v>
      </c>
      <c r="EO765" s="818">
        <f>EO729/EO704*100</f>
        <v>8.1506670445011196</v>
      </c>
      <c r="EP765" s="98">
        <f t="shared" si="4788"/>
        <v>8.4764939891902138</v>
      </c>
      <c r="EQ765" s="842">
        <f t="shared" ref="EQ765" si="4829">EQ729/EQ704*100</f>
        <v>7.9990524224423893</v>
      </c>
      <c r="ER765" s="98">
        <f t="shared" si="4790"/>
        <v>8.0327977900150884</v>
      </c>
      <c r="ES765" s="842">
        <f t="shared" ref="ES765" si="4830">ES729/ES704*100</f>
        <v>8.0283849775996821</v>
      </c>
      <c r="ET765" s="98">
        <f t="shared" si="4792"/>
        <v>7.2645239269039985</v>
      </c>
      <c r="EU765" s="842">
        <f t="shared" ref="EU765" si="4831">EU729/EU704*100</f>
        <v>8.047719233332943</v>
      </c>
      <c r="EV765" s="98">
        <f t="shared" si="4794"/>
        <v>2.7119853935041904</v>
      </c>
      <c r="EW765" s="842">
        <f t="shared" ref="EW765" si="4832">EW729/EW704*100</f>
        <v>8.0626479190226057</v>
      </c>
      <c r="EX765" s="98">
        <f t="shared" si="4796"/>
        <v>-1.079900884160101</v>
      </c>
      <c r="EY765" s="289"/>
      <c r="EZ765" s="601"/>
      <c r="FA765" s="411"/>
      <c r="FB765" s="289">
        <f>FB729/FB704*100</f>
        <v>6.9042378312111667</v>
      </c>
      <c r="FC765" s="233"/>
      <c r="FD765" s="289">
        <f>FD729/FD704*100</f>
        <v>6.0304650814487211</v>
      </c>
      <c r="FE765" s="233">
        <f t="shared" si="4797"/>
        <v>-12.655600388104904</v>
      </c>
      <c r="FF765" s="289">
        <f>FF729/FF704*100</f>
        <v>6.4266051808107667</v>
      </c>
      <c r="FG765" s="98">
        <f t="shared" si="4798"/>
        <v>6.5689808996768129</v>
      </c>
      <c r="FH765" s="289">
        <f>FH729/FH704*100</f>
        <v>6.2505350819161771</v>
      </c>
      <c r="FI765" s="98">
        <f t="shared" si="4799"/>
        <v>-2.739706173646983</v>
      </c>
      <c r="FJ765" s="289">
        <f>FJ729/FJ704*100</f>
        <v>6.266535941115829</v>
      </c>
      <c r="FK765" s="98">
        <f t="shared" si="4800"/>
        <v>0.25599183093851785</v>
      </c>
      <c r="FL765" s="289">
        <f>FL729/FL704*100</f>
        <v>6.4707304163186379</v>
      </c>
      <c r="FM765" s="98">
        <f t="shared" si="4801"/>
        <v>3.2584904502510392</v>
      </c>
      <c r="FN765" s="289">
        <f>FN729/FN704*100</f>
        <v>6.3967175623864936</v>
      </c>
      <c r="FO765" s="98">
        <f t="shared" si="4802"/>
        <v>-1.1438098818873699</v>
      </c>
      <c r="FP765" s="289">
        <f>FP729/FP704*100</f>
        <v>6.0473631493418782</v>
      </c>
      <c r="FQ765" s="98">
        <f t="shared" si="4803"/>
        <v>-5.4614637841580382</v>
      </c>
      <c r="FR765" s="289">
        <f>FR729/FR704*100</f>
        <v>6.4045933884767345</v>
      </c>
      <c r="FS765" s="98">
        <f t="shared" si="4804"/>
        <v>5.9072066669872969</v>
      </c>
      <c r="FT765" s="289">
        <f>FT729/FT704*100</f>
        <v>6.2916714359297199</v>
      </c>
      <c r="FU765" s="98">
        <f t="shared" si="4805"/>
        <v>-1.7631400730323654</v>
      </c>
      <c r="FV765" s="289">
        <f>FV729/FV704*100</f>
        <v>4.7309230223370369</v>
      </c>
      <c r="FW765" s="98">
        <f t="shared" si="4806"/>
        <v>-24.806578498040267</v>
      </c>
      <c r="FX765" s="526">
        <f>FX729/FX704*100</f>
        <v>6.1413202698242584</v>
      </c>
      <c r="FY765" s="98">
        <f t="shared" si="4807"/>
        <v>29.812305988240251</v>
      </c>
      <c r="FZ765" s="289">
        <f>FZ729/FZ704*100</f>
        <v>6.6527022626712604</v>
      </c>
      <c r="GA765" s="98">
        <f t="shared" si="4808"/>
        <v>8.3269064367104804</v>
      </c>
      <c r="GB765" s="526">
        <f>GB729/GB704*100</f>
        <v>7.2239540030091964</v>
      </c>
      <c r="GC765" s="98">
        <f t="shared" si="4809"/>
        <v>8.5867624580655999</v>
      </c>
      <c r="GD765" s="289">
        <f>GD729/GD704*100</f>
        <v>7.7024932449470045</v>
      </c>
      <c r="GE765" s="98">
        <f t="shared" si="4810"/>
        <v>6.6243395478220002</v>
      </c>
      <c r="GF765" s="289">
        <f>GF729/GF704*100</f>
        <v>6.952815781388372</v>
      </c>
      <c r="GG765" s="98">
        <f t="shared" si="4810"/>
        <v>-9.7329194550145992</v>
      </c>
      <c r="GH765" s="289">
        <f>GH729/GH704*100</f>
        <v>7.9851541053952131</v>
      </c>
      <c r="GI765" s="98">
        <f t="shared" si="4810"/>
        <v>14.847773283023734</v>
      </c>
      <c r="GJ765" s="289">
        <f>GJ729/GJ704*100</f>
        <v>7.7396566708393468</v>
      </c>
      <c r="GK765" s="98">
        <f t="shared" si="4810"/>
        <v>-3.0744232523952753</v>
      </c>
      <c r="GL765" s="289">
        <f>GL729/GL704*100</f>
        <v>7.5137633461064306</v>
      </c>
      <c r="GM765" s="98">
        <f t="shared" si="4810"/>
        <v>-2.9186478721209053</v>
      </c>
      <c r="GN765" s="289">
        <f>GN729/GN704*100</f>
        <v>8.1506670445011196</v>
      </c>
      <c r="GO765" s="98">
        <f t="shared" si="4810"/>
        <v>8.4764939891902138</v>
      </c>
      <c r="GP765" s="289">
        <f>GP729/GP704*100</f>
        <v>8.0626479190226057</v>
      </c>
      <c r="GQ765" s="98">
        <f t="shared" si="4810"/>
        <v>-1.079900884160101</v>
      </c>
      <c r="GR765" s="289">
        <f>GR729/GR704*100</f>
        <v>8.1872911857330433</v>
      </c>
      <c r="GS765" s="98">
        <f t="shared" si="4810"/>
        <v>1.5459346353988712</v>
      </c>
      <c r="GT765" s="289">
        <f>GT729/GT704*100</f>
        <v>8.3078938243042462</v>
      </c>
      <c r="GU765" s="98">
        <f t="shared" si="4810"/>
        <v>1.473046894696517</v>
      </c>
      <c r="GV765" s="289">
        <f>GV729/GV704*100</f>
        <v>8.4062436302797376</v>
      </c>
      <c r="GW765" s="98">
        <f t="shared" si="4810"/>
        <v>1.1838115418347561</v>
      </c>
      <c r="GX765" s="289">
        <f>GX729/GX704*100</f>
        <v>8.4781623888949671</v>
      </c>
      <c r="GY765" s="98">
        <f t="shared" si="4811"/>
        <v>0.85553978421675225</v>
      </c>
      <c r="GZ765" s="98">
        <f t="shared" si="4812"/>
        <v>0.7909910759709371</v>
      </c>
      <c r="HA765" s="98"/>
      <c r="HB765" s="10"/>
      <c r="HC765"/>
      <c r="HD765"/>
      <c r="HE765"/>
      <c r="HF765"/>
      <c r="HG765"/>
      <c r="HH765"/>
      <c r="HI765" s="10"/>
    </row>
    <row r="766" spans="1:217" s="2" customFormat="1" ht="12.75" customHeight="1" x14ac:dyDescent="0.2">
      <c r="A766" s="10" t="s">
        <v>301</v>
      </c>
      <c r="B766" s="179" t="s">
        <v>336</v>
      </c>
      <c r="C766" s="218">
        <f>C731/C687</f>
        <v>17.827524802849148</v>
      </c>
      <c r="D766" s="98"/>
      <c r="E766" s="218">
        <f>E731/E687</f>
        <v>18.673247019612869</v>
      </c>
      <c r="F766" s="98"/>
      <c r="G766" s="218">
        <f>G731/G687</f>
        <v>19.281095473564093</v>
      </c>
      <c r="H766" s="218"/>
      <c r="I766" s="218">
        <f>I731/I687</f>
        <v>20.753450677472458</v>
      </c>
      <c r="J766" s="98"/>
      <c r="K766" s="218">
        <f>K731/K687</f>
        <v>21.675792690691456</v>
      </c>
      <c r="L766" s="98">
        <f t="shared" si="4729"/>
        <v>21.586103120873457</v>
      </c>
      <c r="M766" s="218">
        <f>M731/M687</f>
        <v>21.63246870563944</v>
      </c>
      <c r="N766" s="98">
        <f t="shared" si="4730"/>
        <v>15.847386814507637</v>
      </c>
      <c r="O766" s="218">
        <f>O731/O687</f>
        <v>22.238570677877036</v>
      </c>
      <c r="P766" s="98">
        <f t="shared" si="4731"/>
        <v>15.338730148231861</v>
      </c>
      <c r="Q766" s="218">
        <f>Q731/Q687</f>
        <v>21.502008032128515</v>
      </c>
      <c r="R766" s="98">
        <f t="shared" si="4732"/>
        <v>3.6069055035199638</v>
      </c>
      <c r="S766" s="218">
        <f>S731/S687</f>
        <v>20.716700473292764</v>
      </c>
      <c r="T766" s="98">
        <f t="shared" si="4733"/>
        <v>-4.4247157697285378</v>
      </c>
      <c r="U766" s="218">
        <f>U731/U687</f>
        <v>21.997547349775175</v>
      </c>
      <c r="V766" s="98">
        <f t="shared" si="4734"/>
        <v>1.6876420768405564</v>
      </c>
      <c r="W766" s="218">
        <f>W731/W687</f>
        <v>23.62944513629445</v>
      </c>
      <c r="X766" s="98">
        <f t="shared" si="4735"/>
        <v>6.2543338713807684</v>
      </c>
      <c r="Y766" s="218">
        <f>Y731/Y687</f>
        <v>24.115688722430296</v>
      </c>
      <c r="Z766" s="98">
        <f t="shared" si="4736"/>
        <v>12.155519086386679</v>
      </c>
      <c r="AA766" s="218">
        <f>AA731/AA687</f>
        <v>24.970930232558139</v>
      </c>
      <c r="AB766" s="98">
        <f t="shared" si="4737"/>
        <v>20.535267016819493</v>
      </c>
      <c r="AC766" s="218">
        <f>AC731/AC687</f>
        <v>28.200464925475185</v>
      </c>
      <c r="AD766" s="98">
        <f t="shared" si="4738"/>
        <v>28.198223543150625</v>
      </c>
      <c r="AE766" s="218">
        <f>AE731/AE687</f>
        <v>27.474043895387041</v>
      </c>
      <c r="AF766" s="98">
        <f t="shared" si="4739"/>
        <v>16.270372566587898</v>
      </c>
      <c r="AG766" s="218">
        <f>AG731/AG687</f>
        <v>27.780112964665705</v>
      </c>
      <c r="AH766" s="98">
        <f t="shared" si="4740"/>
        <v>15.195188013963223</v>
      </c>
      <c r="AI766" s="218">
        <f>AI731/AI687</f>
        <v>29.393660397211629</v>
      </c>
      <c r="AJ766" s="98">
        <f t="shared" si="4741"/>
        <v>17.711515444013969</v>
      </c>
      <c r="AK766" s="218">
        <f>AK731/AK687</f>
        <v>28.229551451187334</v>
      </c>
      <c r="AL766" s="98">
        <f t="shared" si="4742"/>
        <v>0.10314200772580939</v>
      </c>
      <c r="AM766" s="218">
        <f>AM731/AM687</f>
        <v>30.495088930183172</v>
      </c>
      <c r="AN766" s="98">
        <f t="shared" si="4743"/>
        <v>10.995996971903255</v>
      </c>
      <c r="AO766" s="218">
        <f>AO731/AO687</f>
        <v>30.525611876421024</v>
      </c>
      <c r="AP766" s="98">
        <f t="shared" si="4744"/>
        <v>9.8829652537676616</v>
      </c>
      <c r="AQ766" s="218">
        <f>AQ731/AQ687</f>
        <v>31.149269875608436</v>
      </c>
      <c r="AR766" s="98">
        <f t="shared" si="4745"/>
        <v>5.9727487310949234</v>
      </c>
      <c r="AS766" s="218">
        <f>AS731/AS687</f>
        <v>35.16215852509756</v>
      </c>
      <c r="AT766" s="98">
        <f t="shared" si="4746"/>
        <v>24.557978138255688</v>
      </c>
      <c r="AU766" s="218">
        <f>AU731/AU687</f>
        <v>34.753479901131776</v>
      </c>
      <c r="AV766" s="98">
        <f t="shared" si="4747"/>
        <v>13.964186104516552</v>
      </c>
      <c r="AW766" s="218">
        <f>AW731/AW687</f>
        <v>35.187256176853055</v>
      </c>
      <c r="AX766" s="98">
        <f t="shared" si="4748"/>
        <v>15.271255886054291</v>
      </c>
      <c r="AY766" s="218">
        <f>AY731/AY687</f>
        <v>34.501821019771072</v>
      </c>
      <c r="AZ766" s="98">
        <f t="shared" si="4749"/>
        <v>10.762856264531152</v>
      </c>
      <c r="BA766" s="218">
        <f>BA731/BA687</f>
        <v>33.301727497077543</v>
      </c>
      <c r="BB766" s="98">
        <f t="shared" si="4750"/>
        <v>-5.291003470939093</v>
      </c>
      <c r="BC766" s="218">
        <f>BC731/BC687</f>
        <v>38.216362931368742</v>
      </c>
      <c r="BD766" s="98">
        <f t="shared" si="4751"/>
        <v>9.9641332036052965</v>
      </c>
      <c r="BE766" s="218">
        <f>BE731/BE687</f>
        <v>41.076186780494112</v>
      </c>
      <c r="BF766" s="98">
        <f t="shared" si="4752"/>
        <v>16.735975587419993</v>
      </c>
      <c r="BG766" s="218">
        <f>BG731/BG687</f>
        <v>41.642179170458974</v>
      </c>
      <c r="BH766" s="98">
        <f t="shared" si="4753"/>
        <v>20.695597912342546</v>
      </c>
      <c r="BI766" s="218">
        <f>BI731/BI687</f>
        <v>41.268988999476164</v>
      </c>
      <c r="BJ766" s="98">
        <f t="shared" si="4754"/>
        <v>23.924469092775457</v>
      </c>
      <c r="BK766" s="218">
        <f>BK731/BK687</f>
        <v>42.879244788252258</v>
      </c>
      <c r="BL766" s="98">
        <f t="shared" si="4755"/>
        <v>12.20127060562357</v>
      </c>
      <c r="BM766" s="218">
        <f>BM731/BM687</f>
        <v>43.942447951200101</v>
      </c>
      <c r="BN766" s="98">
        <f t="shared" si="4756"/>
        <v>6.9779144447436714</v>
      </c>
      <c r="BO766" s="218">
        <f>BO731/BO684</f>
        <v>43.638285875387652</v>
      </c>
      <c r="BP766" s="98">
        <f t="shared" si="4757"/>
        <v>4.7934732156013515</v>
      </c>
      <c r="BQ766" s="218">
        <f>BQ731/BQ684</f>
        <v>42.974496266027899</v>
      </c>
      <c r="BR766" s="98">
        <f t="shared" si="4758"/>
        <v>4.1326606439847202</v>
      </c>
      <c r="BS766" s="218">
        <f>BS731/BS684</f>
        <v>36.464018096988553</v>
      </c>
      <c r="BT766" s="98">
        <f t="shared" si="4759"/>
        <v>-14.961146640859923</v>
      </c>
      <c r="BU766" s="218">
        <f>BU731/BU684</f>
        <v>27.333669354838708</v>
      </c>
      <c r="BV766" s="98">
        <f t="shared" si="4760"/>
        <v>-37.796662158662912</v>
      </c>
      <c r="BW766" s="218">
        <f>BW731/BW684</f>
        <v>25.752353013079084</v>
      </c>
      <c r="BX766" s="98">
        <f t="shared" si="4761"/>
        <v>-40.986790620931288</v>
      </c>
      <c r="BY766" s="218">
        <f>BY731/BY684</f>
        <v>30.846567310041532</v>
      </c>
      <c r="BZ766" s="98">
        <f t="shared" si="4762"/>
        <v>-28.221224237068508</v>
      </c>
      <c r="CA766" s="218">
        <f>CA731/CA684</f>
        <v>39.357596482657549</v>
      </c>
      <c r="CB766" s="98">
        <f t="shared" si="4763"/>
        <v>7.935434811305031</v>
      </c>
      <c r="CC766" s="218">
        <f>CC731/CC684</f>
        <v>37.956765999022963</v>
      </c>
      <c r="CD766" s="98">
        <f t="shared" si="4764"/>
        <v>38.864509942949589</v>
      </c>
      <c r="CE766" s="218">
        <f>CE731/CE684</f>
        <v>41.211862338296314</v>
      </c>
      <c r="CF766" s="98">
        <f t="shared" si="4765"/>
        <v>60.031443796089889</v>
      </c>
      <c r="CG766" s="218">
        <f>CG731/CG684</f>
        <v>45.505850804485618</v>
      </c>
      <c r="CH766" s="98">
        <f t="shared" si="4766"/>
        <v>47.523224698237421</v>
      </c>
      <c r="CI766" s="218">
        <f>CI731/CI684</f>
        <v>48.928217002977178</v>
      </c>
      <c r="CJ766" s="98">
        <f t="shared" si="4767"/>
        <v>24.317085837639517</v>
      </c>
      <c r="CK766" s="218">
        <f>CK731/CK684</f>
        <v>44.1796282245827</v>
      </c>
      <c r="CL766" s="98">
        <f t="shared" si="4768"/>
        <v>16.394605972805799</v>
      </c>
      <c r="CM766" s="218">
        <f>CM731/CM684</f>
        <v>43.422024429504788</v>
      </c>
      <c r="CN766" s="98">
        <f t="shared" si="4769"/>
        <v>5.3629269967609972</v>
      </c>
      <c r="CO766" s="218">
        <f>CO731/CO684</f>
        <v>46.557594098732736</v>
      </c>
      <c r="CP766" s="98">
        <f t="shared" si="4770"/>
        <v>2.3112265250591513</v>
      </c>
      <c r="CQ766" s="534">
        <f>CQ731/CQ684</f>
        <v>53.145239828673539</v>
      </c>
      <c r="CR766" s="98">
        <f t="shared" si="4770"/>
        <v>8.6187952147117173</v>
      </c>
      <c r="CS766" s="218">
        <f>CS731/CS684</f>
        <v>52.434736583429427</v>
      </c>
      <c r="CT766" s="98">
        <f t="shared" si="4770"/>
        <v>18.685327809647269</v>
      </c>
      <c r="CU766" s="218">
        <f>CU731/CU684</f>
        <v>53.373550758789705</v>
      </c>
      <c r="CV766" s="98">
        <f t="shared" si="4771"/>
        <v>22.918153771114746</v>
      </c>
      <c r="CW766" s="218">
        <f>CW731/CW684</f>
        <v>56.829222368668795</v>
      </c>
      <c r="CX766" s="98">
        <f t="shared" si="4772"/>
        <v>22.062197303738351</v>
      </c>
      <c r="CY766" s="218">
        <f>CY731/CY684</f>
        <v>58.354037267080749</v>
      </c>
      <c r="CZ766" s="98">
        <f t="shared" si="4773"/>
        <v>9.801061120805965</v>
      </c>
      <c r="DA766" s="218">
        <f>DA731/DA684</f>
        <v>57.168636072181009</v>
      </c>
      <c r="DB766" s="98">
        <f t="shared" si="4774"/>
        <v>9.0281744454259396</v>
      </c>
      <c r="DC766" s="39">
        <f>DC731/DC684-0.01</f>
        <v>57.025276914640848</v>
      </c>
      <c r="DD766" s="98">
        <f t="shared" si="4775"/>
        <v>6.8418272794971813</v>
      </c>
      <c r="DE766" s="39">
        <f>DE731/DE684-0.01</f>
        <v>52.845188765274493</v>
      </c>
      <c r="DF766" s="98">
        <f t="shared" si="4776"/>
        <v>-7.0105368986903223</v>
      </c>
      <c r="DG766" s="41">
        <f>DG731/DG684</f>
        <v>52.538365453247685</v>
      </c>
      <c r="DH766" s="98">
        <f t="shared" si="4777"/>
        <v>-9.9661858651104112</v>
      </c>
      <c r="DI766" s="41">
        <f>DI731/DI684</f>
        <v>53.040106951871657</v>
      </c>
      <c r="DJ766" s="98">
        <f t="shared" si="4778"/>
        <v>-7.2216680403161648</v>
      </c>
      <c r="DK766" s="41">
        <f>DK731/DK684</f>
        <v>56.64651493598862</v>
      </c>
      <c r="DL766" s="98">
        <f t="shared" si="4779"/>
        <v>-0.66420015674659716</v>
      </c>
      <c r="DM766" s="41">
        <f>DM731/DM684</f>
        <v>59.958281555121609</v>
      </c>
      <c r="DN766" s="98">
        <f t="shared" si="4780"/>
        <v>13.460246724525394</v>
      </c>
      <c r="DO766" s="41">
        <f>DO731/DO684</f>
        <v>61.444017514073813</v>
      </c>
      <c r="DP766" s="98">
        <f t="shared" si="4780"/>
        <v>16.950759666763894</v>
      </c>
      <c r="DQ766" s="41">
        <f>DQ731/DQ684</f>
        <v>61.851753688488387</v>
      </c>
      <c r="DR766" s="98">
        <f t="shared" si="4780"/>
        <v>16.613176788297924</v>
      </c>
      <c r="DS766" s="41">
        <f>DS731/DS684</f>
        <v>64.369559364623541</v>
      </c>
      <c r="DT766" s="98">
        <f t="shared" si="4780"/>
        <v>13.633750350506247</v>
      </c>
      <c r="DU766" s="41">
        <f>DU731/DU684</f>
        <v>60.271310888252167</v>
      </c>
      <c r="DV766" s="98">
        <f t="shared" si="4780"/>
        <v>0.52207856031161182</v>
      </c>
      <c r="DW766" s="41">
        <f>DW731/DW684</f>
        <v>61.38948690348046</v>
      </c>
      <c r="DX766" s="98">
        <f t="shared" si="4780"/>
        <v>-8.8748445820396871E-2</v>
      </c>
      <c r="DY766" s="41">
        <f>DY731/DY684</f>
        <v>60.002732240437169</v>
      </c>
      <c r="DZ766" s="98">
        <f t="shared" si="4780"/>
        <v>-2.9894406185533073</v>
      </c>
      <c r="EA766" s="41">
        <f>EA731/EA684</f>
        <v>67.099681383705061</v>
      </c>
      <c r="EB766" s="98">
        <f t="shared" si="4781"/>
        <v>4.2413246976208852</v>
      </c>
      <c r="EC766" s="41">
        <f>EC731/EC684</f>
        <v>70.179286494357498</v>
      </c>
      <c r="ED766" s="98">
        <f t="shared" si="4782"/>
        <v>16.438958204303056</v>
      </c>
      <c r="EE766" s="41">
        <f>EE731/EE684</f>
        <v>69.353958143767073</v>
      </c>
      <c r="EF766" s="860">
        <f t="shared" si="4783"/>
        <v>12.973672923523116</v>
      </c>
      <c r="EG766" s="41">
        <f>EG731/EG684</f>
        <v>59.758101323596541</v>
      </c>
      <c r="EH766" s="860">
        <f t="shared" si="4784"/>
        <v>-0.40769962917749369</v>
      </c>
      <c r="EI766" s="41">
        <f>EI731/EI684</f>
        <v>60.723203551280882</v>
      </c>
      <c r="EJ766" s="860">
        <f t="shared" si="4785"/>
        <v>-9.5029927131258916</v>
      </c>
      <c r="EK766" s="1059">
        <f>EK731/EK684</f>
        <v>63.17066290550072</v>
      </c>
      <c r="EL766" s="860">
        <f t="shared" si="4786"/>
        <v>-9.9867410156988186</v>
      </c>
      <c r="EM766" s="1059">
        <f>EM731/EM684</f>
        <v>51.58683486673624</v>
      </c>
      <c r="EN766" s="860">
        <f t="shared" si="4787"/>
        <v>-25.618037892228919</v>
      </c>
      <c r="EO766" s="1059">
        <f>EO731/EO684</f>
        <v>54.244921425833667</v>
      </c>
      <c r="EP766" s="98">
        <f t="shared" si="4788"/>
        <v>-9.2258284243477142</v>
      </c>
      <c r="EQ766" s="820">
        <f t="shared" ref="EQ766" si="4833">EQ731/EQ684</f>
        <v>54.239650909766496</v>
      </c>
      <c r="ER766" s="98">
        <f t="shared" si="4790"/>
        <v>-10.677224293739728</v>
      </c>
      <c r="ES766" s="820">
        <f t="shared" ref="ES766" si="4834">ES731/ES684</f>
        <v>55.121235677264465</v>
      </c>
      <c r="ET766" s="98">
        <f t="shared" si="4792"/>
        <v>-12.742350417119553</v>
      </c>
      <c r="EU766" s="820">
        <f t="shared" ref="EU766" si="4835">EU731/EU684</f>
        <v>56.028804940772822</v>
      </c>
      <c r="EV766" s="98">
        <f t="shared" si="4794"/>
        <v>8.6106660459233098</v>
      </c>
      <c r="EW766" s="820">
        <f t="shared" ref="EW766" si="4836">EW731/EW684</f>
        <v>56.942630978700571</v>
      </c>
      <c r="EX766" s="98">
        <f t="shared" si="4796"/>
        <v>4.9732020656631404</v>
      </c>
      <c r="EY766" s="218"/>
      <c r="EZ766" s="601"/>
      <c r="FA766" s="411"/>
      <c r="FB766" s="289">
        <f>FB729/FB684</f>
        <v>18.911218519460697</v>
      </c>
      <c r="FC766" s="233"/>
      <c r="FD766" s="289">
        <f>FD729/FD684</f>
        <v>17.412872042737217</v>
      </c>
      <c r="FE766" s="233">
        <f t="shared" si="4797"/>
        <v>-7.9230562281409789</v>
      </c>
      <c r="FF766" s="218">
        <f>+I766</f>
        <v>20.753450677472458</v>
      </c>
      <c r="FG766" s="98">
        <f t="shared" si="4798"/>
        <v>19.184535592613926</v>
      </c>
      <c r="FH766" s="218">
        <f>+Q766</f>
        <v>21.502008032128515</v>
      </c>
      <c r="FI766" s="98">
        <f t="shared" si="4799"/>
        <v>3.6069055035199638</v>
      </c>
      <c r="FJ766" s="218">
        <f>+Y766</f>
        <v>24.115688722430296</v>
      </c>
      <c r="FK766" s="98">
        <f t="shared" si="4800"/>
        <v>12.155519086386679</v>
      </c>
      <c r="FL766" s="218">
        <f>+AG766</f>
        <v>27.780112964665705</v>
      </c>
      <c r="FM766" s="98">
        <f t="shared" si="4801"/>
        <v>15.195188013963223</v>
      </c>
      <c r="FN766" s="218">
        <f>+AO766</f>
        <v>30.525611876421024</v>
      </c>
      <c r="FO766" s="98">
        <f t="shared" si="4802"/>
        <v>9.8829652537676616</v>
      </c>
      <c r="FP766" s="218">
        <f>+AW766</f>
        <v>35.187256176853055</v>
      </c>
      <c r="FQ766" s="98">
        <f t="shared" si="4803"/>
        <v>15.271255886054291</v>
      </c>
      <c r="FR766" s="218">
        <f>BE766</f>
        <v>41.076186780494112</v>
      </c>
      <c r="FS766" s="98">
        <f t="shared" si="4804"/>
        <v>16.735975587419993</v>
      </c>
      <c r="FT766" s="218">
        <f>BM766</f>
        <v>43.942447951200101</v>
      </c>
      <c r="FU766" s="98">
        <f t="shared" si="4805"/>
        <v>6.9779144447436714</v>
      </c>
      <c r="FV766" s="218">
        <f>BU766</f>
        <v>27.333669354838708</v>
      </c>
      <c r="FW766" s="98">
        <f t="shared" si="4806"/>
        <v>-37.796662158662912</v>
      </c>
      <c r="FX766" s="534">
        <f>CC766</f>
        <v>37.956765999022963</v>
      </c>
      <c r="FY766" s="98">
        <f t="shared" si="4807"/>
        <v>38.864509942949589</v>
      </c>
      <c r="FZ766" s="218">
        <f>CK766</f>
        <v>44.1796282245827</v>
      </c>
      <c r="GA766" s="98">
        <f t="shared" si="4808"/>
        <v>16.394605972805799</v>
      </c>
      <c r="GB766" s="534">
        <f>CS766</f>
        <v>52.434736583429427</v>
      </c>
      <c r="GC766" s="98">
        <f t="shared" si="4809"/>
        <v>18.685327809647269</v>
      </c>
      <c r="GD766" s="218">
        <f>DA766</f>
        <v>57.168636072181009</v>
      </c>
      <c r="GE766" s="98">
        <f t="shared" si="4810"/>
        <v>9.0281744454259396</v>
      </c>
      <c r="GF766" s="218">
        <f>DI766</f>
        <v>53.040106951871657</v>
      </c>
      <c r="GG766" s="98">
        <f t="shared" si="4810"/>
        <v>-7.2216680403161648</v>
      </c>
      <c r="GH766" s="218">
        <f>DQ766</f>
        <v>61.851753688488387</v>
      </c>
      <c r="GI766" s="98">
        <f t="shared" si="4810"/>
        <v>16.613176788297924</v>
      </c>
      <c r="GJ766" s="218">
        <f>DY766</f>
        <v>60.002732240437169</v>
      </c>
      <c r="GK766" s="98">
        <f t="shared" si="4810"/>
        <v>-2.9894406185533073</v>
      </c>
      <c r="GL766" s="218">
        <f>EG766</f>
        <v>59.758101323596541</v>
      </c>
      <c r="GM766" s="98">
        <f t="shared" si="4810"/>
        <v>-0.40769962917749369</v>
      </c>
      <c r="GN766" s="218">
        <f>EO766</f>
        <v>54.244921425833667</v>
      </c>
      <c r="GO766" s="98">
        <f t="shared" si="4810"/>
        <v>-9.2258284243477142</v>
      </c>
      <c r="GP766" s="218">
        <f>EW766</f>
        <v>56.942630978700571</v>
      </c>
      <c r="GQ766" s="98">
        <f t="shared" si="4810"/>
        <v>4.9732020656631404</v>
      </c>
      <c r="GR766" s="218">
        <f>GR731/GR684</f>
        <v>60.930854662115593</v>
      </c>
      <c r="GS766" s="98">
        <f t="shared" si="4810"/>
        <v>7.0039329319132149</v>
      </c>
      <c r="GT766" s="218">
        <f>GT731/GT684</f>
        <v>65.405108959126864</v>
      </c>
      <c r="GU766" s="98">
        <f t="shared" si="4810"/>
        <v>7.3431668106785697</v>
      </c>
      <c r="GV766" s="218">
        <f>GV731/GV684</f>
        <v>70.382040026533247</v>
      </c>
      <c r="GW766" s="98">
        <f t="shared" si="4810"/>
        <v>7.609391906244789</v>
      </c>
      <c r="GX766" s="218">
        <f>GX731/GX684</f>
        <v>75.874278369269149</v>
      </c>
      <c r="GY766" s="98">
        <f t="shared" si="4811"/>
        <v>7.8034656862253415</v>
      </c>
      <c r="GZ766" s="98">
        <f t="shared" si="4812"/>
        <v>6.9417035061682952</v>
      </c>
      <c r="HA766" s="98"/>
      <c r="HB766" s="10"/>
      <c r="HC766"/>
      <c r="HD766"/>
      <c r="HE766"/>
      <c r="HF766"/>
      <c r="HG766"/>
      <c r="HH766"/>
      <c r="HI766" s="10"/>
    </row>
    <row r="767" spans="1:217" s="2" customFormat="1" ht="12.75" customHeight="1" x14ac:dyDescent="0.2">
      <c r="A767" s="351"/>
      <c r="B767" s="91"/>
      <c r="C767" s="94"/>
      <c r="D767" s="92"/>
      <c r="E767" s="94"/>
      <c r="F767" s="92"/>
      <c r="G767" s="94"/>
      <c r="H767" s="92"/>
      <c r="I767" s="94"/>
      <c r="J767" s="98"/>
      <c r="K767" s="94"/>
      <c r="L767" s="98"/>
      <c r="M767" s="94"/>
      <c r="N767" s="98"/>
      <c r="O767" s="94"/>
      <c r="P767" s="98"/>
      <c r="Q767" s="94"/>
      <c r="R767" s="98"/>
      <c r="S767" s="94"/>
      <c r="T767" s="98"/>
      <c r="U767" s="94"/>
      <c r="V767" s="98"/>
      <c r="W767" s="94"/>
      <c r="X767" s="98"/>
      <c r="Y767" s="94"/>
      <c r="Z767" s="98"/>
      <c r="AA767" s="94"/>
      <c r="AB767" s="98"/>
      <c r="AC767" s="94"/>
      <c r="AD767" s="98"/>
      <c r="AE767" s="94"/>
      <c r="AF767" s="98"/>
      <c r="AG767" s="94"/>
      <c r="AH767" s="98"/>
      <c r="AI767" s="94"/>
      <c r="AJ767" s="98"/>
      <c r="AK767" s="94"/>
      <c r="AL767" s="98"/>
      <c r="AM767" s="94"/>
      <c r="AN767" s="98"/>
      <c r="AO767" s="94"/>
      <c r="AP767" s="98"/>
      <c r="AQ767" s="94"/>
      <c r="AR767" s="98"/>
      <c r="AS767" s="94"/>
      <c r="AT767" s="98"/>
      <c r="AU767" s="94"/>
      <c r="AV767" s="98"/>
      <c r="AW767" s="94"/>
      <c r="AX767" s="98"/>
      <c r="AY767" s="94"/>
      <c r="AZ767" s="98"/>
      <c r="BA767" s="94"/>
      <c r="BB767" s="98"/>
      <c r="BC767" s="94"/>
      <c r="BD767" s="98"/>
      <c r="BE767" s="94"/>
      <c r="BF767" s="98"/>
      <c r="BG767" s="94"/>
      <c r="BH767" s="98"/>
      <c r="BI767" s="94"/>
      <c r="BJ767" s="98"/>
      <c r="BK767" s="94"/>
      <c r="BL767" s="98"/>
      <c r="BM767" s="94"/>
      <c r="BN767" s="98"/>
      <c r="BO767" s="388"/>
      <c r="BP767" s="98"/>
      <c r="BQ767" s="388"/>
      <c r="BR767" s="98"/>
      <c r="BS767" s="388"/>
      <c r="BT767" s="98"/>
      <c r="BU767" s="388"/>
      <c r="BV767" s="98"/>
      <c r="BW767" s="388"/>
      <c r="BX767" s="98"/>
      <c r="BY767" s="388"/>
      <c r="BZ767" s="98"/>
      <c r="CA767" s="388"/>
      <c r="CB767" s="98"/>
      <c r="CC767" s="388"/>
      <c r="CD767" s="98"/>
      <c r="CE767" s="388"/>
      <c r="CF767" s="98"/>
      <c r="CG767" s="388"/>
      <c r="CH767" s="98"/>
      <c r="CI767" s="388"/>
      <c r="CJ767" s="98"/>
      <c r="CK767" s="388"/>
      <c r="CL767" s="98"/>
      <c r="CM767" s="388"/>
      <c r="CN767" s="98"/>
      <c r="CO767" s="388"/>
      <c r="CP767" s="98"/>
      <c r="CQ767" s="571"/>
      <c r="CR767" s="98"/>
      <c r="CS767" s="218"/>
      <c r="CT767" s="98"/>
      <c r="CU767" s="218"/>
      <c r="CV767" s="98"/>
      <c r="CW767" s="218"/>
      <c r="CX767" s="98"/>
      <c r="CY767" s="218"/>
      <c r="CZ767" s="98"/>
      <c r="DA767" s="218"/>
      <c r="DB767" s="98"/>
      <c r="DC767" s="218"/>
      <c r="DD767" s="98"/>
      <c r="DE767" s="218"/>
      <c r="DF767" s="98"/>
      <c r="DG767" s="218"/>
      <c r="DH767" s="98"/>
      <c r="DI767" s="218"/>
      <c r="DJ767" s="98"/>
      <c r="DK767" s="218"/>
      <c r="DL767" s="98"/>
      <c r="DM767" s="218"/>
      <c r="DN767" s="98"/>
      <c r="DO767" s="218"/>
      <c r="DP767" s="98"/>
      <c r="DQ767" s="218"/>
      <c r="DR767" s="98"/>
      <c r="DS767" s="218"/>
      <c r="DT767" s="98"/>
      <c r="DU767" s="218"/>
      <c r="DV767" s="98"/>
      <c r="DW767" s="218"/>
      <c r="DX767" s="98"/>
      <c r="DY767" s="218"/>
      <c r="DZ767" s="98"/>
      <c r="EA767" s="218"/>
      <c r="EB767" s="98"/>
      <c r="EC767" s="218"/>
      <c r="ED767" s="98"/>
      <c r="EE767" s="218"/>
      <c r="EF767" s="860"/>
      <c r="EG767" s="218"/>
      <c r="EH767" s="860"/>
      <c r="EI767" s="218"/>
      <c r="EJ767" s="860"/>
      <c r="EK767" s="218"/>
      <c r="EL767" s="860"/>
      <c r="EM767" s="218"/>
      <c r="EN767" s="860"/>
      <c r="EO767" s="218"/>
      <c r="EP767" s="98"/>
      <c r="EQ767" s="820"/>
      <c r="ER767" s="98"/>
      <c r="ES767" s="820"/>
      <c r="ET767" s="98"/>
      <c r="EU767" s="820"/>
      <c r="EV767" s="98"/>
      <c r="EW767" s="820"/>
      <c r="EX767" s="98"/>
      <c r="EY767" s="218"/>
      <c r="EZ767" s="594"/>
      <c r="FA767" s="405"/>
      <c r="FB767" s="95"/>
      <c r="FC767" s="92"/>
      <c r="FD767" s="94"/>
      <c r="FE767" s="92"/>
      <c r="FF767" s="95"/>
      <c r="FG767" s="98"/>
      <c r="FH767" s="95"/>
      <c r="FI767" s="98"/>
      <c r="FJ767" s="95"/>
      <c r="FK767" s="98"/>
      <c r="FL767" s="95"/>
      <c r="FM767" s="98"/>
      <c r="FN767" s="95"/>
      <c r="FO767" s="98"/>
      <c r="FP767" s="95"/>
      <c r="FQ767" s="98"/>
      <c r="FR767" s="95"/>
      <c r="FS767" s="98"/>
      <c r="FT767" s="95"/>
      <c r="FU767" s="98"/>
      <c r="FV767" s="95"/>
      <c r="FW767" s="98"/>
      <c r="FX767" s="506"/>
      <c r="FY767" s="98"/>
      <c r="FZ767" s="95"/>
      <c r="GA767" s="98"/>
      <c r="GB767" s="506"/>
      <c r="GC767" s="98"/>
      <c r="GD767" s="95"/>
      <c r="GE767" s="98"/>
      <c r="GF767" s="95"/>
      <c r="GG767" s="98"/>
      <c r="GH767" s="95"/>
      <c r="GI767" s="98"/>
      <c r="GJ767" s="95"/>
      <c r="GK767" s="98"/>
      <c r="GL767" s="984"/>
      <c r="GM767" s="98"/>
      <c r="GN767" s="984"/>
      <c r="GO767" s="98"/>
      <c r="GP767" s="984"/>
      <c r="GQ767" s="98"/>
      <c r="GR767" s="95"/>
      <c r="GS767" s="98"/>
      <c r="GT767" s="95"/>
      <c r="GU767" s="98"/>
      <c r="GV767" s="95"/>
      <c r="GW767" s="98"/>
      <c r="GX767" s="95"/>
      <c r="GY767" s="98"/>
      <c r="GZ767" s="98"/>
      <c r="HA767" s="98"/>
      <c r="HB767" s="10"/>
      <c r="HC767"/>
      <c r="HD767"/>
      <c r="HE767"/>
      <c r="HF767"/>
      <c r="HG767"/>
      <c r="HH767"/>
      <c r="HI767" s="10"/>
    </row>
    <row r="768" spans="1:217" s="2" customFormat="1" ht="12.75" customHeight="1" x14ac:dyDescent="0.2">
      <c r="A768" s="351"/>
      <c r="B768" s="5" t="s">
        <v>324</v>
      </c>
      <c r="C768" s="10"/>
      <c r="D768" s="13"/>
      <c r="E768" s="10"/>
      <c r="F768" s="13"/>
      <c r="G768" s="10"/>
      <c r="H768" s="13"/>
      <c r="I768" s="10"/>
      <c r="J768" s="98"/>
      <c r="K768" s="10"/>
      <c r="L768" s="98"/>
      <c r="M768" s="10"/>
      <c r="N768" s="98"/>
      <c r="O768" s="10"/>
      <c r="P768" s="98"/>
      <c r="Q768" s="10"/>
      <c r="R768" s="98"/>
      <c r="S768" s="13"/>
      <c r="T768" s="98"/>
      <c r="U768" s="10"/>
      <c r="V768" s="98"/>
      <c r="W768" s="10"/>
      <c r="X768" s="98"/>
      <c r="Y768" s="10"/>
      <c r="Z768" s="98"/>
      <c r="AA768" s="13"/>
      <c r="AB768" s="98"/>
      <c r="AC768" s="13"/>
      <c r="AD768" s="98"/>
      <c r="AE768" s="13"/>
      <c r="AF768" s="98"/>
      <c r="AG768" s="13"/>
      <c r="AH768" s="98"/>
      <c r="AI768" s="390"/>
      <c r="AJ768" s="98"/>
      <c r="AK768" s="390"/>
      <c r="AL768" s="98"/>
      <c r="AM768" s="390"/>
      <c r="AN768" s="98"/>
      <c r="AO768" s="390"/>
      <c r="AP768" s="98"/>
      <c r="AQ768" s="390"/>
      <c r="AR768" s="98"/>
      <c r="AS768" s="390"/>
      <c r="AT768" s="98"/>
      <c r="AU768" s="390"/>
      <c r="AV768" s="98"/>
      <c r="AW768" s="390"/>
      <c r="AX768" s="98"/>
      <c r="AY768" s="390"/>
      <c r="AZ768" s="98"/>
      <c r="BA768" s="390"/>
      <c r="BB768" s="98"/>
      <c r="BC768" s="390"/>
      <c r="BD768" s="98"/>
      <c r="BE768" s="390"/>
      <c r="BF768" s="98"/>
      <c r="BG768" s="390"/>
      <c r="BH768" s="98"/>
      <c r="BI768" s="390"/>
      <c r="BJ768" s="98"/>
      <c r="BK768" s="390"/>
      <c r="BL768" s="98"/>
      <c r="BM768" s="390"/>
      <c r="BN768" s="98"/>
      <c r="BO768" s="390"/>
      <c r="BP768" s="98"/>
      <c r="BQ768" s="390"/>
      <c r="BR768" s="98"/>
      <c r="BS768" s="390"/>
      <c r="BT768" s="98"/>
      <c r="BU768" s="95"/>
      <c r="BV768" s="98"/>
      <c r="BW768" s="95"/>
      <c r="BX768" s="98"/>
      <c r="BY768" s="95"/>
      <c r="BZ768" s="98"/>
      <c r="CA768" s="95"/>
      <c r="CB768" s="98"/>
      <c r="CC768" s="95"/>
      <c r="CD768" s="98"/>
      <c r="CE768" s="95"/>
      <c r="CF768" s="98"/>
      <c r="CG768" s="95"/>
      <c r="CH768" s="98"/>
      <c r="CI768" s="95"/>
      <c r="CJ768" s="98"/>
      <c r="CK768" s="95"/>
      <c r="CL768" s="98"/>
      <c r="CM768" s="95"/>
      <c r="CN768" s="98"/>
      <c r="CO768" s="95"/>
      <c r="CP768" s="98"/>
      <c r="CQ768" s="506"/>
      <c r="CR768" s="98"/>
      <c r="CS768" s="95"/>
      <c r="CT768" s="98"/>
      <c r="CU768" s="95"/>
      <c r="CV768" s="98"/>
      <c r="CW768" s="95"/>
      <c r="CX768" s="98"/>
      <c r="CY768" s="95"/>
      <c r="CZ768" s="98"/>
      <c r="DA768" s="95"/>
      <c r="DB768" s="98"/>
      <c r="DC768" s="95"/>
      <c r="DD768" s="98"/>
      <c r="DE768" s="95"/>
      <c r="DF768" s="98"/>
      <c r="DG768" s="95"/>
      <c r="DH768" s="98"/>
      <c r="DI768" s="95"/>
      <c r="DJ768" s="98"/>
      <c r="DK768" s="95"/>
      <c r="DL768" s="98"/>
      <c r="DM768" s="95"/>
      <c r="DN768" s="98"/>
      <c r="DO768" s="95"/>
      <c r="DP768" s="98"/>
      <c r="DQ768" s="95"/>
      <c r="DR768" s="98"/>
      <c r="DS768" s="95"/>
      <c r="DT768" s="98"/>
      <c r="DU768" s="95"/>
      <c r="DV768" s="98"/>
      <c r="DW768" s="95"/>
      <c r="DX768" s="98"/>
      <c r="DY768" s="95"/>
      <c r="DZ768" s="98"/>
      <c r="EA768" s="95"/>
      <c r="EB768" s="98"/>
      <c r="EC768" s="95"/>
      <c r="ED768" s="98"/>
      <c r="EE768" s="95"/>
      <c r="EF768" s="860"/>
      <c r="EG768" s="95"/>
      <c r="EH768" s="860"/>
      <c r="EI768" s="95"/>
      <c r="EJ768" s="860"/>
      <c r="EK768" s="95"/>
      <c r="EL768" s="860"/>
      <c r="EM768" s="95"/>
      <c r="EN768" s="860"/>
      <c r="EO768" s="95"/>
      <c r="EP768" s="98"/>
      <c r="EQ768" s="789"/>
      <c r="ER768" s="98"/>
      <c r="ES768" s="789"/>
      <c r="ET768" s="98"/>
      <c r="EU768" s="789"/>
      <c r="EV768" s="98"/>
      <c r="EW768" s="789"/>
      <c r="EX768" s="98"/>
      <c r="EY768" s="95"/>
      <c r="EZ768" s="594"/>
      <c r="FA768" s="405"/>
      <c r="FB768" s="10"/>
      <c r="FC768" s="13"/>
      <c r="FD768" s="10"/>
      <c r="FE768" s="14"/>
      <c r="FF768" s="25"/>
      <c r="FG768" s="98"/>
      <c r="FH768" s="25"/>
      <c r="FI768" s="98"/>
      <c r="FJ768" s="25"/>
      <c r="FK768" s="98"/>
      <c r="FL768" s="25"/>
      <c r="FM768" s="98"/>
      <c r="FN768" s="25"/>
      <c r="FO768" s="98"/>
      <c r="FP768" s="25"/>
      <c r="FQ768" s="98"/>
      <c r="FR768" s="25"/>
      <c r="FS768" s="98"/>
      <c r="FT768" s="25"/>
      <c r="FU768" s="98"/>
      <c r="FV768" s="25"/>
      <c r="FW768" s="98"/>
      <c r="FX768" s="469"/>
      <c r="FY768" s="98"/>
      <c r="FZ768" s="25"/>
      <c r="GA768" s="98"/>
      <c r="GB768" s="469"/>
      <c r="GC768" s="98"/>
      <c r="GD768" s="25"/>
      <c r="GE768" s="98"/>
      <c r="GF768" s="25"/>
      <c r="GG768" s="98"/>
      <c r="GH768" s="25"/>
      <c r="GI768" s="98"/>
      <c r="GJ768" s="25"/>
      <c r="GK768" s="98"/>
      <c r="GL768" s="25"/>
      <c r="GM768" s="98"/>
      <c r="GN768" s="25"/>
      <c r="GO768" s="98"/>
      <c r="GP768" s="25"/>
      <c r="GQ768" s="98"/>
      <c r="GR768" s="24"/>
      <c r="GS768" s="98"/>
      <c r="GT768" s="24"/>
      <c r="GU768" s="98"/>
      <c r="GV768" s="24"/>
      <c r="GW768" s="98"/>
      <c r="GX768" s="24"/>
      <c r="GY768" s="98"/>
      <c r="GZ768" s="98"/>
      <c r="HA768" s="98"/>
      <c r="HB768" s="10"/>
      <c r="HC768"/>
      <c r="HD768"/>
      <c r="HE768"/>
      <c r="HF768"/>
      <c r="HG768"/>
      <c r="HH768"/>
      <c r="HI768" s="10"/>
    </row>
    <row r="769" spans="1:217" s="2" customFormat="1" ht="12.75" customHeight="1" x14ac:dyDescent="0.2">
      <c r="A769" s="351" t="s">
        <v>318</v>
      </c>
      <c r="B769" s="2" t="s">
        <v>525</v>
      </c>
      <c r="C769" s="321">
        <v>52</v>
      </c>
      <c r="D769" s="321"/>
      <c r="E769" s="321">
        <v>47</v>
      </c>
      <c r="F769" s="321"/>
      <c r="G769" s="321">
        <v>43</v>
      </c>
      <c r="H769" s="321"/>
      <c r="I769" s="321">
        <v>51</v>
      </c>
      <c r="J769" s="98"/>
      <c r="K769" s="321">
        <v>40</v>
      </c>
      <c r="L769" s="98"/>
      <c r="M769" s="321">
        <v>44</v>
      </c>
      <c r="N769" s="98"/>
      <c r="O769" s="321">
        <v>44</v>
      </c>
      <c r="P769" s="98"/>
      <c r="Q769" s="321">
        <v>63</v>
      </c>
      <c r="R769" s="98"/>
      <c r="S769" s="321">
        <v>51</v>
      </c>
      <c r="T769" s="98"/>
      <c r="U769" s="321">
        <v>57</v>
      </c>
      <c r="V769" s="98"/>
      <c r="W769" s="321">
        <v>46</v>
      </c>
      <c r="X769" s="98"/>
      <c r="Y769" s="321">
        <v>60</v>
      </c>
      <c r="Z769" s="98"/>
      <c r="AA769" s="321">
        <v>53</v>
      </c>
      <c r="AB769" s="98"/>
      <c r="AC769" s="321">
        <v>49</v>
      </c>
      <c r="AD769" s="98"/>
      <c r="AE769" s="321">
        <v>50</v>
      </c>
      <c r="AF769" s="98"/>
      <c r="AG769" s="321">
        <v>53</v>
      </c>
      <c r="AH769" s="98"/>
      <c r="AI769" s="391">
        <v>45</v>
      </c>
      <c r="AJ769" s="98"/>
      <c r="AK769" s="391">
        <v>47</v>
      </c>
      <c r="AL769" s="98"/>
      <c r="AM769" s="391">
        <v>44</v>
      </c>
      <c r="AN769" s="98"/>
      <c r="AO769" s="391">
        <v>51</v>
      </c>
      <c r="AP769" s="98"/>
      <c r="AQ769" s="391">
        <v>47</v>
      </c>
      <c r="AR769" s="98"/>
      <c r="AS769" s="391">
        <v>52</v>
      </c>
      <c r="AT769" s="98"/>
      <c r="AU769" s="391">
        <v>52</v>
      </c>
      <c r="AV769" s="98"/>
      <c r="AW769" s="391">
        <v>54</v>
      </c>
      <c r="AX769" s="98"/>
      <c r="AY769" s="392">
        <v>50</v>
      </c>
      <c r="AZ769" s="98"/>
      <c r="BA769" s="392">
        <v>50</v>
      </c>
      <c r="BB769" s="98"/>
      <c r="BC769" s="392">
        <v>46</v>
      </c>
      <c r="BD769" s="98"/>
      <c r="BE769" s="392">
        <v>57</v>
      </c>
      <c r="BF769" s="98"/>
      <c r="BG769" s="392">
        <v>52</v>
      </c>
      <c r="BH769" s="98"/>
      <c r="BI769" s="392">
        <v>54</v>
      </c>
      <c r="BJ769" s="98"/>
      <c r="BK769" s="392">
        <v>54</v>
      </c>
      <c r="BL769" s="98"/>
      <c r="BM769" s="392">
        <v>57</v>
      </c>
      <c r="BN769" s="98"/>
      <c r="BO769" s="392"/>
      <c r="BP769" s="98"/>
      <c r="BQ769" s="392"/>
      <c r="BR769" s="98"/>
      <c r="BS769" s="392"/>
      <c r="BT769" s="98"/>
      <c r="BU769" s="393">
        <f>30+22</f>
        <v>52</v>
      </c>
      <c r="BV769" s="98"/>
      <c r="BW769" s="393">
        <f>28+21</f>
        <v>49</v>
      </c>
      <c r="BX769" s="98"/>
      <c r="BY769" s="393">
        <f>34+32</f>
        <v>66</v>
      </c>
      <c r="BZ769" s="98"/>
      <c r="CA769" s="393">
        <f>37+30</f>
        <v>67</v>
      </c>
      <c r="CB769" s="98"/>
      <c r="CC769" s="393">
        <f>37+34</f>
        <v>71</v>
      </c>
      <c r="CD769" s="98"/>
      <c r="CE769" s="393">
        <f>33+29</f>
        <v>62</v>
      </c>
      <c r="CF769" s="98"/>
      <c r="CG769" s="393">
        <f>35+29</f>
        <v>64</v>
      </c>
      <c r="CH769" s="98"/>
      <c r="CI769" s="393">
        <f>32+28</f>
        <v>60</v>
      </c>
      <c r="CJ769" s="98"/>
      <c r="CK769" s="393">
        <f>32+29</f>
        <v>61</v>
      </c>
      <c r="CL769" s="98"/>
      <c r="CM769" s="393">
        <f>30+27</f>
        <v>57</v>
      </c>
      <c r="CN769" s="98"/>
      <c r="CO769" s="393">
        <f>30+33</f>
        <v>63</v>
      </c>
      <c r="CP769" s="98"/>
      <c r="CQ769" s="572">
        <f>32+27</f>
        <v>59</v>
      </c>
      <c r="CR769" s="98"/>
      <c r="CS769" s="393">
        <f>35+29</f>
        <v>64</v>
      </c>
      <c r="CT769" s="98"/>
      <c r="CU769" s="393">
        <f>34+28</f>
        <v>62</v>
      </c>
      <c r="CV769" s="98"/>
      <c r="CW769" s="393">
        <f>36+33</f>
        <v>69</v>
      </c>
      <c r="CX769" s="98"/>
      <c r="CY769" s="393">
        <f>31+30</f>
        <v>61</v>
      </c>
      <c r="CZ769" s="98"/>
      <c r="DA769" s="393">
        <f>33+36</f>
        <v>69</v>
      </c>
      <c r="DB769" s="98"/>
      <c r="DC769" s="393">
        <f>23+29</f>
        <v>52</v>
      </c>
      <c r="DD769" s="98"/>
      <c r="DE769" s="393">
        <f>26+31</f>
        <v>57</v>
      </c>
      <c r="DF769" s="98"/>
      <c r="DG769" s="393">
        <f>21+36</f>
        <v>57</v>
      </c>
      <c r="DH769" s="98"/>
      <c r="DI769" s="393">
        <f>22+41</f>
        <v>63</v>
      </c>
      <c r="DJ769" s="98"/>
      <c r="DK769" s="393">
        <f>16+29</f>
        <v>45</v>
      </c>
      <c r="DL769" s="98">
        <f>IF(ISERROR((DK769/DC769-1)*100),"NA",IF(((DK769/DC769-1)*100)&gt;100,"NM",IF(((DK769/DC769-1)*100)&lt;-50,"NM",(DK769/DC769-1)*100)))</f>
        <v>-13.461538461538458</v>
      </c>
      <c r="DM769" s="393">
        <f>16+36</f>
        <v>52</v>
      </c>
      <c r="DN769" s="98">
        <f t="shared" ref="DN769:DZ772" si="4837">IF(ISERROR((DM769/DE769-1)*100),"NA",IF(((DM769/DE769-1)*100)&gt;100,"NM",IF(((DM769/DE769-1)*100)&lt;-50,"NM",(DM769/DE769-1)*100)))</f>
        <v>-8.7719298245614077</v>
      </c>
      <c r="DO769" s="393">
        <f>14+30</f>
        <v>44</v>
      </c>
      <c r="DP769" s="98">
        <f t="shared" si="4837"/>
        <v>-22.807017543859654</v>
      </c>
      <c r="DQ769" s="393">
        <f>21+37</f>
        <v>58</v>
      </c>
      <c r="DR769" s="98">
        <f t="shared" si="4837"/>
        <v>-7.9365079365079421</v>
      </c>
      <c r="DS769" s="393">
        <f>22+38</f>
        <v>60</v>
      </c>
      <c r="DT769" s="98">
        <f t="shared" si="4837"/>
        <v>33.333333333333329</v>
      </c>
      <c r="DU769" s="393">
        <f>24+38</f>
        <v>62</v>
      </c>
      <c r="DV769" s="98">
        <f t="shared" si="4837"/>
        <v>19.23076923076923</v>
      </c>
      <c r="DW769" s="393">
        <f>24+39</f>
        <v>63</v>
      </c>
      <c r="DX769" s="98">
        <f t="shared" si="4837"/>
        <v>43.181818181818187</v>
      </c>
      <c r="DY769" s="393">
        <f>24+39</f>
        <v>63</v>
      </c>
      <c r="DZ769" s="98">
        <f t="shared" si="4837"/>
        <v>8.6206896551724199</v>
      </c>
      <c r="EA769" s="393">
        <f>21+34</f>
        <v>55</v>
      </c>
      <c r="EB769" s="98">
        <f t="shared" ref="EB769:EB772" si="4838">IF(ISERROR((EA769/DS769-1)*100),"NA",IF(((EA769/DS769-1)*100)&gt;100,"NM",IF(((EA769/DS769-1)*100)&lt;-50,"NM",(EA769/DS769-1)*100)))</f>
        <v>-8.3333333333333375</v>
      </c>
      <c r="EC769" s="393">
        <f>19+37</f>
        <v>56</v>
      </c>
      <c r="ED769" s="98">
        <f t="shared" ref="ED769:ED772" si="4839">IF(ISERROR((EC769/DU769-1)*100),"NA",IF(((EC769/DU769-1)*100)&gt;100,"NM",IF(((EC769/DU769-1)*100)&lt;-50,"NM",(EC769/DU769-1)*100)))</f>
        <v>-9.6774193548387117</v>
      </c>
      <c r="EE769" s="393"/>
      <c r="EF769" s="860" t="str">
        <f t="shared" ref="EF769:EF772" si="4840">IF(ISERROR((EE769/DW769-1)*100),"NA",IF(((EE769/DW769-1)*100)&gt;100,"NM",IF(((EE769/DW769-1)*100)&lt;-50,"NM",(EE769/DW769-1)*100)))</f>
        <v>NM</v>
      </c>
      <c r="EG769" s="393"/>
      <c r="EH769" s="860" t="str">
        <f t="shared" ref="EH769:EH772" si="4841">IF(ISERROR((EG769/DY769-1)*100),"NA",IF(((EG769/DY769-1)*100)&gt;100,"NM",IF(((EG769/DY769-1)*100)&lt;-50,"NM",(EG769/DY769-1)*100)))</f>
        <v>NM</v>
      </c>
      <c r="EI769" s="393"/>
      <c r="EJ769" s="860" t="str">
        <f t="shared" ref="EJ769:EJ772" si="4842">IF(ISERROR((EI769/EA769-1)*100),"NA",IF(((EI769/EA769-1)*100)&gt;100,"NM",IF(((EI769/EA769-1)*100)&lt;-50,"NM",(EI769/EA769-1)*100)))</f>
        <v>NM</v>
      </c>
      <c r="EK769" s="393"/>
      <c r="EL769" s="860" t="str">
        <f t="shared" ref="EL769:EL772" si="4843">IF(ISERROR((EK769/EC769-1)*100),"NA",IF(((EK769/EC769-1)*100)&gt;100,"NM",IF(((EK769/EC769-1)*100)&lt;-50,"NM",(EK769/EC769-1)*100)))</f>
        <v>NM</v>
      </c>
      <c r="EM769" s="393"/>
      <c r="EN769" s="860" t="str">
        <f t="shared" ref="EN769:EN772" si="4844">IF(ISERROR((EM769/EE769-1)*100),"NA",IF(((EM769/EE769-1)*100)&gt;100,"NM",IF(((EM769/EE769-1)*100)&lt;-50,"NM",(EM769/EE769-1)*100)))</f>
        <v>NA</v>
      </c>
      <c r="EO769" s="393"/>
      <c r="EP769" s="98" t="str">
        <f t="shared" ref="EP769:EP772" si="4845">IF(ISERROR((EO769/EG769-1)*100),"NA",IF(((EO769/EG769-1)*100)&gt;100,"NM",IF(((EO769/EG769-1)*100)&lt;-50,"NM",(EO769/EG769-1)*100)))</f>
        <v>NA</v>
      </c>
      <c r="EQ769" s="1074"/>
      <c r="ER769" s="98" t="str">
        <f t="shared" ref="ER769:ER772" si="4846">IF(ISERROR((EQ769/EI769-1)*100),"NA",IF(((EQ769/EI769-1)*100)&gt;100,"NM",IF(((EQ769/EI769-1)*100)&lt;-50,"NM",(EQ769/EI769-1)*100)))</f>
        <v>NA</v>
      </c>
      <c r="ES769" s="1074"/>
      <c r="ET769" s="98" t="str">
        <f t="shared" ref="ET769:ET772" si="4847">IF(ISERROR((ES769/EK769-1)*100),"NA",IF(((ES769/EK769-1)*100)&gt;100,"NM",IF(((ES769/EK769-1)*100)&lt;-50,"NM",(ES769/EK769-1)*100)))</f>
        <v>NA</v>
      </c>
      <c r="EU769" s="1074"/>
      <c r="EV769" s="98" t="str">
        <f t="shared" ref="EV769:EV772" si="4848">IF(ISERROR((EU769/EM769-1)*100),"NA",IF(((EU769/EM769-1)*100)&gt;100,"NM",IF(((EU769/EM769-1)*100)&lt;-50,"NM",(EU769/EM769-1)*100)))</f>
        <v>NA</v>
      </c>
      <c r="EW769" s="1074"/>
      <c r="EX769" s="98" t="str">
        <f t="shared" ref="EX769:EX772" si="4849">IF(ISERROR((EW769/EO769-1)*100),"NA",IF(((EW769/EO769-1)*100)&gt;100,"NM",IF(((EW769/EO769-1)*100)&lt;-50,"NM",(EW769/EO769-1)*100)))</f>
        <v>NA</v>
      </c>
      <c r="EY769" s="24"/>
      <c r="EZ769" s="594"/>
      <c r="FA769" s="405"/>
      <c r="FB769" s="10"/>
      <c r="FC769" s="13"/>
      <c r="FD769" s="10"/>
      <c r="FE769" s="98"/>
      <c r="FF769" s="25"/>
      <c r="FG769" s="98"/>
      <c r="FH769" s="25"/>
      <c r="FI769" s="98"/>
      <c r="FJ769" s="25"/>
      <c r="FK769" s="98"/>
      <c r="FL769" s="25"/>
      <c r="FM769" s="98"/>
      <c r="FN769" s="25"/>
      <c r="FO769" s="98"/>
      <c r="FP769" s="25"/>
      <c r="FQ769" s="98"/>
      <c r="FR769" s="25"/>
      <c r="FS769" s="98"/>
      <c r="FT769" s="25"/>
      <c r="FU769" s="98"/>
      <c r="FV769" s="25"/>
      <c r="FW769" s="98"/>
      <c r="FX769" s="469"/>
      <c r="FY769" s="98"/>
      <c r="FZ769" s="25"/>
      <c r="GA769" s="98"/>
      <c r="GB769" s="469"/>
      <c r="GC769" s="98"/>
      <c r="GD769" s="25"/>
      <c r="GE769" s="98"/>
      <c r="GF769" s="25"/>
      <c r="GG769" s="98"/>
      <c r="GH769" s="25"/>
      <c r="GI769" s="98"/>
      <c r="GJ769" s="25"/>
      <c r="GK769" s="98"/>
      <c r="GL769" s="25"/>
      <c r="GM769" s="98"/>
      <c r="GN769" s="25"/>
      <c r="GO769" s="98"/>
      <c r="GP769" s="25"/>
      <c r="GQ769" s="98"/>
      <c r="GR769" s="24"/>
      <c r="GS769" s="98"/>
      <c r="GT769" s="24"/>
      <c r="GU769" s="98"/>
      <c r="GV769" s="24"/>
      <c r="GW769" s="98"/>
      <c r="GX769" s="24"/>
      <c r="GY769" s="98"/>
      <c r="GZ769" s="98"/>
      <c r="HA769" s="98"/>
      <c r="HB769" s="10"/>
      <c r="HC769"/>
      <c r="HD769"/>
      <c r="HE769"/>
      <c r="HF769"/>
      <c r="HG769"/>
      <c r="HH769"/>
      <c r="HI769" s="10"/>
    </row>
    <row r="770" spans="1:217" s="2" customFormat="1" ht="12.75" customHeight="1" x14ac:dyDescent="0.2">
      <c r="A770" s="351" t="s">
        <v>338</v>
      </c>
      <c r="B770" s="2" t="s">
        <v>547</v>
      </c>
      <c r="C770" s="321">
        <f>+C774-C771</f>
        <v>95</v>
      </c>
      <c r="D770" s="321"/>
      <c r="E770" s="321">
        <f>+E774-E771</f>
        <v>101</v>
      </c>
      <c r="F770" s="321"/>
      <c r="G770" s="321">
        <f>+G774-G771</f>
        <v>102</v>
      </c>
      <c r="H770" s="321"/>
      <c r="I770" s="321">
        <f>+I774-I771</f>
        <v>136</v>
      </c>
      <c r="J770" s="98"/>
      <c r="K770" s="321">
        <f>+K774-K771</f>
        <v>127</v>
      </c>
      <c r="L770" s="98"/>
      <c r="M770" s="321">
        <f>+M774-M771</f>
        <v>228</v>
      </c>
      <c r="N770" s="98"/>
      <c r="O770" s="321">
        <f>+O774-O771</f>
        <v>111</v>
      </c>
      <c r="P770" s="98"/>
      <c r="Q770" s="321">
        <f>+Q774-Q771</f>
        <v>174</v>
      </c>
      <c r="R770" s="98"/>
      <c r="S770" s="321">
        <v>112</v>
      </c>
      <c r="T770" s="98"/>
      <c r="U770" s="321">
        <v>115</v>
      </c>
      <c r="V770" s="98"/>
      <c r="W770" s="321">
        <v>97</v>
      </c>
      <c r="X770" s="98"/>
      <c r="Y770" s="321">
        <v>108</v>
      </c>
      <c r="Z770" s="98"/>
      <c r="AA770" s="321">
        <f>91</f>
        <v>91</v>
      </c>
      <c r="AB770" s="98"/>
      <c r="AC770" s="321">
        <v>59</v>
      </c>
      <c r="AD770" s="98"/>
      <c r="AE770" s="321">
        <v>86</v>
      </c>
      <c r="AF770" s="98"/>
      <c r="AG770" s="321">
        <v>53</v>
      </c>
      <c r="AH770" s="98"/>
      <c r="AI770" s="391">
        <v>51</v>
      </c>
      <c r="AJ770" s="98"/>
      <c r="AK770" s="391">
        <v>61</v>
      </c>
      <c r="AL770" s="98"/>
      <c r="AM770" s="391">
        <v>51</v>
      </c>
      <c r="AN770" s="98"/>
      <c r="AO770" s="391">
        <v>51</v>
      </c>
      <c r="AP770" s="98"/>
      <c r="AQ770" s="391">
        <v>57</v>
      </c>
      <c r="AR770" s="98"/>
      <c r="AS770" s="391">
        <v>41</v>
      </c>
      <c r="AT770" s="98"/>
      <c r="AU770" s="391">
        <v>56</v>
      </c>
      <c r="AV770" s="98"/>
      <c r="AW770" s="391">
        <v>63</v>
      </c>
      <c r="AX770" s="98"/>
      <c r="AY770" s="392">
        <v>50</v>
      </c>
      <c r="AZ770" s="98"/>
      <c r="BA770" s="392">
        <v>55</v>
      </c>
      <c r="BB770" s="98"/>
      <c r="BC770" s="392">
        <v>48</v>
      </c>
      <c r="BD770" s="98"/>
      <c r="BE770" s="392">
        <v>55</v>
      </c>
      <c r="BF770" s="98"/>
      <c r="BG770" s="392">
        <v>48</v>
      </c>
      <c r="BH770" s="98"/>
      <c r="BI770" s="392">
        <v>44</v>
      </c>
      <c r="BJ770" s="98"/>
      <c r="BK770" s="392">
        <v>50</v>
      </c>
      <c r="BL770" s="98"/>
      <c r="BM770" s="392">
        <v>61</v>
      </c>
      <c r="BN770" s="98"/>
      <c r="BO770" s="392"/>
      <c r="BP770" s="98"/>
      <c r="BQ770" s="392"/>
      <c r="BR770" s="98"/>
      <c r="BS770" s="392"/>
      <c r="BT770" s="98"/>
      <c r="BU770" s="393">
        <v>19</v>
      </c>
      <c r="BV770" s="98"/>
      <c r="BW770" s="393">
        <v>10</v>
      </c>
      <c r="BX770" s="98"/>
      <c r="BY770" s="393">
        <v>13</v>
      </c>
      <c r="BZ770" s="98"/>
      <c r="CA770" s="393">
        <v>10</v>
      </c>
      <c r="CB770" s="98" t="str">
        <f>IF(ISERROR((CA770/BS770-1)*100),"NA",IF(((CA770/BS770-1)*100)&gt;100,"NM",IF(((CA770/BS770-1)*100)&lt;-50,"NM",(CA770/BS770-1)*100)))</f>
        <v>NA</v>
      </c>
      <c r="CC770" s="393">
        <v>10</v>
      </c>
      <c r="CD770" s="98"/>
      <c r="CE770" s="393">
        <v>9</v>
      </c>
      <c r="CF770" s="98">
        <f>IF(ISERROR((CE770/BW770-1)*100),"NA",IF(((CE770/BW770-1)*100)&gt;100,"NM",IF(((CE770/BW770-1)*100)&lt;-50,"NM",(CE770/BW770-1)*100)))</f>
        <v>-9.9999999999999982</v>
      </c>
      <c r="CG770" s="393">
        <v>10</v>
      </c>
      <c r="CH770" s="98">
        <f>IF(ISERROR((CG770/BY770-1)*100),"NA",IF(((CG770/BY770-1)*100)&gt;100,"NM",IF(((CG770/BY770-1)*100)&lt;-50,"NM",(CG770/BY770-1)*100)))</f>
        <v>-23.076923076923073</v>
      </c>
      <c r="CI770" s="393">
        <v>9</v>
      </c>
      <c r="CJ770" s="98">
        <f>IF(ISERROR((CI770/CA770-1)*100),"NA",IF(((CI770/CA770-1)*100)&gt;100,"NM",IF(((CI770/CA770-1)*100)&lt;-50,"NM",(CI770/CA770-1)*100)))</f>
        <v>-9.9999999999999982</v>
      </c>
      <c r="CK770" s="393">
        <v>8</v>
      </c>
      <c r="CL770" s="98">
        <f>IF(ISERROR((CK770/CC770-1)*100),"NA",IF(((CK770/CC770-1)*100)&gt;100,"NM",IF(((CK770/CC770-1)*100)&lt;-50,"NM",(CK770/CC770-1)*100)))</f>
        <v>-19.999999999999996</v>
      </c>
      <c r="CM770" s="393">
        <v>9</v>
      </c>
      <c r="CN770" s="98">
        <f>IF(ISERROR((CM770/CE770-1)*100),"NA",IF(((CM770/CE770-1)*100)&gt;100,"NM",IF(((CM770/CE770-1)*100)&lt;-50,"NM",(CM770/CE770-1)*100)))</f>
        <v>0</v>
      </c>
      <c r="CO770" s="393">
        <v>11</v>
      </c>
      <c r="CP770" s="98">
        <f>IF(ISERROR((CO770/CG770-1)*100),"NA",IF(((CO770/CG770-1)*100)&gt;100,"NM",IF(((CO770/CG770-1)*100)&lt;-50,"NM",(CO770/CG770-1)*100)))</f>
        <v>10.000000000000009</v>
      </c>
      <c r="CQ770" s="572">
        <v>9</v>
      </c>
      <c r="CR770" s="98">
        <f>IF(ISERROR((CQ770/CI770-1)*100),"NA",IF(((CQ770/CI770-1)*100)&gt;100,"NM",IF(((CQ770/CI770-1)*100)&lt;-50,"NM",(CQ770/CI770-1)*100)))</f>
        <v>0</v>
      </c>
      <c r="CS770" s="393">
        <v>16</v>
      </c>
      <c r="CT770" s="98">
        <f>IF(ISERROR((CS770/CK770-1)*100),"NA",IF(((CS770/CK770-1)*100)&gt;100,"NM",IF(((CS770/CK770-1)*100)&lt;-50,"NM",(CS770/CK770-1)*100)))</f>
        <v>100</v>
      </c>
      <c r="CU770" s="393">
        <v>8</v>
      </c>
      <c r="CV770" s="98"/>
      <c r="CW770" s="393">
        <v>8</v>
      </c>
      <c r="CX770" s="98"/>
      <c r="CY770" s="393">
        <v>7</v>
      </c>
      <c r="CZ770" s="98"/>
      <c r="DA770" s="393">
        <v>8</v>
      </c>
      <c r="DB770" s="98"/>
      <c r="DC770" s="393">
        <v>9</v>
      </c>
      <c r="DD770" s="98"/>
      <c r="DE770" s="393">
        <v>9</v>
      </c>
      <c r="DF770" s="98"/>
      <c r="DG770" s="393">
        <v>11</v>
      </c>
      <c r="DH770" s="98"/>
      <c r="DI770" s="393">
        <v>8</v>
      </c>
      <c r="DJ770" s="98"/>
      <c r="DK770" s="393">
        <v>7</v>
      </c>
      <c r="DL770" s="98">
        <f>IF(ISERROR((DK770/DC770-1)*100),"NA",IF(((DK770/DC770-1)*100)&gt;100,"NM",IF(((DK770/DC770-1)*100)&lt;-50,"NM",(DK770/DC770-1)*100)))</f>
        <v>-22.222222222222221</v>
      </c>
      <c r="DM770" s="393">
        <v>16</v>
      </c>
      <c r="DN770" s="98">
        <f t="shared" si="4837"/>
        <v>77.777777777777771</v>
      </c>
      <c r="DO770" s="393">
        <v>7</v>
      </c>
      <c r="DP770" s="98">
        <f t="shared" si="4837"/>
        <v>-36.363636363636367</v>
      </c>
      <c r="DQ770" s="393">
        <v>9</v>
      </c>
      <c r="DR770" s="98">
        <f t="shared" si="4837"/>
        <v>12.5</v>
      </c>
      <c r="DS770" s="393">
        <v>8</v>
      </c>
      <c r="DT770" s="98">
        <f t="shared" si="4837"/>
        <v>14.285714285714279</v>
      </c>
      <c r="DU770" s="393">
        <v>7</v>
      </c>
      <c r="DV770" s="98" t="str">
        <f t="shared" si="4837"/>
        <v>NM</v>
      </c>
      <c r="DW770" s="393">
        <v>6</v>
      </c>
      <c r="DX770" s="98">
        <f t="shared" si="4837"/>
        <v>-14.28571428571429</v>
      </c>
      <c r="DY770" s="393">
        <v>7</v>
      </c>
      <c r="DZ770" s="98">
        <f t="shared" si="4837"/>
        <v>-22.222222222222221</v>
      </c>
      <c r="EA770" s="393">
        <v>5</v>
      </c>
      <c r="EB770" s="98">
        <f t="shared" si="4838"/>
        <v>-37.5</v>
      </c>
      <c r="EC770" s="393">
        <v>5</v>
      </c>
      <c r="ED770" s="98">
        <f t="shared" si="4839"/>
        <v>-28.571428571428569</v>
      </c>
      <c r="EE770" s="393"/>
      <c r="EF770" s="860" t="str">
        <f t="shared" si="4840"/>
        <v>NM</v>
      </c>
      <c r="EG770" s="393"/>
      <c r="EH770" s="860" t="str">
        <f t="shared" si="4841"/>
        <v>NM</v>
      </c>
      <c r="EI770" s="393"/>
      <c r="EJ770" s="860" t="str">
        <f t="shared" si="4842"/>
        <v>NM</v>
      </c>
      <c r="EK770" s="393"/>
      <c r="EL770" s="860" t="str">
        <f t="shared" si="4843"/>
        <v>NM</v>
      </c>
      <c r="EM770" s="393"/>
      <c r="EN770" s="860" t="str">
        <f t="shared" si="4844"/>
        <v>NA</v>
      </c>
      <c r="EO770" s="393"/>
      <c r="EP770" s="98" t="str">
        <f t="shared" si="4845"/>
        <v>NA</v>
      </c>
      <c r="EQ770" s="1074"/>
      <c r="ER770" s="98" t="str">
        <f t="shared" si="4846"/>
        <v>NA</v>
      </c>
      <c r="ES770" s="1074"/>
      <c r="ET770" s="98" t="str">
        <f t="shared" si="4847"/>
        <v>NA</v>
      </c>
      <c r="EU770" s="1074"/>
      <c r="EV770" s="98" t="str">
        <f t="shared" si="4848"/>
        <v>NA</v>
      </c>
      <c r="EW770" s="1074"/>
      <c r="EX770" s="98" t="str">
        <f t="shared" si="4849"/>
        <v>NA</v>
      </c>
      <c r="EY770" s="389"/>
      <c r="EZ770" s="594"/>
      <c r="FA770" s="405"/>
      <c r="FB770" s="10"/>
      <c r="FC770" s="13"/>
      <c r="FD770" s="10"/>
      <c r="FE770" s="98"/>
      <c r="FF770" s="25"/>
      <c r="FG770" s="98"/>
      <c r="FH770" s="25"/>
      <c r="FI770" s="98"/>
      <c r="FJ770" s="25"/>
      <c r="FK770" s="98"/>
      <c r="FL770" s="25"/>
      <c r="FM770" s="98"/>
      <c r="FN770" s="25"/>
      <c r="FO770" s="98"/>
      <c r="FP770" s="25"/>
      <c r="FQ770" s="98"/>
      <c r="FR770" s="25"/>
      <c r="FS770" s="98"/>
      <c r="FT770" s="25"/>
      <c r="FU770" s="98"/>
      <c r="FV770" s="25"/>
      <c r="FW770" s="98"/>
      <c r="FX770" s="469"/>
      <c r="FY770" s="98"/>
      <c r="FZ770" s="25"/>
      <c r="GA770" s="98"/>
      <c r="GB770" s="469"/>
      <c r="GC770" s="98"/>
      <c r="GD770" s="25"/>
      <c r="GE770" s="98"/>
      <c r="GF770" s="25"/>
      <c r="GG770" s="98"/>
      <c r="GH770" s="25"/>
      <c r="GI770" s="98"/>
      <c r="GJ770" s="25"/>
      <c r="GK770" s="98"/>
      <c r="GL770" s="25"/>
      <c r="GM770" s="98"/>
      <c r="GN770" s="25"/>
      <c r="GO770" s="98"/>
      <c r="GP770" s="25"/>
      <c r="GQ770" s="98"/>
      <c r="GR770" s="24"/>
      <c r="GS770" s="98"/>
      <c r="GT770" s="24"/>
      <c r="GU770" s="98"/>
      <c r="GV770" s="24"/>
      <c r="GW770" s="98"/>
      <c r="GX770" s="24"/>
      <c r="GY770" s="98"/>
      <c r="GZ770" s="98"/>
      <c r="HA770" s="98"/>
      <c r="HB770" s="10"/>
      <c r="HC770"/>
      <c r="HD770"/>
      <c r="HE770"/>
      <c r="HF770"/>
      <c r="HG770"/>
      <c r="HH770"/>
      <c r="HI770" s="10"/>
    </row>
    <row r="771" spans="1:217" s="2" customFormat="1" ht="12.75" customHeight="1" x14ac:dyDescent="0.2">
      <c r="A771" s="351" t="s">
        <v>15</v>
      </c>
      <c r="B771" s="2" t="s">
        <v>342</v>
      </c>
      <c r="C771" s="321">
        <v>25</v>
      </c>
      <c r="D771" s="321"/>
      <c r="E771" s="321">
        <v>25</v>
      </c>
      <c r="F771" s="321"/>
      <c r="G771" s="321">
        <v>25</v>
      </c>
      <c r="H771" s="321"/>
      <c r="I771" s="321">
        <v>25</v>
      </c>
      <c r="J771" s="98"/>
      <c r="K771" s="321">
        <v>30</v>
      </c>
      <c r="L771" s="98"/>
      <c r="M771" s="321">
        <v>32</v>
      </c>
      <c r="N771" s="98"/>
      <c r="O771" s="321">
        <v>34</v>
      </c>
      <c r="P771" s="98"/>
      <c r="Q771" s="321">
        <v>35</v>
      </c>
      <c r="R771" s="98"/>
      <c r="S771" s="321">
        <v>35</v>
      </c>
      <c r="T771" s="98"/>
      <c r="U771" s="321">
        <v>49</v>
      </c>
      <c r="V771" s="98"/>
      <c r="W771" s="321">
        <v>63</v>
      </c>
      <c r="X771" s="98"/>
      <c r="Y771" s="321">
        <v>66</v>
      </c>
      <c r="Z771" s="98"/>
      <c r="AA771" s="321">
        <v>55</v>
      </c>
      <c r="AB771" s="98"/>
      <c r="AC771" s="321">
        <v>71</v>
      </c>
      <c r="AD771" s="98"/>
      <c r="AE771" s="321">
        <v>82</v>
      </c>
      <c r="AF771" s="98"/>
      <c r="AG771" s="321">
        <v>108</v>
      </c>
      <c r="AH771" s="98"/>
      <c r="AI771" s="391">
        <v>104</v>
      </c>
      <c r="AJ771" s="98"/>
      <c r="AK771" s="391">
        <v>116</v>
      </c>
      <c r="AL771" s="98"/>
      <c r="AM771" s="391">
        <v>125</v>
      </c>
      <c r="AN771" s="98"/>
      <c r="AO771" s="391">
        <v>118</v>
      </c>
      <c r="AP771" s="98"/>
      <c r="AQ771" s="391">
        <v>102</v>
      </c>
      <c r="AR771" s="98"/>
      <c r="AS771" s="391">
        <v>110</v>
      </c>
      <c r="AT771" s="98"/>
      <c r="AU771" s="391">
        <v>245</v>
      </c>
      <c r="AV771" s="98"/>
      <c r="AW771" s="391">
        <v>228</v>
      </c>
      <c r="AX771" s="98"/>
      <c r="AY771" s="393">
        <v>203</v>
      </c>
      <c r="AZ771" s="98"/>
      <c r="BA771" s="393">
        <v>177</v>
      </c>
      <c r="BB771" s="98"/>
      <c r="BC771" s="393">
        <v>147</v>
      </c>
      <c r="BD771" s="98"/>
      <c r="BE771" s="393">
        <v>135</v>
      </c>
      <c r="BF771" s="98"/>
      <c r="BG771" s="393">
        <v>130</v>
      </c>
      <c r="BH771" s="98"/>
      <c r="BI771" s="393">
        <v>150</v>
      </c>
      <c r="BJ771" s="98"/>
      <c r="BK771" s="393">
        <v>174</v>
      </c>
      <c r="BL771" s="98"/>
      <c r="BM771" s="393">
        <v>196</v>
      </c>
      <c r="BN771" s="98"/>
      <c r="BO771" s="393"/>
      <c r="BP771" s="98"/>
      <c r="BQ771" s="393"/>
      <c r="BR771" s="98"/>
      <c r="BS771" s="393"/>
      <c r="BT771" s="98"/>
      <c r="BU771" s="393">
        <v>52</v>
      </c>
      <c r="BV771" s="98"/>
      <c r="BW771" s="393">
        <v>38</v>
      </c>
      <c r="BX771" s="98"/>
      <c r="BY771" s="393">
        <v>44</v>
      </c>
      <c r="BZ771" s="98"/>
      <c r="CA771" s="393">
        <v>50</v>
      </c>
      <c r="CB771" s="214"/>
      <c r="CC771" s="393">
        <v>63</v>
      </c>
      <c r="CD771" s="98"/>
      <c r="CE771" s="393">
        <v>41</v>
      </c>
      <c r="CF771" s="214"/>
      <c r="CG771" s="393">
        <v>44</v>
      </c>
      <c r="CH771" s="214"/>
      <c r="CI771" s="393">
        <v>48</v>
      </c>
      <c r="CJ771" s="214"/>
      <c r="CK771" s="393">
        <v>61</v>
      </c>
      <c r="CL771" s="214"/>
      <c r="CM771" s="393">
        <v>57</v>
      </c>
      <c r="CN771" s="214"/>
      <c r="CO771" s="393">
        <v>54</v>
      </c>
      <c r="CP771" s="214"/>
      <c r="CQ771" s="572">
        <v>52</v>
      </c>
      <c r="CR771" s="214"/>
      <c r="CS771" s="393">
        <v>56</v>
      </c>
      <c r="CT771" s="214"/>
      <c r="CU771" s="393">
        <v>42</v>
      </c>
      <c r="CV771" s="214"/>
      <c r="CW771" s="393">
        <v>37</v>
      </c>
      <c r="CX771" s="214"/>
      <c r="CY771" s="393">
        <v>36</v>
      </c>
      <c r="CZ771" s="214"/>
      <c r="DA771" s="393">
        <v>50</v>
      </c>
      <c r="DB771" s="214"/>
      <c r="DC771" s="393">
        <v>43</v>
      </c>
      <c r="DD771" s="214"/>
      <c r="DE771" s="393">
        <v>47</v>
      </c>
      <c r="DF771" s="214"/>
      <c r="DG771" s="393">
        <v>17</v>
      </c>
      <c r="DH771" s="214"/>
      <c r="DI771" s="393">
        <v>16</v>
      </c>
      <c r="DJ771" s="214"/>
      <c r="DK771" s="393">
        <v>12</v>
      </c>
      <c r="DL771" s="98" t="str">
        <f>IF(ISERROR((DK771/DC771-1)*100),"NA",IF(((DK771/DC771-1)*100)&gt;100,"NM",IF(((DK771/DC771-1)*100)&lt;-50,"NM",(DK771/DC771-1)*100)))</f>
        <v>NM</v>
      </c>
      <c r="DM771" s="393">
        <v>12</v>
      </c>
      <c r="DN771" s="98" t="str">
        <f t="shared" si="4837"/>
        <v>NM</v>
      </c>
      <c r="DO771" s="393">
        <v>10</v>
      </c>
      <c r="DP771" s="98">
        <f t="shared" si="4837"/>
        <v>-41.17647058823529</v>
      </c>
      <c r="DQ771" s="393">
        <v>11</v>
      </c>
      <c r="DR771" s="98">
        <f t="shared" si="4837"/>
        <v>-31.25</v>
      </c>
      <c r="DS771" s="393">
        <v>11</v>
      </c>
      <c r="DT771" s="98">
        <f t="shared" si="4837"/>
        <v>-8.3333333333333375</v>
      </c>
      <c r="DU771" s="393">
        <v>14</v>
      </c>
      <c r="DV771" s="98">
        <f t="shared" si="4837"/>
        <v>16.666666666666675</v>
      </c>
      <c r="DW771" s="393">
        <v>14</v>
      </c>
      <c r="DX771" s="98">
        <f t="shared" si="4837"/>
        <v>39.999999999999993</v>
      </c>
      <c r="DY771" s="393">
        <v>15</v>
      </c>
      <c r="DZ771" s="98">
        <f t="shared" si="4837"/>
        <v>36.363636363636353</v>
      </c>
      <c r="EA771" s="393">
        <v>15</v>
      </c>
      <c r="EB771" s="98">
        <f t="shared" si="4838"/>
        <v>36.363636363636353</v>
      </c>
      <c r="EC771" s="393">
        <v>15</v>
      </c>
      <c r="ED771" s="98">
        <f t="shared" si="4839"/>
        <v>7.1428571428571397</v>
      </c>
      <c r="EE771" s="393"/>
      <c r="EF771" s="860" t="str">
        <f t="shared" si="4840"/>
        <v>NM</v>
      </c>
      <c r="EG771" s="393"/>
      <c r="EH771" s="860" t="str">
        <f t="shared" si="4841"/>
        <v>NM</v>
      </c>
      <c r="EI771" s="393"/>
      <c r="EJ771" s="860" t="str">
        <f t="shared" si="4842"/>
        <v>NM</v>
      </c>
      <c r="EK771" s="393"/>
      <c r="EL771" s="860" t="str">
        <f t="shared" si="4843"/>
        <v>NM</v>
      </c>
      <c r="EM771" s="393"/>
      <c r="EN771" s="860" t="str">
        <f t="shared" si="4844"/>
        <v>NA</v>
      </c>
      <c r="EO771" s="393"/>
      <c r="EP771" s="98" t="str">
        <f t="shared" si="4845"/>
        <v>NA</v>
      </c>
      <c r="EQ771" s="1074"/>
      <c r="ER771" s="98" t="str">
        <f t="shared" si="4846"/>
        <v>NA</v>
      </c>
      <c r="ES771" s="1074"/>
      <c r="ET771" s="98" t="str">
        <f t="shared" si="4847"/>
        <v>NA</v>
      </c>
      <c r="EU771" s="1074"/>
      <c r="EV771" s="98" t="str">
        <f t="shared" si="4848"/>
        <v>NA</v>
      </c>
      <c r="EW771" s="1074"/>
      <c r="EX771" s="98" t="str">
        <f t="shared" si="4849"/>
        <v>NA</v>
      </c>
      <c r="EY771" s="394"/>
      <c r="EZ771" s="594"/>
      <c r="FA771" s="405"/>
      <c r="FB771" s="10"/>
      <c r="FC771" s="13"/>
      <c r="FD771" s="10"/>
      <c r="FE771" s="98"/>
      <c r="FF771" s="25"/>
      <c r="FG771" s="98"/>
      <c r="FH771" s="25"/>
      <c r="FI771" s="98"/>
      <c r="FJ771" s="25"/>
      <c r="FK771" s="98"/>
      <c r="FL771" s="25"/>
      <c r="FM771" s="98"/>
      <c r="FN771" s="25"/>
      <c r="FO771" s="98"/>
      <c r="FP771" s="25"/>
      <c r="FQ771" s="98"/>
      <c r="FR771" s="25"/>
      <c r="FS771" s="98"/>
      <c r="FT771" s="25"/>
      <c r="FU771" s="98"/>
      <c r="FV771" s="25"/>
      <c r="FW771" s="98"/>
      <c r="FX771" s="469"/>
      <c r="FY771" s="98"/>
      <c r="FZ771" s="25"/>
      <c r="GA771" s="98"/>
      <c r="GB771" s="469"/>
      <c r="GC771" s="98"/>
      <c r="GD771" s="25"/>
      <c r="GE771" s="98"/>
      <c r="GF771" s="25"/>
      <c r="GG771" s="98"/>
      <c r="GH771" s="25"/>
      <c r="GI771" s="98"/>
      <c r="GJ771" s="25"/>
      <c r="GK771" s="98"/>
      <c r="GL771" s="25"/>
      <c r="GM771" s="98"/>
      <c r="GN771" s="25"/>
      <c r="GO771" s="98"/>
      <c r="GP771" s="25"/>
      <c r="GQ771" s="98"/>
      <c r="GR771" s="24"/>
      <c r="GS771" s="98"/>
      <c r="GT771" s="24"/>
      <c r="GU771" s="98"/>
      <c r="GV771" s="24"/>
      <c r="GW771" s="98"/>
      <c r="GX771" s="24"/>
      <c r="GY771" s="98"/>
      <c r="GZ771" s="98"/>
      <c r="HA771" s="98"/>
      <c r="HB771" s="10"/>
      <c r="HC771"/>
      <c r="HD771"/>
      <c r="HE771"/>
      <c r="HF771"/>
      <c r="HG771"/>
      <c r="HH771"/>
      <c r="HI771" s="10"/>
    </row>
    <row r="772" spans="1:217" s="2" customFormat="1" ht="12.75" customHeight="1" x14ac:dyDescent="0.2">
      <c r="A772" s="351"/>
      <c r="B772" s="2" t="s">
        <v>526</v>
      </c>
      <c r="C772" s="10">
        <f>SUM(C769:C771)</f>
        <v>172</v>
      </c>
      <c r="D772" s="10"/>
      <c r="E772" s="10">
        <f>SUM(E769:E771)</f>
        <v>173</v>
      </c>
      <c r="F772" s="10"/>
      <c r="G772" s="10">
        <f>SUM(G769:G771)</f>
        <v>170</v>
      </c>
      <c r="H772" s="10"/>
      <c r="I772" s="10">
        <f>SUM(I769:I771)</f>
        <v>212</v>
      </c>
      <c r="J772" s="98"/>
      <c r="K772" s="169">
        <f>SUM(K769:K771)</f>
        <v>197</v>
      </c>
      <c r="L772" s="98"/>
      <c r="M772" s="10">
        <f>SUM(M769:M771)</f>
        <v>304</v>
      </c>
      <c r="N772" s="98"/>
      <c r="O772" s="10">
        <f>SUM(O769:O771)</f>
        <v>189</v>
      </c>
      <c r="P772" s="98"/>
      <c r="Q772" s="10">
        <f>SUM(Q769:Q771)</f>
        <v>272</v>
      </c>
      <c r="R772" s="98"/>
      <c r="S772" s="10">
        <f>SUM(S769:S771)</f>
        <v>198</v>
      </c>
      <c r="T772" s="98"/>
      <c r="U772" s="10">
        <f>SUM(U769:U771)</f>
        <v>221</v>
      </c>
      <c r="V772" s="98"/>
      <c r="W772" s="10">
        <f>SUM(W769:W771)</f>
        <v>206</v>
      </c>
      <c r="X772" s="98"/>
      <c r="Y772" s="10">
        <f>SUM(Y769:Y771)</f>
        <v>234</v>
      </c>
      <c r="Z772" s="98"/>
      <c r="AA772" s="10">
        <f>SUM(AA769:AA771)</f>
        <v>199</v>
      </c>
      <c r="AB772" s="98"/>
      <c r="AC772" s="10">
        <f>SUM(AC769:AC771)</f>
        <v>179</v>
      </c>
      <c r="AD772" s="98"/>
      <c r="AE772" s="10">
        <f>SUM(AE769:AE771)</f>
        <v>218</v>
      </c>
      <c r="AF772" s="98"/>
      <c r="AG772" s="10">
        <f>SUM(AG769:AG771)</f>
        <v>214</v>
      </c>
      <c r="AH772" s="98"/>
      <c r="AI772" s="23">
        <f>SUM(AI769:AI771)</f>
        <v>200</v>
      </c>
      <c r="AJ772" s="98"/>
      <c r="AK772" s="23">
        <f>SUM(AK769:AK771)</f>
        <v>224</v>
      </c>
      <c r="AL772" s="98"/>
      <c r="AM772" s="23">
        <f>SUM(AM769:AM771)</f>
        <v>220</v>
      </c>
      <c r="AN772" s="98"/>
      <c r="AO772" s="23">
        <f>SUM(AO769:AO771)</f>
        <v>220</v>
      </c>
      <c r="AP772" s="98"/>
      <c r="AQ772" s="23">
        <f>SUM(AQ769:AQ771)</f>
        <v>206</v>
      </c>
      <c r="AR772" s="98"/>
      <c r="AS772" s="23">
        <f>SUM(AS769:AS771)</f>
        <v>203</v>
      </c>
      <c r="AT772" s="98"/>
      <c r="AU772" s="23">
        <f>SUM(AU769:AU771)</f>
        <v>353</v>
      </c>
      <c r="AV772" s="98"/>
      <c r="AW772" s="23">
        <f>SUM(AW769:AW771)</f>
        <v>345</v>
      </c>
      <c r="AX772" s="98"/>
      <c r="AY772" s="395">
        <f>SUM(AY769:AY771)</f>
        <v>303</v>
      </c>
      <c r="AZ772" s="98"/>
      <c r="BA772" s="395">
        <f>SUM(BA769:BA771)</f>
        <v>282</v>
      </c>
      <c r="BB772" s="98"/>
      <c r="BC772" s="395">
        <f>SUM(BC769:BC771)</f>
        <v>241</v>
      </c>
      <c r="BD772" s="98"/>
      <c r="BE772" s="395">
        <f>SUM(BE769:BE771)</f>
        <v>247</v>
      </c>
      <c r="BF772" s="98"/>
      <c r="BG772" s="395">
        <f>SUM(BG769:BG771)</f>
        <v>230</v>
      </c>
      <c r="BH772" s="98"/>
      <c r="BI772" s="395">
        <f>SUM(BI769:BI771)</f>
        <v>248</v>
      </c>
      <c r="BJ772" s="98"/>
      <c r="BK772" s="395">
        <f>SUM(BK769:BK771)</f>
        <v>278</v>
      </c>
      <c r="BL772" s="98"/>
      <c r="BM772" s="395">
        <f>SUM(BM769:BM771)</f>
        <v>314</v>
      </c>
      <c r="BN772" s="98"/>
      <c r="BO772" s="395"/>
      <c r="BP772" s="98"/>
      <c r="BQ772" s="395"/>
      <c r="BR772" s="98"/>
      <c r="BS772" s="395"/>
      <c r="BT772" s="98"/>
      <c r="BU772" s="395">
        <f>SUM(BU769:BU771)</f>
        <v>123</v>
      </c>
      <c r="BV772" s="98"/>
      <c r="BW772" s="395">
        <f>SUM(BW769:BW771)</f>
        <v>97</v>
      </c>
      <c r="BX772" s="98"/>
      <c r="BY772" s="395">
        <f>SUM(BY769:BY771)</f>
        <v>123</v>
      </c>
      <c r="BZ772" s="98"/>
      <c r="CA772" s="395">
        <f>SUM(CA769:CA771)</f>
        <v>127</v>
      </c>
      <c r="CB772" s="305"/>
      <c r="CC772" s="395">
        <f>SUM(CC769:CC771)</f>
        <v>144</v>
      </c>
      <c r="CD772" s="98"/>
      <c r="CE772" s="395">
        <f>SUM(CE769:CE771)</f>
        <v>112</v>
      </c>
      <c r="CF772" s="305"/>
      <c r="CG772" s="395">
        <f>SUM(CG769:CG771)</f>
        <v>118</v>
      </c>
      <c r="CH772" s="305"/>
      <c r="CI772" s="395">
        <f>SUM(CI769:CI771)</f>
        <v>117</v>
      </c>
      <c r="CJ772" s="305"/>
      <c r="CK772" s="395">
        <f>SUM(CK769:CK771)</f>
        <v>130</v>
      </c>
      <c r="CL772" s="305"/>
      <c r="CM772" s="395">
        <f>SUM(CM769:CM771)</f>
        <v>123</v>
      </c>
      <c r="CN772" s="305"/>
      <c r="CO772" s="395">
        <f>SUM(CO769:CO771)</f>
        <v>128</v>
      </c>
      <c r="CP772" s="305"/>
      <c r="CQ772" s="535">
        <f>SUM(CQ769:CQ771)</f>
        <v>120</v>
      </c>
      <c r="CR772" s="305"/>
      <c r="CS772" s="395">
        <f>SUM(CS769:CS771)</f>
        <v>136</v>
      </c>
      <c r="CT772" s="305"/>
      <c r="CU772" s="395">
        <f>SUM(CU769:CU771)</f>
        <v>112</v>
      </c>
      <c r="CV772" s="305"/>
      <c r="CW772" s="395">
        <f>SUM(CW769:CW771)</f>
        <v>114</v>
      </c>
      <c r="CX772" s="305"/>
      <c r="CY772" s="395">
        <f>SUM(CY769:CY771)</f>
        <v>104</v>
      </c>
      <c r="CZ772" s="305"/>
      <c r="DA772" s="395">
        <f>SUM(DA769:DA771)</f>
        <v>127</v>
      </c>
      <c r="DB772" s="305"/>
      <c r="DC772" s="395">
        <f>SUM(DC769:DC771)</f>
        <v>104</v>
      </c>
      <c r="DD772" s="305"/>
      <c r="DE772" s="395">
        <f>SUM(DE769:DE771)</f>
        <v>113</v>
      </c>
      <c r="DF772" s="305"/>
      <c r="DG772" s="395">
        <f>SUM(DG769:DG771)</f>
        <v>85</v>
      </c>
      <c r="DH772" s="305"/>
      <c r="DI772" s="395">
        <f>SUM(DI769:DI771)</f>
        <v>87</v>
      </c>
      <c r="DJ772" s="305"/>
      <c r="DK772" s="395">
        <f>SUM(DK769:DK771)</f>
        <v>64</v>
      </c>
      <c r="DL772" s="98">
        <f>IF(ISERROR((DK772/DC772-1)*100),"NA",IF(((DK772/DC772-1)*100)&gt;100,"NM",IF(((DK772/DC772-1)*100)&lt;-50,"NM",(DK772/DC772-1)*100)))</f>
        <v>-38.46153846153846</v>
      </c>
      <c r="DM772" s="395">
        <f>SUM(DM769:DM771)</f>
        <v>80</v>
      </c>
      <c r="DN772" s="98">
        <f t="shared" si="4837"/>
        <v>-29.20353982300885</v>
      </c>
      <c r="DO772" s="395">
        <f>SUM(DO769:DO771)</f>
        <v>61</v>
      </c>
      <c r="DP772" s="98">
        <f t="shared" si="4837"/>
        <v>-28.235294117647058</v>
      </c>
      <c r="DQ772" s="395">
        <f>SUM(DQ769:DQ771)</f>
        <v>78</v>
      </c>
      <c r="DR772" s="98">
        <f t="shared" si="4837"/>
        <v>-10.344827586206895</v>
      </c>
      <c r="DS772" s="395">
        <f>SUM(DS769:DS771)</f>
        <v>79</v>
      </c>
      <c r="DT772" s="98">
        <f t="shared" si="4837"/>
        <v>23.4375</v>
      </c>
      <c r="DU772" s="395">
        <f>SUM(DU769:DU771)</f>
        <v>83</v>
      </c>
      <c r="DV772" s="98">
        <f t="shared" si="4837"/>
        <v>3.7500000000000089</v>
      </c>
      <c r="DW772" s="395">
        <f>SUM(DW769:DW771)</f>
        <v>83</v>
      </c>
      <c r="DX772" s="98">
        <f t="shared" si="4837"/>
        <v>36.065573770491795</v>
      </c>
      <c r="DY772" s="395">
        <f>SUM(DY769:DY771)</f>
        <v>85</v>
      </c>
      <c r="DZ772" s="98">
        <f t="shared" si="4837"/>
        <v>8.9743589743589638</v>
      </c>
      <c r="EA772" s="395">
        <f>SUM(EA769:EA771)</f>
        <v>75</v>
      </c>
      <c r="EB772" s="98">
        <f t="shared" si="4838"/>
        <v>-5.0632911392405111</v>
      </c>
      <c r="EC772" s="395">
        <f>SUM(EC769:EC771)</f>
        <v>76</v>
      </c>
      <c r="ED772" s="98">
        <f t="shared" si="4839"/>
        <v>-8.4337349397590415</v>
      </c>
      <c r="EE772" s="395"/>
      <c r="EF772" s="860" t="str">
        <f t="shared" si="4840"/>
        <v>NM</v>
      </c>
      <c r="EG772" s="395"/>
      <c r="EH772" s="860" t="str">
        <f t="shared" si="4841"/>
        <v>NM</v>
      </c>
      <c r="EI772" s="395"/>
      <c r="EJ772" s="860" t="str">
        <f t="shared" si="4842"/>
        <v>NM</v>
      </c>
      <c r="EK772" s="395"/>
      <c r="EL772" s="860" t="str">
        <f t="shared" si="4843"/>
        <v>NM</v>
      </c>
      <c r="EM772" s="395"/>
      <c r="EN772" s="860" t="str">
        <f t="shared" si="4844"/>
        <v>NA</v>
      </c>
      <c r="EO772" s="395"/>
      <c r="EP772" s="98" t="str">
        <f t="shared" si="4845"/>
        <v>NA</v>
      </c>
      <c r="EQ772" s="1075">
        <f t="shared" ref="EQ772" si="4850">SUM(EQ769:EQ771)</f>
        <v>0</v>
      </c>
      <c r="ER772" s="98" t="str">
        <f t="shared" si="4846"/>
        <v>NA</v>
      </c>
      <c r="ES772" s="1075">
        <f t="shared" ref="ES772" si="4851">SUM(ES769:ES771)</f>
        <v>0</v>
      </c>
      <c r="ET772" s="98" t="str">
        <f t="shared" si="4847"/>
        <v>NA</v>
      </c>
      <c r="EU772" s="1075">
        <f t="shared" ref="EU772" si="4852">SUM(EU769:EU771)</f>
        <v>0</v>
      </c>
      <c r="EV772" s="98" t="str">
        <f t="shared" si="4848"/>
        <v>NA</v>
      </c>
      <c r="EW772" s="1075">
        <f t="shared" ref="EW772" si="4853">SUM(EW769:EW771)</f>
        <v>0</v>
      </c>
      <c r="EX772" s="98" t="str">
        <f t="shared" si="4849"/>
        <v>NA</v>
      </c>
      <c r="EY772" s="24"/>
      <c r="EZ772" s="594"/>
      <c r="FA772" s="405"/>
      <c r="FB772" s="10"/>
      <c r="FC772" s="13"/>
      <c r="FD772" s="10"/>
      <c r="FE772" s="98"/>
      <c r="FF772" s="25"/>
      <c r="FG772" s="98"/>
      <c r="FH772" s="25"/>
      <c r="FI772" s="98"/>
      <c r="FJ772" s="25"/>
      <c r="FK772" s="98"/>
      <c r="FL772" s="25"/>
      <c r="FM772" s="98"/>
      <c r="FN772" s="25"/>
      <c r="FO772" s="98"/>
      <c r="FP772" s="25"/>
      <c r="FQ772" s="98"/>
      <c r="FR772" s="24"/>
      <c r="FS772" s="120"/>
      <c r="FT772" s="24"/>
      <c r="FU772" s="120"/>
      <c r="FV772" s="24"/>
      <c r="FW772" s="120"/>
      <c r="FX772" s="470"/>
      <c r="FY772" s="120"/>
      <c r="FZ772" s="24"/>
      <c r="GA772" s="120"/>
      <c r="GB772" s="470"/>
      <c r="GC772" s="120"/>
      <c r="GD772" s="24"/>
      <c r="GE772" s="120"/>
      <c r="GF772" s="24"/>
      <c r="GG772" s="120"/>
      <c r="GH772" s="24"/>
      <c r="GI772" s="120"/>
      <c r="GJ772" s="24"/>
      <c r="GK772" s="120"/>
      <c r="GL772" s="24"/>
      <c r="GM772" s="120"/>
      <c r="GN772" s="24"/>
      <c r="GO772" s="120"/>
      <c r="GP772" s="24"/>
      <c r="GQ772" s="120"/>
      <c r="GR772" s="24"/>
      <c r="GS772" s="120"/>
      <c r="GT772" s="24"/>
      <c r="GU772" s="120"/>
      <c r="GV772" s="24"/>
      <c r="GW772" s="120"/>
      <c r="GX772" s="24"/>
      <c r="GY772" s="120"/>
      <c r="GZ772" s="98"/>
      <c r="HA772" s="98"/>
      <c r="HB772" s="10"/>
      <c r="HC772"/>
      <c r="HD772"/>
      <c r="HE772"/>
      <c r="HF772"/>
      <c r="HG772"/>
      <c r="HH772"/>
      <c r="HI772" s="10"/>
    </row>
    <row r="773" spans="1:217" s="2" customFormat="1" ht="12.75" customHeight="1" x14ac:dyDescent="0.2">
      <c r="A773" s="351"/>
      <c r="C773" s="10"/>
      <c r="D773" s="13"/>
      <c r="E773" s="10"/>
      <c r="F773" s="13"/>
      <c r="G773" s="10"/>
      <c r="H773" s="13"/>
      <c r="I773" s="10"/>
      <c r="J773" s="13"/>
      <c r="K773" s="10"/>
      <c r="L773" s="14"/>
      <c r="M773" s="10"/>
      <c r="N773" s="14"/>
      <c r="O773" s="10"/>
      <c r="P773" s="14"/>
      <c r="Q773" s="10"/>
      <c r="R773" s="14"/>
      <c r="S773" s="10"/>
      <c r="T773" s="14"/>
      <c r="U773" s="10"/>
      <c r="V773" s="14"/>
      <c r="W773" s="10"/>
      <c r="X773" s="14"/>
      <c r="Y773" s="10"/>
      <c r="Z773" s="14"/>
      <c r="AA773" s="10"/>
      <c r="AB773" s="14"/>
      <c r="AC773" s="10"/>
      <c r="AD773" s="14"/>
      <c r="AE773" s="10"/>
      <c r="AF773" s="14"/>
      <c r="AG773" s="10"/>
      <c r="AH773" s="14"/>
      <c r="AI773" s="23"/>
      <c r="AJ773" s="14"/>
      <c r="AK773" s="23"/>
      <c r="AL773" s="14"/>
      <c r="AM773" s="23"/>
      <c r="AN773" s="14"/>
      <c r="AO773" s="23"/>
      <c r="AP773" s="14"/>
      <c r="AQ773" s="23"/>
      <c r="AR773" s="14"/>
      <c r="AS773" s="23"/>
      <c r="AT773" s="14"/>
      <c r="AU773" s="23"/>
      <c r="AV773" s="14"/>
      <c r="AW773" s="23"/>
      <c r="AX773" s="14"/>
      <c r="AY773" s="23"/>
      <c r="AZ773" s="14"/>
      <c r="BA773" s="23"/>
      <c r="BB773" s="14"/>
      <c r="BC773" s="23"/>
      <c r="BD773" s="14"/>
      <c r="BE773" s="23"/>
      <c r="BF773" s="14"/>
      <c r="BG773" s="23"/>
      <c r="BH773" s="14"/>
      <c r="BI773" s="23"/>
      <c r="BJ773" s="14"/>
      <c r="BK773" s="23"/>
      <c r="BL773" s="14"/>
      <c r="BM773" s="23"/>
      <c r="BN773" s="14"/>
      <c r="BO773" s="23"/>
      <c r="BP773" s="14"/>
      <c r="BQ773" s="23"/>
      <c r="BR773" s="14"/>
      <c r="BS773" s="23"/>
      <c r="BT773" s="14"/>
      <c r="BU773" s="24"/>
      <c r="BV773" s="14"/>
      <c r="BW773" s="24"/>
      <c r="BX773" s="98"/>
      <c r="BY773" s="24"/>
      <c r="BZ773" s="14"/>
      <c r="CA773" s="24"/>
      <c r="CB773" s="305"/>
      <c r="CC773" s="24"/>
      <c r="CD773" s="14"/>
      <c r="CE773" s="24"/>
      <c r="CF773" s="305"/>
      <c r="CG773" s="24"/>
      <c r="CH773" s="305"/>
      <c r="CI773" s="24"/>
      <c r="CJ773" s="305"/>
      <c r="CK773" s="24"/>
      <c r="CL773" s="305"/>
      <c r="CM773" s="24"/>
      <c r="CN773" s="305"/>
      <c r="CO773" s="24"/>
      <c r="CP773" s="305"/>
      <c r="CQ773" s="470"/>
      <c r="CR773" s="305"/>
      <c r="CS773" s="24"/>
      <c r="CT773" s="305"/>
      <c r="CU773" s="24"/>
      <c r="CV773" s="305"/>
      <c r="CW773" s="24"/>
      <c r="CX773" s="305"/>
      <c r="CY773" s="24"/>
      <c r="CZ773" s="305"/>
      <c r="DA773" s="24"/>
      <c r="DB773" s="305"/>
      <c r="DC773" s="24"/>
      <c r="DD773" s="305"/>
      <c r="DE773" s="24"/>
      <c r="DF773" s="305"/>
      <c r="DG773" s="24"/>
      <c r="DH773" s="305"/>
      <c r="DI773" s="24"/>
      <c r="DJ773" s="305"/>
      <c r="DK773" s="24"/>
      <c r="DL773" s="305"/>
      <c r="DM773" s="24"/>
      <c r="DN773" s="305"/>
      <c r="DO773" s="24"/>
      <c r="DP773" s="305"/>
      <c r="DQ773" s="24"/>
      <c r="DR773" s="305"/>
      <c r="DS773" s="24"/>
      <c r="DT773" s="305"/>
      <c r="DU773" s="24"/>
      <c r="DV773" s="305"/>
      <c r="DW773" s="24"/>
      <c r="DX773" s="305"/>
      <c r="DY773" s="24"/>
      <c r="DZ773" s="305"/>
      <c r="EA773" s="24"/>
      <c r="EB773" s="305"/>
      <c r="EC773" s="24"/>
      <c r="ED773" s="305"/>
      <c r="EE773" s="24"/>
      <c r="EF773" s="1076"/>
      <c r="EG773" s="24"/>
      <c r="EH773" s="1076"/>
      <c r="EI773" s="24"/>
      <c r="EJ773" s="1076"/>
      <c r="EK773" s="24"/>
      <c r="EL773" s="1076"/>
      <c r="EM773" s="24"/>
      <c r="EN773" s="1076"/>
      <c r="EO773" s="24"/>
      <c r="EP773" s="305"/>
      <c r="EQ773" s="1009"/>
      <c r="ER773" s="305"/>
      <c r="ES773" s="1009"/>
      <c r="ET773" s="305"/>
      <c r="EU773" s="1009"/>
      <c r="EV773" s="305"/>
      <c r="EW773" s="1009"/>
      <c r="EX773" s="305"/>
      <c r="EY773" s="24"/>
      <c r="EZ773" s="594"/>
      <c r="FA773" s="405"/>
      <c r="FB773" s="10"/>
      <c r="FC773" s="13"/>
      <c r="FD773" s="10"/>
      <c r="FE773" s="14"/>
      <c r="FF773" s="25"/>
      <c r="FG773" s="14"/>
      <c r="FH773" s="25"/>
      <c r="FI773" s="14"/>
      <c r="FJ773" s="25"/>
      <c r="FK773" s="14"/>
      <c r="FL773" s="25"/>
      <c r="FM773" s="14"/>
      <c r="FN773" s="25"/>
      <c r="FO773" s="14"/>
      <c r="FP773" s="25"/>
      <c r="FQ773" s="14"/>
      <c r="FR773" s="24"/>
      <c r="FS773" s="305"/>
      <c r="FT773" s="24"/>
      <c r="FU773" s="305"/>
      <c r="FV773" s="24"/>
      <c r="FW773" s="305"/>
      <c r="FX773" s="470"/>
      <c r="FY773" s="305"/>
      <c r="FZ773" s="24"/>
      <c r="GA773" s="305"/>
      <c r="GB773" s="470"/>
      <c r="GC773" s="305"/>
      <c r="GD773" s="24"/>
      <c r="GE773" s="305"/>
      <c r="GF773" s="24"/>
      <c r="GG773" s="305"/>
      <c r="GH773" s="24"/>
      <c r="GI773" s="305"/>
      <c r="GJ773" s="24"/>
      <c r="GK773" s="305"/>
      <c r="GL773" s="24"/>
      <c r="GM773" s="305"/>
      <c r="GN773" s="24"/>
      <c r="GO773" s="305"/>
      <c r="GP773" s="24"/>
      <c r="GQ773" s="305"/>
      <c r="GR773" s="24"/>
      <c r="GS773" s="305"/>
      <c r="GT773" s="24"/>
      <c r="GU773" s="305"/>
      <c r="GV773" s="24"/>
      <c r="GW773" s="305"/>
      <c r="GX773" s="24"/>
      <c r="GY773" s="305"/>
      <c r="GZ773" s="98"/>
      <c r="HA773" s="98"/>
      <c r="HB773" s="10"/>
      <c r="HC773"/>
      <c r="HD773"/>
      <c r="HE773"/>
      <c r="HF773"/>
      <c r="HG773"/>
      <c r="HH773"/>
      <c r="HI773" s="10"/>
    </row>
    <row r="774" spans="1:217" s="2" customFormat="1" ht="12.75" customHeight="1" x14ac:dyDescent="0.2">
      <c r="A774" s="351"/>
      <c r="B774" s="2" t="s">
        <v>547</v>
      </c>
      <c r="C774" s="321">
        <v>120</v>
      </c>
      <c r="D774" s="321"/>
      <c r="E774" s="321">
        <v>126</v>
      </c>
      <c r="F774" s="321"/>
      <c r="G774" s="321">
        <v>127</v>
      </c>
      <c r="H774" s="321"/>
      <c r="I774" s="321">
        <v>161</v>
      </c>
      <c r="J774" s="13"/>
      <c r="K774" s="321">
        <v>157</v>
      </c>
      <c r="L774" s="14"/>
      <c r="M774" s="321">
        <v>260</v>
      </c>
      <c r="N774" s="14"/>
      <c r="O774" s="321">
        <v>145</v>
      </c>
      <c r="P774" s="14"/>
      <c r="Q774" s="321">
        <v>209</v>
      </c>
      <c r="R774" s="14"/>
      <c r="S774" s="10" t="s">
        <v>292</v>
      </c>
      <c r="T774" s="14"/>
      <c r="U774" s="10"/>
      <c r="V774" s="14"/>
      <c r="W774" s="10"/>
      <c r="X774" s="14"/>
      <c r="Y774" s="10"/>
      <c r="Z774" s="14"/>
      <c r="AA774" s="10"/>
      <c r="AB774" s="14"/>
      <c r="AC774" s="10"/>
      <c r="AD774" s="14"/>
      <c r="AE774" s="10"/>
      <c r="AF774" s="14"/>
      <c r="AG774" s="10"/>
      <c r="AH774" s="14"/>
      <c r="AI774" s="23"/>
      <c r="AJ774" s="14"/>
      <c r="AK774" s="23"/>
      <c r="AL774" s="14"/>
      <c r="AM774" s="23"/>
      <c r="AN774" s="14"/>
      <c r="AO774" s="23"/>
      <c r="AP774" s="14"/>
      <c r="AQ774" s="23"/>
      <c r="AR774" s="14"/>
      <c r="AS774" s="23"/>
      <c r="AT774" s="14"/>
      <c r="AU774" s="23"/>
      <c r="AV774" s="14"/>
      <c r="AW774" s="23"/>
      <c r="AX774" s="14"/>
      <c r="AY774" s="23"/>
      <c r="AZ774" s="14"/>
      <c r="BA774" s="23"/>
      <c r="BB774" s="14"/>
      <c r="BC774" s="23"/>
      <c r="BD774" s="14"/>
      <c r="BE774" s="23"/>
      <c r="BF774" s="14"/>
      <c r="BG774" s="23"/>
      <c r="BH774" s="14"/>
      <c r="BI774" s="23"/>
      <c r="BJ774" s="14"/>
      <c r="BK774" s="23"/>
      <c r="BL774" s="14"/>
      <c r="BM774" s="23"/>
      <c r="BN774" s="14"/>
      <c r="BO774" s="23"/>
      <c r="BP774" s="14"/>
      <c r="BQ774" s="23"/>
      <c r="BR774" s="14"/>
      <c r="BS774" s="23"/>
      <c r="BT774" s="14"/>
      <c r="BU774" s="24"/>
      <c r="BV774" s="14"/>
      <c r="BW774" s="24"/>
      <c r="BX774" s="98"/>
      <c r="BY774" s="24"/>
      <c r="BZ774" s="14"/>
      <c r="CA774" s="24"/>
      <c r="CB774" s="120"/>
      <c r="CC774" s="24"/>
      <c r="CD774" s="14"/>
      <c r="CE774" s="24"/>
      <c r="CF774" s="120"/>
      <c r="CG774" s="24"/>
      <c r="CH774" s="120"/>
      <c r="CI774" s="24"/>
      <c r="CJ774" s="120"/>
      <c r="CK774" s="24"/>
      <c r="CL774" s="120"/>
      <c r="CM774" s="24"/>
      <c r="CN774" s="120"/>
      <c r="CO774" s="24"/>
      <c r="CP774" s="120"/>
      <c r="CQ774" s="470"/>
      <c r="CR774" s="120"/>
      <c r="CS774" s="24"/>
      <c r="CT774" s="120"/>
      <c r="CU774" s="24"/>
      <c r="CV774" s="120"/>
      <c r="CW774" s="24"/>
      <c r="CX774" s="120"/>
      <c r="CY774" s="24"/>
      <c r="CZ774" s="120"/>
      <c r="DA774" s="24"/>
      <c r="DB774" s="120"/>
      <c r="DC774" s="24"/>
      <c r="DD774" s="120"/>
      <c r="DE774" s="24"/>
      <c r="DF774" s="120"/>
      <c r="DG774" s="24"/>
      <c r="DH774" s="120"/>
      <c r="DI774" s="24"/>
      <c r="DJ774" s="120"/>
      <c r="DK774" s="24"/>
      <c r="DL774" s="120"/>
      <c r="DM774" s="24"/>
      <c r="DN774" s="120"/>
      <c r="DO774" s="24"/>
      <c r="DP774" s="120"/>
      <c r="DQ774" s="24"/>
      <c r="DR774" s="120"/>
      <c r="DS774" s="24"/>
      <c r="DT774" s="120"/>
      <c r="DU774" s="24"/>
      <c r="DV774" s="120"/>
      <c r="DW774" s="24"/>
      <c r="DX774" s="120"/>
      <c r="DY774" s="24"/>
      <c r="DZ774" s="120"/>
      <c r="EA774" s="24"/>
      <c r="EB774" s="120"/>
      <c r="EC774" s="24"/>
      <c r="ED774" s="120"/>
      <c r="EE774" s="24"/>
      <c r="EF774" s="824"/>
      <c r="EG774" s="24"/>
      <c r="EH774" s="824"/>
      <c r="EI774" s="24"/>
      <c r="EJ774" s="824"/>
      <c r="EK774" s="24"/>
      <c r="EL774" s="824"/>
      <c r="EM774" s="24"/>
      <c r="EN774" s="824"/>
      <c r="EO774" s="24"/>
      <c r="EP774" s="120"/>
      <c r="EQ774" s="1009"/>
      <c r="ER774" s="120"/>
      <c r="ES774" s="1009"/>
      <c r="ET774" s="120"/>
      <c r="EU774" s="1009"/>
      <c r="EV774" s="120"/>
      <c r="EW774" s="1009"/>
      <c r="EX774" s="120"/>
      <c r="EY774" s="24"/>
      <c r="EZ774" s="594"/>
      <c r="FA774" s="405"/>
      <c r="FB774" s="10"/>
      <c r="FC774" s="13"/>
      <c r="FD774" s="10"/>
      <c r="FE774" s="14"/>
      <c r="FF774" s="25"/>
      <c r="FG774" s="14"/>
      <c r="FH774" s="25"/>
      <c r="FI774" s="14"/>
      <c r="FJ774" s="25"/>
      <c r="FK774" s="14"/>
      <c r="FL774" s="25"/>
      <c r="FM774" s="14"/>
      <c r="FN774" s="25"/>
      <c r="FO774" s="14"/>
      <c r="FP774" s="25"/>
      <c r="FQ774" s="14"/>
      <c r="FR774" s="24"/>
      <c r="FS774" s="305"/>
      <c r="FT774" s="24"/>
      <c r="FU774" s="305"/>
      <c r="FV774" s="24"/>
      <c r="FW774" s="305"/>
      <c r="FX774" s="470"/>
      <c r="FY774" s="305"/>
      <c r="FZ774" s="24"/>
      <c r="GA774" s="305"/>
      <c r="GB774" s="470"/>
      <c r="GC774" s="305"/>
      <c r="GD774" s="24"/>
      <c r="GE774" s="305"/>
      <c r="GF774" s="24"/>
      <c r="GG774" s="305"/>
      <c r="GH774" s="24"/>
      <c r="GI774" s="305"/>
      <c r="GJ774" s="24"/>
      <c r="GK774" s="305"/>
      <c r="GL774" s="24"/>
      <c r="GM774" s="305"/>
      <c r="GN774" s="24"/>
      <c r="GO774" s="305"/>
      <c r="GP774" s="24"/>
      <c r="GQ774" s="305"/>
      <c r="GR774" s="24"/>
      <c r="GS774" s="305"/>
      <c r="GT774" s="24"/>
      <c r="GU774" s="305"/>
      <c r="GV774" s="24"/>
      <c r="GW774" s="305"/>
      <c r="GX774" s="24"/>
      <c r="GY774" s="305"/>
      <c r="GZ774" s="98"/>
      <c r="HA774" s="98"/>
      <c r="HB774" s="10"/>
      <c r="HC774"/>
      <c r="HD774"/>
      <c r="HE774"/>
      <c r="HF774"/>
      <c r="HG774"/>
      <c r="HH774"/>
      <c r="HI774" s="10"/>
    </row>
    <row r="775" spans="1:217" s="2" customFormat="1" ht="12.75" customHeight="1" x14ac:dyDescent="0.2">
      <c r="A775" s="351" t="s">
        <v>204</v>
      </c>
      <c r="B775" s="2" t="s">
        <v>16</v>
      </c>
      <c r="C775" s="10">
        <f>+C769+C771</f>
        <v>77</v>
      </c>
      <c r="D775" s="13"/>
      <c r="E775" s="10">
        <f>+E769+E771</f>
        <v>72</v>
      </c>
      <c r="F775" s="10"/>
      <c r="G775" s="10">
        <f>+G769+G771</f>
        <v>68</v>
      </c>
      <c r="H775" s="13"/>
      <c r="I775" s="10">
        <f>+I769+I771</f>
        <v>76</v>
      </c>
      <c r="J775" s="98"/>
      <c r="K775" s="10">
        <f>+K769+K771</f>
        <v>70</v>
      </c>
      <c r="L775" s="98"/>
      <c r="M775" s="10">
        <f>+M769+M771</f>
        <v>76</v>
      </c>
      <c r="N775" s="98"/>
      <c r="O775" s="10">
        <f>+O769+O771</f>
        <v>78</v>
      </c>
      <c r="P775" s="98"/>
      <c r="Q775" s="10">
        <f>+Q769+Q771</f>
        <v>98</v>
      </c>
      <c r="R775" s="98"/>
      <c r="S775" s="10">
        <f>+S769+S771</f>
        <v>86</v>
      </c>
      <c r="T775" s="98"/>
      <c r="U775" s="10">
        <f>+U769+U771</f>
        <v>106</v>
      </c>
      <c r="V775" s="98"/>
      <c r="W775" s="10">
        <f>+W769+W771</f>
        <v>109</v>
      </c>
      <c r="X775" s="98"/>
      <c r="Y775" s="10">
        <f>+Y769+Y771</f>
        <v>126</v>
      </c>
      <c r="Z775" s="98"/>
      <c r="AA775" s="10">
        <f>+AA769+AA771</f>
        <v>108</v>
      </c>
      <c r="AB775" s="98"/>
      <c r="AC775" s="10">
        <f>+AC769+AC771</f>
        <v>120</v>
      </c>
      <c r="AD775" s="98"/>
      <c r="AE775" s="10">
        <f>+AE769+AE771</f>
        <v>132</v>
      </c>
      <c r="AF775" s="98"/>
      <c r="AG775" s="10">
        <f>+AG769+AG771</f>
        <v>161</v>
      </c>
      <c r="AH775" s="98"/>
      <c r="AI775" s="23">
        <f>+AI769+AI771</f>
        <v>149</v>
      </c>
      <c r="AJ775" s="98"/>
      <c r="AK775" s="23">
        <f>+AK769+AK771</f>
        <v>163</v>
      </c>
      <c r="AL775" s="98"/>
      <c r="AM775" s="23">
        <f>+AM769+AM771</f>
        <v>169</v>
      </c>
      <c r="AN775" s="98"/>
      <c r="AO775" s="23">
        <f>+AO769+AO771</f>
        <v>169</v>
      </c>
      <c r="AP775" s="98"/>
      <c r="AQ775" s="23">
        <f>+AQ769+AQ771</f>
        <v>149</v>
      </c>
      <c r="AR775" s="98"/>
      <c r="AS775" s="23">
        <f>+AS769+AS771</f>
        <v>162</v>
      </c>
      <c r="AT775" s="98"/>
      <c r="AU775" s="23">
        <f>+AU769+AU771</f>
        <v>297</v>
      </c>
      <c r="AV775" s="98"/>
      <c r="AW775" s="23">
        <f>+AW769+AW771</f>
        <v>282</v>
      </c>
      <c r="AX775" s="98"/>
      <c r="AY775" s="395">
        <f>+AY769+AY771</f>
        <v>253</v>
      </c>
      <c r="AZ775" s="98"/>
      <c r="BA775" s="395">
        <f>+BA769+BA771</f>
        <v>227</v>
      </c>
      <c r="BB775" s="98"/>
      <c r="BC775" s="395">
        <f>+BC769+BC771</f>
        <v>193</v>
      </c>
      <c r="BD775" s="98"/>
      <c r="BE775" s="395">
        <f>+BE769+BE771</f>
        <v>192</v>
      </c>
      <c r="BF775" s="98"/>
      <c r="BG775" s="395">
        <f>+BG769+BG771</f>
        <v>182</v>
      </c>
      <c r="BH775" s="98"/>
      <c r="BI775" s="395">
        <f>+BI769+BI771</f>
        <v>204</v>
      </c>
      <c r="BJ775" s="98"/>
      <c r="BK775" s="395">
        <f>+BK769+BK771</f>
        <v>228</v>
      </c>
      <c r="BL775" s="98"/>
      <c r="BM775" s="395">
        <f>+BM769+BM771</f>
        <v>253</v>
      </c>
      <c r="BN775" s="98"/>
      <c r="BO775" s="395">
        <f>+BO769+BO771</f>
        <v>0</v>
      </c>
      <c r="BP775" s="98"/>
      <c r="BQ775" s="395">
        <f>+BQ769+BQ771</f>
        <v>0</v>
      </c>
      <c r="BR775" s="98"/>
      <c r="BS775" s="395">
        <f>+BS769+BS771</f>
        <v>0</v>
      </c>
      <c r="BT775" s="98"/>
      <c r="BU775" s="395">
        <f>+BU769+BU771</f>
        <v>104</v>
      </c>
      <c r="BV775" s="98"/>
      <c r="BW775" s="395">
        <f>+BW769+BW771</f>
        <v>87</v>
      </c>
      <c r="BX775" s="98"/>
      <c r="BY775" s="395">
        <f>+BY769+BY771</f>
        <v>110</v>
      </c>
      <c r="BZ775" s="98"/>
      <c r="CA775" s="395">
        <f>+CA769+CA771</f>
        <v>117</v>
      </c>
      <c r="CB775" s="120"/>
      <c r="CC775" s="395">
        <f>+CC769+CC771</f>
        <v>134</v>
      </c>
      <c r="CD775" s="98"/>
      <c r="CE775" s="395">
        <f>+CE769+CE771</f>
        <v>103</v>
      </c>
      <c r="CF775" s="120"/>
      <c r="CG775" s="395">
        <f>+CG769+CG771</f>
        <v>108</v>
      </c>
      <c r="CH775" s="120"/>
      <c r="CI775" s="395">
        <f>+CI769+CI771</f>
        <v>108</v>
      </c>
      <c r="CJ775" s="120"/>
      <c r="CK775" s="395">
        <f>+CK769+CK771</f>
        <v>122</v>
      </c>
      <c r="CL775" s="120"/>
      <c r="CM775" s="395">
        <f>+CM769+CM771</f>
        <v>114</v>
      </c>
      <c r="CN775" s="120"/>
      <c r="CO775" s="395">
        <f>+CO769+CO771</f>
        <v>117</v>
      </c>
      <c r="CP775" s="120"/>
      <c r="CQ775" s="535">
        <f>+CQ769+CQ771</f>
        <v>111</v>
      </c>
      <c r="CR775" s="120"/>
      <c r="CS775" s="395">
        <f>+CS769+CS771</f>
        <v>120</v>
      </c>
      <c r="CT775" s="120"/>
      <c r="CU775" s="395">
        <f>+CU769+CU771</f>
        <v>104</v>
      </c>
      <c r="CV775" s="120"/>
      <c r="CW775" s="395">
        <f>+CW769+CW771</f>
        <v>106</v>
      </c>
      <c r="CX775" s="120"/>
      <c r="CY775" s="395">
        <f>+CY769+CY771</f>
        <v>97</v>
      </c>
      <c r="CZ775" s="120"/>
      <c r="DA775" s="395">
        <f>+DA769+DA771</f>
        <v>119</v>
      </c>
      <c r="DB775" s="120"/>
      <c r="DC775" s="395">
        <f>+DC769+DC771</f>
        <v>95</v>
      </c>
      <c r="DD775" s="120"/>
      <c r="DE775" s="395">
        <f>+DE769+DE771</f>
        <v>104</v>
      </c>
      <c r="DF775" s="120"/>
      <c r="DG775" s="395">
        <f>+DG769+DG771</f>
        <v>74</v>
      </c>
      <c r="DH775" s="120"/>
      <c r="DI775" s="395">
        <f>+DI769+DI771</f>
        <v>79</v>
      </c>
      <c r="DJ775" s="120"/>
      <c r="DK775" s="395">
        <f>+DK769+DK771</f>
        <v>57</v>
      </c>
      <c r="DL775" s="98">
        <f>IF(ISERROR((DK775/DC775-1)*100),"NA",IF(((DK775/DC775-1)*100)&gt;100,"NM",IF(((DK775/DC775-1)*100)&lt;-50,"NM",(DK775/DC775-1)*100)))</f>
        <v>-40</v>
      </c>
      <c r="DM775" s="395">
        <f>+DM769+DM771</f>
        <v>64</v>
      </c>
      <c r="DN775" s="98">
        <f>IF(ISERROR((DM775/DE775-1)*100),"NA",IF(((DM775/DE775-1)*100)&gt;100,"NM",IF(((DM775/DE775-1)*100)&lt;-50,"NM",(DM775/DE775-1)*100)))</f>
        <v>-38.46153846153846</v>
      </c>
      <c r="DO775" s="395">
        <f>+DO769+DO771</f>
        <v>54</v>
      </c>
      <c r="DP775" s="98">
        <f>IF(ISERROR((DO775/DG775-1)*100),"NA",IF(((DO775/DG775-1)*100)&gt;100,"NM",IF(((DO775/DG775-1)*100)&lt;-50,"NM",(DO775/DG775-1)*100)))</f>
        <v>-27.027027027027028</v>
      </c>
      <c r="DQ775" s="395">
        <f>+DQ769+DQ771</f>
        <v>69</v>
      </c>
      <c r="DR775" s="98">
        <f>IF(ISERROR((DQ775/DI775-1)*100),"NA",IF(((DQ775/DI775-1)*100)&gt;100,"NM",IF(((DQ775/DI775-1)*100)&lt;-50,"NM",(DQ775/DI775-1)*100)))</f>
        <v>-12.658227848101266</v>
      </c>
      <c r="DS775" s="395">
        <f>+DS769+DS771</f>
        <v>71</v>
      </c>
      <c r="DT775" s="98">
        <f>IF(ISERROR((DS775/DK775-1)*100),"NA",IF(((DS775/DK775-1)*100)&gt;100,"NM",IF(((DS775/DK775-1)*100)&lt;-50,"NM",(DS775/DK775-1)*100)))</f>
        <v>24.561403508771939</v>
      </c>
      <c r="DU775" s="395">
        <f>+DU769+DU771</f>
        <v>76</v>
      </c>
      <c r="DV775" s="98">
        <f>IF(ISERROR((DU775/DM775-1)*100),"NA",IF(((DU775/DM775-1)*100)&gt;100,"NM",IF(((DU775/DM775-1)*100)&lt;-50,"NM",(DU775/DM775-1)*100)))</f>
        <v>18.75</v>
      </c>
      <c r="DW775" s="395">
        <f>+DW769+DW771</f>
        <v>77</v>
      </c>
      <c r="DX775" s="98">
        <f>IF(ISERROR((DW775/DO775-1)*100),"NA",IF(((DW775/DO775-1)*100)&gt;100,"NM",IF(((DW775/DO775-1)*100)&lt;-50,"NM",(DW775/DO775-1)*100)))</f>
        <v>42.592592592592581</v>
      </c>
      <c r="DY775" s="395">
        <f>+DY769+DY771</f>
        <v>78</v>
      </c>
      <c r="DZ775" s="98">
        <f>IF(ISERROR((DY775/DQ775-1)*100),"NA",IF(((DY775/DQ775-1)*100)&gt;100,"NM",IF(((DY775/DQ775-1)*100)&lt;-50,"NM",(DY775/DQ775-1)*100)))</f>
        <v>13.043478260869556</v>
      </c>
      <c r="EA775" s="395">
        <f>+EA769+EA771</f>
        <v>70</v>
      </c>
      <c r="EB775" s="98">
        <f>IF(ISERROR((EA775/DS775-1)*100),"NA",IF(((EA775/DS775-1)*100)&gt;100,"NM",IF(((EA775/DS775-1)*100)&lt;-50,"NM",(EA775/DS775-1)*100)))</f>
        <v>-1.4084507042253502</v>
      </c>
      <c r="EC775" s="395">
        <f>+EC769+EC771</f>
        <v>71</v>
      </c>
      <c r="ED775" s="98">
        <f>IF(ISERROR((EC775/DU775-1)*100),"NA",IF(((EC775/DU775-1)*100)&gt;100,"NM",IF(((EC775/DU775-1)*100)&lt;-50,"NM",(EC775/DU775-1)*100)))</f>
        <v>-6.5789473684210513</v>
      </c>
      <c r="EE775" s="395">
        <f>+EE769+EE771</f>
        <v>0</v>
      </c>
      <c r="EF775" s="860" t="str">
        <f>IF(ISERROR((EE775/DW775-1)*100),"NA",IF(((EE775/DW775-1)*100)&gt;100,"NM",IF(((EE775/DW775-1)*100)&lt;-50,"NM",(EE775/DW775-1)*100)))</f>
        <v>NM</v>
      </c>
      <c r="EG775" s="395">
        <f>+EG769+EG771</f>
        <v>0</v>
      </c>
      <c r="EH775" s="860" t="str">
        <f>IF(ISERROR((EG775/DY775-1)*100),"NA",IF(((EG775/DY775-1)*100)&gt;100,"NM",IF(((EG775/DY775-1)*100)&lt;-50,"NM",(EG775/DY775-1)*100)))</f>
        <v>NM</v>
      </c>
      <c r="EI775" s="395">
        <f>+EI769+EI771</f>
        <v>0</v>
      </c>
      <c r="EJ775" s="860" t="str">
        <f t="shared" ref="EJ775" si="4854">IF(ISERROR((EI775/EA775-1)*100),"NA",IF(((EI775/EA775-1)*100)&gt;100,"NM",IF(((EI775/EA775-1)*100)&lt;-50,"NM",(EI775/EA775-1)*100)))</f>
        <v>NM</v>
      </c>
      <c r="EK775" s="395">
        <f>+EK769+EK771</f>
        <v>0</v>
      </c>
      <c r="EL775" s="860" t="str">
        <f t="shared" ref="EL775" si="4855">IF(ISERROR((EK775/EC775-1)*100),"NA",IF(((EK775/EC775-1)*100)&gt;100,"NM",IF(((EK775/EC775-1)*100)&lt;-50,"NM",(EK775/EC775-1)*100)))</f>
        <v>NM</v>
      </c>
      <c r="EM775" s="395">
        <f>+EM769+EM771</f>
        <v>0</v>
      </c>
      <c r="EN775" s="860" t="str">
        <f t="shared" ref="EN775" si="4856">IF(ISERROR((EM775/EE775-1)*100),"NA",IF(((EM775/EE775-1)*100)&gt;100,"NM",IF(((EM775/EE775-1)*100)&lt;-50,"NM",(EM775/EE775-1)*100)))</f>
        <v>NA</v>
      </c>
      <c r="EO775" s="395">
        <f>+EO769+EO771</f>
        <v>0</v>
      </c>
      <c r="EP775" s="98" t="str">
        <f t="shared" ref="EP775" si="4857">IF(ISERROR((EO775/EG775-1)*100),"NA",IF(((EO775/EG775-1)*100)&gt;100,"NM",IF(((EO775/EG775-1)*100)&lt;-50,"NM",(EO775/EG775-1)*100)))</f>
        <v>NA</v>
      </c>
      <c r="EQ775" s="1075">
        <f t="shared" ref="EQ775" si="4858">+EQ769+EQ771</f>
        <v>0</v>
      </c>
      <c r="ER775" s="98" t="str">
        <f t="shared" ref="ER775" si="4859">IF(ISERROR((EQ775/EI775-1)*100),"NA",IF(((EQ775/EI775-1)*100)&gt;100,"NM",IF(((EQ775/EI775-1)*100)&lt;-50,"NM",(EQ775/EI775-1)*100)))</f>
        <v>NA</v>
      </c>
      <c r="ES775" s="1075">
        <f t="shared" ref="ES775" si="4860">+ES769+ES771</f>
        <v>0</v>
      </c>
      <c r="ET775" s="98" t="str">
        <f t="shared" ref="ET775" si="4861">IF(ISERROR((ES775/EK775-1)*100),"NA",IF(((ES775/EK775-1)*100)&gt;100,"NM",IF(((ES775/EK775-1)*100)&lt;-50,"NM",(ES775/EK775-1)*100)))</f>
        <v>NA</v>
      </c>
      <c r="EU775" s="1075">
        <f t="shared" ref="EU775" si="4862">+EU769+EU771</f>
        <v>0</v>
      </c>
      <c r="EV775" s="98" t="str">
        <f t="shared" ref="EV775" si="4863">IF(ISERROR((EU775/EM775-1)*100),"NA",IF(((EU775/EM775-1)*100)&gt;100,"NM",IF(((EU775/EM775-1)*100)&lt;-50,"NM",(EU775/EM775-1)*100)))</f>
        <v>NA</v>
      </c>
      <c r="EW775" s="1075">
        <f t="shared" ref="EW775" si="4864">+EW769+EW771</f>
        <v>0</v>
      </c>
      <c r="EX775" s="98" t="str">
        <f t="shared" ref="EX775" si="4865">IF(ISERROR((EW775/EO775-1)*100),"NA",IF(((EW775/EO775-1)*100)&gt;100,"NM",IF(((EW775/EO775-1)*100)&lt;-50,"NM",(EW775/EO775-1)*100)))</f>
        <v>NA</v>
      </c>
      <c r="EY775" s="24"/>
      <c r="EZ775" s="594"/>
      <c r="FA775" s="405"/>
      <c r="FB775" s="10"/>
      <c r="FC775" s="13"/>
      <c r="FD775" s="10"/>
      <c r="FE775" s="98"/>
      <c r="FF775" s="25"/>
      <c r="FG775" s="98"/>
      <c r="FH775" s="25"/>
      <c r="FI775" s="98"/>
      <c r="FJ775" s="25"/>
      <c r="FK775" s="98"/>
      <c r="FL775" s="25"/>
      <c r="FM775" s="98"/>
      <c r="FN775" s="25"/>
      <c r="FO775" s="98"/>
      <c r="FP775" s="25"/>
      <c r="FQ775" s="98"/>
      <c r="FR775" s="24"/>
      <c r="FS775" s="120"/>
      <c r="FT775" s="24"/>
      <c r="FU775" s="120"/>
      <c r="FV775" s="24"/>
      <c r="FW775" s="120"/>
      <c r="FX775" s="470"/>
      <c r="FY775" s="120"/>
      <c r="FZ775" s="24"/>
      <c r="GA775" s="120"/>
      <c r="GB775" s="470"/>
      <c r="GC775" s="120"/>
      <c r="GD775" s="24"/>
      <c r="GE775" s="120"/>
      <c r="GF775" s="24"/>
      <c r="GG775" s="120"/>
      <c r="GH775" s="24"/>
      <c r="GI775" s="120"/>
      <c r="GJ775" s="24"/>
      <c r="GK775" s="120"/>
      <c r="GL775" s="24"/>
      <c r="GM775" s="120"/>
      <c r="GN775" s="24"/>
      <c r="GO775" s="120"/>
      <c r="GP775" s="24"/>
      <c r="GQ775" s="120"/>
      <c r="GR775" s="24"/>
      <c r="GS775" s="120"/>
      <c r="GT775" s="24"/>
      <c r="GU775" s="120"/>
      <c r="GV775" s="24"/>
      <c r="GW775" s="120"/>
      <c r="GX775" s="24"/>
      <c r="GY775" s="120"/>
      <c r="GZ775" s="98"/>
      <c r="HA775" s="98"/>
      <c r="HB775" s="10"/>
      <c r="HC775"/>
      <c r="HD775"/>
      <c r="HE775"/>
      <c r="HF775"/>
      <c r="HG775"/>
      <c r="HH775"/>
      <c r="HI775" s="10"/>
    </row>
    <row r="776" spans="1:217" s="2" customFormat="1" ht="12.75" customHeight="1" x14ac:dyDescent="0.2">
      <c r="A776" s="351"/>
      <c r="C776" s="10"/>
      <c r="D776" s="13"/>
      <c r="E776" s="10"/>
      <c r="F776" s="13"/>
      <c r="G776" s="10"/>
      <c r="H776" s="13"/>
      <c r="I776" s="10"/>
      <c r="J776" s="13"/>
      <c r="K776" s="10"/>
      <c r="L776" s="14"/>
      <c r="M776" s="10"/>
      <c r="N776" s="14"/>
      <c r="O776" s="10"/>
      <c r="P776" s="14"/>
      <c r="Q776" s="10"/>
      <c r="R776" s="14"/>
      <c r="S776" s="10"/>
      <c r="T776" s="14"/>
      <c r="U776" s="10"/>
      <c r="V776" s="14"/>
      <c r="W776" s="10"/>
      <c r="X776" s="14"/>
      <c r="Y776" s="10"/>
      <c r="Z776" s="14"/>
      <c r="AA776" s="10"/>
      <c r="AB776" s="14"/>
      <c r="AC776" s="10"/>
      <c r="AD776" s="14"/>
      <c r="AE776" s="10"/>
      <c r="AF776" s="14"/>
      <c r="AG776" s="10"/>
      <c r="AH776" s="14"/>
      <c r="AI776" s="23"/>
      <c r="AJ776" s="14"/>
      <c r="AK776" s="23"/>
      <c r="AL776" s="14"/>
      <c r="AM776" s="23"/>
      <c r="AN776" s="14"/>
      <c r="AO776" s="23"/>
      <c r="AP776" s="14"/>
      <c r="AQ776" s="23"/>
      <c r="AR776" s="14"/>
      <c r="AS776" s="23"/>
      <c r="AT776" s="14"/>
      <c r="AU776" s="23"/>
      <c r="AV776" s="14"/>
      <c r="AW776" s="23"/>
      <c r="AX776" s="14"/>
      <c r="AY776" s="23"/>
      <c r="AZ776" s="14"/>
      <c r="BA776" s="23"/>
      <c r="BB776" s="14"/>
      <c r="BC776" s="23"/>
      <c r="BD776" s="14"/>
      <c r="BE776" s="23"/>
      <c r="BF776" s="14"/>
      <c r="BG776" s="396"/>
      <c r="BH776" s="14"/>
      <c r="BI776" s="396"/>
      <c r="BJ776" s="14"/>
      <c r="BK776" s="396"/>
      <c r="BL776" s="14"/>
      <c r="BM776" s="396"/>
      <c r="BN776" s="14"/>
      <c r="BO776" s="396"/>
      <c r="BP776" s="14"/>
      <c r="BQ776" s="396"/>
      <c r="BR776" s="14"/>
      <c r="BS776" s="396"/>
      <c r="BT776" s="14"/>
      <c r="BU776" s="396"/>
      <c r="BV776" s="14"/>
      <c r="BW776" s="396"/>
      <c r="BX776" s="98"/>
      <c r="BY776" s="396"/>
      <c r="BZ776" s="14"/>
      <c r="CA776" s="396"/>
      <c r="CB776" s="120"/>
      <c r="CC776" s="396"/>
      <c r="CD776" s="14"/>
      <c r="CE776" s="396"/>
      <c r="CF776" s="120"/>
      <c r="CG776" s="396"/>
      <c r="CH776" s="120"/>
      <c r="CI776" s="396"/>
      <c r="CJ776" s="120"/>
      <c r="CK776" s="396"/>
      <c r="CL776" s="120"/>
      <c r="CM776" s="396"/>
      <c r="CN776" s="120"/>
      <c r="CO776" s="396"/>
      <c r="CP776" s="120"/>
      <c r="CQ776" s="573"/>
      <c r="CR776" s="120"/>
      <c r="CS776" s="396"/>
      <c r="CT776" s="120"/>
      <c r="CU776" s="396"/>
      <c r="CV776" s="120"/>
      <c r="CW776" s="396"/>
      <c r="CX776" s="120"/>
      <c r="CY776" s="396"/>
      <c r="CZ776" s="120"/>
      <c r="DA776" s="396"/>
      <c r="DB776" s="120"/>
      <c r="DC776" s="396"/>
      <c r="DD776" s="120"/>
      <c r="DE776" s="396"/>
      <c r="DF776" s="120"/>
      <c r="DG776" s="396"/>
      <c r="DH776" s="120"/>
      <c r="DI776" s="396"/>
      <c r="DJ776" s="120"/>
      <c r="DK776" s="396"/>
      <c r="DL776" s="120"/>
      <c r="DM776" s="396"/>
      <c r="DN776" s="120"/>
      <c r="DO776" s="396"/>
      <c r="DP776" s="120"/>
      <c r="DQ776" s="396"/>
      <c r="DR776" s="120"/>
      <c r="DS776" s="396"/>
      <c r="DT776" s="120"/>
      <c r="DU776" s="396"/>
      <c r="DV776" s="120"/>
      <c r="DW776" s="396"/>
      <c r="DX776" s="120"/>
      <c r="DY776" s="396"/>
      <c r="DZ776" s="120"/>
      <c r="EA776" s="396"/>
      <c r="EB776" s="120"/>
      <c r="EC776" s="396"/>
      <c r="ED776" s="120"/>
      <c r="EE776" s="396"/>
      <c r="EF776" s="824"/>
      <c r="EG776" s="396"/>
      <c r="EH776" s="824"/>
      <c r="EI776" s="396"/>
      <c r="EJ776" s="824"/>
      <c r="EK776" s="396"/>
      <c r="EL776" s="824"/>
      <c r="EM776" s="396"/>
      <c r="EN776" s="824"/>
      <c r="EO776" s="396"/>
      <c r="EP776" s="120"/>
      <c r="EQ776" s="1077"/>
      <c r="ER776" s="120"/>
      <c r="ES776" s="1077"/>
      <c r="ET776" s="120"/>
      <c r="EU776" s="1077"/>
      <c r="EV776" s="120"/>
      <c r="EW776" s="1077"/>
      <c r="EX776" s="120"/>
      <c r="EY776" s="24"/>
      <c r="EZ776" s="594"/>
      <c r="FA776" s="405"/>
      <c r="FB776" s="10"/>
      <c r="FC776" s="13"/>
      <c r="FD776" s="10"/>
      <c r="FE776" s="14"/>
      <c r="FF776" s="25"/>
      <c r="FG776" s="14"/>
      <c r="FH776" s="25"/>
      <c r="FI776" s="14"/>
      <c r="FJ776" s="25"/>
      <c r="FK776" s="14"/>
      <c r="FL776" s="25"/>
      <c r="FM776" s="14"/>
      <c r="FN776" s="25"/>
      <c r="FO776" s="14"/>
      <c r="FP776" s="25"/>
      <c r="FQ776" s="14"/>
      <c r="FR776" s="24"/>
      <c r="FS776" s="305"/>
      <c r="FT776" s="24"/>
      <c r="FU776" s="305"/>
      <c r="FV776" s="24"/>
      <c r="FW776" s="305"/>
      <c r="FX776" s="470"/>
      <c r="FY776" s="305"/>
      <c r="FZ776" s="24"/>
      <c r="GA776" s="305"/>
      <c r="GB776" s="470"/>
      <c r="GC776" s="305"/>
      <c r="GD776" s="24"/>
      <c r="GE776" s="305"/>
      <c r="GF776" s="24"/>
      <c r="GG776" s="305"/>
      <c r="GH776" s="24"/>
      <c r="GI776" s="305"/>
      <c r="GJ776" s="24"/>
      <c r="GK776" s="305"/>
      <c r="GL776" s="24"/>
      <c r="GM776" s="305"/>
      <c r="GN776" s="24"/>
      <c r="GO776" s="305"/>
      <c r="GP776" s="24"/>
      <c r="GQ776" s="305"/>
      <c r="GR776" s="24"/>
      <c r="GS776" s="305"/>
      <c r="GT776" s="24"/>
      <c r="GU776" s="305"/>
      <c r="GV776" s="24"/>
      <c r="GW776" s="305"/>
      <c r="GX776" s="24"/>
      <c r="GY776" s="305"/>
      <c r="GZ776" s="98"/>
      <c r="HA776" s="98"/>
      <c r="HB776" s="10"/>
      <c r="HC776"/>
      <c r="HD776"/>
      <c r="HE776"/>
      <c r="HF776"/>
      <c r="HG776"/>
      <c r="HH776"/>
      <c r="HI776" s="10"/>
    </row>
    <row r="777" spans="1:217" s="2" customFormat="1" ht="12.75" customHeight="1" x14ac:dyDescent="0.2">
      <c r="A777" s="351"/>
      <c r="B777" s="5" t="s">
        <v>87</v>
      </c>
      <c r="C777" s="10"/>
      <c r="D777" s="13"/>
      <c r="E777" s="10"/>
      <c r="F777" s="13"/>
      <c r="G777" s="10"/>
      <c r="H777" s="13"/>
      <c r="I777" s="10"/>
      <c r="J777" s="13"/>
      <c r="K777" s="10"/>
      <c r="L777" s="14"/>
      <c r="M777" s="10"/>
      <c r="N777" s="14"/>
      <c r="O777" s="10"/>
      <c r="P777" s="14"/>
      <c r="Q777" s="10"/>
      <c r="R777" s="14"/>
      <c r="S777" s="10"/>
      <c r="T777" s="14"/>
      <c r="U777" s="10"/>
      <c r="V777" s="14"/>
      <c r="W777" s="10"/>
      <c r="X777" s="14"/>
      <c r="Y777" s="10"/>
      <c r="Z777" s="14"/>
      <c r="AA777" s="10"/>
      <c r="AB777" s="14"/>
      <c r="AC777" s="10"/>
      <c r="AD777" s="14"/>
      <c r="AE777" s="10"/>
      <c r="AF777" s="14"/>
      <c r="AG777" s="10"/>
      <c r="AH777" s="14"/>
      <c r="AI777" s="23"/>
      <c r="AJ777" s="14"/>
      <c r="AK777" s="23"/>
      <c r="AL777" s="14"/>
      <c r="AM777" s="23"/>
      <c r="AN777" s="14"/>
      <c r="AO777" s="23"/>
      <c r="AP777" s="14"/>
      <c r="AQ777" s="23"/>
      <c r="AR777" s="14"/>
      <c r="AS777" s="23"/>
      <c r="AT777" s="14"/>
      <c r="AU777" s="23"/>
      <c r="AV777" s="14"/>
      <c r="AW777" s="23"/>
      <c r="AX777" s="14"/>
      <c r="AY777" s="23"/>
      <c r="AZ777" s="14"/>
      <c r="BA777" s="23"/>
      <c r="BB777" s="14"/>
      <c r="BC777" s="23"/>
      <c r="BD777" s="14"/>
      <c r="BE777" s="23"/>
      <c r="BF777" s="14"/>
      <c r="BG777" s="23"/>
      <c r="BH777" s="14"/>
      <c r="BI777" s="23"/>
      <c r="BJ777" s="14"/>
      <c r="BK777" s="23"/>
      <c r="BL777" s="14"/>
      <c r="BM777" s="23"/>
      <c r="BN777" s="14"/>
      <c r="BO777" s="23"/>
      <c r="BP777" s="14"/>
      <c r="BQ777" s="23"/>
      <c r="BR777" s="14"/>
      <c r="BS777" s="23"/>
      <c r="BT777" s="14"/>
      <c r="BU777" s="24"/>
      <c r="BV777" s="14"/>
      <c r="BW777" s="24"/>
      <c r="BX777" s="98"/>
      <c r="BY777" s="24"/>
      <c r="BZ777" s="14"/>
      <c r="CA777" s="24"/>
      <c r="CB777" s="120"/>
      <c r="CC777" s="24"/>
      <c r="CD777" s="14"/>
      <c r="CE777" s="24"/>
      <c r="CF777" s="120"/>
      <c r="CG777" s="24"/>
      <c r="CH777" s="120"/>
      <c r="CI777" s="24"/>
      <c r="CJ777" s="120"/>
      <c r="CK777" s="24"/>
      <c r="CL777" s="120"/>
      <c r="CM777" s="24"/>
      <c r="CN777" s="120"/>
      <c r="CO777" s="24"/>
      <c r="CP777" s="120"/>
      <c r="CQ777" s="470"/>
      <c r="CR777" s="120"/>
      <c r="CS777" s="24"/>
      <c r="CT777" s="120"/>
      <c r="CU777" s="24"/>
      <c r="CV777" s="120"/>
      <c r="CW777" s="24"/>
      <c r="CX777" s="120"/>
      <c r="CY777" s="24"/>
      <c r="CZ777" s="120"/>
      <c r="DA777" s="24"/>
      <c r="DB777" s="120"/>
      <c r="DC777" s="24"/>
      <c r="DD777" s="120"/>
      <c r="DE777" s="24"/>
      <c r="DF777" s="120"/>
      <c r="DG777" s="24"/>
      <c r="DH777" s="120"/>
      <c r="DI777" s="24"/>
      <c r="DJ777" s="120"/>
      <c r="DK777" s="748"/>
      <c r="DL777" s="120"/>
      <c r="DM777" s="748"/>
      <c r="DN777" s="120"/>
      <c r="DO777" s="748"/>
      <c r="DP777" s="120"/>
      <c r="DQ777" s="748"/>
      <c r="DR777" s="120"/>
      <c r="DS777" s="748"/>
      <c r="DT777" s="120"/>
      <c r="DU777" s="748"/>
      <c r="DV777" s="120"/>
      <c r="DW777" s="748"/>
      <c r="DX777" s="120"/>
      <c r="DY777" s="748"/>
      <c r="DZ777" s="120"/>
      <c r="EA777" s="748"/>
      <c r="EB777" s="120"/>
      <c r="EC777" s="748"/>
      <c r="ED777" s="120"/>
      <c r="EE777" s="748"/>
      <c r="EF777" s="824"/>
      <c r="EG777" s="748"/>
      <c r="EH777" s="824"/>
      <c r="EI777" s="748"/>
      <c r="EJ777" s="824"/>
      <c r="EK777" s="748"/>
      <c r="EL777" s="824"/>
      <c r="EM777" s="748"/>
      <c r="EN777" s="824"/>
      <c r="EO777" s="748"/>
      <c r="EP777" s="120"/>
      <c r="EQ777" s="1009"/>
      <c r="ER777" s="120"/>
      <c r="ES777" s="1009"/>
      <c r="ET777" s="120"/>
      <c r="EU777" s="1009"/>
      <c r="EV777" s="120"/>
      <c r="EW777" s="1009"/>
      <c r="EX777" s="120"/>
      <c r="EY777" s="24"/>
      <c r="EZ777" s="594"/>
      <c r="FA777" s="405"/>
      <c r="FB777" s="10"/>
      <c r="FC777" s="13"/>
      <c r="FD777" s="10"/>
      <c r="FE777" s="14"/>
      <c r="FF777" s="25"/>
      <c r="FG777" s="14"/>
      <c r="FH777" s="25"/>
      <c r="FI777" s="14"/>
      <c r="FJ777" s="25"/>
      <c r="FK777" s="14"/>
      <c r="FL777" s="25"/>
      <c r="FM777" s="14"/>
      <c r="FN777" s="25"/>
      <c r="FO777" s="14"/>
      <c r="FP777" s="25"/>
      <c r="FQ777" s="14"/>
      <c r="FR777" s="24"/>
      <c r="FS777" s="305"/>
      <c r="FT777" s="24"/>
      <c r="FU777" s="305"/>
      <c r="FV777" s="24"/>
      <c r="FW777" s="305"/>
      <c r="FX777" s="470"/>
      <c r="FY777" s="305"/>
      <c r="FZ777" s="24"/>
      <c r="GA777" s="305"/>
      <c r="GB777" s="470"/>
      <c r="GC777" s="305"/>
      <c r="GD777" s="24"/>
      <c r="GE777" s="305"/>
      <c r="GF777" s="24"/>
      <c r="GG777" s="305"/>
      <c r="GH777" s="24"/>
      <c r="GI777" s="305"/>
      <c r="GJ777" s="24"/>
      <c r="GK777" s="305"/>
      <c r="GL777" s="24"/>
      <c r="GM777" s="305"/>
      <c r="GN777" s="24"/>
      <c r="GO777" s="305"/>
      <c r="GP777" s="24"/>
      <c r="GQ777" s="305"/>
      <c r="GR777" s="24"/>
      <c r="GS777" s="305"/>
      <c r="GT777" s="24"/>
      <c r="GU777" s="305"/>
      <c r="GV777" s="24"/>
      <c r="GW777" s="305"/>
      <c r="GX777" s="24"/>
      <c r="GY777" s="305"/>
      <c r="GZ777" s="98"/>
      <c r="HA777" s="98"/>
      <c r="HB777" s="10"/>
      <c r="HC777"/>
      <c r="HD777"/>
      <c r="HE777"/>
      <c r="HF777"/>
      <c r="HG777"/>
      <c r="HH777"/>
      <c r="HI777" s="10"/>
    </row>
    <row r="778" spans="1:217" s="2" customFormat="1" ht="12.75" customHeight="1" x14ac:dyDescent="0.2">
      <c r="A778" s="351"/>
      <c r="B778" s="2" t="s">
        <v>286</v>
      </c>
      <c r="C778" s="10"/>
      <c r="D778" s="13"/>
      <c r="E778" s="10"/>
      <c r="F778" s="13"/>
      <c r="G778" s="10"/>
      <c r="H778" s="13"/>
      <c r="I778" s="10"/>
      <c r="J778" s="98"/>
      <c r="K778" s="10"/>
      <c r="L778" s="98"/>
      <c r="M778" s="10"/>
      <c r="N778" s="98"/>
      <c r="O778" s="10"/>
      <c r="P778" s="98"/>
      <c r="Q778" s="393">
        <v>1270</v>
      </c>
      <c r="R778" s="98"/>
      <c r="S778" s="393">
        <v>1436</v>
      </c>
      <c r="T778" s="98"/>
      <c r="U778" s="393">
        <v>1566</v>
      </c>
      <c r="V778" s="98"/>
      <c r="W778" s="393">
        <v>1536</v>
      </c>
      <c r="X778" s="98"/>
      <c r="Y778" s="393">
        <v>1888</v>
      </c>
      <c r="Z778" s="98"/>
      <c r="AA778" s="393">
        <v>2187</v>
      </c>
      <c r="AB778" s="98"/>
      <c r="AC778" s="393">
        <v>2593</v>
      </c>
      <c r="AD778" s="98"/>
      <c r="AE778" s="393">
        <v>2523</v>
      </c>
      <c r="AF778" s="98"/>
      <c r="AG778" s="393">
        <v>2587</v>
      </c>
      <c r="AH778" s="98"/>
      <c r="AI778" s="393">
        <v>2930</v>
      </c>
      <c r="AJ778" s="98"/>
      <c r="AK778" s="393">
        <v>2223</v>
      </c>
      <c r="AL778" s="98"/>
      <c r="AM778" s="393">
        <v>2007</v>
      </c>
      <c r="AN778" s="98"/>
      <c r="AO778" s="393">
        <v>2069</v>
      </c>
      <c r="AP778" s="98"/>
      <c r="AQ778" s="393">
        <v>2111</v>
      </c>
      <c r="AR778" s="98"/>
      <c r="AS778" s="393">
        <v>2140</v>
      </c>
      <c r="AT778" s="98"/>
      <c r="AU778" s="393">
        <v>3128</v>
      </c>
      <c r="AV778" s="98"/>
      <c r="AW778" s="393">
        <v>3106</v>
      </c>
      <c r="AX778" s="98"/>
      <c r="AY778" s="393">
        <v>3327</v>
      </c>
      <c r="AZ778" s="98"/>
      <c r="BA778" s="393">
        <v>3818</v>
      </c>
      <c r="BB778" s="98"/>
      <c r="BC778" s="393">
        <v>3013</v>
      </c>
      <c r="BD778" s="98"/>
      <c r="BE778" s="393">
        <v>3267</v>
      </c>
      <c r="BF778" s="98"/>
      <c r="BG778" s="393">
        <v>3330</v>
      </c>
      <c r="BH778" s="98"/>
      <c r="BI778" s="393">
        <v>4160</v>
      </c>
      <c r="BJ778" s="98"/>
      <c r="BK778" s="393">
        <v>4078</v>
      </c>
      <c r="BL778" s="98"/>
      <c r="BM778" s="393">
        <v>3697</v>
      </c>
      <c r="BN778" s="98"/>
      <c r="BO778" s="393">
        <v>3192</v>
      </c>
      <c r="BP778" s="98"/>
      <c r="BQ778" s="393">
        <v>3538</v>
      </c>
      <c r="BR778" s="98"/>
      <c r="BS778" s="393">
        <v>3787</v>
      </c>
      <c r="BT778" s="98"/>
      <c r="BU778" s="393">
        <v>3424</v>
      </c>
      <c r="BV778" s="98"/>
      <c r="BW778" s="393">
        <v>3737</v>
      </c>
      <c r="BX778" s="98"/>
      <c r="BY778" s="393">
        <v>4507</v>
      </c>
      <c r="BZ778" s="98"/>
      <c r="CA778" s="393">
        <v>3441</v>
      </c>
      <c r="CB778" s="305"/>
      <c r="CC778" s="393">
        <v>3711</v>
      </c>
      <c r="CD778" s="98"/>
      <c r="CE778" s="393">
        <v>4034</v>
      </c>
      <c r="CF778" s="305"/>
      <c r="CG778" s="393">
        <v>4474</v>
      </c>
      <c r="CH778" s="305"/>
      <c r="CI778" s="393">
        <v>4662</v>
      </c>
      <c r="CJ778" s="305"/>
      <c r="CK778" s="393">
        <v>5129</v>
      </c>
      <c r="CL778" s="305"/>
      <c r="CM778" s="393">
        <v>5684</v>
      </c>
      <c r="CN778" s="305"/>
      <c r="CO778" s="393">
        <v>6968</v>
      </c>
      <c r="CP778" s="305"/>
      <c r="CQ778" s="572">
        <v>8559</v>
      </c>
      <c r="CR778" s="305"/>
      <c r="CS778" s="393">
        <v>7229</v>
      </c>
      <c r="CT778" s="305"/>
      <c r="CU778" s="393">
        <v>4926</v>
      </c>
      <c r="CV778" s="305"/>
      <c r="CW778" s="393">
        <v>4613</v>
      </c>
      <c r="CX778" s="305"/>
      <c r="CY778" s="393">
        <v>4595</v>
      </c>
      <c r="CZ778" s="305"/>
      <c r="DA778" s="393">
        <v>3569</v>
      </c>
      <c r="DB778" s="305"/>
      <c r="DC778" s="393">
        <v>3520</v>
      </c>
      <c r="DD778" s="305"/>
      <c r="DE778" s="393">
        <v>2761</v>
      </c>
      <c r="DF778" s="305"/>
      <c r="DG778" s="393">
        <v>2693</v>
      </c>
      <c r="DH778" s="98">
        <f>IF(ISERROR((DG778/CY778-1)*100),"NA",IF(((DG778/CY778-1)*100)&gt;100,"NM",IF(((DG778/CY778-1)*100)&lt;-50,"NM",(DG778/CY778-1)*100)))</f>
        <v>-41.392818280739931</v>
      </c>
      <c r="DI778" s="393">
        <v>1669</v>
      </c>
      <c r="DJ778" s="305"/>
      <c r="DK778" s="393">
        <v>1603</v>
      </c>
      <c r="DL778" s="98" t="str">
        <f>IF(ISERROR((DK778/DC778-1)*100),"NA",IF(((DK778/DC778-1)*100)&gt;100,"NM",IF(((DK778/DC778-1)*100)&lt;-50,"NM",(DK778/DC778-1)*100)))</f>
        <v>NM</v>
      </c>
      <c r="DM778" s="393">
        <v>1602</v>
      </c>
      <c r="DN778" s="98">
        <f t="shared" ref="DN778:DZ779" si="4866">IF(ISERROR((DM778/DE778-1)*100),"NA",IF(((DM778/DE778-1)*100)&gt;100,"NM",IF(((DM778/DE778-1)*100)&lt;-50,"NM",(DM778/DE778-1)*100)))</f>
        <v>-41.97754436798261</v>
      </c>
      <c r="DO778" s="393">
        <v>1533</v>
      </c>
      <c r="DP778" s="98">
        <f t="shared" si="4866"/>
        <v>-43.074637950241367</v>
      </c>
      <c r="DQ778" s="393">
        <v>1606</v>
      </c>
      <c r="DR778" s="98">
        <f t="shared" si="4866"/>
        <v>-3.7747153984421855</v>
      </c>
      <c r="DS778" s="393">
        <v>1608</v>
      </c>
      <c r="DT778" s="98">
        <f t="shared" si="4866"/>
        <v>0.31191515907673661</v>
      </c>
      <c r="DU778" s="393">
        <v>1865</v>
      </c>
      <c r="DV778" s="98">
        <f t="shared" si="4866"/>
        <v>16.416978776529344</v>
      </c>
      <c r="DW778" s="393">
        <v>1769</v>
      </c>
      <c r="DX778" s="98">
        <f t="shared" si="4866"/>
        <v>15.394651011089366</v>
      </c>
      <c r="DY778" s="393">
        <v>1810</v>
      </c>
      <c r="DZ778" s="98">
        <f t="shared" si="4866"/>
        <v>12.702366127023668</v>
      </c>
      <c r="EA778" s="393">
        <v>1601</v>
      </c>
      <c r="EB778" s="98">
        <f t="shared" ref="EB778:EB779" si="4867">IF(ISERROR((EA778/DS778-1)*100),"NA",IF(((EA778/DS778-1)*100)&gt;100,"NM",IF(((EA778/DS778-1)*100)&lt;-50,"NM",(EA778/DS778-1)*100)))</f>
        <v>-0.43532338308457375</v>
      </c>
      <c r="EC778" s="393">
        <v>1138</v>
      </c>
      <c r="ED778" s="98">
        <f t="shared" ref="ED778:ED779" si="4868">IF(ISERROR((EC778/DU778-1)*100),"NA",IF(((EC778/DU778-1)*100)&gt;100,"NM",IF(((EC778/DU778-1)*100)&lt;-50,"NM",(EC778/DU778-1)*100)))</f>
        <v>-38.981233243967829</v>
      </c>
      <c r="EE778" s="393"/>
      <c r="EF778" s="860" t="str">
        <f t="shared" ref="EF778:EF779" si="4869">IF(ISERROR((EE778/DW778-1)*100),"NA",IF(((EE778/DW778-1)*100)&gt;100,"NM",IF(((EE778/DW778-1)*100)&lt;-50,"NM",(EE778/DW778-1)*100)))</f>
        <v>NM</v>
      </c>
      <c r="EG778" s="393"/>
      <c r="EH778" s="860" t="str">
        <f t="shared" ref="EH778:EH779" si="4870">IF(ISERROR((EG778/DY778-1)*100),"NA",IF(((EG778/DY778-1)*100)&gt;100,"NM",IF(((EG778/DY778-1)*100)&lt;-50,"NM",(EG778/DY778-1)*100)))</f>
        <v>NM</v>
      </c>
      <c r="EI778" s="393"/>
      <c r="EJ778" s="860" t="str">
        <f t="shared" ref="EJ778:EJ779" si="4871">IF(ISERROR((EI778/EA778-1)*100),"NA",IF(((EI778/EA778-1)*100)&gt;100,"NM",IF(((EI778/EA778-1)*100)&lt;-50,"NM",(EI778/EA778-1)*100)))</f>
        <v>NM</v>
      </c>
      <c r="EK778" s="393"/>
      <c r="EL778" s="860" t="str">
        <f t="shared" ref="EL778:EL779" si="4872">IF(ISERROR((EK778/EC778-1)*100),"NA",IF(((EK778/EC778-1)*100)&gt;100,"NM",IF(((EK778/EC778-1)*100)&lt;-50,"NM",(EK778/EC778-1)*100)))</f>
        <v>NM</v>
      </c>
      <c r="EM778" s="393"/>
      <c r="EN778" s="860" t="str">
        <f t="shared" ref="EN778:EN779" si="4873">IF(ISERROR((EM778/EE778-1)*100),"NA",IF(((EM778/EE778-1)*100)&gt;100,"NM",IF(((EM778/EE778-1)*100)&lt;-50,"NM",(EM778/EE778-1)*100)))</f>
        <v>NA</v>
      </c>
      <c r="EO778" s="393"/>
      <c r="EP778" s="98" t="str">
        <f t="shared" ref="EP778:EP779" si="4874">IF(ISERROR((EO778/EG778-1)*100),"NA",IF(((EO778/EG778-1)*100)&gt;100,"NM",IF(((EO778/EG778-1)*100)&lt;-50,"NM",(EO778/EG778-1)*100)))</f>
        <v>NA</v>
      </c>
      <c r="EQ778" s="1074"/>
      <c r="ER778" s="98" t="str">
        <f t="shared" ref="ER778:ER779" si="4875">IF(ISERROR((EQ778/EI778-1)*100),"NA",IF(((EQ778/EI778-1)*100)&gt;100,"NM",IF(((EQ778/EI778-1)*100)&lt;-50,"NM",(EQ778/EI778-1)*100)))</f>
        <v>NA</v>
      </c>
      <c r="ES778" s="1074"/>
      <c r="ET778" s="98" t="str">
        <f t="shared" ref="ET778:ET779" si="4876">IF(ISERROR((ES778/EK778-1)*100),"NA",IF(((ES778/EK778-1)*100)&gt;100,"NM",IF(((ES778/EK778-1)*100)&lt;-50,"NM",(ES778/EK778-1)*100)))</f>
        <v>NA</v>
      </c>
      <c r="EU778" s="1074"/>
      <c r="EV778" s="98" t="str">
        <f t="shared" ref="EV778:EV779" si="4877">IF(ISERROR((EU778/EM778-1)*100),"NA",IF(((EU778/EM778-1)*100)&gt;100,"NM",IF(((EU778/EM778-1)*100)&lt;-50,"NM",(EU778/EM778-1)*100)))</f>
        <v>NA</v>
      </c>
      <c r="EW778" s="1074"/>
      <c r="EX778" s="98" t="str">
        <f t="shared" ref="EX778:EX779" si="4878">IF(ISERROR((EW778/EO778-1)*100),"NA",IF(((EW778/EO778-1)*100)&gt;100,"NM",IF(((EW778/EO778-1)*100)&lt;-50,"NM",(EW778/EO778-1)*100)))</f>
        <v>NA</v>
      </c>
      <c r="EY778" s="24"/>
      <c r="EZ778" s="594"/>
      <c r="FA778" s="405"/>
      <c r="FB778" s="10"/>
      <c r="FC778" s="13"/>
      <c r="FD778" s="10"/>
      <c r="FE778" s="98"/>
      <c r="FF778" s="25"/>
      <c r="FG778" s="98"/>
      <c r="FH778" s="25"/>
      <c r="FI778" s="98"/>
      <c r="FJ778" s="25"/>
      <c r="FK778" s="98"/>
      <c r="FL778" s="25"/>
      <c r="FM778" s="98"/>
      <c r="FN778" s="25"/>
      <c r="FO778" s="98"/>
      <c r="FP778" s="25"/>
      <c r="FQ778" s="98"/>
      <c r="FR778" s="24"/>
      <c r="FS778" s="120"/>
      <c r="FT778" s="24"/>
      <c r="FU778" s="120"/>
      <c r="FV778" s="24"/>
      <c r="FW778" s="120"/>
      <c r="FX778" s="470"/>
      <c r="FY778" s="120"/>
      <c r="FZ778" s="24"/>
      <c r="GA778" s="120"/>
      <c r="GB778" s="470"/>
      <c r="GC778" s="120"/>
      <c r="GD778" s="24"/>
      <c r="GE778" s="120"/>
      <c r="GF778" s="732">
        <f>SUM(DC778:DI778)</f>
        <v>10601.607181719261</v>
      </c>
      <c r="GG778" s="120"/>
      <c r="GH778" s="24"/>
      <c r="GI778" s="120"/>
      <c r="GJ778" s="24"/>
      <c r="GK778" s="120"/>
      <c r="GL778" s="24"/>
      <c r="GM778" s="120"/>
      <c r="GN778" s="24"/>
      <c r="GO778" s="120"/>
      <c r="GP778" s="24"/>
      <c r="GQ778" s="120"/>
      <c r="GR778" s="24"/>
      <c r="GS778" s="120"/>
      <c r="GT778" s="24"/>
      <c r="GU778" s="120"/>
      <c r="GV778" s="24"/>
      <c r="GW778" s="120"/>
      <c r="GX778" s="24"/>
      <c r="GY778" s="120"/>
      <c r="GZ778" s="98"/>
      <c r="HA778" s="98"/>
      <c r="HB778" s="10"/>
      <c r="HC778"/>
      <c r="HD778"/>
      <c r="HE778"/>
      <c r="HF778"/>
      <c r="HG778"/>
      <c r="HH778"/>
      <c r="HI778" s="10"/>
    </row>
    <row r="779" spans="1:217" s="2" customFormat="1" ht="12.75" customHeight="1" x14ac:dyDescent="0.2">
      <c r="A779" s="351"/>
      <c r="B779" s="2" t="s">
        <v>115</v>
      </c>
      <c r="C779" s="10"/>
      <c r="D779" s="13"/>
      <c r="E779" s="10"/>
      <c r="F779" s="13"/>
      <c r="G779" s="10"/>
      <c r="H779" s="13"/>
      <c r="I779" s="10"/>
      <c r="J779" s="33"/>
      <c r="K779" s="10"/>
      <c r="L779" s="33"/>
      <c r="M779" s="10"/>
      <c r="N779" s="33"/>
      <c r="O779" s="10"/>
      <c r="P779" s="33"/>
      <c r="Q779" s="395">
        <v>493</v>
      </c>
      <c r="R779" s="33"/>
      <c r="S779" s="395">
        <v>268</v>
      </c>
      <c r="T779" s="33"/>
      <c r="U779" s="395">
        <v>283</v>
      </c>
      <c r="V779" s="33"/>
      <c r="W779" s="395">
        <v>452</v>
      </c>
      <c r="X779" s="33"/>
      <c r="Y779" s="395">
        <v>464</v>
      </c>
      <c r="Z779" s="33"/>
      <c r="AA779" s="395">
        <v>424</v>
      </c>
      <c r="AB779" s="33"/>
      <c r="AC779" s="395">
        <v>340</v>
      </c>
      <c r="AD779" s="33"/>
      <c r="AE779" s="395">
        <v>320</v>
      </c>
      <c r="AF779" s="33"/>
      <c r="AG779" s="395">
        <v>257</v>
      </c>
      <c r="AH779" s="33"/>
      <c r="AI779" s="395">
        <v>506</v>
      </c>
      <c r="AJ779" s="33"/>
      <c r="AK779" s="395">
        <v>659</v>
      </c>
      <c r="AL779" s="33"/>
      <c r="AM779" s="395">
        <v>403</v>
      </c>
      <c r="AN779" s="33"/>
      <c r="AO779" s="395">
        <v>497</v>
      </c>
      <c r="AP779" s="33"/>
      <c r="AQ779" s="395">
        <v>429</v>
      </c>
      <c r="AR779" s="33"/>
      <c r="AS779" s="395">
        <v>356</v>
      </c>
      <c r="AT779" s="33"/>
      <c r="AU779" s="395">
        <v>496</v>
      </c>
      <c r="AV779" s="33"/>
      <c r="AW779" s="395">
        <v>464</v>
      </c>
      <c r="AX779" s="33"/>
      <c r="AY779" s="395">
        <v>520</v>
      </c>
      <c r="AZ779" s="33"/>
      <c r="BA779" s="395">
        <v>430</v>
      </c>
      <c r="BB779" s="33"/>
      <c r="BC779" s="395">
        <v>594</v>
      </c>
      <c r="BD779" s="33"/>
      <c r="BE779" s="395">
        <v>514</v>
      </c>
      <c r="BF779" s="33"/>
      <c r="BG779" s="395">
        <v>352</v>
      </c>
      <c r="BH779" s="33"/>
      <c r="BI779" s="395">
        <v>326</v>
      </c>
      <c r="BJ779" s="33"/>
      <c r="BK779" s="395">
        <v>320</v>
      </c>
      <c r="BL779" s="33"/>
      <c r="BM779" s="395">
        <v>261</v>
      </c>
      <c r="BN779" s="33"/>
      <c r="BO779" s="395">
        <v>272</v>
      </c>
      <c r="BP779" s="33"/>
      <c r="BQ779" s="395">
        <v>277</v>
      </c>
      <c r="BR779" s="33"/>
      <c r="BS779" s="395">
        <v>499</v>
      </c>
      <c r="BT779" s="33"/>
      <c r="BU779" s="395">
        <v>4122</v>
      </c>
      <c r="BV779" s="33"/>
      <c r="BW779" s="395">
        <v>3645</v>
      </c>
      <c r="BX779" s="33"/>
      <c r="BY779" s="395">
        <v>949</v>
      </c>
      <c r="BZ779" s="33"/>
      <c r="CA779" s="395">
        <v>596</v>
      </c>
      <c r="CB779" s="305"/>
      <c r="CC779" s="395">
        <v>499</v>
      </c>
      <c r="CD779" s="33"/>
      <c r="CE779" s="395">
        <v>488</v>
      </c>
      <c r="CF779" s="305"/>
      <c r="CG779" s="395">
        <v>472</v>
      </c>
      <c r="CH779" s="305"/>
      <c r="CI779" s="395">
        <v>472</v>
      </c>
      <c r="CJ779" s="305"/>
      <c r="CK779" s="395">
        <v>383</v>
      </c>
      <c r="CL779" s="305"/>
      <c r="CM779" s="393">
        <v>231</v>
      </c>
      <c r="CN779" s="305"/>
      <c r="CO779" s="393">
        <v>283</v>
      </c>
      <c r="CP779" s="305"/>
      <c r="CQ779" s="572">
        <v>506</v>
      </c>
      <c r="CR779" s="305"/>
      <c r="CS779" s="393">
        <v>453</v>
      </c>
      <c r="CT779" s="305"/>
      <c r="CU779" s="393">
        <v>435</v>
      </c>
      <c r="CV779" s="305"/>
      <c r="CW779" s="393">
        <v>225</v>
      </c>
      <c r="CX779" s="305"/>
      <c r="CY779" s="393">
        <v>253</v>
      </c>
      <c r="CZ779" s="305"/>
      <c r="DA779" s="393">
        <v>207</v>
      </c>
      <c r="DB779" s="305"/>
      <c r="DC779" s="393">
        <v>213</v>
      </c>
      <c r="DD779" s="305"/>
      <c r="DE779" s="393">
        <v>191</v>
      </c>
      <c r="DF779" s="305"/>
      <c r="DG779" s="393">
        <v>188</v>
      </c>
      <c r="DH779" s="305"/>
      <c r="DI779" s="393">
        <v>422</v>
      </c>
      <c r="DJ779" s="305"/>
      <c r="DK779" s="393">
        <v>426</v>
      </c>
      <c r="DL779" s="98">
        <f>IF(ISERROR((DK779/DC779-1)*100),"NA",IF(((DK779/DC779-1)*100)&gt;100,"NM",IF(((DK779/DC779-1)*100)&lt;-50,"NM",(DK779/DC779-1)*100)))</f>
        <v>100</v>
      </c>
      <c r="DM779" s="393">
        <v>460</v>
      </c>
      <c r="DN779" s="98" t="str">
        <f t="shared" si="4866"/>
        <v>NM</v>
      </c>
      <c r="DO779" s="393">
        <v>505</v>
      </c>
      <c r="DP779" s="98" t="str">
        <f t="shared" si="4866"/>
        <v>NM</v>
      </c>
      <c r="DQ779" s="393">
        <v>464</v>
      </c>
      <c r="DR779" s="98">
        <f t="shared" si="4866"/>
        <v>9.952606635071092</v>
      </c>
      <c r="DS779" s="393">
        <v>430</v>
      </c>
      <c r="DT779" s="98">
        <f t="shared" si="4866"/>
        <v>0.93896713615022609</v>
      </c>
      <c r="DU779" s="393">
        <v>511</v>
      </c>
      <c r="DV779" s="98">
        <f t="shared" si="4866"/>
        <v>11.086956521739122</v>
      </c>
      <c r="DW779" s="393">
        <v>667</v>
      </c>
      <c r="DX779" s="98">
        <f t="shared" si="4866"/>
        <v>32.079207920792086</v>
      </c>
      <c r="DY779" s="393">
        <v>730</v>
      </c>
      <c r="DZ779" s="98">
        <f t="shared" si="4866"/>
        <v>57.327586206896555</v>
      </c>
      <c r="EA779" s="393">
        <v>721</v>
      </c>
      <c r="EB779" s="98">
        <f t="shared" si="4867"/>
        <v>67.674418604651152</v>
      </c>
      <c r="EC779" s="393">
        <v>737</v>
      </c>
      <c r="ED779" s="98">
        <f t="shared" si="4868"/>
        <v>44.227005870841495</v>
      </c>
      <c r="EE779" s="393"/>
      <c r="EF779" s="860" t="str">
        <f t="shared" si="4869"/>
        <v>NM</v>
      </c>
      <c r="EG779" s="393"/>
      <c r="EH779" s="860" t="str">
        <f t="shared" si="4870"/>
        <v>NM</v>
      </c>
      <c r="EI779" s="393"/>
      <c r="EJ779" s="860" t="str">
        <f t="shared" si="4871"/>
        <v>NM</v>
      </c>
      <c r="EK779" s="393"/>
      <c r="EL779" s="860" t="str">
        <f t="shared" si="4872"/>
        <v>NM</v>
      </c>
      <c r="EM779" s="393"/>
      <c r="EN779" s="860" t="str">
        <f t="shared" si="4873"/>
        <v>NA</v>
      </c>
      <c r="EO779" s="393"/>
      <c r="EP779" s="98" t="str">
        <f t="shared" si="4874"/>
        <v>NA</v>
      </c>
      <c r="EQ779" s="1074"/>
      <c r="ER779" s="98" t="str">
        <f t="shared" si="4875"/>
        <v>NA</v>
      </c>
      <c r="ES779" s="1074"/>
      <c r="ET779" s="98" t="str">
        <f t="shared" si="4876"/>
        <v>NA</v>
      </c>
      <c r="EU779" s="1074"/>
      <c r="EV779" s="98" t="str">
        <f t="shared" si="4877"/>
        <v>NA</v>
      </c>
      <c r="EW779" s="1074"/>
      <c r="EX779" s="98" t="str">
        <f t="shared" si="4878"/>
        <v>NA</v>
      </c>
      <c r="EY779" s="24"/>
      <c r="EZ779" s="602"/>
      <c r="FA779" s="266"/>
      <c r="FB779" s="10"/>
      <c r="FC779" s="13"/>
      <c r="FD779" s="10"/>
      <c r="FE779" s="33"/>
      <c r="FF779" s="24"/>
      <c r="FG779" s="33"/>
      <c r="FH779" s="24"/>
      <c r="FI779" s="33"/>
      <c r="FJ779" s="24"/>
      <c r="FK779" s="33"/>
      <c r="FL779" s="24"/>
      <c r="FM779" s="33"/>
      <c r="FN779" s="24"/>
      <c r="FO779" s="33"/>
      <c r="FP779" s="24"/>
      <c r="FQ779" s="33"/>
      <c r="FR779" s="24"/>
      <c r="FS779" s="36"/>
      <c r="FT779" s="24"/>
      <c r="FU779" s="36"/>
      <c r="FV779" s="24"/>
      <c r="FW779" s="36"/>
      <c r="FX779" s="470"/>
      <c r="FY779" s="36"/>
      <c r="FZ779" s="24"/>
      <c r="GA779" s="36"/>
      <c r="GB779" s="470"/>
      <c r="GC779" s="36"/>
      <c r="GD779" s="24"/>
      <c r="GE779" s="36"/>
      <c r="GF779" s="732">
        <f>SUM(DC779:DI779)</f>
        <v>1014</v>
      </c>
      <c r="GG779" s="36"/>
      <c r="GH779" s="24"/>
      <c r="GI779" s="36"/>
      <c r="GJ779" s="24"/>
      <c r="GK779" s="36"/>
      <c r="GL779" s="24"/>
      <c r="GM779" s="36"/>
      <c r="GN779" s="24"/>
      <c r="GO779" s="36"/>
      <c r="GP779" s="24"/>
      <c r="GQ779" s="36"/>
      <c r="GR779" s="24"/>
      <c r="GS779" s="36"/>
      <c r="GT779" s="24"/>
      <c r="GU779" s="36"/>
      <c r="GV779" s="24"/>
      <c r="GW779" s="36"/>
      <c r="GX779" s="24"/>
      <c r="GY779" s="36"/>
      <c r="GZ779" s="33"/>
      <c r="HA779" s="33"/>
      <c r="HB779" s="10"/>
      <c r="HC779"/>
      <c r="HD779"/>
      <c r="HE779"/>
      <c r="HF779"/>
      <c r="HG779"/>
      <c r="HH779"/>
      <c r="HI779" s="10"/>
    </row>
    <row r="780" spans="1:217" s="2" customFormat="1" ht="12.75" customHeight="1" x14ac:dyDescent="0.2">
      <c r="A780" s="351"/>
      <c r="C780" s="10"/>
      <c r="D780" s="13"/>
      <c r="E780" s="10"/>
      <c r="F780" s="13"/>
      <c r="G780" s="10"/>
      <c r="H780" s="13"/>
      <c r="I780" s="10"/>
      <c r="J780" s="33"/>
      <c r="K780" s="10"/>
      <c r="L780" s="33"/>
      <c r="M780" s="10"/>
      <c r="N780" s="33"/>
      <c r="O780" s="10"/>
      <c r="P780" s="33"/>
      <c r="Q780" s="10"/>
      <c r="R780" s="33"/>
      <c r="S780" s="10"/>
      <c r="T780" s="33"/>
      <c r="U780" s="10"/>
      <c r="V780" s="33"/>
      <c r="W780" s="10"/>
      <c r="X780" s="33"/>
      <c r="Y780" s="10"/>
      <c r="Z780" s="33"/>
      <c r="AA780" s="10"/>
      <c r="AB780" s="33"/>
      <c r="AC780" s="10"/>
      <c r="AD780" s="33"/>
      <c r="AE780" s="10"/>
      <c r="AF780" s="33"/>
      <c r="AG780" s="10"/>
      <c r="AH780" s="33"/>
      <c r="AI780" s="23"/>
      <c r="AJ780" s="33"/>
      <c r="AK780" s="23"/>
      <c r="AL780" s="33"/>
      <c r="AM780" s="23"/>
      <c r="AN780" s="33"/>
      <c r="AO780" s="23"/>
      <c r="AP780" s="33"/>
      <c r="AQ780" s="23"/>
      <c r="AR780" s="33"/>
      <c r="AS780" s="395"/>
      <c r="AT780" s="33"/>
      <c r="AU780" s="395"/>
      <c r="AV780" s="33"/>
      <c r="AW780" s="395"/>
      <c r="AX780" s="33"/>
      <c r="AY780" s="395"/>
      <c r="AZ780" s="33"/>
      <c r="BA780" s="24"/>
      <c r="BB780" s="33"/>
      <c r="BC780" s="24"/>
      <c r="BD780" s="33"/>
      <c r="BE780" s="24"/>
      <c r="BF780" s="33"/>
      <c r="BG780" s="24"/>
      <c r="BH780" s="33"/>
      <c r="BI780" s="24"/>
      <c r="BJ780" s="33"/>
      <c r="BK780" s="24"/>
      <c r="BL780" s="33"/>
      <c r="BM780" s="24"/>
      <c r="BN780" s="33"/>
      <c r="BO780" s="24"/>
      <c r="BP780" s="33"/>
      <c r="BQ780" s="24"/>
      <c r="BR780" s="33"/>
      <c r="BS780" s="24"/>
      <c r="BT780" s="33"/>
      <c r="BU780" s="24"/>
      <c r="BV780" s="33"/>
      <c r="BW780" s="24"/>
      <c r="BX780" s="33"/>
      <c r="BY780" s="24"/>
      <c r="BZ780" s="33"/>
      <c r="CA780" s="24"/>
      <c r="CB780" s="12"/>
      <c r="CC780" s="24"/>
      <c r="CD780" s="33"/>
      <c r="CE780" s="24"/>
      <c r="CF780" s="12"/>
      <c r="CG780" s="24"/>
      <c r="CH780" s="12"/>
      <c r="CI780" s="24"/>
      <c r="CJ780" s="12"/>
      <c r="CK780" s="24"/>
      <c r="CL780" s="12"/>
      <c r="CM780" s="24"/>
      <c r="CN780" s="12"/>
      <c r="CO780" s="24"/>
      <c r="CP780" s="12"/>
      <c r="CQ780" s="470"/>
      <c r="CR780" s="12"/>
      <c r="CS780" s="24"/>
      <c r="CT780" s="12"/>
      <c r="CU780" s="24"/>
      <c r="CV780" s="12"/>
      <c r="CW780" s="24"/>
      <c r="CX780" s="12"/>
      <c r="CY780" s="24"/>
      <c r="CZ780" s="12"/>
      <c r="DA780" s="24"/>
      <c r="DB780" s="12"/>
      <c r="DC780" s="24"/>
      <c r="DD780" s="12"/>
      <c r="DE780" s="24"/>
      <c r="DF780" s="12"/>
      <c r="DG780" s="24"/>
      <c r="DH780" s="12"/>
      <c r="DI780" s="24"/>
      <c r="DJ780" s="12"/>
      <c r="DK780" s="24"/>
      <c r="DL780" s="12"/>
      <c r="DM780" s="24"/>
      <c r="DN780" s="12"/>
      <c r="DO780" s="24"/>
      <c r="DP780" s="12"/>
      <c r="DQ780" s="24"/>
      <c r="DR780" s="12"/>
      <c r="DS780" s="24"/>
      <c r="DT780" s="12"/>
      <c r="DU780" s="24"/>
      <c r="DV780" s="12"/>
      <c r="DW780" s="24"/>
      <c r="DX780" s="12"/>
      <c r="DY780" s="24"/>
      <c r="DZ780" s="12"/>
      <c r="EA780" s="24"/>
      <c r="EB780" s="12"/>
      <c r="EC780" s="24"/>
      <c r="ED780" s="12"/>
      <c r="EE780" s="24"/>
      <c r="EF780" s="1078"/>
      <c r="EG780" s="24"/>
      <c r="EH780" s="1078"/>
      <c r="EI780" s="24"/>
      <c r="EJ780" s="1078"/>
      <c r="EK780" s="24"/>
      <c r="EL780" s="1078"/>
      <c r="EM780" s="24"/>
      <c r="EN780" s="1078"/>
      <c r="EO780" s="24"/>
      <c r="EP780" s="12"/>
      <c r="EQ780" s="772"/>
      <c r="ER780" s="12"/>
      <c r="ES780" s="772"/>
      <c r="ET780" s="12"/>
      <c r="EU780" s="772"/>
      <c r="EV780" s="12"/>
      <c r="EW780" s="772"/>
      <c r="EX780" s="12"/>
      <c r="EY780" s="10"/>
      <c r="EZ780" s="602"/>
      <c r="FA780" s="266"/>
      <c r="FB780" s="10"/>
      <c r="FC780" s="13"/>
      <c r="FD780" s="10"/>
      <c r="FE780" s="33"/>
      <c r="FF780" s="24"/>
      <c r="FG780" s="33"/>
      <c r="FH780" s="24"/>
      <c r="FI780" s="33"/>
      <c r="FJ780" s="24"/>
      <c r="FK780" s="33"/>
      <c r="FL780" s="24"/>
      <c r="FM780" s="33"/>
      <c r="FN780" s="24"/>
      <c r="FO780" s="33"/>
      <c r="FP780" s="24"/>
      <c r="FQ780" s="33"/>
      <c r="FR780" s="24"/>
      <c r="FS780" s="36"/>
      <c r="FT780" s="24"/>
      <c r="FU780" s="36"/>
      <c r="FV780" s="24"/>
      <c r="FW780" s="36"/>
      <c r="FX780" s="470"/>
      <c r="FY780" s="36"/>
      <c r="FZ780" s="24"/>
      <c r="GA780" s="36"/>
      <c r="GB780" s="470"/>
      <c r="GC780" s="36"/>
      <c r="GD780" s="24"/>
      <c r="GE780" s="36"/>
      <c r="GF780" s="24"/>
      <c r="GG780" s="36"/>
      <c r="GH780" s="24"/>
      <c r="GI780" s="36"/>
      <c r="GJ780" s="24"/>
      <c r="GK780" s="36"/>
      <c r="GL780" s="24"/>
      <c r="GM780" s="36"/>
      <c r="GN780" s="24"/>
      <c r="GO780" s="36"/>
      <c r="GP780" s="24"/>
      <c r="GQ780" s="36"/>
      <c r="GR780" s="24"/>
      <c r="GS780" s="36"/>
      <c r="GT780" s="24"/>
      <c r="GU780" s="36"/>
      <c r="GV780" s="24"/>
      <c r="GW780" s="36"/>
      <c r="GX780" s="24"/>
      <c r="GY780" s="36"/>
      <c r="GZ780" s="33"/>
      <c r="HA780" s="33"/>
      <c r="HB780" s="10"/>
      <c r="HC780"/>
      <c r="HD780"/>
      <c r="HE780"/>
      <c r="HF780"/>
      <c r="HG780"/>
      <c r="HH780"/>
      <c r="HI780" s="10"/>
    </row>
    <row r="781" spans="1:217" s="708" customFormat="1" ht="12.75" customHeight="1" collapsed="1" x14ac:dyDescent="0.2">
      <c r="B781" s="709" t="s">
        <v>255</v>
      </c>
      <c r="C781" s="710"/>
      <c r="D781" s="710"/>
      <c r="E781" s="710"/>
      <c r="F781" s="710"/>
      <c r="G781" s="710"/>
      <c r="H781" s="710"/>
      <c r="I781" s="710"/>
      <c r="J781" s="710"/>
      <c r="K781" s="710"/>
      <c r="L781" s="710"/>
      <c r="M781" s="710"/>
      <c r="N781" s="710"/>
      <c r="O781" s="710"/>
      <c r="P781" s="710"/>
      <c r="Q781" s="710"/>
      <c r="R781" s="710"/>
      <c r="S781" s="710"/>
      <c r="T781" s="710"/>
      <c r="U781" s="710"/>
      <c r="V781" s="710"/>
      <c r="W781" s="710"/>
      <c r="X781" s="710"/>
      <c r="Y781" s="710"/>
      <c r="Z781" s="710"/>
      <c r="AA781" s="710"/>
      <c r="AB781" s="710"/>
      <c r="AC781" s="710"/>
      <c r="AD781" s="710"/>
      <c r="AE781" s="710"/>
      <c r="AF781" s="710"/>
      <c r="AG781" s="710"/>
      <c r="AH781" s="710"/>
      <c r="AI781" s="710"/>
      <c r="AJ781" s="710"/>
      <c r="AK781" s="710"/>
      <c r="AL781" s="710"/>
      <c r="AM781" s="710"/>
      <c r="AN781" s="710"/>
      <c r="AO781" s="710"/>
      <c r="AP781" s="710"/>
      <c r="AQ781" s="710"/>
      <c r="AR781" s="710"/>
      <c r="AS781" s="710"/>
      <c r="AT781" s="710"/>
      <c r="AU781" s="710"/>
      <c r="AV781" s="710"/>
      <c r="AW781" s="710"/>
      <c r="AX781" s="710"/>
      <c r="AY781" s="710"/>
      <c r="AZ781" s="710"/>
      <c r="BA781" s="710"/>
      <c r="BB781" s="710"/>
      <c r="BC781" s="710"/>
      <c r="BD781" s="710"/>
      <c r="BE781" s="710"/>
      <c r="BF781" s="710"/>
      <c r="BG781" s="710"/>
      <c r="BH781" s="710"/>
      <c r="BI781" s="710"/>
      <c r="BJ781" s="710"/>
      <c r="BK781" s="710"/>
      <c r="BL781" s="710"/>
      <c r="BM781" s="710"/>
      <c r="BN781" s="710"/>
      <c r="BO781" s="710"/>
      <c r="BP781" s="710"/>
      <c r="BQ781" s="710"/>
      <c r="BR781" s="710"/>
      <c r="BS781" s="711"/>
      <c r="BT781" s="710"/>
      <c r="BU781" s="711"/>
      <c r="BV781" s="710"/>
      <c r="BW781" s="711"/>
      <c r="BX781" s="710"/>
      <c r="BY781" s="711"/>
      <c r="BZ781" s="710"/>
      <c r="CA781" s="711"/>
      <c r="CB781" s="710"/>
      <c r="CC781" s="711"/>
      <c r="CD781" s="710"/>
      <c r="CE781" s="711"/>
      <c r="CF781" s="710"/>
      <c r="CG781" s="711"/>
      <c r="CH781" s="710"/>
      <c r="CI781" s="711"/>
      <c r="CJ781" s="710"/>
      <c r="CK781" s="711"/>
      <c r="CL781" s="710"/>
      <c r="CM781" s="711"/>
      <c r="CN781" s="710"/>
      <c r="CO781" s="711"/>
      <c r="CP781" s="710"/>
      <c r="CQ781" s="711"/>
      <c r="CR781" s="710"/>
      <c r="CS781" s="711"/>
      <c r="CT781" s="710"/>
      <c r="CU781" s="711"/>
      <c r="CV781" s="710"/>
      <c r="CW781" s="711"/>
      <c r="CX781" s="710"/>
      <c r="CY781" s="711"/>
      <c r="CZ781" s="710"/>
      <c r="DA781" s="711"/>
      <c r="DB781" s="710"/>
      <c r="DC781" s="711"/>
      <c r="DD781" s="710"/>
      <c r="DE781" s="711"/>
      <c r="DF781" s="710"/>
      <c r="DG781" s="711"/>
      <c r="DH781" s="710"/>
      <c r="DI781" s="711"/>
      <c r="DJ781" s="710"/>
      <c r="DK781" s="711"/>
      <c r="DL781" s="710"/>
      <c r="DM781" s="711"/>
      <c r="DN781" s="710"/>
      <c r="DO781" s="711"/>
      <c r="DP781" s="710"/>
      <c r="DQ781" s="711"/>
      <c r="DR781" s="710"/>
      <c r="DS781" s="711"/>
      <c r="DT781" s="710"/>
      <c r="DU781" s="711"/>
      <c r="DV781" s="710"/>
      <c r="DW781" s="711"/>
      <c r="DX781" s="710"/>
      <c r="DY781" s="711"/>
      <c r="DZ781" s="710"/>
      <c r="EA781" s="711"/>
      <c r="EB781" s="710"/>
      <c r="EC781" s="711"/>
      <c r="ED781" s="711"/>
      <c r="EE781" s="711"/>
      <c r="EF781" s="711"/>
      <c r="EG781" s="711"/>
      <c r="EH781" s="711"/>
      <c r="EI781" s="711"/>
      <c r="EJ781" s="711"/>
      <c r="EK781" s="711"/>
      <c r="EL781" s="711"/>
      <c r="EM781" s="711"/>
      <c r="EN781" s="711"/>
      <c r="EO781" s="711"/>
      <c r="EP781" s="710"/>
      <c r="EQ781" s="711"/>
      <c r="ER781" s="710"/>
      <c r="ES781" s="711"/>
      <c r="ET781" s="710"/>
      <c r="EU781" s="711"/>
      <c r="EV781" s="710"/>
      <c r="EW781" s="711"/>
      <c r="EX781" s="710"/>
      <c r="EY781" s="712"/>
      <c r="EZ781" s="713"/>
      <c r="FA781" s="714"/>
      <c r="FB781" s="711"/>
      <c r="FC781" s="710"/>
      <c r="FD781" s="711"/>
      <c r="FE781" s="710"/>
      <c r="FF781" s="712"/>
      <c r="FG781" s="710"/>
      <c r="FH781" s="712"/>
      <c r="FI781" s="710"/>
      <c r="FJ781" s="712"/>
      <c r="FK781" s="710"/>
      <c r="FL781" s="712"/>
      <c r="FM781" s="710"/>
      <c r="FN781" s="712"/>
      <c r="FO781" s="710"/>
      <c r="FP781" s="712"/>
      <c r="FQ781" s="710"/>
      <c r="FR781" s="712"/>
      <c r="FS781" s="715"/>
      <c r="FT781" s="712"/>
      <c r="FU781" s="715"/>
      <c r="FV781" s="712"/>
      <c r="FW781" s="710"/>
      <c r="FX781" s="716"/>
      <c r="FY781" s="710"/>
      <c r="FZ781" s="712"/>
      <c r="GA781" s="710"/>
      <c r="GB781" s="716"/>
      <c r="GC781" s="710"/>
      <c r="GD781" s="712"/>
      <c r="GE781" s="710"/>
      <c r="GF781" s="712"/>
      <c r="GG781" s="710"/>
      <c r="GH781" s="712"/>
      <c r="GI781" s="710"/>
      <c r="GJ781" s="712"/>
      <c r="GK781" s="710"/>
      <c r="GL781" s="712"/>
      <c r="GM781" s="710"/>
      <c r="GN781" s="712"/>
      <c r="GO781" s="710"/>
      <c r="GP781" s="712"/>
      <c r="GQ781" s="710"/>
      <c r="GR781" s="712"/>
      <c r="GS781" s="710"/>
      <c r="GT781" s="712"/>
      <c r="GU781" s="710"/>
      <c r="GV781" s="712"/>
      <c r="GW781" s="710"/>
      <c r="GX781" s="712"/>
      <c r="GY781" s="710"/>
      <c r="GZ781" s="710"/>
      <c r="HA781" s="710"/>
      <c r="HC781"/>
      <c r="HD781"/>
      <c r="HE781"/>
      <c r="HF781"/>
      <c r="HG781"/>
      <c r="HH781"/>
    </row>
    <row r="782" spans="1:217" s="2" customFormat="1" ht="12.75" hidden="1" customHeight="1" outlineLevel="1" x14ac:dyDescent="0.2">
      <c r="A782" s="351"/>
      <c r="C782" s="10"/>
      <c r="D782" s="13"/>
      <c r="E782" s="10"/>
      <c r="F782" s="13"/>
      <c r="G782" s="10"/>
      <c r="H782" s="13"/>
      <c r="I782" s="10"/>
      <c r="J782" s="33"/>
      <c r="K782" s="10"/>
      <c r="L782" s="33"/>
      <c r="M782" s="10"/>
      <c r="N782" s="33"/>
      <c r="O782" s="10"/>
      <c r="P782" s="33"/>
      <c r="Q782" s="10"/>
      <c r="R782" s="33"/>
      <c r="S782" s="10"/>
      <c r="T782" s="33"/>
      <c r="U782" s="10"/>
      <c r="V782" s="33"/>
      <c r="W782" s="10"/>
      <c r="X782" s="33"/>
      <c r="Y782" s="10"/>
      <c r="Z782" s="33"/>
      <c r="AA782" s="10"/>
      <c r="AB782" s="33"/>
      <c r="AC782" s="10"/>
      <c r="AD782" s="33"/>
      <c r="AE782" s="10"/>
      <c r="AF782" s="33"/>
      <c r="AG782" s="10"/>
      <c r="AH782" s="33"/>
      <c r="AI782" s="23"/>
      <c r="AJ782" s="33"/>
      <c r="AK782" s="23"/>
      <c r="AL782" s="33"/>
      <c r="AM782" s="23"/>
      <c r="AN782" s="33"/>
      <c r="AO782" s="23"/>
      <c r="AP782" s="33"/>
      <c r="AQ782" s="23"/>
      <c r="AR782" s="33"/>
      <c r="AS782" s="395"/>
      <c r="AT782" s="33"/>
      <c r="AU782" s="395"/>
      <c r="AV782" s="33"/>
      <c r="AW782" s="395"/>
      <c r="AX782" s="33"/>
      <c r="AY782" s="395"/>
      <c r="AZ782" s="33"/>
      <c r="BA782" s="24"/>
      <c r="BB782" s="33"/>
      <c r="BC782" s="24"/>
      <c r="BD782" s="33"/>
      <c r="BE782" s="24"/>
      <c r="BF782" s="33"/>
      <c r="BG782" s="24"/>
      <c r="BH782" s="33"/>
      <c r="BI782" s="24"/>
      <c r="BJ782" s="33"/>
      <c r="BK782" s="24"/>
      <c r="BL782" s="33"/>
      <c r="BM782" s="24"/>
      <c r="BN782" s="33"/>
      <c r="BO782" s="24"/>
      <c r="BP782" s="33"/>
      <c r="BQ782" s="24"/>
      <c r="BR782" s="33"/>
      <c r="BS782" s="24"/>
      <c r="BT782" s="33"/>
      <c r="BU782" s="24"/>
      <c r="BV782" s="33"/>
      <c r="BW782" s="24"/>
      <c r="BX782" s="33"/>
      <c r="BY782" s="24"/>
      <c r="BZ782" s="33"/>
      <c r="CA782" s="24"/>
      <c r="CB782" s="12"/>
      <c r="CC782" s="24"/>
      <c r="CD782" s="33"/>
      <c r="CE782" s="24"/>
      <c r="CF782" s="12"/>
      <c r="CG782" s="24"/>
      <c r="CH782" s="12"/>
      <c r="CI782" s="24"/>
      <c r="CJ782" s="12"/>
      <c r="CK782" s="24"/>
      <c r="CL782" s="12"/>
      <c r="CM782" s="24"/>
      <c r="CN782" s="12"/>
      <c r="CO782" s="24"/>
      <c r="CP782" s="12"/>
      <c r="CQ782" s="470"/>
      <c r="CR782" s="12"/>
      <c r="CS782" s="24"/>
      <c r="CT782" s="12"/>
      <c r="CU782" s="24"/>
      <c r="CV782" s="12"/>
      <c r="CW782" s="24"/>
      <c r="CX782" s="12"/>
      <c r="CY782" s="24"/>
      <c r="CZ782" s="12"/>
      <c r="DA782" s="24"/>
      <c r="DB782" s="12"/>
      <c r="DC782" s="24"/>
      <c r="DD782" s="12"/>
      <c r="DE782" s="24"/>
      <c r="DF782" s="12"/>
      <c r="DG782" s="24"/>
      <c r="DH782" s="12"/>
      <c r="DI782" s="24"/>
      <c r="DJ782" s="12"/>
      <c r="DK782" s="24"/>
      <c r="DL782" s="12"/>
      <c r="DM782" s="24"/>
      <c r="DN782" s="12"/>
      <c r="DO782" s="24"/>
      <c r="DP782" s="12"/>
      <c r="DQ782" s="24"/>
      <c r="DR782" s="12"/>
      <c r="DS782" s="24"/>
      <c r="DT782" s="12"/>
      <c r="DU782" s="24"/>
      <c r="DV782" s="12"/>
      <c r="DW782" s="24"/>
      <c r="DX782" s="12"/>
      <c r="DY782" s="24"/>
      <c r="DZ782" s="12"/>
      <c r="EA782" s="24"/>
      <c r="EB782" s="12"/>
      <c r="EC782" s="24"/>
      <c r="ED782" s="24"/>
      <c r="EE782" s="24"/>
      <c r="EF782" s="24"/>
      <c r="EG782" s="24"/>
      <c r="EH782" s="24"/>
      <c r="EI782" s="24"/>
      <c r="EJ782" s="24"/>
      <c r="EK782" s="24"/>
      <c r="EL782" s="24"/>
      <c r="EM782" s="24"/>
      <c r="EN782" s="24"/>
      <c r="EO782" s="24"/>
      <c r="EP782" s="12"/>
      <c r="EQ782" s="24"/>
      <c r="ER782" s="12"/>
      <c r="ES782" s="24"/>
      <c r="ET782" s="12"/>
      <c r="EU782" s="24"/>
      <c r="EV782" s="12"/>
      <c r="EW782" s="24"/>
      <c r="EX782" s="12"/>
      <c r="EY782" s="10"/>
      <c r="EZ782" s="602"/>
      <c r="FA782" s="266"/>
      <c r="FB782" s="10"/>
      <c r="FC782" s="13"/>
      <c r="FD782" s="10"/>
      <c r="FE782" s="33"/>
      <c r="FF782" s="24"/>
      <c r="FG782" s="33"/>
      <c r="FH782" s="24"/>
      <c r="FI782" s="33"/>
      <c r="FJ782" s="24"/>
      <c r="FK782" s="33"/>
      <c r="FL782" s="24"/>
      <c r="FM782" s="33"/>
      <c r="FN782" s="24"/>
      <c r="FO782" s="33"/>
      <c r="FP782" s="24"/>
      <c r="FQ782" s="33"/>
      <c r="FR782" s="24"/>
      <c r="FS782" s="36"/>
      <c r="FT782" s="24"/>
      <c r="FU782" s="36"/>
      <c r="FV782" s="24"/>
      <c r="FW782" s="36"/>
      <c r="FX782" s="470"/>
      <c r="FY782" s="36"/>
      <c r="FZ782" s="24"/>
      <c r="GA782" s="36"/>
      <c r="GB782" s="470"/>
      <c r="GC782" s="36"/>
      <c r="GD782" s="24"/>
      <c r="GE782" s="36"/>
      <c r="GF782" s="24"/>
      <c r="GG782" s="36"/>
      <c r="GH782" s="24"/>
      <c r="GI782" s="36"/>
      <c r="GJ782" s="24"/>
      <c r="GK782" s="36"/>
      <c r="GL782" s="24"/>
      <c r="GM782" s="36"/>
      <c r="GN782" s="24"/>
      <c r="GO782" s="36"/>
      <c r="GP782" s="24"/>
      <c r="GQ782" s="36"/>
      <c r="GR782" s="24"/>
      <c r="GS782" s="36"/>
      <c r="GT782" s="24"/>
      <c r="GU782" s="36"/>
      <c r="GV782" s="24"/>
      <c r="GW782" s="36"/>
      <c r="GX782" s="24"/>
      <c r="GY782" s="36"/>
      <c r="GZ782" s="33"/>
      <c r="HA782" s="33"/>
      <c r="HB782" s="10"/>
      <c r="HC782"/>
      <c r="HD782"/>
      <c r="HE782"/>
      <c r="HF782"/>
      <c r="HG782"/>
      <c r="HH782"/>
      <c r="HI782" s="10"/>
    </row>
    <row r="783" spans="1:217" s="10" customFormat="1" ht="12.75" hidden="1" customHeight="1" outlineLevel="1" x14ac:dyDescent="0.2">
      <c r="A783" s="28" t="s">
        <v>242</v>
      </c>
      <c r="B783" s="10" t="s">
        <v>459</v>
      </c>
      <c r="C783" s="16">
        <f>C140+C154</f>
        <v>-725</v>
      </c>
      <c r="D783" s="16"/>
      <c r="E783" s="16">
        <f>E140+E154</f>
        <v>-991</v>
      </c>
      <c r="F783" s="16"/>
      <c r="G783" s="16">
        <f>G140+G154</f>
        <v>-728</v>
      </c>
      <c r="H783" s="16"/>
      <c r="I783" s="16">
        <f>I140+I154</f>
        <v>-810</v>
      </c>
      <c r="J783" s="16"/>
      <c r="K783" s="16">
        <f>K140+K154</f>
        <v>-1094</v>
      </c>
      <c r="L783" s="440"/>
      <c r="M783" s="16">
        <f>M140+M154</f>
        <v>-676</v>
      </c>
      <c r="N783" s="440"/>
      <c r="O783" s="16">
        <f>O140+O154</f>
        <v>174</v>
      </c>
      <c r="P783" s="440"/>
      <c r="Q783" s="16">
        <f>Q140+Q154</f>
        <v>-1519</v>
      </c>
      <c r="R783" s="440"/>
      <c r="S783" s="16">
        <f>S140+S154</f>
        <v>-767</v>
      </c>
      <c r="T783" s="440"/>
      <c r="U783" s="16">
        <f>U140+U154</f>
        <v>763</v>
      </c>
      <c r="V783" s="440"/>
      <c r="W783" s="16">
        <f>W140+W154</f>
        <v>536</v>
      </c>
      <c r="X783" s="440"/>
      <c r="Y783" s="16">
        <f>Y140+Y154</f>
        <v>-258</v>
      </c>
      <c r="Z783" s="440"/>
      <c r="AA783" s="16">
        <f>AA140+AA154</f>
        <v>395</v>
      </c>
      <c r="AB783" s="440"/>
      <c r="AC783" s="16">
        <f>AC140+AC154</f>
        <v>1867</v>
      </c>
      <c r="AD783" s="440"/>
      <c r="AE783" s="16">
        <f>AE140+AE154</f>
        <v>1598</v>
      </c>
      <c r="AF783" s="440"/>
      <c r="AG783" s="16">
        <f>AG140+AG154</f>
        <v>283</v>
      </c>
      <c r="AH783" s="440"/>
      <c r="AI783" s="16">
        <f>AI140+AI154</f>
        <v>695</v>
      </c>
      <c r="AJ783" s="440"/>
      <c r="AK783" s="16">
        <f>AK140+AK154</f>
        <v>938</v>
      </c>
      <c r="AL783" s="440"/>
      <c r="AM783" s="16">
        <f>AM140+AM154</f>
        <v>968</v>
      </c>
      <c r="AN783" s="440"/>
      <c r="AO783" s="16">
        <f>AO140+AO154</f>
        <v>698</v>
      </c>
      <c r="AP783" s="440"/>
      <c r="AQ783" s="16">
        <f>AQ140+AQ154</f>
        <v>1614</v>
      </c>
      <c r="AR783" s="440"/>
      <c r="AS783" s="16">
        <f>AS140+AS154</f>
        <v>-103</v>
      </c>
      <c r="AT783" s="440"/>
      <c r="AU783" s="16">
        <f>AU140+AU154</f>
        <v>2012</v>
      </c>
      <c r="AV783" s="440"/>
      <c r="AW783" s="16">
        <f>AW140+AW154</f>
        <v>243</v>
      </c>
      <c r="AX783" s="440"/>
      <c r="AY783" s="16">
        <f>AY140+AY154</f>
        <v>-303</v>
      </c>
      <c r="AZ783" s="440"/>
      <c r="BA783" s="16">
        <f>BA140+BA154</f>
        <v>452</v>
      </c>
      <c r="BB783" s="440"/>
      <c r="BC783" s="16">
        <f>BC140+BC154</f>
        <v>-396</v>
      </c>
      <c r="BD783" s="440"/>
      <c r="BE783" s="16">
        <f>BE140+BE154</f>
        <v>835</v>
      </c>
      <c r="BF783" s="440"/>
      <c r="BG783" s="16">
        <f>BG140+BG154</f>
        <v>2</v>
      </c>
      <c r="BH783" s="440"/>
      <c r="BI783" s="16">
        <f>BI140+BI154</f>
        <v>3893</v>
      </c>
      <c r="BJ783" s="440"/>
      <c r="BK783" s="16">
        <f>BK140+BK154</f>
        <v>126</v>
      </c>
      <c r="BL783" s="440"/>
      <c r="BM783" s="16">
        <f>BM140+BM154</f>
        <v>-3162</v>
      </c>
      <c r="BN783" s="440"/>
      <c r="BO783" s="16">
        <f>BO140+BO154</f>
        <v>1841</v>
      </c>
      <c r="BP783" s="440"/>
      <c r="BQ783" s="16">
        <f>BQ140+BQ154</f>
        <v>1139</v>
      </c>
      <c r="BR783" s="440"/>
      <c r="BS783" s="16">
        <f>BS140+BS154</f>
        <v>2696</v>
      </c>
      <c r="BT783" s="440"/>
      <c r="BU783" s="16">
        <f>BU140+BU154</f>
        <v>2511</v>
      </c>
      <c r="BV783" s="440"/>
      <c r="BW783" s="16">
        <f>BW140+BW154</f>
        <v>-7165</v>
      </c>
      <c r="BX783" s="440"/>
      <c r="BY783" s="16">
        <f>BY140+BY154</f>
        <v>-3639</v>
      </c>
      <c r="BZ783" s="440"/>
      <c r="CA783" s="16">
        <f>CA140+CA154</f>
        <v>-1086</v>
      </c>
      <c r="CB783" s="440"/>
      <c r="CC783" s="16">
        <f>CC140+CC154</f>
        <v>-1375</v>
      </c>
      <c r="CD783" s="440"/>
      <c r="CE783" s="16">
        <f>CE140+CE154</f>
        <v>4833</v>
      </c>
      <c r="CF783" s="440"/>
      <c r="CG783" s="16">
        <f>CG140+CG154</f>
        <v>-820</v>
      </c>
      <c r="CH783" s="440"/>
      <c r="CI783" s="16">
        <f>CI140+CI154</f>
        <v>5367</v>
      </c>
      <c r="CJ783" s="440"/>
      <c r="CK783" s="16">
        <f>CK140+CK154</f>
        <v>519</v>
      </c>
      <c r="CL783" s="440"/>
      <c r="CM783" s="16">
        <f>CM140+CM154</f>
        <v>5686</v>
      </c>
      <c r="CN783" s="440"/>
      <c r="CO783" s="16">
        <f>CO140+CO154</f>
        <v>1609</v>
      </c>
      <c r="CP783" s="440"/>
      <c r="CQ783" s="535">
        <f>CQ140+CQ154</f>
        <v>-2036</v>
      </c>
      <c r="CR783" s="440"/>
      <c r="CS783" s="16">
        <f>CS140+CS154</f>
        <v>-371</v>
      </c>
      <c r="CT783" s="440"/>
      <c r="CU783" s="16">
        <f>CU140+CU154</f>
        <v>5579</v>
      </c>
      <c r="CV783" s="440"/>
      <c r="CW783" s="16">
        <f>CW140+CW154</f>
        <v>4490</v>
      </c>
      <c r="CX783" s="440"/>
      <c r="CY783" s="16">
        <f>CY140+CY154</f>
        <v>6613</v>
      </c>
      <c r="CZ783" s="440"/>
      <c r="DA783" s="16">
        <f>DA140+DA154</f>
        <v>-4591</v>
      </c>
      <c r="DB783" s="440"/>
      <c r="DC783" s="16">
        <f>DC140+DC154</f>
        <v>6188</v>
      </c>
      <c r="DD783" s="440"/>
      <c r="DE783" s="16">
        <f>DE140+DE154</f>
        <v>-3261</v>
      </c>
      <c r="DF783" s="440"/>
      <c r="DG783" s="16">
        <f>DG140+DG154</f>
        <v>-129</v>
      </c>
      <c r="DH783" s="440"/>
      <c r="DI783" s="16">
        <f>DI140+DI154</f>
        <v>1727</v>
      </c>
      <c r="DJ783" s="440"/>
      <c r="DK783" s="16">
        <f>DK140+DK154</f>
        <v>-1728</v>
      </c>
      <c r="DL783" s="440"/>
      <c r="DM783" s="16">
        <f>DM140+DM154</f>
        <v>4462</v>
      </c>
      <c r="DN783" s="440"/>
      <c r="DO783" s="16">
        <f>DO140+DO154</f>
        <v>3402</v>
      </c>
      <c r="DP783" s="440"/>
      <c r="DQ783" s="16">
        <f>DQ140+DQ154</f>
        <v>-1237</v>
      </c>
      <c r="DR783" s="440"/>
      <c r="DS783" s="16">
        <f>DS140+DS154</f>
        <v>4621</v>
      </c>
      <c r="DT783" s="440"/>
      <c r="DU783" s="16">
        <f>DU140+DU154</f>
        <v>-418</v>
      </c>
      <c r="DV783" s="440"/>
      <c r="DW783" s="16">
        <f>DW140+DW154</f>
        <v>-3066</v>
      </c>
      <c r="DX783" s="440"/>
      <c r="DY783" s="16">
        <f>DY140+DY154</f>
        <v>-148</v>
      </c>
      <c r="DZ783" s="440"/>
      <c r="EA783" s="16">
        <f>EA140+EA154</f>
        <v>1664</v>
      </c>
      <c r="EB783" s="440"/>
      <c r="EC783" s="16">
        <f>EC140+EC154</f>
        <v>1977</v>
      </c>
      <c r="ED783" s="440"/>
      <c r="EE783" s="16">
        <f>EE140+EE154</f>
        <v>2091</v>
      </c>
      <c r="EF783" s="1080"/>
      <c r="EG783" s="16">
        <f>EG140+EG154</f>
        <v>3562</v>
      </c>
      <c r="EH783" s="1080"/>
      <c r="EI783" s="16">
        <f>EI140+EI154</f>
        <v>642</v>
      </c>
      <c r="EJ783" s="1080"/>
      <c r="EK783" s="16">
        <f>EK140+EK154</f>
        <v>-356</v>
      </c>
      <c r="EL783" s="1080"/>
      <c r="EM783" s="16">
        <f>EM140+EM154</f>
        <v>-2015</v>
      </c>
      <c r="EN783" s="1080"/>
      <c r="EO783" s="16">
        <f>EO140+EO154</f>
        <v>-2052</v>
      </c>
      <c r="EP783" s="440"/>
      <c r="EQ783" s="1079">
        <f>EQ140+EQ154</f>
        <v>-2037.7213494029697</v>
      </c>
      <c r="ER783" s="440"/>
      <c r="ES783" s="1079">
        <f>ES140+ES154</f>
        <v>-1946.6041342703129</v>
      </c>
      <c r="ET783" s="440"/>
      <c r="EU783" s="1079">
        <f>EU140+EU154</f>
        <v>-1866.4601661027691</v>
      </c>
      <c r="EV783" s="440"/>
      <c r="EW783" s="1079">
        <f>EW140+EW154</f>
        <v>-1778.8875958057929</v>
      </c>
      <c r="EX783" s="440"/>
      <c r="EY783" s="16"/>
      <c r="EZ783" s="607"/>
      <c r="FA783" s="427"/>
      <c r="FB783" s="16">
        <f>FB140+FB154</f>
        <v>0</v>
      </c>
      <c r="FC783" s="16"/>
      <c r="FD783" s="16">
        <f>FD140+FD154</f>
        <v>-2418</v>
      </c>
      <c r="FE783" s="440"/>
      <c r="FF783" s="16">
        <f>FF140+FF154</f>
        <v>-3254</v>
      </c>
      <c r="FG783" s="440"/>
      <c r="FH783" s="16">
        <f>FH140+FH154</f>
        <v>-3115</v>
      </c>
      <c r="FI783" s="440"/>
      <c r="FJ783" s="16">
        <f>FJ140+FJ154</f>
        <v>274</v>
      </c>
      <c r="FK783" s="440"/>
      <c r="FL783" s="16">
        <f>FL140+FL154</f>
        <v>4143</v>
      </c>
      <c r="FM783" s="440"/>
      <c r="FN783" s="16">
        <f>FN140+FN154</f>
        <v>3299</v>
      </c>
      <c r="FO783" s="440"/>
      <c r="FP783" s="16">
        <f>FP140+FP154</f>
        <v>3766</v>
      </c>
      <c r="FQ783" s="440"/>
      <c r="FR783" s="16">
        <f>FR140+FR154</f>
        <v>588</v>
      </c>
      <c r="FS783" s="440"/>
      <c r="FT783" s="16">
        <f>FT140+FT154</f>
        <v>859</v>
      </c>
      <c r="FU783" s="440"/>
      <c r="FV783" s="16">
        <f>FV140+FV154</f>
        <v>8187</v>
      </c>
      <c r="FW783" s="440"/>
      <c r="FX783" s="535">
        <f>FX140+FX154</f>
        <v>-13265</v>
      </c>
      <c r="FY783" s="440"/>
      <c r="FZ783" s="16">
        <f>FZ140+FZ154</f>
        <v>9899</v>
      </c>
      <c r="GA783" s="440"/>
      <c r="GB783" s="535">
        <f>GB140+GB154</f>
        <v>4888</v>
      </c>
      <c r="GC783" s="440"/>
      <c r="GD783" s="16">
        <f>GD140+GD154</f>
        <v>12091</v>
      </c>
      <c r="GE783" s="440"/>
      <c r="GF783" s="16">
        <f>GF140+GF154</f>
        <v>4525</v>
      </c>
      <c r="GG783" s="440"/>
      <c r="GH783" s="16">
        <f>GH140+GH154</f>
        <v>4899</v>
      </c>
      <c r="GI783" s="440"/>
      <c r="GJ783" s="16">
        <f>GJ140+GJ154</f>
        <v>989</v>
      </c>
      <c r="GK783" s="440"/>
      <c r="GL783" s="16">
        <f>GL140+GL154</f>
        <v>9294</v>
      </c>
      <c r="GM783" s="98" t="str">
        <f t="shared" ref="GM783:GS805" si="4879">IF(ISERROR((GL783/GJ783-1)*100),"NA",IF(((GL783/GJ783-1)*100)&gt;100,"NM",IF(((GL783/GJ783-1)*100)&lt;-50,"NM",(GL783/GJ783-1)*100)))</f>
        <v>NM</v>
      </c>
      <c r="GN783" s="16">
        <f>GN140+GN154</f>
        <v>-3781</v>
      </c>
      <c r="GO783" s="98" t="str">
        <f t="shared" si="4879"/>
        <v>NM</v>
      </c>
      <c r="GP783" s="16">
        <f>GP140+GP154</f>
        <v>-7629.6732455818437</v>
      </c>
      <c r="GQ783" s="98" t="str">
        <f t="shared" si="4879"/>
        <v>NM</v>
      </c>
      <c r="GR783" s="16">
        <f>GR140+GR154</f>
        <v>-2632.0779630086654</v>
      </c>
      <c r="GS783" s="98" t="str">
        <f t="shared" si="4879"/>
        <v>NM</v>
      </c>
      <c r="GT783" s="16">
        <f>GT140+GT154</f>
        <v>530.57468861606594</v>
      </c>
      <c r="GU783" s="440"/>
      <c r="GV783" s="16">
        <f>GV140+GV154</f>
        <v>2802.2157833210204</v>
      </c>
      <c r="GW783" s="440"/>
      <c r="GX783" s="16">
        <f>GX140+GX154</f>
        <v>4631.2376025328258</v>
      </c>
      <c r="GY783" s="440"/>
      <c r="GZ783" s="455"/>
      <c r="HA783" s="455"/>
      <c r="HC783"/>
      <c r="HD783"/>
      <c r="HE783"/>
      <c r="HF783"/>
      <c r="HG783"/>
      <c r="HH783"/>
    </row>
    <row r="784" spans="1:217" s="2" customFormat="1" ht="12.75" hidden="1" customHeight="1" outlineLevel="1" x14ac:dyDescent="0.2">
      <c r="A784" s="351"/>
      <c r="B784" s="2" t="s">
        <v>50</v>
      </c>
      <c r="C784" s="425"/>
      <c r="D784" s="425"/>
      <c r="E784" s="425"/>
      <c r="F784" s="425"/>
      <c r="G784" s="425"/>
      <c r="H784" s="425"/>
      <c r="I784" s="425"/>
      <c r="J784" s="429"/>
      <c r="K784" s="425"/>
      <c r="L784" s="429"/>
      <c r="M784" s="425"/>
      <c r="N784" s="429"/>
      <c r="O784" s="425"/>
      <c r="P784" s="429"/>
      <c r="Q784" s="425"/>
      <c r="R784" s="429"/>
      <c r="S784" s="425"/>
      <c r="T784" s="429"/>
      <c r="U784" s="425"/>
      <c r="V784" s="429"/>
      <c r="W784" s="425"/>
      <c r="X784" s="429"/>
      <c r="Y784" s="425"/>
      <c r="Z784" s="429"/>
      <c r="AA784" s="430">
        <f>+AA637/AA626*100</f>
        <v>-24.439461883408072</v>
      </c>
      <c r="AB784" s="429"/>
      <c r="AC784" s="430">
        <f>+AC637/AC626*100</f>
        <v>-6.4516129032258061</v>
      </c>
      <c r="AD784" s="429"/>
      <c r="AE784" s="430">
        <f>+AE637/AE626*100</f>
        <v>-11.038961038961039</v>
      </c>
      <c r="AF784" s="429"/>
      <c r="AG784" s="430">
        <f>+AG637/AG626*100</f>
        <v>12.743362831858407</v>
      </c>
      <c r="AH784" s="429"/>
      <c r="AI784" s="430">
        <f>+AI637/AI626*100</f>
        <v>12.773109243697478</v>
      </c>
      <c r="AJ784" s="429"/>
      <c r="AK784" s="430">
        <f>+AK637/AK626*100</f>
        <v>13.315926892950392</v>
      </c>
      <c r="AL784" s="429"/>
      <c r="AM784" s="430">
        <f>+AM637/AM626*100</f>
        <v>19.093851132686083</v>
      </c>
      <c r="AN784" s="429"/>
      <c r="AO784" s="430">
        <f>+AO637/AO626*100</f>
        <v>-20.909090909090907</v>
      </c>
      <c r="AP784" s="429"/>
      <c r="AQ784" s="430">
        <f>+AQ637/AQ626*100</f>
        <v>-2.5547445255474455</v>
      </c>
      <c r="AR784" s="429"/>
      <c r="AS784" s="430">
        <f>+AS637/AS626*100</f>
        <v>165.40229885057471</v>
      </c>
      <c r="AT784" s="429"/>
      <c r="AU784" s="430">
        <f>+AU637/AU626*100</f>
        <v>-1.9230769230769231</v>
      </c>
      <c r="AV784" s="429"/>
      <c r="AW784" s="430">
        <f>+AW637/AW626*100</f>
        <v>-18.272841051314142</v>
      </c>
      <c r="AX784" s="429"/>
      <c r="AY784" s="430">
        <f>+AY637/AY626*100</f>
        <v>-40.448343079922026</v>
      </c>
      <c r="AZ784" s="429"/>
      <c r="BA784" s="430">
        <f>+BA637/BA626*100</f>
        <v>-54.573170731707322</v>
      </c>
      <c r="BB784" s="429"/>
      <c r="BC784" s="430">
        <f>+BC637/BC626*100</f>
        <v>17.118997912317326</v>
      </c>
      <c r="BD784" s="429"/>
      <c r="BE784" s="430">
        <f>+BE637/BE626*100</f>
        <v>264.80075901328274</v>
      </c>
      <c r="BF784" s="429"/>
      <c r="BG784" s="430">
        <f>+BG637/BG626*100</f>
        <v>-5.360443622920517</v>
      </c>
      <c r="BH784" s="429"/>
      <c r="BI784" s="430">
        <f>+BI637/BI626*100</f>
        <v>-14.721586575133486</v>
      </c>
      <c r="BJ784" s="429"/>
      <c r="BK784" s="430">
        <f>+BK637/BK626*100</f>
        <v>-16.442048517520217</v>
      </c>
      <c r="BL784" s="429"/>
      <c r="BM784" s="430">
        <f>+BM637/BM626*100</f>
        <v>-10.766580534022395</v>
      </c>
      <c r="BN784" s="429"/>
      <c r="BO784" s="430">
        <f>+BO637/BO626*100</f>
        <v>-44.309701492537314</v>
      </c>
      <c r="BP784" s="429"/>
      <c r="BQ784" s="430">
        <f>+BQ637/BQ626*100</f>
        <v>-26.042841037204056</v>
      </c>
      <c r="BR784" s="429"/>
      <c r="BS784" s="430">
        <f>+BS637/BS626*100</f>
        <v>79.44078947368422</v>
      </c>
      <c r="BT784" s="429"/>
      <c r="BU784" s="430">
        <f>+BU637/BU626*100</f>
        <v>-2870.2127659574467</v>
      </c>
      <c r="BV784" s="429"/>
      <c r="BW784" s="430">
        <f>+BW637/BW626*100</f>
        <v>983.05084745762713</v>
      </c>
      <c r="BX784" s="429"/>
      <c r="BY784" s="430">
        <f>+BY637/BY626*100</f>
        <v>-1702.7972027972028</v>
      </c>
      <c r="BZ784" s="429"/>
      <c r="CA784" s="430">
        <f>+CA637/CA626*100</f>
        <v>-957.24137931034488</v>
      </c>
      <c r="CB784" s="429"/>
      <c r="CC784" s="430">
        <f>+CC637/CC626*100</f>
        <v>-1900</v>
      </c>
      <c r="CD784" s="429"/>
      <c r="CE784" s="430">
        <f>+CE637/CE626*100</f>
        <v>19.583333333333332</v>
      </c>
      <c r="CF784" s="429"/>
      <c r="CG784" s="430">
        <f>+CG637/CG626*100</f>
        <v>223.42007434944239</v>
      </c>
      <c r="CH784" s="429"/>
      <c r="CI784" s="430">
        <f>+CI637/CI626*100</f>
        <v>-200.51813471502589</v>
      </c>
      <c r="CJ784" s="429"/>
      <c r="CK784" s="430">
        <f>+CK637/CK626*100</f>
        <v>-188.8507718696398</v>
      </c>
      <c r="CL784" s="429"/>
      <c r="CM784" s="430">
        <f>+CM637/CM626*100</f>
        <v>-58.80681818181818</v>
      </c>
      <c r="CN784" s="429"/>
      <c r="CO784" s="430">
        <f>+CO637/CO626*100</f>
        <v>30.495356037151705</v>
      </c>
      <c r="CP784" s="429"/>
      <c r="CQ784" s="509">
        <f>+CQ637/CQ626*100</f>
        <v>551.39813581890814</v>
      </c>
      <c r="CR784" s="429"/>
      <c r="CS784" s="430">
        <f>+CS637/CS626*100</f>
        <v>4.125</v>
      </c>
      <c r="CT784" s="429"/>
      <c r="CU784" s="430">
        <f>+CU637/CU626*100</f>
        <v>-209.84924623115577</v>
      </c>
      <c r="CV784" s="429"/>
      <c r="CW784" s="430">
        <f>+CW637/CW626*100</f>
        <v>198.046875</v>
      </c>
      <c r="CX784" s="429"/>
      <c r="CY784" s="430">
        <f>+CY637/CY626*100</f>
        <v>-75.243243243243242</v>
      </c>
      <c r="CZ784" s="429"/>
      <c r="DA784" s="430">
        <f>+DA637/DA626*100</f>
        <v>-204.72972972972974</v>
      </c>
      <c r="DB784" s="429"/>
      <c r="DC784" s="430">
        <f>+DC637/DC626*100</f>
        <v>-31.568431568431571</v>
      </c>
      <c r="DD784" s="429"/>
      <c r="DE784" s="430">
        <f>+DE637/DE626*100</f>
        <v>-157.37051792828686</v>
      </c>
      <c r="DF784" s="429"/>
      <c r="DG784" s="430">
        <f>+DG637/DG626*100</f>
        <v>-75.47846889952153</v>
      </c>
      <c r="DH784" s="429"/>
      <c r="DI784" s="430">
        <f>+DI637/DI626*100</f>
        <v>-61.495535714285708</v>
      </c>
      <c r="DJ784" s="429"/>
      <c r="DK784" s="430">
        <f>+DK637/DK626*100</f>
        <v>-7.3434125269978408</v>
      </c>
      <c r="DL784" s="429"/>
      <c r="DM784" s="430">
        <f>+DM637/DM626*100</f>
        <v>20.372398685651696</v>
      </c>
      <c r="DN784" s="429"/>
      <c r="DO784" s="430">
        <f>+DO637/DO626*100</f>
        <v>56.442307692307693</v>
      </c>
      <c r="DP784" s="429"/>
      <c r="DQ784" s="430">
        <f>+DQ637/DQ626*100</f>
        <v>47.97687861271676</v>
      </c>
      <c r="DR784" s="429"/>
      <c r="DS784" s="430">
        <f>+DS637/DS626*100</f>
        <v>87.440758293838854</v>
      </c>
      <c r="DT784" s="429"/>
      <c r="DU784" s="430">
        <f>+DU637/DU626*100</f>
        <v>-76.894775570272259</v>
      </c>
      <c r="DV784" s="429"/>
      <c r="DW784" s="430">
        <f>+DW637/DW626*100</f>
        <v>242.1787709497207</v>
      </c>
      <c r="DX784" s="429"/>
      <c r="DY784" s="430">
        <f>+DY637/DY626*100</f>
        <v>-29.757085020242911</v>
      </c>
      <c r="DZ784" s="429"/>
      <c r="EA784" s="430">
        <f>+EA637/EA626*100</f>
        <v>120.15968063872255</v>
      </c>
      <c r="EB784" s="429"/>
      <c r="EC784" s="430">
        <f>+EC637/EC626*100</f>
        <v>182.74760383386581</v>
      </c>
      <c r="ED784" s="429"/>
      <c r="EE784" s="430">
        <f>+EE637/EE626*100</f>
        <v>-23.025830258302584</v>
      </c>
      <c r="EF784" s="1082"/>
      <c r="EG784" s="430">
        <f>+EG637/EG626*100</f>
        <v>-247.01986754966887</v>
      </c>
      <c r="EH784" s="1082"/>
      <c r="EI784" s="430">
        <f>+EI637/EI626*100</f>
        <v>-10.446631339894019</v>
      </c>
      <c r="EJ784" s="1082"/>
      <c r="EK784" s="430">
        <f>+EK637/EK626*100</f>
        <v>-12.756467439785906</v>
      </c>
      <c r="EL784" s="1082"/>
      <c r="EM784" s="430">
        <f>+EM637/EM626*100</f>
        <v>-71.390134529147986</v>
      </c>
      <c r="EN784" s="1082"/>
      <c r="EO784" s="430">
        <f>+EO637/EO626*100</f>
        <v>-5.1622418879056049</v>
      </c>
      <c r="EP784" s="429"/>
      <c r="EQ784" s="1081">
        <f>+EQ637/EQ626*100</f>
        <v>-0.91028469094502928</v>
      </c>
      <c r="ER784" s="429"/>
      <c r="ES784" s="1081">
        <f t="shared" ref="ES784" si="4880">+ES637/ES626*100</f>
        <v>-0.91709002288719887</v>
      </c>
      <c r="ET784" s="429"/>
      <c r="EU784" s="1081">
        <f t="shared" ref="EU784" si="4881">+EU637/EU626*100</f>
        <v>-0.91318750462972087</v>
      </c>
      <c r="EV784" s="429"/>
      <c r="EW784" s="1081">
        <f t="shared" ref="EW784" si="4882">+EW637/EW626*100</f>
        <v>-0.91056391106962931</v>
      </c>
      <c r="EX784" s="429"/>
      <c r="EY784" s="430"/>
      <c r="EZ784" s="608"/>
      <c r="FA784" s="426"/>
      <c r="FB784" s="425"/>
      <c r="FC784" s="425"/>
      <c r="FD784" s="425"/>
      <c r="FE784" s="429"/>
      <c r="FF784" s="430"/>
      <c r="FG784" s="429"/>
      <c r="FH784" s="430">
        <f>+FH637/FH626*100</f>
        <v>-47.792494481236204</v>
      </c>
      <c r="FI784" s="429"/>
      <c r="FJ784" s="430">
        <f>+FJ637/FJ626*100</f>
        <v>-7.9701834862385317</v>
      </c>
      <c r="FK784" s="429"/>
      <c r="FL784" s="430">
        <f>+FL637/FL626*100</f>
        <v>-6.4530485091232759</v>
      </c>
      <c r="FM784" s="429"/>
      <c r="FN784" s="430">
        <f>+FN637/FN626*100</f>
        <v>5.987116331943918</v>
      </c>
      <c r="FO784" s="429"/>
      <c r="FP784" s="430">
        <f>+FP637/FP626*100</f>
        <v>38.428615102415165</v>
      </c>
      <c r="FQ784" s="429"/>
      <c r="FR784" s="430">
        <f>+FR637/FR626*100</f>
        <v>49.80109398309299</v>
      </c>
      <c r="FS784" s="429"/>
      <c r="FT784" s="430">
        <f>+FT637/FT626*100</f>
        <v>-11.977715877437326</v>
      </c>
      <c r="FU784" s="429"/>
      <c r="FV784" s="430">
        <f>+FV637/FV626*100</f>
        <v>44.682539682539684</v>
      </c>
      <c r="FW784" s="429"/>
      <c r="FX784" s="509">
        <f>+FX637/FX626*100</f>
        <v>-1919.8473282442749</v>
      </c>
      <c r="FY784" s="429"/>
      <c r="FZ784" s="430">
        <f>+FZ637/FZ626*100</f>
        <v>-65.369649805447466</v>
      </c>
      <c r="GA784" s="429"/>
      <c r="GB784" s="509">
        <f>+GB637/GB626*100</f>
        <v>118.40215439856374</v>
      </c>
      <c r="GC784" s="429"/>
      <c r="GD784" s="430">
        <f>+GD637/GD626*100</f>
        <v>-61.644951140065153</v>
      </c>
      <c r="GE784" s="429"/>
      <c r="GF784" s="430">
        <f>+GF637/GF626*100</f>
        <v>-58.383915022761755</v>
      </c>
      <c r="GG784" s="429"/>
      <c r="GH784" s="430">
        <f>+GH637/GH626*100</f>
        <v>20.969855832241151</v>
      </c>
      <c r="GI784" s="429"/>
      <c r="GJ784" s="430">
        <f>+GJ637/GJ626*100</f>
        <v>15.990934273482749</v>
      </c>
      <c r="GK784" s="429"/>
      <c r="GL784" s="430">
        <f>+GL637/GL626*100</f>
        <v>-14.232673267326732</v>
      </c>
      <c r="GM784" s="98" t="str">
        <f t="shared" si="4879"/>
        <v>NM</v>
      </c>
      <c r="GN784" s="430">
        <f>+GN637/GN626*100</f>
        <v>-26.257378984651712</v>
      </c>
      <c r="GO784" s="98">
        <f t="shared" si="4879"/>
        <v>84.486627996509441</v>
      </c>
      <c r="GP784" s="430">
        <f>+GP637/GP626*100</f>
        <v>-0.91277073504405659</v>
      </c>
      <c r="GQ784" s="98" t="str">
        <f t="shared" si="4879"/>
        <v>NM</v>
      </c>
      <c r="GR784" s="430">
        <f>+GR637/GR626*100</f>
        <v>-0.90126433771339531</v>
      </c>
      <c r="GS784" s="98">
        <f t="shared" si="4879"/>
        <v>-1.2606010347281704</v>
      </c>
      <c r="GT784" s="430">
        <f>+GT637/GT626*100</f>
        <v>-0.88902020365729717</v>
      </c>
      <c r="GU784" s="429"/>
      <c r="GV784" s="430">
        <f>+GV637/GV626*100</f>
        <v>-0.88500114592138268</v>
      </c>
      <c r="GW784" s="429"/>
      <c r="GX784" s="430">
        <f>+GX637/GX626*100</f>
        <v>-0.88921935774440763</v>
      </c>
      <c r="GY784" s="429"/>
      <c r="GZ784" s="33"/>
      <c r="HA784" s="33"/>
      <c r="HB784" s="10"/>
      <c r="HC784"/>
      <c r="HD784"/>
      <c r="HE784"/>
      <c r="HF784"/>
      <c r="HG784"/>
      <c r="HH784"/>
      <c r="HI784" s="10"/>
    </row>
    <row r="785" spans="1:217" s="10" customFormat="1" ht="12.75" hidden="1" customHeight="1" outlineLevel="1" x14ac:dyDescent="0.2">
      <c r="A785" s="28"/>
      <c r="B785" s="10" t="s">
        <v>23</v>
      </c>
      <c r="C785" s="16"/>
      <c r="D785" s="16"/>
      <c r="E785" s="16"/>
      <c r="F785" s="16"/>
      <c r="G785" s="16"/>
      <c r="H785" s="16"/>
      <c r="I785" s="16"/>
      <c r="J785" s="16"/>
      <c r="K785" s="16"/>
      <c r="L785" s="440"/>
      <c r="M785" s="16"/>
      <c r="N785" s="440"/>
      <c r="O785" s="16"/>
      <c r="P785" s="440"/>
      <c r="Q785" s="16"/>
      <c r="R785" s="440"/>
      <c r="S785" s="16"/>
      <c r="T785" s="440"/>
      <c r="U785" s="16"/>
      <c r="V785" s="440"/>
      <c r="W785" s="16"/>
      <c r="X785" s="440"/>
      <c r="Y785" s="16"/>
      <c r="Z785" s="440"/>
      <c r="AA785" s="16"/>
      <c r="AB785" s="440"/>
      <c r="AC785" s="16"/>
      <c r="AD785" s="440"/>
      <c r="AE785" s="16"/>
      <c r="AF785" s="440"/>
      <c r="AG785" s="16"/>
      <c r="AH785" s="440"/>
      <c r="AI785" s="16"/>
      <c r="AJ785" s="440"/>
      <c r="AK785" s="16"/>
      <c r="AL785" s="440"/>
      <c r="AM785" s="16"/>
      <c r="AN785" s="440"/>
      <c r="AO785" s="16"/>
      <c r="AP785" s="440"/>
      <c r="AQ785" s="16"/>
      <c r="AR785" s="440"/>
      <c r="AS785" s="16"/>
      <c r="AT785" s="440"/>
      <c r="AU785" s="16"/>
      <c r="AV785" s="440"/>
      <c r="AW785" s="16"/>
      <c r="AX785" s="440"/>
      <c r="AY785" s="16" t="s">
        <v>481</v>
      </c>
      <c r="AZ785" s="440"/>
      <c r="BA785" s="16" t="s">
        <v>481</v>
      </c>
      <c r="BB785" s="440"/>
      <c r="BC785" s="16" t="s">
        <v>481</v>
      </c>
      <c r="BD785" s="440"/>
      <c r="BE785" s="16" t="s">
        <v>481</v>
      </c>
      <c r="BF785" s="440"/>
      <c r="BG785" s="16" t="s">
        <v>481</v>
      </c>
      <c r="BH785" s="440"/>
      <c r="BI785" s="16" t="s">
        <v>481</v>
      </c>
      <c r="BJ785" s="440"/>
      <c r="BK785" s="16" t="s">
        <v>481</v>
      </c>
      <c r="BL785" s="440"/>
      <c r="BM785" s="16" t="s">
        <v>481</v>
      </c>
      <c r="BN785" s="440"/>
      <c r="BO785" s="16" t="s">
        <v>481</v>
      </c>
      <c r="BP785" s="440"/>
      <c r="BQ785" s="16" t="s">
        <v>481</v>
      </c>
      <c r="BR785" s="440"/>
      <c r="BS785" s="16" t="s">
        <v>481</v>
      </c>
      <c r="BT785" s="440"/>
      <c r="BU785" s="16" t="s">
        <v>481</v>
      </c>
      <c r="BV785" s="440"/>
      <c r="BW785" s="16" t="s">
        <v>481</v>
      </c>
      <c r="BX785" s="440"/>
      <c r="BY785" s="16" t="s">
        <v>481</v>
      </c>
      <c r="BZ785" s="440"/>
      <c r="CA785" s="16" t="s">
        <v>481</v>
      </c>
      <c r="CB785" s="440"/>
      <c r="CC785" s="16" t="s">
        <v>481</v>
      </c>
      <c r="CD785" s="440"/>
      <c r="CE785" s="16" t="s">
        <v>481</v>
      </c>
      <c r="CF785" s="440"/>
      <c r="CG785" s="16" t="s">
        <v>481</v>
      </c>
      <c r="CH785" s="440"/>
      <c r="CI785" s="16" t="s">
        <v>481</v>
      </c>
      <c r="CJ785" s="440"/>
      <c r="CK785" s="16" t="s">
        <v>481</v>
      </c>
      <c r="CL785" s="440"/>
      <c r="CM785" s="16" t="s">
        <v>481</v>
      </c>
      <c r="CN785" s="440"/>
      <c r="CO785" s="16" t="s">
        <v>481</v>
      </c>
      <c r="CP785" s="440"/>
      <c r="CQ785" s="535" t="s">
        <v>481</v>
      </c>
      <c r="CR785" s="440"/>
      <c r="CS785" s="16" t="s">
        <v>481</v>
      </c>
      <c r="CT785" s="440"/>
      <c r="CU785" s="16" t="s">
        <v>481</v>
      </c>
      <c r="CV785" s="440"/>
      <c r="CW785" s="16" t="s">
        <v>481</v>
      </c>
      <c r="CX785" s="440"/>
      <c r="CY785" s="16" t="s">
        <v>481</v>
      </c>
      <c r="CZ785" s="440"/>
      <c r="DA785" s="16" t="s">
        <v>481</v>
      </c>
      <c r="DB785" s="440"/>
      <c r="DC785" s="16" t="s">
        <v>481</v>
      </c>
      <c r="DD785" s="440"/>
      <c r="DE785" s="16" t="s">
        <v>481</v>
      </c>
      <c r="DF785" s="440"/>
      <c r="DG785" s="16" t="s">
        <v>481</v>
      </c>
      <c r="DH785" s="440"/>
      <c r="DI785" s="16" t="s">
        <v>481</v>
      </c>
      <c r="DJ785" s="440"/>
      <c r="DK785" s="16" t="s">
        <v>481</v>
      </c>
      <c r="DL785" s="440"/>
      <c r="DM785" s="16" t="s">
        <v>481</v>
      </c>
      <c r="DN785" s="440"/>
      <c r="DO785" s="16" t="s">
        <v>481</v>
      </c>
      <c r="DP785" s="440"/>
      <c r="DQ785" s="16" t="s">
        <v>481</v>
      </c>
      <c r="DR785" s="440"/>
      <c r="DS785" s="16" t="s">
        <v>481</v>
      </c>
      <c r="DT785" s="440"/>
      <c r="DU785" s="16" t="s">
        <v>481</v>
      </c>
      <c r="DV785" s="440"/>
      <c r="DW785" s="16" t="s">
        <v>481</v>
      </c>
      <c r="DX785" s="440"/>
      <c r="DY785" s="16" t="s">
        <v>481</v>
      </c>
      <c r="DZ785" s="440"/>
      <c r="EA785" s="16" t="s">
        <v>481</v>
      </c>
      <c r="EB785" s="440"/>
      <c r="EC785" s="16" t="s">
        <v>481</v>
      </c>
      <c r="ED785" s="440"/>
      <c r="EE785" s="16" t="s">
        <v>481</v>
      </c>
      <c r="EF785" s="1080"/>
      <c r="EG785" s="16" t="s">
        <v>481</v>
      </c>
      <c r="EH785" s="1080"/>
      <c r="EI785" s="16" t="s">
        <v>481</v>
      </c>
      <c r="EJ785" s="1080"/>
      <c r="EK785" s="16" t="s">
        <v>481</v>
      </c>
      <c r="EL785" s="1080"/>
      <c r="EM785" s="16" t="s">
        <v>481</v>
      </c>
      <c r="EN785" s="1080"/>
      <c r="EO785" s="16" t="s">
        <v>481</v>
      </c>
      <c r="EP785" s="440"/>
      <c r="EQ785" s="1079" t="s">
        <v>481</v>
      </c>
      <c r="ER785" s="440"/>
      <c r="ES785" s="1079" t="s">
        <v>481</v>
      </c>
      <c r="ET785" s="440"/>
      <c r="EU785" s="1079" t="s">
        <v>481</v>
      </c>
      <c r="EV785" s="440"/>
      <c r="EW785" s="1079" t="s">
        <v>481</v>
      </c>
      <c r="EX785" s="440"/>
      <c r="EY785" s="16"/>
      <c r="EZ785" s="607"/>
      <c r="FA785" s="427"/>
      <c r="FB785" s="16"/>
      <c r="FC785" s="16"/>
      <c r="FD785" s="16"/>
      <c r="FE785" s="440"/>
      <c r="FF785" s="16"/>
      <c r="FG785" s="440"/>
      <c r="FH785" s="16"/>
      <c r="FI785" s="440"/>
      <c r="FJ785" s="16"/>
      <c r="FK785" s="440"/>
      <c r="FL785" s="16"/>
      <c r="FM785" s="440"/>
      <c r="FN785" s="16"/>
      <c r="FO785" s="440"/>
      <c r="FP785" s="16"/>
      <c r="FQ785" s="440"/>
      <c r="FR785" s="16"/>
      <c r="FS785" s="440"/>
      <c r="FT785" s="16"/>
      <c r="FU785" s="440"/>
      <c r="FV785" s="16" t="s">
        <v>481</v>
      </c>
      <c r="FW785" s="440"/>
      <c r="FX785" s="535" t="s">
        <v>481</v>
      </c>
      <c r="FY785" s="440"/>
      <c r="FZ785" s="16" t="s">
        <v>481</v>
      </c>
      <c r="GA785" s="440"/>
      <c r="GB785" s="535" t="s">
        <v>481</v>
      </c>
      <c r="GC785" s="440"/>
      <c r="GD785" s="16" t="s">
        <v>481</v>
      </c>
      <c r="GE785" s="440"/>
      <c r="GF785" s="16" t="s">
        <v>481</v>
      </c>
      <c r="GG785" s="440"/>
      <c r="GH785" s="16" t="s">
        <v>481</v>
      </c>
      <c r="GI785" s="440"/>
      <c r="GJ785" s="16" t="s">
        <v>481</v>
      </c>
      <c r="GK785" s="440"/>
      <c r="GL785" s="16" t="s">
        <v>481</v>
      </c>
      <c r="GM785" s="98" t="str">
        <f t="shared" si="4879"/>
        <v>NA</v>
      </c>
      <c r="GN785" s="16" t="s">
        <v>481</v>
      </c>
      <c r="GO785" s="98" t="str">
        <f t="shared" si="4879"/>
        <v>NA</v>
      </c>
      <c r="GP785" s="16" t="s">
        <v>481</v>
      </c>
      <c r="GQ785" s="98" t="str">
        <f t="shared" si="4879"/>
        <v>NA</v>
      </c>
      <c r="GR785" s="16" t="s">
        <v>481</v>
      </c>
      <c r="GS785" s="98" t="str">
        <f t="shared" si="4879"/>
        <v>NA</v>
      </c>
      <c r="GT785" s="16" t="s">
        <v>481</v>
      </c>
      <c r="GU785" s="440"/>
      <c r="GV785" s="16" t="s">
        <v>481</v>
      </c>
      <c r="GW785" s="440"/>
      <c r="GX785" s="16" t="s">
        <v>481</v>
      </c>
      <c r="GY785" s="440"/>
      <c r="GZ785" s="455"/>
      <c r="HA785" s="455"/>
      <c r="HC785"/>
      <c r="HD785"/>
      <c r="HE785"/>
      <c r="HF785"/>
      <c r="HG785"/>
      <c r="HH785"/>
    </row>
    <row r="786" spans="1:217" s="10" customFormat="1" ht="12.75" hidden="1" customHeight="1" outlineLevel="1" x14ac:dyDescent="0.2">
      <c r="A786" s="28"/>
      <c r="B786" s="10" t="s">
        <v>256</v>
      </c>
      <c r="C786" s="16"/>
      <c r="D786" s="16"/>
      <c r="E786" s="16"/>
      <c r="F786" s="16"/>
      <c r="G786" s="16"/>
      <c r="H786" s="16"/>
      <c r="I786" s="16"/>
      <c r="J786" s="16"/>
      <c r="K786" s="16"/>
      <c r="L786" s="440"/>
      <c r="M786" s="16"/>
      <c r="N786" s="440"/>
      <c r="O786" s="16"/>
      <c r="P786" s="440"/>
      <c r="Q786" s="16"/>
      <c r="R786" s="440"/>
      <c r="S786" s="16"/>
      <c r="T786" s="440"/>
      <c r="U786" s="16"/>
      <c r="V786" s="440"/>
      <c r="W786" s="16"/>
      <c r="X786" s="440"/>
      <c r="Y786" s="16"/>
      <c r="Z786" s="440"/>
      <c r="AA786" s="16"/>
      <c r="AB786" s="440"/>
      <c r="AC786" s="16"/>
      <c r="AD786" s="440"/>
      <c r="AE786" s="16"/>
      <c r="AF786" s="440"/>
      <c r="AG786" s="16"/>
      <c r="AH786" s="440"/>
      <c r="AI786" s="16"/>
      <c r="AJ786" s="440"/>
      <c r="AK786" s="16"/>
      <c r="AL786" s="440"/>
      <c r="AM786" s="16"/>
      <c r="AN786" s="440"/>
      <c r="AO786" s="16"/>
      <c r="AP786" s="440"/>
      <c r="AQ786" s="16"/>
      <c r="AR786" s="440"/>
      <c r="AS786" s="16"/>
      <c r="AT786" s="440"/>
      <c r="AU786" s="16"/>
      <c r="AV786" s="440"/>
      <c r="AW786" s="16"/>
      <c r="AX786" s="440"/>
      <c r="AY786" s="16">
        <v>0</v>
      </c>
      <c r="AZ786" s="440"/>
      <c r="BA786" s="16">
        <v>0</v>
      </c>
      <c r="BB786" s="440"/>
      <c r="BC786" s="16">
        <v>0</v>
      </c>
      <c r="BD786" s="440"/>
      <c r="BE786" s="16">
        <v>0</v>
      </c>
      <c r="BF786" s="440"/>
      <c r="BG786" s="16">
        <v>0</v>
      </c>
      <c r="BH786" s="440"/>
      <c r="BI786" s="16">
        <v>0</v>
      </c>
      <c r="BJ786" s="440"/>
      <c r="BK786" s="16">
        <v>0</v>
      </c>
      <c r="BL786" s="440"/>
      <c r="BM786" s="16">
        <v>0</v>
      </c>
      <c r="BN786" s="440"/>
      <c r="BO786" s="16">
        <v>0</v>
      </c>
      <c r="BP786" s="440"/>
      <c r="BQ786" s="16">
        <v>0</v>
      </c>
      <c r="BR786" s="440"/>
      <c r="BS786" s="16">
        <v>0</v>
      </c>
      <c r="BT786" s="440"/>
      <c r="BU786" s="16">
        <v>0</v>
      </c>
      <c r="BV786" s="440"/>
      <c r="BW786" s="16">
        <v>0</v>
      </c>
      <c r="BX786" s="440"/>
      <c r="BY786" s="16">
        <v>0</v>
      </c>
      <c r="BZ786" s="440"/>
      <c r="CA786" s="16">
        <v>0</v>
      </c>
      <c r="CB786" s="440"/>
      <c r="CC786" s="16">
        <v>0</v>
      </c>
      <c r="CD786" s="440"/>
      <c r="CE786" s="16">
        <v>0</v>
      </c>
      <c r="CF786" s="440"/>
      <c r="CG786" s="16">
        <v>0</v>
      </c>
      <c r="CH786" s="440"/>
      <c r="CI786" s="16">
        <v>0</v>
      </c>
      <c r="CJ786" s="440"/>
      <c r="CK786" s="16">
        <v>0</v>
      </c>
      <c r="CL786" s="440"/>
      <c r="CM786" s="16">
        <v>0</v>
      </c>
      <c r="CN786" s="440"/>
      <c r="CO786" s="16">
        <v>0</v>
      </c>
      <c r="CP786" s="440"/>
      <c r="CQ786" s="535">
        <v>0</v>
      </c>
      <c r="CR786" s="440"/>
      <c r="CS786" s="16">
        <v>0</v>
      </c>
      <c r="CT786" s="440"/>
      <c r="CU786" s="16">
        <v>0</v>
      </c>
      <c r="CV786" s="440"/>
      <c r="CW786" s="16">
        <v>0</v>
      </c>
      <c r="CX786" s="440"/>
      <c r="CY786" s="16">
        <v>0</v>
      </c>
      <c r="CZ786" s="440"/>
      <c r="DA786" s="16">
        <v>0</v>
      </c>
      <c r="DB786" s="440"/>
      <c r="DC786" s="16">
        <v>0</v>
      </c>
      <c r="DD786" s="440"/>
      <c r="DE786" s="16">
        <v>0</v>
      </c>
      <c r="DF786" s="440"/>
      <c r="DG786" s="16">
        <v>0</v>
      </c>
      <c r="DH786" s="440"/>
      <c r="DI786" s="16">
        <v>0</v>
      </c>
      <c r="DJ786" s="440"/>
      <c r="DK786" s="16">
        <v>0</v>
      </c>
      <c r="DL786" s="440"/>
      <c r="DM786" s="16">
        <v>0</v>
      </c>
      <c r="DN786" s="440"/>
      <c r="DO786" s="16">
        <v>0</v>
      </c>
      <c r="DP786" s="440"/>
      <c r="DQ786" s="16">
        <v>0</v>
      </c>
      <c r="DR786" s="440"/>
      <c r="DS786" s="16">
        <v>0</v>
      </c>
      <c r="DT786" s="440"/>
      <c r="DU786" s="16">
        <v>0</v>
      </c>
      <c r="DV786" s="440"/>
      <c r="DW786" s="16">
        <v>0</v>
      </c>
      <c r="DX786" s="440"/>
      <c r="DY786" s="16">
        <v>0</v>
      </c>
      <c r="DZ786" s="440"/>
      <c r="EA786" s="16">
        <v>0</v>
      </c>
      <c r="EB786" s="440"/>
      <c r="EC786" s="16">
        <v>0</v>
      </c>
      <c r="ED786" s="440"/>
      <c r="EE786" s="16">
        <v>0</v>
      </c>
      <c r="EF786" s="1080"/>
      <c r="EG786" s="16">
        <v>0</v>
      </c>
      <c r="EH786" s="1080"/>
      <c r="EI786" s="16">
        <v>0</v>
      </c>
      <c r="EJ786" s="1080"/>
      <c r="EK786" s="16">
        <v>0</v>
      </c>
      <c r="EL786" s="1080"/>
      <c r="EM786" s="16">
        <v>0</v>
      </c>
      <c r="EN786" s="1080"/>
      <c r="EO786" s="16">
        <v>0</v>
      </c>
      <c r="EP786" s="440"/>
      <c r="EQ786" s="1079">
        <v>0</v>
      </c>
      <c r="ER786" s="440"/>
      <c r="ES786" s="1079">
        <v>0</v>
      </c>
      <c r="ET786" s="440"/>
      <c r="EU786" s="1079">
        <v>0</v>
      </c>
      <c r="EV786" s="440"/>
      <c r="EW786" s="1079">
        <v>0</v>
      </c>
      <c r="EX786" s="440"/>
      <c r="EY786" s="16"/>
      <c r="EZ786" s="607"/>
      <c r="FA786" s="427"/>
      <c r="FB786" s="16"/>
      <c r="FC786" s="16"/>
      <c r="FD786" s="16"/>
      <c r="FE786" s="440"/>
      <c r="FF786" s="16"/>
      <c r="FG786" s="440"/>
      <c r="FH786" s="16"/>
      <c r="FI786" s="440"/>
      <c r="FJ786" s="16"/>
      <c r="FK786" s="440"/>
      <c r="FL786" s="16"/>
      <c r="FM786" s="440"/>
      <c r="FN786" s="16"/>
      <c r="FO786" s="440"/>
      <c r="FP786" s="16"/>
      <c r="FQ786" s="440"/>
      <c r="FR786" s="16"/>
      <c r="FS786" s="440"/>
      <c r="FT786" s="16"/>
      <c r="FU786" s="440"/>
      <c r="FV786" s="16">
        <v>0</v>
      </c>
      <c r="FW786" s="440"/>
      <c r="FX786" s="535">
        <v>0</v>
      </c>
      <c r="FY786" s="440"/>
      <c r="FZ786" s="16">
        <v>0</v>
      </c>
      <c r="GA786" s="440"/>
      <c r="GB786" s="535">
        <v>0</v>
      </c>
      <c r="GC786" s="440"/>
      <c r="GD786" s="16">
        <v>0</v>
      </c>
      <c r="GE786" s="440"/>
      <c r="GF786" s="16">
        <v>0</v>
      </c>
      <c r="GG786" s="440"/>
      <c r="GH786" s="16">
        <v>0</v>
      </c>
      <c r="GI786" s="440"/>
      <c r="GJ786" s="16">
        <v>0</v>
      </c>
      <c r="GK786" s="440"/>
      <c r="GL786" s="16">
        <v>0</v>
      </c>
      <c r="GM786" s="98" t="str">
        <f t="shared" si="4879"/>
        <v>NA</v>
      </c>
      <c r="GN786" s="16">
        <v>0</v>
      </c>
      <c r="GO786" s="98" t="str">
        <f t="shared" si="4879"/>
        <v>NA</v>
      </c>
      <c r="GP786" s="16">
        <v>0</v>
      </c>
      <c r="GQ786" s="98" t="str">
        <f t="shared" si="4879"/>
        <v>NA</v>
      </c>
      <c r="GR786" s="16">
        <v>0</v>
      </c>
      <c r="GS786" s="98" t="str">
        <f t="shared" si="4879"/>
        <v>NA</v>
      </c>
      <c r="GT786" s="16">
        <v>0</v>
      </c>
      <c r="GU786" s="440"/>
      <c r="GV786" s="16">
        <v>0</v>
      </c>
      <c r="GW786" s="440"/>
      <c r="GX786" s="16">
        <v>0</v>
      </c>
      <c r="GY786" s="440"/>
      <c r="GZ786" s="455"/>
      <c r="HA786" s="455"/>
      <c r="HC786"/>
      <c r="HD786"/>
      <c r="HE786"/>
      <c r="HF786"/>
      <c r="HG786"/>
      <c r="HH786"/>
    </row>
    <row r="787" spans="1:217" s="2" customFormat="1" ht="12.75" hidden="1" customHeight="1" outlineLevel="1" x14ac:dyDescent="0.2">
      <c r="A787" s="351"/>
      <c r="B787" s="2" t="s">
        <v>191</v>
      </c>
      <c r="C787" s="425"/>
      <c r="D787" s="425"/>
      <c r="E787" s="425"/>
      <c r="F787" s="425"/>
      <c r="G787" s="425"/>
      <c r="H787" s="425"/>
      <c r="I787" s="425"/>
      <c r="J787" s="429"/>
      <c r="K787" s="425"/>
      <c r="L787" s="429"/>
      <c r="M787" s="425"/>
      <c r="N787" s="429"/>
      <c r="O787" s="425"/>
      <c r="P787" s="429"/>
      <c r="Q787" s="425"/>
      <c r="R787" s="429"/>
      <c r="S787" s="425"/>
      <c r="T787" s="429"/>
      <c r="U787" s="425"/>
      <c r="V787" s="429"/>
      <c r="W787" s="425"/>
      <c r="X787" s="429"/>
      <c r="Y787" s="425"/>
      <c r="Z787" s="429"/>
      <c r="AA787" s="430"/>
      <c r="AB787" s="429"/>
      <c r="AC787" s="430"/>
      <c r="AD787" s="429"/>
      <c r="AE787" s="430"/>
      <c r="AF787" s="429"/>
      <c r="AG787" s="430"/>
      <c r="AH787" s="429"/>
      <c r="AI787" s="430"/>
      <c r="AJ787" s="429"/>
      <c r="AK787" s="430"/>
      <c r="AL787" s="429"/>
      <c r="AM787" s="430"/>
      <c r="AN787" s="429"/>
      <c r="AO787" s="430"/>
      <c r="AP787" s="429"/>
      <c r="AQ787" s="430"/>
      <c r="AR787" s="429"/>
      <c r="AS787" s="430"/>
      <c r="AT787" s="429"/>
      <c r="AU787" s="430"/>
      <c r="AV787" s="429"/>
      <c r="AW787" s="430"/>
      <c r="AX787" s="429"/>
      <c r="AY787" s="430">
        <f>AY606/100</f>
        <v>0.32366512854317731</v>
      </c>
      <c r="AZ787" s="429"/>
      <c r="BA787" s="430">
        <f>BA606/100</f>
        <v>0.31997235659986178</v>
      </c>
      <c r="BB787" s="429"/>
      <c r="BC787" s="430">
        <f>BC606/100</f>
        <v>0.29816849816849816</v>
      </c>
      <c r="BD787" s="429"/>
      <c r="BE787" s="430">
        <f>BE606/100</f>
        <v>0.29545454545454547</v>
      </c>
      <c r="BF787" s="429"/>
      <c r="BG787" s="430">
        <f>BG606/100</f>
        <v>0.31605562579013907</v>
      </c>
      <c r="BH787" s="429"/>
      <c r="BI787" s="430">
        <f>BI606/100</f>
        <v>0.32177961717537507</v>
      </c>
      <c r="BJ787" s="429"/>
      <c r="BK787" s="430">
        <f>BK606/100</f>
        <v>0.31926605504587158</v>
      </c>
      <c r="BL787" s="429"/>
      <c r="BM787" s="430">
        <f>BM606/100</f>
        <v>0.30892857142857144</v>
      </c>
      <c r="BN787" s="429"/>
      <c r="BO787" s="430">
        <f>BO606/100</f>
        <v>0.31326073030108903</v>
      </c>
      <c r="BP787" s="429"/>
      <c r="BQ787" s="430">
        <f>BQ606/100</f>
        <v>0.29936808846761453</v>
      </c>
      <c r="BR787" s="429"/>
      <c r="BS787" s="430">
        <f>BS606/100</f>
        <v>0.33333333333333326</v>
      </c>
      <c r="BT787" s="429"/>
      <c r="BU787" s="430">
        <v>0.1</v>
      </c>
      <c r="BV787" s="429"/>
      <c r="BW787" s="430">
        <f>BW606/100</f>
        <v>1.3172043010752688</v>
      </c>
      <c r="BX787" s="429"/>
      <c r="BY787" s="430">
        <f>BY606/100</f>
        <v>0.85423037716615691</v>
      </c>
      <c r="BZ787" s="429"/>
      <c r="CA787" s="430">
        <f>CA606/100</f>
        <v>0.84204793028322444</v>
      </c>
      <c r="CB787" s="429"/>
      <c r="CC787" s="430">
        <f>CC606/100</f>
        <v>0.23062558356676002</v>
      </c>
      <c r="CD787" s="429"/>
      <c r="CE787" s="430">
        <f>CE606/100</f>
        <v>0.30482115085536549</v>
      </c>
      <c r="CF787" s="429"/>
      <c r="CG787" s="430">
        <f>CG606/100</f>
        <v>0.27363566487317448</v>
      </c>
      <c r="CH787" s="429"/>
      <c r="CI787" s="430">
        <f>CI606/100</f>
        <v>0.29829545454545453</v>
      </c>
      <c r="CJ787" s="429"/>
      <c r="CK787" s="430">
        <f>CK606/100</f>
        <v>0.26426426426426425</v>
      </c>
      <c r="CL787" s="429"/>
      <c r="CM787" s="430">
        <f>CM606/100</f>
        <v>0.29497907949790797</v>
      </c>
      <c r="CN787" s="429"/>
      <c r="CO787" s="430">
        <f>CO606/100</f>
        <v>0.2961910176236498</v>
      </c>
      <c r="CP787" s="429"/>
      <c r="CQ787" s="509">
        <f>CQ606/100</f>
        <v>0.24564063684609555</v>
      </c>
      <c r="CR787" s="429"/>
      <c r="CS787" s="430">
        <f>CS606/100</f>
        <v>0.28290213723284591</v>
      </c>
      <c r="CT787" s="429"/>
      <c r="CU787" s="430">
        <f>CU606/100</f>
        <v>0.28516746411483251</v>
      </c>
      <c r="CV787" s="429"/>
      <c r="CW787" s="430">
        <f>CW606/100</f>
        <v>0.28494623655913981</v>
      </c>
      <c r="CX787" s="429"/>
      <c r="CY787" s="430">
        <f>CY606/100</f>
        <v>0.28578479763079961</v>
      </c>
      <c r="CZ787" s="429"/>
      <c r="DA787" s="430">
        <f>DA606/100</f>
        <v>0.28694768918232605</v>
      </c>
      <c r="DB787" s="429"/>
      <c r="DC787" s="430">
        <f>DC606/100</f>
        <v>0.27893820713664058</v>
      </c>
      <c r="DD787" s="429"/>
      <c r="DE787" s="430">
        <f>DE606/100</f>
        <v>0.27695749440715883</v>
      </c>
      <c r="DF787" s="429"/>
      <c r="DG787" s="430">
        <f>DG606/100</f>
        <v>0.263996138996139</v>
      </c>
      <c r="DH787" s="429"/>
      <c r="DI787" s="430">
        <f>DI606/100</f>
        <v>0.25306314797360979</v>
      </c>
      <c r="DJ787" s="429"/>
      <c r="DK787" s="430">
        <f>DK606/100</f>
        <v>0.27504553734061932</v>
      </c>
      <c r="DL787" s="429"/>
      <c r="DM787" s="430">
        <f>DM606/100</f>
        <v>0.27601607860652078</v>
      </c>
      <c r="DN787" s="429"/>
      <c r="DO787" s="430">
        <f>DO606/100</f>
        <v>0.26125049780963761</v>
      </c>
      <c r="DP787" s="429"/>
      <c r="DQ787" s="430">
        <f>DQ606/100</f>
        <v>0.23651844843897823</v>
      </c>
      <c r="DR787" s="429"/>
      <c r="DS787" s="430">
        <f>DS606/100</f>
        <v>0.25773195876288657</v>
      </c>
      <c r="DT787" s="429"/>
      <c r="DU787" s="430">
        <f>DU606/100</f>
        <v>0.21291053227633067</v>
      </c>
      <c r="DV787" s="429"/>
      <c r="DW787" s="430">
        <f>DW606/100</f>
        <v>0.6539923954372624</v>
      </c>
      <c r="DX787" s="429"/>
      <c r="DY787" s="430">
        <f>DY606/100</f>
        <v>0.19860896445131376</v>
      </c>
      <c r="DZ787" s="429"/>
      <c r="EA787" s="430">
        <f>EA606/100</f>
        <v>0.23346007604562741</v>
      </c>
      <c r="EB787" s="429"/>
      <c r="EC787" s="430">
        <f>EC606/100</f>
        <v>0.21219226260257915</v>
      </c>
      <c r="ED787" s="429"/>
      <c r="EE787" s="430">
        <f>EE606/100</f>
        <v>0.19372037914691942</v>
      </c>
      <c r="EF787" s="1082"/>
      <c r="EG787" s="430">
        <f>EG606/100</f>
        <v>0.15098814229249011</v>
      </c>
      <c r="EH787" s="1082"/>
      <c r="EI787" s="430">
        <f>EI606/100</f>
        <v>0.21608643457382953</v>
      </c>
      <c r="EJ787" s="1082"/>
      <c r="EK787" s="430">
        <f>EK606/100</f>
        <v>0.20097697138869505</v>
      </c>
      <c r="EL787" s="1082"/>
      <c r="EM787" s="430">
        <f>EM606/100</f>
        <v>0.34713187463039624</v>
      </c>
      <c r="EN787" s="1082"/>
      <c r="EO787" s="430">
        <f>EO606/100</f>
        <v>0.4149484536082475</v>
      </c>
      <c r="EP787" s="429"/>
      <c r="EQ787" s="1081">
        <f>EQ606/100</f>
        <v>0.18279596918834307</v>
      </c>
      <c r="ER787" s="429"/>
      <c r="ES787" s="1081">
        <f t="shared" ref="ES787" si="4883">ES606/100</f>
        <v>0.18324613764756445</v>
      </c>
      <c r="ET787" s="429"/>
      <c r="EU787" s="1081">
        <f t="shared" ref="EU787" si="4884">EU606/100</f>
        <v>0.1837576812748492</v>
      </c>
      <c r="EV787" s="429"/>
      <c r="EW787" s="1081">
        <f t="shared" ref="EW787" si="4885">EW606/100</f>
        <v>0.1824676487942031</v>
      </c>
      <c r="EX787" s="429"/>
      <c r="EY787" s="430"/>
      <c r="EZ787" s="608"/>
      <c r="FA787" s="426"/>
      <c r="FB787" s="425"/>
      <c r="FC787" s="425"/>
      <c r="FD787" s="425"/>
      <c r="FE787" s="429"/>
      <c r="FF787" s="430"/>
      <c r="FG787" s="429"/>
      <c r="FH787" s="430"/>
      <c r="FI787" s="429"/>
      <c r="FJ787" s="430"/>
      <c r="FK787" s="429"/>
      <c r="FL787" s="430"/>
      <c r="FM787" s="429"/>
      <c r="FN787" s="430"/>
      <c r="FO787" s="429"/>
      <c r="FP787" s="430"/>
      <c r="FQ787" s="429"/>
      <c r="FR787" s="430">
        <f>FR606/100</f>
        <v>0.30952789699570815</v>
      </c>
      <c r="FS787" s="429"/>
      <c r="FT787" s="430">
        <f>FT606/100</f>
        <v>0.31669106881405562</v>
      </c>
      <c r="FU787" s="429"/>
      <c r="FV787" s="430">
        <f>FV606/100</f>
        <v>0.35549872122762155</v>
      </c>
      <c r="FW787" s="429"/>
      <c r="FX787" s="509">
        <f>FX606/100</f>
        <v>0.66634980988593151</v>
      </c>
      <c r="FY787" s="429"/>
      <c r="FZ787" s="430">
        <f>FZ606/100</f>
        <v>0.28409893992932861</v>
      </c>
      <c r="GA787" s="429"/>
      <c r="GB787" s="509">
        <f>GB606/100</f>
        <v>0.28137166816412101</v>
      </c>
      <c r="GC787" s="429"/>
      <c r="GD787" s="430">
        <f>GD606/100</f>
        <v>0.28569671627106136</v>
      </c>
      <c r="GE787" s="429"/>
      <c r="GF787" s="430">
        <f>GF606/100</f>
        <v>0.26859172682479659</v>
      </c>
      <c r="GG787" s="429"/>
      <c r="GH787" s="430">
        <f>GH606/100</f>
        <v>0.26247240618101547</v>
      </c>
      <c r="GI787" s="429"/>
      <c r="GJ787" s="430">
        <f>GJ606/100</f>
        <v>0.302321611471492</v>
      </c>
      <c r="GK787" s="429"/>
      <c r="GL787" s="430">
        <f>GL606/100</f>
        <v>0.19644600663932826</v>
      </c>
      <c r="GM787" s="98">
        <f t="shared" si="4879"/>
        <v>-35.020852236409659</v>
      </c>
      <c r="GN787" s="430">
        <f>GN606/100</f>
        <v>0.28854551561975145</v>
      </c>
      <c r="GO787" s="98">
        <f t="shared" si="4879"/>
        <v>46.882861380591166</v>
      </c>
      <c r="GP787" s="430">
        <f>GP606/100</f>
        <v>0.18306580611553114</v>
      </c>
      <c r="GQ787" s="98">
        <f t="shared" si="4879"/>
        <v>-36.555657182079607</v>
      </c>
      <c r="GR787" s="430">
        <f>GR606/100</f>
        <v>0.19485182318763503</v>
      </c>
      <c r="GS787" s="98">
        <f t="shared" si="4879"/>
        <v>6.4381313595319067</v>
      </c>
      <c r="GT787" s="430">
        <f>GT606/100</f>
        <v>0.19822177063975166</v>
      </c>
      <c r="GU787" s="429"/>
      <c r="GV787" s="430">
        <f>GV606/100</f>
        <v>0.20086576633082553</v>
      </c>
      <c r="GW787" s="429"/>
      <c r="GX787" s="430">
        <f>GX606/100</f>
        <v>0.20323515610522447</v>
      </c>
      <c r="GY787" s="429"/>
      <c r="GZ787" s="33"/>
      <c r="HA787" s="33"/>
      <c r="HB787" s="10"/>
      <c r="HC787"/>
      <c r="HD787"/>
      <c r="HE787"/>
      <c r="HF787"/>
      <c r="HG787"/>
      <c r="HH787"/>
      <c r="HI787" s="10"/>
    </row>
    <row r="788" spans="1:217" s="10" customFormat="1" ht="12.75" hidden="1" customHeight="1" outlineLevel="1" x14ac:dyDescent="0.2">
      <c r="A788" s="28"/>
      <c r="B788" s="10" t="s">
        <v>176</v>
      </c>
      <c r="C788" s="16"/>
      <c r="D788" s="16"/>
      <c r="E788" s="16"/>
      <c r="F788" s="16"/>
      <c r="G788" s="16"/>
      <c r="H788" s="16"/>
      <c r="I788" s="16"/>
      <c r="J788" s="16"/>
      <c r="K788" s="16"/>
      <c r="L788" s="440"/>
      <c r="M788" s="16"/>
      <c r="N788" s="440"/>
      <c r="O788" s="16"/>
      <c r="P788" s="440"/>
      <c r="Q788" s="16"/>
      <c r="R788" s="440"/>
      <c r="S788" s="16"/>
      <c r="T788" s="440"/>
      <c r="U788" s="16"/>
      <c r="V788" s="440"/>
      <c r="W788" s="16"/>
      <c r="X788" s="440"/>
      <c r="Y788" s="16"/>
      <c r="Z788" s="440"/>
      <c r="AA788" s="16"/>
      <c r="AB788" s="440"/>
      <c r="AC788" s="16"/>
      <c r="AD788" s="440"/>
      <c r="AE788" s="16"/>
      <c r="AF788" s="440"/>
      <c r="AG788" s="16"/>
      <c r="AH788" s="440"/>
      <c r="AI788" s="16"/>
      <c r="AJ788" s="440"/>
      <c r="AK788" s="16"/>
      <c r="AL788" s="440"/>
      <c r="AM788" s="16"/>
      <c r="AN788" s="440"/>
      <c r="AO788" s="16"/>
      <c r="AP788" s="440"/>
      <c r="AQ788" s="16"/>
      <c r="AR788" s="440"/>
      <c r="AS788" s="16"/>
      <c r="AT788" s="440"/>
      <c r="AU788" s="16"/>
      <c r="AV788" s="440"/>
      <c r="AW788" s="16"/>
      <c r="AX788" s="440"/>
      <c r="AY788" s="16">
        <f>AY684</f>
        <v>758.2</v>
      </c>
      <c r="AZ788" s="440"/>
      <c r="BA788" s="16">
        <f>BA684</f>
        <v>759.2</v>
      </c>
      <c r="BB788" s="440"/>
      <c r="BC788" s="16">
        <f>BC684</f>
        <v>760</v>
      </c>
      <c r="BD788" s="440"/>
      <c r="BE788" s="16">
        <f>BE684</f>
        <v>752</v>
      </c>
      <c r="BF788" s="440"/>
      <c r="BG788" s="16">
        <f>BG684</f>
        <v>741.1</v>
      </c>
      <c r="BH788" s="440"/>
      <c r="BI788" s="16">
        <f>BI684</f>
        <v>742.8</v>
      </c>
      <c r="BJ788" s="440"/>
      <c r="BK788" s="16">
        <f>BK684</f>
        <v>740.3</v>
      </c>
      <c r="BL788" s="440"/>
      <c r="BM788" s="16">
        <f>BM684</f>
        <v>729.2</v>
      </c>
      <c r="BN788" s="440"/>
      <c r="BO788" s="16">
        <f>BO684</f>
        <v>709.4</v>
      </c>
      <c r="BP788" s="440"/>
      <c r="BQ788" s="16">
        <f>BQ684</f>
        <v>709.7</v>
      </c>
      <c r="BR788" s="440"/>
      <c r="BS788" s="16">
        <f>BS684</f>
        <v>707.3</v>
      </c>
      <c r="BT788" s="440"/>
      <c r="BU788" s="16">
        <f>BU684</f>
        <v>793.6</v>
      </c>
      <c r="BV788" s="440"/>
      <c r="BW788" s="16">
        <f>BW684</f>
        <v>818.1</v>
      </c>
      <c r="BX788" s="440"/>
      <c r="BY788" s="16">
        <f>BY684</f>
        <v>818.6</v>
      </c>
      <c r="BZ788" s="440"/>
      <c r="CA788" s="16">
        <f>CA684</f>
        <v>818.8</v>
      </c>
      <c r="CB788" s="440"/>
      <c r="CC788" s="16">
        <f>CC684</f>
        <v>818.8</v>
      </c>
      <c r="CD788" s="440"/>
      <c r="CE788" s="16">
        <f>CE684</f>
        <v>819.4</v>
      </c>
      <c r="CF788" s="440"/>
      <c r="CG788" s="16">
        <f>CG684</f>
        <v>820.4</v>
      </c>
      <c r="CH788" s="440"/>
      <c r="CI788" s="16">
        <f>CI684</f>
        <v>906.9</v>
      </c>
      <c r="CJ788" s="440"/>
      <c r="CK788" s="16">
        <f>CK684</f>
        <v>1054.4000000000001</v>
      </c>
      <c r="CL788" s="440"/>
      <c r="CM788" s="16">
        <f>CM684</f>
        <v>1056.0999999999999</v>
      </c>
      <c r="CN788" s="440"/>
      <c r="CO788" s="16">
        <f>CO684</f>
        <v>1057.4000000000001</v>
      </c>
      <c r="CP788" s="440"/>
      <c r="CQ788" s="535">
        <f>CQ684</f>
        <v>1057.6300000000001</v>
      </c>
      <c r="CR788" s="440"/>
      <c r="CS788" s="16">
        <f>CS684</f>
        <v>1058.02</v>
      </c>
      <c r="CT788" s="440"/>
      <c r="CU788" s="16">
        <f>CU684</f>
        <v>1060.9000000000001</v>
      </c>
      <c r="CV788" s="440"/>
      <c r="CW788" s="16">
        <f>CW684</f>
        <v>1062.2</v>
      </c>
      <c r="CX788" s="440"/>
      <c r="CY788" s="16">
        <f>CY684</f>
        <v>1062.5999999999999</v>
      </c>
      <c r="CZ788" s="440"/>
      <c r="DA788" s="16">
        <f>DA684</f>
        <v>1091.6999999999998</v>
      </c>
      <c r="DB788" s="440"/>
      <c r="DC788" s="16">
        <f>DC684</f>
        <v>1094.1999999999998</v>
      </c>
      <c r="DD788" s="440"/>
      <c r="DE788" s="16">
        <f>DE684</f>
        <v>1096.5999999999999</v>
      </c>
      <c r="DF788" s="440"/>
      <c r="DG788" s="16">
        <f>DG684</f>
        <v>1120.8</v>
      </c>
      <c r="DH788" s="440"/>
      <c r="DI788" s="16">
        <f>DI684</f>
        <v>1122</v>
      </c>
      <c r="DJ788" s="440"/>
      <c r="DK788" s="16">
        <f>DK684</f>
        <v>1124.8</v>
      </c>
      <c r="DL788" s="440"/>
      <c r="DM788" s="16">
        <f>DM684</f>
        <v>1126.5999999999999</v>
      </c>
      <c r="DN788" s="440"/>
      <c r="DO788" s="16">
        <f>DO684</f>
        <v>1119.0999999999999</v>
      </c>
      <c r="DP788" s="440"/>
      <c r="DQ788" s="16">
        <f>DQ684</f>
        <v>1131.8999999999999</v>
      </c>
      <c r="DR788" s="440"/>
      <c r="DS788" s="16">
        <f>DS684</f>
        <v>1114.2999999999997</v>
      </c>
      <c r="DT788" s="440"/>
      <c r="DU788" s="16">
        <f>DU684</f>
        <v>1116.7999999999997</v>
      </c>
      <c r="DV788" s="440"/>
      <c r="DW788" s="16">
        <f>DW684</f>
        <v>1114.7999999999997</v>
      </c>
      <c r="DX788" s="440"/>
      <c r="DY788" s="16">
        <f>DY684</f>
        <v>1097.9999999999998</v>
      </c>
      <c r="DZ788" s="440"/>
      <c r="EA788" s="16">
        <f>EA684</f>
        <v>1098.4999999999998</v>
      </c>
      <c r="EB788" s="440"/>
      <c r="EC788" s="16">
        <f>EC684</f>
        <v>1098.7999999999997</v>
      </c>
      <c r="ED788" s="440"/>
      <c r="EE788" s="16">
        <f>EE684</f>
        <v>1098.9999999999998</v>
      </c>
      <c r="EF788" s="1080"/>
      <c r="EG788" s="16">
        <f>EG684</f>
        <v>1095.4999999999998</v>
      </c>
      <c r="EH788" s="1080"/>
      <c r="EI788" s="16">
        <f>EI684</f>
        <v>1081.2999999999997</v>
      </c>
      <c r="EJ788" s="1080"/>
      <c r="EK788" s="16">
        <f>EK684</f>
        <v>1063.4999999999998</v>
      </c>
      <c r="EL788" s="1080"/>
      <c r="EM788" s="16">
        <f>EM684</f>
        <v>1054.2999999999997</v>
      </c>
      <c r="EN788" s="1080"/>
      <c r="EO788" s="16">
        <f>EO684</f>
        <v>1043.5999999999997</v>
      </c>
      <c r="EP788" s="440"/>
      <c r="EQ788" s="1079">
        <f t="shared" ref="EQ788" si="4886">EQ684</f>
        <v>1026.051386979397</v>
      </c>
      <c r="ER788" s="440"/>
      <c r="ES788" s="1079">
        <f t="shared" ref="ES788" si="4887">ES684</f>
        <v>1008.7183008721934</v>
      </c>
      <c r="ET788" s="440"/>
      <c r="EU788" s="1079">
        <f t="shared" ref="EU788" si="4888">EU684</f>
        <v>993.61310252690146</v>
      </c>
      <c r="EV788" s="440"/>
      <c r="EW788" s="1079">
        <f t="shared" ref="EW788" si="4889">EW684</f>
        <v>978.68854371208363</v>
      </c>
      <c r="EX788" s="440"/>
      <c r="EY788" s="16"/>
      <c r="EZ788" s="607"/>
      <c r="FA788" s="427"/>
      <c r="FB788" s="16"/>
      <c r="FC788" s="16"/>
      <c r="FD788" s="16"/>
      <c r="FE788" s="440"/>
      <c r="FF788" s="16"/>
      <c r="FG788" s="440"/>
      <c r="FH788" s="16"/>
      <c r="FI788" s="440"/>
      <c r="FJ788" s="16"/>
      <c r="FK788" s="440"/>
      <c r="FL788" s="16"/>
      <c r="FM788" s="440"/>
      <c r="FN788" s="16"/>
      <c r="FO788" s="440"/>
      <c r="FP788" s="16"/>
      <c r="FQ788" s="440"/>
      <c r="FR788" s="16"/>
      <c r="FS788" s="440"/>
      <c r="FT788" s="16"/>
      <c r="FU788" s="440"/>
      <c r="FV788" s="16">
        <f>FV684</f>
        <v>793.6</v>
      </c>
      <c r="FW788" s="440"/>
      <c r="FX788" s="535">
        <f>FX684</f>
        <v>818.8</v>
      </c>
      <c r="FY788" s="440"/>
      <c r="FZ788" s="16">
        <f>FZ684</f>
        <v>1054.4000000000001</v>
      </c>
      <c r="GA788" s="440"/>
      <c r="GB788" s="535">
        <f>GB684</f>
        <v>1058.02</v>
      </c>
      <c r="GC788" s="440"/>
      <c r="GD788" s="16">
        <f>GD684</f>
        <v>1091.72</v>
      </c>
      <c r="GE788" s="440"/>
      <c r="GF788" s="16">
        <f>GF684</f>
        <v>1122.02</v>
      </c>
      <c r="GG788" s="440"/>
      <c r="GH788" s="16">
        <f>GH684</f>
        <v>1131.92</v>
      </c>
      <c r="GI788" s="440"/>
      <c r="GJ788" s="16">
        <f>GJ684</f>
        <v>1098.02</v>
      </c>
      <c r="GK788" s="440"/>
      <c r="GL788" s="16">
        <f>GL684</f>
        <v>1095.52</v>
      </c>
      <c r="GM788" s="98">
        <f t="shared" si="4879"/>
        <v>-0.22768255587329866</v>
      </c>
      <c r="GN788" s="16">
        <f>GN684</f>
        <v>1043.6200000000001</v>
      </c>
      <c r="GO788" s="98">
        <f t="shared" si="4879"/>
        <v>-4.7374762669782244</v>
      </c>
      <c r="GP788" s="16">
        <f>GP684</f>
        <v>978.70854371208407</v>
      </c>
      <c r="GQ788" s="98">
        <f t="shared" si="4879"/>
        <v>-6.2198363664855094</v>
      </c>
      <c r="GR788" s="16">
        <f>GR684</f>
        <v>924.51770607486731</v>
      </c>
      <c r="GS788" s="98">
        <f t="shared" si="4879"/>
        <v>-5.5369740036885329</v>
      </c>
      <c r="GT788" s="16">
        <f>GT684</f>
        <v>872.67725934011685</v>
      </c>
      <c r="GU788" s="440"/>
      <c r="GV788" s="16">
        <f>GV684</f>
        <v>822.98372730571737</v>
      </c>
      <c r="GW788" s="440"/>
      <c r="GX788" s="16">
        <f>GX684</f>
        <v>775.23967313854814</v>
      </c>
      <c r="GY788" s="440"/>
      <c r="GZ788" s="455"/>
      <c r="HA788" s="455"/>
      <c r="HC788"/>
      <c r="HD788"/>
      <c r="HE788"/>
      <c r="HF788"/>
      <c r="HG788"/>
      <c r="HH788"/>
    </row>
    <row r="789" spans="1:217" s="10" customFormat="1" ht="12.75" hidden="1" customHeight="1" outlineLevel="1" x14ac:dyDescent="0.2">
      <c r="A789" s="28"/>
      <c r="B789" s="10" t="s">
        <v>75</v>
      </c>
      <c r="C789" s="16"/>
      <c r="D789" s="16"/>
      <c r="E789" s="16"/>
      <c r="F789" s="16"/>
      <c r="G789" s="16"/>
      <c r="H789" s="16"/>
      <c r="I789" s="16"/>
      <c r="J789" s="16"/>
      <c r="K789" s="16"/>
      <c r="L789" s="440"/>
      <c r="M789" s="16"/>
      <c r="N789" s="440"/>
      <c r="O789" s="16"/>
      <c r="P789" s="440"/>
      <c r="Q789" s="16"/>
      <c r="R789" s="440"/>
      <c r="S789" s="16"/>
      <c r="T789" s="440"/>
      <c r="U789" s="16"/>
      <c r="V789" s="440"/>
      <c r="W789" s="16"/>
      <c r="X789" s="440"/>
      <c r="Y789" s="16"/>
      <c r="Z789" s="440"/>
      <c r="AA789" s="16"/>
      <c r="AB789" s="440"/>
      <c r="AC789" s="16"/>
      <c r="AD789" s="440"/>
      <c r="AE789" s="16"/>
      <c r="AF789" s="440"/>
      <c r="AG789" s="16"/>
      <c r="AH789" s="440"/>
      <c r="AI789" s="16"/>
      <c r="AJ789" s="440"/>
      <c r="AK789" s="16"/>
      <c r="AL789" s="440"/>
      <c r="AM789" s="16"/>
      <c r="AN789" s="440"/>
      <c r="AO789" s="16"/>
      <c r="AP789" s="440"/>
      <c r="AQ789" s="16"/>
      <c r="AR789" s="440"/>
      <c r="AS789" s="16"/>
      <c r="AT789" s="440"/>
      <c r="AU789" s="16"/>
      <c r="AV789" s="440"/>
      <c r="AW789" s="16"/>
      <c r="AX789" s="440"/>
      <c r="AY789" s="16">
        <f>AY626/AY689</f>
        <v>768.79999999999984</v>
      </c>
      <c r="AZ789" s="440"/>
      <c r="BA789" s="16">
        <f>BA626/BA689</f>
        <v>769.9</v>
      </c>
      <c r="BB789" s="440"/>
      <c r="BC789" s="16">
        <f>BC626/BC689</f>
        <v>773.7</v>
      </c>
      <c r="BD789" s="440"/>
      <c r="BE789" s="16">
        <f>BE626/BE689</f>
        <v>773.10000000000014</v>
      </c>
      <c r="BF789" s="440"/>
      <c r="BG789" s="16">
        <f>BG626/BG689</f>
        <v>769.1</v>
      </c>
      <c r="BH789" s="440"/>
      <c r="BI789" s="16">
        <f>BI626/BI689</f>
        <v>763.6</v>
      </c>
      <c r="BJ789" s="440"/>
      <c r="BK789" s="16">
        <f>BK626/BK689</f>
        <v>762.7</v>
      </c>
      <c r="BL789" s="440"/>
      <c r="BM789" s="16">
        <f>BM626/BM689</f>
        <v>753.89610389610391</v>
      </c>
      <c r="BN789" s="440"/>
      <c r="BO789" s="16">
        <f>BO626/BO689</f>
        <v>732.7</v>
      </c>
      <c r="BP789" s="440"/>
      <c r="BQ789" s="16">
        <f>BQ626/BQ689</f>
        <v>726.5</v>
      </c>
      <c r="BR789" s="440"/>
      <c r="BS789" s="16">
        <f>BS626/BS689</f>
        <v>726.9</v>
      </c>
      <c r="BT789" s="440"/>
      <c r="BU789" s="16">
        <f>BU687</f>
        <v>793.6</v>
      </c>
      <c r="BV789" s="440"/>
      <c r="BW789" s="16">
        <f>BW626/BW689</f>
        <v>810.8</v>
      </c>
      <c r="BX789" s="440"/>
      <c r="BY789" s="16">
        <f>BY626/BY689</f>
        <v>825.1</v>
      </c>
      <c r="BZ789" s="440"/>
      <c r="CA789" s="16">
        <f>CA626/CA689</f>
        <v>827.3</v>
      </c>
      <c r="CB789" s="440"/>
      <c r="CC789" s="16">
        <f>CC626/CC689</f>
        <v>828.00000000000011</v>
      </c>
      <c r="CD789" s="440"/>
      <c r="CE789" s="16">
        <f>CE626/CE689</f>
        <v>828.59999999999991</v>
      </c>
      <c r="CF789" s="440"/>
      <c r="CG789" s="16">
        <f>CG626/CG689</f>
        <v>830.50000000000011</v>
      </c>
      <c r="CH789" s="440"/>
      <c r="CI789" s="16">
        <f>CI626/CI689</f>
        <v>883.1</v>
      </c>
      <c r="CJ789" s="440"/>
      <c r="CK789" s="16">
        <f>CK626/CK689</f>
        <v>1014.9000000000001</v>
      </c>
      <c r="CL789" s="440"/>
      <c r="CM789" s="16">
        <f>+CM687</f>
        <v>1069.5</v>
      </c>
      <c r="CN789" s="440"/>
      <c r="CO789" s="16">
        <f>+CO687</f>
        <v>1071</v>
      </c>
      <c r="CP789" s="440"/>
      <c r="CQ789" s="535">
        <f>+CQ687</f>
        <v>1066.2</v>
      </c>
      <c r="CR789" s="440"/>
      <c r="CS789" s="16">
        <f>+CS687</f>
        <v>1066.3</v>
      </c>
      <c r="CT789" s="440"/>
      <c r="CU789" s="16">
        <f>+CU687</f>
        <v>1070.9000000000001</v>
      </c>
      <c r="CV789" s="440"/>
      <c r="CW789" s="16">
        <f>+CW687</f>
        <v>1070</v>
      </c>
      <c r="CX789" s="440"/>
      <c r="CY789" s="16">
        <f>+CY687</f>
        <v>1071</v>
      </c>
      <c r="CZ789" s="440"/>
      <c r="DA789" s="16">
        <f>+DA687</f>
        <v>1097.5</v>
      </c>
      <c r="DB789" s="440"/>
      <c r="DC789" s="16">
        <f>+DC687</f>
        <v>1103.9000000000001</v>
      </c>
      <c r="DD789" s="440"/>
      <c r="DE789" s="16">
        <f>+DE687</f>
        <v>1106.7</v>
      </c>
      <c r="DF789" s="440"/>
      <c r="DG789" s="16">
        <f>+DG687</f>
        <v>1117.3000000000002</v>
      </c>
      <c r="DH789" s="440"/>
      <c r="DI789" s="16">
        <f>+DI687</f>
        <v>1138.1000000000001</v>
      </c>
      <c r="DJ789" s="440"/>
      <c r="DK789" s="16">
        <f>+DK687</f>
        <v>1140.5</v>
      </c>
      <c r="DL789" s="440"/>
      <c r="DM789" s="16">
        <f>+DM687</f>
        <v>1142.3</v>
      </c>
      <c r="DN789" s="440"/>
      <c r="DO789" s="16">
        <f>+DO687</f>
        <v>1141</v>
      </c>
      <c r="DP789" s="440"/>
      <c r="DQ789" s="16">
        <f>+DQ687</f>
        <v>1147.3</v>
      </c>
      <c r="DR789" s="440"/>
      <c r="DS789" s="16">
        <f>+DS687</f>
        <v>1135.8</v>
      </c>
      <c r="DT789" s="440"/>
      <c r="DU789" s="16">
        <f>+DU687</f>
        <v>1128.3999999999999</v>
      </c>
      <c r="DV789" s="440"/>
      <c r="DW789" s="16">
        <f>+DW687</f>
        <v>1129.9000000000001</v>
      </c>
      <c r="DX789" s="440"/>
      <c r="DY789" s="16">
        <f>+DY687</f>
        <v>1121.4000000000001</v>
      </c>
      <c r="DZ789" s="440"/>
      <c r="EA789" s="16">
        <f>+EA687</f>
        <v>1108.5999999999999</v>
      </c>
      <c r="EB789" s="440"/>
      <c r="EC789" s="16">
        <f>+EC687</f>
        <v>1109.0999999999999</v>
      </c>
      <c r="ED789" s="440"/>
      <c r="EE789" s="16">
        <f>+EE687</f>
        <v>1109.3</v>
      </c>
      <c r="EF789" s="1080"/>
      <c r="EG789" s="16">
        <f>+EG687</f>
        <v>1108.8</v>
      </c>
      <c r="EH789" s="1080"/>
      <c r="EI789" s="16">
        <f>+EI687</f>
        <v>1098.7</v>
      </c>
      <c r="EJ789" s="1080"/>
      <c r="EK789" s="16">
        <f>+EK687</f>
        <v>1082.0999999999999</v>
      </c>
      <c r="EL789" s="1080"/>
      <c r="EM789" s="16">
        <f>+EM687</f>
        <v>1071.5</v>
      </c>
      <c r="EN789" s="1080"/>
      <c r="EO789" s="16">
        <f>+EO687</f>
        <v>1062.0999999999999</v>
      </c>
      <c r="EP789" s="440"/>
      <c r="EQ789" s="1079">
        <f t="shared" ref="EQ789" si="4890">+EQ687</f>
        <v>1044.4256934896982</v>
      </c>
      <c r="ER789" s="440"/>
      <c r="ES789" s="1079">
        <f t="shared" ref="ES789" si="4891">+ES687</f>
        <v>1026.9848439257951</v>
      </c>
      <c r="ET789" s="440"/>
      <c r="EU789" s="1079">
        <f t="shared" ref="EU789" si="4892">+EU687</f>
        <v>1010.7657016995474</v>
      </c>
      <c r="EV789" s="440"/>
      <c r="EW789" s="1079">
        <f t="shared" ref="EW789" si="4893">+EW687</f>
        <v>995.75082311949257</v>
      </c>
      <c r="EX789" s="440"/>
      <c r="EY789" s="16"/>
      <c r="EZ789" s="607"/>
      <c r="FA789" s="427"/>
      <c r="FB789" s="16"/>
      <c r="FC789" s="16"/>
      <c r="FD789" s="16"/>
      <c r="FE789" s="440"/>
      <c r="FF789" s="16"/>
      <c r="FG789" s="440"/>
      <c r="FH789" s="16"/>
      <c r="FI789" s="440"/>
      <c r="FJ789" s="16"/>
      <c r="FK789" s="440"/>
      <c r="FL789" s="16"/>
      <c r="FM789" s="440"/>
      <c r="FN789" s="16"/>
      <c r="FO789" s="440"/>
      <c r="FP789" s="16"/>
      <c r="FQ789" s="440"/>
      <c r="FR789" s="16"/>
      <c r="FS789" s="440"/>
      <c r="FT789" s="16"/>
      <c r="FU789" s="440"/>
      <c r="FV789" s="16">
        <f>FV626/FV689</f>
        <v>744.72499999999991</v>
      </c>
      <c r="FW789" s="440"/>
      <c r="FX789" s="535">
        <f>FX626/FX689</f>
        <v>822.80000000000007</v>
      </c>
      <c r="FY789" s="440"/>
      <c r="FZ789" s="16">
        <f>+FZ687</f>
        <v>889.27499999999998</v>
      </c>
      <c r="GA789" s="440"/>
      <c r="GB789" s="535">
        <f>+GB687</f>
        <v>1068.25</v>
      </c>
      <c r="GC789" s="440"/>
      <c r="GD789" s="16">
        <f>+GD687</f>
        <v>1077.3499999999999</v>
      </c>
      <c r="GE789" s="440"/>
      <c r="GF789" s="16">
        <f>+GF687</f>
        <v>1116.5</v>
      </c>
      <c r="GG789" s="440"/>
      <c r="GH789" s="16">
        <f>+GH687</f>
        <v>1142.7750000000001</v>
      </c>
      <c r="GI789" s="440"/>
      <c r="GJ789" s="16">
        <f>+GJ687</f>
        <v>1128.875</v>
      </c>
      <c r="GK789" s="440"/>
      <c r="GL789" s="16">
        <f>+GL687</f>
        <v>1108.9499999999998</v>
      </c>
      <c r="GM789" s="98">
        <f t="shared" si="4879"/>
        <v>-1.7650315579670228</v>
      </c>
      <c r="GN789" s="16">
        <f>+GN687</f>
        <v>1078.5999999999999</v>
      </c>
      <c r="GO789" s="98">
        <f t="shared" si="4879"/>
        <v>-2.7368231209702776</v>
      </c>
      <c r="GP789" s="16">
        <f>+GP687</f>
        <v>1019.4817655586335</v>
      </c>
      <c r="GQ789" s="98">
        <f t="shared" si="4879"/>
        <v>-5.4810156166666513</v>
      </c>
      <c r="GR789" s="16">
        <f>+GR687</f>
        <v>960.04930814073145</v>
      </c>
      <c r="GS789" s="98">
        <f t="shared" si="4879"/>
        <v>-5.8296734111115249</v>
      </c>
      <c r="GT789" s="16">
        <f>+GT687</f>
        <v>912.66471844627222</v>
      </c>
      <c r="GU789" s="440"/>
      <c r="GV789" s="16">
        <f>+GV687</f>
        <v>858.50436396360521</v>
      </c>
      <c r="GW789" s="440"/>
      <c r="GX789" s="16">
        <f>+GX687</f>
        <v>812.3337840138347</v>
      </c>
      <c r="GY789" s="440"/>
      <c r="GZ789" s="455"/>
      <c r="HA789" s="455"/>
      <c r="HC789"/>
      <c r="HD789"/>
      <c r="HE789"/>
      <c r="HF789"/>
      <c r="HG789"/>
      <c r="HH789"/>
    </row>
    <row r="790" spans="1:217" s="2" customFormat="1" ht="12.75" hidden="1" customHeight="1" outlineLevel="1" x14ac:dyDescent="0.2">
      <c r="A790" s="351"/>
      <c r="C790" s="10"/>
      <c r="D790" s="13"/>
      <c r="E790" s="10"/>
      <c r="F790" s="13"/>
      <c r="G790" s="10"/>
      <c r="H790" s="13"/>
      <c r="I790" s="10"/>
      <c r="J790" s="13"/>
      <c r="K790" s="10"/>
      <c r="L790" s="14"/>
      <c r="M790" s="10"/>
      <c r="N790" s="14"/>
      <c r="O790" s="10"/>
      <c r="P790" s="14"/>
      <c r="Q790" s="10"/>
      <c r="R790" s="14"/>
      <c r="S790" s="10"/>
      <c r="T790" s="14"/>
      <c r="U790" s="10"/>
      <c r="V790" s="14"/>
      <c r="W790" s="10"/>
      <c r="X790" s="14"/>
      <c r="Y790" s="10"/>
      <c r="Z790" s="14"/>
      <c r="AA790" s="10"/>
      <c r="AB790" s="14"/>
      <c r="AC790" s="10"/>
      <c r="AD790" s="14"/>
      <c r="AE790" s="10"/>
      <c r="AF790" s="14"/>
      <c r="AG790" s="10"/>
      <c r="AH790" s="14"/>
      <c r="AI790" s="31"/>
      <c r="AJ790" s="14"/>
      <c r="AK790" s="31"/>
      <c r="AL790" s="14"/>
      <c r="AM790" s="31"/>
      <c r="AN790" s="14"/>
      <c r="AO790" s="31"/>
      <c r="AP790" s="14"/>
      <c r="AQ790" s="31"/>
      <c r="AR790" s="14"/>
      <c r="AS790" s="31"/>
      <c r="AT790" s="14"/>
      <c r="AU790" s="31"/>
      <c r="AV790" s="14"/>
      <c r="AW790" s="31"/>
      <c r="AX790" s="14"/>
      <c r="AY790" s="31"/>
      <c r="AZ790" s="14"/>
      <c r="BA790" s="24"/>
      <c r="BB790" s="14"/>
      <c r="BC790" s="24"/>
      <c r="BD790" s="14"/>
      <c r="BE790" s="24"/>
      <c r="BF790" s="14"/>
      <c r="BG790" s="24"/>
      <c r="BH790" s="14"/>
      <c r="BI790" s="24"/>
      <c r="BJ790" s="14"/>
      <c r="BK790" s="24"/>
      <c r="BL790" s="14"/>
      <c r="BM790" s="24"/>
      <c r="BN790" s="14"/>
      <c r="BO790" s="24"/>
      <c r="BP790" s="14"/>
      <c r="BQ790" s="24"/>
      <c r="BR790" s="14"/>
      <c r="BS790" s="24"/>
      <c r="BT790" s="14"/>
      <c r="BU790" s="24"/>
      <c r="BV790" s="14"/>
      <c r="BW790" s="24"/>
      <c r="BX790" s="14"/>
      <c r="BY790" s="24"/>
      <c r="BZ790" s="14"/>
      <c r="CA790" s="24"/>
      <c r="CB790" s="14"/>
      <c r="CC790" s="24"/>
      <c r="CD790" s="14"/>
      <c r="CE790" s="24"/>
      <c r="CF790" s="14"/>
      <c r="CG790" s="24"/>
      <c r="CH790" s="14"/>
      <c r="CI790" s="24"/>
      <c r="CJ790" s="14"/>
      <c r="CK790" s="24"/>
      <c r="CL790" s="14"/>
      <c r="CM790" s="24"/>
      <c r="CN790" s="14"/>
      <c r="CO790" s="24"/>
      <c r="CP790" s="14"/>
      <c r="CQ790" s="470"/>
      <c r="CR790" s="14"/>
      <c r="CS790" s="24"/>
      <c r="CT790" s="14"/>
      <c r="CU790" s="24"/>
      <c r="CV790" s="14"/>
      <c r="CW790" s="24"/>
      <c r="CX790" s="14"/>
      <c r="CY790" s="24"/>
      <c r="CZ790" s="14"/>
      <c r="DA790" s="24"/>
      <c r="DB790" s="14"/>
      <c r="DC790" s="24"/>
      <c r="DD790" s="14"/>
      <c r="DE790" s="24"/>
      <c r="DF790" s="14"/>
      <c r="DG790" s="24"/>
      <c r="DH790" s="14"/>
      <c r="DI790" s="24"/>
      <c r="DJ790" s="14"/>
      <c r="DK790" s="24"/>
      <c r="DL790" s="14"/>
      <c r="DM790" s="24"/>
      <c r="DN790" s="14"/>
      <c r="DO790" s="24"/>
      <c r="DP790" s="14"/>
      <c r="DQ790" s="24"/>
      <c r="DR790" s="14"/>
      <c r="DS790" s="24"/>
      <c r="DT790" s="14"/>
      <c r="DU790" s="24"/>
      <c r="DV790" s="14"/>
      <c r="DW790" s="24"/>
      <c r="DX790" s="14"/>
      <c r="DY790" s="24"/>
      <c r="DZ790" s="14"/>
      <c r="EA790" s="24"/>
      <c r="EB790" s="14"/>
      <c r="EC790" s="24"/>
      <c r="ED790" s="14"/>
      <c r="EE790" s="24"/>
      <c r="EF790" s="1083"/>
      <c r="EG790" s="24"/>
      <c r="EH790" s="1083"/>
      <c r="EI790" s="24"/>
      <c r="EJ790" s="1083"/>
      <c r="EK790" s="24"/>
      <c r="EL790" s="1083"/>
      <c r="EM790" s="24"/>
      <c r="EN790" s="1083"/>
      <c r="EO790" s="24"/>
      <c r="EP790" s="14"/>
      <c r="EQ790" s="1009"/>
      <c r="ER790" s="14"/>
      <c r="ES790" s="1009"/>
      <c r="ET790" s="14"/>
      <c r="EU790" s="1009"/>
      <c r="EV790" s="14"/>
      <c r="EW790" s="1009"/>
      <c r="EX790" s="14"/>
      <c r="EY790" s="24"/>
      <c r="EZ790" s="602"/>
      <c r="FA790" s="266"/>
      <c r="FB790" s="10"/>
      <c r="FC790" s="13"/>
      <c r="FD790" s="10"/>
      <c r="FE790" s="14"/>
      <c r="FF790" s="24"/>
      <c r="FG790" s="14"/>
      <c r="FH790" s="24"/>
      <c r="FI790" s="14"/>
      <c r="FJ790" s="24"/>
      <c r="FK790" s="14"/>
      <c r="FL790" s="24"/>
      <c r="FM790" s="14"/>
      <c r="FN790" s="24"/>
      <c r="FO790" s="14"/>
      <c r="FP790" s="24"/>
      <c r="FQ790" s="14"/>
      <c r="FR790" s="24"/>
      <c r="FS790" s="14"/>
      <c r="FT790" s="24"/>
      <c r="FU790" s="14"/>
      <c r="FV790" s="24"/>
      <c r="FW790" s="14"/>
      <c r="FX790" s="470"/>
      <c r="FY790" s="14"/>
      <c r="FZ790" s="24"/>
      <c r="GA790" s="14"/>
      <c r="GB790" s="470"/>
      <c r="GC790" s="14"/>
      <c r="GD790" s="24"/>
      <c r="GE790" s="14"/>
      <c r="GF790" s="24"/>
      <c r="GG790" s="14"/>
      <c r="GH790" s="24"/>
      <c r="GI790" s="14"/>
      <c r="GJ790" s="24"/>
      <c r="GK790" s="14"/>
      <c r="GL790" s="24"/>
      <c r="GM790" s="98" t="str">
        <f t="shared" si="4879"/>
        <v>NA</v>
      </c>
      <c r="GN790" s="24"/>
      <c r="GO790" s="98" t="str">
        <f t="shared" si="4879"/>
        <v>NA</v>
      </c>
      <c r="GP790" s="24"/>
      <c r="GQ790" s="98" t="str">
        <f t="shared" si="4879"/>
        <v>NA</v>
      </c>
      <c r="GR790" s="24"/>
      <c r="GS790" s="98" t="str">
        <f t="shared" si="4879"/>
        <v>NA</v>
      </c>
      <c r="GT790" s="24"/>
      <c r="GU790" s="14"/>
      <c r="GV790" s="24"/>
      <c r="GW790" s="14"/>
      <c r="GX790" s="24"/>
      <c r="GY790" s="14"/>
      <c r="GZ790" s="14"/>
      <c r="HA790" s="14"/>
      <c r="HB790" s="10"/>
      <c r="HC790"/>
      <c r="HD790"/>
      <c r="HE790"/>
      <c r="HF790"/>
      <c r="HG790"/>
      <c r="HH790"/>
      <c r="HI790" s="10"/>
    </row>
    <row r="791" spans="1:217" s="10" customFormat="1" ht="12.75" hidden="1" customHeight="1" outlineLevel="1" x14ac:dyDescent="0.2">
      <c r="A791" s="28"/>
      <c r="B791" s="10" t="s">
        <v>175</v>
      </c>
      <c r="C791" s="16"/>
      <c r="D791" s="16"/>
      <c r="E791" s="16"/>
      <c r="F791" s="16"/>
      <c r="G791" s="16"/>
      <c r="H791" s="16"/>
      <c r="I791" s="16"/>
      <c r="J791" s="16"/>
      <c r="K791" s="16"/>
      <c r="L791" s="440"/>
      <c r="M791" s="16"/>
      <c r="N791" s="440"/>
      <c r="O791" s="16"/>
      <c r="P791" s="440"/>
      <c r="Q791" s="16"/>
      <c r="R791" s="440"/>
      <c r="S791" s="16"/>
      <c r="T791" s="440"/>
      <c r="U791" s="16"/>
      <c r="V791" s="440"/>
      <c r="W791" s="16"/>
      <c r="X791" s="440"/>
      <c r="Y791" s="16"/>
      <c r="Z791" s="440"/>
      <c r="AA791" s="16"/>
      <c r="AB791" s="440"/>
      <c r="AC791" s="16"/>
      <c r="AD791" s="440"/>
      <c r="AE791" s="16"/>
      <c r="AF791" s="440"/>
      <c r="AG791" s="16"/>
      <c r="AH791" s="440"/>
      <c r="AI791" s="16"/>
      <c r="AJ791" s="440"/>
      <c r="AK791" s="16"/>
      <c r="AL791" s="440"/>
      <c r="AM791" s="16"/>
      <c r="AN791" s="440"/>
      <c r="AO791" s="16"/>
      <c r="AP791" s="440"/>
      <c r="AQ791" s="16"/>
      <c r="AR791" s="440"/>
      <c r="AS791" s="16"/>
      <c r="AT791" s="440"/>
      <c r="AU791" s="16"/>
      <c r="AV791" s="440"/>
      <c r="AW791" s="16"/>
      <c r="AX791" s="440"/>
      <c r="AY791" s="16"/>
      <c r="AZ791" s="440"/>
      <c r="BA791" s="16"/>
      <c r="BB791" s="440"/>
      <c r="BC791" s="16"/>
      <c r="BD791" s="440"/>
      <c r="BE791" s="16"/>
      <c r="BF791" s="440"/>
      <c r="BG791" s="16"/>
      <c r="BH791" s="440"/>
      <c r="BI791" s="16">
        <f>+BI607/(1-(BI606/100))</f>
        <v>0</v>
      </c>
      <c r="BJ791" s="440"/>
      <c r="BK791" s="16">
        <f>+BK607/(1-(BK606/100))</f>
        <v>0</v>
      </c>
      <c r="BL791" s="440"/>
      <c r="BM791" s="16">
        <f>+BM607/(1-(BM606/100))</f>
        <v>0</v>
      </c>
      <c r="BN791" s="440"/>
      <c r="BO791" s="16">
        <f>+BO607/(1-(BO606/100))</f>
        <v>0</v>
      </c>
      <c r="BP791" s="440"/>
      <c r="BQ791" s="16">
        <f>+BQ607/(1-(BQ606/100))</f>
        <v>0</v>
      </c>
      <c r="BR791" s="440"/>
      <c r="BS791" s="16">
        <f>+BS607/(1-(BS606/100))</f>
        <v>0</v>
      </c>
      <c r="BT791" s="440"/>
      <c r="BU791" s="16">
        <f>+BU607/(1-(BU606/100))</f>
        <v>0</v>
      </c>
      <c r="BV791" s="440"/>
      <c r="BW791" s="16">
        <f>+BW607/(1-(BW606/100))</f>
        <v>0</v>
      </c>
      <c r="BX791" s="440"/>
      <c r="BY791" s="16">
        <f>+BY607/(1-(BY606/100))</f>
        <v>0</v>
      </c>
      <c r="BZ791" s="440"/>
      <c r="CA791" s="16">
        <f>+CA607/(1-(CA606/100))</f>
        <v>0</v>
      </c>
      <c r="CB791" s="440"/>
      <c r="CC791" s="16">
        <f>+CC607/(1-(CC606/100))</f>
        <v>40.292475728155338</v>
      </c>
      <c r="CD791" s="440"/>
      <c r="CE791" s="16">
        <f>+CE607/(1-(CE606/100))</f>
        <v>43.154362416107389</v>
      </c>
      <c r="CF791" s="440"/>
      <c r="CG791" s="16">
        <f>+CG607/(1-(CG606/100))</f>
        <v>42.678306878306877</v>
      </c>
      <c r="CH791" s="440"/>
      <c r="CI791" s="16">
        <f>+CI607/(1-(CI606/100))</f>
        <v>42.753036437246969</v>
      </c>
      <c r="CJ791" s="440"/>
      <c r="CK791" s="16">
        <f>+CK607/(1-(CK606/100))</f>
        <v>42.134693877551022</v>
      </c>
      <c r="CL791" s="440"/>
      <c r="CM791" s="16">
        <f>+CM607/(1-(CM606/100))</f>
        <v>42.551928783382785</v>
      </c>
      <c r="CN791" s="440"/>
      <c r="CO791" s="16">
        <f>+CO607/(1-(CO606/100))</f>
        <v>44.046042003231015</v>
      </c>
      <c r="CP791" s="440"/>
      <c r="CQ791" s="535">
        <f>+CQ607/(1-(CQ606/100))</f>
        <v>39.768844221105525</v>
      </c>
      <c r="CR791" s="440"/>
      <c r="CS791" s="16">
        <f>+CS607/(1-(CS606/100))</f>
        <v>43.229803921568632</v>
      </c>
      <c r="CT791" s="440"/>
      <c r="CU791" s="16">
        <f>+CU607/(1-(CU606/100))</f>
        <v>41.967871485943775</v>
      </c>
      <c r="CV791" s="440"/>
      <c r="CW791" s="16">
        <f>+CW607/(1-(CW606/100))</f>
        <v>43.353383458646611</v>
      </c>
      <c r="CX791" s="440"/>
      <c r="CY791" s="16">
        <f>+CY607/(1-(CY606/100))</f>
        <v>42.004146510020739</v>
      </c>
      <c r="CZ791" s="440"/>
      <c r="DA791" s="16">
        <f>+DA607/(1-(DA606/100))</f>
        <v>43.475071225071225</v>
      </c>
      <c r="DB791" s="440"/>
      <c r="DC791" s="16">
        <f>+DC607/(1-(DC606/100))</f>
        <v>41.605310802655403</v>
      </c>
      <c r="DD791" s="440"/>
      <c r="DE791" s="16">
        <f>+DE607/(1-(DE606/100))</f>
        <v>42.874381188118818</v>
      </c>
      <c r="DF791" s="440"/>
      <c r="DG791" s="16">
        <f>+DG607/(1-(DG606/100))</f>
        <v>40.760655737704916</v>
      </c>
      <c r="DH791" s="440"/>
      <c r="DI791" s="16">
        <f>+DI607/(1-(DI606/100))</f>
        <v>41.502839116719244</v>
      </c>
      <c r="DJ791" s="440"/>
      <c r="DK791" s="16">
        <f>+DK607/(1-(DK606/100))</f>
        <v>41.381909547738694</v>
      </c>
      <c r="DL791" s="440"/>
      <c r="DM791" s="16">
        <f>+DM607/(1-(DM606/100))</f>
        <v>42.818630475015425</v>
      </c>
      <c r="DN791" s="440"/>
      <c r="DO791" s="16">
        <f>+DO607/(1-(DO606/100))</f>
        <v>40.609164420485179</v>
      </c>
      <c r="DP791" s="440"/>
      <c r="DQ791" s="16">
        <f>+DQ607/(1-(DQ606/100))</f>
        <v>40.603469640644356</v>
      </c>
      <c r="DR791" s="440"/>
      <c r="DS791" s="16">
        <f>+DS607/(1-(DS606/100))</f>
        <v>40.416666666666664</v>
      </c>
      <c r="DT791" s="440"/>
      <c r="DU791" s="16">
        <f>+DU607/(1-(DU606/100))</f>
        <v>39.385611510791371</v>
      </c>
      <c r="DV791" s="440"/>
      <c r="DW791" s="16">
        <f>+DW607/(1-(DW606/100))</f>
        <v>17.340659340659343</v>
      </c>
      <c r="DX791" s="440"/>
      <c r="DY791" s="16">
        <f>+DY607/(1-(DY606/100))</f>
        <v>61.143683702989399</v>
      </c>
      <c r="DZ791" s="440"/>
      <c r="EA791" s="16">
        <f>+EA607/(1-(EA606/100))</f>
        <v>7.8273809523809526</v>
      </c>
      <c r="EB791" s="440"/>
      <c r="EC791" s="16">
        <f>+EC607/(1-(EC606/100))</f>
        <v>58.389880952380956</v>
      </c>
      <c r="ED791" s="440"/>
      <c r="EE791" s="16">
        <f>+EE607/(1-(EE606/100))</f>
        <v>7.441587068332109</v>
      </c>
      <c r="EF791" s="1080"/>
      <c r="EG791" s="16">
        <f>+EG607/(1-(EG606/100))</f>
        <v>53.002793296089386</v>
      </c>
      <c r="EH791" s="1080"/>
      <c r="EI791" s="16">
        <f>+EI607/(1-(EI606/100))</f>
        <v>7.6539050535987752</v>
      </c>
      <c r="EJ791" s="1080"/>
      <c r="EK791" s="16">
        <f>+EK607/(1-(EK606/100))</f>
        <v>57.570305676855895</v>
      </c>
      <c r="EL791" s="1080"/>
      <c r="EM791" s="16">
        <f>+EM607/(1-(EM606/100))</f>
        <v>9.1902173913043477</v>
      </c>
      <c r="EN791" s="1080"/>
      <c r="EO791" s="16">
        <f>+EO607/(1-(EO606/100))</f>
        <v>76.916299559471369</v>
      </c>
      <c r="EP791" s="440"/>
      <c r="EQ791" s="1079">
        <f>+EQ607/(1-(EQ606/100))</f>
        <v>7.3421076913200336</v>
      </c>
      <c r="ER791" s="440"/>
      <c r="ES791" s="1079">
        <f t="shared" ref="ES791" si="4894">+ES607/(1-(ES606/100))</f>
        <v>7.3461544249312096</v>
      </c>
      <c r="ET791" s="440"/>
      <c r="EU791" s="1079">
        <f t="shared" ref="EU791" si="4895">+EU607/(1-(EU606/100))</f>
        <v>7.3507583010044222</v>
      </c>
      <c r="EV791" s="440"/>
      <c r="EW791" s="1079">
        <f t="shared" ref="EW791" si="4896">+EW607/(1-(EW606/100))</f>
        <v>7.339159106242664</v>
      </c>
      <c r="EX791" s="440"/>
      <c r="EY791" s="16"/>
      <c r="EZ791" s="607"/>
      <c r="FA791" s="427"/>
      <c r="FB791" s="16"/>
      <c r="FC791" s="16"/>
      <c r="FD791" s="16"/>
      <c r="FE791" s="440"/>
      <c r="FF791" s="16"/>
      <c r="FG791" s="440"/>
      <c r="FH791" s="16"/>
      <c r="FI791" s="440"/>
      <c r="FJ791" s="16"/>
      <c r="FK791" s="440"/>
      <c r="FL791" s="16"/>
      <c r="FM791" s="440"/>
      <c r="FN791" s="16"/>
      <c r="FO791" s="440"/>
      <c r="FP791" s="16"/>
      <c r="FQ791" s="440"/>
      <c r="FR791" s="16"/>
      <c r="FS791" s="440"/>
      <c r="FT791" s="16">
        <f>+FT607/(1-(FT606/100))</f>
        <v>0</v>
      </c>
      <c r="FU791" s="440"/>
      <c r="FV791" s="16">
        <f>+FV607/(1-(FV606/100))</f>
        <v>0</v>
      </c>
      <c r="FW791" s="440"/>
      <c r="FX791" s="535">
        <f>+FX607/(1-(FX606/100))</f>
        <v>92.911680911680904</v>
      </c>
      <c r="FY791" s="440"/>
      <c r="FZ791" s="16">
        <f>+FZ607/(1-(FZ606/100))</f>
        <v>170.41461006910166</v>
      </c>
      <c r="GA791" s="440"/>
      <c r="GB791" s="535">
        <f>+GB607/(1-(GB606/100))</f>
        <v>169.76786830589705</v>
      </c>
      <c r="GC791" s="440"/>
      <c r="GD791" s="16">
        <f>+GD607/(1-(GD606/100))</f>
        <v>170.79579889807161</v>
      </c>
      <c r="GE791" s="440"/>
      <c r="GF791" s="16">
        <f>+GF607/(1-(GF606/100))</f>
        <v>166.80150399498669</v>
      </c>
      <c r="GG791" s="440"/>
      <c r="GH791" s="16">
        <f>+GH607/(1-(GH606/100))</f>
        <v>165.41753965878482</v>
      </c>
      <c r="GI791" s="440"/>
      <c r="GJ791" s="16">
        <f>+GJ607/(1-(GJ606/100))</f>
        <v>166.26572057744065</v>
      </c>
      <c r="GK791" s="440"/>
      <c r="GL791" s="16">
        <f>+GL607/(1-(GL606/100))</f>
        <v>128.1805589307412</v>
      </c>
      <c r="GM791" s="98">
        <f t="shared" si="4879"/>
        <v>-22.906201900445701</v>
      </c>
      <c r="GN791" s="16">
        <f>+GN607/(1-(GN606/100))</f>
        <v>144.7738432483475</v>
      </c>
      <c r="GO791" s="98">
        <f t="shared" si="4879"/>
        <v>12.945242598428685</v>
      </c>
      <c r="GP791" s="16">
        <f>+GP607/(1-(GP606/100))</f>
        <v>29.378131286048347</v>
      </c>
      <c r="GQ791" s="98" t="str">
        <f t="shared" si="4879"/>
        <v>NM</v>
      </c>
      <c r="GR791" s="16">
        <f>+GR607/(1-(GR606/100))</f>
        <v>29.808177787867063</v>
      </c>
      <c r="GS791" s="98">
        <f t="shared" si="4879"/>
        <v>1.4638320512337932</v>
      </c>
      <c r="GT791" s="16">
        <f>+GT607/(1-(GT606/100))</f>
        <v>29.933464293673804</v>
      </c>
      <c r="GU791" s="440"/>
      <c r="GV791" s="16">
        <f>+GV607/(1-(GV606/100))</f>
        <v>30.032501410689807</v>
      </c>
      <c r="GW791" s="440"/>
      <c r="GX791" s="16">
        <f>+GX607/(1-(GX606/100))</f>
        <v>30.121810950747157</v>
      </c>
      <c r="GY791" s="440"/>
      <c r="GZ791" s="455"/>
      <c r="HA791" s="455"/>
      <c r="HC791"/>
      <c r="HD791"/>
      <c r="HE791"/>
      <c r="HF791"/>
      <c r="HG791"/>
      <c r="HH791"/>
    </row>
    <row r="792" spans="1:217" s="10" customFormat="1" ht="12.75" hidden="1" customHeight="1" outlineLevel="1" x14ac:dyDescent="0.2">
      <c r="A792" s="28"/>
      <c r="B792" s="10" t="s">
        <v>30</v>
      </c>
      <c r="C792" s="16"/>
      <c r="D792" s="16"/>
      <c r="E792" s="16"/>
      <c r="F792" s="16"/>
      <c r="G792" s="16"/>
      <c r="H792" s="16"/>
      <c r="I792" s="16"/>
      <c r="J792" s="16"/>
      <c r="K792" s="16"/>
      <c r="L792" s="440"/>
      <c r="M792" s="16"/>
      <c r="N792" s="440"/>
      <c r="O792" s="16"/>
      <c r="P792" s="440"/>
      <c r="Q792" s="16"/>
      <c r="R792" s="440"/>
      <c r="S792" s="16"/>
      <c r="T792" s="440"/>
      <c r="U792" s="16"/>
      <c r="V792" s="440"/>
      <c r="W792" s="16"/>
      <c r="X792" s="440"/>
      <c r="Y792" s="16"/>
      <c r="Z792" s="440"/>
      <c r="AA792" s="16"/>
      <c r="AB792" s="440"/>
      <c r="AC792" s="16"/>
      <c r="AD792" s="440"/>
      <c r="AE792" s="16"/>
      <c r="AF792" s="440"/>
      <c r="AG792" s="16"/>
      <c r="AH792" s="440"/>
      <c r="AI792" s="16"/>
      <c r="AJ792" s="440"/>
      <c r="AK792" s="16"/>
      <c r="AL792" s="440"/>
      <c r="AM792" s="16"/>
      <c r="AN792" s="440"/>
      <c r="AO792" s="16"/>
      <c r="AP792" s="440"/>
      <c r="AQ792" s="16"/>
      <c r="AR792" s="440"/>
      <c r="AS792" s="16"/>
      <c r="AT792" s="440"/>
      <c r="AU792" s="16"/>
      <c r="AV792" s="440"/>
      <c r="AW792" s="16"/>
      <c r="AX792" s="440"/>
      <c r="AY792" s="16"/>
      <c r="AZ792" s="440"/>
      <c r="BA792" s="16"/>
      <c r="BB792" s="440"/>
      <c r="BC792" s="16"/>
      <c r="BD792" s="440"/>
      <c r="BE792" s="16"/>
      <c r="BF792" s="440"/>
      <c r="BG792" s="16"/>
      <c r="BH792" s="440"/>
      <c r="BI792" s="16">
        <f>-BI791*BI787</f>
        <v>0</v>
      </c>
      <c r="BJ792" s="440"/>
      <c r="BK792" s="16">
        <f>-BK791*BK787</f>
        <v>0</v>
      </c>
      <c r="BL792" s="440"/>
      <c r="BM792" s="16">
        <f>-BM791*BM787</f>
        <v>0</v>
      </c>
      <c r="BN792" s="440"/>
      <c r="BO792" s="16">
        <f>-BO791*BO787</f>
        <v>0</v>
      </c>
      <c r="BP792" s="440"/>
      <c r="BQ792" s="16">
        <f>-BQ791*BQ787</f>
        <v>0</v>
      </c>
      <c r="BR792" s="440"/>
      <c r="BS792" s="16">
        <f>-BS791*BS787</f>
        <v>0</v>
      </c>
      <c r="BT792" s="440"/>
      <c r="BU792" s="16">
        <f>-BU791*BU787</f>
        <v>0</v>
      </c>
      <c r="BV792" s="440"/>
      <c r="BW792" s="16">
        <f>-BW791*BW787</f>
        <v>0</v>
      </c>
      <c r="BX792" s="440"/>
      <c r="BY792" s="16">
        <f>-BY791*BY787</f>
        <v>0</v>
      </c>
      <c r="BZ792" s="440"/>
      <c r="CA792" s="16">
        <f>-CA791*CA787</f>
        <v>0</v>
      </c>
      <c r="CB792" s="440"/>
      <c r="CC792" s="16">
        <f>-CC791*CC787</f>
        <v>-9.2924757281553383</v>
      </c>
      <c r="CD792" s="440"/>
      <c r="CE792" s="16">
        <f>-CE791*CE787</f>
        <v>-13.154362416107386</v>
      </c>
      <c r="CF792" s="440"/>
      <c r="CG792" s="16">
        <f>-CG791*CG787</f>
        <v>-11.678306878306877</v>
      </c>
      <c r="CH792" s="440"/>
      <c r="CI792" s="16">
        <f>-CI791*CI787</f>
        <v>-12.753036437246964</v>
      </c>
      <c r="CJ792" s="440"/>
      <c r="CK792" s="16">
        <f>-CK791*CK787</f>
        <v>-11.134693877551021</v>
      </c>
      <c r="CL792" s="440"/>
      <c r="CM792" s="16">
        <f>-CM791*CM787</f>
        <v>-12.551928783382788</v>
      </c>
      <c r="CN792" s="440"/>
      <c r="CO792" s="16">
        <f>-CO791*CO787</f>
        <v>-13.046042003231017</v>
      </c>
      <c r="CP792" s="440"/>
      <c r="CQ792" s="535">
        <f>-CQ791*CQ787</f>
        <v>-9.7688442211055282</v>
      </c>
      <c r="CR792" s="440"/>
      <c r="CS792" s="16">
        <f>-CS791*CS787</f>
        <v>-12.22980392156863</v>
      </c>
      <c r="CT792" s="440"/>
      <c r="CU792" s="16">
        <f>-CU791*CU787</f>
        <v>-11.967871485943775</v>
      </c>
      <c r="CV792" s="440"/>
      <c r="CW792" s="16">
        <f>-CW791*CW787</f>
        <v>-12.353383458646617</v>
      </c>
      <c r="CX792" s="440"/>
      <c r="CY792" s="16">
        <f>-CY791*CY787</f>
        <v>-12.004146510020735</v>
      </c>
      <c r="CZ792" s="440"/>
      <c r="DA792" s="16">
        <f>-DA791*DA787</f>
        <v>-12.475071225071225</v>
      </c>
      <c r="DB792" s="440"/>
      <c r="DC792" s="16">
        <f>-DC791*DC787</f>
        <v>-11.605310802655403</v>
      </c>
      <c r="DD792" s="440"/>
      <c r="DE792" s="16">
        <f>-DE791*DE787</f>
        <v>-11.874381188118813</v>
      </c>
      <c r="DF792" s="440"/>
      <c r="DG792" s="16">
        <f>-DG791*DG787</f>
        <v>-10.760655737704917</v>
      </c>
      <c r="DH792" s="440"/>
      <c r="DI792" s="16">
        <f>-DI791*DI787</f>
        <v>-10.502839116719242</v>
      </c>
      <c r="DJ792" s="440"/>
      <c r="DK792" s="16">
        <f>-DK791*DK787</f>
        <v>-11.381909547738694</v>
      </c>
      <c r="DL792" s="440"/>
      <c r="DM792" s="16">
        <f>-DM791*DM787</f>
        <v>-11.818630475015423</v>
      </c>
      <c r="DN792" s="440"/>
      <c r="DO792" s="16">
        <f>-DO791*DO787</f>
        <v>-10.609164420485177</v>
      </c>
      <c r="DP792" s="440"/>
      <c r="DQ792" s="16">
        <f>-DQ791*DQ787</f>
        <v>-9.6034696406443594</v>
      </c>
      <c r="DR792" s="440"/>
      <c r="DS792" s="16">
        <f>-DS791*DS787</f>
        <v>-10.416666666666664</v>
      </c>
      <c r="DT792" s="440"/>
      <c r="DU792" s="16">
        <f>-DU791*DU787</f>
        <v>-8.3856115107913674</v>
      </c>
      <c r="DV792" s="440"/>
      <c r="DW792" s="16">
        <f>-DW791*DW787</f>
        <v>-11.340659340659343</v>
      </c>
      <c r="DX792" s="440"/>
      <c r="DY792" s="16">
        <f>-DY791*DY787</f>
        <v>-12.143683702989394</v>
      </c>
      <c r="DZ792" s="440"/>
      <c r="EA792" s="16">
        <f>-EA791*EA787</f>
        <v>-1.8273809523809526</v>
      </c>
      <c r="EB792" s="440"/>
      <c r="EC792" s="16">
        <f>-EC791*EC787</f>
        <v>-12.389880952380954</v>
      </c>
      <c r="ED792" s="440"/>
      <c r="EE792" s="16">
        <f>-EE791*EE787</f>
        <v>-1.4415870683321088</v>
      </c>
      <c r="EF792" s="1080"/>
      <c r="EG792" s="16">
        <f>-EG791*EG787</f>
        <v>-8.0027932960893846</v>
      </c>
      <c r="EH792" s="1080"/>
      <c r="EI792" s="16">
        <f>-EI791*EI787</f>
        <v>-1.6539050535987749</v>
      </c>
      <c r="EJ792" s="1080"/>
      <c r="EK792" s="16">
        <f>-EK791*EK787</f>
        <v>-11.570305676855895</v>
      </c>
      <c r="EL792" s="1080"/>
      <c r="EM792" s="16">
        <f>-EM791*EM787</f>
        <v>-3.1902173913043481</v>
      </c>
      <c r="EN792" s="1080"/>
      <c r="EO792" s="16">
        <f>-EO791*EO787</f>
        <v>-31.916299559471373</v>
      </c>
      <c r="EP792" s="440"/>
      <c r="EQ792" s="1079">
        <f t="shared" ref="EQ792" si="4897">-EQ791*EQ787</f>
        <v>-1.3421076913200336</v>
      </c>
      <c r="ER792" s="440"/>
      <c r="ES792" s="1079">
        <f t="shared" ref="ES792" si="4898">-ES791*ES787</f>
        <v>-1.3461544249312092</v>
      </c>
      <c r="ET792" s="440"/>
      <c r="EU792" s="1079">
        <f t="shared" ref="EU792" si="4899">-EU791*EU787</f>
        <v>-1.3507583010044226</v>
      </c>
      <c r="EV792" s="440"/>
      <c r="EW792" s="1079">
        <f t="shared" ref="EW792" si="4900">-EW791*EW787</f>
        <v>-1.339159106242664</v>
      </c>
      <c r="EX792" s="440"/>
      <c r="EY792" s="16"/>
      <c r="EZ792" s="607"/>
      <c r="FA792" s="427"/>
      <c r="FB792" s="16"/>
      <c r="FC792" s="16"/>
      <c r="FD792" s="16"/>
      <c r="FE792" s="440"/>
      <c r="FF792" s="16"/>
      <c r="FG792" s="440"/>
      <c r="FH792" s="16"/>
      <c r="FI792" s="440"/>
      <c r="FJ792" s="16"/>
      <c r="FK792" s="440"/>
      <c r="FL792" s="16"/>
      <c r="FM792" s="440"/>
      <c r="FN792" s="16"/>
      <c r="FO792" s="440"/>
      <c r="FP792" s="16"/>
      <c r="FQ792" s="440"/>
      <c r="FR792" s="16"/>
      <c r="FS792" s="440"/>
      <c r="FT792" s="16">
        <f>-FT791*FT787</f>
        <v>0</v>
      </c>
      <c r="FU792" s="440"/>
      <c r="FV792" s="16">
        <f>-FV791*FV787</f>
        <v>0</v>
      </c>
      <c r="FW792" s="440"/>
      <c r="FX792" s="535">
        <f>-FX791*FX787</f>
        <v>-61.911680911680904</v>
      </c>
      <c r="FY792" s="440"/>
      <c r="FZ792" s="16">
        <f>-FZ791*FZ787</f>
        <v>-48.41461006910167</v>
      </c>
      <c r="GA792" s="440"/>
      <c r="GB792" s="535">
        <f>-GB791*GB787</f>
        <v>-47.767868305897061</v>
      </c>
      <c r="GC792" s="440"/>
      <c r="GD792" s="16">
        <f>-GD791*GD787</f>
        <v>-48.795798898071617</v>
      </c>
      <c r="GE792" s="440"/>
      <c r="GF792" s="16">
        <f>-GF791*GF787</f>
        <v>-44.801503994986682</v>
      </c>
      <c r="GG792" s="440"/>
      <c r="GH792" s="16">
        <f>-GH791*GH787</f>
        <v>-43.417539658784804</v>
      </c>
      <c r="GI792" s="440"/>
      <c r="GJ792" s="16">
        <f>-GJ791*GJ787</f>
        <v>-50.265720577440661</v>
      </c>
      <c r="GK792" s="440"/>
      <c r="GL792" s="16">
        <f>-GL791*GL787</f>
        <v>-25.180558930741192</v>
      </c>
      <c r="GM792" s="98">
        <f t="shared" si="4879"/>
        <v>-49.90510701632661</v>
      </c>
      <c r="GN792" s="16">
        <f>-GN791*GN787</f>
        <v>-41.773843248347504</v>
      </c>
      <c r="GO792" s="98">
        <f t="shared" si="4879"/>
        <v>65.897204121822426</v>
      </c>
      <c r="GP792" s="16">
        <f>-GP791*GP787</f>
        <v>-5.3781312860483466</v>
      </c>
      <c r="GQ792" s="98" t="str">
        <f t="shared" si="4879"/>
        <v>NM</v>
      </c>
      <c r="GR792" s="16">
        <f>-GR791*GR787</f>
        <v>-5.8081777878670628</v>
      </c>
      <c r="GS792" s="98">
        <f t="shared" si="4879"/>
        <v>7.9962068411070453</v>
      </c>
      <c r="GT792" s="16">
        <f>-GT791*GT787</f>
        <v>-5.9334642936738051</v>
      </c>
      <c r="GU792" s="440"/>
      <c r="GV792" s="16">
        <f>-GV791*GV787</f>
        <v>-6.0325014106898074</v>
      </c>
      <c r="GW792" s="440"/>
      <c r="GX792" s="16">
        <f>-GX791*GX787</f>
        <v>-6.1218109507471583</v>
      </c>
      <c r="GY792" s="440"/>
      <c r="GZ792" s="455"/>
      <c r="HA792" s="455"/>
      <c r="HC792"/>
      <c r="HD792"/>
      <c r="HE792"/>
      <c r="HF792"/>
      <c r="HG792"/>
      <c r="HH792"/>
    </row>
    <row r="793" spans="1:217" s="10" customFormat="1" ht="12.75" hidden="1" customHeight="1" outlineLevel="1" x14ac:dyDescent="0.2">
      <c r="A793" s="28"/>
      <c r="B793" s="10" t="str">
        <f>B685</f>
        <v>Average Shares (Basic)</v>
      </c>
      <c r="C793" s="16"/>
      <c r="D793" s="16"/>
      <c r="E793" s="16"/>
      <c r="F793" s="16"/>
      <c r="G793" s="16"/>
      <c r="H793" s="16"/>
      <c r="I793" s="16"/>
      <c r="J793" s="16"/>
      <c r="K793" s="16"/>
      <c r="L793" s="440"/>
      <c r="M793" s="16"/>
      <c r="N793" s="440"/>
      <c r="O793" s="16"/>
      <c r="P793" s="440"/>
      <c r="Q793" s="16"/>
      <c r="R793" s="440"/>
      <c r="S793" s="16"/>
      <c r="T793" s="440"/>
      <c r="U793" s="16"/>
      <c r="V793" s="440"/>
      <c r="W793" s="16"/>
      <c r="X793" s="440"/>
      <c r="Y793" s="16"/>
      <c r="Z793" s="440"/>
      <c r="AA793" s="16"/>
      <c r="AB793" s="440"/>
      <c r="AC793" s="16"/>
      <c r="AD793" s="440"/>
      <c r="AE793" s="16"/>
      <c r="AF793" s="440"/>
      <c r="AG793" s="16"/>
      <c r="AH793" s="440"/>
      <c r="AI793" s="16"/>
      <c r="AJ793" s="440"/>
      <c r="AK793" s="16"/>
      <c r="AL793" s="440"/>
      <c r="AM793" s="16"/>
      <c r="AN793" s="440"/>
      <c r="AO793" s="16"/>
      <c r="AP793" s="440"/>
      <c r="AQ793" s="16"/>
      <c r="AR793" s="440"/>
      <c r="AS793" s="16"/>
      <c r="AT793" s="440"/>
      <c r="AU793" s="16"/>
      <c r="AV793" s="440"/>
      <c r="AW793" s="16"/>
      <c r="AX793" s="440"/>
      <c r="AY793" s="16">
        <f>AY685</f>
        <v>762</v>
      </c>
      <c r="AZ793" s="440"/>
      <c r="BA793" s="16">
        <f>BA685</f>
        <v>763.1</v>
      </c>
      <c r="BB793" s="440"/>
      <c r="BC793" s="16">
        <f>BC685</f>
        <v>762.4</v>
      </c>
      <c r="BD793" s="440"/>
      <c r="BE793" s="16">
        <f>BE685</f>
        <v>759.6</v>
      </c>
      <c r="BF793" s="440"/>
      <c r="BG793" s="16">
        <f>BG685</f>
        <v>752.7</v>
      </c>
      <c r="BH793" s="440"/>
      <c r="BI793" s="16">
        <f>BI685</f>
        <v>744.5</v>
      </c>
      <c r="BJ793" s="440"/>
      <c r="BK793" s="16">
        <f>BK685</f>
        <v>744</v>
      </c>
      <c r="BL793" s="440"/>
      <c r="BM793" s="16">
        <f>BM685</f>
        <v>735.9</v>
      </c>
      <c r="BN793" s="440"/>
      <c r="BO793" s="16">
        <f>BO685</f>
        <v>720.4</v>
      </c>
      <c r="BP793" s="440"/>
      <c r="BQ793" s="16">
        <f>BQ685</f>
        <v>712.8</v>
      </c>
      <c r="BR793" s="440"/>
      <c r="BS793" s="16">
        <f>BS685</f>
        <v>718.1</v>
      </c>
      <c r="BT793" s="440"/>
      <c r="BU793" s="16">
        <f>BU685</f>
        <v>790</v>
      </c>
      <c r="BV793" s="440"/>
      <c r="BW793" s="16">
        <f>BW685</f>
        <v>809.1</v>
      </c>
      <c r="BX793" s="440"/>
      <c r="BY793" s="16">
        <f>BY685</f>
        <v>821.6</v>
      </c>
      <c r="BZ793" s="440"/>
      <c r="CA793" s="16">
        <f>CA685</f>
        <v>821.8</v>
      </c>
      <c r="CB793" s="440"/>
      <c r="CC793" s="16">
        <f>CC685</f>
        <v>821.9</v>
      </c>
      <c r="CD793" s="440"/>
      <c r="CE793" s="16">
        <f>CE685</f>
        <v>822.6</v>
      </c>
      <c r="CF793" s="440"/>
      <c r="CG793" s="16">
        <f>CG685</f>
        <v>822.9</v>
      </c>
      <c r="CH793" s="440"/>
      <c r="CI793" s="16">
        <f>CI685</f>
        <v>875.8</v>
      </c>
      <c r="CJ793" s="440"/>
      <c r="CK793" s="16">
        <f>CK685</f>
        <v>1007.3</v>
      </c>
      <c r="CL793" s="440"/>
      <c r="CM793" s="16">
        <f>CM685</f>
        <v>1056.0999999999999</v>
      </c>
      <c r="CN793" s="440"/>
      <c r="CO793" s="16">
        <f>CO685</f>
        <v>1059.8</v>
      </c>
      <c r="CP793" s="440"/>
      <c r="CQ793" s="535">
        <f>CQ685</f>
        <v>1060.2</v>
      </c>
      <c r="CR793" s="440"/>
      <c r="CS793" s="16">
        <f>CS685</f>
        <v>1060.4000000000001</v>
      </c>
      <c r="CT793" s="440"/>
      <c r="CU793" s="16">
        <f>CU685</f>
        <v>1064.3</v>
      </c>
      <c r="CV793" s="440"/>
      <c r="CW793" s="16">
        <f>CW685</f>
        <v>1064.7</v>
      </c>
      <c r="CX793" s="440"/>
      <c r="CY793" s="16">
        <f>CY685</f>
        <v>1065</v>
      </c>
      <c r="CZ793" s="440"/>
      <c r="DA793" s="16">
        <f>DA685</f>
        <v>1091</v>
      </c>
      <c r="DB793" s="440"/>
      <c r="DC793" s="16">
        <f>DC685</f>
        <v>1096.9000000000001</v>
      </c>
      <c r="DD793" s="440"/>
      <c r="DE793" s="16">
        <f>DE685</f>
        <v>1097.9000000000001</v>
      </c>
      <c r="DF793" s="440"/>
      <c r="DG793" s="16">
        <f>DG685</f>
        <v>1104.9000000000001</v>
      </c>
      <c r="DH793" s="440"/>
      <c r="DI793" s="16">
        <f>DI685</f>
        <v>1123.7</v>
      </c>
      <c r="DJ793" s="440"/>
      <c r="DK793" s="16">
        <f>DK685</f>
        <v>1126.9000000000001</v>
      </c>
      <c r="DL793" s="440"/>
      <c r="DM793" s="16">
        <f>DM685</f>
        <v>1128</v>
      </c>
      <c r="DN793" s="440"/>
      <c r="DO793" s="16">
        <f>DO685</f>
        <v>1125.0999999999999</v>
      </c>
      <c r="DP793" s="440"/>
      <c r="DQ793" s="16">
        <f>DQ685</f>
        <v>1135.8</v>
      </c>
      <c r="DR793" s="440"/>
      <c r="DS793" s="16">
        <f>DS685</f>
        <v>1125.7</v>
      </c>
      <c r="DT793" s="440"/>
      <c r="DU793" s="16">
        <f>DU685</f>
        <v>1117.8</v>
      </c>
      <c r="DV793" s="440"/>
      <c r="DW793" s="16">
        <f>DW685</f>
        <v>1118.9000000000001</v>
      </c>
      <c r="DX793" s="440"/>
      <c r="DY793" s="16">
        <f>DY685</f>
        <v>1110.9000000000001</v>
      </c>
      <c r="DZ793" s="440"/>
      <c r="EA793" s="16">
        <f>EA685</f>
        <v>1100.8</v>
      </c>
      <c r="EB793" s="440"/>
      <c r="EC793" s="16">
        <f>EC685</f>
        <v>1100.3</v>
      </c>
      <c r="ED793" s="440"/>
      <c r="EE793" s="16">
        <f>EE685</f>
        <v>1100.5</v>
      </c>
      <c r="EF793" s="1080"/>
      <c r="EG793" s="16">
        <f>EG685</f>
        <v>1100.2</v>
      </c>
      <c r="EH793" s="1080"/>
      <c r="EI793" s="16">
        <f>EI685</f>
        <v>1090.4000000000001</v>
      </c>
      <c r="EJ793" s="1080"/>
      <c r="EK793" s="16">
        <f>EK685</f>
        <v>1074</v>
      </c>
      <c r="EL793" s="1080"/>
      <c r="EM793" s="16">
        <f>EM685</f>
        <v>1062.3</v>
      </c>
      <c r="EN793" s="1080"/>
      <c r="EO793" s="16">
        <f>EO685</f>
        <v>1052.5</v>
      </c>
      <c r="EP793" s="440"/>
      <c r="EQ793" s="1079">
        <f t="shared" ref="EQ793" si="4901">EQ685</f>
        <v>1034.8256934896983</v>
      </c>
      <c r="ER793" s="440"/>
      <c r="ES793" s="1079">
        <f t="shared" ref="ES793" si="4902">ES685</f>
        <v>1017.3848439257952</v>
      </c>
      <c r="ET793" s="440"/>
      <c r="EU793" s="1079">
        <f t="shared" ref="EU793" si="4903">EU685</f>
        <v>1001.1657016995474</v>
      </c>
      <c r="EV793" s="440"/>
      <c r="EW793" s="1079">
        <f t="shared" ref="EW793" si="4904">EW685</f>
        <v>986.15082311949254</v>
      </c>
      <c r="EX793" s="440"/>
      <c r="EY793" s="16"/>
      <c r="EZ793" s="607"/>
      <c r="FA793" s="427"/>
      <c r="FB793" s="16"/>
      <c r="FC793" s="16"/>
      <c r="FD793" s="16"/>
      <c r="FE793" s="440"/>
      <c r="FF793" s="16"/>
      <c r="FG793" s="440"/>
      <c r="FH793" s="16"/>
      <c r="FI793" s="440"/>
      <c r="FJ793" s="16"/>
      <c r="FK793" s="440"/>
      <c r="FL793" s="16"/>
      <c r="FM793" s="440"/>
      <c r="FN793" s="16"/>
      <c r="FO793" s="440"/>
      <c r="FP793" s="16"/>
      <c r="FQ793" s="440"/>
      <c r="FR793" s="16"/>
      <c r="FS793" s="440"/>
      <c r="FT793" s="16">
        <f>FT685</f>
        <v>744.27499999999998</v>
      </c>
      <c r="FU793" s="440"/>
      <c r="FV793" s="16">
        <f>FV685</f>
        <v>735.32499999999993</v>
      </c>
      <c r="FW793" s="440"/>
      <c r="FX793" s="535">
        <f>FX685</f>
        <v>818.6</v>
      </c>
      <c r="FY793" s="440"/>
      <c r="FZ793" s="16">
        <f>FZ685</f>
        <v>882.15</v>
      </c>
      <c r="GA793" s="440"/>
      <c r="GB793" s="535">
        <f>GB685</f>
        <v>1059.125</v>
      </c>
      <c r="GC793" s="440"/>
      <c r="GD793" s="16">
        <f>GD685</f>
        <v>1071.25</v>
      </c>
      <c r="GE793" s="440"/>
      <c r="GF793" s="16">
        <f>GF685</f>
        <v>1105.8500000000001</v>
      </c>
      <c r="GG793" s="440"/>
      <c r="GH793" s="16">
        <f>GH685</f>
        <v>1128.9499999999998</v>
      </c>
      <c r="GI793" s="440"/>
      <c r="GJ793" s="16">
        <f>GJ685</f>
        <v>1118.325</v>
      </c>
      <c r="GK793" s="440"/>
      <c r="GL793" s="16">
        <f>GL685</f>
        <v>1100.45</v>
      </c>
      <c r="GM793" s="98">
        <f t="shared" si="4879"/>
        <v>-1.5983725661145032</v>
      </c>
      <c r="GN793" s="16">
        <f>GN685</f>
        <v>1069.8000000000002</v>
      </c>
      <c r="GO793" s="98">
        <f t="shared" si="4879"/>
        <v>-2.7852242264527982</v>
      </c>
      <c r="GP793" s="16">
        <f>GP685</f>
        <v>1009.8817655586333</v>
      </c>
      <c r="GQ793" s="98">
        <f t="shared" si="4879"/>
        <v>-5.6008818883311662</v>
      </c>
      <c r="GR793" s="16">
        <f>GR685</f>
        <v>950.44930814073132</v>
      </c>
      <c r="GS793" s="98">
        <f t="shared" si="4879"/>
        <v>-5.8850906556398686</v>
      </c>
      <c r="GT793" s="16">
        <f>GT685</f>
        <v>903.06471844627208</v>
      </c>
      <c r="GU793" s="440"/>
      <c r="GV793" s="16">
        <f>GV685</f>
        <v>848.90436396360508</v>
      </c>
      <c r="GW793" s="440"/>
      <c r="GX793" s="16">
        <f>GX685</f>
        <v>802.73378401383457</v>
      </c>
      <c r="GY793" s="440"/>
      <c r="GZ793" s="455"/>
      <c r="HA793" s="455"/>
      <c r="HC793"/>
      <c r="HD793"/>
      <c r="HE793"/>
      <c r="HF793"/>
      <c r="HG793"/>
      <c r="HH793"/>
    </row>
    <row r="794" spans="1:217" s="2" customFormat="1" ht="12.75" hidden="1" customHeight="1" outlineLevel="1" x14ac:dyDescent="0.2">
      <c r="A794" s="28"/>
      <c r="B794" s="397"/>
      <c r="C794" s="350"/>
      <c r="D794" s="350"/>
      <c r="E794" s="350"/>
      <c r="F794" s="350"/>
      <c r="G794" s="350"/>
      <c r="H794" s="350"/>
      <c r="I794" s="350"/>
      <c r="J794" s="350"/>
      <c r="K794" s="350"/>
      <c r="L794" s="441"/>
      <c r="M794" s="350"/>
      <c r="N794" s="441"/>
      <c r="O794" s="350"/>
      <c r="P794" s="441"/>
      <c r="Q794" s="350"/>
      <c r="R794" s="441"/>
      <c r="S794" s="350"/>
      <c r="T794" s="441"/>
      <c r="U794" s="350"/>
      <c r="V794" s="441"/>
      <c r="W794" s="350"/>
      <c r="X794" s="441"/>
      <c r="Y794" s="350"/>
      <c r="Z794" s="441"/>
      <c r="AA794" s="350"/>
      <c r="AB794" s="441"/>
      <c r="AC794" s="350"/>
      <c r="AD794" s="441"/>
      <c r="AE794" s="350"/>
      <c r="AF794" s="441"/>
      <c r="AG794" s="350"/>
      <c r="AH794" s="441"/>
      <c r="AI794" s="350"/>
      <c r="AJ794" s="441"/>
      <c r="AK794" s="350"/>
      <c r="AL794" s="441"/>
      <c r="AM794" s="350"/>
      <c r="AN794" s="441"/>
      <c r="AO794" s="350"/>
      <c r="AP794" s="441"/>
      <c r="AQ794" s="350"/>
      <c r="AR794" s="441"/>
      <c r="AS794" s="350"/>
      <c r="AT794" s="441"/>
      <c r="AU794" s="350"/>
      <c r="AV794" s="441"/>
      <c r="AW794" s="350"/>
      <c r="AX794" s="441"/>
      <c r="AY794" s="350"/>
      <c r="AZ794" s="441"/>
      <c r="BA794" s="350"/>
      <c r="BB794" s="441"/>
      <c r="BC794" s="350"/>
      <c r="BD794" s="441"/>
      <c r="BE794" s="350"/>
      <c r="BF794" s="441"/>
      <c r="BG794" s="350"/>
      <c r="BH794" s="441"/>
      <c r="BI794" s="350"/>
      <c r="BJ794" s="441"/>
      <c r="BK794" s="350"/>
      <c r="BL794" s="441"/>
      <c r="BM794" s="350"/>
      <c r="BN794" s="441"/>
      <c r="BO794" s="350"/>
      <c r="BP794" s="441"/>
      <c r="BQ794" s="350"/>
      <c r="BR794" s="441"/>
      <c r="BS794" s="350"/>
      <c r="BT794" s="441"/>
      <c r="BU794" s="350"/>
      <c r="BV794" s="441"/>
      <c r="BW794" s="350"/>
      <c r="BX794" s="441"/>
      <c r="BY794" s="350"/>
      <c r="BZ794" s="441"/>
      <c r="CA794" s="350"/>
      <c r="CB794" s="441"/>
      <c r="CC794" s="350"/>
      <c r="CD794" s="441"/>
      <c r="CE794" s="350"/>
      <c r="CF794" s="441"/>
      <c r="CG794" s="350"/>
      <c r="CH794" s="441"/>
      <c r="CI794" s="350"/>
      <c r="CJ794" s="441"/>
      <c r="CK794" s="350"/>
      <c r="CL794" s="441"/>
      <c r="CM794" s="350"/>
      <c r="CN794" s="441"/>
      <c r="CO794" s="350"/>
      <c r="CP794" s="441"/>
      <c r="CQ794" s="485"/>
      <c r="CR794" s="441"/>
      <c r="CS794" s="350"/>
      <c r="CT794" s="441"/>
      <c r="CU794" s="350"/>
      <c r="CV794" s="441"/>
      <c r="CW794" s="350"/>
      <c r="CX794" s="441"/>
      <c r="CY794" s="350"/>
      <c r="CZ794" s="441"/>
      <c r="DA794" s="350"/>
      <c r="DB794" s="441"/>
      <c r="DC794" s="350"/>
      <c r="DD794" s="441"/>
      <c r="DE794" s="350"/>
      <c r="DF794" s="441"/>
      <c r="DG794" s="350"/>
      <c r="DH794" s="441"/>
      <c r="DI794" s="350"/>
      <c r="DJ794" s="441"/>
      <c r="DK794" s="350"/>
      <c r="DL794" s="441"/>
      <c r="DM794" s="350"/>
      <c r="DN794" s="441"/>
      <c r="DO794" s="350"/>
      <c r="DP794" s="441"/>
      <c r="DQ794" s="350"/>
      <c r="DR794" s="441"/>
      <c r="DS794" s="350"/>
      <c r="DT794" s="441"/>
      <c r="DU794" s="350"/>
      <c r="DV794" s="441"/>
      <c r="DW794" s="350"/>
      <c r="DX794" s="441"/>
      <c r="DY794" s="350"/>
      <c r="DZ794" s="441"/>
      <c r="EA794" s="350"/>
      <c r="EB794" s="441"/>
      <c r="EC794" s="350"/>
      <c r="ED794" s="441"/>
      <c r="EE794" s="350"/>
      <c r="EF794" s="1084"/>
      <c r="EG794" s="350"/>
      <c r="EH794" s="1084"/>
      <c r="EI794" s="350"/>
      <c r="EJ794" s="1084"/>
      <c r="EK794" s="350"/>
      <c r="EL794" s="1084"/>
      <c r="EM794" s="350"/>
      <c r="EN794" s="1084"/>
      <c r="EO794" s="350"/>
      <c r="EP794" s="441"/>
      <c r="EQ794" s="1067"/>
      <c r="ER794" s="441"/>
      <c r="ES794" s="1067"/>
      <c r="ET794" s="441"/>
      <c r="EU794" s="1067"/>
      <c r="EV794" s="441"/>
      <c r="EW794" s="1067"/>
      <c r="EX794" s="441"/>
      <c r="EY794" s="350"/>
      <c r="EZ794" s="609"/>
      <c r="FA794" s="350"/>
      <c r="FB794" s="350"/>
      <c r="FC794" s="350"/>
      <c r="FD794" s="350"/>
      <c r="FE794" s="441"/>
      <c r="FF794" s="350"/>
      <c r="FG794" s="441"/>
      <c r="FH794" s="350"/>
      <c r="FI794" s="441"/>
      <c r="FJ794" s="350"/>
      <c r="FK794" s="441"/>
      <c r="FL794" s="350"/>
      <c r="FM794" s="441"/>
      <c r="FN794" s="350"/>
      <c r="FO794" s="441"/>
      <c r="FP794" s="350"/>
      <c r="FQ794" s="441"/>
      <c r="FR794" s="350"/>
      <c r="FS794" s="441"/>
      <c r="FT794" s="350"/>
      <c r="FU794" s="441"/>
      <c r="FV794" s="350"/>
      <c r="FW794" s="441"/>
      <c r="FX794" s="485"/>
      <c r="FY794" s="441"/>
      <c r="FZ794" s="350"/>
      <c r="GA794" s="441"/>
      <c r="GB794" s="485"/>
      <c r="GC794" s="441"/>
      <c r="GD794" s="350"/>
      <c r="GE794" s="441"/>
      <c r="GF794" s="350"/>
      <c r="GG794" s="441"/>
      <c r="GH794" s="350"/>
      <c r="GI794" s="441"/>
      <c r="GJ794" s="350"/>
      <c r="GK794" s="441"/>
      <c r="GL794" s="350"/>
      <c r="GM794" s="98" t="str">
        <f t="shared" si="4879"/>
        <v>NA</v>
      </c>
      <c r="GN794" s="350"/>
      <c r="GO794" s="98" t="str">
        <f t="shared" si="4879"/>
        <v>NA</v>
      </c>
      <c r="GP794" s="350"/>
      <c r="GQ794" s="98" t="str">
        <f t="shared" si="4879"/>
        <v>NA</v>
      </c>
      <c r="GR794" s="350"/>
      <c r="GS794" s="98" t="str">
        <f t="shared" si="4879"/>
        <v>NA</v>
      </c>
      <c r="GT794" s="350"/>
      <c r="GU794" s="441"/>
      <c r="GV794" s="350"/>
      <c r="GW794" s="441"/>
      <c r="GX794" s="350"/>
      <c r="GY794" s="441"/>
      <c r="GZ794" s="441"/>
      <c r="HA794" s="441"/>
      <c r="HB794" s="10"/>
      <c r="HC794"/>
      <c r="HD794"/>
      <c r="HE794"/>
      <c r="HF794"/>
      <c r="HG794"/>
      <c r="HH794"/>
      <c r="HI794" s="10"/>
    </row>
    <row r="795" spans="1:217" s="2" customFormat="1" ht="12.75" hidden="1" customHeight="1" outlineLevel="1" x14ac:dyDescent="0.2">
      <c r="A795" s="28"/>
      <c r="B795" s="5" t="s">
        <v>139</v>
      </c>
      <c r="D795" s="11"/>
      <c r="F795" s="11"/>
      <c r="H795" s="11"/>
      <c r="J795" s="13"/>
      <c r="L795" s="14"/>
      <c r="N795" s="14"/>
      <c r="P795" s="14"/>
      <c r="R795" s="14"/>
      <c r="S795" s="250"/>
      <c r="T795" s="14"/>
      <c r="U795" s="250"/>
      <c r="V795" s="14"/>
      <c r="W795" s="250"/>
      <c r="X795" s="14"/>
      <c r="Z795" s="14"/>
      <c r="AA795" s="250"/>
      <c r="AB795" s="14"/>
      <c r="AC795" s="250"/>
      <c r="AD795" s="14"/>
      <c r="AE795" s="250"/>
      <c r="AF795" s="14"/>
      <c r="AG795" s="250"/>
      <c r="AH795" s="14"/>
      <c r="AI795" s="398"/>
      <c r="AJ795" s="14"/>
      <c r="AK795" s="398"/>
      <c r="AL795" s="14"/>
      <c r="AM795" s="398"/>
      <c r="AN795" s="14"/>
      <c r="AO795" s="398"/>
      <c r="AP795" s="14"/>
      <c r="AQ795" s="398"/>
      <c r="AR795" s="14"/>
      <c r="AS795" s="398"/>
      <c r="AT795" s="14"/>
      <c r="AU795" s="398"/>
      <c r="AV795" s="14"/>
      <c r="AW795" s="398"/>
      <c r="AX795" s="14"/>
      <c r="AY795" s="31"/>
      <c r="AZ795" s="14"/>
      <c r="BA795" s="24"/>
      <c r="BB795" s="14"/>
      <c r="BC795" s="24"/>
      <c r="BD795" s="14"/>
      <c r="BE795" s="24"/>
      <c r="BF795" s="14"/>
      <c r="BG795" s="24"/>
      <c r="BH795" s="14"/>
      <c r="BI795" s="24"/>
      <c r="BJ795" s="14"/>
      <c r="BK795" s="24"/>
      <c r="BL795" s="14"/>
      <c r="BM795" s="24"/>
      <c r="BN795" s="14"/>
      <c r="BO795" s="24"/>
      <c r="BP795" s="14"/>
      <c r="BQ795" s="24"/>
      <c r="BR795" s="14"/>
      <c r="BS795" s="24"/>
      <c r="BT795" s="14"/>
      <c r="BU795" s="24"/>
      <c r="BV795" s="14"/>
      <c r="BW795" s="24"/>
      <c r="BX795" s="14"/>
      <c r="BY795" s="24"/>
      <c r="BZ795" s="14"/>
      <c r="CA795" s="24"/>
      <c r="CB795" s="14"/>
      <c r="CC795" s="24"/>
      <c r="CD795" s="14"/>
      <c r="CE795" s="24"/>
      <c r="CF795" s="14"/>
      <c r="CG795" s="24"/>
      <c r="CH795" s="14"/>
      <c r="CI795" s="24"/>
      <c r="CJ795" s="14"/>
      <c r="CK795" s="24"/>
      <c r="CL795" s="14"/>
      <c r="CM795" s="24"/>
      <c r="CN795" s="14"/>
      <c r="CO795" s="24"/>
      <c r="CP795" s="14"/>
      <c r="CQ795" s="470"/>
      <c r="CR795" s="14"/>
      <c r="CS795" s="24"/>
      <c r="CT795" s="14"/>
      <c r="CU795" s="24"/>
      <c r="CV795" s="14"/>
      <c r="CW795" s="24"/>
      <c r="CX795" s="14"/>
      <c r="CY795" s="24"/>
      <c r="CZ795" s="14"/>
      <c r="DA795" s="24"/>
      <c r="DB795" s="14"/>
      <c r="DC795" s="24"/>
      <c r="DD795" s="14"/>
      <c r="DE795" s="24"/>
      <c r="DF795" s="14"/>
      <c r="DG795" s="24"/>
      <c r="DH795" s="14"/>
      <c r="DI795" s="24"/>
      <c r="DJ795" s="14"/>
      <c r="DK795" s="24"/>
      <c r="DL795" s="14"/>
      <c r="DM795" s="24"/>
      <c r="DN795" s="14"/>
      <c r="DO795" s="24"/>
      <c r="DP795" s="14"/>
      <c r="DQ795" s="24"/>
      <c r="DR795" s="14"/>
      <c r="DS795" s="24"/>
      <c r="DT795" s="14"/>
      <c r="DU795" s="24"/>
      <c r="DV795" s="14"/>
      <c r="DW795" s="24"/>
      <c r="DX795" s="14"/>
      <c r="DY795" s="24"/>
      <c r="DZ795" s="14"/>
      <c r="EA795" s="24"/>
      <c r="EB795" s="14"/>
      <c r="EC795" s="24"/>
      <c r="ED795" s="14"/>
      <c r="EE795" s="24"/>
      <c r="EF795" s="1083"/>
      <c r="EG795" s="24"/>
      <c r="EH795" s="1083"/>
      <c r="EI795" s="24"/>
      <c r="EJ795" s="1083"/>
      <c r="EK795" s="24"/>
      <c r="EL795" s="1083"/>
      <c r="EM795" s="24"/>
      <c r="EN795" s="1083"/>
      <c r="EO795" s="24"/>
      <c r="EP795" s="14"/>
      <c r="EQ795" s="1009"/>
      <c r="ER795" s="14"/>
      <c r="ES795" s="1009"/>
      <c r="ET795" s="14"/>
      <c r="EU795" s="1009"/>
      <c r="EV795" s="14"/>
      <c r="EW795" s="1009"/>
      <c r="EX795" s="14"/>
      <c r="EY795" s="24"/>
      <c r="EZ795" s="602"/>
      <c r="FA795" s="266"/>
      <c r="FB795" s="10"/>
      <c r="FC795" s="13"/>
      <c r="FD795" s="10"/>
      <c r="FE795" s="14"/>
      <c r="FF795" s="24"/>
      <c r="FG795" s="14"/>
      <c r="FH795" s="24"/>
      <c r="FI795" s="14"/>
      <c r="FJ795" s="24"/>
      <c r="FK795" s="14"/>
      <c r="FL795" s="24"/>
      <c r="FM795" s="14"/>
      <c r="FN795" s="24"/>
      <c r="FO795" s="14"/>
      <c r="FP795" s="24"/>
      <c r="FQ795" s="14"/>
      <c r="FR795" s="24"/>
      <c r="FS795" s="14"/>
      <c r="FT795" s="24"/>
      <c r="FU795" s="14"/>
      <c r="FV795" s="24"/>
      <c r="FW795" s="14"/>
      <c r="FX795" s="470"/>
      <c r="FY795" s="14"/>
      <c r="FZ795" s="24"/>
      <c r="GA795" s="14"/>
      <c r="GB795" s="470"/>
      <c r="GC795" s="14"/>
      <c r="GD795" s="24"/>
      <c r="GE795" s="14"/>
      <c r="GF795" s="24"/>
      <c r="GG795" s="14"/>
      <c r="GH795" s="24"/>
      <c r="GI795" s="14"/>
      <c r="GJ795" s="24"/>
      <c r="GK795" s="14"/>
      <c r="GL795" s="24"/>
      <c r="GM795" s="98" t="str">
        <f t="shared" si="4879"/>
        <v>NA</v>
      </c>
      <c r="GN795" s="24"/>
      <c r="GO795" s="98" t="str">
        <f t="shared" si="4879"/>
        <v>NA</v>
      </c>
      <c r="GP795" s="24"/>
      <c r="GQ795" s="98" t="str">
        <f t="shared" si="4879"/>
        <v>NA</v>
      </c>
      <c r="GR795" s="24"/>
      <c r="GS795" s="98" t="str">
        <f t="shared" si="4879"/>
        <v>NA</v>
      </c>
      <c r="GT795" s="24"/>
      <c r="GU795" s="14"/>
      <c r="GV795" s="24"/>
      <c r="GW795" s="14"/>
      <c r="GX795" s="24"/>
      <c r="GY795" s="14"/>
      <c r="GZ795" s="14"/>
      <c r="HA795" s="14"/>
      <c r="HB795" s="10"/>
      <c r="HC795"/>
      <c r="HD795"/>
      <c r="HE795"/>
      <c r="HF795"/>
      <c r="HG795"/>
      <c r="HH795"/>
      <c r="HI795" s="10"/>
    </row>
    <row r="796" spans="1:217" s="10" customFormat="1" ht="12.75" hidden="1" customHeight="1" outlineLevel="1" x14ac:dyDescent="0.2">
      <c r="A796" s="28"/>
      <c r="B796" s="10" t="s">
        <v>142</v>
      </c>
      <c r="C796" s="16"/>
      <c r="D796" s="16"/>
      <c r="E796" s="16"/>
      <c r="F796" s="16"/>
      <c r="G796" s="16"/>
      <c r="H796" s="16"/>
      <c r="I796" s="16"/>
      <c r="J796" s="16"/>
      <c r="K796" s="16"/>
      <c r="L796" s="440"/>
      <c r="M796" s="16"/>
      <c r="N796" s="440"/>
      <c r="O796" s="16"/>
      <c r="P796" s="440"/>
      <c r="Q796" s="16"/>
      <c r="R796" s="440"/>
      <c r="S796" s="16"/>
      <c r="T796" s="440"/>
      <c r="U796" s="16"/>
      <c r="V796" s="440"/>
      <c r="W796" s="16"/>
      <c r="X796" s="440"/>
      <c r="Y796" s="16"/>
      <c r="Z796" s="440"/>
      <c r="AA796" s="16"/>
      <c r="AB796" s="440"/>
      <c r="AC796" s="16"/>
      <c r="AD796" s="440"/>
      <c r="AE796" s="16"/>
      <c r="AF796" s="440"/>
      <c r="AG796" s="16"/>
      <c r="AH796" s="440"/>
      <c r="AI796" s="16"/>
      <c r="AJ796" s="440"/>
      <c r="AK796" s="16"/>
      <c r="AL796" s="440"/>
      <c r="AM796" s="16"/>
      <c r="AN796" s="440"/>
      <c r="AO796" s="16"/>
      <c r="AP796" s="440"/>
      <c r="AQ796" s="16"/>
      <c r="AR796" s="440"/>
      <c r="AS796" s="16"/>
      <c r="AT796" s="440"/>
      <c r="AU796" s="16"/>
      <c r="AV796" s="440"/>
      <c r="AW796" s="16"/>
      <c r="AX796" s="440"/>
      <c r="AY796" s="16"/>
      <c r="AZ796" s="440"/>
      <c r="BA796" s="16"/>
      <c r="BB796" s="440"/>
      <c r="BC796" s="16"/>
      <c r="BD796" s="440"/>
      <c r="BE796" s="16"/>
      <c r="BF796" s="440"/>
      <c r="BG796" s="16"/>
      <c r="BH796" s="440"/>
      <c r="BI796" s="16"/>
      <c r="BJ796" s="440"/>
      <c r="BK796" s="16"/>
      <c r="BL796" s="440"/>
      <c r="BM796" s="16"/>
      <c r="BN796" s="440"/>
      <c r="BO796" s="16"/>
      <c r="BP796" s="440"/>
      <c r="BQ796" s="16"/>
      <c r="BR796" s="440"/>
      <c r="BS796" s="16"/>
      <c r="BT796" s="440"/>
      <c r="BU796" s="16"/>
      <c r="BV796" s="440"/>
      <c r="BW796" s="16"/>
      <c r="BX796" s="440"/>
      <c r="BY796" s="16"/>
      <c r="BZ796" s="440"/>
      <c r="CA796" s="16"/>
      <c r="CB796" s="440"/>
      <c r="CC796" s="16"/>
      <c r="CD796" s="440"/>
      <c r="CE796" s="16"/>
      <c r="CF796" s="440"/>
      <c r="CG796" s="16"/>
      <c r="CH796" s="440"/>
      <c r="CI796" s="16"/>
      <c r="CJ796" s="440"/>
      <c r="CK796" s="16"/>
      <c r="CL796" s="440"/>
      <c r="CM796" s="16"/>
      <c r="CN796" s="440"/>
      <c r="CO796" s="16"/>
      <c r="CP796" s="440"/>
      <c r="CQ796" s="535">
        <f>+CQ118</f>
        <v>227</v>
      </c>
      <c r="CR796" s="440"/>
      <c r="CS796" s="16">
        <f>+CS118</f>
        <v>360</v>
      </c>
      <c r="CT796" s="440"/>
      <c r="CU796" s="16">
        <f t="shared" ref="CU796:DI796" si="4905">+CU118</f>
        <v>366</v>
      </c>
      <c r="CV796" s="16" t="str">
        <f t="shared" si="4905"/>
        <v>NA</v>
      </c>
      <c r="CW796" s="16">
        <f t="shared" si="4905"/>
        <v>400</v>
      </c>
      <c r="CX796" s="16" t="str">
        <f t="shared" si="4905"/>
        <v>NA</v>
      </c>
      <c r="CY796" s="16">
        <f t="shared" si="4905"/>
        <v>401.84615384615387</v>
      </c>
      <c r="CZ796" s="16">
        <f t="shared" si="4905"/>
        <v>77.024737377160292</v>
      </c>
      <c r="DA796" s="16">
        <f t="shared" si="4905"/>
        <v>319.30769230769232</v>
      </c>
      <c r="DB796" s="16">
        <f t="shared" si="4905"/>
        <v>-11.303418803418797</v>
      </c>
      <c r="DC796" s="16">
        <f t="shared" si="4905"/>
        <v>353.15384615384613</v>
      </c>
      <c r="DD796" s="16">
        <f t="shared" si="4905"/>
        <v>-3.5098781000420409</v>
      </c>
      <c r="DE796" s="16">
        <f t="shared" si="4905"/>
        <v>395.53846153846155</v>
      </c>
      <c r="DF796" s="16">
        <f t="shared" si="4905"/>
        <v>-1.1153846153846181</v>
      </c>
      <c r="DG796" s="16">
        <f t="shared" si="4905"/>
        <v>323.07692307692309</v>
      </c>
      <c r="DH796" s="16">
        <f t="shared" si="4905"/>
        <v>-19.601837672281775</v>
      </c>
      <c r="DI796" s="16">
        <f t="shared" si="4905"/>
        <v>324.38461538461536</v>
      </c>
      <c r="DJ796" s="440"/>
      <c r="DK796" s="16">
        <f>+DK118</f>
        <v>289.46153846153845</v>
      </c>
      <c r="DL796" s="440"/>
      <c r="DM796" s="16">
        <f>+DM118</f>
        <v>326.07692307692309</v>
      </c>
      <c r="DN796" s="440"/>
      <c r="DO796" s="16">
        <f>+DO118</f>
        <v>330.61538461538464</v>
      </c>
      <c r="DP796" s="440"/>
      <c r="DQ796" s="16">
        <f>+DQ118</f>
        <v>363.46153846153845</v>
      </c>
      <c r="DR796" s="440"/>
      <c r="DS796" s="16">
        <f>+DS118</f>
        <v>223</v>
      </c>
      <c r="DT796" s="440"/>
      <c r="DU796" s="16">
        <f>+DU118</f>
        <v>265</v>
      </c>
      <c r="DV796" s="440"/>
      <c r="DW796" s="16">
        <f>+DW118</f>
        <v>272.23076923076923</v>
      </c>
      <c r="DX796" s="440"/>
      <c r="DY796" s="16">
        <f>+DY118</f>
        <v>254.23076923076923</v>
      </c>
      <c r="DZ796" s="440"/>
      <c r="EA796" s="16">
        <f>+EA118</f>
        <v>230.53846153846155</v>
      </c>
      <c r="EB796" s="440"/>
      <c r="EC796" s="16">
        <f>+EC118</f>
        <v>291.07692307692309</v>
      </c>
      <c r="ED796" s="440"/>
      <c r="EE796" s="16">
        <f>+EE118</f>
        <v>276.92307692307691</v>
      </c>
      <c r="EF796" s="16"/>
      <c r="EG796" s="16">
        <f>+EG118</f>
        <v>277</v>
      </c>
      <c r="EH796" s="16"/>
      <c r="EI796" s="16">
        <f>+EI118</f>
        <v>293.38461538461536</v>
      </c>
      <c r="EJ796" s="16"/>
      <c r="EK796" s="16">
        <f>+EK118</f>
        <v>312</v>
      </c>
      <c r="EL796" s="16"/>
      <c r="EM796" s="16">
        <f>+EM118</f>
        <v>370</v>
      </c>
      <c r="EN796" s="16"/>
      <c r="EO796" s="16">
        <f>+EO118</f>
        <v>352</v>
      </c>
      <c r="EP796" s="440"/>
      <c r="EQ796" s="16">
        <f>+EQ118</f>
        <v>336.8536408523255</v>
      </c>
      <c r="ER796" s="440"/>
      <c r="ES796" s="16">
        <f>+ES118</f>
        <v>349.02362622308556</v>
      </c>
      <c r="ET796" s="440"/>
      <c r="EU796" s="16">
        <f>+EU118</f>
        <v>360.92676472185622</v>
      </c>
      <c r="EV796" s="440"/>
      <c r="EW796" s="16">
        <f>+EW118</f>
        <v>373.21802192787754</v>
      </c>
      <c r="EX796" s="440"/>
      <c r="EY796" s="16"/>
      <c r="EZ796" s="607"/>
      <c r="FA796" s="427"/>
      <c r="FB796" s="16"/>
      <c r="FC796" s="16"/>
      <c r="FD796" s="16"/>
      <c r="FE796" s="440"/>
      <c r="FF796" s="16"/>
      <c r="FG796" s="440"/>
      <c r="FH796" s="16"/>
      <c r="FI796" s="440"/>
      <c r="FJ796" s="16"/>
      <c r="FK796" s="440"/>
      <c r="FL796" s="16"/>
      <c r="FM796" s="440"/>
      <c r="FN796" s="16"/>
      <c r="FO796" s="440"/>
      <c r="FP796" s="16"/>
      <c r="FQ796" s="440"/>
      <c r="FR796" s="16"/>
      <c r="FS796" s="440"/>
      <c r="FT796" s="16"/>
      <c r="FU796" s="440"/>
      <c r="FV796" s="16"/>
      <c r="FW796" s="440"/>
      <c r="FX796" s="535"/>
      <c r="FY796" s="440"/>
      <c r="FZ796" s="16"/>
      <c r="GA796" s="440"/>
      <c r="GB796" s="535">
        <f t="shared" ref="GB796:GL796" si="4906">+GB118</f>
        <v>1309.8461538461538</v>
      </c>
      <c r="GC796" s="16" t="str">
        <f t="shared" si="4906"/>
        <v>NA</v>
      </c>
      <c r="GD796" s="16">
        <f t="shared" si="4906"/>
        <v>1487.1538461538462</v>
      </c>
      <c r="GE796" s="16">
        <f t="shared" si="4906"/>
        <v>13.536528071411791</v>
      </c>
      <c r="GF796" s="16">
        <f t="shared" si="4906"/>
        <v>1396.1538461538462</v>
      </c>
      <c r="GG796" s="16">
        <f t="shared" si="4906"/>
        <v>-6.1190710184658386</v>
      </c>
      <c r="GH796" s="16">
        <f t="shared" si="4906"/>
        <v>1309.6153846153845</v>
      </c>
      <c r="GI796" s="16">
        <f t="shared" si="4906"/>
        <v>-6.1983471074380292</v>
      </c>
      <c r="GJ796" s="16">
        <f t="shared" si="4906"/>
        <v>1014.4615384615385</v>
      </c>
      <c r="GK796" s="16">
        <f t="shared" si="4906"/>
        <v>-22.537444933920703</v>
      </c>
      <c r="GL796" s="16">
        <f t="shared" si="4906"/>
        <v>1075.5384615384614</v>
      </c>
      <c r="GM796" s="98">
        <f t="shared" si="4879"/>
        <v>6.0206248104337279</v>
      </c>
      <c r="GN796" s="16">
        <f>+GN118</f>
        <v>1327.3846153846155</v>
      </c>
      <c r="GO796" s="98">
        <f t="shared" si="4879"/>
        <v>23.415820340437719</v>
      </c>
      <c r="GP796" s="16">
        <f>+GP118</f>
        <v>1420.0220537251462</v>
      </c>
      <c r="GQ796" s="98">
        <f t="shared" si="4879"/>
        <v>6.9789447057655218</v>
      </c>
      <c r="GR796" s="16">
        <f>+GR118</f>
        <v>1486.5546478775359</v>
      </c>
      <c r="GS796" s="98">
        <f t="shared" si="4879"/>
        <v>4.6853211876431544</v>
      </c>
      <c r="GT796" s="16">
        <f t="shared" ref="GT796:GY796" si="4907">+GT118</f>
        <v>1510.2420396021735</v>
      </c>
      <c r="GU796" s="16">
        <f t="shared" si="4907"/>
        <v>1.5934423775444628</v>
      </c>
      <c r="GV796" s="16">
        <f t="shared" si="4907"/>
        <v>1536.9366381834079</v>
      </c>
      <c r="GW796" s="16">
        <f t="shared" si="4907"/>
        <v>1.7675708847481486</v>
      </c>
      <c r="GX796" s="16">
        <f t="shared" si="4907"/>
        <v>1566.3779397387625</v>
      </c>
      <c r="GY796" s="16">
        <f t="shared" si="4907"/>
        <v>1.9155832988764443</v>
      </c>
      <c r="GZ796" s="455"/>
      <c r="HA796" s="455"/>
      <c r="HC796"/>
      <c r="HD796"/>
      <c r="HE796"/>
      <c r="HF796"/>
      <c r="HG796"/>
      <c r="HH796"/>
    </row>
    <row r="797" spans="1:217" s="10" customFormat="1" ht="12.75" hidden="1" customHeight="1" outlineLevel="1" x14ac:dyDescent="0.2">
      <c r="A797" s="28" t="s">
        <v>137</v>
      </c>
      <c r="B797" s="10" t="s">
        <v>140</v>
      </c>
      <c r="C797" s="16"/>
      <c r="D797" s="16"/>
      <c r="E797" s="16"/>
      <c r="F797" s="16"/>
      <c r="G797" s="16"/>
      <c r="H797" s="16"/>
      <c r="I797" s="16"/>
      <c r="J797" s="16"/>
      <c r="K797" s="16"/>
      <c r="L797" s="440"/>
      <c r="M797" s="16"/>
      <c r="N797" s="440"/>
      <c r="O797" s="16"/>
      <c r="P797" s="440"/>
      <c r="Q797" s="16"/>
      <c r="R797" s="440"/>
      <c r="S797" s="16"/>
      <c r="T797" s="440"/>
      <c r="U797" s="16"/>
      <c r="V797" s="440"/>
      <c r="W797" s="16"/>
      <c r="X797" s="440"/>
      <c r="Y797" s="16"/>
      <c r="Z797" s="440"/>
      <c r="AA797" s="16"/>
      <c r="AB797" s="440"/>
      <c r="AC797" s="16"/>
      <c r="AD797" s="440"/>
      <c r="AE797" s="16"/>
      <c r="AF797" s="440"/>
      <c r="AG797" s="16"/>
      <c r="AH797" s="440"/>
      <c r="AI797" s="16"/>
      <c r="AJ797" s="440"/>
      <c r="AK797" s="16"/>
      <c r="AL797" s="440"/>
      <c r="AM797" s="16"/>
      <c r="AN797" s="440"/>
      <c r="AO797" s="16"/>
      <c r="AP797" s="440"/>
      <c r="AQ797" s="16"/>
      <c r="AR797" s="440"/>
      <c r="AS797" s="16"/>
      <c r="AT797" s="440"/>
      <c r="AU797" s="16"/>
      <c r="AV797" s="440"/>
      <c r="AW797" s="16"/>
      <c r="AX797" s="440"/>
      <c r="AY797" s="16"/>
      <c r="AZ797" s="440"/>
      <c r="BA797" s="16"/>
      <c r="BB797" s="440"/>
      <c r="BC797" s="16"/>
      <c r="BD797" s="440"/>
      <c r="BE797" s="16"/>
      <c r="BF797" s="440"/>
      <c r="BG797" s="16"/>
      <c r="BH797" s="440"/>
      <c r="BI797" s="16"/>
      <c r="BJ797" s="440"/>
      <c r="BK797" s="16"/>
      <c r="BL797" s="440"/>
      <c r="BM797" s="16"/>
      <c r="BN797" s="440"/>
      <c r="BO797" s="16"/>
      <c r="BP797" s="440"/>
      <c r="BQ797" s="16"/>
      <c r="BR797" s="440"/>
      <c r="BS797" s="16"/>
      <c r="BT797" s="440"/>
      <c r="BU797" s="16"/>
      <c r="BV797" s="440"/>
      <c r="BW797" s="16"/>
      <c r="BX797" s="440"/>
      <c r="BY797" s="16"/>
      <c r="BZ797" s="440"/>
      <c r="CA797" s="16"/>
      <c r="CB797" s="440"/>
      <c r="CC797" s="16"/>
      <c r="CD797" s="440"/>
      <c r="CE797" s="16"/>
      <c r="CF797" s="440"/>
      <c r="CG797" s="16"/>
      <c r="CH797" s="440"/>
      <c r="CI797" s="16"/>
      <c r="CJ797" s="440"/>
      <c r="CK797" s="16"/>
      <c r="CL797" s="440"/>
      <c r="CM797" s="16"/>
      <c r="CN797" s="440"/>
      <c r="CO797" s="16"/>
      <c r="CP797" s="440"/>
      <c r="CQ797" s="535"/>
      <c r="CR797" s="440"/>
      <c r="CS797" s="16"/>
      <c r="CT797" s="440"/>
      <c r="CU797" s="16"/>
      <c r="CV797" s="440"/>
      <c r="CW797" s="16"/>
      <c r="CX797" s="440"/>
      <c r="CY797" s="16"/>
      <c r="CZ797" s="440"/>
      <c r="DA797" s="16"/>
      <c r="DB797" s="440"/>
      <c r="DC797" s="16"/>
      <c r="DD797" s="440"/>
      <c r="DE797" s="16"/>
      <c r="DF797" s="440"/>
      <c r="DG797" s="16"/>
      <c r="DH797" s="440"/>
      <c r="DI797" s="16"/>
      <c r="DJ797" s="440"/>
      <c r="DK797" s="16"/>
      <c r="DL797" s="440"/>
      <c r="DM797" s="16"/>
      <c r="DN797" s="440"/>
      <c r="DO797" s="16"/>
      <c r="DP797" s="440"/>
      <c r="DQ797" s="16"/>
      <c r="DR797" s="440"/>
      <c r="DS797" s="16">
        <f>(DS582*1239/4506)+DS506*DS434/DS401</f>
        <v>295.38270741666724</v>
      </c>
      <c r="DT797" s="440"/>
      <c r="DU797" s="16">
        <f>(DU582*1239/4506)+DU506*DU434/DU401</f>
        <v>305.88723161442715</v>
      </c>
      <c r="DV797" s="440"/>
      <c r="DW797" s="16">
        <f>(DW582*1239/4506)+DW506*DW434/DW401</f>
        <v>240.76114969317715</v>
      </c>
      <c r="DX797" s="440"/>
      <c r="DY797" s="16">
        <f>(DY582*1239/4506)+DY506*DY434/DY401</f>
        <v>249.84900713476441</v>
      </c>
      <c r="DZ797" s="440"/>
      <c r="EA797" s="16">
        <f>(EA582*1239/4506)+EA506*EA434/EA401</f>
        <v>228.19624634144225</v>
      </c>
      <c r="EB797" s="440"/>
      <c r="EC797" s="16">
        <f>(EC582*1239/4506)+EC506*EC434/EC401</f>
        <v>219.72764432352537</v>
      </c>
      <c r="ED797" s="440"/>
      <c r="EE797" s="16">
        <f>(EE582*1239/4506)+EE506*EE434/EE401</f>
        <v>242.14212811265156</v>
      </c>
      <c r="EF797" s="16"/>
      <c r="EG797" s="16">
        <f>(EG582*1239/4506)+EG506*EG434/EG401</f>
        <v>241.62750778590569</v>
      </c>
      <c r="EH797" s="16"/>
      <c r="EI797" s="16">
        <f>(EI582*1239/4506)+EI506*EI434/EI401</f>
        <v>257.41148064130095</v>
      </c>
      <c r="EJ797" s="16"/>
      <c r="EK797" s="16">
        <f>(EK582*1239/4506)+EK506*EK434/EK401</f>
        <v>228.65605229765364</v>
      </c>
      <c r="EL797" s="16"/>
      <c r="EM797" s="16">
        <f>(EM582*1239/4506)+EM506*EM434/EM401</f>
        <v>174.13205897370756</v>
      </c>
      <c r="EN797" s="16"/>
      <c r="EO797" s="16">
        <f>(EO582*1239/4506)+EO506*EO434/EO401</f>
        <v>198.80068663664875</v>
      </c>
      <c r="EP797" s="440"/>
      <c r="EQ797" s="16">
        <f>(EQ582*1239/4506)+EQ506*EQ434/EQ401</f>
        <v>185.37874102430072</v>
      </c>
      <c r="ER797" s="440"/>
      <c r="ES797" s="16">
        <f>(ES582*1239/4506)+ES506*ES434/ES401</f>
        <v>183.79866823278121</v>
      </c>
      <c r="ET797" s="440"/>
      <c r="EU797" s="16">
        <f>(EU582*1239/4506)+EU506*EU434/EU401</f>
        <v>183.46119110610459</v>
      </c>
      <c r="EV797" s="440"/>
      <c r="EW797" s="16">
        <f>(EW582*1239/4506)+EW506*EW434/EW401</f>
        <v>182.63421211469378</v>
      </c>
      <c r="EX797" s="440"/>
      <c r="EY797" s="16"/>
      <c r="EZ797" s="607"/>
      <c r="FA797" s="427"/>
      <c r="FB797" s="16"/>
      <c r="FC797" s="16"/>
      <c r="FD797" s="16"/>
      <c r="FE797" s="440"/>
      <c r="FF797" s="16"/>
      <c r="FG797" s="440"/>
      <c r="FH797" s="16"/>
      <c r="FI797" s="440"/>
      <c r="FJ797" s="16"/>
      <c r="FK797" s="440"/>
      <c r="FL797" s="16"/>
      <c r="FM797" s="440"/>
      <c r="FN797" s="16"/>
      <c r="FO797" s="440"/>
      <c r="FP797" s="16"/>
      <c r="FQ797" s="440"/>
      <c r="FR797" s="16"/>
      <c r="FS797" s="440"/>
      <c r="FT797" s="16"/>
      <c r="FU797" s="440"/>
      <c r="FV797" s="16"/>
      <c r="FW797" s="440"/>
      <c r="FX797" s="535"/>
      <c r="FY797" s="440"/>
      <c r="FZ797" s="16"/>
      <c r="GA797" s="440"/>
      <c r="GB797" s="535"/>
      <c r="GC797" s="440"/>
      <c r="GD797" s="16"/>
      <c r="GE797" s="440"/>
      <c r="GF797" s="16"/>
      <c r="GG797" s="440"/>
      <c r="GH797" s="16"/>
      <c r="GI797" s="440"/>
      <c r="GJ797" s="16">
        <f>(GJ582*1239/4506)+GJ506*GJ434/GJ401</f>
        <v>1103.1008952270158</v>
      </c>
      <c r="GK797" s="440"/>
      <c r="GL797" s="16">
        <f>(GL582*1239/4506)+GL506*GL434/GL401</f>
        <v>936.73643803867606</v>
      </c>
      <c r="GM797" s="98">
        <f t="shared" si="4879"/>
        <v>-15.081526803955892</v>
      </c>
      <c r="GN797" s="16">
        <f>(GN582*1239/4506)+GN506*GN434/GN401</f>
        <v>860.98881369438686</v>
      </c>
      <c r="GO797" s="98">
        <f t="shared" si="4879"/>
        <v>-8.0863326404691183</v>
      </c>
      <c r="GP797" s="16">
        <f>(GP582*1239/4506)+GP506*GP434/GP401</f>
        <v>744.82658603209211</v>
      </c>
      <c r="GQ797" s="98">
        <f t="shared" si="4879"/>
        <v>-13.491723215759134</v>
      </c>
      <c r="GR797" s="16">
        <f>(GR582*1239/4506)+GR506*GR434/GR401</f>
        <v>704.80272753910151</v>
      </c>
      <c r="GS797" s="98">
        <f t="shared" si="4879"/>
        <v>-5.3735808097572502</v>
      </c>
      <c r="GT797" s="16">
        <f>(GT582*1239/4506)+GT506*GT434/GT401</f>
        <v>659.24846726647456</v>
      </c>
      <c r="GU797" s="440"/>
      <c r="GV797" s="16">
        <f>(GV582*1239/4506)+GV506*GV434/GV401</f>
        <v>613.59924499099486</v>
      </c>
      <c r="GW797" s="440"/>
      <c r="GX797" s="16">
        <f>(GX582*1239/4506)+GX506*GX434/GX401</f>
        <v>558.67309928185512</v>
      </c>
      <c r="GY797" s="440"/>
      <c r="GZ797" s="455"/>
      <c r="HA797" s="455"/>
      <c r="HC797"/>
      <c r="HD797"/>
      <c r="HE797"/>
      <c r="HF797"/>
      <c r="HG797"/>
      <c r="HH797"/>
    </row>
    <row r="798" spans="1:217" s="10" customFormat="1" ht="12.75" hidden="1" customHeight="1" outlineLevel="1" x14ac:dyDescent="0.2">
      <c r="A798" s="28" t="s">
        <v>561</v>
      </c>
      <c r="B798" s="10" t="s">
        <v>144</v>
      </c>
      <c r="C798" s="16"/>
      <c r="D798" s="16"/>
      <c r="E798" s="16"/>
      <c r="F798" s="16"/>
      <c r="G798" s="16"/>
      <c r="H798" s="16"/>
      <c r="I798" s="16"/>
      <c r="J798" s="16"/>
      <c r="K798" s="16"/>
      <c r="L798" s="440"/>
      <c r="M798" s="16"/>
      <c r="N798" s="440"/>
      <c r="O798" s="16"/>
      <c r="P798" s="440"/>
      <c r="Q798" s="16"/>
      <c r="R798" s="440"/>
      <c r="S798" s="16"/>
      <c r="T798" s="440"/>
      <c r="U798" s="16"/>
      <c r="V798" s="440"/>
      <c r="W798" s="16"/>
      <c r="X798" s="440"/>
      <c r="Y798" s="16"/>
      <c r="Z798" s="440"/>
      <c r="AA798" s="16"/>
      <c r="AB798" s="440"/>
      <c r="AC798" s="16"/>
      <c r="AD798" s="440"/>
      <c r="AE798" s="16"/>
      <c r="AF798" s="440"/>
      <c r="AG798" s="16"/>
      <c r="AH798" s="440"/>
      <c r="AI798" s="16"/>
      <c r="AJ798" s="440"/>
      <c r="AK798" s="16"/>
      <c r="AL798" s="440"/>
      <c r="AM798" s="16"/>
      <c r="AN798" s="440"/>
      <c r="AO798" s="16"/>
      <c r="AP798" s="440"/>
      <c r="AQ798" s="16"/>
      <c r="AR798" s="440"/>
      <c r="AS798" s="16"/>
      <c r="AT798" s="440"/>
      <c r="AU798" s="16"/>
      <c r="AV798" s="440"/>
      <c r="AW798" s="16"/>
      <c r="AX798" s="440"/>
      <c r="AY798" s="16"/>
      <c r="AZ798" s="440"/>
      <c r="BA798" s="16"/>
      <c r="BB798" s="440"/>
      <c r="BC798" s="16"/>
      <c r="BD798" s="440"/>
      <c r="BE798" s="16"/>
      <c r="BF798" s="440"/>
      <c r="BG798" s="16"/>
      <c r="BH798" s="440"/>
      <c r="BI798" s="16"/>
      <c r="BJ798" s="440"/>
      <c r="BK798" s="16"/>
      <c r="BL798" s="440"/>
      <c r="BM798" s="16"/>
      <c r="BN798" s="440"/>
      <c r="BO798" s="16"/>
      <c r="BP798" s="440"/>
      <c r="BQ798" s="16"/>
      <c r="BR798" s="440"/>
      <c r="BS798" s="16"/>
      <c r="BT798" s="440"/>
      <c r="BU798" s="16"/>
      <c r="BV798" s="440"/>
      <c r="BW798" s="16"/>
      <c r="BX798" s="440"/>
      <c r="BY798" s="16"/>
      <c r="BZ798" s="440"/>
      <c r="CA798" s="16"/>
      <c r="CB798" s="440"/>
      <c r="CC798" s="16"/>
      <c r="CD798" s="440"/>
      <c r="CE798" s="16"/>
      <c r="CF798" s="440"/>
      <c r="CG798" s="16"/>
      <c r="CH798" s="440"/>
      <c r="CI798" s="16"/>
      <c r="CJ798" s="440"/>
      <c r="CK798" s="16"/>
      <c r="CL798" s="440"/>
      <c r="CM798" s="579"/>
      <c r="CN798" s="578"/>
      <c r="CO798" s="579"/>
      <c r="CP798" s="578"/>
      <c r="CQ798" s="577"/>
      <c r="CR798" s="578"/>
      <c r="CS798" s="579"/>
      <c r="CT798" s="578"/>
      <c r="CU798" s="579"/>
      <c r="CV798" s="578"/>
      <c r="CW798" s="579"/>
      <c r="CX798" s="578"/>
      <c r="CY798" s="579"/>
      <c r="CZ798" s="578"/>
      <c r="DA798" s="579"/>
      <c r="DB798" s="578"/>
      <c r="DC798" s="579"/>
      <c r="DD798" s="578"/>
      <c r="DE798" s="579"/>
      <c r="DF798" s="578"/>
      <c r="DG798" s="579"/>
      <c r="DH798" s="578"/>
      <c r="DI798" s="579"/>
      <c r="DJ798" s="440"/>
      <c r="DK798" s="579"/>
      <c r="DL798" s="440"/>
      <c r="DM798" s="579"/>
      <c r="DN798" s="440"/>
      <c r="DO798" s="579"/>
      <c r="DP798" s="440"/>
      <c r="DQ798" s="579"/>
      <c r="DR798" s="440"/>
      <c r="DS798" s="579"/>
      <c r="DT798" s="440"/>
      <c r="DU798" s="579"/>
      <c r="DV798" s="440"/>
      <c r="DW798" s="579"/>
      <c r="DX798" s="440"/>
      <c r="DY798" s="579"/>
      <c r="DZ798" s="440"/>
      <c r="EA798" s="579"/>
      <c r="EB798" s="440"/>
      <c r="EC798" s="579"/>
      <c r="ED798" s="440"/>
      <c r="EE798" s="579"/>
      <c r="EF798" s="579"/>
      <c r="EG798" s="579"/>
      <c r="EH798" s="579"/>
      <c r="EI798" s="579"/>
      <c r="EJ798" s="579"/>
      <c r="EK798" s="579"/>
      <c r="EL798" s="579"/>
      <c r="EM798" s="579"/>
      <c r="EN798" s="579"/>
      <c r="EO798" s="579"/>
      <c r="EP798" s="440"/>
      <c r="EQ798" s="579"/>
      <c r="ER798" s="440"/>
      <c r="ES798" s="579"/>
      <c r="ET798" s="440"/>
      <c r="EU798" s="579"/>
      <c r="EV798" s="440"/>
      <c r="EW798" s="579"/>
      <c r="EX798" s="440"/>
      <c r="EY798" s="16"/>
      <c r="EZ798" s="607"/>
      <c r="FA798" s="427"/>
      <c r="FB798" s="16"/>
      <c r="FC798" s="16"/>
      <c r="FD798" s="16"/>
      <c r="FE798" s="440"/>
      <c r="FF798" s="16"/>
      <c r="FG798" s="440"/>
      <c r="FH798" s="16"/>
      <c r="FI798" s="440"/>
      <c r="FJ798" s="16"/>
      <c r="FK798" s="440"/>
      <c r="FL798" s="16"/>
      <c r="FM798" s="440"/>
      <c r="FN798" s="16"/>
      <c r="FO798" s="440"/>
      <c r="FP798" s="16"/>
      <c r="FQ798" s="440"/>
      <c r="FR798" s="16"/>
      <c r="FS798" s="440"/>
      <c r="FT798" s="16"/>
      <c r="FU798" s="440"/>
      <c r="FV798" s="16"/>
      <c r="FW798" s="440"/>
      <c r="FX798" s="535"/>
      <c r="FY798" s="440"/>
      <c r="FZ798" s="16"/>
      <c r="GA798" s="440"/>
      <c r="GB798" s="577"/>
      <c r="GC798" s="578"/>
      <c r="GD798" s="579"/>
      <c r="GE798" s="578"/>
      <c r="GF798" s="579"/>
      <c r="GG798" s="578"/>
      <c r="GH798" s="579"/>
      <c r="GI798" s="578"/>
      <c r="GJ798" s="579"/>
      <c r="GK798" s="578"/>
      <c r="GL798" s="579"/>
      <c r="GM798" s="578"/>
      <c r="GN798" s="579"/>
      <c r="GO798" s="578"/>
      <c r="GP798" s="579"/>
      <c r="GQ798" s="578"/>
      <c r="GR798" s="579"/>
      <c r="GS798" s="578"/>
      <c r="GT798" s="579"/>
      <c r="GU798" s="578"/>
      <c r="GV798" s="579"/>
      <c r="GW798" s="578"/>
      <c r="GX798" s="579"/>
      <c r="GY798" s="578"/>
      <c r="GZ798" s="455"/>
      <c r="HA798" s="455"/>
      <c r="HC798"/>
      <c r="HD798"/>
      <c r="HE798"/>
      <c r="HF798"/>
      <c r="HG798"/>
      <c r="HH798"/>
    </row>
    <row r="799" spans="1:217" s="10" customFormat="1" ht="12.75" hidden="1" customHeight="1" outlineLevel="1" x14ac:dyDescent="0.2">
      <c r="A799" s="28" t="s">
        <v>600</v>
      </c>
      <c r="B799" s="10" t="s">
        <v>141</v>
      </c>
      <c r="C799" s="16"/>
      <c r="D799" s="16"/>
      <c r="E799" s="16"/>
      <c r="F799" s="16"/>
      <c r="G799" s="16"/>
      <c r="H799" s="16"/>
      <c r="I799" s="16"/>
      <c r="J799" s="16"/>
      <c r="K799" s="16"/>
      <c r="L799" s="440"/>
      <c r="M799" s="16"/>
      <c r="N799" s="440"/>
      <c r="O799" s="16"/>
      <c r="P799" s="440"/>
      <c r="Q799" s="16"/>
      <c r="R799" s="440"/>
      <c r="S799" s="16">
        <f>S582</f>
        <v>0</v>
      </c>
      <c r="T799" s="440"/>
      <c r="U799" s="16">
        <f>U582</f>
        <v>0</v>
      </c>
      <c r="V799" s="440"/>
      <c r="W799" s="16">
        <f>W582</f>
        <v>0</v>
      </c>
      <c r="X799" s="440"/>
      <c r="Y799" s="16">
        <f>Y582</f>
        <v>0</v>
      </c>
      <c r="Z799" s="440"/>
      <c r="AA799" s="16">
        <f>AA582</f>
        <v>0</v>
      </c>
      <c r="AB799" s="440"/>
      <c r="AC799" s="16">
        <f>AC582</f>
        <v>0</v>
      </c>
      <c r="AD799" s="440"/>
      <c r="AE799" s="16">
        <f>AE582</f>
        <v>0</v>
      </c>
      <c r="AF799" s="440"/>
      <c r="AG799" s="16">
        <f>AG582</f>
        <v>0</v>
      </c>
      <c r="AH799" s="440"/>
      <c r="AI799" s="16">
        <f>AI582</f>
        <v>0</v>
      </c>
      <c r="AJ799" s="440"/>
      <c r="AK799" s="16">
        <f>AK582</f>
        <v>0</v>
      </c>
      <c r="AL799" s="440"/>
      <c r="AM799" s="16">
        <f>AM582</f>
        <v>0</v>
      </c>
      <c r="AN799" s="440"/>
      <c r="AO799" s="16">
        <f>AO582</f>
        <v>0</v>
      </c>
      <c r="AP799" s="440"/>
      <c r="AQ799" s="16">
        <f>AQ582</f>
        <v>0</v>
      </c>
      <c r="AR799" s="440"/>
      <c r="AS799" s="16">
        <f>AS582</f>
        <v>0</v>
      </c>
      <c r="AT799" s="440"/>
      <c r="AU799" s="16">
        <f>AU582</f>
        <v>0</v>
      </c>
      <c r="AV799" s="440"/>
      <c r="AW799" s="16">
        <f>AW582</f>
        <v>0</v>
      </c>
      <c r="AX799" s="440"/>
      <c r="AY799" s="16">
        <f>AY582</f>
        <v>0</v>
      </c>
      <c r="AZ799" s="440"/>
      <c r="BA799" s="16">
        <f>BA582</f>
        <v>0</v>
      </c>
      <c r="BB799" s="440"/>
      <c r="BC799" s="16">
        <f>BC582</f>
        <v>0</v>
      </c>
      <c r="BD799" s="440"/>
      <c r="BE799" s="16">
        <f>BE582</f>
        <v>0</v>
      </c>
      <c r="BF799" s="440"/>
      <c r="BG799" s="16">
        <f>BG582</f>
        <v>0</v>
      </c>
      <c r="BH799" s="440"/>
      <c r="BI799" s="16">
        <f>BI582</f>
        <v>0</v>
      </c>
      <c r="BJ799" s="440"/>
      <c r="BK799" s="16">
        <f>BK582</f>
        <v>0</v>
      </c>
      <c r="BL799" s="440"/>
      <c r="BM799" s="16">
        <f>BM582</f>
        <v>0</v>
      </c>
      <c r="BN799" s="440"/>
      <c r="BO799" s="16">
        <f>BO582</f>
        <v>0</v>
      </c>
      <c r="BP799" s="440"/>
      <c r="BQ799" s="16">
        <f>BQ582</f>
        <v>0</v>
      </c>
      <c r="BR799" s="440"/>
      <c r="BS799" s="16">
        <f>BS582</f>
        <v>0</v>
      </c>
      <c r="BT799" s="440"/>
      <c r="BU799" s="16">
        <f>BU582</f>
        <v>0</v>
      </c>
      <c r="BV799" s="440"/>
      <c r="BW799" s="16">
        <f>BW582</f>
        <v>0</v>
      </c>
      <c r="BX799" s="440"/>
      <c r="BY799" s="16">
        <f>BY582</f>
        <v>0</v>
      </c>
      <c r="BZ799" s="440"/>
      <c r="CA799" s="16">
        <f>CA582</f>
        <v>0</v>
      </c>
      <c r="CB799" s="440"/>
      <c r="CC799" s="16">
        <f>CC582</f>
        <v>0</v>
      </c>
      <c r="CD799" s="440"/>
      <c r="CE799" s="16">
        <f>CE582</f>
        <v>0</v>
      </c>
      <c r="CF799" s="440"/>
      <c r="CG799" s="16">
        <f>CG582</f>
        <v>0</v>
      </c>
      <c r="CH799" s="440"/>
      <c r="CI799" s="16">
        <f>CI582</f>
        <v>0</v>
      </c>
      <c r="CJ799" s="440"/>
      <c r="CK799" s="16">
        <f>CK582</f>
        <v>0</v>
      </c>
      <c r="CL799" s="440"/>
      <c r="CM799" s="16">
        <f>CM582</f>
        <v>0</v>
      </c>
      <c r="CN799" s="440"/>
      <c r="CO799" s="16">
        <f>CO582</f>
        <v>0</v>
      </c>
      <c r="CP799" s="440"/>
      <c r="CQ799" s="535">
        <f>CQ582</f>
        <v>0</v>
      </c>
      <c r="CR799" s="440"/>
      <c r="CS799" s="16">
        <f>CS582</f>
        <v>0</v>
      </c>
      <c r="CT799" s="440"/>
      <c r="CU799" s="16">
        <f>CU582</f>
        <v>0</v>
      </c>
      <c r="CV799" s="440"/>
      <c r="CW799" s="16">
        <f>CW582</f>
        <v>0</v>
      </c>
      <c r="CX799" s="440"/>
      <c r="CY799" s="16">
        <f>CY582</f>
        <v>0</v>
      </c>
      <c r="CZ799" s="440"/>
      <c r="DA799" s="16">
        <f>DA582</f>
        <v>0</v>
      </c>
      <c r="DB799" s="440"/>
      <c r="DC799" s="16">
        <f>DC582</f>
        <v>0</v>
      </c>
      <c r="DD799" s="440"/>
      <c r="DE799" s="16">
        <f>DE582</f>
        <v>0</v>
      </c>
      <c r="DF799" s="440"/>
      <c r="DG799" s="16">
        <f>DG582</f>
        <v>0</v>
      </c>
      <c r="DH799" s="440"/>
      <c r="DI799" s="16">
        <f>DI582</f>
        <v>0</v>
      </c>
      <c r="DJ799" s="440"/>
      <c r="DK799" s="16">
        <f>DK582</f>
        <v>0</v>
      </c>
      <c r="DL799" s="440"/>
      <c r="DM799" s="16">
        <f>DM582</f>
        <v>0</v>
      </c>
      <c r="DN799" s="440"/>
      <c r="DO799" s="16">
        <f>DO582</f>
        <v>0</v>
      </c>
      <c r="DP799" s="440"/>
      <c r="DQ799" s="16">
        <f>DQ582</f>
        <v>0</v>
      </c>
      <c r="DR799" s="440"/>
      <c r="DS799" s="16">
        <f>(DS582*2676/4506)+(DS506-DS506*DS434/DS401)</f>
        <v>239.61729258333276</v>
      </c>
      <c r="DT799" s="440"/>
      <c r="DU799" s="16">
        <f>(DU582*2676/4506)+(DU506-DU506*DU434/DU401)</f>
        <v>244.11276838557285</v>
      </c>
      <c r="DV799" s="440"/>
      <c r="DW799" s="16">
        <f>(DW582*2676/4506)+(DW506-DW506*DW434/DW401)</f>
        <v>185.23885030682285</v>
      </c>
      <c r="DX799" s="440"/>
      <c r="DY799" s="16">
        <f>(DY582*2676/4506)+(DY506-DY506*DY434/DY401)</f>
        <v>192.92022363446637</v>
      </c>
      <c r="DZ799" s="440"/>
      <c r="EA799" s="16">
        <f>(EA582*2676/4506)+(EA506-EA506*EA434/EA401)</f>
        <v>176.11144596625007</v>
      </c>
      <c r="EB799" s="440"/>
      <c r="EC799" s="16">
        <f>(EC582*2676/4506)+(EC506-EC506*EC434/EC401)</f>
        <v>171.96466336878231</v>
      </c>
      <c r="ED799" s="440"/>
      <c r="EE799" s="16">
        <f>(EE582*2676/4506)+(EE506-EE506*EE434/EE401)</f>
        <v>190.2424872719638</v>
      </c>
      <c r="EF799" s="16"/>
      <c r="EG799" s="16">
        <f>(EG582*2676/4506)+(EG506-EG506*EG434/EG401)</f>
        <v>185.37249221409431</v>
      </c>
      <c r="EH799" s="16"/>
      <c r="EI799" s="16">
        <f>(EI582*2676/4506)+(EI506-EI506*EI434/EI401)</f>
        <v>197.12698089716059</v>
      </c>
      <c r="EJ799" s="16"/>
      <c r="EK799" s="16">
        <f>(EK582*2676/4506)+(EK506-EK506*EK434/EK401)</f>
        <v>174.8824092408079</v>
      </c>
      <c r="EL799" s="16"/>
      <c r="EM799" s="16">
        <f>(EM582*2676/4506)+(EM506-EM506*EM434/EM401)</f>
        <v>133.09871025706167</v>
      </c>
      <c r="EN799" s="16"/>
      <c r="EO799" s="16">
        <f>(EO582*2676/4506)+(EO506-EO506*EO434/EO401)</f>
        <v>151.04546720950506</v>
      </c>
      <c r="EP799" s="440"/>
      <c r="EQ799" s="16">
        <f>(EQ582*2676/4506)+(EQ506-EQ506*EQ434/EQ401)</f>
        <v>136.25205028327906</v>
      </c>
      <c r="ER799" s="440"/>
      <c r="ES799" s="16">
        <f>(ES582*2676/4506)+(ES506-ES506*ES434/ES401)</f>
        <v>132.30075989443799</v>
      </c>
      <c r="ET799" s="440"/>
      <c r="EU799" s="16">
        <f>(EU582*2676/4506)+(EU506-EU506*EU434/EU401)</f>
        <v>129.3539919553092</v>
      </c>
      <c r="EV799" s="440"/>
      <c r="EW799" s="16">
        <f>(EW582*2676/4506)+(EW506-EW506*EW434/EW401)</f>
        <v>126.1606394669241</v>
      </c>
      <c r="EX799" s="440"/>
      <c r="EY799" s="16"/>
      <c r="EZ799" s="607"/>
      <c r="FA799" s="427"/>
      <c r="FB799" s="16">
        <f>FB582</f>
        <v>260</v>
      </c>
      <c r="FC799" s="16"/>
      <c r="FD799" s="16">
        <f>FD582</f>
        <v>312</v>
      </c>
      <c r="FE799" s="440"/>
      <c r="FF799" s="16">
        <f>FF582</f>
        <v>27</v>
      </c>
      <c r="FG799" s="440"/>
      <c r="FH799" s="16">
        <f>FH582</f>
        <v>98</v>
      </c>
      <c r="FI799" s="440"/>
      <c r="FJ799" s="16">
        <f>FJ582</f>
        <v>202</v>
      </c>
      <c r="FK799" s="440"/>
      <c r="FL799" s="16">
        <f>FL582</f>
        <v>382</v>
      </c>
      <c r="FM799" s="440"/>
      <c r="FN799" s="16">
        <f>FN582</f>
        <v>0</v>
      </c>
      <c r="FO799" s="440"/>
      <c r="FP799" s="16">
        <f>FP582</f>
        <v>0</v>
      </c>
      <c r="FQ799" s="440"/>
      <c r="FR799" s="16">
        <f>FR582</f>
        <v>0</v>
      </c>
      <c r="FS799" s="440"/>
      <c r="FT799" s="16">
        <f>FT582</f>
        <v>0</v>
      </c>
      <c r="FU799" s="440"/>
      <c r="FV799" s="16">
        <f>FV582</f>
        <v>307</v>
      </c>
      <c r="FW799" s="440"/>
      <c r="FX799" s="535">
        <f>FX582</f>
        <v>0</v>
      </c>
      <c r="FY799" s="440"/>
      <c r="FZ799" s="16">
        <f>FZ582</f>
        <v>0</v>
      </c>
      <c r="GA799" s="440"/>
      <c r="GB799" s="535">
        <f>GB582</f>
        <v>0</v>
      </c>
      <c r="GC799" s="440"/>
      <c r="GD799" s="16">
        <f>GD582</f>
        <v>0</v>
      </c>
      <c r="GE799" s="440"/>
      <c r="GF799" s="16">
        <f>GF582</f>
        <v>0</v>
      </c>
      <c r="GG799" s="440"/>
      <c r="GH799" s="16">
        <f>GH582</f>
        <v>0</v>
      </c>
      <c r="GI799" s="440"/>
      <c r="GJ799" s="16">
        <f>(GJ582*2676/4506)+(GJ506-GJ506*GJ434/GJ401)</f>
        <v>850.66833554221489</v>
      </c>
      <c r="GK799" s="440"/>
      <c r="GL799" s="16">
        <f>(GL582*2676/4506)+(GL506-GL506*GL434/GL401)</f>
        <v>718.64817734593919</v>
      </c>
      <c r="GM799" s="98">
        <f t="shared" si="4879"/>
        <v>-15.519580626229168</v>
      </c>
      <c r="GN799" s="16">
        <f>(GN582*2676/4506)+(GN506-GN506*GN434/GN401)</f>
        <v>654.16503245945933</v>
      </c>
      <c r="GO799" s="98">
        <f t="shared" si="4879"/>
        <v>-8.9728391331380664</v>
      </c>
      <c r="GP799" s="16">
        <f>(GP582*2676/4506)+(GP506-GP506*GP434/GP401)</f>
        <v>514.51366804573945</v>
      </c>
      <c r="GQ799" s="98">
        <f t="shared" si="4879"/>
        <v>-21.348032604046974</v>
      </c>
      <c r="GR799" s="16">
        <f>(GR582*2676/4506)+(GR506-GR506*GR434/GR401)</f>
        <v>438.76545166051972</v>
      </c>
      <c r="GS799" s="98">
        <f t="shared" si="4879"/>
        <v>-14.722294292575688</v>
      </c>
      <c r="GT799" s="16">
        <f>(GT582*2676/4506)+(GT506-GT506*GT434/GT401)</f>
        <v>371.21635908310009</v>
      </c>
      <c r="GU799" s="440"/>
      <c r="GV799" s="16">
        <f>(GV582*2676/4506)+(GV506-GV506*GV434/GV401)</f>
        <v>313.00336131750612</v>
      </c>
      <c r="GW799" s="440"/>
      <c r="GX799" s="16">
        <f>(GX582*2676/4506)+(GX506-GX506*GX434/GX401)</f>
        <v>258.07077395784529</v>
      </c>
      <c r="GY799" s="440"/>
      <c r="GZ799" s="455"/>
      <c r="HA799" s="455"/>
      <c r="HC799"/>
      <c r="HD799"/>
      <c r="HE799"/>
      <c r="HF799"/>
      <c r="HG799"/>
      <c r="HH799"/>
    </row>
    <row r="800" spans="1:217" s="10" customFormat="1" ht="12.75" hidden="1" customHeight="1" outlineLevel="1" x14ac:dyDescent="0.2">
      <c r="A800" s="28" t="s">
        <v>71</v>
      </c>
      <c r="B800" s="10" t="s">
        <v>143</v>
      </c>
      <c r="C800" s="16"/>
      <c r="D800" s="16"/>
      <c r="E800" s="16"/>
      <c r="F800" s="16"/>
      <c r="G800" s="16"/>
      <c r="H800" s="16"/>
      <c r="I800" s="16"/>
      <c r="J800" s="16"/>
      <c r="K800" s="16"/>
      <c r="L800" s="440"/>
      <c r="M800" s="16"/>
      <c r="N800" s="440"/>
      <c r="O800" s="16"/>
      <c r="P800" s="440"/>
      <c r="Q800" s="16"/>
      <c r="R800" s="440"/>
      <c r="S800" s="16">
        <f>S193</f>
        <v>173</v>
      </c>
      <c r="T800" s="440"/>
      <c r="U800" s="16">
        <f>U193</f>
        <v>206</v>
      </c>
      <c r="V800" s="440"/>
      <c r="W800" s="16">
        <f>W193</f>
        <v>157</v>
      </c>
      <c r="X800" s="440"/>
      <c r="Y800" s="16">
        <f>Y193</f>
        <v>163</v>
      </c>
      <c r="Z800" s="440"/>
      <c r="AA800" s="16">
        <f>AA193</f>
        <v>126</v>
      </c>
      <c r="AB800" s="440"/>
      <c r="AC800" s="16">
        <f>AC193</f>
        <v>185</v>
      </c>
      <c r="AD800" s="440"/>
      <c r="AE800" s="16">
        <f>AE193</f>
        <v>160</v>
      </c>
      <c r="AF800" s="440"/>
      <c r="AG800" s="16">
        <f>AG193</f>
        <v>194</v>
      </c>
      <c r="AH800" s="440"/>
      <c r="AI800" s="16">
        <f>AI193</f>
        <v>267</v>
      </c>
      <c r="AJ800" s="440"/>
      <c r="AK800" s="16">
        <f>AK193</f>
        <v>203</v>
      </c>
      <c r="AL800" s="440"/>
      <c r="AM800" s="16">
        <f>AM193</f>
        <v>210.69230769230768</v>
      </c>
      <c r="AN800" s="440"/>
      <c r="AO800" s="16">
        <f>AO193</f>
        <v>179.70925684485007</v>
      </c>
      <c r="AP800" s="440"/>
      <c r="AQ800" s="16">
        <f>AQ193</f>
        <v>220.30769230769232</v>
      </c>
      <c r="AR800" s="440"/>
      <c r="AS800" s="16">
        <f>AS193</f>
        <v>215</v>
      </c>
      <c r="AT800" s="440"/>
      <c r="AU800" s="16">
        <f>AU193</f>
        <v>257.84615384615387</v>
      </c>
      <c r="AV800" s="440"/>
      <c r="AW800" s="16">
        <f>AW193</f>
        <v>281.38461538461536</v>
      </c>
      <c r="AX800" s="440"/>
      <c r="AY800" s="16">
        <f>AY193</f>
        <v>327.30769230769232</v>
      </c>
      <c r="AZ800" s="440"/>
      <c r="BA800" s="16">
        <f>BA193</f>
        <v>299.61538461538464</v>
      </c>
      <c r="BB800" s="440"/>
      <c r="BC800" s="16">
        <f>BC193</f>
        <v>297.84615384615387</v>
      </c>
      <c r="BD800" s="440"/>
      <c r="BE800" s="16">
        <f>BE193</f>
        <v>332</v>
      </c>
      <c r="BF800" s="440"/>
      <c r="BG800" s="16">
        <f>BG193</f>
        <v>371.15384615384613</v>
      </c>
      <c r="BH800" s="440"/>
      <c r="BI800" s="16">
        <f>BI193</f>
        <v>362.69230769230768</v>
      </c>
      <c r="BJ800" s="440"/>
      <c r="BK800" s="16">
        <f>BK193</f>
        <v>360.46153846153845</v>
      </c>
      <c r="BL800" s="440"/>
      <c r="BM800" s="16">
        <f>BM193</f>
        <v>419.23076923076923</v>
      </c>
      <c r="BN800" s="440"/>
      <c r="BO800" s="16">
        <f>BO193</f>
        <v>481.92307692307691</v>
      </c>
      <c r="BP800" s="440"/>
      <c r="BQ800" s="16">
        <f>BQ193</f>
        <v>419.23076923076923</v>
      </c>
      <c r="BR800" s="440"/>
      <c r="BS800" s="16">
        <f>BS193</f>
        <v>370.38461538461536</v>
      </c>
      <c r="BT800" s="440"/>
      <c r="BU800" s="16">
        <f>BU193</f>
        <v>281.84615384615381</v>
      </c>
      <c r="BV800" s="440"/>
      <c r="BW800" s="16">
        <f>BW193</f>
        <v>308.30769230769226</v>
      </c>
      <c r="BX800" s="440"/>
      <c r="BY800" s="16">
        <f>BY193</f>
        <v>316.53846153846155</v>
      </c>
      <c r="BZ800" s="440"/>
      <c r="CA800" s="16">
        <f>CA193</f>
        <v>303.38461538461536</v>
      </c>
      <c r="CB800" s="440"/>
      <c r="CC800" s="16">
        <f>CC193</f>
        <v>266.15384615384613</v>
      </c>
      <c r="CD800" s="440"/>
      <c r="CE800" s="16">
        <f>CE193</f>
        <v>282.07692307692309</v>
      </c>
      <c r="CF800" s="440"/>
      <c r="CG800" s="16">
        <f>CG193</f>
        <v>287.15384615384619</v>
      </c>
      <c r="CH800" s="440"/>
      <c r="CI800" s="16">
        <f>CI193</f>
        <v>256.92307692307691</v>
      </c>
      <c r="CJ800" s="440"/>
      <c r="CK800" s="16">
        <f>CK193</f>
        <v>318.07692307692309</v>
      </c>
      <c r="CL800" s="440"/>
      <c r="CM800" s="16">
        <f>CM193</f>
        <v>402.38461538461536</v>
      </c>
      <c r="CN800" s="440"/>
      <c r="CO800" s="16">
        <f>CO193</f>
        <v>459</v>
      </c>
      <c r="CP800" s="440"/>
      <c r="CQ800" s="535">
        <f>CQ193</f>
        <v>396.46153846153845</v>
      </c>
      <c r="CR800" s="440"/>
      <c r="CS800" s="16">
        <f>CS193</f>
        <v>362.38461538461536</v>
      </c>
      <c r="CT800" s="440"/>
      <c r="CU800" s="16">
        <f>CU193</f>
        <v>459</v>
      </c>
      <c r="CV800" s="440"/>
      <c r="CW800" s="16">
        <f>CW193</f>
        <v>461.30769230769232</v>
      </c>
      <c r="CX800" s="440"/>
      <c r="CY800" s="16">
        <f>CY193</f>
        <v>466</v>
      </c>
      <c r="CZ800" s="440"/>
      <c r="DA800" s="16">
        <f>DA193</f>
        <v>419.76923076923077</v>
      </c>
      <c r="DB800" s="440"/>
      <c r="DC800" s="16">
        <f>DC193</f>
        <v>452</v>
      </c>
      <c r="DD800" s="440"/>
      <c r="DE800" s="16">
        <f>DE193</f>
        <v>521.69230769230774</v>
      </c>
      <c r="DF800" s="440"/>
      <c r="DG800" s="16">
        <f>DG193</f>
        <v>459</v>
      </c>
      <c r="DH800" s="440"/>
      <c r="DI800" s="16">
        <f>DI193</f>
        <v>519.84615384615381</v>
      </c>
      <c r="DJ800" s="440"/>
      <c r="DK800" s="16">
        <f>DK193</f>
        <v>498.92307692307691</v>
      </c>
      <c r="DL800" s="440"/>
      <c r="DM800" s="16">
        <f>DM193</f>
        <v>517.69230769230774</v>
      </c>
      <c r="DN800" s="440"/>
      <c r="DO800" s="16">
        <f>DO193</f>
        <v>554.23076923076928</v>
      </c>
      <c r="DP800" s="440"/>
      <c r="DQ800" s="16">
        <f>DQ193</f>
        <v>552</v>
      </c>
      <c r="DR800" s="440"/>
      <c r="DS800" s="16">
        <f>DS193</f>
        <v>470</v>
      </c>
      <c r="DT800" s="440"/>
      <c r="DU800" s="16">
        <f>DU193</f>
        <v>518</v>
      </c>
      <c r="DV800" s="440"/>
      <c r="DW800" s="16">
        <f>DW193</f>
        <v>397.61538461538464</v>
      </c>
      <c r="DX800" s="440"/>
      <c r="DY800" s="16">
        <f>DY193</f>
        <v>357.46153846153845</v>
      </c>
      <c r="DZ800" s="440"/>
      <c r="EA800" s="16">
        <f>EA193</f>
        <v>408.46153846153845</v>
      </c>
      <c r="EB800" s="440"/>
      <c r="EC800" s="16">
        <f>EC193</f>
        <v>434.38461538461536</v>
      </c>
      <c r="ED800" s="440"/>
      <c r="EE800" s="16">
        <f>EE193</f>
        <v>488.15384615384613</v>
      </c>
      <c r="EF800" s="16"/>
      <c r="EG800" s="16">
        <f>EG193</f>
        <v>449</v>
      </c>
      <c r="EH800" s="16"/>
      <c r="EI800" s="16">
        <f>EI193</f>
        <v>393.84615384615387</v>
      </c>
      <c r="EJ800" s="16"/>
      <c r="EK800" s="16">
        <f>EK193</f>
        <v>402</v>
      </c>
      <c r="EL800" s="16"/>
      <c r="EM800" s="16">
        <f>EM193</f>
        <v>381</v>
      </c>
      <c r="EN800" s="16"/>
      <c r="EO800" s="16">
        <f>EO193</f>
        <v>361.38461538461536</v>
      </c>
      <c r="EP800" s="440"/>
      <c r="EQ800" s="16">
        <f>EQ193</f>
        <v>365.47311858146668</v>
      </c>
      <c r="ER800" s="440"/>
      <c r="ES800" s="16">
        <f>ES193</f>
        <v>348.94691178908033</v>
      </c>
      <c r="ET800" s="440"/>
      <c r="EU800" s="16">
        <f>EU193</f>
        <v>332.98496412864688</v>
      </c>
      <c r="EV800" s="440"/>
      <c r="EW800" s="16">
        <f>EW193</f>
        <v>316.89486143146542</v>
      </c>
      <c r="EX800" s="440"/>
      <c r="EY800" s="16"/>
      <c r="EZ800" s="607"/>
      <c r="FA800" s="427"/>
      <c r="FB800" s="16">
        <f>FB193</f>
        <v>411</v>
      </c>
      <c r="FC800" s="16"/>
      <c r="FD800" s="16">
        <f>FD193</f>
        <v>391</v>
      </c>
      <c r="FE800" s="440"/>
      <c r="FF800" s="16">
        <f>FF193</f>
        <v>323</v>
      </c>
      <c r="FG800" s="440"/>
      <c r="FH800" s="16">
        <f>FH193</f>
        <v>574</v>
      </c>
      <c r="FI800" s="440"/>
      <c r="FJ800" s="16">
        <f>FJ193</f>
        <v>699</v>
      </c>
      <c r="FK800" s="440"/>
      <c r="FL800" s="16">
        <f>FL193</f>
        <v>665</v>
      </c>
      <c r="FM800" s="440"/>
      <c r="FN800" s="16">
        <f>FN193</f>
        <v>929</v>
      </c>
      <c r="FO800" s="440"/>
      <c r="FP800" s="16">
        <f>FP193</f>
        <v>974.53846153846155</v>
      </c>
      <c r="FQ800" s="440"/>
      <c r="FR800" s="16">
        <f>FR193</f>
        <v>1256.7692307692307</v>
      </c>
      <c r="FS800" s="440"/>
      <c r="FT800" s="16">
        <f>FT193</f>
        <v>1513.5384615384614</v>
      </c>
      <c r="FU800" s="440"/>
      <c r="FV800" s="16">
        <f>FV193</f>
        <v>1654.3846153846152</v>
      </c>
      <c r="FW800" s="440"/>
      <c r="FX800" s="535">
        <f>FX193</f>
        <v>1194.3846153846152</v>
      </c>
      <c r="FY800" s="440"/>
      <c r="FZ800" s="16">
        <f>FZ193</f>
        <v>1144.2307692307693</v>
      </c>
      <c r="GA800" s="440"/>
      <c r="GB800" s="535">
        <f>GB193</f>
        <v>1620.2307692307693</v>
      </c>
      <c r="GC800" s="440"/>
      <c r="GD800" s="16">
        <f>GD193</f>
        <v>1806.0769230769231</v>
      </c>
      <c r="GE800" s="440"/>
      <c r="GF800" s="16">
        <f>GF193</f>
        <v>1952.5384615384614</v>
      </c>
      <c r="GG800" s="440"/>
      <c r="GH800" s="16">
        <f>GH193</f>
        <v>2122.8461538461538</v>
      </c>
      <c r="GI800" s="440"/>
      <c r="GJ800" s="16">
        <f>GJ193</f>
        <v>1743.0769230769231</v>
      </c>
      <c r="GK800" s="440"/>
      <c r="GL800" s="16">
        <f>GL193</f>
        <v>1780</v>
      </c>
      <c r="GM800" s="98">
        <f t="shared" si="4879"/>
        <v>2.118270079435125</v>
      </c>
      <c r="GN800" s="16">
        <f>GN193</f>
        <v>1538.2307692307693</v>
      </c>
      <c r="GO800" s="98">
        <f t="shared" si="4879"/>
        <v>-13.58254105445117</v>
      </c>
      <c r="GP800" s="16">
        <f>GP193</f>
        <v>1364.2998559306579</v>
      </c>
      <c r="GQ800" s="98">
        <f t="shared" si="4879"/>
        <v>-11.307205445324032</v>
      </c>
      <c r="GR800" s="16">
        <f>GR193</f>
        <v>1361.4608540625741</v>
      </c>
      <c r="GS800" s="98">
        <f t="shared" si="4879"/>
        <v>-0.2080922207638336</v>
      </c>
      <c r="GT800" s="16">
        <f>GT193</f>
        <v>1384.1627286306993</v>
      </c>
      <c r="GU800" s="440"/>
      <c r="GV800" s="16">
        <f>GV193</f>
        <v>1408.0500047001206</v>
      </c>
      <c r="GW800" s="440"/>
      <c r="GX800" s="16">
        <f>GX193</f>
        <v>1441.1568751471077</v>
      </c>
      <c r="GY800" s="440"/>
      <c r="GZ800" s="455"/>
      <c r="HA800" s="455"/>
      <c r="HC800"/>
      <c r="HD800"/>
      <c r="HE800"/>
      <c r="HF800"/>
      <c r="HG800"/>
      <c r="HH800"/>
    </row>
    <row r="801" spans="1:217" s="10" customFormat="1" ht="12.75" hidden="1" customHeight="1" outlineLevel="1" x14ac:dyDescent="0.2">
      <c r="A801" s="28" t="s">
        <v>562</v>
      </c>
      <c r="B801" s="10" t="s">
        <v>145</v>
      </c>
      <c r="C801" s="16"/>
      <c r="D801" s="16"/>
      <c r="E801" s="16"/>
      <c r="F801" s="16"/>
      <c r="G801" s="16"/>
      <c r="H801" s="16"/>
      <c r="I801" s="16"/>
      <c r="J801" s="16"/>
      <c r="K801" s="16"/>
      <c r="L801" s="440"/>
      <c r="M801" s="16"/>
      <c r="N801" s="440"/>
      <c r="O801" s="16"/>
      <c r="P801" s="440"/>
      <c r="Q801" s="16"/>
      <c r="R801" s="440"/>
      <c r="S801" s="16"/>
      <c r="T801" s="440"/>
      <c r="U801" s="16"/>
      <c r="V801" s="440"/>
      <c r="W801" s="16"/>
      <c r="X801" s="440"/>
      <c r="Y801" s="16"/>
      <c r="Z801" s="440"/>
      <c r="AA801" s="16"/>
      <c r="AB801" s="440"/>
      <c r="AC801" s="16"/>
      <c r="AD801" s="440"/>
      <c r="AE801" s="16"/>
      <c r="AF801" s="440"/>
      <c r="AG801" s="16"/>
      <c r="AH801" s="440"/>
      <c r="AI801" s="16"/>
      <c r="AJ801" s="440"/>
      <c r="AK801" s="16"/>
      <c r="AL801" s="440"/>
      <c r="AM801" s="16"/>
      <c r="AN801" s="440"/>
      <c r="AO801" s="16"/>
      <c r="AP801" s="440"/>
      <c r="AQ801" s="16"/>
      <c r="AR801" s="440"/>
      <c r="AS801" s="16"/>
      <c r="AT801" s="440"/>
      <c r="AU801" s="16"/>
      <c r="AV801" s="440"/>
      <c r="AW801" s="16"/>
      <c r="AX801" s="440"/>
      <c r="AY801" s="16"/>
      <c r="AZ801" s="440"/>
      <c r="BA801" s="16"/>
      <c r="BB801" s="440"/>
      <c r="BC801" s="16"/>
      <c r="BD801" s="440"/>
      <c r="BE801" s="16"/>
      <c r="BF801" s="440"/>
      <c r="BG801" s="16"/>
      <c r="BH801" s="440"/>
      <c r="BI801" s="16"/>
      <c r="BJ801" s="440"/>
      <c r="BK801" s="16"/>
      <c r="BL801" s="440"/>
      <c r="BM801" s="16"/>
      <c r="BN801" s="440"/>
      <c r="BO801" s="16"/>
      <c r="BP801" s="440"/>
      <c r="BQ801" s="16"/>
      <c r="BR801" s="440"/>
      <c r="BS801" s="16"/>
      <c r="BT801" s="440"/>
      <c r="BU801" s="16"/>
      <c r="BV801" s="440"/>
      <c r="BW801" s="16"/>
      <c r="BX801" s="440"/>
      <c r="BY801" s="16"/>
      <c r="BZ801" s="440"/>
      <c r="CA801" s="16"/>
      <c r="CB801" s="440"/>
      <c r="CC801" s="16"/>
      <c r="CD801" s="440"/>
      <c r="CE801" s="16"/>
      <c r="CF801" s="440"/>
      <c r="CG801" s="16"/>
      <c r="CH801" s="440"/>
      <c r="CI801" s="16"/>
      <c r="CJ801" s="440"/>
      <c r="CK801" s="16"/>
      <c r="CL801" s="440"/>
      <c r="CM801" s="16"/>
      <c r="CN801" s="440"/>
      <c r="CO801" s="16"/>
      <c r="CP801" s="440"/>
      <c r="CQ801" s="535">
        <f t="shared" ref="CQ801:DB801" si="4908">CQ112</f>
        <v>227</v>
      </c>
      <c r="CR801" s="395" t="str">
        <f t="shared" si="4908"/>
        <v>NA</v>
      </c>
      <c r="CS801" s="395">
        <f t="shared" si="4908"/>
        <v>360</v>
      </c>
      <c r="CT801" s="395" t="str">
        <f t="shared" si="4908"/>
        <v>NA</v>
      </c>
      <c r="CU801" s="395">
        <f t="shared" si="4908"/>
        <v>366</v>
      </c>
      <c r="CV801" s="395" t="str">
        <f t="shared" si="4908"/>
        <v>NA</v>
      </c>
      <c r="CW801" s="395">
        <f t="shared" si="4908"/>
        <v>400</v>
      </c>
      <c r="CX801" s="395" t="str">
        <f t="shared" si="4908"/>
        <v>NA</v>
      </c>
      <c r="CY801" s="395">
        <f t="shared" si="4908"/>
        <v>428</v>
      </c>
      <c r="CZ801" s="395">
        <f t="shared" si="4908"/>
        <v>88.546255506607935</v>
      </c>
      <c r="DA801" s="395">
        <f t="shared" si="4908"/>
        <v>247</v>
      </c>
      <c r="DB801" s="395">
        <f t="shared" si="4908"/>
        <v>-31.388888888888889</v>
      </c>
      <c r="DC801" s="395"/>
      <c r="DD801" s="395">
        <f>DD112</f>
        <v>-5.1912568306010876</v>
      </c>
      <c r="DE801" s="395"/>
      <c r="DF801" s="395"/>
      <c r="DG801" s="395"/>
      <c r="DH801" s="395"/>
      <c r="DI801" s="395"/>
      <c r="DJ801" s="395"/>
      <c r="DK801" s="395"/>
      <c r="DL801" s="395"/>
      <c r="DM801" s="395"/>
      <c r="DN801" s="395"/>
      <c r="DO801" s="395"/>
      <c r="DP801" s="395"/>
      <c r="DQ801" s="395"/>
      <c r="DR801" s="395"/>
      <c r="DS801" s="395">
        <f>DS272</f>
        <v>106.61538461538461</v>
      </c>
      <c r="DT801" s="395"/>
      <c r="DU801" s="395">
        <f>DU272</f>
        <v>50</v>
      </c>
      <c r="DV801" s="395"/>
      <c r="DW801" s="395">
        <f>DW272</f>
        <v>57.769230769230774</v>
      </c>
      <c r="DX801" s="395"/>
      <c r="DY801" s="395">
        <f>DY272</f>
        <v>67.461538461538453</v>
      </c>
      <c r="DZ801" s="395"/>
      <c r="EA801" s="395">
        <f>EA272</f>
        <v>96</v>
      </c>
      <c r="EB801" s="395"/>
      <c r="EC801" s="395">
        <f>EC272</f>
        <v>2.0769230769230766</v>
      </c>
      <c r="ED801" s="395"/>
      <c r="EE801" s="395">
        <f>EE272</f>
        <v>46.769230769230774</v>
      </c>
      <c r="EF801" s="395"/>
      <c r="EG801" s="395">
        <f>EG272</f>
        <v>49</v>
      </c>
      <c r="EH801" s="395"/>
      <c r="EI801" s="395">
        <f>EI272</f>
        <v>94.153846153846146</v>
      </c>
      <c r="EJ801" s="395"/>
      <c r="EK801" s="395">
        <f>EK272</f>
        <v>26</v>
      </c>
      <c r="EL801" s="395"/>
      <c r="EM801" s="395">
        <f>EM272</f>
        <v>63</v>
      </c>
      <c r="EN801" s="395"/>
      <c r="EO801" s="395">
        <f>EO272</f>
        <v>133</v>
      </c>
      <c r="EP801" s="440"/>
      <c r="EQ801" s="395">
        <f>EQ272</f>
        <v>66.887290000000007</v>
      </c>
      <c r="ER801" s="440"/>
      <c r="ES801" s="395">
        <f>ES272</f>
        <v>62.14110967750014</v>
      </c>
      <c r="ET801" s="440"/>
      <c r="EU801" s="395">
        <f>EU272</f>
        <v>67.433349781854986</v>
      </c>
      <c r="EV801" s="440"/>
      <c r="EW801" s="395">
        <f>EW272</f>
        <v>122.36339018897002</v>
      </c>
      <c r="EX801" s="440"/>
      <c r="EY801" s="16"/>
      <c r="EZ801" s="607"/>
      <c r="FA801" s="427"/>
      <c r="FB801" s="16"/>
      <c r="FC801" s="16"/>
      <c r="FD801" s="16"/>
      <c r="FE801" s="440"/>
      <c r="FF801" s="16"/>
      <c r="FG801" s="440"/>
      <c r="FH801" s="16"/>
      <c r="FI801" s="440"/>
      <c r="FJ801" s="16"/>
      <c r="FK801" s="440"/>
      <c r="FL801" s="16"/>
      <c r="FM801" s="440"/>
      <c r="FN801" s="16"/>
      <c r="FO801" s="440"/>
      <c r="FP801" s="16"/>
      <c r="FQ801" s="440"/>
      <c r="FR801" s="16"/>
      <c r="FS801" s="440"/>
      <c r="FT801" s="16"/>
      <c r="FU801" s="440"/>
      <c r="FV801" s="16"/>
      <c r="FW801" s="440"/>
      <c r="FX801" s="535"/>
      <c r="FY801" s="440"/>
      <c r="FZ801" s="16"/>
      <c r="GA801" s="440"/>
      <c r="GB801" s="577"/>
      <c r="GC801" s="578"/>
      <c r="GD801" s="395"/>
      <c r="GE801" s="395"/>
      <c r="GF801" s="395"/>
      <c r="GG801" s="395"/>
      <c r="GH801" s="395"/>
      <c r="GI801" s="395"/>
      <c r="GJ801" s="395">
        <f>GJ272</f>
        <v>281.84615384615387</v>
      </c>
      <c r="GK801" s="395"/>
      <c r="GL801" s="395">
        <f>GL272</f>
        <v>193.84615384615384</v>
      </c>
      <c r="GM801" s="98">
        <f t="shared" si="4879"/>
        <v>-31.222707423580797</v>
      </c>
      <c r="GN801" s="395">
        <f>GN272</f>
        <v>316.15384615384613</v>
      </c>
      <c r="GO801" s="98">
        <f t="shared" si="4879"/>
        <v>63.095238095238095</v>
      </c>
      <c r="GP801" s="395">
        <f>GP272</f>
        <v>318.82513964832515</v>
      </c>
      <c r="GQ801" s="98">
        <f t="shared" si="4879"/>
        <v>0.84493468195199206</v>
      </c>
      <c r="GR801" s="395">
        <f>GR272</f>
        <v>362.83418790115684</v>
      </c>
      <c r="GS801" s="98">
        <f t="shared" si="4879"/>
        <v>13.803506304858871</v>
      </c>
      <c r="GT801" s="395">
        <f>GT272</f>
        <v>390.18086120932594</v>
      </c>
      <c r="GU801" s="395"/>
      <c r="GV801" s="395">
        <f>GV272</f>
        <v>416.11223711925504</v>
      </c>
      <c r="GW801" s="395"/>
      <c r="GX801" s="395">
        <f>GX272</f>
        <v>436.59909770987269</v>
      </c>
      <c r="GY801" s="395"/>
      <c r="GZ801" s="455"/>
      <c r="HA801" s="455"/>
      <c r="HC801"/>
      <c r="HD801"/>
      <c r="HE801"/>
      <c r="HF801"/>
      <c r="HG801"/>
      <c r="HH801"/>
    </row>
    <row r="802" spans="1:217" s="10" customFormat="1" ht="12.75" hidden="1" customHeight="1" outlineLevel="1" x14ac:dyDescent="0.2">
      <c r="A802" s="28" t="s">
        <v>563</v>
      </c>
      <c r="B802" s="10" t="s">
        <v>146</v>
      </c>
      <c r="C802" s="16"/>
      <c r="D802" s="16"/>
      <c r="E802" s="16"/>
      <c r="F802" s="16"/>
      <c r="G802" s="16"/>
      <c r="H802" s="16"/>
      <c r="I802" s="16"/>
      <c r="J802" s="16"/>
      <c r="K802" s="16"/>
      <c r="L802" s="440"/>
      <c r="M802" s="16"/>
      <c r="N802" s="440"/>
      <c r="O802" s="16"/>
      <c r="P802" s="440"/>
      <c r="Q802" s="16"/>
      <c r="R802" s="440"/>
      <c r="S802" s="16">
        <f>S373</f>
        <v>20</v>
      </c>
      <c r="T802" s="440"/>
      <c r="U802" s="16">
        <f>U373</f>
        <v>4</v>
      </c>
      <c r="V802" s="440"/>
      <c r="W802" s="16">
        <f>W373</f>
        <v>55</v>
      </c>
      <c r="X802" s="440"/>
      <c r="Y802" s="16">
        <f>Y373</f>
        <v>42</v>
      </c>
      <c r="Z802" s="440"/>
      <c r="AA802" s="16">
        <f>AA373</f>
        <v>42</v>
      </c>
      <c r="AB802" s="440"/>
      <c r="AC802" s="16">
        <f>AC373</f>
        <v>93</v>
      </c>
      <c r="AD802" s="440"/>
      <c r="AE802" s="16">
        <f>AE373</f>
        <v>54</v>
      </c>
      <c r="AF802" s="440"/>
      <c r="AG802" s="16">
        <f>AG373</f>
        <v>32</v>
      </c>
      <c r="AH802" s="440"/>
      <c r="AI802" s="16">
        <f>AI373</f>
        <v>65</v>
      </c>
      <c r="AJ802" s="440"/>
      <c r="AK802" s="16">
        <f>AK373</f>
        <v>54</v>
      </c>
      <c r="AL802" s="440"/>
      <c r="AM802" s="16">
        <f>AM373</f>
        <v>58.692307692307693</v>
      </c>
      <c r="AN802" s="440"/>
      <c r="AO802" s="16">
        <f>AO373</f>
        <v>40</v>
      </c>
      <c r="AP802" s="440"/>
      <c r="AQ802" s="16">
        <f>AQ373</f>
        <v>78.84615384615384</v>
      </c>
      <c r="AR802" s="440"/>
      <c r="AS802" s="16">
        <f>AS373</f>
        <v>74</v>
      </c>
      <c r="AT802" s="440"/>
      <c r="AU802" s="16">
        <f>AU373</f>
        <v>59</v>
      </c>
      <c r="AV802" s="440"/>
      <c r="AW802" s="16">
        <f>AW373</f>
        <v>44.692307692307693</v>
      </c>
      <c r="AX802" s="440"/>
      <c r="AY802" s="16">
        <f>AY373</f>
        <v>91.538461538461547</v>
      </c>
      <c r="AZ802" s="440"/>
      <c r="BA802" s="16">
        <f>BA373</f>
        <v>90.84615384615384</v>
      </c>
      <c r="BB802" s="440"/>
      <c r="BC802" s="16">
        <f>BC373</f>
        <v>122.15384615384616</v>
      </c>
      <c r="BD802" s="440"/>
      <c r="BE802" s="16">
        <f>BE373</f>
        <v>104.84615384615384</v>
      </c>
      <c r="BF802" s="440"/>
      <c r="BG802" s="16">
        <f>BG373</f>
        <v>144.84615384615384</v>
      </c>
      <c r="BH802" s="440"/>
      <c r="BI802" s="16">
        <f>BI373</f>
        <v>144.07692307692307</v>
      </c>
      <c r="BJ802" s="440"/>
      <c r="BK802" s="16">
        <f>BK373</f>
        <v>162.53846153846155</v>
      </c>
      <c r="BL802" s="440"/>
      <c r="BM802" s="16">
        <f>BM373</f>
        <v>59.307692307692321</v>
      </c>
      <c r="BN802" s="440"/>
      <c r="BO802" s="16">
        <f>BO373</f>
        <v>213.46153846153845</v>
      </c>
      <c r="BP802" s="440"/>
      <c r="BQ802" s="16">
        <f>BQ373</f>
        <v>195</v>
      </c>
      <c r="BR802" s="440"/>
      <c r="BS802" s="16">
        <f>BS373</f>
        <v>191.84615384615384</v>
      </c>
      <c r="BT802" s="440"/>
      <c r="BU802" s="16">
        <f>BU373</f>
        <v>148</v>
      </c>
      <c r="BV802" s="440"/>
      <c r="BW802" s="16">
        <f>BW373</f>
        <v>136.23076923076923</v>
      </c>
      <c r="BX802" s="440"/>
      <c r="BY802" s="16">
        <f>BY373</f>
        <v>183.84615384615384</v>
      </c>
      <c r="BZ802" s="440"/>
      <c r="CA802" s="16">
        <f>CA373</f>
        <v>165.46153846153845</v>
      </c>
      <c r="CB802" s="440"/>
      <c r="CC802" s="16">
        <f>CC373</f>
        <v>186.15384615384616</v>
      </c>
      <c r="CD802" s="440"/>
      <c r="CE802" s="16">
        <f>CE373</f>
        <v>224</v>
      </c>
      <c r="CF802" s="440"/>
      <c r="CG802" s="16">
        <f>CG373</f>
        <v>200.92307692307693</v>
      </c>
      <c r="CH802" s="440"/>
      <c r="CI802" s="16">
        <f>CI373</f>
        <v>121.76923076923077</v>
      </c>
      <c r="CJ802" s="440"/>
      <c r="CK802" s="16">
        <f>+CK305+CK373</f>
        <v>365.61538461538464</v>
      </c>
      <c r="CL802" s="440"/>
      <c r="CM802" s="16">
        <f>+CM305+CM373+CM338</f>
        <v>609</v>
      </c>
      <c r="CN802" s="440"/>
      <c r="CO802" s="16">
        <f>+CO305+CO373+CO338</f>
        <v>609.92307692307691</v>
      </c>
      <c r="CP802" s="440"/>
      <c r="CQ802" s="535">
        <f>+CQ305+CQ373+CQ338</f>
        <v>650.23076923076928</v>
      </c>
      <c r="CR802" s="440"/>
      <c r="CS802" s="16">
        <f>+CS305+CS373+CS338</f>
        <v>629</v>
      </c>
      <c r="CT802" s="440"/>
      <c r="CU802" s="16">
        <f>+CU305+CU373+CU338</f>
        <v>754.53846153846155</v>
      </c>
      <c r="CV802" s="440"/>
      <c r="CW802" s="16">
        <f>+CW305+CW373+CW338</f>
        <v>675.76923076923072</v>
      </c>
      <c r="CX802" s="440"/>
      <c r="CY802" s="16">
        <f>+CY305+CY373+CY338</f>
        <v>683</v>
      </c>
      <c r="CZ802" s="440"/>
      <c r="DA802" s="16">
        <f>+DA305+DA373+DA338</f>
        <v>655.38461538461536</v>
      </c>
      <c r="DB802" s="440"/>
      <c r="DC802" s="16">
        <f>+DC305+DC373+DC338</f>
        <v>783.61538461538464</v>
      </c>
      <c r="DD802" s="440"/>
      <c r="DE802" s="16">
        <f>+DE305+DE373+DE338</f>
        <v>726.23076923076928</v>
      </c>
      <c r="DF802" s="440"/>
      <c r="DG802" s="16">
        <f>+DG305+DG373+DG338</f>
        <v>735.76923076923072</v>
      </c>
      <c r="DH802" s="440"/>
      <c r="DI802" s="16">
        <f>+DI305+DI373+DI338</f>
        <v>725.53846153846155</v>
      </c>
      <c r="DJ802" s="440"/>
      <c r="DK802" s="16">
        <f>+DK305+DK373+DK338</f>
        <v>748</v>
      </c>
      <c r="DL802" s="440"/>
      <c r="DM802" s="16">
        <f>+DM305+DM373+DM338</f>
        <v>688</v>
      </c>
      <c r="DN802" s="440"/>
      <c r="DO802" s="16">
        <f>+DO305+DO373+DO338</f>
        <v>820.07692307692309</v>
      </c>
      <c r="DP802" s="440"/>
      <c r="DQ802" s="16">
        <f>+DQ305+DQ373+DQ338</f>
        <v>597.07692307692309</v>
      </c>
      <c r="DR802" s="440"/>
      <c r="DS802" s="16">
        <f>+DS373+DS338+DS305</f>
        <v>746</v>
      </c>
      <c r="DT802" s="440"/>
      <c r="DU802" s="16">
        <f>+DU373+DU338+DU305</f>
        <v>615.15384615384619</v>
      </c>
      <c r="DV802" s="440"/>
      <c r="DW802" s="16">
        <f>+DW373+DW338+DW305</f>
        <v>589.07692307692309</v>
      </c>
      <c r="DX802" s="440"/>
      <c r="DY802" s="16">
        <f>+DY373+DY338+DY305</f>
        <v>612.84615384615381</v>
      </c>
      <c r="DZ802" s="440"/>
      <c r="EA802" s="16">
        <f>+EA373+EA338+EA305</f>
        <v>695</v>
      </c>
      <c r="EB802" s="440"/>
      <c r="EC802" s="16">
        <f>+EC373+EC338+EC305</f>
        <v>734.15384615384619</v>
      </c>
      <c r="ED802" s="440"/>
      <c r="EE802" s="16">
        <f>+EE373+EE338+EE305</f>
        <v>787.76923076923072</v>
      </c>
      <c r="EF802" s="16"/>
      <c r="EG802" s="16">
        <f>+EG373+EG338+EG305</f>
        <v>690</v>
      </c>
      <c r="EH802" s="16"/>
      <c r="EI802" s="16">
        <f>+EI373+EI338+EI305</f>
        <v>715.15384615384619</v>
      </c>
      <c r="EJ802" s="16"/>
      <c r="EK802" s="16">
        <f>+EK373+EK338+EK305</f>
        <v>722.53846153846155</v>
      </c>
      <c r="EL802" s="16"/>
      <c r="EM802" s="16">
        <f>+EM373+EM338+EM305</f>
        <v>771.38461538461536</v>
      </c>
      <c r="EN802" s="16"/>
      <c r="EO802" s="16">
        <f>+EO373+EO338+EO305</f>
        <v>720</v>
      </c>
      <c r="EP802" s="440"/>
      <c r="EQ802" s="16">
        <f>+EQ373+EQ338+EQ305</f>
        <v>780.97381400309109</v>
      </c>
      <c r="ER802" s="440"/>
      <c r="ES802" s="16">
        <f>+ES373+ES338+ES305</f>
        <v>797.32316037713213</v>
      </c>
      <c r="ET802" s="440"/>
      <c r="EU802" s="16">
        <f>+EU373+EU338+EU305</f>
        <v>818.92337171233703</v>
      </c>
      <c r="EV802" s="440"/>
      <c r="EW802" s="16">
        <f>+EW373+EW338+EW305</f>
        <v>786.22533980589708</v>
      </c>
      <c r="EX802" s="440"/>
      <c r="EY802" s="16"/>
      <c r="EZ802" s="607"/>
      <c r="FA802" s="427"/>
      <c r="FB802" s="16">
        <f>+FB331+FB399+FB364</f>
        <v>35.438265786993398</v>
      </c>
      <c r="FC802" s="16"/>
      <c r="FD802" s="16">
        <f>+FD331+FD399+FD364</f>
        <v>39.163498098859314</v>
      </c>
      <c r="FE802" s="440"/>
      <c r="FF802" s="16">
        <f>+FF331+FF399+FF364</f>
        <v>36.615384615384613</v>
      </c>
      <c r="FG802" s="440"/>
      <c r="FH802" s="16">
        <f>+FH331+FH399+FH364</f>
        <v>34.704370179948583</v>
      </c>
      <c r="FI802" s="440"/>
      <c r="FJ802" s="16">
        <f>+FJ331+FJ399+FJ364</f>
        <v>26.760563380281688</v>
      </c>
      <c r="FK802" s="440"/>
      <c r="FL802" s="16">
        <f>+FL331+FL399+FL364</f>
        <v>28.475513428120063</v>
      </c>
      <c r="FM802" s="440"/>
      <c r="FN802" s="16">
        <f>+FN331+FN399+FN364</f>
        <v>32.60377358490566</v>
      </c>
      <c r="FO802" s="440"/>
      <c r="FP802" s="16">
        <f>+FP331+FP399+FP364</f>
        <v>36.318545053733807</v>
      </c>
      <c r="FQ802" s="440"/>
      <c r="FR802" s="16">
        <f>+FR331+FR399+FR364</f>
        <v>38.787744227353464</v>
      </c>
      <c r="FS802" s="440"/>
      <c r="FT802" s="16">
        <f>+FT331+FT399+FT364</f>
        <v>40.678598061148399</v>
      </c>
      <c r="FU802" s="440"/>
      <c r="FV802" s="16">
        <f>+FV331+FV399+FV364</f>
        <v>36.231129619989588</v>
      </c>
      <c r="FW802" s="440"/>
      <c r="FX802" s="535">
        <f>+FX331+FX399+FX364</f>
        <v>33.088909257561873</v>
      </c>
      <c r="FY802" s="440"/>
      <c r="FZ802" s="16">
        <f>+FZ331+FZ399+FZ364</f>
        <v>35.025062656641602</v>
      </c>
      <c r="GA802" s="440"/>
      <c r="GB802" s="535">
        <f>+GB331+GB399+GB364</f>
        <v>713.5542134023583</v>
      </c>
      <c r="GC802" s="440"/>
      <c r="GD802" s="16">
        <f>+GD331+GD399+GD364</f>
        <v>766.91485561178922</v>
      </c>
      <c r="GE802" s="440"/>
      <c r="GF802" s="16">
        <f>+GF331+GF399+GF364</f>
        <v>772.24710189139716</v>
      </c>
      <c r="GG802" s="440"/>
      <c r="GH802" s="16">
        <f>+GH331+GH399+GH364</f>
        <v>720.57370517928291</v>
      </c>
      <c r="GI802" s="440"/>
      <c r="GJ802" s="16">
        <f>+GJ373+GJ338+GJ305</f>
        <v>2563.0769230769229</v>
      </c>
      <c r="GK802" s="440"/>
      <c r="GL802" s="16">
        <f>+GL373+GL338+GL305</f>
        <v>2906.9230769230771</v>
      </c>
      <c r="GM802" s="98">
        <f t="shared" si="4879"/>
        <v>13.415366146458595</v>
      </c>
      <c r="GN802" s="16">
        <f>+GN373+GN338+GN305</f>
        <v>2929.0769230769229</v>
      </c>
      <c r="GO802" s="98">
        <f t="shared" si="4879"/>
        <v>0.76210637734848152</v>
      </c>
      <c r="GP802" s="16">
        <f>+GP373+GP338+GP305</f>
        <v>3183.4456858984595</v>
      </c>
      <c r="GQ802" s="98">
        <f t="shared" si="4879"/>
        <v>8.6842636605913626</v>
      </c>
      <c r="GR802" s="16">
        <f>+GR373+GR338+GR305</f>
        <v>3441.964204514039</v>
      </c>
      <c r="GS802" s="98">
        <f t="shared" si="4879"/>
        <v>8.1207139723076018</v>
      </c>
      <c r="GT802" s="16">
        <f>+GT373+GT338+GT305</f>
        <v>3639.9677096068363</v>
      </c>
      <c r="GU802" s="440"/>
      <c r="GV802" s="16">
        <f>+GV373+GV338+GV305</f>
        <v>3863.4908168673628</v>
      </c>
      <c r="GW802" s="440"/>
      <c r="GX802" s="16">
        <f>+GX373+GX338+GX305</f>
        <v>4025.8673305208654</v>
      </c>
      <c r="GY802" s="440"/>
      <c r="GZ802" s="455"/>
      <c r="HA802" s="455"/>
      <c r="HC802"/>
      <c r="HD802"/>
      <c r="HE802"/>
      <c r="HF802"/>
      <c r="HG802"/>
      <c r="HH802"/>
    </row>
    <row r="803" spans="1:217" s="10" customFormat="1" ht="12.75" hidden="1" customHeight="1" outlineLevel="1" x14ac:dyDescent="0.2">
      <c r="A803" s="28" t="s">
        <v>182</v>
      </c>
      <c r="C803" s="16"/>
      <c r="D803" s="16"/>
      <c r="E803" s="16"/>
      <c r="F803" s="16"/>
      <c r="G803" s="16"/>
      <c r="H803" s="16"/>
      <c r="I803" s="16"/>
      <c r="J803" s="16"/>
      <c r="K803" s="16"/>
      <c r="L803" s="440"/>
      <c r="M803" s="16"/>
      <c r="N803" s="440"/>
      <c r="O803" s="16"/>
      <c r="P803" s="440"/>
      <c r="Q803" s="16"/>
      <c r="R803" s="440"/>
      <c r="S803" s="16"/>
      <c r="T803" s="440"/>
      <c r="U803" s="16"/>
      <c r="V803" s="440"/>
      <c r="W803" s="16"/>
      <c r="X803" s="440"/>
      <c r="Y803" s="16"/>
      <c r="Z803" s="440"/>
      <c r="AA803" s="16"/>
      <c r="AB803" s="440"/>
      <c r="AC803" s="16"/>
      <c r="AD803" s="440"/>
      <c r="AE803" s="16"/>
      <c r="AF803" s="440"/>
      <c r="AG803" s="16"/>
      <c r="AH803" s="440"/>
      <c r="AI803" s="16"/>
      <c r="AJ803" s="440"/>
      <c r="AK803" s="16"/>
      <c r="AL803" s="440"/>
      <c r="AM803" s="16"/>
      <c r="AN803" s="440"/>
      <c r="AO803" s="16"/>
      <c r="AP803" s="440"/>
      <c r="AQ803" s="16"/>
      <c r="AR803" s="440"/>
      <c r="AS803" s="16"/>
      <c r="AT803" s="440"/>
      <c r="AU803" s="16"/>
      <c r="AV803" s="440"/>
      <c r="AW803" s="16"/>
      <c r="AX803" s="440"/>
      <c r="AY803" s="16"/>
      <c r="AZ803" s="440"/>
      <c r="BA803" s="16"/>
      <c r="BB803" s="440"/>
      <c r="BC803" s="16"/>
      <c r="BD803" s="440"/>
      <c r="BE803" s="16"/>
      <c r="BF803" s="440"/>
      <c r="BG803" s="16"/>
      <c r="BH803" s="440"/>
      <c r="BI803" s="16"/>
      <c r="BJ803" s="440"/>
      <c r="BK803" s="16"/>
      <c r="BL803" s="440"/>
      <c r="BM803" s="16"/>
      <c r="BN803" s="440"/>
      <c r="BO803" s="16"/>
      <c r="BP803" s="440"/>
      <c r="BQ803" s="16"/>
      <c r="BR803" s="440"/>
      <c r="BS803" s="16"/>
      <c r="BT803" s="440"/>
      <c r="BU803" s="16"/>
      <c r="BV803" s="440"/>
      <c r="BW803" s="16"/>
      <c r="BX803" s="440"/>
      <c r="BY803" s="16"/>
      <c r="BZ803" s="440"/>
      <c r="CA803" s="16"/>
      <c r="CB803" s="440"/>
      <c r="CC803" s="16"/>
      <c r="CD803" s="440"/>
      <c r="CE803" s="16"/>
      <c r="CF803" s="440"/>
      <c r="CG803" s="16"/>
      <c r="CH803" s="440"/>
      <c r="CI803" s="16"/>
      <c r="CJ803" s="440"/>
      <c r="CK803" s="16"/>
      <c r="CL803" s="440"/>
      <c r="CM803" s="579"/>
      <c r="CN803" s="578"/>
      <c r="CO803" s="579"/>
      <c r="CP803" s="578"/>
      <c r="CQ803" s="577"/>
      <c r="CR803" s="578"/>
      <c r="CS803" s="579"/>
      <c r="CT803" s="578"/>
      <c r="CU803" s="579"/>
      <c r="CV803" s="578"/>
      <c r="CW803" s="579"/>
      <c r="CX803" s="578"/>
      <c r="CY803" s="579"/>
      <c r="CZ803" s="578"/>
      <c r="DA803" s="579"/>
      <c r="DB803" s="578"/>
      <c r="DC803" s="579"/>
      <c r="DD803" s="578"/>
      <c r="DE803" s="579"/>
      <c r="DF803" s="578"/>
      <c r="DG803" s="579"/>
      <c r="DH803" s="578"/>
      <c r="DI803" s="579"/>
      <c r="DJ803" s="440"/>
      <c r="DK803" s="579"/>
      <c r="DL803" s="440"/>
      <c r="DM803" s="579"/>
      <c r="DN803" s="440"/>
      <c r="DO803" s="579"/>
      <c r="DP803" s="440"/>
      <c r="DQ803" s="579"/>
      <c r="DR803" s="440"/>
      <c r="DS803" s="579"/>
      <c r="DT803" s="440"/>
      <c r="DU803" s="579"/>
      <c r="DV803" s="440"/>
      <c r="DW803" s="579"/>
      <c r="DX803" s="440"/>
      <c r="DY803" s="579"/>
      <c r="DZ803" s="440"/>
      <c r="EA803" s="579"/>
      <c r="EB803" s="440"/>
      <c r="EC803" s="579"/>
      <c r="ED803" s="440"/>
      <c r="EE803" s="579"/>
      <c r="EF803" s="579"/>
      <c r="EG803" s="579"/>
      <c r="EH803" s="579"/>
      <c r="EI803" s="579"/>
      <c r="EJ803" s="579"/>
      <c r="EK803" s="579"/>
      <c r="EL803" s="579"/>
      <c r="EM803" s="579"/>
      <c r="EN803" s="579"/>
      <c r="EO803" s="579"/>
      <c r="EP803" s="440"/>
      <c r="EQ803" s="579"/>
      <c r="ER803" s="440"/>
      <c r="ES803" s="579"/>
      <c r="ET803" s="440"/>
      <c r="EU803" s="579"/>
      <c r="EV803" s="440"/>
      <c r="EW803" s="579"/>
      <c r="EX803" s="440"/>
      <c r="EY803" s="16"/>
      <c r="EZ803" s="607"/>
      <c r="FA803" s="427"/>
      <c r="FB803" s="16"/>
      <c r="FC803" s="16"/>
      <c r="FD803" s="16"/>
      <c r="FE803" s="440"/>
      <c r="FF803" s="16"/>
      <c r="FG803" s="440"/>
      <c r="FH803" s="16"/>
      <c r="FI803" s="440"/>
      <c r="FJ803" s="16"/>
      <c r="FK803" s="440"/>
      <c r="FL803" s="16"/>
      <c r="FM803" s="440"/>
      <c r="FN803" s="16"/>
      <c r="FO803" s="440"/>
      <c r="FP803" s="16"/>
      <c r="FQ803" s="440"/>
      <c r="FR803" s="16"/>
      <c r="FS803" s="440"/>
      <c r="FT803" s="16"/>
      <c r="FU803" s="440"/>
      <c r="FV803" s="16"/>
      <c r="FW803" s="440"/>
      <c r="FX803" s="535"/>
      <c r="FY803" s="440"/>
      <c r="FZ803" s="16"/>
      <c r="GA803" s="440"/>
      <c r="GB803" s="577"/>
      <c r="GC803" s="578"/>
      <c r="GD803" s="579"/>
      <c r="GE803" s="578"/>
      <c r="GF803" s="579"/>
      <c r="GG803" s="578"/>
      <c r="GH803" s="579"/>
      <c r="GI803" s="578"/>
      <c r="GJ803" s="579"/>
      <c r="GK803" s="578"/>
      <c r="GL803" s="579"/>
      <c r="GM803" s="578"/>
      <c r="GN803" s="579"/>
      <c r="GO803" s="578"/>
      <c r="GP803" s="579"/>
      <c r="GQ803" s="578"/>
      <c r="GR803" s="579"/>
      <c r="GS803" s="578"/>
      <c r="GT803" s="579"/>
      <c r="GU803" s="578"/>
      <c r="GV803" s="579"/>
      <c r="GW803" s="578"/>
      <c r="GX803" s="579"/>
      <c r="GY803" s="578"/>
      <c r="GZ803" s="455"/>
      <c r="HA803" s="455"/>
      <c r="HC803"/>
      <c r="HD803"/>
      <c r="HE803"/>
      <c r="HF803"/>
      <c r="HG803"/>
      <c r="HH803"/>
    </row>
    <row r="804" spans="1:217" s="10" customFormat="1" ht="12.75" hidden="1" customHeight="1" outlineLevel="1" x14ac:dyDescent="0.2">
      <c r="A804" s="28" t="s">
        <v>564</v>
      </c>
      <c r="B804" s="10" t="s">
        <v>339</v>
      </c>
      <c r="C804" s="16"/>
      <c r="D804" s="16"/>
      <c r="E804" s="16"/>
      <c r="F804" s="16"/>
      <c r="G804" s="16"/>
      <c r="H804" s="16"/>
      <c r="I804" s="16"/>
      <c r="J804" s="16"/>
      <c r="K804" s="16"/>
      <c r="L804" s="440"/>
      <c r="M804" s="16"/>
      <c r="N804" s="440"/>
      <c r="O804" s="16"/>
      <c r="P804" s="440"/>
      <c r="Q804" s="16"/>
      <c r="R804" s="440"/>
      <c r="S804" s="16">
        <f>S545</f>
        <v>-116.09000000000002</v>
      </c>
      <c r="T804" s="440"/>
      <c r="U804" s="16">
        <f>U545</f>
        <v>-5.9206349206349209</v>
      </c>
      <c r="V804" s="440"/>
      <c r="W804" s="16">
        <f>W545</f>
        <v>-102.76892430278885</v>
      </c>
      <c r="X804" s="440"/>
      <c r="Y804" s="16">
        <f>Y545</f>
        <v>-213.07189542483661</v>
      </c>
      <c r="Z804" s="440"/>
      <c r="AA804" s="16">
        <f>AA545</f>
        <v>-17.354260089686097</v>
      </c>
      <c r="AB804" s="440"/>
      <c r="AC804" s="16">
        <f>AC545</f>
        <v>56.408064516129038</v>
      </c>
      <c r="AD804" s="440"/>
      <c r="AE804" s="16">
        <f>AE545</f>
        <v>109.61038961038962</v>
      </c>
      <c r="AF804" s="440"/>
      <c r="AG804" s="16">
        <f>AG545</f>
        <v>2.8</v>
      </c>
      <c r="AH804" s="440"/>
      <c r="AI804" s="16">
        <f>AI545</f>
        <v>-24.74285714285714</v>
      </c>
      <c r="AJ804" s="440"/>
      <c r="AK804" s="16">
        <f>AK545</f>
        <v>-37.565876682064655</v>
      </c>
      <c r="AL804" s="440"/>
      <c r="AM804" s="16">
        <f>AM545</f>
        <v>20.173263629574315</v>
      </c>
      <c r="AN804" s="440"/>
      <c r="AO804" s="16">
        <f>AO545</f>
        <v>20.377622377622377</v>
      </c>
      <c r="AP804" s="440"/>
      <c r="AQ804" s="16">
        <f>AQ545</f>
        <v>-19.265581134194271</v>
      </c>
      <c r="AR804" s="440"/>
      <c r="AS804" s="16">
        <f>AS545</f>
        <v>4.7438549955791558</v>
      </c>
      <c r="AT804" s="440"/>
      <c r="AU804" s="16">
        <f>AU545</f>
        <v>-104.23461538461538</v>
      </c>
      <c r="AV804" s="440"/>
      <c r="AW804" s="16">
        <f>AW545</f>
        <v>-112.46596707422739</v>
      </c>
      <c r="AX804" s="440"/>
      <c r="AY804" s="16">
        <f>AY545</f>
        <v>-77.462213225371116</v>
      </c>
      <c r="AZ804" s="440"/>
      <c r="BA804" s="16">
        <f>BA545</f>
        <v>-69.818167604752972</v>
      </c>
      <c r="BB804" s="440"/>
      <c r="BC804" s="16">
        <f>BC545</f>
        <v>-26.896980889674001</v>
      </c>
      <c r="BD804" s="440"/>
      <c r="BE804" s="16">
        <f>BE545</f>
        <v>8.258064516129032</v>
      </c>
      <c r="BF804" s="440"/>
      <c r="BG804" s="16">
        <f>BG545</f>
        <v>19.640978245414466</v>
      </c>
      <c r="BH804" s="440"/>
      <c r="BI804" s="16">
        <f>BI545</f>
        <v>5.7760957577891219</v>
      </c>
      <c r="BJ804" s="440"/>
      <c r="BK804" s="16">
        <f>BK545</f>
        <v>15.33589052456977</v>
      </c>
      <c r="BL804" s="440"/>
      <c r="BM804" s="16">
        <f>BM545</f>
        <v>21.753130590339886</v>
      </c>
      <c r="BN804" s="440"/>
      <c r="BO804" s="16">
        <f>BO545</f>
        <v>-68.876219862227316</v>
      </c>
      <c r="BP804" s="440"/>
      <c r="BQ804" s="16">
        <f>BQ545</f>
        <v>-95.609921082299891</v>
      </c>
      <c r="BR804" s="440"/>
      <c r="BS804" s="16">
        <f>BS545</f>
        <v>-148.46153846153842</v>
      </c>
      <c r="BT804" s="440"/>
      <c r="BU804" s="16">
        <f>BU545</f>
        <v>1041.7152209492633</v>
      </c>
      <c r="BV804" s="440"/>
      <c r="BW804" s="16">
        <f>BW545</f>
        <v>960.82138200782288</v>
      </c>
      <c r="BX804" s="440"/>
      <c r="BY804" s="16">
        <f>BY545</f>
        <v>-1098.5314685314679</v>
      </c>
      <c r="BZ804" s="440"/>
      <c r="CA804" s="16">
        <f>CA545</f>
        <v>-901.60848806366073</v>
      </c>
      <c r="CB804" s="440"/>
      <c r="CC804" s="16">
        <f>CC545</f>
        <v>-158.22675504107542</v>
      </c>
      <c r="CD804" s="440"/>
      <c r="CE804" s="16">
        <f>CE545</f>
        <v>-65.763723971777679</v>
      </c>
      <c r="CF804" s="440"/>
      <c r="CG804" s="16">
        <f>CG545</f>
        <v>-136.37802197802199</v>
      </c>
      <c r="CH804" s="440"/>
      <c r="CI804" s="16">
        <f>CI545</f>
        <v>-170.59109311740895</v>
      </c>
      <c r="CJ804" s="440"/>
      <c r="CK804" s="16">
        <f>CK545</f>
        <v>-113.48759811616954</v>
      </c>
      <c r="CL804" s="440"/>
      <c r="CM804" s="16">
        <f>CM545</f>
        <v>-37.380963250399446</v>
      </c>
      <c r="CN804" s="440"/>
      <c r="CO804" s="16">
        <f>CO545</f>
        <v>-39.557661240213747</v>
      </c>
      <c r="CP804" s="440"/>
      <c r="CQ804" s="535">
        <f>CQ545</f>
        <v>-58.290993428681858</v>
      </c>
      <c r="CR804" s="440"/>
      <c r="CS804" s="16">
        <f>CS545</f>
        <v>-101.70920060331827</v>
      </c>
      <c r="CT804" s="440"/>
      <c r="CU804" s="16">
        <f>CU545</f>
        <v>-58.343630933992372</v>
      </c>
      <c r="CV804" s="440"/>
      <c r="CW804" s="16">
        <f>CW545</f>
        <v>-94.120300751879697</v>
      </c>
      <c r="CX804" s="440"/>
      <c r="CY804" s="16">
        <f>CY545</f>
        <v>-133.77236723193877</v>
      </c>
      <c r="CZ804" s="440"/>
      <c r="DA804" s="16">
        <f>DA545</f>
        <v>-179.82407407407408</v>
      </c>
      <c r="DB804" s="440"/>
      <c r="DC804" s="16">
        <f>DC545</f>
        <v>-119.26855763427884</v>
      </c>
      <c r="DD804" s="440"/>
      <c r="DE804" s="16">
        <f>DE545</f>
        <v>-178.24162223914701</v>
      </c>
      <c r="DF804" s="440"/>
      <c r="DG804" s="16">
        <f>DG545</f>
        <v>-221.4662295081967</v>
      </c>
      <c r="DH804" s="440"/>
      <c r="DI804" s="16">
        <f>DI545</f>
        <v>-230.64828925018202</v>
      </c>
      <c r="DJ804" s="440"/>
      <c r="DK804" s="16">
        <f>DK545</f>
        <v>-173.59528411287206</v>
      </c>
      <c r="DL804" s="440"/>
      <c r="DM804" s="16">
        <f>DM545</f>
        <v>-263.81801357186924</v>
      </c>
      <c r="DN804" s="440"/>
      <c r="DO804" s="16">
        <f>DO545</f>
        <v>-123.48571428571429</v>
      </c>
      <c r="DP804" s="440"/>
      <c r="DQ804" s="16">
        <f>DQ545</f>
        <v>-198.52912019826516</v>
      </c>
      <c r="DR804" s="440"/>
      <c r="DS804" s="16">
        <f>DS545+(DS582-DS582*3915/4506)</f>
        <v>-203.43055555555554</v>
      </c>
      <c r="DT804" s="440"/>
      <c r="DU804" s="16">
        <f>DU545+(DU582-DU582*3915/4506)</f>
        <v>-223.60863309352519</v>
      </c>
      <c r="DV804" s="440"/>
      <c r="DW804" s="16">
        <f>DW545+(DW582-DW582*3915/4506)</f>
        <v>-1547.1318681318685</v>
      </c>
      <c r="DX804" s="440"/>
      <c r="DY804" s="16">
        <f>DY545+(DY582-DY582*3915/4506)</f>
        <v>-226.65974334248202</v>
      </c>
      <c r="DZ804" s="440"/>
      <c r="EA804" s="16">
        <f>EA545+(EA582-EA582*3915/4506)</f>
        <v>-241.71321733821733</v>
      </c>
      <c r="EB804" s="440"/>
      <c r="EC804" s="16">
        <f>EC545+(EC582-EC582*3915/4506)</f>
        <v>-311.25869963369968</v>
      </c>
      <c r="ED804" s="440"/>
      <c r="EE804" s="16">
        <f>EE545+(EE582-EE582*3915/4506)</f>
        <v>16.672356299101338</v>
      </c>
      <c r="EF804" s="16"/>
      <c r="EG804" s="16">
        <f>EG545+(EG582-EG582*3915/4506)</f>
        <v>-239.10148975791435</v>
      </c>
      <c r="EH804" s="16"/>
      <c r="EI804" s="16">
        <f>EI545+(EI582-EI582*3915/4506)</f>
        <v>-80.026387089174236</v>
      </c>
      <c r="EJ804" s="16"/>
      <c r="EK804" s="16">
        <f>EK545+(EK582-EK582*3915/4506)</f>
        <v>-167.62546187437019</v>
      </c>
      <c r="EL804" s="16"/>
      <c r="EM804" s="16">
        <f>EM545+(EM582-EM582*3915/4506)</f>
        <v>-257.72909698996659</v>
      </c>
      <c r="EN804" s="16"/>
      <c r="EO804" s="16">
        <f>EO545+(EO582-EO582*3915/4506)</f>
        <v>-359.40765842087444</v>
      </c>
      <c r="EP804" s="440"/>
      <c r="EQ804" s="16">
        <f>EQ545+(EQ582-EQ582*3915/4506)</f>
        <v>-247.92890436280251</v>
      </c>
      <c r="ER804" s="440"/>
      <c r="ES804" s="16">
        <f t="shared" ref="ES804" si="4909">ES545+(ES582-ES582*3915/4506)</f>
        <v>-249.33066666310665</v>
      </c>
      <c r="ET804" s="440"/>
      <c r="EU804" s="16">
        <f t="shared" ref="EU804" si="4910">EU545+(EU582-EU582*3915/4506)</f>
        <v>-250.76548734901192</v>
      </c>
      <c r="EV804" s="440"/>
      <c r="EW804" s="16">
        <f t="shared" ref="EW804" si="4911">EW545+(EW582-EW582*3915/4506)</f>
        <v>-251.65910141054385</v>
      </c>
      <c r="EX804" s="440"/>
      <c r="EY804" s="16"/>
      <c r="EZ804" s="607"/>
      <c r="FA804" s="427"/>
      <c r="FB804" s="16">
        <f>FB546</f>
        <v>0</v>
      </c>
      <c r="FC804" s="16"/>
      <c r="FD804" s="16">
        <f>FD546</f>
        <v>0</v>
      </c>
      <c r="FE804" s="440"/>
      <c r="FF804" s="16">
        <f>FF546</f>
        <v>0</v>
      </c>
      <c r="FG804" s="440"/>
      <c r="FH804" s="16">
        <f>FH546</f>
        <v>0</v>
      </c>
      <c r="FI804" s="440"/>
      <c r="FJ804" s="16">
        <f>FJ546</f>
        <v>0</v>
      </c>
      <c r="FK804" s="440"/>
      <c r="FL804" s="16">
        <f>FL546</f>
        <v>0</v>
      </c>
      <c r="FM804" s="440"/>
      <c r="FN804" s="16">
        <f>FN546</f>
        <v>0</v>
      </c>
      <c r="FO804" s="440"/>
      <c r="FP804" s="16">
        <f>FP546</f>
        <v>0</v>
      </c>
      <c r="FQ804" s="440"/>
      <c r="FR804" s="16">
        <f>FR546</f>
        <v>0</v>
      </c>
      <c r="FS804" s="440"/>
      <c r="FT804" s="16">
        <f>FT546</f>
        <v>0</v>
      </c>
      <c r="FU804" s="440"/>
      <c r="FV804" s="16">
        <f>FV546</f>
        <v>0</v>
      </c>
      <c r="FW804" s="440"/>
      <c r="FX804" s="535">
        <f>FX546</f>
        <v>0</v>
      </c>
      <c r="FY804" s="440"/>
      <c r="FZ804" s="16">
        <f>FZ546</f>
        <v>0</v>
      </c>
      <c r="GA804" s="440"/>
      <c r="GB804" s="535">
        <f>GB546</f>
        <v>0</v>
      </c>
      <c r="GC804" s="440"/>
      <c r="GD804" s="16">
        <f>GD546</f>
        <v>0</v>
      </c>
      <c r="GE804" s="440"/>
      <c r="GF804" s="16">
        <f>GF546</f>
        <v>0</v>
      </c>
      <c r="GG804" s="440"/>
      <c r="GH804" s="16">
        <f>GH546</f>
        <v>0</v>
      </c>
      <c r="GI804" s="440"/>
      <c r="GJ804" s="16">
        <f>GJ545+(GJ582-GJ582*3915/4506)</f>
        <v>-849.42350040466022</v>
      </c>
      <c r="GK804" s="440"/>
      <c r="GL804" s="16">
        <f>GL545+(GL582-GL582*3915/4506)</f>
        <v>-771.41532853537728</v>
      </c>
      <c r="GM804" s="98">
        <f t="shared" si="4879"/>
        <v>-9.1836606630403281</v>
      </c>
      <c r="GN804" s="16">
        <f>GN545+(GN582-GN582*3915/4506)</f>
        <v>-694.27562286627449</v>
      </c>
      <c r="GO804" s="98">
        <f t="shared" si="4879"/>
        <v>-9.9997631386923089</v>
      </c>
      <c r="GP804" s="16">
        <f>GP545+(GP582-GP582*3915/4506)</f>
        <v>-999.6829008286004</v>
      </c>
      <c r="GQ804" s="98">
        <f t="shared" si="4879"/>
        <v>43.989341970768116</v>
      </c>
      <c r="GR804" s="16">
        <f>GR545+(GR582-GR582*3915/4506)</f>
        <v>-1015.3036225561477</v>
      </c>
      <c r="GS804" s="98">
        <f t="shared" si="4879"/>
        <v>1.5625676616654927</v>
      </c>
      <c r="GT804" s="16">
        <f>GT545+(GT582-GT582*3915/4506)</f>
        <v>-915.38565271513062</v>
      </c>
      <c r="GU804" s="440"/>
      <c r="GV804" s="16">
        <f>GV545+(GV582-GV582*3915/4506)</f>
        <v>-901.57732325318477</v>
      </c>
      <c r="GW804" s="440"/>
      <c r="GX804" s="16">
        <f>GX545+(GX582-GX582*3915/4506)</f>
        <v>-887.46328130787208</v>
      </c>
      <c r="GY804" s="440"/>
      <c r="GZ804" s="455"/>
      <c r="HA804" s="455"/>
      <c r="HC804"/>
      <c r="HD804"/>
      <c r="HE804"/>
      <c r="HF804"/>
      <c r="HG804"/>
      <c r="HH804"/>
    </row>
    <row r="805" spans="1:217" s="10" customFormat="1" ht="12.75" hidden="1" customHeight="1" outlineLevel="1" x14ac:dyDescent="0.2">
      <c r="A805" s="28"/>
      <c r="B805" s="10" t="s">
        <v>300</v>
      </c>
      <c r="C805" s="16"/>
      <c r="D805" s="16"/>
      <c r="E805" s="16"/>
      <c r="F805" s="16"/>
      <c r="G805" s="16"/>
      <c r="H805" s="16"/>
      <c r="I805" s="16"/>
      <c r="J805" s="16"/>
      <c r="K805" s="16"/>
      <c r="L805" s="440"/>
      <c r="M805" s="16"/>
      <c r="N805" s="440"/>
      <c r="O805" s="16"/>
      <c r="P805" s="440"/>
      <c r="Q805" s="16"/>
      <c r="R805" s="440"/>
      <c r="S805" s="16"/>
      <c r="T805" s="440"/>
      <c r="U805" s="16"/>
      <c r="V805" s="440"/>
      <c r="W805" s="16"/>
      <c r="X805" s="440"/>
      <c r="Y805" s="16"/>
      <c r="Z805" s="440"/>
      <c r="AA805" s="16"/>
      <c r="AB805" s="440"/>
      <c r="AC805" s="16"/>
      <c r="AD805" s="440"/>
      <c r="AE805" s="16"/>
      <c r="AF805" s="440"/>
      <c r="AG805" s="16"/>
      <c r="AH805" s="440"/>
      <c r="AI805" s="16"/>
      <c r="AJ805" s="440"/>
      <c r="AK805" s="16"/>
      <c r="AL805" s="440"/>
      <c r="AM805" s="16"/>
      <c r="AN805" s="440"/>
      <c r="AO805" s="16"/>
      <c r="AP805" s="1149"/>
      <c r="AQ805" s="395"/>
      <c r="AR805" s="1149"/>
      <c r="AS805" s="395"/>
      <c r="AT805" s="1149"/>
      <c r="AU805" s="395"/>
      <c r="AV805" s="1149"/>
      <c r="AW805" s="395"/>
      <c r="AX805" s="1149"/>
      <c r="AY805" s="395"/>
      <c r="AZ805" s="1149"/>
      <c r="BA805" s="395"/>
      <c r="BB805" s="1149"/>
      <c r="BC805" s="395"/>
      <c r="BD805" s="1149"/>
      <c r="BE805" s="395"/>
      <c r="BF805" s="1149"/>
      <c r="BG805" s="395"/>
      <c r="BH805" s="1149"/>
      <c r="BI805" s="395"/>
      <c r="BJ805" s="1149"/>
      <c r="BK805" s="395"/>
      <c r="BL805" s="1149"/>
      <c r="BM805" s="395"/>
      <c r="BN805" s="1149"/>
      <c r="BO805" s="395">
        <f>BO796+BO797+BO799+BO800+BO802+BO804</f>
        <v>626.50839552238801</v>
      </c>
      <c r="BP805" s="1149"/>
      <c r="BQ805" s="395">
        <f>BQ796+BQ797+BQ799+BQ800+BQ802+BQ804</f>
        <v>518.62084814846935</v>
      </c>
      <c r="BR805" s="1149"/>
      <c r="BS805" s="395">
        <f>BS796+BS797+BS799+BS800+BS802+BS804</f>
        <v>413.76923076923072</v>
      </c>
      <c r="BT805" s="1149"/>
      <c r="BU805" s="395">
        <f>BU796+BU797+BU799+BU800+BU802+BU804</f>
        <v>1471.5613747954171</v>
      </c>
      <c r="BV805" s="1149"/>
      <c r="BW805" s="395">
        <f>BW796+BW797+BW799+BW800+BW802+BW804</f>
        <v>1405.3598435462843</v>
      </c>
      <c r="BX805" s="1149"/>
      <c r="BY805" s="395">
        <f>BY796+BY797+BY799+BY800+BY802+BY804</f>
        <v>-598.14685314685255</v>
      </c>
      <c r="BZ805" s="1149"/>
      <c r="CA805" s="395">
        <f>CA796+CA797+CA799+CA800+CA802+CA804</f>
        <v>-432.76233421750692</v>
      </c>
      <c r="CB805" s="1149"/>
      <c r="CC805" s="395">
        <f>CC796+CC797+CC799+CC800+CC802+CC804</f>
        <v>294.08093726661684</v>
      </c>
      <c r="CD805" s="1149"/>
      <c r="CE805" s="395">
        <f>CE796+CE797+CE799+CE800+CE802+CE804</f>
        <v>440.31319910514543</v>
      </c>
      <c r="CF805" s="1149"/>
      <c r="CG805" s="395">
        <f>CG796+CG797+CG799+CG800+CG802+CG804</f>
        <v>351.6989010989011</v>
      </c>
      <c r="CH805" s="1149"/>
      <c r="CI805" s="395">
        <f>CI796+CI797+CI799+CI800+CI802+CI804</f>
        <v>208.10121457489873</v>
      </c>
      <c r="CJ805" s="1149"/>
      <c r="CK805" s="395">
        <f>CK796+CK797+CK799+CK800+CK802+CK804</f>
        <v>570.20470957613816</v>
      </c>
      <c r="CL805" s="1149"/>
      <c r="CM805" s="395">
        <f>CM796+CM797+CM799+CM800+CM802+CM804</f>
        <v>974.00365213421594</v>
      </c>
      <c r="CN805" s="1149"/>
      <c r="CO805" s="395">
        <f>CO796+CO797+CO799+CO800+CO802+CO804</f>
        <v>1029.3654156828632</v>
      </c>
      <c r="CP805" s="440"/>
      <c r="CQ805" s="535">
        <f>CQ796+CQ797+CQ799+CQ800+CQ802+CQ804</f>
        <v>1215.4013142636259</v>
      </c>
      <c r="CR805" s="535"/>
      <c r="CS805" s="395">
        <f>CS796+CS797+CS799+CS800+CS802+CS804</f>
        <v>1249.6754147812969</v>
      </c>
      <c r="CT805" s="395"/>
      <c r="CU805" s="395">
        <f>CU796+CU797+CU799+CU800+CU802+CU804</f>
        <v>1521.194830604469</v>
      </c>
      <c r="CV805" s="395"/>
      <c r="CW805" s="395">
        <f>CW796+CW797+CW799+CW800+CW802+CW804</f>
        <v>1442.9566223250433</v>
      </c>
      <c r="CX805" s="395"/>
      <c r="CY805" s="395">
        <f>CY796+CY797+CY799+CY800+CY802+CY804</f>
        <v>1417.0737866142151</v>
      </c>
      <c r="CZ805" s="395"/>
      <c r="DA805" s="395">
        <f>DA796+DA797+DA799+DA800+DA802+DA804</f>
        <v>1214.6374643874644</v>
      </c>
      <c r="DB805" s="395"/>
      <c r="DC805" s="395">
        <f>DC796+DC797+DC799+DC800+DC802+DC804</f>
        <v>1469.5006731349522</v>
      </c>
      <c r="DD805" s="395" t="e">
        <f>+DD582+DD193+DD118+DD373+DD305+DD545+DD338</f>
        <v>#VALUE!</v>
      </c>
      <c r="DE805" s="395">
        <f>DE796+DE797+DE799+DE800+DE802+DE804</f>
        <v>1465.2199162223915</v>
      </c>
      <c r="DF805" s="395">
        <f>+DF582+DF193+DF118+DF373+DF305+DF545+DF338</f>
        <v>89.446036554107309</v>
      </c>
      <c r="DG805" s="395">
        <f>DG796+DG797+DG799+DG800+DG802+DG804</f>
        <v>1296.3799243379572</v>
      </c>
      <c r="DH805" s="395">
        <f>+DH582+DH193+DH118+DH373+DH305+DH545+DH338</f>
        <v>66.384656606735291</v>
      </c>
      <c r="DI805" s="395">
        <f>DI796+DI797+DI799+DI800+DI802+DI804</f>
        <v>1339.1209415190488</v>
      </c>
      <c r="DJ805" s="440"/>
      <c r="DK805" s="395">
        <f>DK796+DK797+DK799+DK800+DK802+DK804</f>
        <v>1362.7893312717431</v>
      </c>
      <c r="DL805" s="440"/>
      <c r="DM805" s="395">
        <f>DM796+DM797+DM799+DM800+DM802+DM804</f>
        <v>1267.9512171973618</v>
      </c>
      <c r="DN805" s="440"/>
      <c r="DO805" s="395">
        <f>DO796+DO797+DO799+DO800+DO802+DO804</f>
        <v>1581.4373626373629</v>
      </c>
      <c r="DP805" s="440"/>
      <c r="DQ805" s="395">
        <f>DQ796+DQ797+DQ799+DQ800+DQ802+DQ804</f>
        <v>1314.0093413401962</v>
      </c>
      <c r="DR805" s="440"/>
      <c r="DS805" s="395">
        <f>DS796+DS797+DS799+DS800+DS802+DS804+DS801</f>
        <v>1877.1848290598289</v>
      </c>
      <c r="DT805" s="440"/>
      <c r="DU805" s="395">
        <f>DU796+DU797+DU799+DU800+DU802+DU804+DU801</f>
        <v>1774.545213060321</v>
      </c>
      <c r="DV805" s="440"/>
      <c r="DW805" s="395">
        <f>DW796+DW797+DW799+DW800+DW802+DW804+DW801</f>
        <v>195.56043956043919</v>
      </c>
      <c r="DX805" s="440"/>
      <c r="DY805" s="395">
        <f>DY796+DY797+DY799+DY800+DY802+DY804+DY801</f>
        <v>1508.1094874267487</v>
      </c>
      <c r="DZ805" s="440"/>
      <c r="EA805" s="395">
        <f>EA796+EA797+EA799+EA800+EA802+EA804+EA801</f>
        <v>1592.594474969475</v>
      </c>
      <c r="EB805" s="440"/>
      <c r="EC805" s="395">
        <f>EC796+EC797+EC799+EC800+EC802+EC804+EC801</f>
        <v>1542.1259157509157</v>
      </c>
      <c r="ED805" s="440"/>
      <c r="EE805" s="395">
        <f>EE796+EE797+EE799+EE800+EE802+EE804+EE801</f>
        <v>2048.672356299101</v>
      </c>
      <c r="EF805" s="395"/>
      <c r="EG805" s="395">
        <f>EG796+EG797+EG799+EG800+EG802+EG804+EG801</f>
        <v>1652.8985102420856</v>
      </c>
      <c r="EH805" s="395"/>
      <c r="EI805" s="395">
        <f>EI796+EI797+EI799+EI800+EI802+EI804+EI801</f>
        <v>1871.0505359877488</v>
      </c>
      <c r="EJ805" s="395"/>
      <c r="EK805" s="395">
        <f>EK796+EK797+EK799+EK800+EK802+EK804+EK801</f>
        <v>1698.4514612025528</v>
      </c>
      <c r="EL805" s="395"/>
      <c r="EM805" s="395">
        <f>EM796+EM797+EM799+EM800+EM802+EM804+EM801</f>
        <v>1634.8862876254182</v>
      </c>
      <c r="EN805" s="395"/>
      <c r="EO805" s="395">
        <f>EO796+EO797+EO799+EO800+EO802+EO804+EO801</f>
        <v>1556.8231108098946</v>
      </c>
      <c r="EP805" s="440"/>
      <c r="EQ805" s="395">
        <f>EQ796+EQ797+EQ799+EQ800+EQ802+EQ804+EQ801</f>
        <v>1623.8897503816606</v>
      </c>
      <c r="ER805" s="440"/>
      <c r="ES805" s="395">
        <f t="shared" ref="ES805" si="4912">ES796+ES797+ES799+ES800+ES802+ES804+ES801</f>
        <v>1624.2035695309105</v>
      </c>
      <c r="ET805" s="440"/>
      <c r="EU805" s="395">
        <f t="shared" ref="EU805" si="4913">EU796+EU797+EU799+EU800+EU802+EU804+EU801</f>
        <v>1642.318146057097</v>
      </c>
      <c r="EV805" s="440"/>
      <c r="EW805" s="395">
        <f t="shared" ref="EW805" si="4914">EW796+EW797+EW799+EW800+EW802+EW804+EW801</f>
        <v>1655.837363525284</v>
      </c>
      <c r="EX805" s="440"/>
      <c r="EY805" s="16"/>
      <c r="EZ805" s="607"/>
      <c r="FA805" s="427"/>
      <c r="FB805" s="16">
        <f>+FB582+FB219+FB399+FB331+FB546+FB364</f>
        <v>295.43826578699338</v>
      </c>
      <c r="FC805" s="16"/>
      <c r="FD805" s="16">
        <f>+FD582+FD219+FD399+FD331+FD546+FD364</f>
        <v>351.16349809885929</v>
      </c>
      <c r="FE805" s="440"/>
      <c r="FF805" s="16">
        <f>+FF582+FF219+FF399+FF331+FF546+FF364</f>
        <v>63.615384615384613</v>
      </c>
      <c r="FG805" s="440"/>
      <c r="FH805" s="16">
        <f>+FH582+FH219+FH399+FH331+FH546+FH364</f>
        <v>132.70437017994857</v>
      </c>
      <c r="FI805" s="440"/>
      <c r="FJ805" s="16">
        <f>+FJ582+FJ219+FJ399+FJ331+FJ546+FJ364</f>
        <v>228.7605633802817</v>
      </c>
      <c r="FK805" s="440"/>
      <c r="FL805" s="16">
        <f>+FL582+FL219+FL399+FL331+FL546+FL364</f>
        <v>410.47551342812005</v>
      </c>
      <c r="FM805" s="440"/>
      <c r="FN805" s="16">
        <f>+FN582+FN219+FN399+FN331+FN546+FN364</f>
        <v>32.60377358490566</v>
      </c>
      <c r="FO805" s="440"/>
      <c r="FP805" s="16">
        <f>+FP582+FP219+FP399+FP331+FP546+FP364</f>
        <v>36.318545053733807</v>
      </c>
      <c r="FQ805" s="440"/>
      <c r="FR805" s="16">
        <f>+FR582+FR219+FR399+FR331+FR546+FR364</f>
        <v>38.787744227353464</v>
      </c>
      <c r="FS805" s="440"/>
      <c r="FT805" s="16">
        <f>+FT582+FT219+FT399+FT331+FT546+FT364</f>
        <v>40.678598061148399</v>
      </c>
      <c r="FU805" s="440"/>
      <c r="FV805" s="16">
        <f>+FV582+FV219+FV399+FV331+FV546+FV364</f>
        <v>343.23112961998959</v>
      </c>
      <c r="FW805" s="440"/>
      <c r="FX805" s="535">
        <f>+FX582+FX219+FX399+FX331+FX546+FX364</f>
        <v>33.088909257561873</v>
      </c>
      <c r="FY805" s="440"/>
      <c r="FZ805" s="16">
        <f>+FZ582+FZ219+FZ399+FZ331+FZ546+FZ364</f>
        <v>35.025062656641602</v>
      </c>
      <c r="GA805" s="440"/>
      <c r="GB805" s="535">
        <f>GB796+GB797+GB799+GB800+GB802+GB804</f>
        <v>3643.6311364792809</v>
      </c>
      <c r="GC805" s="395" t="e">
        <f>+GC582+GC219+GC145+GC399+GC331+GC546+GC364</f>
        <v>#VALUE!</v>
      </c>
      <c r="GD805" s="395">
        <f>GD796+GD797+GD799+GD800+GD802+GD804</f>
        <v>4060.1456248425588</v>
      </c>
      <c r="GE805" s="395" t="e">
        <f>+GE582+GE219+GE145+GE399+GE331+GE546+GE364</f>
        <v>#VALUE!</v>
      </c>
      <c r="GF805" s="395">
        <f>GF796+GF797+GF799+GF800+GF802+GF804</f>
        <v>4120.9394095837051</v>
      </c>
      <c r="GG805" s="395" t="e">
        <f>+GG582+GG219+GG145+GG399+GG331+GG546+GG364</f>
        <v>#VALUE!</v>
      </c>
      <c r="GH805" s="395">
        <f>GH796+GH797+GH799+GH800+GH802+GH804</f>
        <v>4153.0352436408211</v>
      </c>
      <c r="GI805" s="395" t="e">
        <f>+GI582+GI219+GI145+GI399+GI331+GI546+GI364</f>
        <v>#VALUE!</v>
      </c>
      <c r="GJ805" s="395">
        <f>GJ796+GJ797+GJ799+GJ800+GJ802+GJ804+GJ801</f>
        <v>6706.8072688261091</v>
      </c>
      <c r="GK805" s="395" t="e">
        <f>+GK582+GK219+GK145+GK399+GK331+GK546+GK364</f>
        <v>#VALUE!</v>
      </c>
      <c r="GL805" s="395">
        <f>GL796+GL797+GL799+GL800+GL802+GL804+GL801</f>
        <v>6840.2769791569299</v>
      </c>
      <c r="GM805" s="98">
        <f t="shared" si="4879"/>
        <v>1.9900633040582649</v>
      </c>
      <c r="GN805" s="395">
        <f>GN796+GN797+GN799+GN800+GN802+GN804+GN801</f>
        <v>6931.7243771337253</v>
      </c>
      <c r="GO805" s="98">
        <f t="shared" si="4879"/>
        <v>1.3368961265084023</v>
      </c>
      <c r="GP805" s="395">
        <f>GP796+GP797+GP799+GP800+GP802+GP804+GP801</f>
        <v>6546.2500884518195</v>
      </c>
      <c r="GQ805" s="98">
        <f t="shared" si="4879"/>
        <v>-5.5610158123641344</v>
      </c>
      <c r="GR805" s="395">
        <f>GR796+GR797+GR799+GR800+GR802+GR804+GR801</f>
        <v>6781.0784509987789</v>
      </c>
      <c r="GS805" s="98">
        <f t="shared" si="4879"/>
        <v>3.5872195436165599</v>
      </c>
      <c r="GT805" s="395">
        <f>GT796+GT797+GT799+GT800+GT802+GT804+GT801</f>
        <v>7039.6325126834799</v>
      </c>
      <c r="GU805" s="395" t="e">
        <f>+GU582+GU219+GU145+GU399+GU331+GU546+GU364</f>
        <v>#VALUE!</v>
      </c>
      <c r="GV805" s="395">
        <f>GV796+GV797+GV799+GV800+GV802+GV804+GV801</f>
        <v>7249.6149799254626</v>
      </c>
      <c r="GW805" s="395" t="e">
        <f>+GW582+GW193+GW118+GW373+GW305+GW545+GW338</f>
        <v>#VALUE!</v>
      </c>
      <c r="GX805" s="395">
        <f>GX796+GX797+GX799+GX800+GX802+GX804+GX801</f>
        <v>7399.2818350484358</v>
      </c>
      <c r="GY805" s="395" t="e">
        <f>+GY582+GY193+GY118+GY373+GY305+GY545+GY338</f>
        <v>#VALUE!</v>
      </c>
      <c r="GZ805" s="455"/>
      <c r="HA805" s="455"/>
      <c r="HC805"/>
      <c r="HD805"/>
      <c r="HE805"/>
      <c r="HF805"/>
      <c r="HG805"/>
      <c r="HH805"/>
    </row>
    <row r="806" spans="1:217" s="616" customFormat="1" ht="12.75" hidden="1" customHeight="1" outlineLevel="1" x14ac:dyDescent="0.2">
      <c r="A806" s="614"/>
      <c r="B806" s="615" t="s">
        <v>17</v>
      </c>
      <c r="D806" s="617"/>
      <c r="F806" s="617"/>
      <c r="H806" s="617"/>
      <c r="J806" s="214"/>
      <c r="L806" s="214"/>
      <c r="N806" s="214"/>
      <c r="O806" s="618"/>
      <c r="P806" s="214"/>
      <c r="Q806" s="618"/>
      <c r="R806" s="214"/>
      <c r="S806" s="619"/>
      <c r="T806" s="214"/>
      <c r="U806" s="619"/>
      <c r="V806" s="214"/>
      <c r="W806" s="619"/>
      <c r="X806" s="214"/>
      <c r="Y806" s="619"/>
      <c r="Z806" s="214"/>
      <c r="AA806" s="619"/>
      <c r="AB806" s="214"/>
      <c r="AC806" s="619"/>
      <c r="AD806" s="214"/>
      <c r="AE806" s="619"/>
      <c r="AF806" s="214"/>
      <c r="AG806" s="619"/>
      <c r="AH806" s="214"/>
      <c r="AI806" s="619"/>
      <c r="AJ806" s="214"/>
      <c r="AK806" s="619"/>
      <c r="AL806" s="214"/>
      <c r="AM806" s="619"/>
      <c r="AN806" s="214"/>
      <c r="AO806" s="619"/>
      <c r="AP806" s="214"/>
      <c r="AQ806" s="619"/>
      <c r="AR806" s="214"/>
      <c r="AS806" s="619"/>
      <c r="AT806" s="214"/>
      <c r="AU806" s="619"/>
      <c r="AV806" s="214"/>
      <c r="AW806" s="619"/>
      <c r="AX806" s="214"/>
      <c r="AY806" s="619"/>
      <c r="AZ806" s="214"/>
      <c r="BA806" s="619"/>
      <c r="BB806" s="214"/>
      <c r="BC806" s="619"/>
      <c r="BD806" s="214"/>
      <c r="BE806" s="619"/>
      <c r="BF806" s="214"/>
      <c r="BG806" s="619"/>
      <c r="BH806" s="214"/>
      <c r="BI806" s="619"/>
      <c r="BJ806" s="214"/>
      <c r="BK806" s="619"/>
      <c r="BL806" s="214"/>
      <c r="BM806" s="619"/>
      <c r="BN806" s="214"/>
      <c r="BO806" s="619"/>
      <c r="BP806" s="214"/>
      <c r="BQ806" s="619"/>
      <c r="BR806" s="214"/>
      <c r="BS806" s="619"/>
      <c r="BT806" s="214"/>
      <c r="BU806" s="619"/>
      <c r="BV806" s="214"/>
      <c r="BW806" s="619"/>
      <c r="BX806" s="214"/>
      <c r="BY806" s="619"/>
      <c r="BZ806" s="214"/>
      <c r="CA806" s="619"/>
      <c r="CB806" s="214"/>
      <c r="CC806" s="619"/>
      <c r="CD806" s="214"/>
      <c r="CE806" s="619"/>
      <c r="CF806" s="214"/>
      <c r="CG806" s="619"/>
      <c r="CH806" s="214"/>
      <c r="CI806" s="619"/>
      <c r="CJ806" s="214"/>
      <c r="CK806" s="619"/>
      <c r="CL806" s="214"/>
      <c r="CM806" s="619"/>
      <c r="CN806" s="214"/>
      <c r="CO806" s="619"/>
      <c r="CP806" s="214"/>
      <c r="CQ806" s="624">
        <f>(+CQ574+CQ112+CQ187+CQ331+CQ298+CQ367+CQ541/(1-CQ606/100)-CQ627/0.65-CQ805)</f>
        <v>-2.2737367544323206E-13</v>
      </c>
      <c r="CR806" s="214"/>
      <c r="CS806" s="625">
        <f>(+CS574+CS112+CS187+CS331+CS298+CS367+CS541/(1-CS606/100)-CS627/0.65-CS805)</f>
        <v>2.2737367544323206E-13</v>
      </c>
      <c r="CT806" s="214"/>
      <c r="CU806" s="625">
        <f>(+CU574+CU112+CU187+CU331+CU298+CU367+CU541/(1-CU606/100)-CU627/0.65-CU805)</f>
        <v>2.2737367544323206E-13</v>
      </c>
      <c r="CV806" s="214"/>
      <c r="CW806" s="625">
        <f>(+CW574+CW112+CW187+CW331+CW298+CW367+CW541/(1-CW606/100)-CW627/0.65-CW805)</f>
        <v>0</v>
      </c>
      <c r="CX806" s="214"/>
      <c r="CY806" s="625">
        <f>(+CY574+CY112+CY187+CY331+CY298+CY367+CY541/(1-CY606/100)-CY627/0.65-CY805)</f>
        <v>-2.2737367544323206E-13</v>
      </c>
      <c r="CZ806" s="214"/>
      <c r="DA806" s="625">
        <f>(+DA574+DA112+DA187+DA331+DA298+DA367+DA541/(1-DA606/100)-DA627/0.65-DA805)</f>
        <v>0</v>
      </c>
      <c r="DB806" s="214"/>
      <c r="DC806" s="625">
        <f>(+DC574+DC112+DC187+DC331+DC298+DC367+DC541/(1-DC606/100)-DC627/0.65-DC805)</f>
        <v>-2.2737367544323206E-13</v>
      </c>
      <c r="DD806" s="214"/>
      <c r="DE806" s="625">
        <f>(+DE574+DE112+DE187+DE331+DE298+DE367+DE541/(1-DE606/100)-DE627/0.65-DE805)</f>
        <v>0</v>
      </c>
      <c r="DF806" s="214"/>
      <c r="DG806" s="625">
        <f>(+DG574+DG112+DG187+DG331+DG298+DG367+DG541/(1-DG606/100)-DG627/0.65-DG805)</f>
        <v>0</v>
      </c>
      <c r="DH806" s="214"/>
      <c r="DI806" s="625">
        <f>(+DI574+DI112+DI187+DI331+DI298+DI367+DI541/(1-DI606/100)-DI627/0.65-DI805)</f>
        <v>0</v>
      </c>
      <c r="DJ806" s="214"/>
      <c r="DK806" s="625">
        <f>(+DK574+DK112+DK187+DK331+DK298+DK367+DK541/(1-DK606/100)-DK627/0.65-DK805)</f>
        <v>2.2737367544323206E-13</v>
      </c>
      <c r="DL806" s="214"/>
      <c r="DM806" s="625">
        <f>(+DM574+DM112+DM187+DM331+DM298+DM367+DM541/(1-DM606/100)-DM627/0.65-DM805)</f>
        <v>-2.2737367544323206E-13</v>
      </c>
      <c r="DN806" s="214"/>
      <c r="DO806" s="625">
        <f>(+DO574+DO112+DO187+DO331+DO298+DO367+DO541/(1-DO606/100)-DO627/0.65-DO805)</f>
        <v>-2.2737367544323206E-13</v>
      </c>
      <c r="DP806" s="214"/>
      <c r="DQ806" s="625">
        <f>(+DQ574+DQ112+DQ187+DQ331+DQ298+DQ367+DQ541/(1-DQ606/100)-DQ627/0.65-DQ805)</f>
        <v>0</v>
      </c>
      <c r="DR806" s="214"/>
      <c r="DS806" s="625">
        <f>(DS266+DS500+DS574+DS112+DS187+DS331+DS298+DS367+DS541/(1-DS606/100)-DS627/0.65-DS805)</f>
        <v>0</v>
      </c>
      <c r="DT806" s="214"/>
      <c r="DU806" s="625">
        <f>(DU266+DU500+DU574+DU112+DU187+DU331+DU298+DU367+DU541/(1-DU606/100)-DU627/0.65-DU805)</f>
        <v>0</v>
      </c>
      <c r="DV806" s="214"/>
      <c r="DW806" s="625">
        <f>(DW266+DW500+DW574+DW112+DW187+DW331+DW298+DW367+DW541/(1-DW606/100)-DW627/0.65-DW805)</f>
        <v>-5.6843418860808015E-14</v>
      </c>
      <c r="DX806" s="214"/>
      <c r="DY806" s="625">
        <f>(DY266+DY500+DY574+DY112+DY187+DY331+DY298+DY367+DY541/(1-DY606/100)-DY627/0.65-DY805)</f>
        <v>0</v>
      </c>
      <c r="DZ806" s="214"/>
      <c r="EA806" s="625">
        <f>(EA266+EA500+EA574+EA112+EA187+EA331+EA298+EA367+EA541/(1-EA606/100)-EA627/0.65-EA805)</f>
        <v>0</v>
      </c>
      <c r="EB806" s="214"/>
      <c r="EC806" s="625">
        <f>(EC266+EC500+EC574+EC112+EC187+EC331+EC298+EC367+EC541/(1-EC606/100)-EC627/0.65-EC805)</f>
        <v>0</v>
      </c>
      <c r="ED806" s="214"/>
      <c r="EE806" s="625">
        <f>(EE266+EE500+EE574+EE112+EE187+EE331+EE298+EE367+EE541/(1-EE606/100)-EE627/0.65-EE805)</f>
        <v>4.5474735088646412E-13</v>
      </c>
      <c r="EF806" s="625"/>
      <c r="EG806" s="625">
        <f>(EG266+EG500+EG574+EG112+EG187+EG331+EG298+EG367+EG541/(1-EG606/100)-EG627/0.65-EG805)</f>
        <v>0</v>
      </c>
      <c r="EH806" s="625"/>
      <c r="EI806" s="625">
        <f>(EI266+EI500+EI574+EI112+EI187+EI331+EI298+EI367+EI541/(1-EI606/100)-EI627/0.65-EI805)</f>
        <v>0</v>
      </c>
      <c r="EJ806" s="625"/>
      <c r="EK806" s="625">
        <f>(EK266+EK500+EK574+EK112+EK187+EK331+EK298+EK367+EK541/(1-EK606/100)-EK627/0.65-EK805)</f>
        <v>2.2737367544323206E-13</v>
      </c>
      <c r="EL806" s="625"/>
      <c r="EM806" s="625">
        <f>(EM266+EM500+EM574+EM112+EM187+EM331+EM298+EM367+EM541/(1-EM606/100)-EM627/0.65-EM805)</f>
        <v>-2.2737367544323206E-13</v>
      </c>
      <c r="EN806" s="625"/>
      <c r="EO806" s="625">
        <f>(EO266+EO500+EO574+EO112+EO187+EO331+EO298+EO367+EO541/(1-EO606/100)-EO627/0.65-EO805)</f>
        <v>2.2737367544323206E-13</v>
      </c>
      <c r="EP806" s="214"/>
      <c r="EQ806" s="625">
        <f>(EQ266+EQ500+EQ574+EQ112+EQ187+EQ331+EQ298+EQ367+EQ541/(1-EQ606/100)-EQ627/0.65-EQ805)</f>
        <v>0</v>
      </c>
      <c r="ER806" s="214"/>
      <c r="ES806" s="625">
        <f>(ES266+ES500+ES574+ES112+ES187+ES331+ES298+ES367+ES541/(1-ES606/100)-ES627/0.65-ES805)</f>
        <v>0</v>
      </c>
      <c r="ET806" s="214"/>
      <c r="EU806" s="625">
        <f>(EU266+EU500+EU574+EU112+EU187+EU331+EU298+EU367+EU541/(1-EU606/100)-EU627/0.65-EU805)</f>
        <v>0</v>
      </c>
      <c r="EV806" s="214"/>
      <c r="EW806" s="625">
        <f>(EW266+EW500+EW574+EW112+EW187+EW331+EW298+EW367+EW541/(1-EW606/100)-EW627/0.65-EW805)</f>
        <v>2.2737367544323206E-13</v>
      </c>
      <c r="EX806" s="214"/>
      <c r="EY806" s="619"/>
      <c r="EZ806" s="621"/>
      <c r="FA806" s="622"/>
      <c r="FB806" s="618"/>
      <c r="FC806" s="617"/>
      <c r="FD806" s="618"/>
      <c r="FE806" s="214"/>
      <c r="FF806" s="618"/>
      <c r="FG806" s="214"/>
      <c r="FH806" s="618"/>
      <c r="FI806" s="214"/>
      <c r="FJ806" s="618"/>
      <c r="FK806" s="214"/>
      <c r="FL806" s="618"/>
      <c r="FM806" s="214"/>
      <c r="FN806" s="618"/>
      <c r="FO806" s="214"/>
      <c r="FP806" s="618"/>
      <c r="FQ806" s="214"/>
      <c r="FR806" s="618"/>
      <c r="FS806" s="214"/>
      <c r="FT806" s="619"/>
      <c r="FU806" s="214"/>
      <c r="FV806" s="619"/>
      <c r="FW806" s="214"/>
      <c r="FX806" s="620"/>
      <c r="FY806" s="214"/>
      <c r="FZ806" s="619"/>
      <c r="GA806" s="214"/>
      <c r="GB806" s="620"/>
      <c r="GC806" s="214"/>
      <c r="GD806" s="625">
        <f>(+GD574+GD112+GD187+GD331+GD298+GD367+GD541/(1-GD606/100)-GD627/0.65-GD805)</f>
        <v>1535.929377806307</v>
      </c>
      <c r="GE806" s="214"/>
      <c r="GF806" s="625">
        <f>(+GF574+GF112+GF187+GF331+GF298+GF367+GF541/(1-GF606/100)-GF627/0.65-GF805)</f>
        <v>1443.8904509834265</v>
      </c>
      <c r="GG806" s="214"/>
      <c r="GH806" s="625">
        <f>(+GH574+GH112+GH187+GH331+GH298+GH367+GH541/(1-GH606/100)-GH627/0.65-GH805)</f>
        <v>1368.3418889542099</v>
      </c>
      <c r="GI806" s="214"/>
      <c r="GJ806" s="625">
        <f>(GJ266+GJ500+GJ574+GJ112+GJ187+GJ331+GJ298+GJ367+GJ541/(1-GJ606/100)-GJ627/0.65-GJ805)</f>
        <v>-9.0949470177292824E-13</v>
      </c>
      <c r="GK806" s="214"/>
      <c r="GL806" s="625">
        <f>(GL266+GL500+GL574+GL112+GL187+GL331+GL298+GL367+GL541/(1-GL606/100)-GL627/0.65-GL805)</f>
        <v>9.0949470177292824E-13</v>
      </c>
      <c r="GM806" s="214"/>
      <c r="GN806" s="625">
        <f>(GN266+GN500+GN574+GN112+GN187+GN331+GN298+GN367+GN541/(1-GN606/100)-GN627/0.65-GN805)</f>
        <v>0</v>
      </c>
      <c r="GO806" s="214"/>
      <c r="GP806" s="625">
        <f>(GP266+GP500+GP574+GP112+GP187+GP331+GP298+GP367+GP541/(1-GP606/100)-GP627/0.65-GP805)</f>
        <v>0</v>
      </c>
      <c r="GQ806" s="214"/>
      <c r="GR806" s="625">
        <f>(GR266+GR500+GR574+GR112+GR187+GR331+GR298+GR367+GR541/(1-GR606/100)-GR627/0.65-GR805)</f>
        <v>0</v>
      </c>
      <c r="GS806" s="214"/>
      <c r="GT806" s="625">
        <f>(GT266+GT500+GT574+GT112+GT187+GT331+GT298+GT367+GT541/(1-GT606/100)-GT627/0.65-GT805)</f>
        <v>0</v>
      </c>
      <c r="GU806" s="214"/>
      <c r="GV806" s="625">
        <f>(GV266+GV500+GV574+GV112+GV187+GV331+GV298+GV367+GV541/(1-GV606/100)-GV627/0.65-GV805)</f>
        <v>0</v>
      </c>
      <c r="GW806" s="214"/>
      <c r="GX806" s="625">
        <f>(GX266+GX500+GX574+GX112+GX187+GX331+GX298+GX367+GX541/(1-GX606/100)-GX627/0.65-GX805)</f>
        <v>9.0949470177292824E-13</v>
      </c>
      <c r="GY806" s="214"/>
      <c r="GZ806" s="214"/>
      <c r="HA806" s="214"/>
      <c r="HB806" s="623"/>
      <c r="HC806"/>
      <c r="HD806"/>
      <c r="HE806"/>
      <c r="HF806"/>
      <c r="HG806"/>
      <c r="HH806"/>
      <c r="HI806" s="623"/>
    </row>
    <row r="807" spans="1:217" s="2" customFormat="1" ht="12.75" hidden="1" customHeight="1" outlineLevel="1" x14ac:dyDescent="0.2">
      <c r="A807" s="28"/>
      <c r="B807" s="179"/>
      <c r="D807" s="11"/>
      <c r="F807" s="11"/>
      <c r="H807" s="11"/>
      <c r="J807" s="36"/>
      <c r="L807" s="36"/>
      <c r="N807" s="36"/>
      <c r="O807" s="399"/>
      <c r="P807" s="36"/>
      <c r="Q807" s="399"/>
      <c r="R807" s="36"/>
      <c r="S807" s="32"/>
      <c r="T807" s="36"/>
      <c r="U807" s="32"/>
      <c r="V807" s="36"/>
      <c r="W807" s="32"/>
      <c r="X807" s="36"/>
      <c r="Y807" s="32"/>
      <c r="Z807" s="36"/>
      <c r="AA807" s="32"/>
      <c r="AB807" s="36"/>
      <c r="AC807" s="32"/>
      <c r="AD807" s="36"/>
      <c r="AE807" s="32"/>
      <c r="AF807" s="36"/>
      <c r="AG807" s="32"/>
      <c r="AH807" s="36"/>
      <c r="AI807" s="32"/>
      <c r="AJ807" s="36"/>
      <c r="AK807" s="32"/>
      <c r="AL807" s="36"/>
      <c r="AM807" s="32"/>
      <c r="AN807" s="36"/>
      <c r="AO807" s="32"/>
      <c r="AP807" s="36"/>
      <c r="AQ807" s="32"/>
      <c r="AR807" s="36"/>
      <c r="AS807" s="32"/>
      <c r="AT807" s="36"/>
      <c r="AU807" s="32"/>
      <c r="AV807" s="36"/>
      <c r="AW807" s="32"/>
      <c r="AX807" s="36"/>
      <c r="AY807" s="32"/>
      <c r="AZ807" s="36"/>
      <c r="BA807" s="32"/>
      <c r="BB807" s="36"/>
      <c r="BC807" s="32"/>
      <c r="BD807" s="36"/>
      <c r="BE807" s="32"/>
      <c r="BF807" s="36"/>
      <c r="BG807" s="32"/>
      <c r="BH807" s="36"/>
      <c r="BI807" s="32"/>
      <c r="BJ807" s="36"/>
      <c r="BK807" s="32"/>
      <c r="BL807" s="36"/>
      <c r="BM807" s="32"/>
      <c r="BN807" s="36"/>
      <c r="BO807" s="32"/>
      <c r="BP807" s="36"/>
      <c r="BQ807" s="32"/>
      <c r="BR807" s="36"/>
      <c r="BS807" s="32"/>
      <c r="BT807" s="36"/>
      <c r="BU807" s="32"/>
      <c r="BV807" s="36"/>
      <c r="BW807" s="32"/>
      <c r="BX807" s="36"/>
      <c r="BY807" s="32"/>
      <c r="BZ807" s="36"/>
      <c r="CA807" s="32"/>
      <c r="CB807" s="36"/>
      <c r="CC807" s="32"/>
      <c r="CD807" s="36"/>
      <c r="CE807" s="32"/>
      <c r="CF807" s="36"/>
      <c r="CG807" s="32"/>
      <c r="CH807" s="36"/>
      <c r="CI807" s="32"/>
      <c r="CJ807" s="36"/>
      <c r="CK807" s="32"/>
      <c r="CL807" s="36"/>
      <c r="CM807" s="32"/>
      <c r="CN807" s="36"/>
      <c r="CO807" s="32"/>
      <c r="CP807" s="36"/>
      <c r="CQ807" s="536"/>
      <c r="CR807" s="36"/>
      <c r="CS807" s="32"/>
      <c r="CT807" s="36"/>
      <c r="CU807" s="32"/>
      <c r="CV807" s="36"/>
      <c r="CW807" s="32"/>
      <c r="CX807" s="36"/>
      <c r="CY807" s="32"/>
      <c r="CZ807" s="36"/>
      <c r="DA807" s="32"/>
      <c r="DB807" s="36"/>
      <c r="DC807" s="32"/>
      <c r="DD807" s="36"/>
      <c r="DE807" s="32"/>
      <c r="DF807" s="36"/>
      <c r="DG807" s="32"/>
      <c r="DH807" s="36"/>
      <c r="DI807" s="32"/>
      <c r="DJ807" s="36"/>
      <c r="DK807" s="32"/>
      <c r="DL807" s="36"/>
      <c r="DM807" s="32"/>
      <c r="DN807" s="36"/>
      <c r="DO807" s="32"/>
      <c r="DP807" s="36"/>
      <c r="DQ807" s="32"/>
      <c r="DR807" s="36"/>
      <c r="DS807" s="32"/>
      <c r="DT807" s="36"/>
      <c r="DU807" s="32"/>
      <c r="DV807" s="36"/>
      <c r="DW807" s="32"/>
      <c r="DX807" s="36"/>
      <c r="DY807" s="32"/>
      <c r="DZ807" s="36"/>
      <c r="EA807" s="32"/>
      <c r="EB807" s="36"/>
      <c r="EC807" s="32"/>
      <c r="ED807" s="36"/>
      <c r="EE807" s="32"/>
      <c r="EF807" s="768"/>
      <c r="EG807" s="32"/>
      <c r="EH807" s="768"/>
      <c r="EI807" s="32"/>
      <c r="EJ807" s="768"/>
      <c r="EK807" s="32"/>
      <c r="EL807" s="768"/>
      <c r="EM807" s="32"/>
      <c r="EN807" s="768"/>
      <c r="EO807" s="32"/>
      <c r="EP807" s="36"/>
      <c r="EQ807" s="1085"/>
      <c r="ER807" s="36"/>
      <c r="ES807" s="1085"/>
      <c r="ET807" s="36"/>
      <c r="EU807" s="1085"/>
      <c r="EV807" s="36"/>
      <c r="EW807" s="1085"/>
      <c r="EX807" s="36"/>
      <c r="EY807" s="32"/>
      <c r="EZ807" s="602"/>
      <c r="FA807" s="266"/>
      <c r="FB807" s="399"/>
      <c r="FC807" s="11"/>
      <c r="FD807" s="399"/>
      <c r="FE807" s="36"/>
      <c r="FF807" s="399"/>
      <c r="FG807" s="36"/>
      <c r="FH807" s="399"/>
      <c r="FI807" s="36"/>
      <c r="FJ807" s="399"/>
      <c r="FK807" s="36"/>
      <c r="FL807" s="399"/>
      <c r="FM807" s="36"/>
      <c r="FN807" s="399"/>
      <c r="FO807" s="36"/>
      <c r="FP807" s="399"/>
      <c r="FQ807" s="36"/>
      <c r="FR807" s="399"/>
      <c r="FS807" s="36"/>
      <c r="FT807" s="32"/>
      <c r="FU807" s="36"/>
      <c r="FV807" s="32"/>
      <c r="FW807" s="36"/>
      <c r="FX807" s="536"/>
      <c r="FY807" s="36"/>
      <c r="FZ807" s="32"/>
      <c r="GA807" s="36"/>
      <c r="GB807" s="536"/>
      <c r="GC807" s="36"/>
      <c r="GD807" s="32"/>
      <c r="GE807" s="36"/>
      <c r="GF807" s="32"/>
      <c r="GG807" s="36"/>
      <c r="GH807" s="32"/>
      <c r="GI807" s="36"/>
      <c r="GJ807" s="32"/>
      <c r="GK807" s="36"/>
      <c r="GL807" s="32"/>
      <c r="GM807" s="36"/>
      <c r="GN807" s="32"/>
      <c r="GO807" s="36"/>
      <c r="GP807" s="32"/>
      <c r="GQ807" s="36"/>
      <c r="GR807" s="32"/>
      <c r="GS807" s="36"/>
      <c r="GT807" s="32"/>
      <c r="GU807" s="36"/>
      <c r="GV807" s="32"/>
      <c r="GW807" s="36"/>
      <c r="GX807" s="32"/>
      <c r="GY807" s="36"/>
      <c r="GZ807" s="36"/>
      <c r="HA807" s="36"/>
      <c r="HB807" s="10"/>
      <c r="HC807"/>
      <c r="HD807"/>
      <c r="HE807"/>
      <c r="HF807"/>
      <c r="HG807"/>
      <c r="HH807"/>
      <c r="HI807" s="10"/>
    </row>
    <row r="808" spans="1:217" s="10" customFormat="1" ht="12.75" hidden="1" customHeight="1" outlineLevel="1" x14ac:dyDescent="0.2">
      <c r="A808" s="28"/>
      <c r="B808" s="10" t="s">
        <v>492</v>
      </c>
      <c r="C808" s="16"/>
      <c r="D808" s="16"/>
      <c r="E808" s="16"/>
      <c r="F808" s="16"/>
      <c r="G808" s="16"/>
      <c r="H808" s="16"/>
      <c r="I808" s="16"/>
      <c r="J808" s="16"/>
      <c r="K808" s="16"/>
      <c r="L808" s="440"/>
      <c r="M808" s="16"/>
      <c r="N808" s="440"/>
      <c r="O808" s="16"/>
      <c r="P808" s="440"/>
      <c r="Q808" s="16"/>
      <c r="R808" s="440"/>
      <c r="S808" s="16"/>
      <c r="T808" s="440"/>
      <c r="U808" s="16"/>
      <c r="V808" s="440"/>
      <c r="W808" s="16"/>
      <c r="X808" s="440"/>
      <c r="Y808" s="16"/>
      <c r="Z808" s="440"/>
      <c r="AA808" s="16"/>
      <c r="AB808" s="440"/>
      <c r="AC808" s="16"/>
      <c r="AD808" s="440"/>
      <c r="AE808" s="16"/>
      <c r="AF808" s="440"/>
      <c r="AG808" s="16"/>
      <c r="AH808" s="440"/>
      <c r="AI808" s="16"/>
      <c r="AJ808" s="440"/>
      <c r="AK808" s="16"/>
      <c r="AL808" s="440"/>
      <c r="AM808" s="16"/>
      <c r="AN808" s="440"/>
      <c r="AO808" s="16"/>
      <c r="AP808" s="440"/>
      <c r="AQ808" s="16"/>
      <c r="AR808" s="440"/>
      <c r="AS808" s="16"/>
      <c r="AT808" s="440"/>
      <c r="AU808" s="16"/>
      <c r="AV808" s="440"/>
      <c r="AW808" s="16"/>
      <c r="AX808" s="440"/>
      <c r="AY808" s="16">
        <f>AY193*(AY809/100)</f>
        <v>228.87700762666137</v>
      </c>
      <c r="AZ808" s="440"/>
      <c r="BA808" s="16">
        <f>BA193*(BA809/100)</f>
        <v>210.42480060470029</v>
      </c>
      <c r="BB808" s="440"/>
      <c r="BC808" s="16">
        <f>BC193*(BC809/100)</f>
        <v>211.73515218294858</v>
      </c>
      <c r="BD808" s="440"/>
      <c r="BE808" s="16">
        <f>BE193*(BE809/100)</f>
        <v>237.33046377896497</v>
      </c>
      <c r="BF808" s="440"/>
      <c r="BG808" s="16">
        <f>BG193*(BG809/100)</f>
        <v>264.87028142935179</v>
      </c>
      <c r="BH808" s="440"/>
      <c r="BI808" s="16">
        <f>BI193*(BI809/100)</f>
        <v>260.0583371666271</v>
      </c>
      <c r="BJ808" s="440"/>
      <c r="BK808" s="16">
        <f>BK193*(BK809/100)</f>
        <v>259.40527428920285</v>
      </c>
      <c r="BL808" s="440"/>
      <c r="BM808" s="16">
        <f>BM193*(BM809/100)</f>
        <v>302.54049023534617</v>
      </c>
      <c r="BN808" s="440"/>
      <c r="BO808" s="16">
        <f>BO193*(BO809/100)</f>
        <v>351.1368782283671</v>
      </c>
      <c r="BP808" s="440"/>
      <c r="BQ808" s="16">
        <f>BQ193*(BQ809/100)</f>
        <v>309.29777359008904</v>
      </c>
      <c r="BR808" s="440"/>
      <c r="BS808" s="16">
        <f>BS193*(BS809/100)</f>
        <v>276.3108096617616</v>
      </c>
      <c r="BT808" s="440"/>
      <c r="BU808" s="16">
        <f>BU193*(BU809/100)</f>
        <v>197.39829607624642</v>
      </c>
      <c r="BV808" s="440"/>
      <c r="BW808" s="16">
        <f>BW193*(BW809/100)</f>
        <v>217.07604936272136</v>
      </c>
      <c r="BX808" s="440"/>
      <c r="BY808" s="16">
        <f>BY193*(BY809/100)</f>
        <v>222.22474035176137</v>
      </c>
      <c r="BZ808" s="440"/>
      <c r="CA808" s="16">
        <f>CA193*(CA809/100)</f>
        <v>206.37920181991555</v>
      </c>
      <c r="CB808" s="440"/>
      <c r="CC808" s="16">
        <f>CC193*(CC809/100)</f>
        <v>178.41086215767822</v>
      </c>
      <c r="CD808" s="440"/>
      <c r="CE808" s="16">
        <f>CE193*(CE809/100)</f>
        <v>186.83944050915412</v>
      </c>
      <c r="CF808" s="440"/>
      <c r="CG808" s="16">
        <f>CG193*(CG809/100)</f>
        <v>188.60768754498119</v>
      </c>
      <c r="CH808" s="440"/>
      <c r="CI808" s="16">
        <f>CI193*(CI809/100)</f>
        <v>162.74503716065433</v>
      </c>
      <c r="CJ808" s="440"/>
      <c r="CK808" s="16">
        <f>CK193*(CK809/100)</f>
        <v>200.87629509049287</v>
      </c>
      <c r="CL808" s="440"/>
      <c r="CM808" s="16">
        <f>CM193*(CM809/100)</f>
        <v>252.92201752222797</v>
      </c>
      <c r="CN808" s="440"/>
      <c r="CO808" s="16">
        <f>CO193*(CO809/100)</f>
        <v>285.97021276595746</v>
      </c>
      <c r="CP808" s="440"/>
      <c r="CQ808" s="535">
        <f>CQ193*(CQ809/100)</f>
        <v>244.42451323103768</v>
      </c>
      <c r="CR808" s="440"/>
      <c r="CS808" s="16">
        <f>CS193*(CS809/100)</f>
        <v>224.85130335940576</v>
      </c>
      <c r="CT808" s="440"/>
      <c r="CU808" s="16">
        <f>CU193*(CU809/100)</f>
        <v>280.98817340400285</v>
      </c>
      <c r="CV808" s="440"/>
      <c r="CW808" s="16">
        <f>CW193*(CW809/100)</f>
        <v>286.67947924212382</v>
      </c>
      <c r="CX808" s="440"/>
      <c r="CY808" s="16">
        <f>CY193*(CY809/100)</f>
        <v>280.85333016470003</v>
      </c>
      <c r="CZ808" s="440"/>
      <c r="DA808" s="16">
        <f>DA193*(DA809/100)</f>
        <v>259.95296643923388</v>
      </c>
      <c r="DB808" s="440"/>
      <c r="DC808" s="16">
        <f>DC193*(DC809/100)</f>
        <v>276.37990580847719</v>
      </c>
      <c r="DD808" s="440"/>
      <c r="DE808" s="16">
        <f>DE193*(DE809/100)</f>
        <v>313.15748196473476</v>
      </c>
      <c r="DF808" s="440"/>
      <c r="DG808" s="16">
        <f>DG193*(DG809/100)</f>
        <v>272.61460113655784</v>
      </c>
      <c r="DH808" s="440"/>
      <c r="DI808" s="16">
        <f>DI193*(DI809/100)</f>
        <v>308.52704752880499</v>
      </c>
      <c r="DJ808" s="440"/>
      <c r="DK808" s="16">
        <f>DK193*(DK809/100)</f>
        <v>289.52189074599386</v>
      </c>
      <c r="DL808" s="440"/>
      <c r="DM808" s="16">
        <f>DM193*(DM809/100)</f>
        <v>298.53166016734855</v>
      </c>
      <c r="DN808" s="440"/>
      <c r="DO808" s="16">
        <f>DO193*(DO809/100)</f>
        <v>321.78076840420653</v>
      </c>
      <c r="DP808" s="440"/>
      <c r="DQ808" s="16">
        <f>DQ193*(DQ809/100)</f>
        <v>323.97281681895697</v>
      </c>
      <c r="DR808" s="440"/>
      <c r="DS808" s="16">
        <f>DS193*(DS809/100)</f>
        <v>254.10879147387118</v>
      </c>
      <c r="DT808" s="440"/>
      <c r="DU808" s="16">
        <f>DU193*(DU809/100)</f>
        <v>278.69704004319971</v>
      </c>
      <c r="DV808" s="440"/>
      <c r="DW808" s="16">
        <f>DW193*(DW809/100)</f>
        <v>215.25638146170684</v>
      </c>
      <c r="DX808" s="440"/>
      <c r="DY808" s="16">
        <f>DY193*(DY809/100)</f>
        <v>196.38172905588496</v>
      </c>
      <c r="DZ808" s="440"/>
      <c r="EA808" s="16">
        <f>EA193*(EA809/100)</f>
        <v>222.83800565468349</v>
      </c>
      <c r="EB808" s="440"/>
      <c r="EC808" s="16">
        <f>EC193*(EC809/100)</f>
        <v>233.83228751734697</v>
      </c>
      <c r="ED808" s="440"/>
      <c r="EE808" s="16">
        <f>EE193*(EE809/100)</f>
        <v>264.99223709815044</v>
      </c>
      <c r="EF808" s="1080"/>
      <c r="EG808" s="16">
        <f>EG193*(EG809/100)</f>
        <v>244.18804750583652</v>
      </c>
      <c r="EH808" s="1080"/>
      <c r="EI808" s="16">
        <f>EI193*(EI809/100)</f>
        <v>214.27401097910479</v>
      </c>
      <c r="EJ808" s="1080"/>
      <c r="EK808" s="16">
        <f>EK193*(EK809/100)</f>
        <v>218.27325611920239</v>
      </c>
      <c r="EL808" s="1080"/>
      <c r="EM808" s="16">
        <f>EM193*(EM809/100)</f>
        <v>215.56856520615702</v>
      </c>
      <c r="EN808" s="1080"/>
      <c r="EO808" s="16">
        <f>EO193*(EO809/100)</f>
        <v>207.33397700807953</v>
      </c>
      <c r="EP808" s="440"/>
      <c r="EQ808" s="1079">
        <f>EQ193*(EQ809/100)</f>
        <v>213.35659243591621</v>
      </c>
      <c r="ER808" s="440"/>
      <c r="ES808" s="1079">
        <f>ES193*(ES809/100)</f>
        <v>206.57817822705331</v>
      </c>
      <c r="ET808" s="440"/>
      <c r="EU808" s="1079">
        <f>EU193*(EU809/100)</f>
        <v>199.68551855258752</v>
      </c>
      <c r="EV808" s="440"/>
      <c r="EW808" s="1079">
        <f>EW193*(EW809/100)</f>
        <v>192.30419709131291</v>
      </c>
      <c r="EX808" s="440"/>
      <c r="EY808" s="16"/>
      <c r="EZ808" s="607"/>
      <c r="FA808" s="427"/>
      <c r="FB808" s="16">
        <f>FB193*(FB809/100)</f>
        <v>217.57928822549806</v>
      </c>
      <c r="FC808" s="16"/>
      <c r="FD808" s="16">
        <f>FD193*(FD809/100)</f>
        <v>200.80149008507803</v>
      </c>
      <c r="FE808" s="440"/>
      <c r="FF808" s="16">
        <f>FF193*(FF809/100)</f>
        <v>171.81033823651623</v>
      </c>
      <c r="FG808" s="440"/>
      <c r="FH808" s="16">
        <f>FH193*(FH809/100)</f>
        <v>330.58681749415484</v>
      </c>
      <c r="FI808" s="440"/>
      <c r="FJ808" s="16">
        <f>FJ193*(FJ809/100)</f>
        <v>411.91195583700807</v>
      </c>
      <c r="FK808" s="440"/>
      <c r="FL808" s="16">
        <f>FL193*(FL809/100)</f>
        <v>397.72288101634041</v>
      </c>
      <c r="FM808" s="440"/>
      <c r="FN808" s="16">
        <f>FN193*(FN809/100)</f>
        <v>574.36665409787497</v>
      </c>
      <c r="FO808" s="440"/>
      <c r="FP808" s="16">
        <f>FP193*(FP809/100)</f>
        <v>672.56261077472266</v>
      </c>
      <c r="FQ808" s="440"/>
      <c r="FR808" s="16">
        <f>FR193*(FR809/100)</f>
        <v>898.40248313733298</v>
      </c>
      <c r="FS808" s="440"/>
      <c r="FT808" s="16">
        <f>FT193*(FT809/100)</f>
        <v>1092.254437774435</v>
      </c>
      <c r="FU808" s="440"/>
      <c r="FV808" s="16">
        <f>FV193*(FV809/100)</f>
        <v>1278.7606190116089</v>
      </c>
      <c r="FW808" s="440"/>
      <c r="FX808" s="535">
        <f>FX193*(FX809/100)</f>
        <v>901.49941150769939</v>
      </c>
      <c r="FY808" s="440"/>
      <c r="FZ808" s="16">
        <f>FZ193*(FZ809/100)</f>
        <v>717.56129600303154</v>
      </c>
      <c r="GA808" s="440"/>
      <c r="GB808" s="535">
        <f>GB193*(GB809/100)</f>
        <v>1005.3158570705082</v>
      </c>
      <c r="GC808" s="440"/>
      <c r="GD808" s="16">
        <f>GD193*(GD809/100)</f>
        <v>1118.4599045312025</v>
      </c>
      <c r="GE808" s="440"/>
      <c r="GF808" s="16">
        <f>GF193*(GF809/100)</f>
        <v>1158.8253991452584</v>
      </c>
      <c r="GG808" s="440"/>
      <c r="GH808" s="16">
        <f>GH193*(GH809/100)</f>
        <v>1245.9138553167163</v>
      </c>
      <c r="GI808" s="440"/>
      <c r="GJ808" s="16">
        <f>GJ193*(GJ809/100)</f>
        <v>957.60920602675992</v>
      </c>
      <c r="GK808" s="440"/>
      <c r="GL808" s="16">
        <f>GL193*(GL809/100)</f>
        <v>968.0506114930713</v>
      </c>
      <c r="GM808" s="98">
        <f t="shared" ref="GM808:GS809" si="4915">IF(ISERROR((GL808/GJ808-1)*100),"NA",IF(((GL808/GJ808-1)*100)&gt;100,"NM",IF(((GL808/GJ808-1)*100)&lt;-50,"NM",(GL808/GJ808-1)*100)))</f>
        <v>1.0903618512225988</v>
      </c>
      <c r="GN808" s="16">
        <f>GN193*(GN809/100)</f>
        <v>882.51544023639133</v>
      </c>
      <c r="GO808" s="98">
        <f t="shared" si="4915"/>
        <v>-8.835816045274214</v>
      </c>
      <c r="GP808" s="16">
        <f>GP193*(GP809/100)</f>
        <v>827.91051644515119</v>
      </c>
      <c r="GQ808" s="98">
        <f t="shared" si="4915"/>
        <v>-6.1874185200219927</v>
      </c>
      <c r="GR808" s="16">
        <f>GR193*(GR809/100)</f>
        <v>875.50711302967989</v>
      </c>
      <c r="GS808" s="98">
        <f t="shared" si="4915"/>
        <v>5.7490025357930019</v>
      </c>
      <c r="GT808" s="16">
        <f>GT193*(GT809/100)</f>
        <v>935.76247671707131</v>
      </c>
      <c r="GU808" s="440"/>
      <c r="GV808" s="16">
        <f>GV193*(GV809/100)</f>
        <v>991.81718478234211</v>
      </c>
      <c r="GW808" s="440"/>
      <c r="GX808" s="16">
        <f>GX193*(GX809/100)</f>
        <v>1049.1236797770132</v>
      </c>
      <c r="GY808" s="440"/>
      <c r="GZ808" s="455"/>
      <c r="HA808" s="455"/>
      <c r="HC808"/>
      <c r="HD808"/>
      <c r="HE808"/>
      <c r="HF808"/>
      <c r="HG808"/>
      <c r="HH808"/>
    </row>
    <row r="809" spans="1:217" s="2" customFormat="1" ht="12.75" hidden="1" customHeight="1" outlineLevel="1" x14ac:dyDescent="0.2">
      <c r="A809" s="351"/>
      <c r="B809" s="2" t="s">
        <v>491</v>
      </c>
      <c r="C809" s="425"/>
      <c r="D809" s="425"/>
      <c r="E809" s="425"/>
      <c r="F809" s="425"/>
      <c r="G809" s="425"/>
      <c r="H809" s="425"/>
      <c r="I809" s="425"/>
      <c r="J809" s="429"/>
      <c r="K809" s="425"/>
      <c r="L809" s="429"/>
      <c r="M809" s="425"/>
      <c r="N809" s="429"/>
      <c r="O809" s="425"/>
      <c r="P809" s="429"/>
      <c r="Q809" s="425"/>
      <c r="R809" s="429"/>
      <c r="S809" s="425"/>
      <c r="T809" s="429"/>
      <c r="U809" s="425"/>
      <c r="V809" s="429"/>
      <c r="W809" s="425"/>
      <c r="X809" s="429"/>
      <c r="Y809" s="425"/>
      <c r="Z809" s="429"/>
      <c r="AA809" s="430"/>
      <c r="AB809" s="429"/>
      <c r="AC809" s="430"/>
      <c r="AD809" s="429"/>
      <c r="AE809" s="430"/>
      <c r="AF809" s="429"/>
      <c r="AG809" s="430"/>
      <c r="AH809" s="429"/>
      <c r="AI809" s="430"/>
      <c r="AJ809" s="429"/>
      <c r="AK809" s="430"/>
      <c r="AL809" s="429"/>
      <c r="AM809" s="430"/>
      <c r="AN809" s="429"/>
      <c r="AO809" s="430"/>
      <c r="AP809" s="429"/>
      <c r="AQ809" s="430"/>
      <c r="AR809" s="429"/>
      <c r="AS809" s="430"/>
      <c r="AT809" s="429"/>
      <c r="AU809" s="430"/>
      <c r="AV809" s="429"/>
      <c r="AW809" s="430">
        <f>(AW133/(AW133+AW147))*100</f>
        <v>69.520921448141934</v>
      </c>
      <c r="AX809" s="429"/>
      <c r="AY809" s="430">
        <f>(AY133/(AY133+AY147))*100</f>
        <v>69.927170367722624</v>
      </c>
      <c r="AZ809" s="429"/>
      <c r="BA809" s="430">
        <f>(BA133/(BA133+BA147))*100</f>
        <v>70.23164076665222</v>
      </c>
      <c r="BB809" s="429"/>
      <c r="BC809" s="430">
        <f>(BC133/(BC133+BC147))*100</f>
        <v>71.088764937456901</v>
      </c>
      <c r="BD809" s="429"/>
      <c r="BE809" s="430">
        <f>(BE133/(BE133+BE147))*100</f>
        <v>71.485079451495466</v>
      </c>
      <c r="BF809" s="429"/>
      <c r="BG809" s="430">
        <f>(BG133/(BG133+BG147))*100</f>
        <v>71.364013649359038</v>
      </c>
      <c r="BH809" s="429"/>
      <c r="BI809" s="430">
        <f>(BI133/(BI133+BI147))*100</f>
        <v>71.70219264403292</v>
      </c>
      <c r="BJ809" s="429"/>
      <c r="BK809" s="430">
        <f>(BK133/(BK133+BK147))*100</f>
        <v>71.964758125472414</v>
      </c>
      <c r="BL809" s="429"/>
      <c r="BM809" s="430">
        <f>(BM133/(BM133+BM147))*100</f>
        <v>72.165621524027529</v>
      </c>
      <c r="BN809" s="429"/>
      <c r="BO809" s="430">
        <f>(BO133/(BO133+BO147))*100</f>
        <v>72.861602824721032</v>
      </c>
      <c r="BP809" s="429"/>
      <c r="BQ809" s="430">
        <f>(BQ133/(BQ133+BQ147))*100</f>
        <v>73.777450581122153</v>
      </c>
      <c r="BR809" s="429"/>
      <c r="BS809" s="430">
        <f>(BS133/(BS133+BS147))*100</f>
        <v>74.601049337547281</v>
      </c>
      <c r="BT809" s="429"/>
      <c r="BU809" s="430">
        <f>(BU133/(BU133+BU147))*100</f>
        <v>70.037605048886562</v>
      </c>
      <c r="BV809" s="429"/>
      <c r="BW809" s="430">
        <f>(BW133/(BW133+BW147))*100</f>
        <v>70.408898246391672</v>
      </c>
      <c r="BX809" s="429"/>
      <c r="BY809" s="430">
        <f>(BY133/(BY133+BY147))*100</f>
        <v>70.204656733241748</v>
      </c>
      <c r="BZ809" s="429"/>
      <c r="CA809" s="430">
        <f>(CA133/(CA133+CA147))*100</f>
        <v>68.025598977152697</v>
      </c>
      <c r="CB809" s="429"/>
      <c r="CC809" s="430">
        <f>(CC133/(CC133+CC147))*100</f>
        <v>67.032982891613216</v>
      </c>
      <c r="CD809" s="429"/>
      <c r="CE809" s="430">
        <f>(CE133/(CE133+CE147))*100</f>
        <v>66.237052812080805</v>
      </c>
      <c r="CF809" s="429"/>
      <c r="CG809" s="430">
        <f>(CG133/(CG133+CG147))*100</f>
        <v>65.68175564116676</v>
      </c>
      <c r="CH809" s="429"/>
      <c r="CI809" s="430">
        <f>(CI133/(CI133+CI147))*100</f>
        <v>63.343876739176842</v>
      </c>
      <c r="CJ809" s="429"/>
      <c r="CK809" s="430">
        <f>(CK133/(CK133+CK147))*100</f>
        <v>63.153369677784944</v>
      </c>
      <c r="CL809" s="429"/>
      <c r="CM809" s="430">
        <f>(CM133/(CM133+CM147))*100</f>
        <v>62.8557871877072</v>
      </c>
      <c r="CN809" s="429"/>
      <c r="CO809" s="430">
        <f>(CO133/(CO133+CO147))*100</f>
        <v>62.302878598247815</v>
      </c>
      <c r="CP809" s="429"/>
      <c r="CQ809" s="509">
        <f>(CQ133/(CQ133+CQ147))*100</f>
        <v>61.651507023738652</v>
      </c>
      <c r="CR809" s="429"/>
      <c r="CS809" s="430">
        <f>(CS133/(CS133+CS147))*100</f>
        <v>62.047695683979519</v>
      </c>
      <c r="CT809" s="429"/>
      <c r="CU809" s="430">
        <f>(CU133/(CU133+CU147))*100</f>
        <v>61.217466972549637</v>
      </c>
      <c r="CV809" s="429"/>
      <c r="CW809" s="430">
        <f>(CW133/(CW133+CW147))*100</f>
        <v>62.1449596489513</v>
      </c>
      <c r="CX809" s="429"/>
      <c r="CY809" s="430">
        <f>(CY133/(CY133+CY147))*100</f>
        <v>60.268954970965673</v>
      </c>
      <c r="CZ809" s="429"/>
      <c r="DA809" s="430">
        <f>(DA133/(DA133+DA147))*100</f>
        <v>61.927589586037023</v>
      </c>
      <c r="DB809" s="429"/>
      <c r="DC809" s="430">
        <f>(DC133/(DC133+DC147))*100</f>
        <v>61.145996860282573</v>
      </c>
      <c r="DD809" s="429"/>
      <c r="DE809" s="430">
        <f>(DE133/(DE133+DE147))*100</f>
        <v>60.027237769707334</v>
      </c>
      <c r="DF809" s="429"/>
      <c r="DG809" s="430">
        <f>(DG133/(DG133+DG147))*100</f>
        <v>59.39315928901042</v>
      </c>
      <c r="DH809" s="429"/>
      <c r="DI809" s="430">
        <f>(DI133/(DI133+DI147))*100</f>
        <v>59.349683602759171</v>
      </c>
      <c r="DJ809" s="429"/>
      <c r="DK809" s="430">
        <f>(DK133/(DK133+DK147))*100</f>
        <v>58.029364472678388</v>
      </c>
      <c r="DL809" s="429"/>
      <c r="DM809" s="430">
        <f>(DM133/(DM133+DM147))*100</f>
        <v>57.665848174970733</v>
      </c>
      <c r="DN809" s="429"/>
      <c r="DO809" s="430">
        <f>(DO133/(DO133+DO147))*100</f>
        <v>58.058986665575077</v>
      </c>
      <c r="DP809" s="429"/>
      <c r="DQ809" s="430">
        <f>(DQ133/(DQ133+DQ147))*100</f>
        <v>58.690727684593661</v>
      </c>
      <c r="DR809" s="429"/>
      <c r="DS809" s="430">
        <f>(DS133/(DS133+DS147))*100</f>
        <v>54.065700313589616</v>
      </c>
      <c r="DT809" s="429"/>
      <c r="DU809" s="430">
        <f>(DU133/(DU133+DU147))*100</f>
        <v>53.802517382857083</v>
      </c>
      <c r="DV809" s="429"/>
      <c r="DW809" s="430">
        <f>(DW133/(DW133+DW147))*100</f>
        <v>54.136834184604155</v>
      </c>
      <c r="DX809" s="429"/>
      <c r="DY809" s="430">
        <f>(DY133/(DY133+DY147))*100</f>
        <v>54.937862658198931</v>
      </c>
      <c r="DZ809" s="429"/>
      <c r="EA809" s="430">
        <f>(EA133/(EA133+EA147))*100</f>
        <v>54.555443945591065</v>
      </c>
      <c r="EB809" s="429"/>
      <c r="EC809" s="430">
        <f>(EC133/(EC133+EC147))*100</f>
        <v>53.830701925367642</v>
      </c>
      <c r="ED809" s="429"/>
      <c r="EE809" s="430">
        <f>(EE133/(EE133+EE147))*100</f>
        <v>54.284574255845506</v>
      </c>
      <c r="EF809" s="1082"/>
      <c r="EG809" s="430">
        <f>(EG133/(EG133+EG147))*100</f>
        <v>54.384865814217484</v>
      </c>
      <c r="EH809" s="1082"/>
      <c r="EI809" s="430">
        <f>(EI133/(EI133+EI147))*100</f>
        <v>54.405510600163318</v>
      </c>
      <c r="EJ809" s="1082"/>
      <c r="EK809" s="430">
        <f>(EK133/(EK133+EK147))*100</f>
        <v>54.296829880398597</v>
      </c>
      <c r="EL809" s="1082"/>
      <c r="EM809" s="430">
        <f>(EM133/(EM133+EM147))*100</f>
        <v>56.579675907127822</v>
      </c>
      <c r="EN809" s="1082"/>
      <c r="EO809" s="430">
        <f>(EO133/(EO133+EO147))*100</f>
        <v>57.372109431780203</v>
      </c>
      <c r="EP809" s="429"/>
      <c r="EQ809" s="1081">
        <f>(EQ133/(EQ133+EQ147))*100</f>
        <v>58.378190238458657</v>
      </c>
      <c r="ER809" s="429"/>
      <c r="ES809" s="1081">
        <f>(ES133/(ES133+ES147))*100</f>
        <v>59.200460370292298</v>
      </c>
      <c r="ET809" s="429"/>
      <c r="EU809" s="1081">
        <f>(EU133/(EU133+EU147))*100</f>
        <v>59.968328922936031</v>
      </c>
      <c r="EV809" s="429"/>
      <c r="EW809" s="1081">
        <f>(EW133/(EW133+EW147))*100</f>
        <v>60.683911447047045</v>
      </c>
      <c r="EX809" s="429"/>
      <c r="EY809" s="430"/>
      <c r="EZ809" s="608"/>
      <c r="FA809" s="426"/>
      <c r="FB809" s="425">
        <f>(FB133/(FB133+FB147))*100</f>
        <v>52.938999568247702</v>
      </c>
      <c r="FC809" s="425"/>
      <c r="FD809" s="425">
        <f>(FD133/(FD133+FD147))*100</f>
        <v>51.355879817155504</v>
      </c>
      <c r="FE809" s="429"/>
      <c r="FF809" s="430">
        <f>(FF133/(FF133+FF147))*100</f>
        <v>53.192055181583974</v>
      </c>
      <c r="FG809" s="429"/>
      <c r="FH809" s="430">
        <f>(FH133/(FH133+FH147))*100</f>
        <v>57.59352221152524</v>
      </c>
      <c r="FI809" s="429"/>
      <c r="FJ809" s="430">
        <f>(FJ133/(FJ133+FJ147))*100</f>
        <v>58.928749046782272</v>
      </c>
      <c r="FK809" s="429"/>
      <c r="FL809" s="430">
        <f>(FL133/(FL133+FL147))*100</f>
        <v>59.807952032532398</v>
      </c>
      <c r="FM809" s="429"/>
      <c r="FN809" s="430">
        <f>(FN133/(FN133+FN147))*100</f>
        <v>61.826335209674376</v>
      </c>
      <c r="FO809" s="429"/>
      <c r="FP809" s="430">
        <f>(FP133/(FP133+FP147))*100</f>
        <v>69.013449680885586</v>
      </c>
      <c r="FQ809" s="429"/>
      <c r="FR809" s="430">
        <f>(FR133/(FR133+FR147))*100</f>
        <v>71.485079451495466</v>
      </c>
      <c r="FS809" s="429"/>
      <c r="FT809" s="430">
        <f>(FT133/(FT133+FT147))*100</f>
        <v>72.165621524027529</v>
      </c>
      <c r="FU809" s="429"/>
      <c r="FV809" s="430">
        <f>(FV133/(FV133+FV147))*100</f>
        <v>77.295243628357824</v>
      </c>
      <c r="FW809" s="429"/>
      <c r="FX809" s="509">
        <f>(FX133/(FX133+FX147))*100</f>
        <v>75.478149994204244</v>
      </c>
      <c r="FY809" s="429"/>
      <c r="FZ809" s="430">
        <f>(FZ133/(FZ133+FZ147))*100</f>
        <v>62.711239314550646</v>
      </c>
      <c r="GA809" s="429"/>
      <c r="GB809" s="509">
        <f>(GB133/(GB133+GB147))*100</f>
        <v>62.047695683979519</v>
      </c>
      <c r="GC809" s="429"/>
      <c r="GD809" s="430">
        <f>(GD133/(GD133+GD147))*100</f>
        <v>61.927589586037023</v>
      </c>
      <c r="GE809" s="429"/>
      <c r="GF809" s="430">
        <f>(GF133/(GF133+GF147))*100</f>
        <v>59.349683602759171</v>
      </c>
      <c r="GG809" s="429"/>
      <c r="GH809" s="430">
        <f>(GH133/(GH133+GH147))*100</f>
        <v>58.690727684593661</v>
      </c>
      <c r="GI809" s="429"/>
      <c r="GJ809" s="430">
        <f>(GJ133/(GJ133+GJ147))*100</f>
        <v>54.937862658198931</v>
      </c>
      <c r="GK809" s="429"/>
      <c r="GL809" s="430">
        <f>(GL133/(GL133+GL147))*100</f>
        <v>54.384865814217484</v>
      </c>
      <c r="GM809" s="98">
        <f t="shared" si="4915"/>
        <v>-1.0065860177742469</v>
      </c>
      <c r="GN809" s="430">
        <f>(GN133/(GN133+GN147))*100</f>
        <v>57.372109431780203</v>
      </c>
      <c r="GO809" s="98">
        <f t="shared" si="4915"/>
        <v>5.4927847533307483</v>
      </c>
      <c r="GP809" s="430">
        <f>(GP133/(GP133+GP147))*100</f>
        <v>60.683911447047066</v>
      </c>
      <c r="GQ809" s="98">
        <f t="shared" si="4915"/>
        <v>5.7724947680455108</v>
      </c>
      <c r="GR809" s="430">
        <f>(GR133/(GR133+GR147))*100</f>
        <v>64.306447770215556</v>
      </c>
      <c r="GS809" s="98">
        <f t="shared" si="4915"/>
        <v>5.96951685675291</v>
      </c>
      <c r="GT809" s="430">
        <f>(GT133/(GT133+GT147))*100</f>
        <v>67.604946828960365</v>
      </c>
      <c r="GU809" s="429"/>
      <c r="GV809" s="430">
        <f>(GV133/(GV133+GV147))*100</f>
        <v>70.439059796997356</v>
      </c>
      <c r="GW809" s="429"/>
      <c r="GX809" s="430">
        <f>(GX133/(GX133+GX147))*100</f>
        <v>72.797326777483732</v>
      </c>
      <c r="GY809" s="429"/>
      <c r="GZ809" s="33"/>
      <c r="HA809" s="33"/>
      <c r="HB809" s="10"/>
      <c r="HC809"/>
      <c r="HD809"/>
      <c r="HE809"/>
      <c r="HF809"/>
      <c r="HG809"/>
      <c r="HH809"/>
      <c r="HI809" s="10"/>
    </row>
    <row r="810" spans="1:217" s="2" customFormat="1" ht="12.75" hidden="1" customHeight="1" outlineLevel="1" x14ac:dyDescent="0.2">
      <c r="A810" s="351"/>
      <c r="C810" s="425"/>
      <c r="D810" s="425"/>
      <c r="E810" s="425"/>
      <c r="F810" s="425"/>
      <c r="G810" s="425"/>
      <c r="H810" s="425"/>
      <c r="I810" s="425"/>
      <c r="J810" s="429"/>
      <c r="K810" s="425"/>
      <c r="L810" s="429"/>
      <c r="M810" s="425"/>
      <c r="N810" s="429"/>
      <c r="O810" s="425"/>
      <c r="P810" s="429"/>
      <c r="Q810" s="425"/>
      <c r="R810" s="429"/>
      <c r="S810" s="425"/>
      <c r="T810" s="429"/>
      <c r="U810" s="425"/>
      <c r="V810" s="429"/>
      <c r="W810" s="425"/>
      <c r="X810" s="429"/>
      <c r="Y810" s="425"/>
      <c r="Z810" s="429"/>
      <c r="AA810" s="430"/>
      <c r="AB810" s="429"/>
      <c r="AC810" s="430"/>
      <c r="AD810" s="429"/>
      <c r="AE810" s="430"/>
      <c r="AF810" s="429"/>
      <c r="AG810" s="430"/>
      <c r="AH810" s="429"/>
      <c r="AI810" s="430"/>
      <c r="AJ810" s="429"/>
      <c r="AK810" s="430"/>
      <c r="AL810" s="429"/>
      <c r="AM810" s="430"/>
      <c r="AN810" s="429"/>
      <c r="AO810" s="430"/>
      <c r="AP810" s="429"/>
      <c r="AQ810" s="430"/>
      <c r="AR810" s="429"/>
      <c r="AS810" s="430"/>
      <c r="AT810" s="429"/>
      <c r="AU810" s="430"/>
      <c r="AV810" s="429"/>
      <c r="AW810" s="430"/>
      <c r="AX810" s="429"/>
      <c r="AY810" s="430"/>
      <c r="AZ810" s="429"/>
      <c r="BA810" s="430"/>
      <c r="BB810" s="429"/>
      <c r="BC810" s="430"/>
      <c r="BD810" s="429"/>
      <c r="BE810" s="430"/>
      <c r="BF810" s="429"/>
      <c r="BG810" s="430"/>
      <c r="BH810" s="429"/>
      <c r="BI810" s="430"/>
      <c r="BJ810" s="429"/>
      <c r="BK810" s="430"/>
      <c r="BL810" s="429"/>
      <c r="BM810" s="430"/>
      <c r="BN810" s="429"/>
      <c r="BO810" s="430"/>
      <c r="BP810" s="429"/>
      <c r="BQ810" s="430"/>
      <c r="BR810" s="429"/>
      <c r="BS810" s="430"/>
      <c r="BT810" s="429"/>
      <c r="BU810" s="430"/>
      <c r="BV810" s="429"/>
      <c r="BW810" s="430"/>
      <c r="BX810" s="429"/>
      <c r="BY810" s="430"/>
      <c r="BZ810" s="429"/>
      <c r="CA810" s="430"/>
      <c r="CB810" s="429"/>
      <c r="CC810" s="430"/>
      <c r="CD810" s="429"/>
      <c r="CE810" s="430"/>
      <c r="CF810" s="429"/>
      <c r="CG810" s="430"/>
      <c r="CH810" s="429"/>
      <c r="CI810" s="430"/>
      <c r="CJ810" s="429"/>
      <c r="CK810" s="430"/>
      <c r="CL810" s="429"/>
      <c r="CM810" s="430"/>
      <c r="CN810" s="429"/>
      <c r="CO810" s="430"/>
      <c r="CP810" s="429"/>
      <c r="CQ810" s="509"/>
      <c r="CR810" s="429"/>
      <c r="CS810" s="430"/>
      <c r="CT810" s="429"/>
      <c r="CU810" s="430"/>
      <c r="CV810" s="429"/>
      <c r="CW810" s="430"/>
      <c r="CX810" s="429"/>
      <c r="CY810" s="430"/>
      <c r="CZ810" s="429"/>
      <c r="DA810" s="430"/>
      <c r="DB810" s="429"/>
      <c r="DC810" s="430"/>
      <c r="DD810" s="429"/>
      <c r="DE810" s="430"/>
      <c r="DF810" s="429"/>
      <c r="DG810" s="430"/>
      <c r="DH810" s="429"/>
      <c r="DI810" s="430"/>
      <c r="DJ810" s="429"/>
      <c r="DK810" s="430"/>
      <c r="DL810" s="429"/>
      <c r="DM810" s="430"/>
      <c r="DN810" s="429"/>
      <c r="DO810" s="430"/>
      <c r="DP810" s="429"/>
      <c r="DQ810" s="430"/>
      <c r="DR810" s="429"/>
      <c r="DS810" s="430"/>
      <c r="DT810" s="429"/>
      <c r="DU810" s="430"/>
      <c r="DV810" s="429"/>
      <c r="DW810" s="430"/>
      <c r="DX810" s="429"/>
      <c r="DY810" s="430"/>
      <c r="DZ810" s="429"/>
      <c r="EA810" s="430"/>
      <c r="EB810" s="429"/>
      <c r="EC810" s="430"/>
      <c r="ED810" s="429"/>
      <c r="EE810" s="430"/>
      <c r="EF810" s="1082"/>
      <c r="EG810" s="430"/>
      <c r="EH810" s="1082"/>
      <c r="EI810" s="430"/>
      <c r="EJ810" s="1082"/>
      <c r="EK810" s="430"/>
      <c r="EL810" s="1082"/>
      <c r="EM810" s="430"/>
      <c r="EN810" s="1082"/>
      <c r="EO810" s="430"/>
      <c r="EP810" s="429"/>
      <c r="EQ810" s="1081"/>
      <c r="ER810" s="429"/>
      <c r="ES810" s="1081"/>
      <c r="ET810" s="429"/>
      <c r="EU810" s="1081"/>
      <c r="EV810" s="429"/>
      <c r="EW810" s="1081"/>
      <c r="EX810" s="429"/>
      <c r="EY810" s="430"/>
      <c r="EZ810" s="608"/>
      <c r="FA810" s="426"/>
      <c r="FB810" s="425"/>
      <c r="FC810" s="425"/>
      <c r="FD810" s="425"/>
      <c r="FE810" s="429"/>
      <c r="FF810" s="430"/>
      <c r="FG810" s="429"/>
      <c r="FH810" s="430"/>
      <c r="FI810" s="429"/>
      <c r="FJ810" s="430"/>
      <c r="FK810" s="429"/>
      <c r="FL810" s="430"/>
      <c r="FM810" s="429"/>
      <c r="FN810" s="430"/>
      <c r="FO810" s="429"/>
      <c r="FP810" s="430"/>
      <c r="FQ810" s="429"/>
      <c r="FR810" s="430"/>
      <c r="FS810" s="429"/>
      <c r="FT810" s="430"/>
      <c r="FU810" s="429"/>
      <c r="FV810" s="430"/>
      <c r="FW810" s="429"/>
      <c r="FX810" s="509"/>
      <c r="FY810" s="429"/>
      <c r="FZ810" s="430"/>
      <c r="GA810" s="429"/>
      <c r="GB810" s="509"/>
      <c r="GC810" s="429"/>
      <c r="GD810" s="430"/>
      <c r="GE810" s="429"/>
      <c r="GF810" s="430"/>
      <c r="GG810" s="429"/>
      <c r="GH810" s="430"/>
      <c r="GI810" s="429"/>
      <c r="GJ810" s="430"/>
      <c r="GK810" s="429"/>
      <c r="GL810" s="430"/>
      <c r="GM810" s="429"/>
      <c r="GN810" s="430"/>
      <c r="GO810" s="429"/>
      <c r="GP810" s="430"/>
      <c r="GQ810" s="429"/>
      <c r="GR810" s="430"/>
      <c r="GS810" s="429"/>
      <c r="GT810" s="430"/>
      <c r="GU810" s="429"/>
      <c r="GV810" s="430"/>
      <c r="GW810" s="429"/>
      <c r="GX810" s="430"/>
      <c r="GY810" s="429"/>
      <c r="GZ810" s="33"/>
      <c r="HA810" s="33"/>
      <c r="HB810" s="10"/>
      <c r="HC810"/>
      <c r="HD810"/>
      <c r="HE810"/>
      <c r="HF810"/>
      <c r="HG810"/>
      <c r="HH810"/>
      <c r="HI810" s="10"/>
    </row>
    <row r="811" spans="1:217" s="2" customFormat="1" ht="12.75" hidden="1" customHeight="1" outlineLevel="1" x14ac:dyDescent="0.2">
      <c r="A811" s="28"/>
      <c r="B811" s="131" t="s">
        <v>277</v>
      </c>
      <c r="D811" s="11"/>
      <c r="F811" s="11"/>
      <c r="H811" s="11"/>
      <c r="J811" s="36"/>
      <c r="L811" s="36"/>
      <c r="N811" s="36"/>
      <c r="O811" s="399"/>
      <c r="P811" s="36"/>
      <c r="Q811" s="399"/>
      <c r="R811" s="36"/>
      <c r="S811" s="32"/>
      <c r="T811" s="36"/>
      <c r="U811" s="32"/>
      <c r="V811" s="36"/>
      <c r="W811" s="32"/>
      <c r="X811" s="36"/>
      <c r="Y811" s="32"/>
      <c r="Z811" s="36"/>
      <c r="AA811" s="32"/>
      <c r="AB811" s="36"/>
      <c r="AC811" s="32"/>
      <c r="AD811" s="36"/>
      <c r="AE811" s="32"/>
      <c r="AF811" s="36"/>
      <c r="AG811" s="32"/>
      <c r="AH811" s="36"/>
      <c r="AI811" s="32"/>
      <c r="AJ811" s="36"/>
      <c r="AK811" s="32"/>
      <c r="AL811" s="36"/>
      <c r="AM811" s="32"/>
      <c r="AN811" s="36"/>
      <c r="AO811" s="32"/>
      <c r="AP811" s="36"/>
      <c r="AQ811" s="32"/>
      <c r="AR811" s="36"/>
      <c r="AS811" s="32"/>
      <c r="AT811" s="36"/>
      <c r="AU811" s="32"/>
      <c r="AV811" s="36"/>
      <c r="AW811" s="32"/>
      <c r="AX811" s="36"/>
      <c r="AY811" s="32"/>
      <c r="AZ811" s="36"/>
      <c r="BA811" s="32"/>
      <c r="BB811" s="36"/>
      <c r="BC811" s="32"/>
      <c r="BD811" s="36"/>
      <c r="BE811" s="32"/>
      <c r="BF811" s="36"/>
      <c r="BG811" s="32"/>
      <c r="BH811" s="36"/>
      <c r="BI811" s="32"/>
      <c r="BJ811" s="36"/>
      <c r="BK811" s="32"/>
      <c r="BL811" s="36"/>
      <c r="BM811" s="32"/>
      <c r="BN811" s="36"/>
      <c r="BO811" s="32"/>
      <c r="BP811" s="36"/>
      <c r="BQ811" s="32"/>
      <c r="BR811" s="36"/>
      <c r="BS811" s="32"/>
      <c r="BT811" s="36"/>
      <c r="BU811" s="32"/>
      <c r="BV811" s="36"/>
      <c r="BW811" s="32"/>
      <c r="BX811" s="36"/>
      <c r="BY811" s="32"/>
      <c r="BZ811" s="36"/>
      <c r="CA811" s="32"/>
      <c r="CB811" s="36"/>
      <c r="CC811" s="32"/>
      <c r="CD811" s="36"/>
      <c r="CE811" s="32"/>
      <c r="CF811" s="36"/>
      <c r="CG811" s="32"/>
      <c r="CH811" s="36"/>
      <c r="CI811" s="32"/>
      <c r="CJ811" s="36"/>
      <c r="CK811" s="32"/>
      <c r="CL811" s="36"/>
      <c r="CM811" s="32"/>
      <c r="CN811" s="36"/>
      <c r="CO811" s="32"/>
      <c r="CP811" s="36"/>
      <c r="CQ811" s="536"/>
      <c r="CR811" s="36"/>
      <c r="CS811" s="32"/>
      <c r="CT811" s="36"/>
      <c r="CU811" s="32"/>
      <c r="CV811" s="36"/>
      <c r="CW811" s="32"/>
      <c r="CX811" s="36"/>
      <c r="CY811" s="32"/>
      <c r="CZ811" s="36"/>
      <c r="DA811" s="32"/>
      <c r="DB811" s="36"/>
      <c r="DC811" s="32"/>
      <c r="DD811" s="36"/>
      <c r="DE811" s="32"/>
      <c r="DF811" s="36"/>
      <c r="DG811" s="32"/>
      <c r="DH811" s="36"/>
      <c r="DI811" s="32"/>
      <c r="DJ811" s="36"/>
      <c r="DK811" s="32"/>
      <c r="DL811" s="36"/>
      <c r="DM811" s="32"/>
      <c r="DN811" s="36"/>
      <c r="DO811" s="32"/>
      <c r="DP811" s="36"/>
      <c r="DQ811" s="32"/>
      <c r="DR811" s="36"/>
      <c r="DS811" s="32"/>
      <c r="DT811" s="36"/>
      <c r="DU811" s="32"/>
      <c r="DV811" s="36"/>
      <c r="DW811" s="32"/>
      <c r="DX811" s="36"/>
      <c r="DY811" s="32"/>
      <c r="DZ811" s="36"/>
      <c r="EA811" s="32"/>
      <c r="EB811" s="36"/>
      <c r="EC811" s="32"/>
      <c r="ED811" s="36"/>
      <c r="EE811" s="32"/>
      <c r="EF811" s="768"/>
      <c r="EG811" s="32"/>
      <c r="EH811" s="768"/>
      <c r="EI811" s="32"/>
      <c r="EJ811" s="768"/>
      <c r="EK811" s="32"/>
      <c r="EL811" s="768"/>
      <c r="EM811" s="32"/>
      <c r="EN811" s="768"/>
      <c r="EO811" s="32"/>
      <c r="EP811" s="36"/>
      <c r="EQ811" s="1085"/>
      <c r="ER811" s="36"/>
      <c r="ES811" s="1085"/>
      <c r="ET811" s="36"/>
      <c r="EU811" s="1085"/>
      <c r="EV811" s="36"/>
      <c r="EW811" s="1085"/>
      <c r="EX811" s="36"/>
      <c r="EY811" s="32"/>
      <c r="EZ811" s="602"/>
      <c r="FA811" s="266"/>
      <c r="FB811" s="399"/>
      <c r="FC811" s="11"/>
      <c r="FD811" s="399"/>
      <c r="FE811" s="36"/>
      <c r="FF811" s="399"/>
      <c r="FG811" s="36"/>
      <c r="FH811" s="399"/>
      <c r="FI811" s="36"/>
      <c r="FJ811" s="399"/>
      <c r="FK811" s="36"/>
      <c r="FL811" s="399"/>
      <c r="FM811" s="36"/>
      <c r="FN811" s="399"/>
      <c r="FO811" s="36"/>
      <c r="FP811" s="399"/>
      <c r="FQ811" s="36"/>
      <c r="FR811" s="399"/>
      <c r="FS811" s="36"/>
      <c r="FT811" s="32"/>
      <c r="FU811" s="36"/>
      <c r="FV811" s="32"/>
      <c r="FW811" s="36"/>
      <c r="FX811" s="536"/>
      <c r="FY811" s="36"/>
      <c r="FZ811" s="32"/>
      <c r="GA811" s="36"/>
      <c r="GB811" s="536"/>
      <c r="GC811" s="36"/>
      <c r="GD811" s="32"/>
      <c r="GE811" s="36"/>
      <c r="GF811" s="32"/>
      <c r="GG811" s="36"/>
      <c r="GH811" s="32"/>
      <c r="GI811" s="36"/>
      <c r="GJ811" s="32"/>
      <c r="GK811" s="36"/>
      <c r="GL811" s="32"/>
      <c r="GM811" s="36"/>
      <c r="GN811" s="32"/>
      <c r="GO811" s="36"/>
      <c r="GP811" s="32"/>
      <c r="GQ811" s="36"/>
      <c r="GR811" s="32"/>
      <c r="GS811" s="36"/>
      <c r="GT811" s="32"/>
      <c r="GU811" s="36"/>
      <c r="GV811" s="32"/>
      <c r="GW811" s="36"/>
      <c r="GX811" s="32"/>
      <c r="GY811" s="36"/>
      <c r="GZ811" s="36"/>
      <c r="HA811" s="36"/>
      <c r="HB811" s="10"/>
      <c r="HC811"/>
      <c r="HD811"/>
      <c r="HE811"/>
      <c r="HF811"/>
      <c r="HG811"/>
      <c r="HH811"/>
      <c r="HI811" s="10"/>
    </row>
    <row r="812" spans="1:217" s="10" customFormat="1" ht="12.75" hidden="1" customHeight="1" outlineLevel="1" x14ac:dyDescent="0.2">
      <c r="A812" s="28"/>
      <c r="B812" s="10" t="s">
        <v>276</v>
      </c>
      <c r="C812" s="16">
        <f>C370+C301+C334</f>
        <v>11</v>
      </c>
      <c r="D812" s="16"/>
      <c r="E812" s="16">
        <f>E370+E301+E334</f>
        <v>7</v>
      </c>
      <c r="F812" s="16"/>
      <c r="G812" s="16">
        <f>G370+G301+G334</f>
        <v>5</v>
      </c>
      <c r="H812" s="16"/>
      <c r="I812" s="16">
        <f>I370+I301+I334</f>
        <v>3</v>
      </c>
      <c r="J812" s="16"/>
      <c r="K812" s="16">
        <f>K370+K301+K334</f>
        <v>18</v>
      </c>
      <c r="L812" s="440"/>
      <c r="M812" s="16">
        <f>M370+M301+M334</f>
        <v>11</v>
      </c>
      <c r="N812" s="440"/>
      <c r="O812" s="16">
        <f>O370+O301+O334</f>
        <v>11</v>
      </c>
      <c r="P812" s="440"/>
      <c r="Q812" s="16">
        <f>Q370+Q301+Q334</f>
        <v>-8</v>
      </c>
      <c r="R812" s="440"/>
      <c r="S812" s="16">
        <f>S370+S301+S334</f>
        <v>14</v>
      </c>
      <c r="T812" s="440"/>
      <c r="U812" s="16">
        <f>U370+U301+U334</f>
        <v>2</v>
      </c>
      <c r="V812" s="440"/>
      <c r="W812" s="16">
        <f>W370+W301+W334</f>
        <v>40</v>
      </c>
      <c r="X812" s="440"/>
      <c r="Y812" s="16">
        <f>Y370+Y301+Y334</f>
        <v>38</v>
      </c>
      <c r="Z812" s="440"/>
      <c r="AA812" s="16">
        <f>AA370+AA301+AA334</f>
        <v>28</v>
      </c>
      <c r="AB812" s="440"/>
      <c r="AC812" s="16">
        <f>AC370+AC301+AC334</f>
        <v>102</v>
      </c>
      <c r="AD812" s="440"/>
      <c r="AE812" s="16">
        <f>AE370+AE301+AE334</f>
        <v>37</v>
      </c>
      <c r="AF812" s="440"/>
      <c r="AG812" s="16">
        <f>AG370+AG301+AG334</f>
        <v>34</v>
      </c>
      <c r="AH812" s="440"/>
      <c r="AI812" s="16">
        <f>AI370+AI301+AI334</f>
        <v>44</v>
      </c>
      <c r="AJ812" s="440"/>
      <c r="AK812" s="16">
        <f>AK370+AK301+AK334</f>
        <v>41</v>
      </c>
      <c r="AL812" s="440"/>
      <c r="AM812" s="16">
        <f>AM370+AM301+AM334</f>
        <v>47</v>
      </c>
      <c r="AN812" s="440"/>
      <c r="AO812" s="16">
        <f>AO370+AO301+AO334</f>
        <v>30</v>
      </c>
      <c r="AP812" s="440"/>
      <c r="AQ812" s="16">
        <f>AQ370+AQ301+AQ334</f>
        <v>68</v>
      </c>
      <c r="AR812" s="440"/>
      <c r="AS812" s="16">
        <f>AS370+AS301+AS334</f>
        <v>51</v>
      </c>
      <c r="AT812" s="440"/>
      <c r="AU812" s="16">
        <f>AU370+AU301+AU334</f>
        <v>66</v>
      </c>
      <c r="AV812" s="440"/>
      <c r="AW812" s="16">
        <f>AW370+AW301+AW334</f>
        <v>48</v>
      </c>
      <c r="AX812" s="440"/>
      <c r="AY812" s="16">
        <f>AY370+AY301+AY334</f>
        <v>76</v>
      </c>
      <c r="AZ812" s="440"/>
      <c r="BA812" s="16">
        <f>BA370+BA301+BA334</f>
        <v>64</v>
      </c>
      <c r="BB812" s="440"/>
      <c r="BC812" s="16">
        <f>BC370+BC301+BC334</f>
        <v>72</v>
      </c>
      <c r="BD812" s="440"/>
      <c r="BE812" s="16">
        <f>BE370+BE301+BE334</f>
        <v>16</v>
      </c>
      <c r="BF812" s="440"/>
      <c r="BG812" s="16">
        <f>BG370+BG301+BG334</f>
        <v>124</v>
      </c>
      <c r="BH812" s="440"/>
      <c r="BI812" s="16">
        <f>BI370+BI301+BI334</f>
        <v>117</v>
      </c>
      <c r="BJ812" s="440"/>
      <c r="BK812" s="16">
        <f>BK370+BK301+BK334</f>
        <v>134</v>
      </c>
      <c r="BL812" s="440"/>
      <c r="BM812" s="16">
        <f>BM370+BM301+BM334</f>
        <v>193</v>
      </c>
      <c r="BN812" s="440"/>
      <c r="BO812" s="16">
        <f>BO370+BO301+BO334</f>
        <v>136</v>
      </c>
      <c r="BP812" s="440"/>
      <c r="BQ812" s="16">
        <f>BQ370+BQ301+BQ334</f>
        <v>147</v>
      </c>
      <c r="BR812" s="440"/>
      <c r="BS812" s="16">
        <f>BS370+BS301+BS334</f>
        <v>144</v>
      </c>
      <c r="BT812" s="440"/>
      <c r="BU812" s="16">
        <f>BU370+BU301+BU334</f>
        <v>78</v>
      </c>
      <c r="BV812" s="440"/>
      <c r="BW812" s="16">
        <f>BW370+BW301+BW334</f>
        <v>131</v>
      </c>
      <c r="BX812" s="440"/>
      <c r="BY812" s="16">
        <f>BY370+BY301+BY334</f>
        <v>158</v>
      </c>
      <c r="BZ812" s="440"/>
      <c r="CA812" s="16">
        <f>CA370+CA301+CA334</f>
        <v>153</v>
      </c>
      <c r="CB812" s="440"/>
      <c r="CC812" s="16">
        <f>CC370+CC301+CC334</f>
        <v>21</v>
      </c>
      <c r="CD812" s="440"/>
      <c r="CE812" s="16">
        <f>CE370+CE301+CE334</f>
        <v>147</v>
      </c>
      <c r="CF812" s="440"/>
      <c r="CG812" s="16">
        <f>CG370+CG301+CG334</f>
        <v>142</v>
      </c>
      <c r="CH812" s="440"/>
      <c r="CI812" s="16">
        <f>CI370+CI301+CI334</f>
        <v>189</v>
      </c>
      <c r="CJ812" s="440"/>
      <c r="CK812" s="16">
        <f>CK370+CK301+CK334</f>
        <v>302</v>
      </c>
      <c r="CL812" s="440"/>
      <c r="CM812" s="16">
        <f>CM370+CM301+CM334</f>
        <v>424</v>
      </c>
      <c r="CN812" s="440"/>
      <c r="CO812" s="16">
        <f>CO370+CO301+CO334</f>
        <v>364</v>
      </c>
      <c r="CP812" s="440"/>
      <c r="CQ812" s="535">
        <f>CQ370+CQ301+CQ334</f>
        <v>428</v>
      </c>
      <c r="CR812" s="440"/>
      <c r="CS812" s="16">
        <f>CS370+CS301+CS334</f>
        <v>429</v>
      </c>
      <c r="CT812" s="440"/>
      <c r="CU812" s="16">
        <f>CU370+CU301+CU334</f>
        <v>521</v>
      </c>
      <c r="CV812" s="440"/>
      <c r="CW812" s="16">
        <f>CW370+CW301+CW334</f>
        <v>492</v>
      </c>
      <c r="CX812" s="440"/>
      <c r="CY812" s="16">
        <f>CY370+CY301+CY334</f>
        <v>473</v>
      </c>
      <c r="CZ812" s="440"/>
      <c r="DA812" s="16">
        <f>DA370+DA301+DA334</f>
        <v>405</v>
      </c>
      <c r="DB812" s="440"/>
      <c r="DC812" s="16">
        <f>DC370+DC301+DC334</f>
        <v>563</v>
      </c>
      <c r="DD812" s="440"/>
      <c r="DE812" s="16">
        <f>DE370+DE301+DE334</f>
        <v>523</v>
      </c>
      <c r="DF812" s="440"/>
      <c r="DG812" s="16">
        <f>DG370+DG301+DG334</f>
        <v>475</v>
      </c>
      <c r="DH812" s="440"/>
      <c r="DI812" s="16">
        <f>DI370+DI301+DI334</f>
        <v>586</v>
      </c>
      <c r="DJ812" s="440"/>
      <c r="DK812" s="16">
        <f>DK370+DK301+DK334</f>
        <v>562</v>
      </c>
      <c r="DL812" s="440"/>
      <c r="DM812" s="16">
        <f>DM370+DM301+DM334</f>
        <v>532</v>
      </c>
      <c r="DN812" s="440"/>
      <c r="DO812" s="16">
        <f>DO370+DO301+DO334</f>
        <v>510</v>
      </c>
      <c r="DP812" s="440"/>
      <c r="DQ812" s="16">
        <f>DQ370+DQ301+DQ334</f>
        <v>556</v>
      </c>
      <c r="DR812" s="440"/>
      <c r="DS812" s="16">
        <f>DS370+DS301+DS334</f>
        <v>546</v>
      </c>
      <c r="DT812" s="440"/>
      <c r="DU812" s="16">
        <f>DU370+DU301+DU334</f>
        <v>611</v>
      </c>
      <c r="DV812" s="440"/>
      <c r="DW812" s="16">
        <f>DW370+DW301+DW334</f>
        <v>587</v>
      </c>
      <c r="DX812" s="440"/>
      <c r="DY812" s="16">
        <f>DY370+DY301+DY334</f>
        <v>501</v>
      </c>
      <c r="DZ812" s="440"/>
      <c r="EA812" s="16">
        <f>EA370+EA301+EA334</f>
        <v>519</v>
      </c>
      <c r="EB812" s="440"/>
      <c r="EC812" s="16">
        <f>EC370+EC301+EC334</f>
        <v>460</v>
      </c>
      <c r="ED812" s="440"/>
      <c r="EE812" s="16">
        <f>EE370+EE301+EE334</f>
        <v>531</v>
      </c>
      <c r="EF812" s="1080"/>
      <c r="EG812" s="16">
        <f>EG370+EG301+EG334</f>
        <v>548</v>
      </c>
      <c r="EH812" s="1080"/>
      <c r="EI812" s="16">
        <f>EI370+EI301+EI334</f>
        <v>513</v>
      </c>
      <c r="EJ812" s="1080"/>
      <c r="EK812" s="16">
        <f>EK370+EK301+EK334</f>
        <v>536</v>
      </c>
      <c r="EL812" s="1080"/>
      <c r="EM812" s="16">
        <f>EM370+EM301+EM334</f>
        <v>548</v>
      </c>
      <c r="EN812" s="1080"/>
      <c r="EO812" s="16">
        <f>EO370+EO301+EO334</f>
        <v>514</v>
      </c>
      <c r="EP812" s="440"/>
      <c r="EQ812" s="1079">
        <f>EQ370+EQ301+EQ334</f>
        <v>562.23452986067332</v>
      </c>
      <c r="ER812" s="440"/>
      <c r="ES812" s="1079">
        <f>ES370+ES301+ES334</f>
        <v>574.1826418704178</v>
      </c>
      <c r="ET812" s="440"/>
      <c r="EU812" s="1079">
        <f>EU370+EU301+EU334</f>
        <v>590.26589220179437</v>
      </c>
      <c r="EV812" s="440"/>
      <c r="EW812" s="1079">
        <f>EW370+EW301+EW334</f>
        <v>563.93858717075705</v>
      </c>
      <c r="EX812" s="440"/>
      <c r="EY812" s="16"/>
      <c r="EZ812" s="607"/>
      <c r="FA812" s="427"/>
      <c r="FB812" s="16"/>
      <c r="FC812" s="16"/>
      <c r="FD812" s="16"/>
      <c r="FE812" s="440"/>
      <c r="FF812" s="16"/>
      <c r="FG812" s="440"/>
      <c r="FH812" s="16"/>
      <c r="FI812" s="440"/>
      <c r="FJ812" s="16"/>
      <c r="FK812" s="440"/>
      <c r="FL812" s="16"/>
      <c r="FM812" s="440"/>
      <c r="FN812" s="16"/>
      <c r="FO812" s="440"/>
      <c r="FP812" s="16"/>
      <c r="FQ812" s="440"/>
      <c r="FR812" s="16"/>
      <c r="FS812" s="440"/>
      <c r="FT812" s="16"/>
      <c r="FU812" s="440"/>
      <c r="FV812" s="16"/>
      <c r="FW812" s="440"/>
      <c r="FX812" s="535"/>
      <c r="FY812" s="440"/>
      <c r="FZ812" s="16">
        <f>FZ370+FZ301+FZ334</f>
        <v>780</v>
      </c>
      <c r="GA812" s="440"/>
      <c r="GB812" s="535">
        <f>GB370+GB301+GB334</f>
        <v>1645</v>
      </c>
      <c r="GC812" s="440"/>
      <c r="GD812" s="16">
        <f>GD370+GD301+GD334</f>
        <v>1891</v>
      </c>
      <c r="GE812" s="440"/>
      <c r="GF812" s="16">
        <f>GF370+GF301+GF334</f>
        <v>2147</v>
      </c>
      <c r="GG812" s="440"/>
      <c r="GH812" s="16">
        <f>GH370+GH301+GH334</f>
        <v>2160</v>
      </c>
      <c r="GI812" s="440"/>
      <c r="GJ812" s="16">
        <f>GJ370+GJ301+GJ334</f>
        <v>2245</v>
      </c>
      <c r="GK812" s="440"/>
      <c r="GL812" s="16">
        <f>GL370+GL301+GL334</f>
        <v>2058</v>
      </c>
      <c r="GM812" s="98">
        <f t="shared" ref="GM812:GS813" si="4916">IF(ISERROR((GL812/GJ812-1)*100),"NA",IF(((GL812/GJ812-1)*100)&gt;100,"NM",IF(((GL812/GJ812-1)*100)&lt;-50,"NM",(GL812/GJ812-1)*100)))</f>
        <v>-8.32962138084633</v>
      </c>
      <c r="GN812" s="16">
        <f>GN370+GN301+GN334</f>
        <v>2111</v>
      </c>
      <c r="GO812" s="98">
        <f t="shared" si="4916"/>
        <v>2.5753158406219612</v>
      </c>
      <c r="GP812" s="16">
        <f>GP370+GP301+GP334</f>
        <v>2290.6216511036446</v>
      </c>
      <c r="GQ812" s="98">
        <f t="shared" si="4916"/>
        <v>8.5088418334270379</v>
      </c>
      <c r="GR812" s="16">
        <f>GR370+GR301+GR334</f>
        <v>2482.6983155741063</v>
      </c>
      <c r="GS812" s="98">
        <f t="shared" si="4916"/>
        <v>8.3853509538739157</v>
      </c>
      <c r="GT812" s="16">
        <f>GT370+GT301+GT334</f>
        <v>2628.5111376915734</v>
      </c>
      <c r="GU812" s="440"/>
      <c r="GV812" s="16">
        <f>GV370+GV301+GV334</f>
        <v>2792.3690914895033</v>
      </c>
      <c r="GW812" s="440"/>
      <c r="GX812" s="16">
        <f>GX370+GX301+GX334</f>
        <v>2908.3112180836388</v>
      </c>
      <c r="GY812" s="440"/>
      <c r="GZ812" s="455"/>
      <c r="HA812" s="455"/>
      <c r="HC812"/>
      <c r="HD812"/>
      <c r="HE812"/>
      <c r="HF812"/>
      <c r="HG812"/>
      <c r="HH812"/>
    </row>
    <row r="813" spans="1:217" s="10" customFormat="1" ht="12.75" hidden="1" customHeight="1" outlineLevel="1" x14ac:dyDescent="0.2">
      <c r="A813" s="28"/>
      <c r="B813" s="10" t="s">
        <v>482</v>
      </c>
      <c r="C813" s="16">
        <f>C115+C190+C269+C503+C579</f>
        <v>86.275498241500586</v>
      </c>
      <c r="D813" s="16"/>
      <c r="E813" s="16">
        <f>E115+E190+E269+E503+E579</f>
        <v>96.989384288747345</v>
      </c>
      <c r="F813" s="16"/>
      <c r="G813" s="16">
        <f>G115+G190+G269+G503+G579</f>
        <v>87.229860365198704</v>
      </c>
      <c r="H813" s="16"/>
      <c r="I813" s="16">
        <f>I115+I190+I269+I503+I579</f>
        <v>74.267144319344936</v>
      </c>
      <c r="J813" s="16"/>
      <c r="K813" s="16">
        <f>K115+K190+K269+K503+K579</f>
        <v>130</v>
      </c>
      <c r="L813" s="440"/>
      <c r="M813" s="16">
        <f>M115+M190+M269+M503+M579</f>
        <v>135</v>
      </c>
      <c r="N813" s="440"/>
      <c r="O813" s="16">
        <f>O115+O190+O269+O503+O579</f>
        <v>144</v>
      </c>
      <c r="P813" s="440"/>
      <c r="Q813" s="16">
        <f>Q115+Q190+Q269+Q503+Q579</f>
        <v>170.85161290322583</v>
      </c>
      <c r="R813" s="440"/>
      <c r="S813" s="16">
        <f>S115+S190+S269+S503+S579</f>
        <v>154</v>
      </c>
      <c r="T813" s="440"/>
      <c r="U813" s="16">
        <f>U115+U190+U269+U503+U579</f>
        <v>185</v>
      </c>
      <c r="V813" s="440"/>
      <c r="W813" s="16">
        <f>W115+W190+W269+W503+W579</f>
        <v>147</v>
      </c>
      <c r="X813" s="440"/>
      <c r="Y813" s="16">
        <f>Y115+Y190+Y269+Y503+Y579</f>
        <v>147</v>
      </c>
      <c r="Z813" s="440"/>
      <c r="AA813" s="16">
        <f>AA115+AA190+AA269+AA503+AA579</f>
        <v>132</v>
      </c>
      <c r="AB813" s="440"/>
      <c r="AC813" s="16">
        <f>AC115+AC190+AC269+AC503+AC579</f>
        <v>176</v>
      </c>
      <c r="AD813" s="440"/>
      <c r="AE813" s="16">
        <f>AE115+AE190+AE269+AE503+AE579</f>
        <v>171</v>
      </c>
      <c r="AF813" s="440"/>
      <c r="AG813" s="16">
        <f>AG115+AG190+AG269+AG503+AG579</f>
        <v>210</v>
      </c>
      <c r="AH813" s="440"/>
      <c r="AI813" s="16">
        <f>AI115+AI190+AI269+AI503+AI579</f>
        <v>263</v>
      </c>
      <c r="AJ813" s="440"/>
      <c r="AK813" s="16">
        <f>AK115+AK190+AK269+AK503+AK579</f>
        <v>236</v>
      </c>
      <c r="AL813" s="440"/>
      <c r="AM813" s="16">
        <f>AM115+AM190+AM269+AM503+AM579</f>
        <v>247</v>
      </c>
      <c r="AN813" s="440"/>
      <c r="AO813" s="16">
        <f>AO115+AO190+AO269+AO503+AO579</f>
        <v>280</v>
      </c>
      <c r="AP813" s="440"/>
      <c r="AQ813" s="16">
        <f>AQ115+AQ190+AQ269+AQ503+AQ579</f>
        <v>312</v>
      </c>
      <c r="AR813" s="440"/>
      <c r="AS813" s="16">
        <f>AS115+AS190+AS269+AS503+AS579</f>
        <v>384</v>
      </c>
      <c r="AT813" s="440"/>
      <c r="AU813" s="16">
        <f>AU115+AU190+AU269+AU503+AU579</f>
        <v>389</v>
      </c>
      <c r="AV813" s="440"/>
      <c r="AW813" s="16">
        <f>AW115+AW190+AW269+AW503+AW579</f>
        <v>419</v>
      </c>
      <c r="AX813" s="440"/>
      <c r="AY813" s="16">
        <f>AY115+AY190+AY269+AY503+AY579</f>
        <v>487</v>
      </c>
      <c r="AZ813" s="440"/>
      <c r="BA813" s="16">
        <f>BA115+BA190+BA269+BA503+BA579</f>
        <v>427</v>
      </c>
      <c r="BB813" s="440"/>
      <c r="BC813" s="16">
        <f>BC115+BC190+BC269+BC503+BC579</f>
        <v>393</v>
      </c>
      <c r="BD813" s="440"/>
      <c r="BE813" s="16">
        <f>BE115+BE190+BE269+BE503+BE579</f>
        <v>502</v>
      </c>
      <c r="BF813" s="440"/>
      <c r="BG813" s="16">
        <f>BG115+BG190+BG269+BG503+BG579</f>
        <v>476</v>
      </c>
      <c r="BH813" s="440"/>
      <c r="BI813" s="16">
        <f>BI115+BI190+BI269+BI503+BI579</f>
        <v>569</v>
      </c>
      <c r="BJ813" s="440"/>
      <c r="BK813" s="16">
        <f>BK115+BK190+BK269+BK503+BK579</f>
        <v>475</v>
      </c>
      <c r="BL813" s="440"/>
      <c r="BM813" s="16">
        <f>BM115+BM190+BM269+BM503+BM579</f>
        <v>522</v>
      </c>
      <c r="BN813" s="440"/>
      <c r="BO813" s="16">
        <f>BO115+BO190+BO269+BO503+BO579</f>
        <v>488</v>
      </c>
      <c r="BP813" s="440"/>
      <c r="BQ813" s="16">
        <f>BQ115+BQ190+BQ269+BQ503+BQ579</f>
        <v>365</v>
      </c>
      <c r="BR813" s="440"/>
      <c r="BS813" s="16">
        <f>BS115+BS190+BS269+BS503+BS579</f>
        <v>278</v>
      </c>
      <c r="BT813" s="440"/>
      <c r="BU813" s="16">
        <f>BU115+BU190+BU269+BU503+BU579</f>
        <v>-93</v>
      </c>
      <c r="BV813" s="440"/>
      <c r="BW813" s="16">
        <f>BW115+BW190+BW269+BW503+BW579</f>
        <v>-53</v>
      </c>
      <c r="BX813" s="440"/>
      <c r="BY813" s="16">
        <f>BY115+BY190+BY269+BY503+BY579</f>
        <v>298</v>
      </c>
      <c r="BZ813" s="440"/>
      <c r="CA813" s="16">
        <f>CA115+CA190+CA269+CA503+CA579</f>
        <v>245</v>
      </c>
      <c r="CB813" s="440"/>
      <c r="CC813" s="16">
        <f>CC115+CC190+CC269+CC503+CC579</f>
        <v>398</v>
      </c>
      <c r="CD813" s="440"/>
      <c r="CE813" s="16">
        <f>CE115+CE190+CE269+CE503+CE579</f>
        <v>421</v>
      </c>
      <c r="CF813" s="440"/>
      <c r="CG813" s="16">
        <f>CG115+CG190+CG269+CG503+CG579</f>
        <v>371</v>
      </c>
      <c r="CH813" s="440"/>
      <c r="CI813" s="16">
        <f>CI115+CI190+CI269+CI503+CI579</f>
        <v>420</v>
      </c>
      <c r="CJ813" s="440"/>
      <c r="CK813" s="16">
        <f>CK115+CK190+CK269+CK503+CK579</f>
        <v>511</v>
      </c>
      <c r="CL813" s="440"/>
      <c r="CM813" s="16">
        <f>CM115+CM190+CM269+CM503+CM579</f>
        <v>495</v>
      </c>
      <c r="CN813" s="440"/>
      <c r="CO813" s="16">
        <f>CO115+CO190+CO269+CO503+CO579</f>
        <v>506</v>
      </c>
      <c r="CP813" s="440"/>
      <c r="CQ813" s="16">
        <f>CQ115+CQ190+CQ269+CQ503+CQ579</f>
        <v>518</v>
      </c>
      <c r="CR813" s="440"/>
      <c r="CS813" s="16">
        <f>CS115+CS190+CS269+CS503+CS579</f>
        <v>675</v>
      </c>
      <c r="CT813" s="440"/>
      <c r="CU813" s="16">
        <f>CU115+CU190+CU269+CU503+CU579</f>
        <v>823</v>
      </c>
      <c r="CV813" s="440"/>
      <c r="CW813" s="16">
        <f>CW115+CW190+CW269+CW503+CW579</f>
        <v>811</v>
      </c>
      <c r="CX813" s="440"/>
      <c r="CY813" s="16">
        <f>CY115+CY190+CY269+CY503+CY579</f>
        <v>874</v>
      </c>
      <c r="CZ813" s="440"/>
      <c r="DA813" s="16">
        <f>DA115+DA190+DA269+DA503+DA579</f>
        <v>934</v>
      </c>
      <c r="DB813" s="440"/>
      <c r="DC813" s="16">
        <f>DC115+DC190+DC269+DC503+DC579</f>
        <v>896</v>
      </c>
      <c r="DD813" s="440"/>
      <c r="DE813" s="16">
        <f>DE115+DE190+DE269+DE503+DE579</f>
        <v>989</v>
      </c>
      <c r="DF813" s="440"/>
      <c r="DG813" s="16">
        <f>DG115+DG190+DG269+DG503+DG579</f>
        <v>946</v>
      </c>
      <c r="DH813" s="440"/>
      <c r="DI813" s="16">
        <f>DI115+DI190+DI269+DI503+DI579</f>
        <v>961</v>
      </c>
      <c r="DJ813" s="440"/>
      <c r="DK813" s="16">
        <f>DK115+DK190+DK269+DK503+DK579</f>
        <v>911</v>
      </c>
      <c r="DL813" s="440"/>
      <c r="DM813" s="16">
        <f>DM115+DM190+DM269+DM503+DM579</f>
        <v>983</v>
      </c>
      <c r="DN813" s="440"/>
      <c r="DO813" s="16">
        <f>DO115+DO190+DO269+DO503+DO579</f>
        <v>1056</v>
      </c>
      <c r="DP813" s="440"/>
      <c r="DQ813" s="16">
        <f>DQ115+DQ190+DQ269+DQ503+DQ579</f>
        <v>983</v>
      </c>
      <c r="DR813" s="440"/>
      <c r="DS813" s="16">
        <f>DS16+DS14+DS10</f>
        <v>871</v>
      </c>
      <c r="DT813" s="440"/>
      <c r="DU813" s="16">
        <f>DU16+DU14+DU10</f>
        <v>924</v>
      </c>
      <c r="DV813" s="440"/>
      <c r="DW813" s="16">
        <f>DW16+DW14+DW10</f>
        <v>754</v>
      </c>
      <c r="DX813" s="440"/>
      <c r="DY813" s="16">
        <f>DY16+DY14+DY10</f>
        <v>697</v>
      </c>
      <c r="DZ813" s="440"/>
      <c r="EA813" s="16">
        <f>EA16+EA14+EA10</f>
        <v>673</v>
      </c>
      <c r="EB813" s="440"/>
      <c r="EC813" s="16">
        <f>EC16+EC14+EC10</f>
        <v>410</v>
      </c>
      <c r="ED813" s="440"/>
      <c r="EE813" s="16">
        <f>EE16+EE14+EE10</f>
        <v>818</v>
      </c>
      <c r="EF813" s="1080"/>
      <c r="EG813" s="16">
        <f>EG16+EG14+EG10</f>
        <v>712</v>
      </c>
      <c r="EH813" s="1080"/>
      <c r="EI813" s="16">
        <f>EI16+EI14+EI10</f>
        <v>884</v>
      </c>
      <c r="EJ813" s="1080"/>
      <c r="EK813" s="16">
        <f>EK16+EK14+EK10</f>
        <v>730</v>
      </c>
      <c r="EL813" s="1080"/>
      <c r="EM813" s="16">
        <f>EM16+EM14+EM10</f>
        <v>903</v>
      </c>
      <c r="EN813" s="1080"/>
      <c r="EO813" s="16">
        <f>EO16+EO14+EO10</f>
        <v>692</v>
      </c>
      <c r="EP813" s="440"/>
      <c r="EQ813" s="1079">
        <f>EQ16+EQ14+EQ10</f>
        <v>868.24987546694604</v>
      </c>
      <c r="ER813" s="440"/>
      <c r="ES813" s="1079">
        <f>ES16+ES14+ES10</f>
        <v>856.51110538128876</v>
      </c>
      <c r="ET813" s="440"/>
      <c r="EU813" s="1079">
        <f>EU16+EU14+EU10</f>
        <v>855.09490618724476</v>
      </c>
      <c r="EV813" s="440"/>
      <c r="EW813" s="1079">
        <f>EW16+EW14+EW10</f>
        <v>894.5119047779815</v>
      </c>
      <c r="EX813" s="440"/>
      <c r="EY813" s="16"/>
      <c r="EZ813" s="607"/>
      <c r="FA813" s="427"/>
      <c r="FB813" s="16"/>
      <c r="FC813" s="16"/>
      <c r="FD813" s="16">
        <f>FD115+FD190+FD269+FD503+FD579</f>
        <v>3190</v>
      </c>
      <c r="FE813" s="440"/>
      <c r="FF813" s="16">
        <f>FF115+FF190+FF269+FF503+FF579</f>
        <v>3442</v>
      </c>
      <c r="FG813" s="440"/>
      <c r="FH813" s="16">
        <f>FH115+FH190+FH269+FH503+FH579</f>
        <v>579.85161290322571</v>
      </c>
      <c r="FI813" s="440"/>
      <c r="FJ813" s="16">
        <f>FJ115+FJ190+FJ269+FJ503+FJ579</f>
        <v>633</v>
      </c>
      <c r="FK813" s="440"/>
      <c r="FL813" s="16">
        <f>FL115+FL190+FL269+FL503+FL579</f>
        <v>689</v>
      </c>
      <c r="FM813" s="440"/>
      <c r="FN813" s="16">
        <f>FN115+FN190+FN269+FN503+FN579</f>
        <v>1026</v>
      </c>
      <c r="FO813" s="440"/>
      <c r="FP813" s="16">
        <f>FP115+FP190+FP269+FP503+FP579</f>
        <v>1504</v>
      </c>
      <c r="FQ813" s="440"/>
      <c r="FR813" s="16">
        <f>FR115+FR190+FR269+FR503+FR579</f>
        <v>1809</v>
      </c>
      <c r="FS813" s="440"/>
      <c r="FT813" s="16">
        <f>FT115+FT190+FT269+FT503+FT579</f>
        <v>2042</v>
      </c>
      <c r="FU813" s="440"/>
      <c r="FV813" s="16">
        <f>FV115+FV190+FV269+FV503+FV579</f>
        <v>4090</v>
      </c>
      <c r="FW813" s="440"/>
      <c r="FX813" s="16">
        <f>FX115+FX190+FX269+FX503+FX579</f>
        <v>888</v>
      </c>
      <c r="FY813" s="440"/>
      <c r="FZ813" s="16">
        <f>FZ115+FZ190+FZ269+FZ503+FZ579</f>
        <v>1723</v>
      </c>
      <c r="GA813" s="440"/>
      <c r="GB813" s="16">
        <f>GB115+GB190+GB269+GB503+GB579</f>
        <v>2692</v>
      </c>
      <c r="GC813" s="440"/>
      <c r="GD813" s="16">
        <f>GD115+GD190+GD269+GD503+GD579</f>
        <v>3442</v>
      </c>
      <c r="GE813" s="440"/>
      <c r="GF813" s="16" t="e">
        <f>#REF!+GF577+#REF!++#REF!+#REF!+GF190</f>
        <v>#REF!</v>
      </c>
      <c r="GG813" s="440"/>
      <c r="GH813" s="16" t="e">
        <f>#REF!+GH577+#REF!++#REF!+#REF!+GH190</f>
        <v>#REF!</v>
      </c>
      <c r="GI813" s="16"/>
      <c r="GJ813" s="16">
        <f>GJ16+GJ14+GJ10</f>
        <v>3246</v>
      </c>
      <c r="GK813" s="440"/>
      <c r="GL813" s="16">
        <f>GL16+GL14+GL10</f>
        <v>2613</v>
      </c>
      <c r="GM813" s="98">
        <f t="shared" si="4916"/>
        <v>-19.500924214417747</v>
      </c>
      <c r="GN813" s="16">
        <f>GN16+GN14+GN10</f>
        <v>3209</v>
      </c>
      <c r="GO813" s="98">
        <f t="shared" si="4916"/>
        <v>22.809031764255639</v>
      </c>
      <c r="GP813" s="16">
        <f>GP16+GP14+GP10</f>
        <v>3474.3677918134617</v>
      </c>
      <c r="GQ813" s="98">
        <f t="shared" si="4916"/>
        <v>8.2694855660162538</v>
      </c>
      <c r="GR813" s="16">
        <f>GR16+GR14+GR10</f>
        <v>3471.5479572857535</v>
      </c>
      <c r="GS813" s="98">
        <f t="shared" si="4916"/>
        <v>-8.1161083013503443E-2</v>
      </c>
      <c r="GT813" s="16">
        <f>GT16+GT14+GT10</f>
        <v>3443.1364939427076</v>
      </c>
      <c r="GU813" s="440"/>
      <c r="GV813" s="16">
        <f>GV16+GV14+GV10</f>
        <v>3424.1125040364354</v>
      </c>
      <c r="GW813" s="440"/>
      <c r="GX813" s="16">
        <f>GX16+GX14+GX10</f>
        <v>3405.4653241348569</v>
      </c>
      <c r="GY813" s="440"/>
      <c r="GZ813" s="455"/>
      <c r="HA813" s="455"/>
      <c r="HC813"/>
      <c r="HD813"/>
      <c r="HE813"/>
      <c r="HF813"/>
      <c r="HG813"/>
      <c r="HH813"/>
    </row>
    <row r="814" spans="1:217" s="2" customFormat="1" ht="12.75" hidden="1" customHeight="1" outlineLevel="1" x14ac:dyDescent="0.2">
      <c r="A814" s="28"/>
      <c r="B814" s="179"/>
      <c r="D814" s="11"/>
      <c r="F814" s="11"/>
      <c r="H814" s="11"/>
      <c r="J814" s="36"/>
      <c r="L814" s="36"/>
      <c r="N814" s="36"/>
      <c r="O814" s="399"/>
      <c r="P814" s="36"/>
      <c r="Q814" s="399"/>
      <c r="R814" s="36"/>
      <c r="S814" s="32"/>
      <c r="T814" s="36"/>
      <c r="U814" s="32"/>
      <c r="V814" s="36"/>
      <c r="W814" s="32"/>
      <c r="X814" s="36"/>
      <c r="Y814" s="32"/>
      <c r="Z814" s="36"/>
      <c r="AA814" s="32"/>
      <c r="AB814" s="36"/>
      <c r="AC814" s="32"/>
      <c r="AD814" s="36"/>
      <c r="AE814" s="32"/>
      <c r="AF814" s="36"/>
      <c r="AG814" s="32"/>
      <c r="AH814" s="36"/>
      <c r="AI814" s="32"/>
      <c r="AJ814" s="36"/>
      <c r="AK814" s="32"/>
      <c r="AL814" s="36"/>
      <c r="AM814" s="32"/>
      <c r="AN814" s="36"/>
      <c r="AO814" s="32"/>
      <c r="AP814" s="36"/>
      <c r="AQ814" s="32"/>
      <c r="AR814" s="36"/>
      <c r="AS814" s="32"/>
      <c r="AT814" s="36"/>
      <c r="AU814" s="32"/>
      <c r="AV814" s="36"/>
      <c r="AW814" s="32"/>
      <c r="AX814" s="36"/>
      <c r="AY814" s="32"/>
      <c r="AZ814" s="36"/>
      <c r="BA814" s="32"/>
      <c r="BB814" s="36"/>
      <c r="BC814" s="32"/>
      <c r="BD814" s="36"/>
      <c r="BE814" s="32"/>
      <c r="BF814" s="36"/>
      <c r="BG814" s="32"/>
      <c r="BH814" s="36"/>
      <c r="BI814" s="32"/>
      <c r="BJ814" s="36"/>
      <c r="BK814" s="32"/>
      <c r="BL814" s="36"/>
      <c r="BM814" s="32"/>
      <c r="BN814" s="36"/>
      <c r="BO814" s="32"/>
      <c r="BP814" s="36"/>
      <c r="BQ814" s="32"/>
      <c r="BR814" s="36"/>
      <c r="BS814" s="32"/>
      <c r="BT814" s="36"/>
      <c r="BU814" s="32"/>
      <c r="BV814" s="36"/>
      <c r="BW814" s="32"/>
      <c r="BX814" s="36"/>
      <c r="BY814" s="32"/>
      <c r="BZ814" s="36"/>
      <c r="CA814" s="32"/>
      <c r="CB814" s="36"/>
      <c r="CC814" s="32"/>
      <c r="CD814" s="36"/>
      <c r="CE814" s="32"/>
      <c r="CF814" s="36"/>
      <c r="CG814" s="32"/>
      <c r="CH814" s="36"/>
      <c r="CI814" s="32"/>
      <c r="CJ814" s="36"/>
      <c r="CK814" s="32"/>
      <c r="CL814" s="36"/>
      <c r="CM814" s="32"/>
      <c r="CN814" s="36"/>
      <c r="CO814" s="32"/>
      <c r="CP814" s="36"/>
      <c r="CQ814" s="536"/>
      <c r="CR814" s="36"/>
      <c r="CS814" s="32"/>
      <c r="CT814" s="36"/>
      <c r="CU814" s="32"/>
      <c r="CV814" s="36"/>
      <c r="CW814" s="32"/>
      <c r="CX814" s="36"/>
      <c r="CY814" s="32"/>
      <c r="CZ814" s="36"/>
      <c r="DA814" s="32"/>
      <c r="DB814" s="36"/>
      <c r="DC814" s="32"/>
      <c r="DD814" s="36"/>
      <c r="DE814" s="32"/>
      <c r="DF814" s="36"/>
      <c r="DG814" s="32"/>
      <c r="DH814" s="36"/>
      <c r="DI814" s="32"/>
      <c r="DJ814" s="36"/>
      <c r="DK814" s="32"/>
      <c r="DL814" s="36"/>
      <c r="DM814" s="32"/>
      <c r="DN814" s="36"/>
      <c r="DO814" s="32"/>
      <c r="DP814" s="36"/>
      <c r="DQ814" s="32"/>
      <c r="DR814" s="36"/>
      <c r="DS814" s="32"/>
      <c r="DT814" s="36"/>
      <c r="DU814" s="32"/>
      <c r="DV814" s="36"/>
      <c r="DW814" s="32"/>
      <c r="DX814" s="36"/>
      <c r="DY814" s="32"/>
      <c r="DZ814" s="36"/>
      <c r="EA814" s="32"/>
      <c r="EB814" s="36"/>
      <c r="EC814" s="32"/>
      <c r="ED814" s="36"/>
      <c r="EE814" s="32"/>
      <c r="EF814" s="768"/>
      <c r="EG814" s="32"/>
      <c r="EH814" s="768"/>
      <c r="EI814" s="32"/>
      <c r="EJ814" s="768"/>
      <c r="EK814" s="32"/>
      <c r="EL814" s="768"/>
      <c r="EM814" s="32"/>
      <c r="EN814" s="768"/>
      <c r="EO814" s="32"/>
      <c r="EP814" s="36"/>
      <c r="EQ814" s="1085"/>
      <c r="ER814" s="36"/>
      <c r="ES814" s="1085"/>
      <c r="ET814" s="36"/>
      <c r="EU814" s="1085"/>
      <c r="EV814" s="36"/>
      <c r="EW814" s="1085"/>
      <c r="EX814" s="36"/>
      <c r="EY814" s="32"/>
      <c r="EZ814" s="602"/>
      <c r="FA814" s="266"/>
      <c r="FB814" s="399"/>
      <c r="FC814" s="11"/>
      <c r="FD814" s="399"/>
      <c r="FE814" s="36"/>
      <c r="FF814" s="399"/>
      <c r="FG814" s="36"/>
      <c r="FH814" s="399"/>
      <c r="FI814" s="36"/>
      <c r="FJ814" s="399"/>
      <c r="FK814" s="36"/>
      <c r="FL814" s="399"/>
      <c r="FM814" s="36"/>
      <c r="FN814" s="399"/>
      <c r="FO814" s="36"/>
      <c r="FP814" s="399"/>
      <c r="FQ814" s="36"/>
      <c r="FR814" s="399"/>
      <c r="FS814" s="36"/>
      <c r="FT814" s="32"/>
      <c r="FU814" s="36"/>
      <c r="FV814" s="32"/>
      <c r="FW814" s="36"/>
      <c r="FX814" s="536"/>
      <c r="FY814" s="36"/>
      <c r="FZ814" s="32"/>
      <c r="GA814" s="36"/>
      <c r="GB814" s="536"/>
      <c r="GC814" s="36"/>
      <c r="GD814" s="32"/>
      <c r="GE814" s="36"/>
      <c r="GF814" s="32"/>
      <c r="GG814" s="36"/>
      <c r="GH814" s="32"/>
      <c r="GI814" s="36"/>
      <c r="GJ814" s="32"/>
      <c r="GK814" s="36"/>
      <c r="GL814" s="32"/>
      <c r="GM814" s="36"/>
      <c r="GN814" s="32"/>
      <c r="GO814" s="36"/>
      <c r="GP814" s="32"/>
      <c r="GQ814" s="36"/>
      <c r="GR814" s="32"/>
      <c r="GS814" s="36"/>
      <c r="GT814" s="32"/>
      <c r="GU814" s="36"/>
      <c r="GV814" s="32"/>
      <c r="GW814" s="36"/>
      <c r="GX814" s="32"/>
      <c r="GY814" s="36"/>
      <c r="GZ814" s="36"/>
      <c r="HA814" s="36"/>
      <c r="HB814" s="10"/>
      <c r="HC814"/>
      <c r="HD814"/>
      <c r="HE814"/>
      <c r="HF814"/>
      <c r="HG814"/>
      <c r="HH814"/>
      <c r="HI814" s="10"/>
    </row>
    <row r="815" spans="1:217" s="2" customFormat="1" ht="12.75" hidden="1" customHeight="1" outlineLevel="1" x14ac:dyDescent="0.2">
      <c r="A815" s="28"/>
      <c r="B815" s="131" t="s">
        <v>278</v>
      </c>
      <c r="D815" s="11"/>
      <c r="F815" s="11"/>
      <c r="H815" s="11"/>
      <c r="J815" s="36"/>
      <c r="L815" s="36"/>
      <c r="N815" s="36"/>
      <c r="O815" s="399"/>
      <c r="P815" s="36"/>
      <c r="Q815" s="399"/>
      <c r="R815" s="36"/>
      <c r="S815" s="32"/>
      <c r="T815" s="36"/>
      <c r="U815" s="32"/>
      <c r="V815" s="36"/>
      <c r="W815" s="32"/>
      <c r="X815" s="36"/>
      <c r="Y815" s="32"/>
      <c r="Z815" s="36"/>
      <c r="AA815" s="32"/>
      <c r="AB815" s="36"/>
      <c r="AC815" s="32"/>
      <c r="AD815" s="36"/>
      <c r="AE815" s="32"/>
      <c r="AF815" s="36"/>
      <c r="AG815" s="32"/>
      <c r="AH815" s="36"/>
      <c r="AI815" s="32"/>
      <c r="AJ815" s="36"/>
      <c r="AK815" s="32"/>
      <c r="AL815" s="36"/>
      <c r="AM815" s="32"/>
      <c r="AN815" s="36"/>
      <c r="AO815" s="32"/>
      <c r="AP815" s="36"/>
      <c r="AQ815" s="32"/>
      <c r="AR815" s="36"/>
      <c r="AS815" s="32"/>
      <c r="AT815" s="36"/>
      <c r="AU815" s="32"/>
      <c r="AV815" s="36"/>
      <c r="AW815" s="32"/>
      <c r="AX815" s="36"/>
      <c r="AY815" s="32"/>
      <c r="AZ815" s="36"/>
      <c r="BA815" s="32"/>
      <c r="BB815" s="36"/>
      <c r="BC815" s="32"/>
      <c r="BD815" s="36"/>
      <c r="BE815" s="32"/>
      <c r="BF815" s="36"/>
      <c r="BG815" s="32"/>
      <c r="BH815" s="36"/>
      <c r="BI815" s="32"/>
      <c r="BJ815" s="36"/>
      <c r="BK815" s="32"/>
      <c r="BL815" s="36"/>
      <c r="BM815" s="32"/>
      <c r="BN815" s="36"/>
      <c r="BO815" s="32"/>
      <c r="BP815" s="36"/>
      <c r="BQ815" s="32"/>
      <c r="BR815" s="36"/>
      <c r="BS815" s="32"/>
      <c r="BT815" s="36"/>
      <c r="BU815" s="32"/>
      <c r="BV815" s="36"/>
      <c r="BW815" s="32"/>
      <c r="BX815" s="36"/>
      <c r="BY815" s="32"/>
      <c r="BZ815" s="36"/>
      <c r="CA815" s="32"/>
      <c r="CB815" s="36"/>
      <c r="CC815" s="32"/>
      <c r="CD815" s="36"/>
      <c r="CE815" s="32"/>
      <c r="CF815" s="36"/>
      <c r="CG815" s="32"/>
      <c r="CH815" s="36"/>
      <c r="CI815" s="32"/>
      <c r="CJ815" s="36"/>
      <c r="CK815" s="32"/>
      <c r="CL815" s="36"/>
      <c r="CM815" s="32"/>
      <c r="CN815" s="36"/>
      <c r="CO815" s="32"/>
      <c r="CP815" s="36"/>
      <c r="CQ815" s="536"/>
      <c r="CR815" s="36"/>
      <c r="CS815" s="32"/>
      <c r="CT815" s="36"/>
      <c r="CU815" s="32"/>
      <c r="CV815" s="36"/>
      <c r="CW815" s="32"/>
      <c r="CX815" s="36"/>
      <c r="CY815" s="32"/>
      <c r="CZ815" s="36"/>
      <c r="DA815" s="32"/>
      <c r="DB815" s="36"/>
      <c r="DC815" s="32"/>
      <c r="DD815" s="36"/>
      <c r="DE815" s="32"/>
      <c r="DF815" s="36"/>
      <c r="DG815" s="32"/>
      <c r="DH815" s="36"/>
      <c r="DI815" s="32"/>
      <c r="DJ815" s="36"/>
      <c r="DK815" s="32"/>
      <c r="DL815" s="36"/>
      <c r="DM815" s="32"/>
      <c r="DN815" s="36"/>
      <c r="DO815" s="32"/>
      <c r="DP815" s="36"/>
      <c r="DQ815" s="32"/>
      <c r="DR815" s="36"/>
      <c r="DS815" s="32"/>
      <c r="DT815" s="36"/>
      <c r="DU815" s="32"/>
      <c r="DV815" s="36"/>
      <c r="DW815" s="32"/>
      <c r="DX815" s="36"/>
      <c r="DY815" s="32"/>
      <c r="DZ815" s="36"/>
      <c r="EA815" s="32"/>
      <c r="EB815" s="36"/>
      <c r="EC815" s="32"/>
      <c r="ED815" s="36"/>
      <c r="EE815" s="32"/>
      <c r="EF815" s="768"/>
      <c r="EG815" s="32"/>
      <c r="EH815" s="768"/>
      <c r="EI815" s="32"/>
      <c r="EJ815" s="768"/>
      <c r="EK815" s="32"/>
      <c r="EL815" s="768"/>
      <c r="EM815" s="32"/>
      <c r="EN815" s="768"/>
      <c r="EO815" s="32"/>
      <c r="EP815" s="36"/>
      <c r="EQ815" s="1085"/>
      <c r="ER815" s="36"/>
      <c r="ES815" s="1085"/>
      <c r="ET815" s="36"/>
      <c r="EU815" s="1085"/>
      <c r="EV815" s="36"/>
      <c r="EW815" s="1085"/>
      <c r="EX815" s="36"/>
      <c r="EY815" s="32"/>
      <c r="EZ815" s="602"/>
      <c r="FA815" s="266"/>
      <c r="FB815" s="399"/>
      <c r="FC815" s="11"/>
      <c r="FD815" s="399"/>
      <c r="FE815" s="36"/>
      <c r="FF815" s="399"/>
      <c r="FG815" s="36"/>
      <c r="FH815" s="399"/>
      <c r="FI815" s="36"/>
      <c r="FJ815" s="399"/>
      <c r="FK815" s="36"/>
      <c r="FL815" s="399"/>
      <c r="FM815" s="36"/>
      <c r="FN815" s="399"/>
      <c r="FO815" s="36"/>
      <c r="FP815" s="399"/>
      <c r="FQ815" s="36"/>
      <c r="FR815" s="399"/>
      <c r="FS815" s="36"/>
      <c r="FT815" s="32"/>
      <c r="FU815" s="36"/>
      <c r="FV815" s="32"/>
      <c r="FW815" s="36"/>
      <c r="FX815" s="536"/>
      <c r="FY815" s="36"/>
      <c r="FZ815" s="32"/>
      <c r="GA815" s="36"/>
      <c r="GB815" s="536"/>
      <c r="GC815" s="36"/>
      <c r="GD815" s="32"/>
      <c r="GE815" s="36"/>
      <c r="GF815" s="32"/>
      <c r="GG815" s="36"/>
      <c r="GH815" s="32"/>
      <c r="GI815" s="36"/>
      <c r="GJ815" s="32"/>
      <c r="GK815" s="36"/>
      <c r="GL815" s="32"/>
      <c r="GM815" s="36"/>
      <c r="GN815" s="32"/>
      <c r="GO815" s="36"/>
      <c r="GP815" s="32"/>
      <c r="GQ815" s="36"/>
      <c r="GR815" s="32"/>
      <c r="GS815" s="36"/>
      <c r="GT815" s="32"/>
      <c r="GU815" s="36"/>
      <c r="GV815" s="32"/>
      <c r="GW815" s="36"/>
      <c r="GX815" s="32"/>
      <c r="GY815" s="36"/>
      <c r="GZ815" s="36"/>
      <c r="HA815" s="36"/>
      <c r="HB815" s="10"/>
      <c r="HC815"/>
      <c r="HD815"/>
      <c r="HE815"/>
      <c r="HF815"/>
      <c r="HG815"/>
      <c r="HH815"/>
      <c r="HI815" s="10"/>
    </row>
    <row r="816" spans="1:217" s="10" customFormat="1" ht="12.75" hidden="1" customHeight="1" outlineLevel="1" x14ac:dyDescent="0.2">
      <c r="A816" s="28"/>
      <c r="B816" s="10" t="s">
        <v>276</v>
      </c>
      <c r="C816" s="16">
        <f>C372+C304+C337</f>
        <v>11</v>
      </c>
      <c r="D816" s="16"/>
      <c r="E816" s="16">
        <f>E372+E304+E337</f>
        <v>7</v>
      </c>
      <c r="F816" s="16"/>
      <c r="G816" s="16">
        <f>G372+G304+G337</f>
        <v>5</v>
      </c>
      <c r="H816" s="16"/>
      <c r="I816" s="16">
        <f>I372+I304+I337</f>
        <v>3</v>
      </c>
      <c r="J816" s="16"/>
      <c r="K816" s="16">
        <f>K372+K304+K337</f>
        <v>18</v>
      </c>
      <c r="L816" s="440"/>
      <c r="M816" s="16">
        <f>M372+M304+M337</f>
        <v>11</v>
      </c>
      <c r="N816" s="440"/>
      <c r="O816" s="16">
        <f>O372+O304+O337</f>
        <v>11</v>
      </c>
      <c r="P816" s="440"/>
      <c r="Q816" s="16">
        <f>Q372+Q304+Q337</f>
        <v>-8</v>
      </c>
      <c r="R816" s="440"/>
      <c r="S816" s="16">
        <f>S372+S304+S337</f>
        <v>14</v>
      </c>
      <c r="T816" s="440"/>
      <c r="U816" s="16">
        <f>U372+U304+U337</f>
        <v>2</v>
      </c>
      <c r="V816" s="440"/>
      <c r="W816" s="16">
        <f>W372+W304+W337</f>
        <v>40</v>
      </c>
      <c r="X816" s="440"/>
      <c r="Y816" s="16">
        <f>Y372+Y304+Y337</f>
        <v>38</v>
      </c>
      <c r="Z816" s="440"/>
      <c r="AA816" s="16">
        <f>AA372+AA304+AA337</f>
        <v>28</v>
      </c>
      <c r="AB816" s="440"/>
      <c r="AC816" s="16">
        <f>AC372+AC304+AC337</f>
        <v>102</v>
      </c>
      <c r="AD816" s="440"/>
      <c r="AE816" s="16">
        <f>AE372+AE304+AE337</f>
        <v>37</v>
      </c>
      <c r="AF816" s="440"/>
      <c r="AG816" s="16">
        <f>AG372+AG304+AG337</f>
        <v>34</v>
      </c>
      <c r="AH816" s="440"/>
      <c r="AI816" s="16">
        <f>AI372+AI304+AI337</f>
        <v>44</v>
      </c>
      <c r="AJ816" s="440"/>
      <c r="AK816" s="16">
        <f>AK372+AK304+AK337</f>
        <v>41</v>
      </c>
      <c r="AL816" s="440"/>
      <c r="AM816" s="16">
        <f>AM372+AM304+AM337</f>
        <v>39</v>
      </c>
      <c r="AN816" s="440"/>
      <c r="AO816" s="16">
        <f>AO372+AO304+AO337</f>
        <v>30</v>
      </c>
      <c r="AP816" s="440"/>
      <c r="AQ816" s="16">
        <f>AQ372+AQ304+AQ337</f>
        <v>51</v>
      </c>
      <c r="AR816" s="440"/>
      <c r="AS816" s="16">
        <f>AS372+AS304+AS337</f>
        <v>51</v>
      </c>
      <c r="AT816" s="440"/>
      <c r="AU816" s="16">
        <f>AU372+AU304+AU337</f>
        <v>53</v>
      </c>
      <c r="AV816" s="440"/>
      <c r="AW816" s="16">
        <f>AW372+AW304+AW337</f>
        <v>53</v>
      </c>
      <c r="AX816" s="440"/>
      <c r="AY816" s="16">
        <f>AY372+AY304+AY337</f>
        <v>64</v>
      </c>
      <c r="AZ816" s="440"/>
      <c r="BA816" s="16">
        <f>BA372+BA304+BA337</f>
        <v>73</v>
      </c>
      <c r="BB816" s="440"/>
      <c r="BC816" s="16">
        <f>BC372+BC304+BC337</f>
        <v>76</v>
      </c>
      <c r="BD816" s="440"/>
      <c r="BE816" s="16">
        <f>BE372+BE304+BE337</f>
        <v>64</v>
      </c>
      <c r="BF816" s="440"/>
      <c r="BG816" s="16">
        <f>BG372+BG304+BG337</f>
        <v>107</v>
      </c>
      <c r="BH816" s="440"/>
      <c r="BI816" s="16">
        <f>BI372+BI304+BI337</f>
        <v>106</v>
      </c>
      <c r="BJ816" s="440"/>
      <c r="BK816" s="16">
        <f>BK372+BK304+BK337</f>
        <v>109</v>
      </c>
      <c r="BL816" s="440"/>
      <c r="BM816" s="16">
        <f>BM372+BM304+BM337</f>
        <v>97</v>
      </c>
      <c r="BN816" s="440"/>
      <c r="BO816" s="16">
        <f>BO372+BO304+BO337</f>
        <v>122</v>
      </c>
      <c r="BP816" s="440"/>
      <c r="BQ816" s="16">
        <f>BQ372+BQ304+BQ337</f>
        <v>147</v>
      </c>
      <c r="BR816" s="440"/>
      <c r="BS816" s="16">
        <f>BS372+BS304+BS337</f>
        <v>127</v>
      </c>
      <c r="BT816" s="440"/>
      <c r="BU816" s="16">
        <f>BU372+BU304+BU337</f>
        <v>91</v>
      </c>
      <c r="BV816" s="440"/>
      <c r="BW816" s="16">
        <f>BW372+BW304+BW337</f>
        <v>98</v>
      </c>
      <c r="BX816" s="440"/>
      <c r="BY816" s="16">
        <f>BY372+BY304+BY337</f>
        <v>141</v>
      </c>
      <c r="BZ816" s="440"/>
      <c r="CA816" s="16">
        <f>CA372+CA304+CA337</f>
        <v>139</v>
      </c>
      <c r="CB816" s="440"/>
      <c r="CC816" s="16">
        <f>CC372+CC304+CC337</f>
        <v>116</v>
      </c>
      <c r="CD816" s="440"/>
      <c r="CE816" s="16">
        <f>CE372+CE304+CE337</f>
        <v>160</v>
      </c>
      <c r="CF816" s="440"/>
      <c r="CG816" s="16">
        <f>CG372+CG304+CG337</f>
        <v>153</v>
      </c>
      <c r="CH816" s="440"/>
      <c r="CI816" s="16">
        <f>CI372+CI304+CI337</f>
        <v>144</v>
      </c>
      <c r="CJ816" s="440"/>
      <c r="CK816" s="16">
        <f>CK372+CK304+CK337</f>
        <v>279</v>
      </c>
      <c r="CL816" s="440"/>
      <c r="CM816" s="16">
        <f>CM372+CM304+CM337</f>
        <v>424</v>
      </c>
      <c r="CN816" s="440"/>
      <c r="CO816" s="16">
        <f>CO372+CO304+CO337</f>
        <v>414</v>
      </c>
      <c r="CP816" s="440"/>
      <c r="CQ816" s="535">
        <f>CQ372+CQ304+CQ337</f>
        <v>447</v>
      </c>
      <c r="CR816" s="440"/>
      <c r="CS816" s="16">
        <f>CS372+CS304+CS337</f>
        <v>429</v>
      </c>
      <c r="CT816" s="440"/>
      <c r="CU816" s="16">
        <f>CU372+CU304+CU337</f>
        <v>509</v>
      </c>
      <c r="CV816" s="440"/>
      <c r="CW816" s="16">
        <f>CW372+CW304+CW337</f>
        <v>473</v>
      </c>
      <c r="CX816" s="440"/>
      <c r="CY816" s="16">
        <f>CY372+CY304+CY337</f>
        <v>473</v>
      </c>
      <c r="CZ816" s="440"/>
      <c r="DA816" s="16">
        <f>DA372+DA304+DA337</f>
        <v>467</v>
      </c>
      <c r="DB816" s="440"/>
      <c r="DC816" s="16">
        <f>DC372+DC304+DC337</f>
        <v>553</v>
      </c>
      <c r="DD816" s="440"/>
      <c r="DE816" s="16">
        <f>DE372+DE304+DE337</f>
        <v>529</v>
      </c>
      <c r="DF816" s="440"/>
      <c r="DG816" s="16">
        <f>DG372+DG304+DG337</f>
        <v>534</v>
      </c>
      <c r="DH816" s="440"/>
      <c r="DI816" s="16">
        <f>DI372+DI304+DI337</f>
        <v>561</v>
      </c>
      <c r="DJ816" s="440"/>
      <c r="DK816" s="16">
        <f>DK372+DK304+DK337</f>
        <v>562</v>
      </c>
      <c r="DL816" s="440"/>
      <c r="DM816" s="16">
        <f>DM372+DM304+DM337</f>
        <v>532</v>
      </c>
      <c r="DN816" s="440"/>
      <c r="DO816" s="16">
        <f>DO372+DO304+DO337</f>
        <v>551</v>
      </c>
      <c r="DP816" s="440"/>
      <c r="DQ816" s="16">
        <f>DQ372+DQ304+DQ337</f>
        <v>506</v>
      </c>
      <c r="DR816" s="440"/>
      <c r="DS816" s="16">
        <f>DS372+DS304+DS337</f>
        <v>546</v>
      </c>
      <c r="DT816" s="440"/>
      <c r="DU816" s="16">
        <f>DU372+DU304+DU337</f>
        <v>550</v>
      </c>
      <c r="DV816" s="440"/>
      <c r="DW816" s="16">
        <f>DW372+DW304+DW337</f>
        <v>524</v>
      </c>
      <c r="DX816" s="440"/>
      <c r="DY816" s="16">
        <f>DY372+DY304+DY337</f>
        <v>497</v>
      </c>
      <c r="DZ816" s="440"/>
      <c r="EA816" s="16">
        <f>EA372+EA304+EA337</f>
        <v>532</v>
      </c>
      <c r="EB816" s="440"/>
      <c r="EC816" s="16">
        <f>EC372+EC304+EC337</f>
        <v>516</v>
      </c>
      <c r="ED816" s="440"/>
      <c r="EE816" s="16">
        <f>EE372+EE304+EE337</f>
        <v>564</v>
      </c>
      <c r="EF816" s="1080"/>
      <c r="EG816" s="16">
        <f>EG372+EG304+EG337</f>
        <v>548</v>
      </c>
      <c r="EH816" s="1080"/>
      <c r="EI816" s="16">
        <f>EI372+EI304+EI337</f>
        <v>517</v>
      </c>
      <c r="EJ816" s="1080"/>
      <c r="EK816" s="16">
        <f>EK372+EK304+EK337</f>
        <v>524</v>
      </c>
      <c r="EL816" s="1080"/>
      <c r="EM816" s="16">
        <f>EM372+EM304+EM337</f>
        <v>545</v>
      </c>
      <c r="EN816" s="1080"/>
      <c r="EO816" s="16">
        <f>EO372+EO304+EO337</f>
        <v>514</v>
      </c>
      <c r="EP816" s="440"/>
      <c r="EQ816" s="1079">
        <f>EQ372+EQ304+EQ337</f>
        <v>562.23452986067332</v>
      </c>
      <c r="ER816" s="440"/>
      <c r="ES816" s="1079">
        <f>ES372+ES304+ES337</f>
        <v>574.1826418704178</v>
      </c>
      <c r="ET816" s="440"/>
      <c r="EU816" s="1079">
        <f>EU372+EU304+EU337</f>
        <v>590.26589220179437</v>
      </c>
      <c r="EV816" s="440"/>
      <c r="EW816" s="1079">
        <f>EW372+EW304+EW337</f>
        <v>563.93858717075705</v>
      </c>
      <c r="EX816" s="440"/>
      <c r="EY816" s="16"/>
      <c r="EZ816" s="607"/>
      <c r="FA816" s="427"/>
      <c r="FB816" s="16"/>
      <c r="FC816" s="16"/>
      <c r="FD816" s="16">
        <f>FD372+FD304+FD337</f>
        <v>18</v>
      </c>
      <c r="FE816" s="440"/>
      <c r="FF816" s="16">
        <f>FF372+FF304+FF337</f>
        <v>28</v>
      </c>
      <c r="FG816" s="440"/>
      <c r="FH816" s="16">
        <f>FH372+FH304+FH337</f>
        <v>32</v>
      </c>
      <c r="FI816" s="440"/>
      <c r="FJ816" s="16">
        <f>FJ372+FJ304+FJ337</f>
        <v>94</v>
      </c>
      <c r="FK816" s="440"/>
      <c r="FL816" s="16">
        <f>FL372+FL304+FL337</f>
        <v>201</v>
      </c>
      <c r="FM816" s="440"/>
      <c r="FN816" s="16">
        <f>FN372+FN304+FN337</f>
        <v>162</v>
      </c>
      <c r="FO816" s="440"/>
      <c r="FP816" s="16">
        <f>FP372+FP304+FP337</f>
        <v>208</v>
      </c>
      <c r="FQ816" s="440"/>
      <c r="FR816" s="16">
        <f>FR372+FR304+FR337</f>
        <v>277</v>
      </c>
      <c r="FS816" s="440"/>
      <c r="FT816" s="16">
        <f>FT372+FT304+FT337</f>
        <v>419</v>
      </c>
      <c r="FU816" s="440"/>
      <c r="FV816" s="16">
        <f>FV372+FV304+FV337</f>
        <v>461</v>
      </c>
      <c r="FW816" s="440"/>
      <c r="FX816" s="535">
        <f>FX372+FX304+FX337</f>
        <v>494</v>
      </c>
      <c r="FY816" s="440"/>
      <c r="FZ816" s="16">
        <f>FZ372+FZ304+FZ337</f>
        <v>736</v>
      </c>
      <c r="GA816" s="440"/>
      <c r="GB816" s="535">
        <f>GB372+GB304+GB337</f>
        <v>1714</v>
      </c>
      <c r="GC816" s="440"/>
      <c r="GD816" s="16">
        <f>GD372+GD304+GD337</f>
        <v>1922</v>
      </c>
      <c r="GE816" s="440"/>
      <c r="GF816" s="16">
        <f>GF372+GF304+GF337</f>
        <v>2177</v>
      </c>
      <c r="GG816" s="440"/>
      <c r="GH816" s="16">
        <f>GH372+GH304+GH337</f>
        <v>2151</v>
      </c>
      <c r="GI816" s="440"/>
      <c r="GJ816" s="16">
        <f>GJ372+GJ304+GJ337</f>
        <v>2117</v>
      </c>
      <c r="GK816" s="440"/>
      <c r="GL816" s="16">
        <f>GL372+GL304+GL337</f>
        <v>2160</v>
      </c>
      <c r="GM816" s="98">
        <f t="shared" ref="GM816:GS817" si="4917">IF(ISERROR((GL816/GJ816-1)*100),"NA",IF(((GL816/GJ816-1)*100)&gt;100,"NM",IF(((GL816/GJ816-1)*100)&lt;-50,"NM",(GL816/GJ816-1)*100)))</f>
        <v>2.0311761927255478</v>
      </c>
      <c r="GN816" s="16">
        <f>GN372+GN304+GN337</f>
        <v>2100</v>
      </c>
      <c r="GO816" s="98">
        <f t="shared" si="4917"/>
        <v>-2.777777777777779</v>
      </c>
      <c r="GP816" s="16">
        <f>GP372+GP304+GP337</f>
        <v>2290.6216511036446</v>
      </c>
      <c r="GQ816" s="98">
        <f t="shared" si="4917"/>
        <v>9.07722148112593</v>
      </c>
      <c r="GR816" s="16">
        <f>GR372+GR304+GR337</f>
        <v>2482.6983155741063</v>
      </c>
      <c r="GS816" s="98">
        <f t="shared" si="4917"/>
        <v>8.3853509538739157</v>
      </c>
      <c r="GT816" s="16">
        <f>GT372+GT304+GT337</f>
        <v>2628.5111376915734</v>
      </c>
      <c r="GU816" s="440"/>
      <c r="GV816" s="16">
        <f>GV372+GV304+GV337</f>
        <v>2792.3690914895033</v>
      </c>
      <c r="GW816" s="440"/>
      <c r="GX816" s="16">
        <f>GX372+GX304+GX337</f>
        <v>2908.3112180836388</v>
      </c>
      <c r="GY816" s="440"/>
      <c r="GZ816" s="455"/>
      <c r="HA816" s="455"/>
      <c r="HC816"/>
      <c r="HD816"/>
      <c r="HE816"/>
      <c r="HF816"/>
      <c r="HG816"/>
      <c r="HH816"/>
    </row>
    <row r="817" spans="1:217" s="10" customFormat="1" ht="12.75" hidden="1" customHeight="1" outlineLevel="1" x14ac:dyDescent="0.2">
      <c r="A817" s="28"/>
      <c r="B817" s="10" t="s">
        <v>482</v>
      </c>
      <c r="C817" s="16">
        <f>C581+C192+C505+C117+C271</f>
        <v>86.275498241500586</v>
      </c>
      <c r="D817" s="16"/>
      <c r="E817" s="16">
        <f>E581+E192+E505+E117+E271</f>
        <v>96.989384288747345</v>
      </c>
      <c r="F817" s="16"/>
      <c r="G817" s="16">
        <f>G581+G192+G505+G117+G271</f>
        <v>87.229860365198704</v>
      </c>
      <c r="H817" s="16"/>
      <c r="I817" s="16">
        <f>I581+I192+I505+I117+I271</f>
        <v>74.267144319344936</v>
      </c>
      <c r="J817" s="16"/>
      <c r="K817" s="16">
        <f>K581+K192+K505+K117+K271</f>
        <v>130</v>
      </c>
      <c r="L817" s="440"/>
      <c r="M817" s="16">
        <f>M581+M192+M505+M117+M271</f>
        <v>135</v>
      </c>
      <c r="N817" s="440"/>
      <c r="O817" s="16">
        <f>O581+O192+O505+O117+O271</f>
        <v>144</v>
      </c>
      <c r="P817" s="440"/>
      <c r="Q817" s="16">
        <f>Q581+Q192+Q505+Q117+Q271</f>
        <v>170.85161290322583</v>
      </c>
      <c r="R817" s="440"/>
      <c r="S817" s="16">
        <f>S581+S192+S505+S117+S271</f>
        <v>154</v>
      </c>
      <c r="T817" s="440"/>
      <c r="U817" s="16">
        <f>U581+U192+U505+U117+U271</f>
        <v>185</v>
      </c>
      <c r="V817" s="440"/>
      <c r="W817" s="16">
        <f>W581+W192+W505+W117+W271</f>
        <v>147</v>
      </c>
      <c r="X817" s="440"/>
      <c r="Y817" s="16">
        <f>Y581+Y192+Y505+Y117+Y271</f>
        <v>147</v>
      </c>
      <c r="Z817" s="440"/>
      <c r="AA817" s="16">
        <f>AA581+AA192+AA505+AA117+AA271</f>
        <v>132</v>
      </c>
      <c r="AB817" s="440"/>
      <c r="AC817" s="16">
        <f>AC581+AC192+AC505+AC117+AC271</f>
        <v>176</v>
      </c>
      <c r="AD817" s="440"/>
      <c r="AE817" s="16">
        <f>AE581+AE192+AE505+AE117+AE271</f>
        <v>171</v>
      </c>
      <c r="AF817" s="440"/>
      <c r="AG817" s="16">
        <f>AG581+AG192+AG505+AG117+AG271</f>
        <v>210</v>
      </c>
      <c r="AH817" s="440"/>
      <c r="AI817" s="16">
        <f>AI581+AI192+AI505+AI117+AI271</f>
        <v>263</v>
      </c>
      <c r="AJ817" s="440"/>
      <c r="AK817" s="16">
        <f>AK581+AK192+AK505+AK117+AK271</f>
        <v>236</v>
      </c>
      <c r="AL817" s="440"/>
      <c r="AM817" s="16">
        <f>AM581+AM192+AM505+AM117+AM271</f>
        <v>231</v>
      </c>
      <c r="AN817" s="440"/>
      <c r="AO817" s="16">
        <f>AO581+AO192+AO505+AO117+AO271</f>
        <v>243.41101694915255</v>
      </c>
      <c r="AP817" s="440"/>
      <c r="AQ817" s="16">
        <f>AQ581+AQ192+AQ505+AQ117+AQ271</f>
        <v>262</v>
      </c>
      <c r="AR817" s="440"/>
      <c r="AS817" s="16">
        <f>AS581+AS192+AS505+AS117+AS271</f>
        <v>257</v>
      </c>
      <c r="AT817" s="440"/>
      <c r="AU817" s="16">
        <f>AU581+AU192+AU505+AU117+AU271</f>
        <v>348</v>
      </c>
      <c r="AV817" s="440"/>
      <c r="AW817" s="16">
        <f>AW581+AW192+AW505+AW117+AW271</f>
        <v>378</v>
      </c>
      <c r="AX817" s="440"/>
      <c r="AY817" s="16">
        <f>AY581+AY192+AY505+AY117+AY271</f>
        <v>436</v>
      </c>
      <c r="AZ817" s="440"/>
      <c r="BA817" s="16">
        <f>BA581+BA192+BA505+BA117+BA271</f>
        <v>396</v>
      </c>
      <c r="BB817" s="440"/>
      <c r="BC817" s="16">
        <f>BC581+BC192+BC505+BC117+BC271</f>
        <v>393</v>
      </c>
      <c r="BD817" s="440"/>
      <c r="BE817" s="16">
        <f>BE581+BE192+BE505+BE117+BE271</f>
        <v>415</v>
      </c>
      <c r="BF817" s="440"/>
      <c r="BG817" s="16">
        <f>BG581+BG192+BG505+BG117+BG271</f>
        <v>456</v>
      </c>
      <c r="BH817" s="440"/>
      <c r="BI817" s="16">
        <f>BI581+BI192+BI505+BI117+BI271</f>
        <v>478</v>
      </c>
      <c r="BJ817" s="440"/>
      <c r="BK817" s="16">
        <f>BK581+BK192+BK505+BK117+BK271</f>
        <v>456</v>
      </c>
      <c r="BL817" s="440"/>
      <c r="BM817" s="16">
        <f>BM581+BM192+BM505+BM117+BM271</f>
        <v>481</v>
      </c>
      <c r="BN817" s="440"/>
      <c r="BO817" s="16">
        <f>BO581+BO192+BO505+BO117+BO271</f>
        <v>479</v>
      </c>
      <c r="BP817" s="440"/>
      <c r="BQ817" s="16">
        <f>BQ581+BQ192+BQ505+BQ117+BQ271</f>
        <v>448</v>
      </c>
      <c r="BR817" s="440"/>
      <c r="BS817" s="16">
        <f>BS581+BS192+BS505+BS117+BS271</f>
        <v>346</v>
      </c>
      <c r="BT817" s="440"/>
      <c r="BU817" s="16">
        <f>BU581+BU192+BU505+BU117+BU271</f>
        <v>301</v>
      </c>
      <c r="BV817" s="440"/>
      <c r="BW817" s="16">
        <f>BW581+BW192+BW505+BW117+BW271</f>
        <v>289</v>
      </c>
      <c r="BX817" s="440"/>
      <c r="BY817" s="16">
        <f>BY581+BY192+BY505+BY117+BY271</f>
        <v>286</v>
      </c>
      <c r="BZ817" s="440"/>
      <c r="CA817" s="16">
        <f>CA581+CA192+CA505+CA117+CA271</f>
        <v>333</v>
      </c>
      <c r="CB817" s="440"/>
      <c r="CC817" s="16">
        <f>CC581+CC192+CC505+CC117+CC271</f>
        <v>316</v>
      </c>
      <c r="CD817" s="440"/>
      <c r="CE817" s="16">
        <f>CE581+CE192+CE505+CE117+CE271</f>
        <v>376</v>
      </c>
      <c r="CF817" s="440"/>
      <c r="CG817" s="16">
        <f>CG581+CG192+CG505+CG117+CG271</f>
        <v>321</v>
      </c>
      <c r="CH817" s="440"/>
      <c r="CI817" s="16">
        <f>CI581+CI192+CI505+CI117+CI271</f>
        <v>400</v>
      </c>
      <c r="CJ817" s="440"/>
      <c r="CK817" s="16">
        <f>CK581+CK192+CK505+CK117+CK271</f>
        <v>435</v>
      </c>
      <c r="CL817" s="440"/>
      <c r="CM817" s="16">
        <f>CM581+CM192+CM505+CM117+CM271</f>
        <v>465</v>
      </c>
      <c r="CN817" s="440"/>
      <c r="CO817" s="16">
        <f>CO581+CO192+CO505+CO117+CO271</f>
        <v>478</v>
      </c>
      <c r="CP817" s="440"/>
      <c r="CQ817" s="16">
        <f>CQ581+CQ192+CQ505+CQ117+CQ271</f>
        <v>592</v>
      </c>
      <c r="CR817" s="440"/>
      <c r="CS817" s="16">
        <f>CS581+CS192+CS505+CS117+CS271</f>
        <v>698</v>
      </c>
      <c r="CT817" s="440"/>
      <c r="CU817" s="16">
        <f>CU581+CU192+CU505+CU117+CU271</f>
        <v>823</v>
      </c>
      <c r="CV817" s="440"/>
      <c r="CW817" s="16">
        <f>CW581+CW192+CW505+CW117+CW271</f>
        <v>793</v>
      </c>
      <c r="CX817" s="440"/>
      <c r="CY817" s="16">
        <f>CY581+CY192+CY505+CY117+CY271</f>
        <v>857</v>
      </c>
      <c r="CZ817" s="440"/>
      <c r="DA817" s="16">
        <f>DA581+DA192+DA505+DA117+DA271</f>
        <v>807</v>
      </c>
      <c r="DB817" s="16"/>
      <c r="DC817" s="16">
        <f>DC581+DC192+DC505+DC117+DC271</f>
        <v>868</v>
      </c>
      <c r="DD817" s="440"/>
      <c r="DE817" s="16">
        <f>DE581+DE192+DE505+DE117+DE271</f>
        <v>966</v>
      </c>
      <c r="DF817" s="440"/>
      <c r="DG817" s="16">
        <f>DG581+DG192+DG505+DG117+DG271</f>
        <v>894</v>
      </c>
      <c r="DH817" s="440"/>
      <c r="DI817" s="16">
        <f>DI581+DI192+DI505+DI117+DI271</f>
        <v>915</v>
      </c>
      <c r="DJ817" s="440"/>
      <c r="DK817" s="16">
        <f>DK581+DK192+DK505+DK117+DK271</f>
        <v>884</v>
      </c>
      <c r="DL817" s="440"/>
      <c r="DM817" s="16">
        <f>DM581+DM192+DM505+DM117+DM271</f>
        <v>961</v>
      </c>
      <c r="DN817" s="440"/>
      <c r="DO817" s="16">
        <f>DO581+DO192+DO505+DO117+DO271</f>
        <v>977</v>
      </c>
      <c r="DP817" s="440"/>
      <c r="DQ817" s="16">
        <f>DQ581+DQ192+DQ505+DQ117+DQ271</f>
        <v>982</v>
      </c>
      <c r="DR817" s="440"/>
      <c r="DS817" s="16">
        <f>DS581+DS192+DS505+DS117+DS271</f>
        <v>887</v>
      </c>
      <c r="DT817" s="440"/>
      <c r="DU817" s="16">
        <f>DU581+DU192+DU505+DU117+DU271</f>
        <v>924</v>
      </c>
      <c r="DV817" s="440"/>
      <c r="DW817" s="16">
        <f>DW581+DW192+DW505+DW117+DW271</f>
        <v>770</v>
      </c>
      <c r="DX817" s="440"/>
      <c r="DY817" s="16">
        <f>DY581+DY192+DY505+DY117+DY271</f>
        <v>747</v>
      </c>
      <c r="DZ817" s="440"/>
      <c r="EA817" s="16">
        <f>EA581+EA192+EA505+EA117+EA271</f>
        <v>759</v>
      </c>
      <c r="EB817" s="440"/>
      <c r="EC817" s="16">
        <f>EC581+EC192+EC505+EC117+EC271</f>
        <v>754</v>
      </c>
      <c r="ED817" s="440"/>
      <c r="EE817" s="16">
        <f>EE581+EE192+EE505+EE117+EE271</f>
        <v>829.2</v>
      </c>
      <c r="EF817" s="1080"/>
      <c r="EG817" s="16">
        <f>EG581+EG192+EG505+EG117+EG271</f>
        <v>803</v>
      </c>
      <c r="EH817" s="1080"/>
      <c r="EI817" s="16">
        <f>EI581+EI192+EI505+EI117+EI271</f>
        <v>830</v>
      </c>
      <c r="EJ817" s="1080"/>
      <c r="EK817" s="16">
        <f>EK581+EK192+EK505+EK117+EK271</f>
        <v>770</v>
      </c>
      <c r="EL817" s="1080"/>
      <c r="EM817" s="16">
        <f>EM581+EM192+EM505+EM117+EM271</f>
        <v>753</v>
      </c>
      <c r="EN817" s="1080"/>
      <c r="EO817" s="16">
        <f>EO581+EO192+EO505+EO117+EO271</f>
        <v>802</v>
      </c>
      <c r="EP817" s="440"/>
      <c r="EQ817" s="16">
        <f>EQ581+EQ192+EQ505+EQ117+EQ271</f>
        <v>868.24987546694592</v>
      </c>
      <c r="ER817" s="440"/>
      <c r="ES817" s="16">
        <f>ES581+ES192+ES505+ES117+ES271</f>
        <v>856.51110538128876</v>
      </c>
      <c r="ET817" s="440"/>
      <c r="EU817" s="16">
        <f>EU581+EU192+EU505+EU117+EU271</f>
        <v>855.09490618724487</v>
      </c>
      <c r="EV817" s="440"/>
      <c r="EW817" s="16">
        <f>EW581+EW192+EW505+EW117+EW271</f>
        <v>894.5119047779815</v>
      </c>
      <c r="EX817" s="440"/>
      <c r="EY817" s="16"/>
      <c r="EZ817" s="607"/>
      <c r="FA817" s="427"/>
      <c r="FB817" s="16"/>
      <c r="FC817" s="16"/>
      <c r="FD817" s="16">
        <f>FD581+FD192+FD505+FD117+FD271</f>
        <v>3392</v>
      </c>
      <c r="FE817" s="440"/>
      <c r="FF817" s="16">
        <f>FF581+FF192+FF505+FF117+FF271</f>
        <v>3469</v>
      </c>
      <c r="FG817" s="440"/>
      <c r="FH817" s="16">
        <f>FH581+FH192+FH505+FH117+FH271</f>
        <v>677.85161290322571</v>
      </c>
      <c r="FI817" s="440"/>
      <c r="FJ817" s="16">
        <f>FJ581+FJ192+FJ505+FJ117+FJ271</f>
        <v>835</v>
      </c>
      <c r="FK817" s="440"/>
      <c r="FL817" s="16">
        <f>FL581+FL192+FL505+FL117+FL271</f>
        <v>1071</v>
      </c>
      <c r="FM817" s="440"/>
      <c r="FN817" s="16">
        <f>FN581+FN192+FN505+FN117+FN271</f>
        <v>1026</v>
      </c>
      <c r="FO817" s="440"/>
      <c r="FP817" s="16">
        <f>FP581+FP192+FP505+FP117+FP271</f>
        <v>1245</v>
      </c>
      <c r="FQ817" s="440"/>
      <c r="FR817" s="16">
        <f>FR581+FR192+FR505+FR117+FR271</f>
        <v>1640</v>
      </c>
      <c r="FS817" s="440"/>
      <c r="FT817" s="16">
        <f>FT581+FT192+FT505+FT117+FT271</f>
        <v>1871</v>
      </c>
      <c r="FU817" s="440"/>
      <c r="FV817" s="16">
        <f>FV581+FV192+FV505+FV117+FV271</f>
        <v>4834</v>
      </c>
      <c r="FW817" s="440"/>
      <c r="FX817" s="16">
        <f>FX581+FX192+FX505+FX117+FX271</f>
        <v>1224</v>
      </c>
      <c r="FY817" s="440"/>
      <c r="FZ817" s="16">
        <f>FZ581+FZ192+FZ505+FZ117+FZ271</f>
        <v>1532</v>
      </c>
      <c r="GA817" s="440"/>
      <c r="GB817" s="16">
        <f>GB581+GB192+GB505+GB117+GB271</f>
        <v>2714</v>
      </c>
      <c r="GC817" s="440"/>
      <c r="GD817" s="16">
        <f>GD581+GD192+GD505+GD117+GD271</f>
        <v>3280</v>
      </c>
      <c r="GE817" s="440"/>
      <c r="GF817" s="16" t="e">
        <f>+#REF!+GF581+#REF!+#REF!+#REF!+GF192</f>
        <v>#REF!</v>
      </c>
      <c r="GG817" s="440"/>
      <c r="GH817" s="16" t="e">
        <f>+#REF!+GH581+#REF!+#REF!+#REF!+GH192</f>
        <v>#REF!</v>
      </c>
      <c r="GI817" s="440"/>
      <c r="GJ817" s="16">
        <f>GJ581+GJ192+GJ505+GJ117+GJ271</f>
        <v>3328</v>
      </c>
      <c r="GK817" s="440"/>
      <c r="GL817" s="16">
        <f>GL581+GL192+GL505+GL117+GL271</f>
        <v>3145.2</v>
      </c>
      <c r="GM817" s="98">
        <f t="shared" si="4917"/>
        <v>-5.492788461538467</v>
      </c>
      <c r="GN817" s="16">
        <f>GN581+GN192+GN505+GN117+GN271</f>
        <v>3155</v>
      </c>
      <c r="GO817" s="98">
        <f t="shared" si="4917"/>
        <v>0.31158590868625158</v>
      </c>
      <c r="GP817" s="16">
        <f>GP581+GP192+GP505+GP117+GP271</f>
        <v>3474.3677918134617</v>
      </c>
      <c r="GQ817" s="98">
        <f t="shared" si="4917"/>
        <v>10.12259245050593</v>
      </c>
      <c r="GR817" s="16">
        <f>GR581+GR192+GR505+GR117+GR271</f>
        <v>3471.547957285753</v>
      </c>
      <c r="GS817" s="98">
        <f t="shared" si="4917"/>
        <v>-8.1161083013525648E-2</v>
      </c>
      <c r="GT817" s="16">
        <f>GT581+GT192+GT505+GT117+GT271</f>
        <v>3443.1364939427076</v>
      </c>
      <c r="GU817" s="440"/>
      <c r="GV817" s="16">
        <f>GV581+GV192+GV505+GV117+GV271</f>
        <v>3424.1125040364354</v>
      </c>
      <c r="GW817" s="440"/>
      <c r="GX817" s="16">
        <f>GX581+GX192+GX505+GX117+GX271</f>
        <v>3405.4653241348569</v>
      </c>
      <c r="GY817" s="440"/>
      <c r="GZ817" s="455"/>
      <c r="HA817" s="455"/>
      <c r="HC817"/>
      <c r="HD817"/>
      <c r="HE817"/>
      <c r="HF817"/>
      <c r="HG817"/>
      <c r="HH817"/>
    </row>
    <row r="818" spans="1:217" s="2" customFormat="1" ht="12.75" hidden="1" customHeight="1" outlineLevel="1" x14ac:dyDescent="0.2">
      <c r="A818" s="28"/>
      <c r="B818" s="179"/>
      <c r="D818" s="11"/>
      <c r="F818" s="11"/>
      <c r="H818" s="11"/>
      <c r="J818" s="36"/>
      <c r="L818" s="36"/>
      <c r="N818" s="36"/>
      <c r="O818" s="399"/>
      <c r="P818" s="36"/>
      <c r="Q818" s="399"/>
      <c r="R818" s="36"/>
      <c r="S818" s="32"/>
      <c r="T818" s="36"/>
      <c r="U818" s="32"/>
      <c r="V818" s="36"/>
      <c r="W818" s="32"/>
      <c r="X818" s="36"/>
      <c r="Y818" s="32"/>
      <c r="Z818" s="36"/>
      <c r="AA818" s="32"/>
      <c r="AB818" s="36"/>
      <c r="AC818" s="32"/>
      <c r="AD818" s="36"/>
      <c r="AE818" s="32"/>
      <c r="AF818" s="36"/>
      <c r="AG818" s="32"/>
      <c r="AH818" s="36"/>
      <c r="AI818" s="32"/>
      <c r="AJ818" s="36"/>
      <c r="AK818" s="32"/>
      <c r="AL818" s="36"/>
      <c r="AM818" s="32"/>
      <c r="AN818" s="36"/>
      <c r="AO818" s="32"/>
      <c r="AP818" s="36"/>
      <c r="AQ818" s="32"/>
      <c r="AR818" s="36"/>
      <c r="AS818" s="32"/>
      <c r="AT818" s="36"/>
      <c r="AU818" s="32"/>
      <c r="AV818" s="36"/>
      <c r="AW818" s="32"/>
      <c r="AX818" s="36"/>
      <c r="AY818" s="32"/>
      <c r="AZ818" s="36"/>
      <c r="BA818" s="32"/>
      <c r="BB818" s="36"/>
      <c r="BC818" s="32"/>
      <c r="BD818" s="36"/>
      <c r="BE818" s="32"/>
      <c r="BF818" s="36"/>
      <c r="BG818" s="32"/>
      <c r="BH818" s="36"/>
      <c r="BI818" s="32"/>
      <c r="BJ818" s="36"/>
      <c r="BK818" s="32"/>
      <c r="BL818" s="36"/>
      <c r="BM818" s="32"/>
      <c r="BN818" s="36"/>
      <c r="BO818" s="32"/>
      <c r="BP818" s="36"/>
      <c r="BQ818" s="32"/>
      <c r="BR818" s="36"/>
      <c r="BS818" s="32"/>
      <c r="BT818" s="36"/>
      <c r="BU818" s="32"/>
      <c r="BV818" s="36"/>
      <c r="BW818" s="32"/>
      <c r="BX818" s="36"/>
      <c r="BY818" s="32"/>
      <c r="BZ818" s="36"/>
      <c r="CA818" s="32"/>
      <c r="CB818" s="36"/>
      <c r="CC818" s="32"/>
      <c r="CD818" s="36"/>
      <c r="CE818" s="32"/>
      <c r="CF818" s="36"/>
      <c r="CG818" s="32"/>
      <c r="CH818" s="36"/>
      <c r="CI818" s="32"/>
      <c r="CJ818" s="36"/>
      <c r="CK818" s="32"/>
      <c r="CL818" s="36"/>
      <c r="CM818" s="32"/>
      <c r="CN818" s="36"/>
      <c r="CO818" s="32"/>
      <c r="CP818" s="36"/>
      <c r="CQ818" s="536"/>
      <c r="CR818" s="36"/>
      <c r="CS818" s="32"/>
      <c r="CT818" s="36"/>
      <c r="CU818" s="32"/>
      <c r="CV818" s="36"/>
      <c r="CW818" s="32"/>
      <c r="CX818" s="36"/>
      <c r="CY818" s="32"/>
      <c r="CZ818" s="36"/>
      <c r="DA818" s="32"/>
      <c r="DB818" s="36"/>
      <c r="DC818" s="32"/>
      <c r="DD818" s="36"/>
      <c r="DE818" s="32"/>
      <c r="DF818" s="36"/>
      <c r="DG818" s="32"/>
      <c r="DH818" s="36"/>
      <c r="DI818" s="32"/>
      <c r="DJ818" s="36"/>
      <c r="DK818" s="32"/>
      <c r="DL818" s="36"/>
      <c r="DM818" s="32"/>
      <c r="DN818" s="36"/>
      <c r="DO818" s="32"/>
      <c r="DP818" s="36"/>
      <c r="DQ818" s="32"/>
      <c r="DR818" s="36"/>
      <c r="DS818" s="32"/>
      <c r="DT818" s="36"/>
      <c r="DU818" s="32"/>
      <c r="DV818" s="36"/>
      <c r="DW818" s="32"/>
      <c r="DX818" s="36"/>
      <c r="DY818" s="32"/>
      <c r="DZ818" s="36"/>
      <c r="EA818" s="32"/>
      <c r="EB818" s="36"/>
      <c r="EC818" s="32"/>
      <c r="ED818" s="36"/>
      <c r="EE818" s="32"/>
      <c r="EF818" s="768"/>
      <c r="EG818" s="32"/>
      <c r="EH818" s="768"/>
      <c r="EI818" s="32"/>
      <c r="EJ818" s="768"/>
      <c r="EK818" s="32"/>
      <c r="EL818" s="768"/>
      <c r="EM818" s="32"/>
      <c r="EN818" s="768"/>
      <c r="EO818" s="32"/>
      <c r="EP818" s="36"/>
      <c r="EQ818" s="1085"/>
      <c r="ER818" s="36"/>
      <c r="ES818" s="1085"/>
      <c r="ET818" s="36"/>
      <c r="EU818" s="1085"/>
      <c r="EV818" s="36"/>
      <c r="EW818" s="1085"/>
      <c r="EX818" s="36"/>
      <c r="EY818" s="32"/>
      <c r="EZ818" s="602"/>
      <c r="FA818" s="266"/>
      <c r="FB818" s="399"/>
      <c r="FC818" s="11"/>
      <c r="FD818" s="399"/>
      <c r="FE818" s="36"/>
      <c r="FF818" s="399"/>
      <c r="FG818" s="36"/>
      <c r="FH818" s="399"/>
      <c r="FI818" s="36"/>
      <c r="FJ818" s="399"/>
      <c r="FK818" s="36"/>
      <c r="FL818" s="399"/>
      <c r="FM818" s="36"/>
      <c r="FN818" s="399"/>
      <c r="FO818" s="36"/>
      <c r="FP818" s="399"/>
      <c r="FQ818" s="36"/>
      <c r="FR818" s="399"/>
      <c r="FS818" s="36"/>
      <c r="FT818" s="32"/>
      <c r="FU818" s="36"/>
      <c r="FV818" s="32"/>
      <c r="FW818" s="36"/>
      <c r="FX818" s="536"/>
      <c r="FY818" s="36"/>
      <c r="FZ818" s="32"/>
      <c r="GA818" s="36"/>
      <c r="GB818" s="536"/>
      <c r="GC818" s="36"/>
      <c r="GD818" s="32"/>
      <c r="GE818" s="36"/>
      <c r="GF818" s="32"/>
      <c r="GG818" s="36"/>
      <c r="GH818" s="32"/>
      <c r="GI818" s="36"/>
      <c r="GJ818" s="32"/>
      <c r="GK818" s="36"/>
      <c r="GL818" s="32"/>
      <c r="GM818" s="36"/>
      <c r="GN818" s="32"/>
      <c r="GO818" s="36"/>
      <c r="GP818" s="32"/>
      <c r="GQ818" s="36"/>
      <c r="GR818" s="32"/>
      <c r="GS818" s="36"/>
      <c r="GT818" s="32"/>
      <c r="GU818" s="36"/>
      <c r="GV818" s="32"/>
      <c r="GW818" s="36"/>
      <c r="GX818" s="32"/>
      <c r="GY818" s="36"/>
      <c r="GZ818" s="36"/>
      <c r="HA818" s="36"/>
      <c r="HB818" s="10"/>
      <c r="HC818"/>
      <c r="HD818"/>
      <c r="HE818"/>
      <c r="HF818"/>
      <c r="HG818"/>
      <c r="HH818"/>
      <c r="HI818" s="10"/>
    </row>
    <row r="819" spans="1:217" s="10" customFormat="1" ht="12.75" hidden="1" customHeight="1" outlineLevel="1" x14ac:dyDescent="0.2">
      <c r="A819" s="16" t="e">
        <f>+A541/0.65</f>
        <v>#VALUE!</v>
      </c>
      <c r="B819" s="10" t="s">
        <v>189</v>
      </c>
      <c r="C819" s="16"/>
      <c r="D819" s="16"/>
      <c r="E819" s="16"/>
      <c r="F819" s="16"/>
      <c r="G819" s="16"/>
      <c r="H819" s="16"/>
      <c r="I819" s="16"/>
      <c r="J819" s="16"/>
      <c r="K819" s="16"/>
      <c r="L819" s="440"/>
      <c r="M819" s="16"/>
      <c r="N819" s="440"/>
      <c r="O819" s="16"/>
      <c r="P819" s="440"/>
      <c r="Q819" s="16"/>
      <c r="R819" s="440"/>
      <c r="S819" s="16">
        <f>+S541/0.65</f>
        <v>-116.92307692307692</v>
      </c>
      <c r="T819" s="440"/>
      <c r="U819" s="16">
        <f>+U541/0.65</f>
        <v>-6.1538461538461533</v>
      </c>
      <c r="V819" s="440"/>
      <c r="W819" s="16">
        <f>+W541/0.65</f>
        <v>-107.69230769230769</v>
      </c>
      <c r="X819" s="440"/>
      <c r="Y819" s="16">
        <f>+Y541/0.65</f>
        <v>-250.76923076923077</v>
      </c>
      <c r="Z819" s="440"/>
      <c r="AA819" s="16">
        <f>+AA541/0.65</f>
        <v>-18.46153846153846</v>
      </c>
      <c r="AB819" s="440"/>
      <c r="AC819" s="16">
        <f>+AC541/0.65</f>
        <v>63.076923076923073</v>
      </c>
      <c r="AD819" s="440"/>
      <c r="AE819" s="16">
        <f>+AE541/0.65</f>
        <v>123.07692307692307</v>
      </c>
      <c r="AF819" s="440"/>
      <c r="AG819" s="16">
        <f>+AG541/0.65</f>
        <v>3.0769230769230766</v>
      </c>
      <c r="AH819" s="440"/>
      <c r="AI819" s="16">
        <f>+AI541/0.65</f>
        <v>-26.153846153846153</v>
      </c>
      <c r="AJ819" s="440"/>
      <c r="AK819" s="16">
        <f>+AK541/0.65</f>
        <v>149.23076923076923</v>
      </c>
      <c r="AL819" s="440"/>
      <c r="AM819" s="16">
        <f>+AM541/0.65</f>
        <v>36.92307692307692</v>
      </c>
      <c r="AN819" s="440"/>
      <c r="AO819" s="16">
        <f>+AO541/0.65</f>
        <v>46.153846153846153</v>
      </c>
      <c r="AP819" s="440"/>
      <c r="AQ819" s="16">
        <f>+AQ541/0.65</f>
        <v>12.307692307692307</v>
      </c>
      <c r="AR819" s="440"/>
      <c r="AS819" s="16">
        <f>+AS541/0.65</f>
        <v>118.46153846153845</v>
      </c>
      <c r="AT819" s="440"/>
      <c r="AU819" s="16">
        <f>+AU541/0.65</f>
        <v>-4.615384615384615</v>
      </c>
      <c r="AV819" s="440"/>
      <c r="AW819" s="16">
        <f>+AW541/0.65</f>
        <v>-98.461538461538453</v>
      </c>
      <c r="AX819" s="440"/>
      <c r="AY819" s="16">
        <f>+AY541/0.65</f>
        <v>13.846153846153845</v>
      </c>
      <c r="AZ819" s="440"/>
      <c r="BA819" s="16">
        <f>+BA541/0.65</f>
        <v>-21.538461538461537</v>
      </c>
      <c r="BB819" s="440"/>
      <c r="BC819" s="16">
        <f>+BC541/0.65</f>
        <v>-10.769230769230768</v>
      </c>
      <c r="BD819" s="440"/>
      <c r="BE819" s="16">
        <f>+BE541/0.65</f>
        <v>52.307692307692307</v>
      </c>
      <c r="BF819" s="440"/>
      <c r="BG819" s="16">
        <f>+BG541/0.65</f>
        <v>69.230769230769226</v>
      </c>
      <c r="BH819" s="440"/>
      <c r="BI819" s="16">
        <f>+BI541/0.65</f>
        <v>120</v>
      </c>
      <c r="BJ819" s="440"/>
      <c r="BK819" s="16">
        <f>+BK541/0.65</f>
        <v>69.230769230769226</v>
      </c>
      <c r="BL819" s="440"/>
      <c r="BM819" s="16">
        <f>+BM541/0.65</f>
        <v>-55.38461538461538</v>
      </c>
      <c r="BN819" s="440"/>
      <c r="BO819" s="16">
        <f>+BO541/0.65</f>
        <v>-35.384615384615387</v>
      </c>
      <c r="BP819" s="440"/>
      <c r="BQ819" s="16">
        <f>+BQ541/0.65</f>
        <v>-124.61538461538461</v>
      </c>
      <c r="BR819" s="440"/>
      <c r="BS819" s="16">
        <f>+BS541/0.65</f>
        <v>-338.46153846153845</v>
      </c>
      <c r="BT819" s="440"/>
      <c r="BU819" s="16">
        <f>+BU541/0.65</f>
        <v>-363.07692307692304</v>
      </c>
      <c r="BV819" s="440"/>
      <c r="BW819" s="16">
        <f>+BW541/0.65</f>
        <v>-392.30769230769232</v>
      </c>
      <c r="BX819" s="440"/>
      <c r="BY819" s="16">
        <f>+BY541/0.65</f>
        <v>-261.53846153846155</v>
      </c>
      <c r="BZ819" s="440"/>
      <c r="CA819" s="16">
        <f>+CA541/0.65</f>
        <v>-227.69230769230768</v>
      </c>
      <c r="CB819" s="440"/>
      <c r="CC819" s="16">
        <f>+CC541/0.65</f>
        <v>-269.23076923076923</v>
      </c>
      <c r="CD819" s="440"/>
      <c r="CE819" s="16">
        <f>+CE541/0.65</f>
        <v>-195.38461538461539</v>
      </c>
      <c r="CF819" s="440"/>
      <c r="CG819" s="16">
        <f>+CG541/0.65</f>
        <v>-166.15384615384616</v>
      </c>
      <c r="CH819" s="440"/>
      <c r="CI819" s="16">
        <f>+CI541/0.73</f>
        <v>-243.83561643835617</v>
      </c>
      <c r="CJ819" s="440"/>
      <c r="CK819" s="16">
        <f>+CK541/0.73</f>
        <v>-2.7397260273972601</v>
      </c>
      <c r="CL819" s="440"/>
      <c r="CM819" s="16">
        <f>+CM541/0.73</f>
        <v>-12.328767123287671</v>
      </c>
      <c r="CN819" s="440"/>
      <c r="CO819" s="16">
        <f>+CO541/0.73</f>
        <v>-58.904109589041099</v>
      </c>
      <c r="CP819" s="440"/>
      <c r="CQ819" s="535">
        <f>+CQ541/0.73</f>
        <v>-139.72602739726028</v>
      </c>
      <c r="CR819" s="440"/>
      <c r="CS819" s="16">
        <f>+CS541/0.65</f>
        <v>-146.15384615384616</v>
      </c>
      <c r="CT819" s="440"/>
      <c r="CU819" s="16">
        <f>+CU541/0.65</f>
        <v>-103.07692307692308</v>
      </c>
      <c r="CV819" s="440"/>
      <c r="CW819" s="16">
        <f>+CW541/0.65</f>
        <v>-81.538461538461533</v>
      </c>
      <c r="CX819" s="440"/>
      <c r="CY819" s="16">
        <f>+CY541/0.65</f>
        <v>-206.15384615384616</v>
      </c>
      <c r="CZ819" s="440"/>
      <c r="DA819" s="16">
        <f>+DA541/0.65</f>
        <v>-210.76923076923077</v>
      </c>
      <c r="DB819" s="440"/>
      <c r="DC819" s="16">
        <f>+DC541/0.65</f>
        <v>-132.30769230769229</v>
      </c>
      <c r="DD819" s="440"/>
      <c r="DE819" s="16">
        <f>+DE541/0.65</f>
        <v>-215.38461538461539</v>
      </c>
      <c r="DF819" s="440"/>
      <c r="DG819" s="16">
        <f>+DG541/0.65</f>
        <v>-250.76923076923077</v>
      </c>
      <c r="DH819" s="440"/>
      <c r="DI819" s="16">
        <f>+DI541/0.65</f>
        <v>-427.69230769230768</v>
      </c>
      <c r="DJ819" s="440"/>
      <c r="DK819" s="16">
        <f>+DK541/0.65</f>
        <v>-255.38461538461539</v>
      </c>
      <c r="DL819" s="440"/>
      <c r="DM819" s="16">
        <f>+DM541/0.65</f>
        <v>-293.84615384615381</v>
      </c>
      <c r="DN819" s="440"/>
      <c r="DO819" s="16">
        <f>+DO541/0.65</f>
        <v>-163.07692307692307</v>
      </c>
      <c r="DP819" s="440"/>
      <c r="DQ819" s="16">
        <f>+DQ541/0.65</f>
        <v>-444.61538461538458</v>
      </c>
      <c r="DR819" s="440"/>
      <c r="DS819" s="16">
        <f>+DS541/0.65</f>
        <v>-232.30769230769229</v>
      </c>
      <c r="DT819" s="440"/>
      <c r="DU819" s="16">
        <f>+DU541/0.65</f>
        <v>-270.76923076923077</v>
      </c>
      <c r="DV819" s="440"/>
      <c r="DW819" s="16">
        <f>+DW541/0.65</f>
        <v>-1512.3076923076922</v>
      </c>
      <c r="DX819" s="440"/>
      <c r="DY819" s="16">
        <f>+DY541/0.65</f>
        <v>-323.07692307692304</v>
      </c>
      <c r="DZ819" s="440"/>
      <c r="EA819" s="16">
        <f>+EA541/0.65</f>
        <v>-292.30769230769232</v>
      </c>
      <c r="EB819" s="440"/>
      <c r="EC819" s="16">
        <f>+EC541/0.65</f>
        <v>-375.38461538461536</v>
      </c>
      <c r="ED819" s="440"/>
      <c r="EE819" s="16">
        <f>+EE541/0.65</f>
        <v>9.2307692307692299</v>
      </c>
      <c r="EF819" s="1080"/>
      <c r="EG819" s="16">
        <f>+EG541/0.65</f>
        <v>-312.30769230769232</v>
      </c>
      <c r="EH819" s="1080"/>
      <c r="EI819" s="16">
        <f>+EI541/0.65</f>
        <v>-116.92307692307692</v>
      </c>
      <c r="EJ819" s="1080"/>
      <c r="EK819" s="16">
        <f>+EK541/0.65</f>
        <v>-223.07692307692307</v>
      </c>
      <c r="EL819" s="1080"/>
      <c r="EM819" s="16">
        <f>+EM541/0.65</f>
        <v>-516.92307692307691</v>
      </c>
      <c r="EN819" s="1080"/>
      <c r="EO819" s="16">
        <f>+EO541/0.65</f>
        <v>-812.30769230769226</v>
      </c>
      <c r="EP819" s="440"/>
      <c r="EQ819" s="16">
        <f>+EQ541/0.65</f>
        <v>-311.70538461538462</v>
      </c>
      <c r="ER819" s="440"/>
      <c r="ES819" s="16">
        <f t="shared" ref="ES819" si="4918">+ES541/0.65</f>
        <v>-313.29505384615385</v>
      </c>
      <c r="ET819" s="440"/>
      <c r="EU819" s="16">
        <f t="shared" ref="EU819" si="4919">+EU541/0.65</f>
        <v>-314.90061976923073</v>
      </c>
      <c r="EV819" s="440"/>
      <c r="EW819" s="16">
        <f t="shared" ref="EW819" si="4920">+EW541/0.65</f>
        <v>-316.52224135153847</v>
      </c>
      <c r="EX819" s="440"/>
      <c r="EY819" s="16"/>
      <c r="EZ819" s="607"/>
      <c r="FA819" s="427"/>
      <c r="FB819" s="16"/>
      <c r="FC819" s="16"/>
      <c r="FD819" s="16">
        <f>+FD541/0.65</f>
        <v>52.307692307692307</v>
      </c>
      <c r="FE819" s="440"/>
      <c r="FF819" s="16">
        <f>+FF541/0.65</f>
        <v>-36.92307692307692</v>
      </c>
      <c r="FG819" s="440"/>
      <c r="FH819" s="16">
        <f>+FH541/0.65</f>
        <v>-360</v>
      </c>
      <c r="FI819" s="440"/>
      <c r="FJ819" s="16">
        <f>+FJ541/0.65</f>
        <v>-481.53846153846155</v>
      </c>
      <c r="FK819" s="440"/>
      <c r="FL819" s="16">
        <f>+FL541/0.65</f>
        <v>170.76923076923077</v>
      </c>
      <c r="FM819" s="440"/>
      <c r="FN819" s="16">
        <f>+FN541/0.65</f>
        <v>206.15384615384616</v>
      </c>
      <c r="FO819" s="440"/>
      <c r="FP819" s="16">
        <f>+FP541/0.65</f>
        <v>27.69230769230769</v>
      </c>
      <c r="FQ819" s="440"/>
      <c r="FR819" s="16">
        <f>+FR541/0.65</f>
        <v>33.846153846153847</v>
      </c>
      <c r="FS819" s="440"/>
      <c r="FT819" s="16">
        <f>+FT541/0.65</f>
        <v>203.07692307692307</v>
      </c>
      <c r="FU819" s="440"/>
      <c r="FV819" s="16">
        <f>+FV541/0.65</f>
        <v>-935.38461538461536</v>
      </c>
      <c r="FW819" s="440"/>
      <c r="FX819" s="535">
        <f>+FX541/0.65</f>
        <v>-1150.7692307692307</v>
      </c>
      <c r="FY819" s="440"/>
      <c r="FZ819" s="16">
        <f>+FZ541/0.65</f>
        <v>-638.46153846153845</v>
      </c>
      <c r="GA819" s="440"/>
      <c r="GB819" s="535">
        <f>+GB541/0.65</f>
        <v>-470.76923076923077</v>
      </c>
      <c r="GC819" s="440"/>
      <c r="GD819" s="16">
        <f>+GD541/0.65</f>
        <v>-601.53846153846155</v>
      </c>
      <c r="GE819" s="440"/>
      <c r="GF819" s="16">
        <f>+GF541/0.65</f>
        <v>-1026.1538461538462</v>
      </c>
      <c r="GG819" s="440"/>
      <c r="GH819" s="16">
        <f>+GH541/0.65</f>
        <v>-1156.9230769230769</v>
      </c>
      <c r="GI819" s="440"/>
      <c r="GJ819" s="16">
        <f>+GJ541/0.65</f>
        <v>-2338.4615384615386</v>
      </c>
      <c r="GK819" s="440"/>
      <c r="GL819" s="16">
        <f>+GL541/0.65</f>
        <v>-970.76923076923072</v>
      </c>
      <c r="GM819" s="98" t="str">
        <f t="shared" ref="GM819:GS830" si="4921">IF(ISERROR((GL819/GJ819-1)*100),"NA",IF(((GL819/GJ819-1)*100)&gt;100,"NM",IF(((GL819/GJ819-1)*100)&lt;-50,"NM",(GL819/GJ819-1)*100)))</f>
        <v>NM</v>
      </c>
      <c r="GN819" s="16">
        <f>+GN541/0.65</f>
        <v>-1669.2307692307693</v>
      </c>
      <c r="GO819" s="98">
        <f t="shared" si="4921"/>
        <v>71.949286846275768</v>
      </c>
      <c r="GP819" s="16">
        <f>+GP541/0.65</f>
        <v>-1256.4232995823077</v>
      </c>
      <c r="GQ819" s="98">
        <f t="shared" si="4921"/>
        <v>-24.730401407511525</v>
      </c>
      <c r="GR819" s="16">
        <f>+GR541/0.65</f>
        <v>-1257.6459394031874</v>
      </c>
      <c r="GS819" s="98">
        <f t="shared" si="4921"/>
        <v>9.7311138792655072E-2</v>
      </c>
      <c r="GT819" s="16">
        <f>+GT541/0.65</f>
        <v>-1129.1327504857118</v>
      </c>
      <c r="GU819" s="440"/>
      <c r="GV819" s="16">
        <f>+GV541/0.65</f>
        <v>-1108.4327743252913</v>
      </c>
      <c r="GW819" s="440"/>
      <c r="GX819" s="16">
        <f>+GX541/0.65</f>
        <v>-1087.8454504517106</v>
      </c>
      <c r="GY819" s="440"/>
      <c r="GZ819" s="455"/>
      <c r="HA819" s="455"/>
      <c r="HC819"/>
      <c r="HD819"/>
      <c r="HE819"/>
      <c r="HF819"/>
      <c r="HG819"/>
      <c r="HH819"/>
    </row>
    <row r="820" spans="1:217" s="10" customFormat="1" ht="12.75" hidden="1" customHeight="1" outlineLevel="1" x14ac:dyDescent="0.2">
      <c r="A820" s="28"/>
      <c r="B820" s="10" t="s">
        <v>489</v>
      </c>
      <c r="C820" s="16"/>
      <c r="D820" s="16"/>
      <c r="E820" s="16"/>
      <c r="F820" s="16"/>
      <c r="G820" s="16"/>
      <c r="H820" s="16"/>
      <c r="I820" s="16"/>
      <c r="J820" s="16"/>
      <c r="K820" s="16"/>
      <c r="L820" s="440"/>
      <c r="M820" s="16"/>
      <c r="N820" s="440"/>
      <c r="O820" s="16"/>
      <c r="P820" s="440"/>
      <c r="Q820" s="16"/>
      <c r="R820" s="440"/>
      <c r="S820" s="16"/>
      <c r="T820" s="440"/>
      <c r="U820" s="16"/>
      <c r="V820" s="440"/>
      <c r="W820" s="16"/>
      <c r="X820" s="440"/>
      <c r="Y820" s="16"/>
      <c r="Z820" s="440"/>
      <c r="AA820" s="16"/>
      <c r="AB820" s="440"/>
      <c r="AC820" s="16"/>
      <c r="AD820" s="440"/>
      <c r="AE820" s="16"/>
      <c r="AF820" s="440"/>
      <c r="AG820" s="16"/>
      <c r="AH820" s="440"/>
      <c r="AI820" s="16"/>
      <c r="AJ820" s="440"/>
      <c r="AK820" s="16"/>
      <c r="AL820" s="440"/>
      <c r="AM820" s="16"/>
      <c r="AN820" s="440"/>
      <c r="AO820" s="16"/>
      <c r="AP820" s="440"/>
      <c r="AQ820" s="16"/>
      <c r="AR820" s="440"/>
      <c r="AS820" s="16"/>
      <c r="AT820" s="440"/>
      <c r="AU820" s="16"/>
      <c r="AV820" s="440"/>
      <c r="AW820" s="16"/>
      <c r="AX820" s="440"/>
      <c r="AY820" s="16"/>
      <c r="AZ820" s="440"/>
      <c r="BA820" s="16"/>
      <c r="BB820" s="440"/>
      <c r="BC820" s="16"/>
      <c r="BD820" s="440"/>
      <c r="BE820" s="16"/>
      <c r="BF820" s="440"/>
      <c r="BG820" s="16"/>
      <c r="BH820" s="440"/>
      <c r="BI820" s="16"/>
      <c r="BJ820" s="440"/>
      <c r="BK820" s="16"/>
      <c r="BL820" s="440"/>
      <c r="BM820" s="16"/>
      <c r="BN820" s="440"/>
      <c r="BO820" s="16"/>
      <c r="BP820" s="440"/>
      <c r="BQ820" s="16"/>
      <c r="BR820" s="440"/>
      <c r="BS820" s="16"/>
      <c r="BT820" s="440"/>
      <c r="BU820" s="16"/>
      <c r="BV820" s="440"/>
      <c r="BW820" s="16"/>
      <c r="BX820" s="440"/>
      <c r="BY820" s="16"/>
      <c r="BZ820" s="440"/>
      <c r="CA820" s="16"/>
      <c r="CB820" s="440"/>
      <c r="CC820" s="16"/>
      <c r="CD820" s="440"/>
      <c r="CE820" s="16"/>
      <c r="CF820" s="440"/>
      <c r="CG820" s="16"/>
      <c r="CH820" s="440"/>
      <c r="CI820" s="16"/>
      <c r="CJ820" s="440"/>
      <c r="CK820" s="16"/>
      <c r="CL820" s="440"/>
      <c r="CM820" s="16"/>
      <c r="CN820" s="440"/>
      <c r="CO820" s="16"/>
      <c r="CP820" s="440"/>
      <c r="CQ820" s="16">
        <f>CQ271+CQ117</f>
        <v>153</v>
      </c>
      <c r="CR820" s="440"/>
      <c r="CS820" s="16">
        <f>CS271+CS117</f>
        <v>240</v>
      </c>
      <c r="CT820" s="440"/>
      <c r="CU820" s="16">
        <f>CU271+CU117</f>
        <v>243</v>
      </c>
      <c r="CV820" s="440"/>
      <c r="CW820" s="16">
        <f>CW271+CW117</f>
        <v>267</v>
      </c>
      <c r="CX820" s="440"/>
      <c r="CY820" s="16">
        <f>CY271+CY117</f>
        <v>266</v>
      </c>
      <c r="CZ820" s="440"/>
      <c r="DA820" s="16">
        <f>DA271+DA117</f>
        <v>214</v>
      </c>
      <c r="DB820" s="16"/>
      <c r="DC820" s="16">
        <f>DC271+DC117</f>
        <v>234</v>
      </c>
      <c r="DD820" s="440"/>
      <c r="DE820" s="16">
        <f>DE271+DE117</f>
        <v>263</v>
      </c>
      <c r="DF820" s="440"/>
      <c r="DG820" s="16">
        <f>DG271+DG117</f>
        <v>215</v>
      </c>
      <c r="DH820" s="440"/>
      <c r="DI820" s="16">
        <f>DI271+DI117</f>
        <v>215</v>
      </c>
      <c r="DJ820" s="440"/>
      <c r="DK820" s="16">
        <f>DK271+DK117</f>
        <v>189</v>
      </c>
      <c r="DL820" s="440"/>
      <c r="DM820" s="16">
        <f>DM271+DM117</f>
        <v>211</v>
      </c>
      <c r="DN820" s="440"/>
      <c r="DO820" s="16">
        <f>DO271+DO117</f>
        <v>218</v>
      </c>
      <c r="DP820" s="440"/>
      <c r="DQ820" s="16">
        <f>DQ271+DQ117</f>
        <v>237</v>
      </c>
      <c r="DR820" s="440"/>
      <c r="DS820" s="16">
        <f>DS271+DS117</f>
        <v>219</v>
      </c>
      <c r="DT820" s="440"/>
      <c r="DU820" s="16">
        <f>DU271+DU117</f>
        <v>213</v>
      </c>
      <c r="DV820" s="440"/>
      <c r="DW820" s="16">
        <f>DW271+DW117</f>
        <v>218</v>
      </c>
      <c r="DX820" s="440"/>
      <c r="DY820" s="16">
        <f>DY271+DY117</f>
        <v>215</v>
      </c>
      <c r="DZ820" s="440"/>
      <c r="EA820" s="16">
        <f>EA271+EA117</f>
        <v>217</v>
      </c>
      <c r="EB820" s="440"/>
      <c r="EC820" s="16">
        <f>EC271+EC117</f>
        <v>200</v>
      </c>
      <c r="ED820" s="440"/>
      <c r="EE820" s="16">
        <f>EE271+EE117</f>
        <v>215.2</v>
      </c>
      <c r="EF820" s="1080"/>
      <c r="EG820" s="16">
        <f>EG271+EG117</f>
        <v>217</v>
      </c>
      <c r="EH820" s="1080"/>
      <c r="EI820" s="16">
        <f>EI271+EI117</f>
        <v>263</v>
      </c>
      <c r="EJ820" s="1080"/>
      <c r="EK820" s="16">
        <f>EK271+EK117</f>
        <v>231</v>
      </c>
      <c r="EL820" s="1080"/>
      <c r="EM820" s="16">
        <f>EM271+EM117</f>
        <v>292</v>
      </c>
      <c r="EN820" s="1080"/>
      <c r="EO820" s="16">
        <f>EO271+EO117</f>
        <v>325</v>
      </c>
      <c r="EP820" s="440"/>
      <c r="EQ820" s="16">
        <f>EQ271+EQ117</f>
        <v>324.99936338186041</v>
      </c>
      <c r="ER820" s="440"/>
      <c r="ES820" s="16">
        <f>ES271+ES117</f>
        <v>330.79602201079359</v>
      </c>
      <c r="ET820" s="440"/>
      <c r="EU820" s="16">
        <f>EU271+EU117</f>
        <v>344.71109209642464</v>
      </c>
      <c r="EV820" s="440"/>
      <c r="EW820" s="16">
        <f>EW271+EW117</f>
        <v>400.13603139914716</v>
      </c>
      <c r="EX820" s="440"/>
      <c r="EY820" s="16"/>
      <c r="EZ820" s="607"/>
      <c r="FA820" s="427"/>
      <c r="FB820" s="16"/>
      <c r="FC820" s="16"/>
      <c r="FD820" s="16"/>
      <c r="FE820" s="440"/>
      <c r="FF820" s="16"/>
      <c r="FG820" s="440"/>
      <c r="FH820" s="16"/>
      <c r="FI820" s="440"/>
      <c r="FJ820" s="16"/>
      <c r="FK820" s="440"/>
      <c r="FL820" s="16"/>
      <c r="FM820" s="440"/>
      <c r="FN820" s="16"/>
      <c r="FO820" s="440"/>
      <c r="FP820" s="16"/>
      <c r="FQ820" s="440"/>
      <c r="FR820" s="16"/>
      <c r="FS820" s="440"/>
      <c r="FT820" s="16"/>
      <c r="FU820" s="440"/>
      <c r="FV820" s="16"/>
      <c r="FW820" s="440"/>
      <c r="FX820" s="535"/>
      <c r="FY820" s="440"/>
      <c r="FZ820" s="16"/>
      <c r="GA820" s="440"/>
      <c r="GB820" s="535"/>
      <c r="GC820" s="440"/>
      <c r="GD820" s="16"/>
      <c r="GE820" s="440"/>
      <c r="GF820" s="16" t="e">
        <f>#REF!+#REF!+#REF!</f>
        <v>#REF!</v>
      </c>
      <c r="GG820" s="440"/>
      <c r="GH820" s="16" t="e">
        <f>#REF!+#REF!+#REF!</f>
        <v>#REF!</v>
      </c>
      <c r="GI820" s="440"/>
      <c r="GJ820" s="16">
        <f>GJ271+GJ117</f>
        <v>865</v>
      </c>
      <c r="GK820" s="440"/>
      <c r="GL820" s="16">
        <f>GL271+GL117</f>
        <v>849.2</v>
      </c>
      <c r="GM820" s="98">
        <f t="shared" si="4921"/>
        <v>-1.8265895953757161</v>
      </c>
      <c r="GN820" s="16">
        <f>GN271+GN117</f>
        <v>1111</v>
      </c>
      <c r="GO820" s="98">
        <f t="shared" si="4921"/>
        <v>30.82901554404145</v>
      </c>
      <c r="GP820" s="16">
        <f>GP271+GP117</f>
        <v>1400.642508888227</v>
      </c>
      <c r="GQ820" s="98">
        <f t="shared" si="4921"/>
        <v>26.070432843224744</v>
      </c>
      <c r="GR820" s="16">
        <f>GR271+GR117</f>
        <v>1490.3960942599892</v>
      </c>
      <c r="GS820" s="98">
        <f t="shared" si="4921"/>
        <v>6.4080295151833555</v>
      </c>
      <c r="GT820" s="16">
        <f>GT271+GT117</f>
        <v>1532.0437464854797</v>
      </c>
      <c r="GU820" s="440"/>
      <c r="GV820" s="16">
        <f>GV271+GV117</f>
        <v>1574.9224673557082</v>
      </c>
      <c r="GW820" s="440"/>
      <c r="GX820" s="16">
        <f>GX271+GX117</f>
        <v>1615.4796028902047</v>
      </c>
      <c r="GY820" s="440"/>
      <c r="GZ820" s="455"/>
      <c r="HA820" s="455"/>
      <c r="HC820"/>
      <c r="HD820"/>
      <c r="HE820"/>
      <c r="HF820"/>
      <c r="HG820"/>
      <c r="HH820"/>
    </row>
    <row r="821" spans="1:217" s="10" customFormat="1" ht="12.75" hidden="1" customHeight="1" outlineLevel="1" x14ac:dyDescent="0.2">
      <c r="A821" s="28"/>
      <c r="B821" s="10" t="s">
        <v>483</v>
      </c>
      <c r="C821" s="16">
        <f>+C581+C192+C505+C271+C117</f>
        <v>86.275498241500586</v>
      </c>
      <c r="D821" s="16"/>
      <c r="E821" s="16">
        <f>+E581+E192+E505+E271+E117</f>
        <v>96.989384288747345</v>
      </c>
      <c r="F821" s="16"/>
      <c r="G821" s="16">
        <f>+G581+G192+G505+G271+G117</f>
        <v>87.229860365198704</v>
      </c>
      <c r="H821" s="16"/>
      <c r="I821" s="16">
        <f>+I581+I192+I505+I271+I117</f>
        <v>74.267144319344936</v>
      </c>
      <c r="J821" s="16"/>
      <c r="K821" s="16">
        <f>+K581+K192+K505+K271+K117</f>
        <v>130</v>
      </c>
      <c r="L821" s="440"/>
      <c r="M821" s="16">
        <f>+M581+M192+M505+M271+M117</f>
        <v>135</v>
      </c>
      <c r="N821" s="440"/>
      <c r="O821" s="16">
        <f>+O581+O192+O505+O271+O117</f>
        <v>144</v>
      </c>
      <c r="P821" s="440"/>
      <c r="Q821" s="16">
        <f>+Q581+Q192+Q505+Q271+Q117</f>
        <v>170.85161290322583</v>
      </c>
      <c r="R821" s="440"/>
      <c r="S821" s="16">
        <f>+S581+S192+S505+S271+S117</f>
        <v>154</v>
      </c>
      <c r="T821" s="440"/>
      <c r="U821" s="16">
        <f>+U581+U192+U505+U271+U117</f>
        <v>185</v>
      </c>
      <c r="V821" s="440"/>
      <c r="W821" s="16">
        <f>+W581+W192+W505+W271+W117</f>
        <v>147</v>
      </c>
      <c r="X821" s="440"/>
      <c r="Y821" s="16">
        <f>+Y581+Y192+Y505+Y271+Y117</f>
        <v>147</v>
      </c>
      <c r="Z821" s="440"/>
      <c r="AA821" s="16">
        <f>+AA581+AA192+AA505+AA271+AA117</f>
        <v>132</v>
      </c>
      <c r="AB821" s="440"/>
      <c r="AC821" s="16">
        <f>+AC581+AC192+AC505+AC271+AC117</f>
        <v>176</v>
      </c>
      <c r="AD821" s="440"/>
      <c r="AE821" s="16">
        <f>+AE581+AE192+AE505+AE271+AE117</f>
        <v>171</v>
      </c>
      <c r="AF821" s="440"/>
      <c r="AG821" s="16">
        <f>+AG581+AG192+AG505+AG271+AG117</f>
        <v>210</v>
      </c>
      <c r="AH821" s="440"/>
      <c r="AI821" s="16">
        <f>+AI581+AI192+AI505+AI271+AI117</f>
        <v>263</v>
      </c>
      <c r="AJ821" s="440"/>
      <c r="AK821" s="16">
        <f>+AK581+AK192+AK505+AK271+AK117</f>
        <v>236</v>
      </c>
      <c r="AL821" s="440"/>
      <c r="AM821" s="16">
        <f>+AM581+AM192+AM505+AM271+AM117</f>
        <v>231</v>
      </c>
      <c r="AN821" s="440"/>
      <c r="AO821" s="16">
        <f>+AO581+AO192+AO505+AO271+AO117</f>
        <v>243.41101694915255</v>
      </c>
      <c r="AP821" s="440"/>
      <c r="AQ821" s="16">
        <f>+AQ581+AQ192+AQ505+AQ271+AQ117</f>
        <v>262</v>
      </c>
      <c r="AR821" s="440"/>
      <c r="AS821" s="16">
        <f>+AS581+AS192+AS505+AS271+AS117</f>
        <v>257</v>
      </c>
      <c r="AT821" s="440"/>
      <c r="AU821" s="16">
        <f>+AU581+AU192+AU505+AU271+AU117</f>
        <v>348</v>
      </c>
      <c r="AV821" s="440"/>
      <c r="AW821" s="16">
        <f>+AW581+AW192+AW505+AW271+AW117</f>
        <v>378</v>
      </c>
      <c r="AX821" s="440"/>
      <c r="AY821" s="16">
        <f>+AY581+AY192+AY505+AY271+AY117</f>
        <v>436</v>
      </c>
      <c r="AZ821" s="440"/>
      <c r="BA821" s="16">
        <f>+BA581+BA192+BA505+BA271+BA117</f>
        <v>396</v>
      </c>
      <c r="BB821" s="440"/>
      <c r="BC821" s="16">
        <f>+BC581+BC192+BC505+BC271+BC117</f>
        <v>393</v>
      </c>
      <c r="BD821" s="440"/>
      <c r="BE821" s="16">
        <f>+BE581+BE192+BE505+BE271+BE117</f>
        <v>415</v>
      </c>
      <c r="BF821" s="440"/>
      <c r="BG821" s="16">
        <f>+BG581+BG192+BG505+BG271+BG117</f>
        <v>456</v>
      </c>
      <c r="BH821" s="440"/>
      <c r="BI821" s="16">
        <f>+BI581+BI192+BI505+BI271+BI117</f>
        <v>478</v>
      </c>
      <c r="BJ821" s="440"/>
      <c r="BK821" s="16">
        <f>+BK581+BK192+BK505+BK271+BK117</f>
        <v>456</v>
      </c>
      <c r="BL821" s="440"/>
      <c r="BM821" s="16">
        <f>+BM581+BM192+BM505+BM271+BM117</f>
        <v>481</v>
      </c>
      <c r="BN821" s="440"/>
      <c r="BO821" s="16">
        <f>+BO581+BO192+BO505+BO271+BO117</f>
        <v>479</v>
      </c>
      <c r="BP821" s="440"/>
      <c r="BQ821" s="16">
        <f>+BQ581+BQ192+BQ505+BQ271+BQ117</f>
        <v>448</v>
      </c>
      <c r="BR821" s="440"/>
      <c r="BS821" s="16">
        <f>+BS581+BS192+BS505+BS271+BS117</f>
        <v>346</v>
      </c>
      <c r="BT821" s="440"/>
      <c r="BU821" s="16">
        <f>+BU581+BU192+BU505+BU271+BU117</f>
        <v>301</v>
      </c>
      <c r="BV821" s="440"/>
      <c r="BW821" s="16">
        <f>+BW581+BW192+BW505+BW271+BW117</f>
        <v>289</v>
      </c>
      <c r="BX821" s="440"/>
      <c r="BY821" s="16">
        <f>+BY581+BY192+BY505+BY271+BY117</f>
        <v>286</v>
      </c>
      <c r="BZ821" s="440"/>
      <c r="CA821" s="16">
        <f>+CA581+CA192+CA505+CA271+CA117</f>
        <v>333</v>
      </c>
      <c r="CB821" s="440"/>
      <c r="CC821" s="16">
        <f>+CC581+CC192+CC505+CC271+CC117</f>
        <v>316</v>
      </c>
      <c r="CD821" s="440"/>
      <c r="CE821" s="16">
        <f>+CE581+CE192+CE505+CE271+CE117</f>
        <v>376</v>
      </c>
      <c r="CF821" s="440"/>
      <c r="CG821" s="16">
        <f>+CG581+CG192+CG505+CG271+CG117</f>
        <v>321</v>
      </c>
      <c r="CH821" s="440"/>
      <c r="CI821" s="16">
        <f>+CI581+CI192+CI505+CI271+CI117</f>
        <v>400</v>
      </c>
      <c r="CJ821" s="440"/>
      <c r="CK821" s="16">
        <f>+CK581+CK192+CK505+CK271+CK117</f>
        <v>435</v>
      </c>
      <c r="CL821" s="440"/>
      <c r="CM821" s="16">
        <f>+CM581+CM192+CM505+CM271+CM117</f>
        <v>465</v>
      </c>
      <c r="CN821" s="440"/>
      <c r="CO821" s="16">
        <f>+CO581+CO192+CO505+CO271+CO117</f>
        <v>478</v>
      </c>
      <c r="CP821" s="440"/>
      <c r="CQ821" s="16">
        <f>+CQ581+CQ192+CQ505+CQ271+CQ117</f>
        <v>592</v>
      </c>
      <c r="CR821" s="440"/>
      <c r="CS821" s="16">
        <f>+CS581+CS192+CS505+CS271+CS117</f>
        <v>698</v>
      </c>
      <c r="CT821" s="440"/>
      <c r="CU821" s="16">
        <f>+CU581+CU192+CU505+CU271+CU117</f>
        <v>823</v>
      </c>
      <c r="CV821" s="440"/>
      <c r="CW821" s="16">
        <f>+CW581+CW192+CW505+CW271+CW117</f>
        <v>793</v>
      </c>
      <c r="CX821" s="440"/>
      <c r="CY821" s="16">
        <f>+CY581+CY192+CY505+CY271+CY117</f>
        <v>857</v>
      </c>
      <c r="CZ821" s="440"/>
      <c r="DA821" s="16">
        <f>+DA581+DA192+DA505+DA271+DA117</f>
        <v>807</v>
      </c>
      <c r="DB821" s="440"/>
      <c r="DC821" s="16">
        <f>+DC581+DC192+DC505+DC271+DC117</f>
        <v>868</v>
      </c>
      <c r="DD821" s="440"/>
      <c r="DE821" s="16">
        <f>+DE581+DE192+DE505+DE271+DE117</f>
        <v>966</v>
      </c>
      <c r="DF821" s="440"/>
      <c r="DG821" s="16">
        <f>+DG581+DG192+DG505+DG271+DG117</f>
        <v>894</v>
      </c>
      <c r="DH821" s="440"/>
      <c r="DI821" s="16">
        <f>+DI581+DI192+DI505+DI271+DI117</f>
        <v>915</v>
      </c>
      <c r="DJ821" s="440"/>
      <c r="DK821" s="16">
        <f>+DK581+DK192+DK505+DK271+DK117</f>
        <v>884</v>
      </c>
      <c r="DL821" s="440"/>
      <c r="DM821" s="16">
        <f>+DM581+DM192+DM505+DM271+DM117</f>
        <v>961</v>
      </c>
      <c r="DN821" s="440"/>
      <c r="DO821" s="16">
        <f>+DO581+DO192+DO505+DO271+DO117</f>
        <v>977</v>
      </c>
      <c r="DP821" s="440"/>
      <c r="DQ821" s="16">
        <f>+DQ581+DQ192+DQ505+DQ271+DQ117</f>
        <v>982</v>
      </c>
      <c r="DR821" s="440"/>
      <c r="DS821" s="16">
        <f>+DS581+DS192+DS505+DS271+DS117</f>
        <v>887</v>
      </c>
      <c r="DT821" s="440"/>
      <c r="DU821" s="16">
        <f>+DU581+DU192+DU505+DU271+DU117</f>
        <v>924</v>
      </c>
      <c r="DV821" s="440"/>
      <c r="DW821" s="16">
        <f>+DW581+DW192+DW505+DW271+DW117</f>
        <v>770</v>
      </c>
      <c r="DX821" s="440"/>
      <c r="DY821" s="16">
        <f>+DY581+DY192+DY505+DY271+DY117</f>
        <v>747</v>
      </c>
      <c r="DZ821" s="440"/>
      <c r="EA821" s="16">
        <f>+EA581+EA192+EA505+EA271+EA117</f>
        <v>759</v>
      </c>
      <c r="EB821" s="440"/>
      <c r="EC821" s="16">
        <f>+EC581+EC192+EC505+EC271+EC117</f>
        <v>754</v>
      </c>
      <c r="ED821" s="440"/>
      <c r="EE821" s="16">
        <f>+EE581+EE192+EE505+EE271+EE117</f>
        <v>829.2</v>
      </c>
      <c r="EF821" s="1080"/>
      <c r="EG821" s="16">
        <f>+EG581+EG192+EG505+EG271+EG117</f>
        <v>803</v>
      </c>
      <c r="EH821" s="1080"/>
      <c r="EI821" s="16">
        <f>+EI581+EI192+EI505+EI271+EI117</f>
        <v>830</v>
      </c>
      <c r="EJ821" s="1080"/>
      <c r="EK821" s="16">
        <f>+EK581+EK192+EK505+EK271+EK117</f>
        <v>770</v>
      </c>
      <c r="EL821" s="1080"/>
      <c r="EM821" s="16">
        <f>+EM581+EM192+EM505+EM271+EM117</f>
        <v>753</v>
      </c>
      <c r="EN821" s="1080"/>
      <c r="EO821" s="16">
        <f>+EO581+EO192+EO505+EO271+EO117</f>
        <v>802</v>
      </c>
      <c r="EP821" s="440"/>
      <c r="EQ821" s="16">
        <f>+EQ581+EQ192+EQ505+EQ271+EQ117</f>
        <v>868.24987546694592</v>
      </c>
      <c r="ER821" s="440"/>
      <c r="ES821" s="16">
        <f>+ES581+ES192+ES505+ES271+ES117</f>
        <v>856.51110538128876</v>
      </c>
      <c r="ET821" s="440"/>
      <c r="EU821" s="16">
        <f>+EU581+EU192+EU505+EU271+EU117</f>
        <v>855.09490618724476</v>
      </c>
      <c r="EV821" s="440"/>
      <c r="EW821" s="16">
        <f>+EW581+EW192+EW505+EW271+EW117</f>
        <v>894.5119047779815</v>
      </c>
      <c r="EX821" s="440"/>
      <c r="EY821" s="16"/>
      <c r="EZ821" s="607"/>
      <c r="FA821" s="427"/>
      <c r="FB821" s="16"/>
      <c r="FC821" s="16"/>
      <c r="FD821" s="16"/>
      <c r="FE821" s="440"/>
      <c r="FF821" s="16"/>
      <c r="FG821" s="440"/>
      <c r="FH821" s="16"/>
      <c r="FI821" s="440"/>
      <c r="FJ821" s="16"/>
      <c r="FK821" s="440"/>
      <c r="FL821" s="16"/>
      <c r="FM821" s="440"/>
      <c r="FN821" s="16"/>
      <c r="FO821" s="440"/>
      <c r="FP821" s="16"/>
      <c r="FQ821" s="440"/>
      <c r="FR821" s="16"/>
      <c r="FS821" s="440"/>
      <c r="FT821" s="16"/>
      <c r="FU821" s="440"/>
      <c r="FV821" s="16"/>
      <c r="FW821" s="440"/>
      <c r="FX821" s="535"/>
      <c r="FY821" s="440"/>
      <c r="FZ821" s="16"/>
      <c r="GA821" s="440"/>
      <c r="GB821" s="535"/>
      <c r="GC821" s="440"/>
      <c r="GD821" s="16"/>
      <c r="GE821" s="440"/>
      <c r="GF821" s="16" t="e">
        <f>#REF!+#REF!+#REF!+GF581+GF192+#REF!</f>
        <v>#REF!</v>
      </c>
      <c r="GG821" s="440"/>
      <c r="GH821" s="16" t="e">
        <f>#REF!+#REF!+#REF!+GH581+GH192+#REF!</f>
        <v>#REF!</v>
      </c>
      <c r="GI821" s="440"/>
      <c r="GJ821" s="16">
        <f>+GJ581+GJ192+GJ505+GJ271+GJ117</f>
        <v>3328</v>
      </c>
      <c r="GK821" s="440"/>
      <c r="GL821" s="16">
        <f>+GL581+GL192+GL505+GL271+GL117</f>
        <v>3145.2</v>
      </c>
      <c r="GM821" s="98">
        <f t="shared" si="4921"/>
        <v>-5.492788461538467</v>
      </c>
      <c r="GN821" s="16">
        <f>+GN581+GN192+GN505+GN271+GN117</f>
        <v>3155</v>
      </c>
      <c r="GO821" s="98">
        <f t="shared" si="4921"/>
        <v>0.31158590868625158</v>
      </c>
      <c r="GP821" s="16">
        <f>+GP581+GP192+GP505+GP271+GP117</f>
        <v>3474.3677918134617</v>
      </c>
      <c r="GQ821" s="98">
        <f t="shared" si="4921"/>
        <v>10.12259245050593</v>
      </c>
      <c r="GR821" s="16">
        <f>+GR581+GR192+GR505+GR271+GR117</f>
        <v>3471.547957285753</v>
      </c>
      <c r="GS821" s="98">
        <f t="shared" si="4921"/>
        <v>-8.1161083013525648E-2</v>
      </c>
      <c r="GT821" s="16">
        <f>+GT581+GT192+GT505+GT271+GT117</f>
        <v>3443.1364939427076</v>
      </c>
      <c r="GU821" s="440"/>
      <c r="GV821" s="16">
        <f>+GV581+GV192+GV505+GV271+GV117</f>
        <v>3424.1125040364354</v>
      </c>
      <c r="GW821" s="440"/>
      <c r="GX821" s="16">
        <f>+GX581+GX192+GX505+GX271+GX117</f>
        <v>3405.4653241348569</v>
      </c>
      <c r="GY821" s="440"/>
      <c r="GZ821" s="455"/>
      <c r="HA821" s="455"/>
      <c r="HC821"/>
      <c r="HD821"/>
      <c r="HE821"/>
      <c r="HF821"/>
      <c r="HG821"/>
      <c r="HH821"/>
    </row>
    <row r="822" spans="1:217" s="10" customFormat="1" ht="12.75" hidden="1" customHeight="1" outlineLevel="1" x14ac:dyDescent="0.2">
      <c r="A822" s="28" t="s">
        <v>564</v>
      </c>
      <c r="B822" s="10" t="s">
        <v>490</v>
      </c>
      <c r="C822" s="16"/>
      <c r="D822" s="16"/>
      <c r="E822" s="16"/>
      <c r="F822" s="16"/>
      <c r="G822" s="16"/>
      <c r="H822" s="16"/>
      <c r="I822" s="16"/>
      <c r="J822" s="16"/>
      <c r="K822" s="16"/>
      <c r="L822" s="440"/>
      <c r="M822" s="16"/>
      <c r="N822" s="440"/>
      <c r="O822" s="16"/>
      <c r="P822" s="440"/>
      <c r="Q822" s="16"/>
      <c r="R822" s="440"/>
      <c r="S822" s="16">
        <f>S544</f>
        <v>-76</v>
      </c>
      <c r="T822" s="440"/>
      <c r="U822" s="16">
        <f>U544</f>
        <v>-4</v>
      </c>
      <c r="V822" s="440"/>
      <c r="W822" s="16">
        <f>W544</f>
        <v>-70</v>
      </c>
      <c r="X822" s="440"/>
      <c r="Y822" s="16">
        <f>Y544</f>
        <v>-163</v>
      </c>
      <c r="Z822" s="440"/>
      <c r="AA822" s="16">
        <f>AA544</f>
        <v>-12</v>
      </c>
      <c r="AB822" s="440"/>
      <c r="AC822" s="16">
        <f>AC544</f>
        <v>41</v>
      </c>
      <c r="AD822" s="440"/>
      <c r="AE822" s="16">
        <f>AE544</f>
        <v>80</v>
      </c>
      <c r="AF822" s="440"/>
      <c r="AG822" s="16">
        <f>AG544</f>
        <v>2</v>
      </c>
      <c r="AH822" s="440"/>
      <c r="AI822" s="16">
        <f>AI544</f>
        <v>-17</v>
      </c>
      <c r="AJ822" s="440"/>
      <c r="AK822" s="16">
        <f>AK544</f>
        <v>-8</v>
      </c>
      <c r="AL822" s="440"/>
      <c r="AM822" s="16">
        <f>AM544</f>
        <v>15</v>
      </c>
      <c r="AN822" s="440"/>
      <c r="AO822" s="16">
        <f>AO544</f>
        <v>15</v>
      </c>
      <c r="AP822" s="440"/>
      <c r="AQ822" s="16">
        <f>AQ544</f>
        <v>-12</v>
      </c>
      <c r="AR822" s="440"/>
      <c r="AS822" s="16">
        <f>AS544</f>
        <v>8</v>
      </c>
      <c r="AT822" s="440"/>
      <c r="AU822" s="16">
        <f>AU544</f>
        <v>-68</v>
      </c>
      <c r="AV822" s="440"/>
      <c r="AW822" s="16">
        <f>AW544</f>
        <v>-74</v>
      </c>
      <c r="AX822" s="440"/>
      <c r="AY822" s="16">
        <f>AY544</f>
        <v>-50</v>
      </c>
      <c r="AZ822" s="440"/>
      <c r="BA822" s="16">
        <f>BA544</f>
        <v>-46</v>
      </c>
      <c r="BB822" s="440"/>
      <c r="BC822" s="16">
        <f>BC544</f>
        <v>-18</v>
      </c>
      <c r="BD822" s="440"/>
      <c r="BE822" s="16">
        <f>BE544</f>
        <v>8</v>
      </c>
      <c r="BF822" s="440"/>
      <c r="BG822" s="16">
        <f>BG544</f>
        <v>15</v>
      </c>
      <c r="BH822" s="440"/>
      <c r="BI822" s="16">
        <f>BI544</f>
        <v>7</v>
      </c>
      <c r="BJ822" s="440"/>
      <c r="BK822" s="16">
        <f>BK544</f>
        <v>12</v>
      </c>
      <c r="BL822" s="440"/>
      <c r="BM822" s="16">
        <f>BM544</f>
        <v>12</v>
      </c>
      <c r="BN822" s="440"/>
      <c r="BO822" s="16">
        <f>BO544</f>
        <v>-46</v>
      </c>
      <c r="BP822" s="440"/>
      <c r="BQ822" s="16">
        <f>BQ544</f>
        <v>-68</v>
      </c>
      <c r="BR822" s="440"/>
      <c r="BS822" s="16">
        <f>BS544</f>
        <v>-102</v>
      </c>
      <c r="BT822" s="440"/>
      <c r="BU822" s="16">
        <f>BU544</f>
        <v>-117</v>
      </c>
      <c r="BV822" s="440"/>
      <c r="BW822" s="16">
        <f>BW544</f>
        <v>-153</v>
      </c>
      <c r="BX822" s="440"/>
      <c r="BY822" s="16">
        <f>BY544</f>
        <v>-126</v>
      </c>
      <c r="BZ822" s="440"/>
      <c r="CA822" s="16">
        <f>CA544</f>
        <v>-125</v>
      </c>
      <c r="CB822" s="440"/>
      <c r="CC822" s="16">
        <f>CC544</f>
        <v>-130</v>
      </c>
      <c r="CD822" s="440"/>
      <c r="CE822" s="16">
        <f>CE544</f>
        <v>-51</v>
      </c>
      <c r="CF822" s="440"/>
      <c r="CG822" s="16">
        <f>CG544</f>
        <v>-100</v>
      </c>
      <c r="CH822" s="440"/>
      <c r="CI822" s="16">
        <f>CI544</f>
        <v>-124</v>
      </c>
      <c r="CJ822" s="440"/>
      <c r="CK822" s="16">
        <f>CK544</f>
        <v>-74</v>
      </c>
      <c r="CL822" s="440"/>
      <c r="CM822" s="16">
        <f>CM544</f>
        <v>-25</v>
      </c>
      <c r="CN822" s="440"/>
      <c r="CO822" s="16">
        <f>CO544</f>
        <v>-29</v>
      </c>
      <c r="CP822" s="440"/>
      <c r="CQ822" s="535">
        <f>CQ544</f>
        <v>-52</v>
      </c>
      <c r="CR822" s="440"/>
      <c r="CS822" s="16">
        <f>CS544</f>
        <v>-75</v>
      </c>
      <c r="CT822" s="440"/>
      <c r="CU822" s="16">
        <f>CU544</f>
        <v>-44</v>
      </c>
      <c r="CV822" s="440"/>
      <c r="CW822" s="16">
        <f>CW544</f>
        <v>-66</v>
      </c>
      <c r="CX822" s="440"/>
      <c r="CY822" s="16">
        <f>CY544</f>
        <v>-99</v>
      </c>
      <c r="CZ822" s="440"/>
      <c r="DA822" s="16">
        <f>DA544</f>
        <v>-129</v>
      </c>
      <c r="DB822" s="440"/>
      <c r="DC822" s="16">
        <f>DC544</f>
        <v>-86</v>
      </c>
      <c r="DD822" s="440"/>
      <c r="DE822" s="16">
        <f>DE544</f>
        <v>-130</v>
      </c>
      <c r="DF822" s="440"/>
      <c r="DG822" s="16">
        <f>DG544</f>
        <v>-163</v>
      </c>
      <c r="DH822" s="440"/>
      <c r="DI822" s="16">
        <f>DI544</f>
        <v>-186</v>
      </c>
      <c r="DJ822" s="440"/>
      <c r="DK822" s="16">
        <f>DK544</f>
        <v>-130</v>
      </c>
      <c r="DL822" s="440"/>
      <c r="DM822" s="16">
        <f>DM544</f>
        <v>-191</v>
      </c>
      <c r="DN822" s="440"/>
      <c r="DO822" s="16">
        <f>DO544</f>
        <v>-93</v>
      </c>
      <c r="DP822" s="440"/>
      <c r="DQ822" s="16">
        <f>DQ544</f>
        <v>-172</v>
      </c>
      <c r="DR822" s="440"/>
      <c r="DS822" s="16">
        <f>DS544</f>
        <v>-151</v>
      </c>
      <c r="DT822" s="440"/>
      <c r="DU822" s="16">
        <f>DU544</f>
        <v>-176</v>
      </c>
      <c r="DV822" s="440"/>
      <c r="DW822" s="16">
        <f>DW544</f>
        <v>-142</v>
      </c>
      <c r="DX822" s="440"/>
      <c r="DY822" s="16">
        <f>DY544</f>
        <v>-187</v>
      </c>
      <c r="DZ822" s="440"/>
      <c r="EA822" s="16">
        <f>EA544</f>
        <v>-186</v>
      </c>
      <c r="EB822" s="440"/>
      <c r="EC822" s="16">
        <f>EC544</f>
        <v>-245</v>
      </c>
      <c r="ED822" s="440"/>
      <c r="EE822" s="16">
        <f>EE544</f>
        <v>12</v>
      </c>
      <c r="EF822" s="1080"/>
      <c r="EG822" s="16">
        <f>EG544</f>
        <v>-203</v>
      </c>
      <c r="EH822" s="1080"/>
      <c r="EI822" s="16">
        <f>EI544</f>
        <v>-65</v>
      </c>
      <c r="EJ822" s="1080"/>
      <c r="EK822" s="16">
        <f>EK544</f>
        <v>-136</v>
      </c>
      <c r="EL822" s="1080"/>
      <c r="EM822" s="16">
        <f>EM544</f>
        <v>-169</v>
      </c>
      <c r="EN822" s="1080"/>
      <c r="EO822" s="16">
        <f>EO544</f>
        <v>-175</v>
      </c>
      <c r="EP822" s="440"/>
      <c r="EQ822" s="16">
        <f>EQ544</f>
        <v>-202.60850000000002</v>
      </c>
      <c r="ER822" s="440"/>
      <c r="ES822" s="16">
        <f t="shared" ref="ES822" si="4922">ES544</f>
        <v>-203.641785</v>
      </c>
      <c r="ET822" s="440"/>
      <c r="EU822" s="16">
        <f t="shared" ref="EU822" si="4923">EU544</f>
        <v>-204.68540284999997</v>
      </c>
      <c r="EV822" s="440"/>
      <c r="EW822" s="16">
        <f t="shared" ref="EW822" si="4924">EW544</f>
        <v>-205.73945687849999</v>
      </c>
      <c r="EX822" s="440"/>
      <c r="EY822" s="16"/>
      <c r="EZ822" s="607"/>
      <c r="FA822" s="427"/>
      <c r="FB822" s="16"/>
      <c r="FC822" s="16"/>
      <c r="FD822" s="16">
        <f>FD544</f>
        <v>34</v>
      </c>
      <c r="FE822" s="440"/>
      <c r="FF822" s="16">
        <f>FF544</f>
        <v>-24</v>
      </c>
      <c r="FG822" s="440"/>
      <c r="FH822" s="16">
        <f>FH544</f>
        <v>-234</v>
      </c>
      <c r="FI822" s="440"/>
      <c r="FJ822" s="16">
        <f>FJ544</f>
        <v>-313</v>
      </c>
      <c r="FK822" s="440"/>
      <c r="FL822" s="16">
        <f>FL544</f>
        <v>111</v>
      </c>
      <c r="FM822" s="440"/>
      <c r="FN822" s="16">
        <f>FN544</f>
        <v>134</v>
      </c>
      <c r="FO822" s="440"/>
      <c r="FP822" s="16">
        <f>FP544</f>
        <v>-146</v>
      </c>
      <c r="FQ822" s="440"/>
      <c r="FR822" s="16">
        <f>FR544</f>
        <v>-106</v>
      </c>
      <c r="FS822" s="440"/>
      <c r="FT822" s="16">
        <f>FT544</f>
        <v>46</v>
      </c>
      <c r="FU822" s="440"/>
      <c r="FV822" s="16">
        <f>FV544</f>
        <v>-381</v>
      </c>
      <c r="FW822" s="440"/>
      <c r="FX822" s="535">
        <f>FX544</f>
        <v>-534</v>
      </c>
      <c r="FY822" s="440"/>
      <c r="FZ822" s="16">
        <f>FZ544</f>
        <v>-349</v>
      </c>
      <c r="GA822" s="440"/>
      <c r="GB822" s="535">
        <f>GB544</f>
        <v>-238</v>
      </c>
      <c r="GC822" s="440"/>
      <c r="GD822" s="16">
        <f>GD544</f>
        <v>-338</v>
      </c>
      <c r="GE822" s="440"/>
      <c r="GF822" s="16">
        <f>GF544</f>
        <v>-565</v>
      </c>
      <c r="GG822" s="440"/>
      <c r="GH822" s="16">
        <f>GH544</f>
        <v>-586</v>
      </c>
      <c r="GI822" s="440"/>
      <c r="GJ822" s="16">
        <f>GJ544</f>
        <v>-656</v>
      </c>
      <c r="GK822" s="440"/>
      <c r="GL822" s="16">
        <f>GL544</f>
        <v>-622</v>
      </c>
      <c r="GM822" s="98">
        <f t="shared" si="4921"/>
        <v>-5.1829268292682968</v>
      </c>
      <c r="GN822" s="16">
        <f>GN544</f>
        <v>-545</v>
      </c>
      <c r="GO822" s="98">
        <f t="shared" si="4921"/>
        <v>-12.37942122186495</v>
      </c>
      <c r="GP822" s="16">
        <f>GP544</f>
        <v>-816.67514472850007</v>
      </c>
      <c r="GQ822" s="98">
        <f t="shared" si="4921"/>
        <v>49.848650408899097</v>
      </c>
      <c r="GR822" s="16">
        <f>GR544</f>
        <v>-817.4698606120719</v>
      </c>
      <c r="GS822" s="98">
        <f t="shared" si="4921"/>
        <v>9.7311138792655072E-2</v>
      </c>
      <c r="GT822" s="16">
        <f>GT544</f>
        <v>-733.9362878157126</v>
      </c>
      <c r="GU822" s="440"/>
      <c r="GV822" s="16">
        <f>GV544</f>
        <v>-720.48130331143943</v>
      </c>
      <c r="GW822" s="440"/>
      <c r="GX822" s="16">
        <f>GX544</f>
        <v>-707.09954279361193</v>
      </c>
      <c r="GY822" s="440"/>
      <c r="GZ822" s="455"/>
      <c r="HA822" s="455"/>
      <c r="HC822"/>
      <c r="HD822"/>
      <c r="HE822"/>
      <c r="HF822"/>
      <c r="HG822"/>
      <c r="HH822"/>
    </row>
    <row r="823" spans="1:217" s="10" customFormat="1" ht="12.75" hidden="1" customHeight="1" outlineLevel="1" x14ac:dyDescent="0.2">
      <c r="A823" s="28" t="s">
        <v>565</v>
      </c>
      <c r="B823" s="10" t="s">
        <v>541</v>
      </c>
      <c r="C823" s="16"/>
      <c r="D823" s="16"/>
      <c r="E823" s="16"/>
      <c r="F823" s="16"/>
      <c r="G823" s="16"/>
      <c r="H823" s="16"/>
      <c r="I823" s="16"/>
      <c r="J823" s="16"/>
      <c r="K823" s="16"/>
      <c r="L823" s="440"/>
      <c r="M823" s="16"/>
      <c r="N823" s="440"/>
      <c r="O823" s="16"/>
      <c r="P823" s="440"/>
      <c r="Q823" s="16"/>
      <c r="R823" s="440"/>
      <c r="S823" s="16">
        <f>S772</f>
        <v>198</v>
      </c>
      <c r="T823" s="440"/>
      <c r="U823" s="16">
        <f>U772</f>
        <v>221</v>
      </c>
      <c r="V823" s="440"/>
      <c r="W823" s="16">
        <f>W772</f>
        <v>206</v>
      </c>
      <c r="X823" s="440"/>
      <c r="Y823" s="16">
        <f>Y772</f>
        <v>234</v>
      </c>
      <c r="Z823" s="440"/>
      <c r="AA823" s="16">
        <f>AA772</f>
        <v>199</v>
      </c>
      <c r="AB823" s="440"/>
      <c r="AC823" s="16">
        <f>AC772</f>
        <v>179</v>
      </c>
      <c r="AD823" s="440"/>
      <c r="AE823" s="16">
        <f>AE772</f>
        <v>218</v>
      </c>
      <c r="AF823" s="440"/>
      <c r="AG823" s="16">
        <f>AG772</f>
        <v>214</v>
      </c>
      <c r="AH823" s="440"/>
      <c r="AI823" s="16">
        <f>AI772</f>
        <v>200</v>
      </c>
      <c r="AJ823" s="440"/>
      <c r="AK823" s="16">
        <f>AK772</f>
        <v>224</v>
      </c>
      <c r="AL823" s="440"/>
      <c r="AM823" s="16">
        <f>AM772</f>
        <v>220</v>
      </c>
      <c r="AN823" s="440"/>
      <c r="AO823" s="16">
        <f>AO772</f>
        <v>220</v>
      </c>
      <c r="AP823" s="440"/>
      <c r="AQ823" s="16">
        <f>AQ772</f>
        <v>206</v>
      </c>
      <c r="AR823" s="440"/>
      <c r="AS823" s="16">
        <f>AS772</f>
        <v>203</v>
      </c>
      <c r="AT823" s="440"/>
      <c r="AU823" s="16">
        <f>AU772</f>
        <v>353</v>
      </c>
      <c r="AV823" s="440"/>
      <c r="AW823" s="16">
        <f>AW772</f>
        <v>345</v>
      </c>
      <c r="AX823" s="440"/>
      <c r="AY823" s="16">
        <f>AY772</f>
        <v>303</v>
      </c>
      <c r="AZ823" s="440"/>
      <c r="BA823" s="16">
        <f>BA772</f>
        <v>282</v>
      </c>
      <c r="BB823" s="440"/>
      <c r="BC823" s="16">
        <f>BC772</f>
        <v>241</v>
      </c>
      <c r="BD823" s="440"/>
      <c r="BE823" s="16">
        <f>BE772</f>
        <v>247</v>
      </c>
      <c r="BF823" s="440"/>
      <c r="BG823" s="16">
        <f>BG772</f>
        <v>230</v>
      </c>
      <c r="BH823" s="440"/>
      <c r="BI823" s="16">
        <f>BI772</f>
        <v>248</v>
      </c>
      <c r="BJ823" s="440"/>
      <c r="BK823" s="16">
        <f>BK772</f>
        <v>278</v>
      </c>
      <c r="BL823" s="440"/>
      <c r="BM823" s="16">
        <f>BM772</f>
        <v>314</v>
      </c>
      <c r="BN823" s="440"/>
      <c r="BO823" s="16">
        <v>245</v>
      </c>
      <c r="BP823" s="440"/>
      <c r="BQ823" s="16">
        <v>242</v>
      </c>
      <c r="BR823" s="440"/>
      <c r="BS823" s="16">
        <v>258</v>
      </c>
      <c r="BT823" s="440"/>
      <c r="BU823" s="16">
        <f>BU772</f>
        <v>123</v>
      </c>
      <c r="BV823" s="440"/>
      <c r="BW823" s="16">
        <f>BW772</f>
        <v>97</v>
      </c>
      <c r="BX823" s="440"/>
      <c r="BY823" s="16">
        <f>BY772</f>
        <v>123</v>
      </c>
      <c r="BZ823" s="440"/>
      <c r="CA823" s="16">
        <f>CA772</f>
        <v>127</v>
      </c>
      <c r="CB823" s="440"/>
      <c r="CC823" s="16">
        <f>CC772</f>
        <v>144</v>
      </c>
      <c r="CD823" s="440"/>
      <c r="CE823" s="16">
        <f>CE772</f>
        <v>112</v>
      </c>
      <c r="CF823" s="440"/>
      <c r="CG823" s="16">
        <f>CG772</f>
        <v>118</v>
      </c>
      <c r="CH823" s="440"/>
      <c r="CI823" s="16">
        <f>CI772</f>
        <v>117</v>
      </c>
      <c r="CJ823" s="440"/>
      <c r="CK823" s="16">
        <f>CK772</f>
        <v>130</v>
      </c>
      <c r="CL823" s="440"/>
      <c r="CM823" s="16">
        <f>CM772</f>
        <v>123</v>
      </c>
      <c r="CN823" s="440"/>
      <c r="CO823" s="16">
        <f>CO772</f>
        <v>128</v>
      </c>
      <c r="CP823" s="440"/>
      <c r="CQ823" s="535">
        <f>CQ772</f>
        <v>120</v>
      </c>
      <c r="CR823" s="440"/>
      <c r="CS823" s="16">
        <f>CS772</f>
        <v>136</v>
      </c>
      <c r="CT823" s="440"/>
      <c r="CU823" s="16">
        <f>CU772</f>
        <v>112</v>
      </c>
      <c r="CV823" s="440"/>
      <c r="CW823" s="16">
        <f>CW772</f>
        <v>114</v>
      </c>
      <c r="CX823" s="440"/>
      <c r="CY823" s="16">
        <f>CY772</f>
        <v>104</v>
      </c>
      <c r="CZ823" s="440"/>
      <c r="DA823" s="16">
        <f>DA772</f>
        <v>127</v>
      </c>
      <c r="DB823" s="440"/>
      <c r="DC823" s="16">
        <f>DC772</f>
        <v>104</v>
      </c>
      <c r="DD823" s="440"/>
      <c r="DE823" s="16">
        <f>DE772</f>
        <v>113</v>
      </c>
      <c r="DF823" s="440"/>
      <c r="DG823" s="16">
        <f>DG772</f>
        <v>85</v>
      </c>
      <c r="DH823" s="440"/>
      <c r="DI823" s="16">
        <f>DI772</f>
        <v>87</v>
      </c>
      <c r="DJ823" s="440"/>
      <c r="DK823" s="16">
        <f>DK772</f>
        <v>64</v>
      </c>
      <c r="DL823" s="440"/>
      <c r="DM823" s="16">
        <f>DM772</f>
        <v>80</v>
      </c>
      <c r="DN823" s="440"/>
      <c r="DO823" s="16">
        <f>DO772</f>
        <v>61</v>
      </c>
      <c r="DP823" s="440"/>
      <c r="DQ823" s="16">
        <f>DQ772</f>
        <v>78</v>
      </c>
      <c r="DR823" s="440"/>
      <c r="DS823" s="16">
        <f>DS772</f>
        <v>79</v>
      </c>
      <c r="DT823" s="440"/>
      <c r="DU823" s="16">
        <f>DU772</f>
        <v>83</v>
      </c>
      <c r="DV823" s="440"/>
      <c r="DW823" s="16">
        <f>DW772</f>
        <v>83</v>
      </c>
      <c r="DX823" s="440"/>
      <c r="DY823" s="16">
        <f>DY772</f>
        <v>85</v>
      </c>
      <c r="DZ823" s="440"/>
      <c r="EA823" s="16">
        <f>EA772</f>
        <v>75</v>
      </c>
      <c r="EB823" s="440"/>
      <c r="EC823" s="16">
        <f>EC772</f>
        <v>76</v>
      </c>
      <c r="ED823" s="440"/>
      <c r="EE823" s="16">
        <f>EE772</f>
        <v>0</v>
      </c>
      <c r="EF823" s="1080"/>
      <c r="EG823" s="16">
        <f>EG772</f>
        <v>0</v>
      </c>
      <c r="EH823" s="1080"/>
      <c r="EI823" s="16">
        <f>EI772</f>
        <v>0</v>
      </c>
      <c r="EJ823" s="1080"/>
      <c r="EK823" s="16">
        <f>EK772</f>
        <v>0</v>
      </c>
      <c r="EL823" s="1080"/>
      <c r="EM823" s="16">
        <f>EM772</f>
        <v>0</v>
      </c>
      <c r="EN823" s="1080"/>
      <c r="EO823" s="16">
        <f>EO772</f>
        <v>0</v>
      </c>
      <c r="EP823" s="440"/>
      <c r="EQ823" s="1079">
        <f t="shared" ref="EQ823" si="4925">EQ772</f>
        <v>0</v>
      </c>
      <c r="ER823" s="440"/>
      <c r="ES823" s="1079">
        <f t="shared" ref="ES823" si="4926">ES772</f>
        <v>0</v>
      </c>
      <c r="ET823" s="440"/>
      <c r="EU823" s="1079">
        <f t="shared" ref="EU823" si="4927">EU772</f>
        <v>0</v>
      </c>
      <c r="EV823" s="440"/>
      <c r="EW823" s="1079">
        <f t="shared" ref="EW823" si="4928">EW772</f>
        <v>0</v>
      </c>
      <c r="EX823" s="440"/>
      <c r="EY823" s="16"/>
      <c r="EZ823" s="607"/>
      <c r="FA823" s="427"/>
      <c r="FB823" s="16"/>
      <c r="FC823" s="16"/>
      <c r="FD823" s="16">
        <f>FD772</f>
        <v>0</v>
      </c>
      <c r="FE823" s="440"/>
      <c r="FF823" s="16">
        <f>FF772</f>
        <v>0</v>
      </c>
      <c r="FG823" s="440"/>
      <c r="FH823" s="16">
        <f>FH772</f>
        <v>0</v>
      </c>
      <c r="FI823" s="440"/>
      <c r="FJ823" s="16">
        <f>FJ772</f>
        <v>0</v>
      </c>
      <c r="FK823" s="440"/>
      <c r="FL823" s="16">
        <f>FL772</f>
        <v>0</v>
      </c>
      <c r="FM823" s="440"/>
      <c r="FN823" s="16">
        <f>FN772</f>
        <v>0</v>
      </c>
      <c r="FO823" s="440"/>
      <c r="FP823" s="16">
        <f>FP772</f>
        <v>0</v>
      </c>
      <c r="FQ823" s="440"/>
      <c r="FR823" s="16">
        <f>FR772</f>
        <v>0</v>
      </c>
      <c r="FS823" s="440"/>
      <c r="FT823" s="16">
        <f>FT772</f>
        <v>0</v>
      </c>
      <c r="FU823" s="440"/>
      <c r="FV823" s="16">
        <f>FV772</f>
        <v>0</v>
      </c>
      <c r="FW823" s="440"/>
      <c r="FX823" s="535">
        <f>FX772</f>
        <v>0</v>
      </c>
      <c r="FY823" s="440"/>
      <c r="FZ823" s="16">
        <f>FZ772</f>
        <v>0</v>
      </c>
      <c r="GA823" s="440"/>
      <c r="GB823" s="535">
        <f>GB772</f>
        <v>0</v>
      </c>
      <c r="GC823" s="440"/>
      <c r="GD823" s="16">
        <f>GD772</f>
        <v>0</v>
      </c>
      <c r="GE823" s="440"/>
      <c r="GF823" s="16">
        <f>GF772</f>
        <v>0</v>
      </c>
      <c r="GG823" s="440"/>
      <c r="GH823" s="16">
        <f>GH772</f>
        <v>0</v>
      </c>
      <c r="GI823" s="440"/>
      <c r="GJ823" s="16">
        <f>GJ772</f>
        <v>0</v>
      </c>
      <c r="GK823" s="440"/>
      <c r="GL823" s="16">
        <f>GL772</f>
        <v>0</v>
      </c>
      <c r="GM823" s="98" t="str">
        <f t="shared" si="4921"/>
        <v>NA</v>
      </c>
      <c r="GN823" s="16">
        <f>GN772</f>
        <v>0</v>
      </c>
      <c r="GO823" s="98" t="str">
        <f t="shared" si="4921"/>
        <v>NA</v>
      </c>
      <c r="GP823" s="16">
        <f>GP772</f>
        <v>0</v>
      </c>
      <c r="GQ823" s="98" t="str">
        <f t="shared" si="4921"/>
        <v>NA</v>
      </c>
      <c r="GR823" s="16">
        <f>GR772</f>
        <v>0</v>
      </c>
      <c r="GS823" s="98" t="str">
        <f t="shared" si="4921"/>
        <v>NA</v>
      </c>
      <c r="GT823" s="16">
        <f>GT772</f>
        <v>0</v>
      </c>
      <c r="GU823" s="440"/>
      <c r="GV823" s="16">
        <f>GV772</f>
        <v>0</v>
      </c>
      <c r="GW823" s="440"/>
      <c r="GX823" s="16">
        <f>GX772</f>
        <v>0</v>
      </c>
      <c r="GY823" s="440"/>
      <c r="GZ823" s="455"/>
      <c r="HA823" s="455"/>
      <c r="HC823"/>
      <c r="HD823"/>
      <c r="HE823"/>
      <c r="HF823"/>
      <c r="HG823"/>
      <c r="HH823"/>
    </row>
    <row r="824" spans="1:217" s="10" customFormat="1" ht="12.75" hidden="1" customHeight="1" outlineLevel="1" x14ac:dyDescent="0.2">
      <c r="A824" s="28" t="s">
        <v>566</v>
      </c>
      <c r="B824" s="10" t="s">
        <v>542</v>
      </c>
      <c r="C824" s="16"/>
      <c r="D824" s="16"/>
      <c r="E824" s="16"/>
      <c r="F824" s="16"/>
      <c r="G824" s="16"/>
      <c r="H824" s="16"/>
      <c r="I824" s="16"/>
      <c r="J824" s="16"/>
      <c r="K824" s="16"/>
      <c r="L824" s="440"/>
      <c r="M824" s="16"/>
      <c r="N824" s="440"/>
      <c r="O824" s="16"/>
      <c r="P824" s="440"/>
      <c r="Q824" s="16"/>
      <c r="R824" s="440"/>
      <c r="S824" s="16"/>
      <c r="T824" s="440"/>
      <c r="U824" s="16"/>
      <c r="V824" s="440"/>
      <c r="W824" s="16"/>
      <c r="X824" s="440"/>
      <c r="Y824" s="16"/>
      <c r="Z824" s="440"/>
      <c r="AA824" s="16"/>
      <c r="AB824" s="440"/>
      <c r="AC824" s="16"/>
      <c r="AD824" s="440"/>
      <c r="AE824" s="16"/>
      <c r="AF824" s="440"/>
      <c r="AG824" s="16"/>
      <c r="AH824" s="440"/>
      <c r="AI824" s="16"/>
      <c r="AJ824" s="440"/>
      <c r="AK824" s="16"/>
      <c r="AL824" s="440"/>
      <c r="AM824" s="16"/>
      <c r="AN824" s="440"/>
      <c r="AO824" s="16"/>
      <c r="AP824" s="440"/>
      <c r="AQ824" s="16"/>
      <c r="AR824" s="440"/>
      <c r="AS824" s="16"/>
      <c r="AT824" s="440"/>
      <c r="AU824" s="16"/>
      <c r="AV824" s="440"/>
      <c r="AW824" s="16"/>
      <c r="AX824" s="440"/>
      <c r="AY824" s="16"/>
      <c r="AZ824" s="440"/>
      <c r="BA824" s="16"/>
      <c r="BB824" s="440"/>
      <c r="BC824" s="16"/>
      <c r="BD824" s="440"/>
      <c r="BE824" s="16"/>
      <c r="BF824" s="440"/>
      <c r="BG824" s="16"/>
      <c r="BH824" s="440"/>
      <c r="BI824" s="16"/>
      <c r="BJ824" s="440"/>
      <c r="BK824" s="16"/>
      <c r="BL824" s="440"/>
      <c r="BM824" s="16"/>
      <c r="BN824" s="440"/>
      <c r="BO824" s="16"/>
      <c r="BP824" s="440"/>
      <c r="BQ824" s="16"/>
      <c r="BR824" s="440"/>
      <c r="BS824" s="16"/>
      <c r="BT824" s="440"/>
      <c r="BU824" s="16"/>
      <c r="BV824" s="440"/>
      <c r="BW824" s="16"/>
      <c r="BX824" s="440"/>
      <c r="BY824" s="16"/>
      <c r="BZ824" s="440"/>
      <c r="CA824" s="16"/>
      <c r="CB824" s="440"/>
      <c r="CC824" s="16"/>
      <c r="CD824" s="440"/>
      <c r="CE824" s="16"/>
      <c r="CF824" s="440"/>
      <c r="CG824" s="16"/>
      <c r="CH824" s="440"/>
      <c r="CI824" s="16"/>
      <c r="CJ824" s="440"/>
      <c r="CK824" s="16"/>
      <c r="CL824" s="440"/>
      <c r="CM824" s="16"/>
      <c r="CN824" s="440"/>
      <c r="CO824" s="16"/>
      <c r="CP824" s="440"/>
      <c r="CQ824" s="535"/>
      <c r="CR824" s="440"/>
      <c r="CS824" s="16"/>
      <c r="CT824" s="440"/>
      <c r="CU824" s="16"/>
      <c r="CV824" s="440"/>
      <c r="CW824" s="16"/>
      <c r="CX824" s="440"/>
      <c r="CY824" s="16"/>
      <c r="CZ824" s="440"/>
      <c r="DA824" s="16"/>
      <c r="DB824" s="440"/>
      <c r="DC824" s="16"/>
      <c r="DD824" s="440"/>
      <c r="DE824" s="16"/>
      <c r="DF824" s="440"/>
      <c r="DG824" s="16"/>
      <c r="DH824" s="440"/>
      <c r="DI824" s="16"/>
      <c r="DJ824" s="440"/>
      <c r="DK824" s="16"/>
      <c r="DL824" s="440"/>
      <c r="DM824" s="16"/>
      <c r="DN824" s="440"/>
      <c r="DO824" s="16"/>
      <c r="DP824" s="440"/>
      <c r="DQ824" s="16"/>
      <c r="DR824" s="440"/>
      <c r="DS824" s="16">
        <f>DS447</f>
        <v>-105</v>
      </c>
      <c r="DT824" s="440"/>
      <c r="DU824" s="16">
        <f>DU447</f>
        <v>-107</v>
      </c>
      <c r="DV824" s="440"/>
      <c r="DW824" s="16">
        <f>DW447</f>
        <v>57</v>
      </c>
      <c r="DX824" s="440"/>
      <c r="DY824" s="16">
        <f>DY447</f>
        <v>-33</v>
      </c>
      <c r="DZ824" s="440"/>
      <c r="EA824" s="16">
        <f>EA447</f>
        <v>126</v>
      </c>
      <c r="EB824" s="440"/>
      <c r="EC824" s="16">
        <f>EC447</f>
        <v>52</v>
      </c>
      <c r="ED824" s="440"/>
      <c r="EE824" s="16">
        <f>EE447</f>
        <v>-126</v>
      </c>
      <c r="EF824" s="1080"/>
      <c r="EG824" s="16">
        <f>EG447</f>
        <v>-178</v>
      </c>
      <c r="EH824" s="1080"/>
      <c r="EI824" s="16">
        <f>EI447</f>
        <v>-156</v>
      </c>
      <c r="EJ824" s="1080"/>
      <c r="EK824" s="16">
        <f>EK447</f>
        <v>-240</v>
      </c>
      <c r="EL824" s="1080"/>
      <c r="EM824" s="16">
        <f>EM447</f>
        <v>-238</v>
      </c>
      <c r="EN824" s="1080"/>
      <c r="EO824" s="16">
        <f>EO447</f>
        <v>-361</v>
      </c>
      <c r="EP824" s="440"/>
      <c r="EQ824" s="16">
        <f>EQ447</f>
        <v>-379.36554981114261</v>
      </c>
      <c r="ER824" s="440"/>
      <c r="ES824" s="16">
        <f>ES447</f>
        <v>-394.41837978834792</v>
      </c>
      <c r="ET824" s="440"/>
      <c r="EU824" s="16">
        <f>EU447</f>
        <v>-405.47256007132682</v>
      </c>
      <c r="EV824" s="440"/>
      <c r="EW824" s="16">
        <f>EW447</f>
        <v>-413.30727386879715</v>
      </c>
      <c r="EX824" s="440"/>
      <c r="EY824" s="16"/>
      <c r="EZ824" s="607"/>
      <c r="FA824" s="427"/>
      <c r="FB824" s="16"/>
      <c r="FC824" s="16"/>
      <c r="FD824" s="16"/>
      <c r="FE824" s="440"/>
      <c r="FF824" s="16"/>
      <c r="FG824" s="440"/>
      <c r="FH824" s="16"/>
      <c r="FI824" s="440"/>
      <c r="FJ824" s="16"/>
      <c r="FK824" s="440"/>
      <c r="FL824" s="16"/>
      <c r="FM824" s="440"/>
      <c r="FN824" s="16"/>
      <c r="FO824" s="440"/>
      <c r="FP824" s="16"/>
      <c r="FQ824" s="440"/>
      <c r="FR824" s="16"/>
      <c r="FS824" s="440"/>
      <c r="FT824" s="16"/>
      <c r="FU824" s="440"/>
      <c r="FV824" s="16"/>
      <c r="FW824" s="440"/>
      <c r="FX824" s="535"/>
      <c r="FY824" s="440"/>
      <c r="FZ824" s="16"/>
      <c r="GA824" s="440"/>
      <c r="GB824" s="535"/>
      <c r="GC824" s="440"/>
      <c r="GD824" s="16"/>
      <c r="GE824" s="440"/>
      <c r="GF824" s="16" t="e">
        <f>#REF!</f>
        <v>#REF!</v>
      </c>
      <c r="GG824" s="440"/>
      <c r="GH824" s="16" t="e">
        <f>#REF!</f>
        <v>#REF!</v>
      </c>
      <c r="GI824" s="440"/>
      <c r="GJ824" s="16">
        <f>GJ447</f>
        <v>-188</v>
      </c>
      <c r="GK824" s="440"/>
      <c r="GL824" s="16">
        <f>GL447</f>
        <v>-126</v>
      </c>
      <c r="GM824" s="98">
        <f t="shared" si="4921"/>
        <v>-32.978723404255319</v>
      </c>
      <c r="GN824" s="16">
        <f>GN447</f>
        <v>-995</v>
      </c>
      <c r="GO824" s="98" t="str">
        <f t="shared" si="4921"/>
        <v>NM</v>
      </c>
      <c r="GP824" s="16">
        <f>GP447</f>
        <v>-1592.5637635396142</v>
      </c>
      <c r="GQ824" s="98">
        <f t="shared" si="4921"/>
        <v>60.056659652222535</v>
      </c>
      <c r="GR824" s="16">
        <f>GR447</f>
        <v>-1692.5538203979345</v>
      </c>
      <c r="GS824" s="98">
        <f t="shared" si="4921"/>
        <v>6.2785590848860817</v>
      </c>
      <c r="GT824" s="16">
        <f>GT447</f>
        <v>-1746.9632188797527</v>
      </c>
      <c r="GU824" s="440"/>
      <c r="GV824" s="16">
        <f>GV447</f>
        <v>-1750.3514248504703</v>
      </c>
      <c r="GW824" s="440"/>
      <c r="GX824" s="16">
        <f>GX447</f>
        <v>-1723.0259334679304</v>
      </c>
      <c r="GY824" s="440"/>
      <c r="GZ824" s="455"/>
      <c r="HA824" s="455"/>
      <c r="HC824"/>
      <c r="HD824"/>
      <c r="HE824"/>
      <c r="HF824"/>
      <c r="HG824"/>
      <c r="HH824"/>
    </row>
    <row r="825" spans="1:217" s="10" customFormat="1" ht="12.75" hidden="1" customHeight="1" outlineLevel="1" x14ac:dyDescent="0.2">
      <c r="A825" s="28" t="s">
        <v>567</v>
      </c>
      <c r="B825" s="10" t="s">
        <v>543</v>
      </c>
      <c r="C825" s="16"/>
      <c r="D825" s="16"/>
      <c r="E825" s="16"/>
      <c r="F825" s="16"/>
      <c r="G825" s="16"/>
      <c r="H825" s="16"/>
      <c r="I825" s="16"/>
      <c r="J825" s="16"/>
      <c r="K825" s="16"/>
      <c r="L825" s="440"/>
      <c r="M825" s="16"/>
      <c r="N825" s="440"/>
      <c r="O825" s="16"/>
      <c r="P825" s="440"/>
      <c r="Q825" s="16"/>
      <c r="R825" s="440"/>
      <c r="S825" s="16"/>
      <c r="T825" s="440"/>
      <c r="U825" s="16"/>
      <c r="V825" s="440"/>
      <c r="W825" s="16"/>
      <c r="X825" s="440"/>
      <c r="Y825" s="16"/>
      <c r="Z825" s="440"/>
      <c r="AA825" s="16"/>
      <c r="AB825" s="440"/>
      <c r="AC825" s="16"/>
      <c r="AD825" s="440"/>
      <c r="AE825" s="16"/>
      <c r="AF825" s="440"/>
      <c r="AG825" s="16"/>
      <c r="AH825" s="440"/>
      <c r="AI825" s="16"/>
      <c r="AJ825" s="440"/>
      <c r="AK825" s="16"/>
      <c r="AL825" s="440"/>
      <c r="AM825" s="16"/>
      <c r="AN825" s="440"/>
      <c r="AO825" s="16"/>
      <c r="AP825" s="440"/>
      <c r="AQ825" s="16"/>
      <c r="AR825" s="440"/>
      <c r="AS825" s="16"/>
      <c r="AT825" s="440"/>
      <c r="AU825" s="16"/>
      <c r="AV825" s="440"/>
      <c r="AW825" s="16"/>
      <c r="AX825" s="440"/>
      <c r="AY825" s="16"/>
      <c r="AZ825" s="440"/>
      <c r="BA825" s="16"/>
      <c r="BB825" s="440"/>
      <c r="BC825" s="16"/>
      <c r="BD825" s="440"/>
      <c r="BE825" s="16"/>
      <c r="BF825" s="440"/>
      <c r="BG825" s="16"/>
      <c r="BH825" s="440"/>
      <c r="BI825" s="16"/>
      <c r="BJ825" s="440"/>
      <c r="BK825" s="16"/>
      <c r="BL825" s="440"/>
      <c r="BM825" s="16">
        <f>BM461</f>
        <v>74</v>
      </c>
      <c r="BN825" s="440"/>
      <c r="BO825" s="16">
        <f>BO461</f>
        <v>-92</v>
      </c>
      <c r="BP825" s="440"/>
      <c r="BQ825" s="16">
        <f>BQ461</f>
        <v>80</v>
      </c>
      <c r="BR825" s="440"/>
      <c r="BS825" s="16">
        <f>BS461</f>
        <v>357</v>
      </c>
      <c r="BT825" s="440"/>
      <c r="BU825" s="16">
        <f>BU461</f>
        <v>426</v>
      </c>
      <c r="BV825" s="440"/>
      <c r="BW825" s="16">
        <f>BW461</f>
        <v>910</v>
      </c>
      <c r="BX825" s="440"/>
      <c r="BY825" s="16">
        <f>BY461</f>
        <v>1577</v>
      </c>
      <c r="BZ825" s="440"/>
      <c r="CA825" s="16">
        <f>CA461</f>
        <v>996</v>
      </c>
      <c r="CB825" s="440"/>
      <c r="CC825" s="16">
        <f>CC461</f>
        <v>1177</v>
      </c>
      <c r="CD825" s="440"/>
      <c r="CE825" s="16">
        <f>CE461</f>
        <v>1382</v>
      </c>
      <c r="CF825" s="440"/>
      <c r="CG825" s="16">
        <f>CG461</f>
        <v>1726</v>
      </c>
      <c r="CH825" s="440"/>
      <c r="CI825" s="16">
        <f>CI461</f>
        <v>1499</v>
      </c>
      <c r="CJ825" s="440"/>
      <c r="CK825" s="16">
        <f>CK461</f>
        <v>2127</v>
      </c>
      <c r="CL825" s="440"/>
      <c r="CM825" s="16">
        <f>CM461</f>
        <v>2457</v>
      </c>
      <c r="CN825" s="440"/>
      <c r="CO825" s="16">
        <f>CO461</f>
        <v>3373</v>
      </c>
      <c r="CP825" s="440"/>
      <c r="CQ825" s="16">
        <f>CQ461</f>
        <v>4675</v>
      </c>
      <c r="CR825" s="440"/>
      <c r="CS825" s="16">
        <f>CS461</f>
        <v>3785</v>
      </c>
      <c r="CT825" s="440"/>
      <c r="CU825" s="16">
        <f>CU461</f>
        <v>2081</v>
      </c>
      <c r="CV825" s="440"/>
      <c r="CW825" s="16">
        <f>CW461</f>
        <v>1767</v>
      </c>
      <c r="CX825" s="440"/>
      <c r="CY825" s="16">
        <f>CY461</f>
        <v>1817</v>
      </c>
      <c r="CZ825" s="440"/>
      <c r="DA825" s="16">
        <f>DA461</f>
        <v>784</v>
      </c>
      <c r="DB825" s="440"/>
      <c r="DC825" s="16">
        <f>DC461</f>
        <v>789</v>
      </c>
      <c r="DD825" s="440"/>
      <c r="DE825" s="16">
        <f>DE461</f>
        <v>-62</v>
      </c>
      <c r="DF825" s="440"/>
      <c r="DG825" s="16">
        <f>DG461</f>
        <v>-49</v>
      </c>
      <c r="DH825" s="440"/>
      <c r="DI825" s="16">
        <f>DI461</f>
        <v>-1143</v>
      </c>
      <c r="DJ825" s="440"/>
      <c r="DK825" s="16">
        <f>DK461</f>
        <v>-1300</v>
      </c>
      <c r="DL825" s="440"/>
      <c r="DM825" s="16">
        <f>DM461</f>
        <v>-1527</v>
      </c>
      <c r="DN825" s="440"/>
      <c r="DO825" s="16">
        <f>DO461</f>
        <v>-1539</v>
      </c>
      <c r="DP825" s="440"/>
      <c r="DQ825" s="16">
        <f>DQ461</f>
        <v>-1630</v>
      </c>
      <c r="DR825" s="440"/>
      <c r="DS825" s="16">
        <f>DS461</f>
        <v>-293</v>
      </c>
      <c r="DT825" s="440"/>
      <c r="DU825" s="16">
        <f>DU461</f>
        <v>-167</v>
      </c>
      <c r="DV825" s="440"/>
      <c r="DW825" s="16">
        <f>DW461</f>
        <v>-84</v>
      </c>
      <c r="DX825" s="440"/>
      <c r="DY825" s="16">
        <f>DY461</f>
        <v>-55</v>
      </c>
      <c r="DZ825" s="440"/>
      <c r="EA825" s="16">
        <f>EA461</f>
        <v>-35</v>
      </c>
      <c r="EB825" s="440"/>
      <c r="EC825" s="16">
        <f>EC461</f>
        <v>-198</v>
      </c>
      <c r="ED825" s="440"/>
      <c r="EE825" s="16">
        <f>EE461</f>
        <v>-509</v>
      </c>
      <c r="EF825" s="1080"/>
      <c r="EG825" s="16">
        <f>EG461</f>
        <v>-626</v>
      </c>
      <c r="EH825" s="1080"/>
      <c r="EI825" s="16">
        <f>EI461</f>
        <v>-728</v>
      </c>
      <c r="EJ825" s="1080"/>
      <c r="EK825" s="16">
        <f>EK461</f>
        <v>-809</v>
      </c>
      <c r="EL825" s="1080"/>
      <c r="EM825" s="16">
        <f>EM461</f>
        <v>-831</v>
      </c>
      <c r="EN825" s="1080"/>
      <c r="EO825" s="16">
        <f>EO461</f>
        <v>-1018</v>
      </c>
      <c r="EP825" s="440"/>
      <c r="EQ825" s="16">
        <f>EQ461</f>
        <v>-1049.3386015283363</v>
      </c>
      <c r="ER825" s="440"/>
      <c r="ES825" s="16">
        <f>ES461</f>
        <v>-1023.5680646954509</v>
      </c>
      <c r="ET825" s="440"/>
      <c r="EU825" s="16">
        <f>EU461</f>
        <v>-1016.2899703117984</v>
      </c>
      <c r="EV825" s="440"/>
      <c r="EW825" s="16">
        <f>EW461</f>
        <v>-1006.2018219954539</v>
      </c>
      <c r="EX825" s="440"/>
      <c r="EY825" s="16"/>
      <c r="EZ825" s="607"/>
      <c r="FA825" s="427"/>
      <c r="FB825" s="16"/>
      <c r="FC825" s="16"/>
      <c r="FD825" s="16"/>
      <c r="FE825" s="440"/>
      <c r="FF825" s="16"/>
      <c r="FG825" s="440"/>
      <c r="FH825" s="16"/>
      <c r="FI825" s="440"/>
      <c r="FJ825" s="16"/>
      <c r="FK825" s="440"/>
      <c r="FL825" s="16"/>
      <c r="FM825" s="440"/>
      <c r="FN825" s="16"/>
      <c r="FO825" s="440"/>
      <c r="FP825" s="16"/>
      <c r="FQ825" s="440"/>
      <c r="FR825" s="16"/>
      <c r="FS825" s="440"/>
      <c r="FT825" s="16"/>
      <c r="FU825" s="440"/>
      <c r="FV825" s="16"/>
      <c r="FW825" s="440"/>
      <c r="FX825" s="535"/>
      <c r="FY825" s="440"/>
      <c r="FZ825" s="16"/>
      <c r="GA825" s="440"/>
      <c r="GB825" s="535"/>
      <c r="GC825" s="440"/>
      <c r="GD825" s="16"/>
      <c r="GE825" s="440"/>
      <c r="GF825" s="16" t="e">
        <f>#REF!</f>
        <v>#REF!</v>
      </c>
      <c r="GG825" s="440"/>
      <c r="GH825" s="16" t="e">
        <f>#REF!</f>
        <v>#REF!</v>
      </c>
      <c r="GI825" s="440"/>
      <c r="GJ825" s="16">
        <f>GJ461</f>
        <v>-599</v>
      </c>
      <c r="GK825" s="440"/>
      <c r="GL825" s="16">
        <f>GL461</f>
        <v>-1368</v>
      </c>
      <c r="GM825" s="98" t="str">
        <f t="shared" si="4921"/>
        <v>NM</v>
      </c>
      <c r="GN825" s="16">
        <f>GN461</f>
        <v>-3386</v>
      </c>
      <c r="GO825" s="98" t="str">
        <f t="shared" si="4921"/>
        <v>NM</v>
      </c>
      <c r="GP825" s="16">
        <f>GP461</f>
        <v>-4095.3984585310391</v>
      </c>
      <c r="GQ825" s="98">
        <f t="shared" si="4921"/>
        <v>20.950929076522119</v>
      </c>
      <c r="GR825" s="16">
        <f>GR461</f>
        <v>-4022.8797880207453</v>
      </c>
      <c r="GS825" s="98">
        <f t="shared" si="4921"/>
        <v>-1.7707354057144742</v>
      </c>
      <c r="GT825" s="16">
        <f>GT461</f>
        <v>-3722.0648412238129</v>
      </c>
      <c r="GU825" s="440"/>
      <c r="GV825" s="16">
        <f>GV461</f>
        <v>-3366.9731175503271</v>
      </c>
      <c r="GW825" s="440"/>
      <c r="GX825" s="16">
        <f>GX461</f>
        <v>-2983.9351013319747</v>
      </c>
      <c r="GY825" s="440"/>
      <c r="GZ825" s="455"/>
      <c r="HA825" s="455"/>
      <c r="HC825"/>
      <c r="HD825"/>
      <c r="HE825"/>
      <c r="HF825"/>
      <c r="HG825"/>
      <c r="HH825"/>
    </row>
    <row r="826" spans="1:217" s="10" customFormat="1" ht="12.75" hidden="1" customHeight="1" outlineLevel="1" x14ac:dyDescent="0.2">
      <c r="A826" s="28"/>
      <c r="B826" s="10" t="s">
        <v>571</v>
      </c>
      <c r="C826" s="16"/>
      <c r="D826" s="16"/>
      <c r="E826" s="16"/>
      <c r="F826" s="16"/>
      <c r="G826" s="16"/>
      <c r="H826" s="16"/>
      <c r="I826" s="16"/>
      <c r="J826" s="16"/>
      <c r="K826" s="16"/>
      <c r="L826" s="440"/>
      <c r="M826" s="16"/>
      <c r="N826" s="440"/>
      <c r="O826" s="16"/>
      <c r="P826" s="440"/>
      <c r="Q826" s="16"/>
      <c r="R826" s="440"/>
      <c r="S826" s="16"/>
      <c r="T826" s="440"/>
      <c r="U826" s="16"/>
      <c r="V826" s="440"/>
      <c r="W826" s="16"/>
      <c r="X826" s="440"/>
      <c r="Y826" s="16"/>
      <c r="Z826" s="440"/>
      <c r="AA826" s="16"/>
      <c r="AB826" s="440"/>
      <c r="AC826" s="16"/>
      <c r="AD826" s="440"/>
      <c r="AE826" s="16"/>
      <c r="AF826" s="440"/>
      <c r="AG826" s="16"/>
      <c r="AH826" s="440"/>
      <c r="AI826" s="16"/>
      <c r="AJ826" s="440"/>
      <c r="AK826" s="16"/>
      <c r="AL826" s="440"/>
      <c r="AM826" s="16"/>
      <c r="AN826" s="440"/>
      <c r="AO826" s="16"/>
      <c r="AP826" s="440"/>
      <c r="AQ826" s="16"/>
      <c r="AR826" s="440"/>
      <c r="AS826" s="16"/>
      <c r="AT826" s="440"/>
      <c r="AU826" s="16"/>
      <c r="AV826" s="440"/>
      <c r="AW826" s="16"/>
      <c r="AX826" s="440"/>
      <c r="AY826" s="16">
        <f>AY140</f>
        <v>968</v>
      </c>
      <c r="AZ826" s="440"/>
      <c r="BA826" s="16">
        <f>BA140</f>
        <v>727</v>
      </c>
      <c r="BB826" s="440"/>
      <c r="BC826" s="16">
        <f>BC140</f>
        <v>1358</v>
      </c>
      <c r="BD826" s="440"/>
      <c r="BE826" s="16">
        <f>BE140</f>
        <v>1244</v>
      </c>
      <c r="BF826" s="440"/>
      <c r="BG826" s="16">
        <f>BG140</f>
        <v>782</v>
      </c>
      <c r="BH826" s="440"/>
      <c r="BI826" s="16">
        <f>BI140</f>
        <v>4191</v>
      </c>
      <c r="BJ826" s="440"/>
      <c r="BK826" s="16">
        <f>BK140</f>
        <v>603</v>
      </c>
      <c r="BL826" s="440"/>
      <c r="BM826" s="16">
        <f>BM140</f>
        <v>-2274</v>
      </c>
      <c r="BN826" s="440"/>
      <c r="BO826" s="16">
        <f>BO140</f>
        <v>2331</v>
      </c>
      <c r="BP826" s="440"/>
      <c r="BQ826" s="16">
        <f>BQ140</f>
        <v>1938</v>
      </c>
      <c r="BR826" s="440"/>
      <c r="BS826" s="16">
        <f>BS140</f>
        <v>2249</v>
      </c>
      <c r="BT826" s="440"/>
      <c r="BU826" s="16">
        <f>BU140</f>
        <v>4418</v>
      </c>
      <c r="BV826" s="440"/>
      <c r="BW826" s="16">
        <f>BW140</f>
        <v>-5062</v>
      </c>
      <c r="BX826" s="440"/>
      <c r="BY826" s="16">
        <f>BY140</f>
        <v>-1616</v>
      </c>
      <c r="BZ826" s="440"/>
      <c r="CA826" s="16">
        <f>CA140</f>
        <v>-2105</v>
      </c>
      <c r="CB826" s="440"/>
      <c r="CC826" s="16">
        <f>CC140</f>
        <v>-708</v>
      </c>
      <c r="CD826" s="440"/>
      <c r="CE826" s="16">
        <f>CE140</f>
        <v>2737</v>
      </c>
      <c r="CF826" s="440"/>
      <c r="CG826" s="16">
        <f>CG140</f>
        <v>-1419</v>
      </c>
      <c r="CH826" s="440"/>
      <c r="CI826" s="16">
        <f>CI140</f>
        <v>644</v>
      </c>
      <c r="CJ826" s="440"/>
      <c r="CK826" s="16">
        <f>CK140</f>
        <v>823</v>
      </c>
      <c r="CL826" s="440"/>
      <c r="CM826" s="16">
        <f>CM140</f>
        <v>2011</v>
      </c>
      <c r="CN826" s="440"/>
      <c r="CO826" s="16">
        <f>CO140</f>
        <v>430</v>
      </c>
      <c r="CP826" s="440"/>
      <c r="CQ826" s="535">
        <f>CQ140</f>
        <v>-3039</v>
      </c>
      <c r="CR826" s="440"/>
      <c r="CS826" s="16">
        <f>CS140</f>
        <v>1186</v>
      </c>
      <c r="CT826" s="440"/>
      <c r="CU826" s="16">
        <f>CU140</f>
        <v>2910</v>
      </c>
      <c r="CV826" s="440"/>
      <c r="CW826" s="16">
        <f>CW140</f>
        <v>4498</v>
      </c>
      <c r="CX826" s="440"/>
      <c r="CY826" s="16">
        <f>CY140</f>
        <v>878</v>
      </c>
      <c r="CZ826" s="440"/>
      <c r="DA826" s="16">
        <f>DA140</f>
        <v>803</v>
      </c>
      <c r="DB826" s="440"/>
      <c r="DC826" s="16">
        <f>DC140</f>
        <v>3025</v>
      </c>
      <c r="DD826" s="440"/>
      <c r="DE826" s="16">
        <f>DE140</f>
        <v>-3657</v>
      </c>
      <c r="DF826" s="440"/>
      <c r="DG826" s="16">
        <f>DG140</f>
        <v>-453</v>
      </c>
      <c r="DH826" s="440"/>
      <c r="DI826" s="16">
        <f>DI140</f>
        <v>1520</v>
      </c>
      <c r="DJ826" s="440"/>
      <c r="DK826" s="16">
        <f>DK140</f>
        <v>-2922</v>
      </c>
      <c r="DL826" s="440"/>
      <c r="DM826" s="16">
        <f>DM140</f>
        <v>4014</v>
      </c>
      <c r="DN826" s="440"/>
      <c r="DO826" s="16">
        <f>DO140</f>
        <v>3181</v>
      </c>
      <c r="DP826" s="440"/>
      <c r="DQ826" s="16">
        <f>DQ140</f>
        <v>1036</v>
      </c>
      <c r="DR826" s="440"/>
      <c r="DS826" s="16">
        <f>DS140+DS414</f>
        <v>1918</v>
      </c>
      <c r="DT826" s="440"/>
      <c r="DU826" s="16">
        <f>DU140+DU414</f>
        <v>165</v>
      </c>
      <c r="DV826" s="440"/>
      <c r="DW826" s="16">
        <f>DW140+DW414</f>
        <v>284</v>
      </c>
      <c r="DX826" s="440"/>
      <c r="DY826" s="16">
        <f>DY140+DY414</f>
        <v>2400</v>
      </c>
      <c r="DZ826" s="440"/>
      <c r="EA826" s="16">
        <f>EA140+EA414</f>
        <v>1467</v>
      </c>
      <c r="EB826" s="440"/>
      <c r="EC826" s="16">
        <f>EC140+EC414</f>
        <v>1165</v>
      </c>
      <c r="ED826" s="440"/>
      <c r="EE826" s="16">
        <f>EE140+EE414</f>
        <v>3040</v>
      </c>
      <c r="EF826" s="1080"/>
      <c r="EG826" s="16">
        <f>EG140+EG414</f>
        <v>3464</v>
      </c>
      <c r="EH826" s="1080"/>
      <c r="EI826" s="16">
        <f>EI140+EI414</f>
        <v>1719</v>
      </c>
      <c r="EJ826" s="1080"/>
      <c r="EK826" s="16">
        <f>EK140+EK414</f>
        <v>629</v>
      </c>
      <c r="EL826" s="1080"/>
      <c r="EM826" s="16">
        <f>EM140+EM414</f>
        <v>4370</v>
      </c>
      <c r="EN826" s="1080"/>
      <c r="EO826" s="16">
        <f>EO140+EO414</f>
        <v>1476</v>
      </c>
      <c r="EP826" s="440"/>
      <c r="EQ826" s="16">
        <f>EQ140+EQ414</f>
        <v>1270.3117594274395</v>
      </c>
      <c r="ER826" s="440"/>
      <c r="ES826" s="16">
        <f>ES140+ES414</f>
        <v>1103.3998141091245</v>
      </c>
      <c r="ET826" s="440"/>
      <c r="EU826" s="16">
        <f>EU140+EU414</f>
        <v>955.71657476860287</v>
      </c>
      <c r="EV826" s="440"/>
      <c r="EW826" s="16">
        <f>EW140+EW414</f>
        <v>824.6377805237837</v>
      </c>
      <c r="EX826" s="440"/>
      <c r="EY826" s="16"/>
      <c r="EZ826" s="607"/>
      <c r="FA826" s="427"/>
      <c r="FB826" s="16"/>
      <c r="FC826" s="16"/>
      <c r="FD826" s="16">
        <f>FD140</f>
        <v>-727</v>
      </c>
      <c r="FE826" s="440"/>
      <c r="FF826" s="16">
        <f>FF140</f>
        <v>-33</v>
      </c>
      <c r="FG826" s="440"/>
      <c r="FH826" s="16">
        <f>FH140</f>
        <v>1665</v>
      </c>
      <c r="FI826" s="440"/>
      <c r="FJ826" s="16">
        <f>FJ140</f>
        <v>1172</v>
      </c>
      <c r="FK826" s="440"/>
      <c r="FL826" s="16">
        <f>FL140</f>
        <v>4578</v>
      </c>
      <c r="FM826" s="440"/>
      <c r="FN826" s="16">
        <f>FN140</f>
        <v>4508</v>
      </c>
      <c r="FO826" s="440"/>
      <c r="FP826" s="16">
        <f>FP140</f>
        <v>3261</v>
      </c>
      <c r="FQ826" s="440"/>
      <c r="FR826" s="16">
        <f>FR140</f>
        <v>4297</v>
      </c>
      <c r="FS826" s="440"/>
      <c r="FT826" s="16">
        <f>FT140</f>
        <v>3302</v>
      </c>
      <c r="FU826" s="440"/>
      <c r="FV826" s="16">
        <f>FV140</f>
        <v>10936</v>
      </c>
      <c r="FW826" s="440"/>
      <c r="FX826" s="535">
        <f>FX140</f>
        <v>-9491</v>
      </c>
      <c r="FY826" s="440"/>
      <c r="FZ826" s="16">
        <f>FZ140</f>
        <v>2785</v>
      </c>
      <c r="GA826" s="440"/>
      <c r="GB826" s="535">
        <f>GB140</f>
        <v>588</v>
      </c>
      <c r="GC826" s="440"/>
      <c r="GD826" s="16">
        <f>GD140</f>
        <v>9089</v>
      </c>
      <c r="GE826" s="440"/>
      <c r="GF826" s="16">
        <f>GF140</f>
        <v>435</v>
      </c>
      <c r="GG826" s="440"/>
      <c r="GH826" s="16">
        <f>GH140</f>
        <v>5309</v>
      </c>
      <c r="GI826" s="440"/>
      <c r="GJ826" s="16">
        <f>GJ140+GJ414</f>
        <v>4767</v>
      </c>
      <c r="GK826" s="440"/>
      <c r="GL826" s="16">
        <f>GL140+GL414</f>
        <v>9136</v>
      </c>
      <c r="GM826" s="98">
        <f t="shared" si="4921"/>
        <v>91.650933501153759</v>
      </c>
      <c r="GN826" s="16">
        <f>GN140+GN414</f>
        <v>8194</v>
      </c>
      <c r="GO826" s="98">
        <f t="shared" si="4921"/>
        <v>-10.310858143607703</v>
      </c>
      <c r="GP826" s="16">
        <f>GP140+GP414</f>
        <v>4154.0659288289498</v>
      </c>
      <c r="GQ826" s="98">
        <f t="shared" si="4921"/>
        <v>-49.303564451684764</v>
      </c>
      <c r="GR826" s="16">
        <f>GR140+GR414</f>
        <v>5478.2502850893798</v>
      </c>
      <c r="GS826" s="98">
        <f t="shared" si="4921"/>
        <v>31.876825715997327</v>
      </c>
      <c r="GT826" s="16">
        <f>GT140+GT414</f>
        <v>5580.9130730951911</v>
      </c>
      <c r="GU826" s="440"/>
      <c r="GV826" s="16">
        <f>GV140+GV414</f>
        <v>5389.9832528521993</v>
      </c>
      <c r="GW826" s="440"/>
      <c r="GX826" s="16">
        <f>GX140+GX414</f>
        <v>5240.406548835811</v>
      </c>
      <c r="GY826" s="440"/>
      <c r="GZ826" s="455"/>
      <c r="HA826" s="455"/>
      <c r="HC826"/>
      <c r="HD826"/>
      <c r="HE826"/>
      <c r="HF826"/>
      <c r="HG826"/>
      <c r="HH826"/>
    </row>
    <row r="827" spans="1:217" s="10" customFormat="1" ht="12.75" hidden="1" customHeight="1" outlineLevel="1" x14ac:dyDescent="0.2">
      <c r="A827" s="28"/>
      <c r="B827" s="10" t="s">
        <v>201</v>
      </c>
      <c r="C827" s="16"/>
      <c r="D827" s="16"/>
      <c r="E827" s="16"/>
      <c r="F827" s="16"/>
      <c r="G827" s="16"/>
      <c r="H827" s="16"/>
      <c r="I827" s="16"/>
      <c r="J827" s="16"/>
      <c r="K827" s="16"/>
      <c r="L827" s="440"/>
      <c r="M827" s="16"/>
      <c r="N827" s="440"/>
      <c r="O827" s="16"/>
      <c r="P827" s="440"/>
      <c r="Q827" s="16"/>
      <c r="R827" s="440"/>
      <c r="S827" s="16"/>
      <c r="T827" s="440"/>
      <c r="U827" s="16"/>
      <c r="V827" s="440"/>
      <c r="W827" s="16"/>
      <c r="X827" s="440"/>
      <c r="Y827" s="16"/>
      <c r="Z827" s="440"/>
      <c r="AA827" s="16"/>
      <c r="AB827" s="440"/>
      <c r="AC827" s="16"/>
      <c r="AD827" s="440"/>
      <c r="AE827" s="16"/>
      <c r="AF827" s="440"/>
      <c r="AG827" s="16"/>
      <c r="AH827" s="440"/>
      <c r="AI827" s="16"/>
      <c r="AJ827" s="440"/>
      <c r="AK827" s="16"/>
      <c r="AL827" s="440"/>
      <c r="AM827" s="16"/>
      <c r="AN827" s="440"/>
      <c r="AO827" s="16"/>
      <c r="AP827" s="440"/>
      <c r="AQ827" s="16"/>
      <c r="AR827" s="440"/>
      <c r="AS827" s="16"/>
      <c r="AT827" s="440"/>
      <c r="AU827" s="16"/>
      <c r="AV827" s="440"/>
      <c r="AW827" s="16"/>
      <c r="AX827" s="440"/>
      <c r="AY827" s="16">
        <f>AY128</f>
        <v>3819</v>
      </c>
      <c r="AZ827" s="440"/>
      <c r="BA827" s="16">
        <f>BA128</f>
        <v>3028</v>
      </c>
      <c r="BB827" s="440"/>
      <c r="BC827" s="16">
        <f>BC128</f>
        <v>3389</v>
      </c>
      <c r="BD827" s="440"/>
      <c r="BE827" s="16">
        <f>BE128</f>
        <v>3387</v>
      </c>
      <c r="BF827" s="440"/>
      <c r="BG827" s="16">
        <f>BG128</f>
        <v>3245</v>
      </c>
      <c r="BH827" s="440"/>
      <c r="BI827" s="16">
        <f>BI128</f>
        <v>7266</v>
      </c>
      <c r="BJ827" s="440"/>
      <c r="BK827" s="16">
        <f>BK128</f>
        <v>3225</v>
      </c>
      <c r="BL827" s="440"/>
      <c r="BM827" s="16">
        <f>BM128</f>
        <v>2064</v>
      </c>
      <c r="BN827" s="440"/>
      <c r="BO827" s="16">
        <f>BO128</f>
        <v>5894</v>
      </c>
      <c r="BP827" s="440"/>
      <c r="BQ827" s="16">
        <f>BQ128</f>
        <v>9267</v>
      </c>
      <c r="BR827" s="440"/>
      <c r="BS827" s="16">
        <f>BS128</f>
        <v>12761</v>
      </c>
      <c r="BT827" s="440"/>
      <c r="BU827" s="16">
        <f>BU128</f>
        <v>19639</v>
      </c>
      <c r="BV827" s="440"/>
      <c r="BW827" s="16">
        <f>BW128</f>
        <v>13215</v>
      </c>
      <c r="BX827" s="440"/>
      <c r="BY827" s="16">
        <f>BY128</f>
        <v>16393</v>
      </c>
      <c r="BZ827" s="440"/>
      <c r="CA827" s="16">
        <f>CA128</f>
        <v>10427</v>
      </c>
      <c r="CB827" s="440"/>
      <c r="CC827" s="16">
        <f>CC128</f>
        <v>9755</v>
      </c>
      <c r="CD827" s="440"/>
      <c r="CE827" s="16">
        <f>CE128</f>
        <v>11588</v>
      </c>
      <c r="CF827" s="440"/>
      <c r="CG827" s="16">
        <f>CG128</f>
        <v>12013</v>
      </c>
      <c r="CH827" s="440"/>
      <c r="CI827" s="16">
        <f>CI128</f>
        <v>12351</v>
      </c>
      <c r="CJ827" s="440"/>
      <c r="CK827" s="16">
        <f>CK128</f>
        <v>13947</v>
      </c>
      <c r="CL827" s="440"/>
      <c r="CM827" s="16">
        <f>CM128</f>
        <v>16805</v>
      </c>
      <c r="CN827" s="440"/>
      <c r="CO827" s="16">
        <f>CO128</f>
        <v>11148</v>
      </c>
      <c r="CP827" s="440"/>
      <c r="CQ827" s="535">
        <f>CQ128</f>
        <v>14309</v>
      </c>
      <c r="CR827" s="440"/>
      <c r="CS827" s="16">
        <f>CS128</f>
        <v>13677</v>
      </c>
      <c r="CT827" s="440"/>
      <c r="CU827" s="16">
        <f>CU128</f>
        <v>17655</v>
      </c>
      <c r="CV827" s="440"/>
      <c r="CW827" s="16">
        <f>CW128</f>
        <v>19383</v>
      </c>
      <c r="CX827" s="440"/>
      <c r="CY827" s="16">
        <f>CY128</f>
        <v>12906</v>
      </c>
      <c r="CZ827" s="440"/>
      <c r="DA827" s="16">
        <f>DA128</f>
        <v>10469</v>
      </c>
      <c r="DB827" s="440"/>
      <c r="DC827" s="16">
        <f>DC128</f>
        <v>14790</v>
      </c>
      <c r="DD827" s="440"/>
      <c r="DE827" s="16">
        <f>DE128</f>
        <v>13826</v>
      </c>
      <c r="DF827" s="440"/>
      <c r="DG827" s="16">
        <f>DG128</f>
        <v>12264</v>
      </c>
      <c r="DH827" s="440"/>
      <c r="DI827" s="16">
        <f>DI128</f>
        <v>13104</v>
      </c>
      <c r="DJ827" s="440"/>
      <c r="DK827" s="16">
        <f>DK128</f>
        <v>11769</v>
      </c>
      <c r="DL827" s="440"/>
      <c r="DM827" s="16">
        <f>DM128</f>
        <v>20774</v>
      </c>
      <c r="DN827" s="440"/>
      <c r="DO827" s="16">
        <f>DO128</f>
        <v>18194</v>
      </c>
      <c r="DP827" s="440"/>
      <c r="DQ827" s="16">
        <f>DQ128</f>
        <v>16797</v>
      </c>
      <c r="DR827" s="440"/>
      <c r="DS827" s="16">
        <f>DS128+DS382</f>
        <v>15226</v>
      </c>
      <c r="DT827" s="440"/>
      <c r="DU827" s="16">
        <f>DU128+DU382</f>
        <v>15519</v>
      </c>
      <c r="DV827" s="440"/>
      <c r="DW827" s="16">
        <f>DW128+DW382</f>
        <v>18473</v>
      </c>
      <c r="DX827" s="440"/>
      <c r="DY827" s="16">
        <f>DY128+DY382</f>
        <v>15469</v>
      </c>
      <c r="DZ827" s="440"/>
      <c r="EA827" s="16">
        <f>EA128+EA382</f>
        <v>13245</v>
      </c>
      <c r="EB827" s="440"/>
      <c r="EC827" s="16">
        <f>EC128+EC382</f>
        <v>16321</v>
      </c>
      <c r="ED827" s="440"/>
      <c r="EE827" s="16">
        <f>EE128+EE382</f>
        <v>19713</v>
      </c>
      <c r="EF827" s="1080"/>
      <c r="EG827" s="16">
        <f>EG128+EG382</f>
        <v>20427</v>
      </c>
      <c r="EH827" s="1080"/>
      <c r="EI827" s="16">
        <f>EI128+EI382</f>
        <v>17482</v>
      </c>
      <c r="EJ827" s="1080"/>
      <c r="EK827" s="16">
        <f>EK128+EK382</f>
        <v>20914</v>
      </c>
      <c r="EL827" s="1080"/>
      <c r="EM827" s="16">
        <f>EM128+EM382</f>
        <v>21014</v>
      </c>
      <c r="EN827" s="1080"/>
      <c r="EO827" s="16">
        <f>EO128+EO382</f>
        <v>19143</v>
      </c>
      <c r="EP827" s="440"/>
      <c r="EQ827" s="16">
        <f>EQ128+EQ382</f>
        <v>19052.45</v>
      </c>
      <c r="ER827" s="440"/>
      <c r="ES827" s="16">
        <f>ES128+ES382</f>
        <v>18969.697499999998</v>
      </c>
      <c r="ET827" s="440"/>
      <c r="EU827" s="16">
        <f>EU128+EU382</f>
        <v>18893.698625000001</v>
      </c>
      <c r="EV827" s="440"/>
      <c r="EW827" s="16">
        <f>EW128+EW382</f>
        <v>18823.592493749999</v>
      </c>
      <c r="EX827" s="440"/>
      <c r="EY827" s="16"/>
      <c r="EZ827" s="607"/>
      <c r="FA827" s="427"/>
      <c r="FB827" s="16"/>
      <c r="FC827" s="16"/>
      <c r="FD827" s="16">
        <f>FD128</f>
        <v>4957</v>
      </c>
      <c r="FE827" s="440"/>
      <c r="FF827" s="16">
        <f>FF128</f>
        <v>5232</v>
      </c>
      <c r="FG827" s="440"/>
      <c r="FH827" s="16">
        <f>FH128</f>
        <v>5713</v>
      </c>
      <c r="FI827" s="440"/>
      <c r="FJ827" s="16">
        <f>FJ128</f>
        <v>7040</v>
      </c>
      <c r="FK827" s="440"/>
      <c r="FL827" s="16">
        <f>FL128</f>
        <v>9019</v>
      </c>
      <c r="FM827" s="440"/>
      <c r="FN827" s="16">
        <f>FN128</f>
        <v>9709</v>
      </c>
      <c r="FO827" s="440"/>
      <c r="FP827" s="16">
        <f>FP128</f>
        <v>10905</v>
      </c>
      <c r="FQ827" s="440"/>
      <c r="FR827" s="16">
        <f>FR128</f>
        <v>13623</v>
      </c>
      <c r="FS827" s="440"/>
      <c r="FT827" s="16">
        <f>FT128</f>
        <v>15800</v>
      </c>
      <c r="FU827" s="440"/>
      <c r="FV827" s="16">
        <f>FV128</f>
        <v>47561</v>
      </c>
      <c r="FW827" s="440"/>
      <c r="FX827" s="535">
        <f>FX128</f>
        <v>49790</v>
      </c>
      <c r="FY827" s="440"/>
      <c r="FZ827" s="16">
        <f>FZ128</f>
        <v>49899</v>
      </c>
      <c r="GA827" s="440"/>
      <c r="GB827" s="535">
        <f>GB128</f>
        <v>55939</v>
      </c>
      <c r="GC827" s="440"/>
      <c r="GD827" s="16">
        <f>GD128</f>
        <v>60413</v>
      </c>
      <c r="GE827" s="440"/>
      <c r="GF827" s="16">
        <f>GF128</f>
        <v>53984</v>
      </c>
      <c r="GG827" s="440"/>
      <c r="GH827" s="16">
        <f>GH128</f>
        <v>67534</v>
      </c>
      <c r="GI827" s="440"/>
      <c r="GJ827" s="16">
        <f>GJ128+GJ382</f>
        <v>64687</v>
      </c>
      <c r="GK827" s="440"/>
      <c r="GL827" s="16">
        <f>GL128+GL382</f>
        <v>69706</v>
      </c>
      <c r="GM827" s="98">
        <f t="shared" si="4921"/>
        <v>7.7589005518883258</v>
      </c>
      <c r="GN827" s="16">
        <f>GN128+GN382</f>
        <v>78553</v>
      </c>
      <c r="GO827" s="98">
        <f t="shared" si="4921"/>
        <v>12.691877313287225</v>
      </c>
      <c r="GP827" s="16">
        <f>GP128+GP382</f>
        <v>75739.438618750006</v>
      </c>
      <c r="GQ827" s="98">
        <f t="shared" si="4921"/>
        <v>-3.5817363833971938</v>
      </c>
      <c r="GR827" s="16">
        <f>GR128+GR382</f>
        <v>78637.385364062502</v>
      </c>
      <c r="GS827" s="98">
        <f t="shared" si="4921"/>
        <v>3.826205736617494</v>
      </c>
      <c r="GT827" s="16">
        <f>GT128+GT382</f>
        <v>82156.851823046891</v>
      </c>
      <c r="GU827" s="440"/>
      <c r="GV827" s="16">
        <f>GV128+GV382</f>
        <v>86205.199443285179</v>
      </c>
      <c r="GW827" s="440"/>
      <c r="GX827" s="16">
        <f>GX128+GX382</f>
        <v>90725.723297023898</v>
      </c>
      <c r="GY827" s="440"/>
      <c r="GZ827" s="455"/>
      <c r="HA827" s="455"/>
      <c r="HC827"/>
      <c r="HD827"/>
      <c r="HE827"/>
      <c r="HF827"/>
      <c r="HG827"/>
      <c r="HH827"/>
    </row>
    <row r="828" spans="1:217" s="10" customFormat="1" ht="12.75" hidden="1" customHeight="1" outlineLevel="1" x14ac:dyDescent="0.2">
      <c r="A828" s="28"/>
      <c r="B828" s="10" t="s">
        <v>202</v>
      </c>
      <c r="C828" s="16"/>
      <c r="D828" s="16"/>
      <c r="E828" s="16"/>
      <c r="F828" s="16"/>
      <c r="G828" s="16"/>
      <c r="H828" s="16"/>
      <c r="I828" s="16"/>
      <c r="J828" s="16"/>
      <c r="K828" s="16"/>
      <c r="L828" s="440"/>
      <c r="M828" s="16"/>
      <c r="N828" s="440"/>
      <c r="O828" s="16"/>
      <c r="P828" s="440"/>
      <c r="Q828" s="16"/>
      <c r="R828" s="440"/>
      <c r="S828" s="16"/>
      <c r="T828" s="440"/>
      <c r="U828" s="16"/>
      <c r="V828" s="440"/>
      <c r="W828" s="16"/>
      <c r="X828" s="440"/>
      <c r="Y828" s="16"/>
      <c r="Z828" s="440"/>
      <c r="AA828" s="16"/>
      <c r="AB828" s="440"/>
      <c r="AC828" s="16"/>
      <c r="AD828" s="440"/>
      <c r="AE828" s="16"/>
      <c r="AF828" s="440"/>
      <c r="AG828" s="16"/>
      <c r="AH828" s="440"/>
      <c r="AI828" s="16"/>
      <c r="AJ828" s="440"/>
      <c r="AK828" s="16"/>
      <c r="AL828" s="440"/>
      <c r="AM828" s="16"/>
      <c r="AN828" s="440"/>
      <c r="AO828" s="16"/>
      <c r="AP828" s="440"/>
      <c r="AQ828" s="16"/>
      <c r="AR828" s="440"/>
      <c r="AS828" s="16"/>
      <c r="AT828" s="440"/>
      <c r="AU828" s="16"/>
      <c r="AV828" s="440"/>
      <c r="AW828" s="16"/>
      <c r="AX828" s="440"/>
      <c r="AY828" s="16">
        <f>AY130</f>
        <v>-2851</v>
      </c>
      <c r="AZ828" s="440"/>
      <c r="BA828" s="16">
        <f>BA130</f>
        <v>-2301</v>
      </c>
      <c r="BB828" s="440"/>
      <c r="BC828" s="16">
        <f>BC130</f>
        <v>-2031</v>
      </c>
      <c r="BD828" s="440"/>
      <c r="BE828" s="16">
        <f>BE130</f>
        <v>-2143</v>
      </c>
      <c r="BF828" s="440"/>
      <c r="BG828" s="16">
        <f>BG130</f>
        <v>-2463</v>
      </c>
      <c r="BH828" s="440"/>
      <c r="BI828" s="16">
        <f>BI130</f>
        <v>-3075</v>
      </c>
      <c r="BJ828" s="440"/>
      <c r="BK828" s="16">
        <f>BK130</f>
        <v>-2622</v>
      </c>
      <c r="BL828" s="440"/>
      <c r="BM828" s="16">
        <f>BM130</f>
        <v>-4338</v>
      </c>
      <c r="BN828" s="440"/>
      <c r="BO828" s="16">
        <f>BO130</f>
        <v>-3563</v>
      </c>
      <c r="BP828" s="440"/>
      <c r="BQ828" s="16">
        <f>BQ130</f>
        <v>-7329</v>
      </c>
      <c r="BR828" s="440"/>
      <c r="BS828" s="16">
        <f>BS130</f>
        <v>-10512</v>
      </c>
      <c r="BT828" s="440"/>
      <c r="BU828" s="16">
        <f>BU130</f>
        <v>-15221</v>
      </c>
      <c r="BV828" s="440"/>
      <c r="BW828" s="16">
        <f>BW130</f>
        <v>-18277</v>
      </c>
      <c r="BX828" s="440"/>
      <c r="BY828" s="16">
        <f>BY130</f>
        <v>-18009</v>
      </c>
      <c r="BZ828" s="440"/>
      <c r="CA828" s="16">
        <f>CA130</f>
        <v>-12532</v>
      </c>
      <c r="CB828" s="440"/>
      <c r="CC828" s="16">
        <f>CC130</f>
        <v>-10463</v>
      </c>
      <c r="CD828" s="440"/>
      <c r="CE828" s="16">
        <f>CE130</f>
        <v>-8851</v>
      </c>
      <c r="CF828" s="440"/>
      <c r="CG828" s="16">
        <f>CG130</f>
        <v>-13432</v>
      </c>
      <c r="CH828" s="440"/>
      <c r="CI828" s="16">
        <f>CI130</f>
        <v>-11707</v>
      </c>
      <c r="CJ828" s="440"/>
      <c r="CK828" s="16">
        <f>CK130</f>
        <v>-13124</v>
      </c>
      <c r="CL828" s="440"/>
      <c r="CM828" s="16">
        <f>CM130</f>
        <v>-14794</v>
      </c>
      <c r="CN828" s="440"/>
      <c r="CO828" s="16">
        <f>CO130</f>
        <v>-10718</v>
      </c>
      <c r="CP828" s="440"/>
      <c r="CQ828" s="535">
        <f>CQ130</f>
        <v>-17348</v>
      </c>
      <c r="CR828" s="440"/>
      <c r="CS828" s="16">
        <f>CS130</f>
        <v>-12491</v>
      </c>
      <c r="CT828" s="440"/>
      <c r="CU828" s="16">
        <f>CU130</f>
        <v>-14745</v>
      </c>
      <c r="CV828" s="440"/>
      <c r="CW828" s="16">
        <f>CW130</f>
        <v>-14885</v>
      </c>
      <c r="CX828" s="440"/>
      <c r="CY828" s="16">
        <f>CY130</f>
        <v>-12028</v>
      </c>
      <c r="CZ828" s="440"/>
      <c r="DA828" s="16">
        <f>DA130</f>
        <v>-9666</v>
      </c>
      <c r="DB828" s="440"/>
      <c r="DC828" s="16">
        <f>DC130</f>
        <v>-11765</v>
      </c>
      <c r="DD828" s="440"/>
      <c r="DE828" s="16">
        <f>DE130</f>
        <v>-17483</v>
      </c>
      <c r="DF828" s="440"/>
      <c r="DG828" s="16">
        <f>DG130</f>
        <v>-12717</v>
      </c>
      <c r="DH828" s="440"/>
      <c r="DI828" s="16">
        <f>DI130</f>
        <v>-11584</v>
      </c>
      <c r="DJ828" s="440"/>
      <c r="DK828" s="16">
        <f>DK130</f>
        <v>-14691</v>
      </c>
      <c r="DL828" s="440"/>
      <c r="DM828" s="16">
        <f>DM130</f>
        <v>-16760</v>
      </c>
      <c r="DN828" s="440"/>
      <c r="DO828" s="16">
        <f>DO130</f>
        <v>-15013</v>
      </c>
      <c r="DP828" s="440"/>
      <c r="DQ828" s="16">
        <f>DQ130</f>
        <v>-15761</v>
      </c>
      <c r="DR828" s="440"/>
      <c r="DS828" s="16">
        <f>DS130+DS384</f>
        <v>-13413</v>
      </c>
      <c r="DT828" s="440"/>
      <c r="DU828" s="16">
        <f>DU130+DU384</f>
        <v>-15461</v>
      </c>
      <c r="DV828" s="440"/>
      <c r="DW828" s="16">
        <f>DW130+DW384</f>
        <v>-18132</v>
      </c>
      <c r="DX828" s="440"/>
      <c r="DY828" s="16">
        <f>DY130+DY384</f>
        <v>-13102</v>
      </c>
      <c r="DZ828" s="440"/>
      <c r="EA828" s="16">
        <f>EA130+EA384</f>
        <v>-11652</v>
      </c>
      <c r="EB828" s="440"/>
      <c r="EC828" s="16">
        <f>EC130+EC384</f>
        <v>-15104</v>
      </c>
      <c r="ED828" s="440"/>
      <c r="EE828" s="16">
        <f>EE130+EE384</f>
        <v>-16799</v>
      </c>
      <c r="EF828" s="1080"/>
      <c r="EG828" s="16">
        <f>EG130+EG384</f>
        <v>-17141</v>
      </c>
      <c r="EH828" s="1080"/>
      <c r="EI828" s="16">
        <f>EI130+EI384</f>
        <v>-15919</v>
      </c>
      <c r="EJ828" s="1080"/>
      <c r="EK828" s="16">
        <f>EK130+EK384</f>
        <v>-20525</v>
      </c>
      <c r="EL828" s="1080"/>
      <c r="EM828" s="16">
        <f>EM130+EM384</f>
        <v>-16882</v>
      </c>
      <c r="EN828" s="1080"/>
      <c r="EO828" s="16">
        <f>EO130+EO384</f>
        <v>-18028</v>
      </c>
      <c r="EP828" s="440"/>
      <c r="EQ828" s="16">
        <f>EQ130+EQ384</f>
        <v>-18161.503790383704</v>
      </c>
      <c r="ER828" s="440"/>
      <c r="ES828" s="16">
        <f>ES130+ES384</f>
        <v>-18260.716065679222</v>
      </c>
      <c r="ET828" s="440"/>
      <c r="EU828" s="16">
        <f>EU130+EU384</f>
        <v>-18343.454610302724</v>
      </c>
      <c r="EV828" s="440"/>
      <c r="EW828" s="16">
        <f>EW130+EW384</f>
        <v>-18412.261987095015</v>
      </c>
      <c r="EX828" s="440"/>
      <c r="EY828" s="16"/>
      <c r="EZ828" s="607"/>
      <c r="FA828" s="427"/>
      <c r="FB828" s="16"/>
      <c r="FC828" s="16"/>
      <c r="FD828" s="16">
        <f>FD130</f>
        <v>-5684</v>
      </c>
      <c r="FE828" s="440"/>
      <c r="FF828" s="16">
        <f>FF130</f>
        <v>-5265</v>
      </c>
      <c r="FG828" s="440"/>
      <c r="FH828" s="16">
        <f>FH130</f>
        <v>-4048</v>
      </c>
      <c r="FI828" s="440"/>
      <c r="FJ828" s="16">
        <f>FJ130</f>
        <v>-5868</v>
      </c>
      <c r="FK828" s="440"/>
      <c r="FL828" s="16">
        <f>FL130</f>
        <v>-4441</v>
      </c>
      <c r="FM828" s="440"/>
      <c r="FN828" s="16">
        <f>FN130</f>
        <v>-5201</v>
      </c>
      <c r="FO828" s="440"/>
      <c r="FP828" s="16">
        <f>FP130</f>
        <v>-7644</v>
      </c>
      <c r="FQ828" s="440"/>
      <c r="FR828" s="16">
        <f>FR130</f>
        <v>-9326</v>
      </c>
      <c r="FS828" s="440"/>
      <c r="FT828" s="16">
        <f>FT130</f>
        <v>-12498</v>
      </c>
      <c r="FU828" s="440"/>
      <c r="FV828" s="16">
        <f>FV130</f>
        <v>-36625</v>
      </c>
      <c r="FW828" s="440"/>
      <c r="FX828" s="535">
        <f>FX130</f>
        <v>-59281</v>
      </c>
      <c r="FY828" s="440"/>
      <c r="FZ828" s="16">
        <f>FZ130</f>
        <v>-47114</v>
      </c>
      <c r="GA828" s="440"/>
      <c r="GB828" s="535">
        <f>GB130</f>
        <v>-55351</v>
      </c>
      <c r="GC828" s="440"/>
      <c r="GD828" s="16">
        <f>GD130</f>
        <v>-51324</v>
      </c>
      <c r="GE828" s="440"/>
      <c r="GF828" s="16">
        <f>GF130</f>
        <v>-53549</v>
      </c>
      <c r="GG828" s="440"/>
      <c r="GH828" s="16">
        <f>GH130</f>
        <v>-62225</v>
      </c>
      <c r="GI828" s="440"/>
      <c r="GJ828" s="16">
        <f>GJ130+GJ384</f>
        <v>-60108</v>
      </c>
      <c r="GK828" s="440"/>
      <c r="GL828" s="16">
        <f>GL130+GL384</f>
        <v>-60696</v>
      </c>
      <c r="GM828" s="98">
        <f t="shared" si="4921"/>
        <v>0.97823916949490997</v>
      </c>
      <c r="GN828" s="16">
        <f>GN130+GN384</f>
        <v>-71354</v>
      </c>
      <c r="GO828" s="98">
        <f t="shared" si="4921"/>
        <v>17.559641492025825</v>
      </c>
      <c r="GP828" s="16">
        <f>GP130+GP384</f>
        <v>-73177.936453460658</v>
      </c>
      <c r="GQ828" s="98">
        <f t="shared" si="4921"/>
        <v>2.5561796864375541</v>
      </c>
      <c r="GR828" s="16">
        <f>GR130+GR384</f>
        <v>-74851.68889937106</v>
      </c>
      <c r="GS828" s="98">
        <f t="shared" si="4921"/>
        <v>2.2872364636502995</v>
      </c>
      <c r="GT828" s="16">
        <f>GT130+GT384</f>
        <v>-78322.901968831444</v>
      </c>
      <c r="GU828" s="440"/>
      <c r="GV828" s="16">
        <f>GV130+GV384</f>
        <v>-82565.567615283449</v>
      </c>
      <c r="GW828" s="440"/>
      <c r="GX828" s="16">
        <f>GX130+GX384</f>
        <v>-87208.34268165601</v>
      </c>
      <c r="GY828" s="440"/>
      <c r="GZ828" s="455"/>
      <c r="HA828" s="455"/>
      <c r="HC828"/>
      <c r="HD828"/>
      <c r="HE828"/>
      <c r="HF828"/>
      <c r="HG828"/>
      <c r="HH828"/>
    </row>
    <row r="829" spans="1:217" s="10" customFormat="1" ht="12.75" hidden="1" customHeight="1" outlineLevel="1" x14ac:dyDescent="0.2">
      <c r="A829" s="28" t="s">
        <v>568</v>
      </c>
      <c r="B829" s="10" t="s">
        <v>273</v>
      </c>
      <c r="C829" s="16"/>
      <c r="D829" s="16"/>
      <c r="E829" s="16"/>
      <c r="F829" s="16"/>
      <c r="G829" s="16"/>
      <c r="H829" s="16"/>
      <c r="I829" s="16"/>
      <c r="J829" s="16"/>
      <c r="K829" s="16">
        <f>K628</f>
        <v>384</v>
      </c>
      <c r="L829" s="440"/>
      <c r="M829" s="16">
        <f>M628</f>
        <v>419</v>
      </c>
      <c r="N829" s="440"/>
      <c r="O829" s="16">
        <f>O628</f>
        <v>227</v>
      </c>
      <c r="P829" s="440"/>
      <c r="Q829" s="16">
        <f>Q628</f>
        <v>-124</v>
      </c>
      <c r="R829" s="440"/>
      <c r="S829" s="16">
        <f>S628</f>
        <v>400</v>
      </c>
      <c r="T829" s="440"/>
      <c r="U829" s="16">
        <f>U628</f>
        <v>504</v>
      </c>
      <c r="V829" s="440"/>
      <c r="W829" s="16">
        <f>W628</f>
        <v>502</v>
      </c>
      <c r="X829" s="440"/>
      <c r="Y829" s="16">
        <f>Y628</f>
        <v>338</v>
      </c>
      <c r="Z829" s="440"/>
      <c r="AA829" s="16">
        <f>AA628</f>
        <v>446</v>
      </c>
      <c r="AB829" s="440"/>
      <c r="AC829" s="16">
        <f>AC628</f>
        <v>620</v>
      </c>
      <c r="AD829" s="440"/>
      <c r="AE829" s="16">
        <f>AE628</f>
        <v>616</v>
      </c>
      <c r="AF829" s="440"/>
      <c r="AG829" s="16">
        <f>AG628</f>
        <v>565</v>
      </c>
      <c r="AH829" s="440"/>
      <c r="AI829" s="16">
        <f>AI628</f>
        <v>595</v>
      </c>
      <c r="AJ829" s="440"/>
      <c r="AK829" s="16">
        <f>AK628</f>
        <v>661</v>
      </c>
      <c r="AL829" s="440"/>
      <c r="AM829" s="16">
        <f>AM628</f>
        <v>593</v>
      </c>
      <c r="AN829" s="440"/>
      <c r="AO829" s="16">
        <f>AO628</f>
        <v>608.41101694915255</v>
      </c>
      <c r="AP829" s="440"/>
      <c r="AQ829" s="16">
        <f>AQ628</f>
        <v>767</v>
      </c>
      <c r="AR829" s="440"/>
      <c r="AS829" s="16">
        <f>AS628</f>
        <v>726</v>
      </c>
      <c r="AT829" s="440"/>
      <c r="AU829" s="16">
        <f>AU628</f>
        <v>644</v>
      </c>
      <c r="AV829" s="440"/>
      <c r="AW829" s="16">
        <f>AW628</f>
        <v>754</v>
      </c>
      <c r="AX829" s="440"/>
      <c r="AY829" s="16">
        <f>AY628</f>
        <v>907</v>
      </c>
      <c r="AZ829" s="440"/>
      <c r="BA829" s="16">
        <f>BA628</f>
        <v>928</v>
      </c>
      <c r="BB829" s="440"/>
      <c r="BC829" s="16">
        <f>BC628</f>
        <v>940</v>
      </c>
      <c r="BD829" s="440"/>
      <c r="BE829" s="16">
        <f>BE628</f>
        <v>1019</v>
      </c>
      <c r="BF829" s="440"/>
      <c r="BG829" s="16">
        <f>BG628</f>
        <v>1013</v>
      </c>
      <c r="BH829" s="440"/>
      <c r="BI829" s="16">
        <f>BI628</f>
        <v>1169</v>
      </c>
      <c r="BJ829" s="440"/>
      <c r="BK829" s="16">
        <f>BK628</f>
        <v>1051.4000000000001</v>
      </c>
      <c r="BL829" s="440"/>
      <c r="BM829" s="16">
        <f>BM628</f>
        <v>1054</v>
      </c>
      <c r="BN829" s="440"/>
      <c r="BO829" s="16">
        <f>BO628</f>
        <v>1033</v>
      </c>
      <c r="BP829" s="440"/>
      <c r="BQ829" s="16">
        <f>BQ628</f>
        <v>958</v>
      </c>
      <c r="BR829" s="440"/>
      <c r="BS829" s="16">
        <f>BS628</f>
        <v>758</v>
      </c>
      <c r="BT829" s="440"/>
      <c r="BU829" s="16">
        <f>BU628</f>
        <v>159</v>
      </c>
      <c r="BV829" s="440"/>
      <c r="BW829" s="16">
        <f>BW628</f>
        <v>148</v>
      </c>
      <c r="BX829" s="440"/>
      <c r="BY829" s="16">
        <f>BY628</f>
        <v>223</v>
      </c>
      <c r="BZ829" s="440"/>
      <c r="CA829" s="16">
        <f>CA628</f>
        <v>216</v>
      </c>
      <c r="CB829" s="440"/>
      <c r="CC829" s="16">
        <f>CC628</f>
        <v>164</v>
      </c>
      <c r="CD829" s="440"/>
      <c r="CE829" s="16">
        <f>CE628</f>
        <v>292</v>
      </c>
      <c r="CF829" s="440"/>
      <c r="CG829" s="16">
        <f>CG628</f>
        <v>240</v>
      </c>
      <c r="CH829" s="440"/>
      <c r="CI829" s="16">
        <f>CI628</f>
        <v>187</v>
      </c>
      <c r="CJ829" s="440"/>
      <c r="CK829" s="16">
        <f>CK628</f>
        <v>412</v>
      </c>
      <c r="CL829" s="440"/>
      <c r="CM829" s="16">
        <f>CM628</f>
        <v>659</v>
      </c>
      <c r="CN829" s="440"/>
      <c r="CO829" s="16">
        <f>CO628</f>
        <v>684</v>
      </c>
      <c r="CP829" s="440"/>
      <c r="CQ829" s="535">
        <f>CQ628</f>
        <v>806</v>
      </c>
      <c r="CR829" s="440"/>
      <c r="CS829" s="16">
        <f>CS628</f>
        <v>830</v>
      </c>
      <c r="CT829" s="440"/>
      <c r="CU829" s="16">
        <f>CU628</f>
        <v>1006</v>
      </c>
      <c r="CV829" s="440"/>
      <c r="CW829" s="16">
        <f>CW628</f>
        <v>974</v>
      </c>
      <c r="CX829" s="440"/>
      <c r="CY829" s="16">
        <f>CY628</f>
        <v>943</v>
      </c>
      <c r="CZ829" s="440"/>
      <c r="DA829" s="16">
        <f>DA628</f>
        <v>825</v>
      </c>
      <c r="DB829" s="440"/>
      <c r="DC829" s="16">
        <f>DC628</f>
        <v>995</v>
      </c>
      <c r="DD829" s="440"/>
      <c r="DE829" s="16">
        <f>DE628</f>
        <v>1000</v>
      </c>
      <c r="DF829" s="440"/>
      <c r="DG829" s="16">
        <f>DG628</f>
        <v>884</v>
      </c>
      <c r="DH829" s="440"/>
      <c r="DI829" s="16">
        <f>DI628</f>
        <v>930</v>
      </c>
      <c r="DJ829" s="440"/>
      <c r="DK829" s="16">
        <f>DK628</f>
        <v>946</v>
      </c>
      <c r="DL829" s="440"/>
      <c r="DM829" s="16">
        <f>DM628</f>
        <v>894</v>
      </c>
      <c r="DN829" s="440"/>
      <c r="DO829" s="16">
        <f>DO628</f>
        <v>1038</v>
      </c>
      <c r="DP829" s="440"/>
      <c r="DQ829" s="16">
        <f>DQ628</f>
        <v>931</v>
      </c>
      <c r="DR829" s="440"/>
      <c r="DS829" s="16">
        <f>DS628</f>
        <v>1282</v>
      </c>
      <c r="DT829" s="440"/>
      <c r="DU829" s="16">
        <f>DU628</f>
        <v>1298</v>
      </c>
      <c r="DV829" s="440"/>
      <c r="DW829" s="16">
        <f>DW628</f>
        <v>1152</v>
      </c>
      <c r="DX829" s="440"/>
      <c r="DY829" s="16">
        <f>DY628</f>
        <v>1057</v>
      </c>
      <c r="DZ829" s="440"/>
      <c r="EA829" s="16">
        <f>EA628</f>
        <v>1105</v>
      </c>
      <c r="EB829" s="440"/>
      <c r="EC829" s="16">
        <f>EC628</f>
        <v>1025</v>
      </c>
      <c r="ED829" s="440"/>
      <c r="EE829" s="16">
        <f>EE628</f>
        <v>1405.2</v>
      </c>
      <c r="EF829" s="1080"/>
      <c r="EG829" s="16">
        <f>EG628</f>
        <v>1148</v>
      </c>
      <c r="EH829" s="1080"/>
      <c r="EI829" s="16">
        <f>EI628</f>
        <v>1282</v>
      </c>
      <c r="EJ829" s="1080"/>
      <c r="EK829" s="16">
        <f>EK628</f>
        <v>1158</v>
      </c>
      <c r="EL829" s="1080"/>
      <c r="EM829" s="16">
        <f>EM628</f>
        <v>1129</v>
      </c>
      <c r="EN829" s="1080"/>
      <c r="EO829" s="16">
        <f>EO628</f>
        <v>1141</v>
      </c>
      <c r="EP829" s="440"/>
      <c r="EQ829" s="1079">
        <f>EQ628</f>
        <v>1227.8759053276194</v>
      </c>
      <c r="ER829" s="440"/>
      <c r="ES829" s="1079">
        <f t="shared" ref="ES829" si="4929">ES628</f>
        <v>1227.0519622517065</v>
      </c>
      <c r="ET829" s="440"/>
      <c r="EU829" s="1079">
        <f t="shared" ref="EU829" si="4930">EU628</f>
        <v>1240.6753955390393</v>
      </c>
      <c r="EV829" s="440"/>
      <c r="EW829" s="1079">
        <f t="shared" ref="EW829" si="4931">EW628</f>
        <v>1252.7110350702385</v>
      </c>
      <c r="EX829" s="440"/>
      <c r="EY829" s="16"/>
      <c r="EZ829" s="607"/>
      <c r="FA829" s="427"/>
      <c r="FB829" s="16"/>
      <c r="FC829" s="16"/>
      <c r="FD829" s="16">
        <f>FD628</f>
        <v>726</v>
      </c>
      <c r="FE829" s="440"/>
      <c r="FF829" s="16">
        <f>FF628</f>
        <v>1546</v>
      </c>
      <c r="FG829" s="440"/>
      <c r="FH829" s="16">
        <f>FH628</f>
        <v>906</v>
      </c>
      <c r="FI829" s="440"/>
      <c r="FJ829" s="16">
        <f>FJ628</f>
        <v>1744</v>
      </c>
      <c r="FK829" s="440"/>
      <c r="FL829" s="16">
        <f>FL628</f>
        <v>2247</v>
      </c>
      <c r="FM829" s="440"/>
      <c r="FN829" s="16">
        <f>FN628</f>
        <v>2639</v>
      </c>
      <c r="FO829" s="440"/>
      <c r="FP829" s="16">
        <f>FP628</f>
        <v>2891</v>
      </c>
      <c r="FQ829" s="440"/>
      <c r="FR829" s="16">
        <f>FR628</f>
        <v>3794</v>
      </c>
      <c r="FS829" s="440"/>
      <c r="FT829" s="16">
        <f>FT628</f>
        <v>4287.3999999999996</v>
      </c>
      <c r="FU829" s="440"/>
      <c r="FV829" s="16">
        <f>FV628</f>
        <v>2908</v>
      </c>
      <c r="FW829" s="440"/>
      <c r="FX829" s="535">
        <f>FX628</f>
        <v>751</v>
      </c>
      <c r="FY829" s="440"/>
      <c r="FZ829" s="16">
        <f>FZ628</f>
        <v>1131</v>
      </c>
      <c r="GA829" s="440"/>
      <c r="GB829" s="535">
        <f>GB628</f>
        <v>3403</v>
      </c>
      <c r="GC829" s="440"/>
      <c r="GD829" s="16">
        <f>GD628</f>
        <v>3748</v>
      </c>
      <c r="GE829" s="440"/>
      <c r="GF829" s="16">
        <f>GF628</f>
        <v>5344</v>
      </c>
      <c r="GG829" s="440"/>
      <c r="GH829" s="16">
        <f>GH628</f>
        <v>5406</v>
      </c>
      <c r="GI829" s="440"/>
      <c r="GJ829" s="16">
        <f>GJ628</f>
        <v>4789</v>
      </c>
      <c r="GK829" s="440"/>
      <c r="GL829" s="16">
        <f>GL628</f>
        <v>4683.2</v>
      </c>
      <c r="GM829" s="98">
        <f t="shared" si="4921"/>
        <v>-2.2092294842347093</v>
      </c>
      <c r="GN829" s="16">
        <f>GN628</f>
        <v>4710</v>
      </c>
      <c r="GO829" s="98">
        <f t="shared" si="4921"/>
        <v>0.57225828493339126</v>
      </c>
      <c r="GP829" s="16">
        <f>GP628</f>
        <v>4948.314298188604</v>
      </c>
      <c r="GQ829" s="98">
        <f t="shared" si="4921"/>
        <v>5.059751553898173</v>
      </c>
      <c r="GR829" s="16">
        <f>GR628</f>
        <v>5136.7764122477884</v>
      </c>
      <c r="GS829" s="98">
        <f t="shared" si="4921"/>
        <v>3.808612442588255</v>
      </c>
      <c r="GT829" s="16">
        <f>GT628</f>
        <v>5337.7113438185688</v>
      </c>
      <c r="GU829" s="440"/>
      <c r="GV829" s="16">
        <f>GV628</f>
        <v>5496.0002922144995</v>
      </c>
      <c r="GW829" s="440"/>
      <c r="GX829" s="16">
        <f>GX628</f>
        <v>5606.6769994248834</v>
      </c>
      <c r="GY829" s="440"/>
      <c r="GZ829" s="455"/>
      <c r="HA829" s="455"/>
      <c r="HC829"/>
      <c r="HD829"/>
      <c r="HE829"/>
      <c r="HF829"/>
      <c r="HG829"/>
      <c r="HH829"/>
    </row>
    <row r="830" spans="1:217" s="2" customFormat="1" ht="12.75" hidden="1" customHeight="1" outlineLevel="1" x14ac:dyDescent="0.2">
      <c r="A830" s="351" t="s">
        <v>569</v>
      </c>
      <c r="B830" s="18" t="s">
        <v>136</v>
      </c>
      <c r="C830" s="431"/>
      <c r="D830" s="431"/>
      <c r="E830" s="431"/>
      <c r="F830" s="431"/>
      <c r="G830" s="431"/>
      <c r="H830" s="431"/>
      <c r="I830" s="431"/>
      <c r="J830" s="428"/>
      <c r="K830" s="431"/>
      <c r="L830" s="428"/>
      <c r="M830" s="431"/>
      <c r="N830" s="428"/>
      <c r="O830" s="432"/>
      <c r="P830" s="428"/>
      <c r="Q830" s="432"/>
      <c r="R830" s="428"/>
      <c r="S830" s="432">
        <f>S692</f>
        <v>0.54</v>
      </c>
      <c r="T830" s="428"/>
      <c r="U830" s="432">
        <f>U692</f>
        <v>0.69</v>
      </c>
      <c r="V830" s="428"/>
      <c r="W830" s="432">
        <f>W692</f>
        <v>0.69</v>
      </c>
      <c r="X830" s="428"/>
      <c r="Y830" s="432">
        <f>Y692</f>
        <v>0.47</v>
      </c>
      <c r="Z830" s="428"/>
      <c r="AA830" s="432">
        <f>AA692</f>
        <v>0.62</v>
      </c>
      <c r="AB830" s="428"/>
      <c r="AC830" s="432">
        <f>AC692</f>
        <v>0.84</v>
      </c>
      <c r="AD830" s="428"/>
      <c r="AE830" s="432">
        <f>AE692</f>
        <v>0.81</v>
      </c>
      <c r="AF830" s="428"/>
      <c r="AG830" s="432">
        <f>AG692</f>
        <v>0.74</v>
      </c>
      <c r="AH830" s="428"/>
      <c r="AI830" s="432">
        <f>AI692</f>
        <v>0.78</v>
      </c>
      <c r="AJ830" s="428"/>
      <c r="AK830" s="432">
        <f>AK692</f>
        <v>1.01</v>
      </c>
      <c r="AL830" s="428"/>
      <c r="AM830" s="432">
        <f>AM692</f>
        <v>0.82</v>
      </c>
      <c r="AN830" s="428"/>
      <c r="AO830" s="432">
        <f>AO692</f>
        <v>0.88</v>
      </c>
      <c r="AP830" s="428"/>
      <c r="AQ830" s="432">
        <f>AQ692</f>
        <v>1.0356354786371011</v>
      </c>
      <c r="AR830" s="428"/>
      <c r="AS830" s="432">
        <f>AS692</f>
        <v>0.9772171982236576</v>
      </c>
      <c r="AT830" s="428"/>
      <c r="AU830" s="432">
        <f>AU692</f>
        <v>0.83307792376739953</v>
      </c>
      <c r="AV830" s="428"/>
      <c r="AW830" s="432">
        <f>AW692</f>
        <v>0.98148244473342006</v>
      </c>
      <c r="AX830" s="428"/>
      <c r="AY830" s="433">
        <f>AY692</f>
        <v>1.1797606659729449</v>
      </c>
      <c r="AZ830" s="428"/>
      <c r="BA830" s="433">
        <f>BA692</f>
        <v>1.2053513443304327</v>
      </c>
      <c r="BB830" s="428"/>
      <c r="BC830" s="433">
        <f>BC692</f>
        <v>1.2149411916763604</v>
      </c>
      <c r="BD830" s="428"/>
      <c r="BE830" s="433">
        <f>BE692</f>
        <v>1.3180701073599792</v>
      </c>
      <c r="BF830" s="428"/>
      <c r="BG830" s="433">
        <f>BG692</f>
        <v>1.3171239110648809</v>
      </c>
      <c r="BH830" s="428"/>
      <c r="BI830" s="433">
        <f>BI692</f>
        <v>1.5309062336301729</v>
      </c>
      <c r="BJ830" s="428"/>
      <c r="BK830" s="433">
        <f>BK692</f>
        <v>1.3785236659236921</v>
      </c>
      <c r="BL830" s="428"/>
      <c r="BM830" s="433">
        <f>BM692</f>
        <v>1.3981090041108606</v>
      </c>
      <c r="BN830" s="428"/>
      <c r="BO830" s="433">
        <f>BO692</f>
        <v>1.409853964787771</v>
      </c>
      <c r="BP830" s="428"/>
      <c r="BQ830" s="433">
        <f>BQ692</f>
        <v>1.318651066758431</v>
      </c>
      <c r="BR830" s="428"/>
      <c r="BS830" s="433">
        <f>BS692</f>
        <v>1.0427844270188471</v>
      </c>
      <c r="BT830" s="428"/>
      <c r="BU830" s="433">
        <f>BU692</f>
        <v>0.20035282258064518</v>
      </c>
      <c r="BV830" s="428"/>
      <c r="BW830" s="433">
        <f>BW692</f>
        <v>0.1825357671435619</v>
      </c>
      <c r="BX830" s="428"/>
      <c r="BY830" s="433">
        <f>BY692</f>
        <v>0.27027027027027029</v>
      </c>
      <c r="BZ830" s="428"/>
      <c r="CA830" s="433">
        <f>CA692</f>
        <v>0.26109029372658044</v>
      </c>
      <c r="CB830" s="428"/>
      <c r="CC830" s="433">
        <f>CC692</f>
        <v>0.19806763285024154</v>
      </c>
      <c r="CD830" s="428"/>
      <c r="CE830" s="433">
        <f>CE692</f>
        <v>0.35240164132271301</v>
      </c>
      <c r="CF830" s="428"/>
      <c r="CG830" s="432">
        <f>CG692</f>
        <v>0.28898254063816975</v>
      </c>
      <c r="CH830" s="428"/>
      <c r="CI830" s="432">
        <f>CI692</f>
        <v>0.2117540482391575</v>
      </c>
      <c r="CJ830" s="428"/>
      <c r="CK830" s="432">
        <f>CK692</f>
        <v>0.40595132525371957</v>
      </c>
      <c r="CL830" s="428"/>
      <c r="CM830" s="432">
        <f>CM692</f>
        <v>0.6161757830762038</v>
      </c>
      <c r="CN830" s="428"/>
      <c r="CO830" s="432">
        <f>CO692</f>
        <v>0.6386554621848739</v>
      </c>
      <c r="CP830" s="428"/>
      <c r="CQ830" s="537">
        <f>CQ692</f>
        <v>0.75595573063215149</v>
      </c>
      <c r="CR830" s="428"/>
      <c r="CS830" s="432">
        <f>CS692</f>
        <v>0.77839257244677862</v>
      </c>
      <c r="CT830" s="428"/>
      <c r="CU830" s="432">
        <f>CU692</f>
        <v>0.9393967690727425</v>
      </c>
      <c r="CV830" s="428"/>
      <c r="CW830" s="432">
        <f>CW692</f>
        <v>0.91028037383177574</v>
      </c>
      <c r="CX830" s="428"/>
      <c r="CY830" s="432">
        <f>CY692</f>
        <v>0.88048552754435105</v>
      </c>
      <c r="CZ830" s="428"/>
      <c r="DA830" s="432">
        <f>DA692</f>
        <v>0.75170842824601369</v>
      </c>
      <c r="DB830" s="428"/>
      <c r="DC830" s="432">
        <f>DC692</f>
        <v>0.90134975994202371</v>
      </c>
      <c r="DD830" s="428"/>
      <c r="DE830" s="432">
        <f>DE692</f>
        <v>0.90358724134815216</v>
      </c>
      <c r="DF830" s="428"/>
      <c r="DG830" s="432">
        <f>DG692</f>
        <v>0.79119305468540213</v>
      </c>
      <c r="DH830" s="428"/>
      <c r="DI830" s="432">
        <f>DI692</f>
        <v>0.8171513926719971</v>
      </c>
      <c r="DJ830" s="428"/>
      <c r="DK830" s="432">
        <f>DK692</f>
        <v>0.82946076282332315</v>
      </c>
      <c r="DL830" s="428"/>
      <c r="DM830" s="432">
        <f>DM692</f>
        <v>0.78263153287227527</v>
      </c>
      <c r="DN830" s="428"/>
      <c r="DO830" s="432">
        <f>DO692</f>
        <v>0.90972830850131459</v>
      </c>
      <c r="DP830" s="428"/>
      <c r="DQ830" s="432">
        <f>DQ692</f>
        <v>0.81147040878584509</v>
      </c>
      <c r="DR830" s="428"/>
      <c r="DS830" s="432">
        <f>DS692</f>
        <v>1.1269589716499384</v>
      </c>
      <c r="DT830" s="428"/>
      <c r="DU830" s="432">
        <f>DU692</f>
        <v>1.1503013115916343</v>
      </c>
      <c r="DV830" s="428"/>
      <c r="DW830" s="432">
        <f>DW692</f>
        <v>1.0195592530312416</v>
      </c>
      <c r="DX830" s="428"/>
      <c r="DY830" s="432">
        <f>DY692</f>
        <v>0.94257178526841445</v>
      </c>
      <c r="DZ830" s="428"/>
      <c r="EA830" s="432">
        <f>EA692</f>
        <v>0.99675266101389148</v>
      </c>
      <c r="EB830" s="428"/>
      <c r="EC830" s="432">
        <f>EC692</f>
        <v>0.9241727526823551</v>
      </c>
      <c r="ED830" s="428"/>
      <c r="EE830" s="432">
        <f>EE692</f>
        <v>1.2667447940142433</v>
      </c>
      <c r="EF830" s="1086"/>
      <c r="EG830" s="432">
        <f>EG692</f>
        <v>1.0353535353535355</v>
      </c>
      <c r="EH830" s="1086"/>
      <c r="EI830" s="432">
        <f>EI692</f>
        <v>1.166833530536088</v>
      </c>
      <c r="EJ830" s="1086"/>
      <c r="EK830" s="432">
        <f>EK692</f>
        <v>1.0701413917382867</v>
      </c>
      <c r="EL830" s="1086"/>
      <c r="EM830" s="432">
        <f>EM692</f>
        <v>1.0536630891273915</v>
      </c>
      <c r="EN830" s="1086"/>
      <c r="EO830" s="432">
        <f>EO692</f>
        <v>1.0742867903210622</v>
      </c>
      <c r="EP830" s="428"/>
      <c r="EQ830" s="806">
        <f>EQ692</f>
        <v>1.175646973242267</v>
      </c>
      <c r="ER830" s="428"/>
      <c r="ES830" s="806">
        <f t="shared" ref="ES830" si="4932">ES692</f>
        <v>1.1948101956024264</v>
      </c>
      <c r="ET830" s="428"/>
      <c r="EU830" s="806">
        <f t="shared" ref="EU830" si="4933">EU692</f>
        <v>1.227460917453878</v>
      </c>
      <c r="EV830" s="428"/>
      <c r="EW830" s="806">
        <f t="shared" ref="EW830" si="4934">EW692</f>
        <v>1.2580567406871328</v>
      </c>
      <c r="EX830" s="428"/>
      <c r="EY830" s="432"/>
      <c r="EZ830" s="610"/>
      <c r="FA830" s="424"/>
      <c r="FB830" s="432"/>
      <c r="FC830" s="431"/>
      <c r="FD830" s="432">
        <f>FD692</f>
        <v>0</v>
      </c>
      <c r="FE830" s="428"/>
      <c r="FF830" s="432">
        <f>FF692</f>
        <v>0</v>
      </c>
      <c r="FG830" s="428"/>
      <c r="FH830" s="432">
        <f>FH692</f>
        <v>0</v>
      </c>
      <c r="FI830" s="428"/>
      <c r="FJ830" s="432">
        <f>FJ692</f>
        <v>0</v>
      </c>
      <c r="FK830" s="428"/>
      <c r="FL830" s="432">
        <f>FL692</f>
        <v>0</v>
      </c>
      <c r="FM830" s="428"/>
      <c r="FN830" s="432">
        <f>FN692</f>
        <v>3.4899999999999998</v>
      </c>
      <c r="FO830" s="428"/>
      <c r="FP830" s="432">
        <f>FP692</f>
        <v>3.8274130453615784</v>
      </c>
      <c r="FQ830" s="428"/>
      <c r="FR830" s="432">
        <f>FR692</f>
        <v>4.9184897099335609</v>
      </c>
      <c r="FS830" s="428"/>
      <c r="FT830" s="432">
        <f>FT692</f>
        <v>5.6246628147296072</v>
      </c>
      <c r="FU830" s="428"/>
      <c r="FV830" s="432">
        <f>FV692</f>
        <v>3.9047970727449735</v>
      </c>
      <c r="FW830" s="428"/>
      <c r="FX830" s="537">
        <f>FX692</f>
        <v>0.91273699562469623</v>
      </c>
      <c r="FY830" s="428"/>
      <c r="FZ830" s="432">
        <f>FZ692</f>
        <v>1.2718225520789406</v>
      </c>
      <c r="GA830" s="428"/>
      <c r="GB830" s="537">
        <f>GB692</f>
        <v>3.1855838989000702</v>
      </c>
      <c r="GC830" s="428"/>
      <c r="GD830" s="432">
        <f>GD692</f>
        <v>3.4789065763215299</v>
      </c>
      <c r="GE830" s="428"/>
      <c r="GF830" s="432">
        <f>GF692</f>
        <v>4.7863860277653378</v>
      </c>
      <c r="GG830" s="428"/>
      <c r="GH830" s="432">
        <f>GH692</f>
        <v>4.7305900111570516</v>
      </c>
      <c r="GI830" s="428"/>
      <c r="GJ830" s="432">
        <f>GJ692</f>
        <v>4.2422766028125345</v>
      </c>
      <c r="GK830" s="428"/>
      <c r="GL830" s="432">
        <f>GL692</f>
        <v>4.2230939176698685</v>
      </c>
      <c r="GM830" s="98">
        <f t="shared" si="4921"/>
        <v>-0.45217902882495054</v>
      </c>
      <c r="GN830" s="432">
        <f>GN692</f>
        <v>4.3667717411459304</v>
      </c>
      <c r="GO830" s="98">
        <f t="shared" si="4921"/>
        <v>3.4021934220998196</v>
      </c>
      <c r="GP830" s="432">
        <f>GP692</f>
        <v>4.8537545892026177</v>
      </c>
      <c r="GQ830" s="98">
        <f t="shared" si="4921"/>
        <v>11.152010613884134</v>
      </c>
      <c r="GR830" s="432">
        <f>GR692</f>
        <v>5.3505339451739911</v>
      </c>
      <c r="GS830" s="98">
        <f t="shared" si="4921"/>
        <v>10.234950013263555</v>
      </c>
      <c r="GT830" s="432">
        <f>GT692</f>
        <v>5.8484909473717046</v>
      </c>
      <c r="GU830" s="428"/>
      <c r="GV830" s="432">
        <f>GV692</f>
        <v>6.4018315140999009</v>
      </c>
      <c r="GW830" s="428"/>
      <c r="GX830" s="432">
        <f>GX692</f>
        <v>6.9019374914110392</v>
      </c>
      <c r="GY830" s="428"/>
      <c r="GZ830" s="428"/>
      <c r="HA830" s="428"/>
      <c r="HB830" s="10"/>
      <c r="HC830"/>
      <c r="HD830"/>
      <c r="HE830"/>
      <c r="HF830"/>
      <c r="HG830"/>
      <c r="HH830"/>
      <c r="HI830" s="10"/>
    </row>
    <row r="831" spans="1:217" s="2" customFormat="1" ht="12.75" hidden="1" customHeight="1" outlineLevel="1" x14ac:dyDescent="0.2">
      <c r="A831" s="351"/>
      <c r="B831" s="18"/>
      <c r="D831" s="11"/>
      <c r="F831" s="11"/>
      <c r="H831" s="11"/>
      <c r="J831" s="36"/>
      <c r="L831" s="36"/>
      <c r="N831" s="36"/>
      <c r="P831" s="36"/>
      <c r="R831" s="36"/>
      <c r="S831" s="250"/>
      <c r="T831" s="36"/>
      <c r="U831" s="250"/>
      <c r="V831" s="36"/>
      <c r="W831" s="250"/>
      <c r="X831" s="36"/>
      <c r="Z831" s="36"/>
      <c r="AA831" s="250"/>
      <c r="AB831" s="36"/>
      <c r="AC831" s="250"/>
      <c r="AD831" s="36"/>
      <c r="AE831" s="250"/>
      <c r="AF831" s="36"/>
      <c r="AG831" s="250"/>
      <c r="AH831" s="36"/>
      <c r="AI831" s="398"/>
      <c r="AJ831" s="36"/>
      <c r="AK831" s="398"/>
      <c r="AL831" s="36"/>
      <c r="AM831" s="398"/>
      <c r="AN831" s="36"/>
      <c r="AO831" s="398"/>
      <c r="AP831" s="36"/>
      <c r="AQ831" s="277"/>
      <c r="AR831" s="36"/>
      <c r="AS831" s="398"/>
      <c r="AT831" s="36"/>
      <c r="AU831" s="398"/>
      <c r="AV831" s="36"/>
      <c r="AW831" s="398"/>
      <c r="AX831" s="36"/>
      <c r="AY831" s="31"/>
      <c r="AZ831" s="36"/>
      <c r="BA831" s="24"/>
      <c r="BB831" s="36"/>
      <c r="BC831" s="24"/>
      <c r="BD831" s="36"/>
      <c r="BE831" s="24"/>
      <c r="BF831" s="36"/>
      <c r="BG831" s="24"/>
      <c r="BH831" s="36"/>
      <c r="BI831" s="24"/>
      <c r="BJ831" s="36"/>
      <c r="BK831" s="24"/>
      <c r="BL831" s="36"/>
      <c r="BM831" s="24"/>
      <c r="BN831" s="36"/>
      <c r="BO831" s="24"/>
      <c r="BP831" s="36"/>
      <c r="BQ831" s="24"/>
      <c r="BR831" s="36"/>
      <c r="BS831" s="24"/>
      <c r="BT831" s="36"/>
      <c r="BU831" s="24"/>
      <c r="BV831" s="36"/>
      <c r="BW831" s="24"/>
      <c r="BX831" s="36"/>
      <c r="BY831" s="24"/>
      <c r="BZ831" s="36"/>
      <c r="CA831" s="24"/>
      <c r="CB831" s="36"/>
      <c r="CC831" s="24"/>
      <c r="CD831" s="36"/>
      <c r="CE831" s="24"/>
      <c r="CF831" s="36"/>
      <c r="CG831" s="250"/>
      <c r="CH831" s="36"/>
      <c r="CI831" s="250"/>
      <c r="CJ831" s="36"/>
      <c r="CK831" s="250"/>
      <c r="CL831" s="36"/>
      <c r="CM831" s="250"/>
      <c r="CN831" s="36"/>
      <c r="CO831" s="250"/>
      <c r="CP831" s="36"/>
      <c r="CQ831" s="514"/>
      <c r="CR831" s="36"/>
      <c r="CS831" s="400"/>
      <c r="CT831" s="36"/>
      <c r="CU831" s="400"/>
      <c r="CV831" s="36"/>
      <c r="CW831" s="400"/>
      <c r="CX831" s="36"/>
      <c r="CY831" s="400"/>
      <c r="CZ831" s="36"/>
      <c r="DA831" s="400"/>
      <c r="DB831" s="36"/>
      <c r="DC831" s="400"/>
      <c r="DD831" s="36"/>
      <c r="DE831" s="400"/>
      <c r="DF831" s="36"/>
      <c r="DG831" s="400"/>
      <c r="DH831" s="36"/>
      <c r="DI831" s="400"/>
      <c r="DJ831" s="36"/>
      <c r="DK831" s="400"/>
      <c r="DL831" s="36"/>
      <c r="DM831" s="400"/>
      <c r="DN831" s="36"/>
      <c r="DO831" s="400"/>
      <c r="DP831" s="36"/>
      <c r="DQ831" s="400"/>
      <c r="DR831" s="36"/>
      <c r="DS831" s="400"/>
      <c r="DT831" s="36"/>
      <c r="DU831" s="400"/>
      <c r="DV831" s="36"/>
      <c r="DW831" s="400"/>
      <c r="DX831" s="36"/>
      <c r="DY831" s="400"/>
      <c r="DZ831" s="36"/>
      <c r="EA831" s="400"/>
      <c r="EB831" s="36"/>
      <c r="EC831" s="400"/>
      <c r="ED831" s="36"/>
      <c r="EE831" s="400"/>
      <c r="EF831" s="768"/>
      <c r="EG831" s="400"/>
      <c r="EH831" s="768"/>
      <c r="EI831" s="400"/>
      <c r="EJ831" s="768"/>
      <c r="EK831" s="400"/>
      <c r="EL831" s="768"/>
      <c r="EM831" s="400"/>
      <c r="EN831" s="768"/>
      <c r="EO831" s="400"/>
      <c r="EP831" s="36"/>
      <c r="EQ831" s="1087"/>
      <c r="ER831" s="36"/>
      <c r="ES831" s="1087"/>
      <c r="ET831" s="36"/>
      <c r="EU831" s="1087"/>
      <c r="EV831" s="36"/>
      <c r="EW831" s="1087"/>
      <c r="EX831" s="36"/>
      <c r="EY831" s="400"/>
      <c r="EZ831" s="588"/>
      <c r="FA831" s="10"/>
      <c r="FC831" s="11"/>
      <c r="FE831" s="36"/>
      <c r="FF831" s="250"/>
      <c r="FG831" s="36"/>
      <c r="FH831" s="250"/>
      <c r="FI831" s="36"/>
      <c r="FJ831" s="250"/>
      <c r="FK831" s="36"/>
      <c r="FL831" s="250"/>
      <c r="FM831" s="36"/>
      <c r="FN831" s="250"/>
      <c r="FO831" s="36"/>
      <c r="FP831" s="250"/>
      <c r="FQ831" s="36"/>
      <c r="FR831" s="250"/>
      <c r="FS831" s="36"/>
      <c r="FT831" s="250"/>
      <c r="FU831" s="36"/>
      <c r="FV831" s="250"/>
      <c r="FW831" s="36"/>
      <c r="FX831" s="514"/>
      <c r="FY831" s="36"/>
      <c r="FZ831" s="250"/>
      <c r="GA831" s="36"/>
      <c r="GB831" s="514"/>
      <c r="GC831" s="36"/>
      <c r="GD831" s="250"/>
      <c r="GE831" s="36"/>
      <c r="GF831" s="250"/>
      <c r="GG831" s="36"/>
      <c r="GH831" s="250"/>
      <c r="GI831" s="36"/>
      <c r="GJ831" s="250"/>
      <c r="GK831" s="36"/>
      <c r="GL831" s="250"/>
      <c r="GM831" s="36"/>
      <c r="GN831" s="250"/>
      <c r="GO831" s="36"/>
      <c r="GP831" s="250"/>
      <c r="GQ831" s="36"/>
      <c r="GR831" s="250"/>
      <c r="GS831" s="36"/>
      <c r="GT831" s="250"/>
      <c r="GU831" s="36"/>
      <c r="GV831" s="250"/>
      <c r="GW831" s="36"/>
      <c r="GX831" s="250"/>
      <c r="GY831" s="36"/>
      <c r="GZ831" s="36"/>
      <c r="HA831" s="36"/>
      <c r="HB831" s="10"/>
      <c r="HC831"/>
      <c r="HD831"/>
      <c r="HE831"/>
      <c r="HF831"/>
      <c r="HG831"/>
      <c r="HH831"/>
      <c r="HI831" s="10"/>
    </row>
    <row r="832" spans="1:217" s="2" customFormat="1" ht="12.75" hidden="1" customHeight="1" outlineLevel="1" x14ac:dyDescent="0.2">
      <c r="A832" s="28"/>
      <c r="D832" s="11"/>
      <c r="F832" s="11"/>
      <c r="H832" s="11"/>
      <c r="J832" s="11"/>
      <c r="L832" s="442"/>
      <c r="N832" s="442"/>
      <c r="P832" s="442"/>
      <c r="R832" s="442"/>
      <c r="S832" s="250"/>
      <c r="T832" s="442"/>
      <c r="U832" s="250"/>
      <c r="V832" s="442"/>
      <c r="W832" s="250"/>
      <c r="X832" s="442"/>
      <c r="Z832" s="442"/>
      <c r="AA832" s="250"/>
      <c r="AB832" s="442"/>
      <c r="AC832" s="250"/>
      <c r="AD832" s="442"/>
      <c r="AE832" s="250"/>
      <c r="AF832" s="442"/>
      <c r="AG832" s="250"/>
      <c r="AH832" s="442"/>
      <c r="AI832" s="398"/>
      <c r="AJ832" s="442"/>
      <c r="AK832" s="398"/>
      <c r="AL832" s="442"/>
      <c r="AM832" s="398"/>
      <c r="AN832" s="442"/>
      <c r="AO832" s="398"/>
      <c r="AP832" s="442"/>
      <c r="AQ832" s="398"/>
      <c r="AR832" s="442"/>
      <c r="AS832" s="398"/>
      <c r="AT832" s="442"/>
      <c r="AU832" s="398"/>
      <c r="AV832" s="442"/>
      <c r="AW832" s="398"/>
      <c r="AX832" s="442"/>
      <c r="AY832" s="31"/>
      <c r="AZ832" s="442"/>
      <c r="BA832" s="31"/>
      <c r="BB832" s="442"/>
      <c r="BC832" s="31"/>
      <c r="BD832" s="442"/>
      <c r="BE832" s="31"/>
      <c r="BF832" s="442"/>
      <c r="BG832" s="31"/>
      <c r="BH832" s="442"/>
      <c r="BI832" s="31"/>
      <c r="BJ832" s="442"/>
      <c r="BK832" s="31"/>
      <c r="BL832" s="14"/>
      <c r="BM832" s="31"/>
      <c r="BN832" s="442"/>
      <c r="BO832" s="31"/>
      <c r="BP832" s="442"/>
      <c r="BQ832" s="31"/>
      <c r="BR832" s="442"/>
      <c r="BS832" s="31"/>
      <c r="BT832" s="442"/>
      <c r="BU832" s="31"/>
      <c r="BV832" s="442"/>
      <c r="BW832" s="31"/>
      <c r="BX832" s="442"/>
      <c r="BY832" s="31"/>
      <c r="BZ832" s="442"/>
      <c r="CA832" s="31"/>
      <c r="CB832" s="442"/>
      <c r="CC832" s="31"/>
      <c r="CD832" s="442"/>
      <c r="CE832" s="31"/>
      <c r="CF832" s="442"/>
      <c r="CG832" s="250"/>
      <c r="CH832" s="442"/>
      <c r="CI832" s="250"/>
      <c r="CJ832" s="442"/>
      <c r="CK832" s="250"/>
      <c r="CL832" s="442"/>
      <c r="CM832" s="250"/>
      <c r="CN832" s="442"/>
      <c r="CO832" s="250"/>
      <c r="CP832" s="442"/>
      <c r="CQ832" s="514"/>
      <c r="CR832" s="442"/>
      <c r="CS832" s="250"/>
      <c r="CT832" s="442"/>
      <c r="CU832" s="250"/>
      <c r="CV832" s="442"/>
      <c r="CW832" s="250"/>
      <c r="CX832" s="442"/>
      <c r="CY832" s="250"/>
      <c r="CZ832" s="442"/>
      <c r="DA832" s="250"/>
      <c r="DB832" s="442"/>
      <c r="DC832" s="250"/>
      <c r="DD832" s="442"/>
      <c r="DE832" s="250"/>
      <c r="DF832" s="442"/>
      <c r="DG832" s="250"/>
      <c r="DH832" s="442"/>
      <c r="DI832" s="250"/>
      <c r="DJ832" s="442"/>
      <c r="DK832" s="250"/>
      <c r="DL832" s="442"/>
      <c r="DM832" s="250"/>
      <c r="DN832" s="442"/>
      <c r="DO832" s="250"/>
      <c r="DP832" s="442"/>
      <c r="DQ832" s="250"/>
      <c r="DR832" s="442"/>
      <c r="DS832" s="250"/>
      <c r="DT832" s="442"/>
      <c r="DU832" s="250"/>
      <c r="DV832" s="442"/>
      <c r="DW832" s="250"/>
      <c r="DX832" s="442"/>
      <c r="DY832" s="250"/>
      <c r="DZ832" s="442"/>
      <c r="EA832" s="250"/>
      <c r="EB832" s="442"/>
      <c r="EC832" s="250"/>
      <c r="ED832" s="442"/>
      <c r="EE832" s="250"/>
      <c r="EF832" s="1083"/>
      <c r="EG832" s="250"/>
      <c r="EH832" s="1083"/>
      <c r="EI832" s="250"/>
      <c r="EJ832" s="1083"/>
      <c r="EK832" s="250"/>
      <c r="EL832" s="1083"/>
      <c r="EM832" s="250"/>
      <c r="EN832" s="1083"/>
      <c r="EO832" s="250"/>
      <c r="EP832" s="442"/>
      <c r="EQ832" s="1009"/>
      <c r="ER832" s="442"/>
      <c r="ES832" s="1009"/>
      <c r="ET832" s="442"/>
      <c r="EU832" s="1009"/>
      <c r="EV832" s="442"/>
      <c r="EW832" s="1009"/>
      <c r="EX832" s="442"/>
      <c r="EY832" s="250"/>
      <c r="EZ832" s="588"/>
      <c r="FA832" s="10"/>
      <c r="FC832" s="11"/>
      <c r="FE832" s="442"/>
      <c r="FF832" s="250"/>
      <c r="FG832" s="442"/>
      <c r="FH832" s="250"/>
      <c r="FI832" s="442"/>
      <c r="FJ832" s="250"/>
      <c r="FK832" s="442"/>
      <c r="FL832" s="250"/>
      <c r="FM832" s="442"/>
      <c r="FN832" s="250"/>
      <c r="FO832" s="442"/>
      <c r="FP832" s="250"/>
      <c r="FQ832" s="442"/>
      <c r="FR832" s="250"/>
      <c r="FS832" s="442"/>
      <c r="FT832" s="250"/>
      <c r="FU832" s="442"/>
      <c r="FV832" s="250"/>
      <c r="FW832" s="442"/>
      <c r="FX832" s="514"/>
      <c r="FY832" s="442"/>
      <c r="FZ832" s="250"/>
      <c r="GA832" s="442"/>
      <c r="GB832" s="514"/>
      <c r="GC832" s="442"/>
      <c r="GD832" s="250"/>
      <c r="GE832" s="442"/>
      <c r="GF832" s="250"/>
      <c r="GG832" s="442"/>
      <c r="GH832" s="250"/>
      <c r="GI832" s="442"/>
      <c r="GJ832" s="250"/>
      <c r="GK832" s="442"/>
      <c r="GL832" s="250"/>
      <c r="GM832" s="442"/>
      <c r="GN832" s="250"/>
      <c r="GO832" s="442"/>
      <c r="GP832" s="250"/>
      <c r="GQ832" s="442"/>
      <c r="GR832" s="250"/>
      <c r="GS832" s="442"/>
      <c r="GT832" s="250"/>
      <c r="GU832" s="442"/>
      <c r="GV832" s="250"/>
      <c r="GW832" s="442"/>
      <c r="GX832" s="250"/>
      <c r="GY832" s="442"/>
      <c r="GZ832" s="442"/>
      <c r="HA832" s="442"/>
      <c r="HB832" s="10"/>
      <c r="HC832"/>
      <c r="HD832"/>
      <c r="HE832"/>
      <c r="HF832"/>
      <c r="HG832"/>
      <c r="HH832"/>
      <c r="HI832" s="10"/>
    </row>
    <row r="833" spans="1:217" s="10" customFormat="1" ht="12.75" hidden="1" customHeight="1" outlineLevel="1" x14ac:dyDescent="0.2">
      <c r="A833" s="28"/>
      <c r="B833" s="10" t="s">
        <v>499</v>
      </c>
      <c r="C833" s="16"/>
      <c r="D833" s="16"/>
      <c r="E833" s="16"/>
      <c r="F833" s="16"/>
      <c r="G833" s="16"/>
      <c r="H833" s="16"/>
      <c r="I833" s="16"/>
      <c r="J833" s="16"/>
      <c r="K833" s="16"/>
      <c r="L833" s="440"/>
      <c r="M833" s="16"/>
      <c r="N833" s="440"/>
      <c r="O833" s="16"/>
      <c r="P833" s="440"/>
      <c r="Q833" s="16"/>
      <c r="R833" s="440"/>
      <c r="S833" s="16"/>
      <c r="T833" s="440"/>
      <c r="U833" s="16"/>
      <c r="V833" s="440"/>
      <c r="W833" s="16"/>
      <c r="X833" s="440"/>
      <c r="Y833" s="16"/>
      <c r="Z833" s="440"/>
      <c r="AA833" s="16"/>
      <c r="AB833" s="440"/>
      <c r="AC833" s="16"/>
      <c r="AD833" s="440"/>
      <c r="AE833" s="16"/>
      <c r="AF833" s="440"/>
      <c r="AG833" s="16"/>
      <c r="AH833" s="440"/>
      <c r="AI833" s="16"/>
      <c r="AJ833" s="440"/>
      <c r="AK833" s="16"/>
      <c r="AL833" s="440"/>
      <c r="AM833" s="16"/>
      <c r="AN833" s="440"/>
      <c r="AO833" s="16"/>
      <c r="AP833" s="440"/>
      <c r="AQ833" s="16"/>
      <c r="AR833" s="440"/>
      <c r="AS833" s="16"/>
      <c r="AT833" s="440"/>
      <c r="AU833" s="16"/>
      <c r="AV833" s="440"/>
      <c r="AW833" s="16"/>
      <c r="AX833" s="440"/>
      <c r="AY833" s="16"/>
      <c r="AZ833" s="440"/>
      <c r="BA833" s="16"/>
      <c r="BB833" s="440"/>
      <c r="BC833" s="16"/>
      <c r="BD833" s="440"/>
      <c r="BE833" s="16"/>
      <c r="BF833" s="440"/>
      <c r="BG833" s="16"/>
      <c r="BH833" s="440"/>
      <c r="BI833" s="16"/>
      <c r="BJ833" s="440"/>
      <c r="BK833" s="16"/>
      <c r="BL833" s="440"/>
      <c r="BM833" s="16"/>
      <c r="BN833" s="440"/>
      <c r="BO833" s="16"/>
      <c r="BP833" s="440"/>
      <c r="BQ833" s="16"/>
      <c r="BR833" s="440"/>
      <c r="BS833" s="16"/>
      <c r="BT833" s="440"/>
      <c r="BU833" s="16"/>
      <c r="BV833" s="440"/>
      <c r="BW833" s="16"/>
      <c r="BX833" s="440"/>
      <c r="BY833" s="16"/>
      <c r="BZ833" s="440"/>
      <c r="CA833" s="16"/>
      <c r="CB833" s="440"/>
      <c r="CC833" s="16"/>
      <c r="CD833" s="440"/>
      <c r="CE833" s="16"/>
      <c r="CF833" s="440"/>
      <c r="CG833" s="16"/>
      <c r="CH833" s="440"/>
      <c r="CI833" s="16"/>
      <c r="CJ833" s="440"/>
      <c r="CK833" s="16"/>
      <c r="CL833" s="440"/>
      <c r="CM833" s="16"/>
      <c r="CN833" s="440"/>
      <c r="CO833" s="16"/>
      <c r="CP833" s="440"/>
      <c r="CQ833" s="535"/>
      <c r="CR833" s="440"/>
      <c r="CS833" s="16"/>
      <c r="CT833" s="440"/>
      <c r="CU833" s="16"/>
      <c r="CV833" s="440"/>
      <c r="CW833" s="16"/>
      <c r="CX833" s="440"/>
      <c r="CY833" s="16"/>
      <c r="CZ833" s="440"/>
      <c r="DA833" s="16"/>
      <c r="DB833" s="440"/>
      <c r="DC833" s="16"/>
      <c r="DD833" s="440"/>
      <c r="DE833" s="16"/>
      <c r="DF833" s="440"/>
      <c r="DG833" s="16"/>
      <c r="DH833" s="440"/>
      <c r="DI833" s="16"/>
      <c r="DJ833" s="440"/>
      <c r="DK833" s="16"/>
      <c r="DL833" s="440"/>
      <c r="DM833" s="16"/>
      <c r="DN833" s="440"/>
      <c r="DO833" s="16"/>
      <c r="DP833" s="440"/>
      <c r="DQ833" s="16"/>
      <c r="DR833" s="440"/>
      <c r="DS833" s="16"/>
      <c r="DT833" s="440"/>
      <c r="DU833" s="16"/>
      <c r="DV833" s="440"/>
      <c r="DW833" s="16"/>
      <c r="DX833" s="440"/>
      <c r="DY833" s="16"/>
      <c r="DZ833" s="440"/>
      <c r="EA833" s="16"/>
      <c r="EB833" s="440"/>
      <c r="EC833" s="16"/>
      <c r="ED833" s="440"/>
      <c r="EE833" s="16"/>
      <c r="EF833" s="1080"/>
      <c r="EG833" s="16"/>
      <c r="EH833" s="1080"/>
      <c r="EI833" s="16"/>
      <c r="EJ833" s="1080"/>
      <c r="EK833" s="16"/>
      <c r="EL833" s="1080"/>
      <c r="EM833" s="16"/>
      <c r="EN833" s="1080"/>
      <c r="EO833" s="16"/>
      <c r="EP833" s="440"/>
      <c r="EQ833" s="1079"/>
      <c r="ER833" s="440"/>
      <c r="ES833" s="1079"/>
      <c r="ET833" s="440"/>
      <c r="EU833" s="1079"/>
      <c r="EV833" s="440"/>
      <c r="EW833" s="1079"/>
      <c r="EX833" s="440"/>
      <c r="EY833" s="16"/>
      <c r="EZ833" s="607"/>
      <c r="FA833" s="427"/>
      <c r="FB833" s="16"/>
      <c r="FC833" s="16"/>
      <c r="FD833" s="16"/>
      <c r="FE833" s="440"/>
      <c r="FF833" s="16"/>
      <c r="FG833" s="440"/>
      <c r="FH833" s="16"/>
      <c r="FI833" s="440"/>
      <c r="FJ833" s="16"/>
      <c r="FK833" s="440"/>
      <c r="FL833" s="16"/>
      <c r="FM833" s="440"/>
      <c r="FN833" s="16"/>
      <c r="FO833" s="440"/>
      <c r="FP833" s="16"/>
      <c r="FQ833" s="440"/>
      <c r="FR833" s="16"/>
      <c r="FS833" s="440"/>
      <c r="FT833" s="16"/>
      <c r="FU833" s="440"/>
      <c r="FV833" s="16"/>
      <c r="FW833" s="440"/>
      <c r="FX833" s="535"/>
      <c r="FY833" s="440"/>
      <c r="FZ833" s="16"/>
      <c r="GA833" s="440"/>
      <c r="GB833" s="535"/>
      <c r="GC833" s="440"/>
      <c r="GD833" s="16"/>
      <c r="GE833" s="440"/>
      <c r="GF833" s="16"/>
      <c r="GG833" s="440"/>
      <c r="GH833" s="16"/>
      <c r="GI833" s="440"/>
      <c r="GJ833" s="16"/>
      <c r="GK833" s="440"/>
      <c r="GL833" s="16"/>
      <c r="GM833" s="440"/>
      <c r="GN833" s="16"/>
      <c r="GO833" s="440"/>
      <c r="GP833" s="16"/>
      <c r="GQ833" s="440"/>
      <c r="GR833" s="16"/>
      <c r="GS833" s="440"/>
      <c r="GT833" s="16"/>
      <c r="GU833" s="440"/>
      <c r="GV833" s="16"/>
      <c r="GW833" s="440"/>
      <c r="GX833" s="16"/>
      <c r="GY833" s="440"/>
      <c r="GZ833" s="455"/>
      <c r="HA833" s="455"/>
      <c r="HC833"/>
      <c r="HD833"/>
      <c r="HE833"/>
      <c r="HF833"/>
      <c r="HG833"/>
      <c r="HH833"/>
    </row>
    <row r="834" spans="1:217" s="2" customFormat="1" ht="12.75" hidden="1" customHeight="1" outlineLevel="1" x14ac:dyDescent="0.2">
      <c r="A834" s="351"/>
      <c r="B834" s="2" t="s">
        <v>500</v>
      </c>
      <c r="C834" s="425"/>
      <c r="D834" s="425"/>
      <c r="E834" s="425"/>
      <c r="F834" s="425"/>
      <c r="G834" s="425"/>
      <c r="H834" s="425"/>
      <c r="I834" s="425"/>
      <c r="J834" s="429"/>
      <c r="K834" s="425"/>
      <c r="L834" s="429"/>
      <c r="M834" s="425"/>
      <c r="N834" s="429"/>
      <c r="O834" s="425"/>
      <c r="P834" s="429"/>
      <c r="Q834" s="425"/>
      <c r="R834" s="429"/>
      <c r="S834" s="425"/>
      <c r="T834" s="429"/>
      <c r="U834" s="425"/>
      <c r="V834" s="429"/>
      <c r="W834" s="425"/>
      <c r="X834" s="429"/>
      <c r="Y834" s="425"/>
      <c r="Z834" s="429"/>
      <c r="AA834" s="430"/>
      <c r="AB834" s="429"/>
      <c r="AC834" s="430"/>
      <c r="AD834" s="429"/>
      <c r="AE834" s="430"/>
      <c r="AF834" s="429"/>
      <c r="AG834" s="430"/>
      <c r="AH834" s="429"/>
      <c r="AI834" s="430"/>
      <c r="AJ834" s="429"/>
      <c r="AK834" s="430"/>
      <c r="AL834" s="429"/>
      <c r="AM834" s="430"/>
      <c r="AN834" s="429"/>
      <c r="AO834" s="430"/>
      <c r="AP834" s="429"/>
      <c r="AQ834" s="430"/>
      <c r="AR834" s="429"/>
      <c r="AS834" s="430"/>
      <c r="AT834" s="429"/>
      <c r="AU834" s="430"/>
      <c r="AV834" s="429"/>
      <c r="AW834" s="430"/>
      <c r="AX834" s="429"/>
      <c r="AY834" s="430"/>
      <c r="AZ834" s="429"/>
      <c r="BA834" s="430"/>
      <c r="BB834" s="429"/>
      <c r="BC834" s="430"/>
      <c r="BD834" s="429"/>
      <c r="BE834" s="430"/>
      <c r="BF834" s="429"/>
      <c r="BG834" s="430"/>
      <c r="BH834" s="429"/>
      <c r="BI834" s="430"/>
      <c r="BJ834" s="429"/>
      <c r="BK834" s="430"/>
      <c r="BL834" s="429"/>
      <c r="BM834" s="430"/>
      <c r="BN834" s="429"/>
      <c r="BO834" s="430"/>
      <c r="BP834" s="429"/>
      <c r="BQ834" s="430"/>
      <c r="BR834" s="429"/>
      <c r="BS834" s="430"/>
      <c r="BT834" s="429"/>
      <c r="BU834" s="430"/>
      <c r="BV834" s="429"/>
      <c r="BW834" s="430"/>
      <c r="BX834" s="429"/>
      <c r="BY834" s="430"/>
      <c r="BZ834" s="429"/>
      <c r="CA834" s="430"/>
      <c r="CB834" s="429"/>
      <c r="CC834" s="430"/>
      <c r="CD834" s="429"/>
      <c r="CE834" s="430"/>
      <c r="CF834" s="429"/>
      <c r="CG834" s="430"/>
      <c r="CH834" s="429"/>
      <c r="CI834" s="430"/>
      <c r="CJ834" s="429"/>
      <c r="CK834" s="430"/>
      <c r="CL834" s="429"/>
      <c r="CM834" s="430"/>
      <c r="CN834" s="429"/>
      <c r="CO834" s="430"/>
      <c r="CP834" s="429"/>
      <c r="CQ834" s="509"/>
      <c r="CR834" s="429"/>
      <c r="CS834" s="430"/>
      <c r="CT834" s="429"/>
      <c r="CU834" s="430"/>
      <c r="CV834" s="429"/>
      <c r="CW834" s="430"/>
      <c r="CX834" s="429"/>
      <c r="CY834" s="430"/>
      <c r="CZ834" s="429"/>
      <c r="DA834" s="430"/>
      <c r="DB834" s="429"/>
      <c r="DC834" s="430"/>
      <c r="DD834" s="429"/>
      <c r="DE834" s="430"/>
      <c r="DF834" s="429"/>
      <c r="DG834" s="430"/>
      <c r="DH834" s="429"/>
      <c r="DI834" s="430"/>
      <c r="DJ834" s="429"/>
      <c r="DK834" s="430"/>
      <c r="DL834" s="429"/>
      <c r="DM834" s="430"/>
      <c r="DN834" s="429"/>
      <c r="DO834" s="430"/>
      <c r="DP834" s="429"/>
      <c r="DQ834" s="430"/>
      <c r="DR834" s="429"/>
      <c r="DS834" s="430"/>
      <c r="DT834" s="429"/>
      <c r="DU834" s="430"/>
      <c r="DV834" s="429"/>
      <c r="DW834" s="430"/>
      <c r="DX834" s="429"/>
      <c r="DY834" s="430"/>
      <c r="DZ834" s="429"/>
      <c r="EA834" s="430"/>
      <c r="EB834" s="429"/>
      <c r="EC834" s="430"/>
      <c r="ED834" s="429"/>
      <c r="EE834" s="430"/>
      <c r="EF834" s="1082"/>
      <c r="EG834" s="430"/>
      <c r="EH834" s="1082"/>
      <c r="EI834" s="430"/>
      <c r="EJ834" s="1082"/>
      <c r="EK834" s="430"/>
      <c r="EL834" s="1082"/>
      <c r="EM834" s="430"/>
      <c r="EN834" s="1082"/>
      <c r="EO834" s="430"/>
      <c r="EP834" s="429"/>
      <c r="EQ834" s="1081"/>
      <c r="ER834" s="429"/>
      <c r="ES834" s="1081"/>
      <c r="ET834" s="429"/>
      <c r="EU834" s="1081"/>
      <c r="EV834" s="429"/>
      <c r="EW834" s="1081"/>
      <c r="EX834" s="429"/>
      <c r="EY834" s="430"/>
      <c r="EZ834" s="608"/>
      <c r="FA834" s="426"/>
      <c r="FB834" s="425"/>
      <c r="FC834" s="425"/>
      <c r="FD834" s="425"/>
      <c r="FE834" s="429"/>
      <c r="FF834" s="430"/>
      <c r="FG834" s="429"/>
      <c r="FH834" s="430"/>
      <c r="FI834" s="429"/>
      <c r="FJ834" s="430"/>
      <c r="FK834" s="429"/>
      <c r="FL834" s="430"/>
      <c r="FM834" s="429"/>
      <c r="FN834" s="430"/>
      <c r="FO834" s="429"/>
      <c r="FP834" s="430"/>
      <c r="FQ834" s="429"/>
      <c r="FR834" s="430"/>
      <c r="FS834" s="429"/>
      <c r="FT834" s="430"/>
      <c r="FU834" s="429"/>
      <c r="FV834" s="430"/>
      <c r="FW834" s="429"/>
      <c r="FX834" s="509"/>
      <c r="FY834" s="429"/>
      <c r="FZ834" s="430"/>
      <c r="GA834" s="429"/>
      <c r="GB834" s="509"/>
      <c r="GC834" s="429"/>
      <c r="GD834" s="430"/>
      <c r="GE834" s="429"/>
      <c r="GF834" s="430"/>
      <c r="GG834" s="429"/>
      <c r="GH834" s="430"/>
      <c r="GI834" s="429"/>
      <c r="GJ834" s="430"/>
      <c r="GK834" s="429"/>
      <c r="GL834" s="430"/>
      <c r="GM834" s="429"/>
      <c r="GN834" s="430"/>
      <c r="GO834" s="429"/>
      <c r="GP834" s="430"/>
      <c r="GQ834" s="429"/>
      <c r="GR834" s="430"/>
      <c r="GS834" s="429"/>
      <c r="GT834" s="430"/>
      <c r="GU834" s="429"/>
      <c r="GV834" s="430"/>
      <c r="GW834" s="429"/>
      <c r="GX834" s="430"/>
      <c r="GY834" s="429"/>
      <c r="GZ834" s="33"/>
      <c r="HA834" s="33"/>
      <c r="HB834" s="10"/>
      <c r="HC834"/>
      <c r="HD834"/>
      <c r="HE834"/>
      <c r="HF834"/>
      <c r="HG834"/>
      <c r="HH834"/>
      <c r="HI834" s="10"/>
    </row>
    <row r="835" spans="1:217" s="10" customFormat="1" ht="12.75" hidden="1" customHeight="1" outlineLevel="1" x14ac:dyDescent="0.2">
      <c r="A835" s="28"/>
      <c r="B835" s="10" t="s">
        <v>501</v>
      </c>
      <c r="C835" s="16"/>
      <c r="D835" s="16"/>
      <c r="E835" s="16"/>
      <c r="F835" s="16"/>
      <c r="G835" s="16"/>
      <c r="H835" s="16"/>
      <c r="I835" s="16"/>
      <c r="J835" s="16"/>
      <c r="K835" s="16"/>
      <c r="L835" s="440"/>
      <c r="M835" s="16"/>
      <c r="N835" s="440"/>
      <c r="O835" s="16"/>
      <c r="P835" s="440"/>
      <c r="Q835" s="16"/>
      <c r="R835" s="440"/>
      <c r="S835" s="16"/>
      <c r="T835" s="440"/>
      <c r="U835" s="16"/>
      <c r="V835" s="440"/>
      <c r="W835" s="16"/>
      <c r="X835" s="440"/>
      <c r="Y835" s="16"/>
      <c r="Z835" s="440"/>
      <c r="AA835" s="16"/>
      <c r="AB835" s="440"/>
      <c r="AC835" s="16"/>
      <c r="AD835" s="440"/>
      <c r="AE835" s="16"/>
      <c r="AF835" s="440"/>
      <c r="AG835" s="16"/>
      <c r="AH835" s="440"/>
      <c r="AI835" s="16"/>
      <c r="AJ835" s="440"/>
      <c r="AK835" s="16"/>
      <c r="AL835" s="440"/>
      <c r="AM835" s="16"/>
      <c r="AN835" s="440"/>
      <c r="AO835" s="16"/>
      <c r="AP835" s="440"/>
      <c r="AQ835" s="16"/>
      <c r="AR835" s="440"/>
      <c r="AS835" s="16"/>
      <c r="AT835" s="440"/>
      <c r="AU835" s="16"/>
      <c r="AV835" s="440"/>
      <c r="AW835" s="16"/>
      <c r="AX835" s="440"/>
      <c r="AY835" s="16"/>
      <c r="AZ835" s="440"/>
      <c r="BA835" s="16"/>
      <c r="BB835" s="440"/>
      <c r="BC835" s="16"/>
      <c r="BD835" s="440"/>
      <c r="BE835" s="16"/>
      <c r="BF835" s="440"/>
      <c r="BG835" s="16"/>
      <c r="BH835" s="440"/>
      <c r="BI835" s="16"/>
      <c r="BJ835" s="440"/>
      <c r="BK835" s="16"/>
      <c r="BL835" s="440"/>
      <c r="BM835" s="16"/>
      <c r="BN835" s="440"/>
      <c r="BO835" s="16"/>
      <c r="BP835" s="440"/>
      <c r="BQ835" s="16"/>
      <c r="BR835" s="440"/>
      <c r="BS835" s="16"/>
      <c r="BT835" s="440"/>
      <c r="BU835" s="16"/>
      <c r="BV835" s="440"/>
      <c r="BW835" s="16"/>
      <c r="BX835" s="440"/>
      <c r="BY835" s="16"/>
      <c r="BZ835" s="440"/>
      <c r="CA835" s="16"/>
      <c r="CB835" s="440"/>
      <c r="CC835" s="16"/>
      <c r="CD835" s="440"/>
      <c r="CE835" s="16"/>
      <c r="CF835" s="440"/>
      <c r="CG835" s="16"/>
      <c r="CH835" s="440"/>
      <c r="CI835" s="16"/>
      <c r="CJ835" s="440"/>
      <c r="CK835" s="16"/>
      <c r="CL835" s="440"/>
      <c r="CM835" s="16"/>
      <c r="CN835" s="440"/>
      <c r="CO835" s="16"/>
      <c r="CP835" s="440"/>
      <c r="CQ835" s="535"/>
      <c r="CR835" s="440"/>
      <c r="CS835" s="16"/>
      <c r="CT835" s="440"/>
      <c r="CU835" s="16"/>
      <c r="CV835" s="440"/>
      <c r="CW835" s="16"/>
      <c r="CX835" s="440"/>
      <c r="CY835" s="16"/>
      <c r="CZ835" s="440"/>
      <c r="DA835" s="16"/>
      <c r="DB835" s="440"/>
      <c r="DC835" s="16"/>
      <c r="DD835" s="440"/>
      <c r="DE835" s="16"/>
      <c r="DF835" s="440"/>
      <c r="DG835" s="16"/>
      <c r="DH835" s="440"/>
      <c r="DI835" s="16"/>
      <c r="DJ835" s="440"/>
      <c r="DK835" s="16"/>
      <c r="DL835" s="440"/>
      <c r="DM835" s="16"/>
      <c r="DN835" s="440"/>
      <c r="DO835" s="16"/>
      <c r="DP835" s="440"/>
      <c r="DQ835" s="16"/>
      <c r="DR835" s="440"/>
      <c r="DS835" s="16"/>
      <c r="DT835" s="440"/>
      <c r="DU835" s="16"/>
      <c r="DV835" s="440"/>
      <c r="DW835" s="16"/>
      <c r="DX835" s="440"/>
      <c r="DY835" s="16"/>
      <c r="DZ835" s="440"/>
      <c r="EA835" s="16"/>
      <c r="EB835" s="440"/>
      <c r="EC835" s="16"/>
      <c r="ED835" s="440"/>
      <c r="EE835" s="16"/>
      <c r="EF835" s="1080"/>
      <c r="EG835" s="16"/>
      <c r="EH835" s="1080"/>
      <c r="EI835" s="16"/>
      <c r="EJ835" s="1080"/>
      <c r="EK835" s="16"/>
      <c r="EL835" s="1080"/>
      <c r="EM835" s="16"/>
      <c r="EN835" s="1080"/>
      <c r="EO835" s="16"/>
      <c r="EP835" s="440"/>
      <c r="EQ835" s="1079"/>
      <c r="ER835" s="440"/>
      <c r="ES835" s="1079"/>
      <c r="ET835" s="440"/>
      <c r="EU835" s="1079"/>
      <c r="EV835" s="440"/>
      <c r="EW835" s="1079"/>
      <c r="EX835" s="440"/>
      <c r="EY835" s="16"/>
      <c r="EZ835" s="607"/>
      <c r="FA835" s="427"/>
      <c r="FB835" s="16"/>
      <c r="FC835" s="16"/>
      <c r="FD835" s="16"/>
      <c r="FE835" s="440"/>
      <c r="FF835" s="16"/>
      <c r="FG835" s="440"/>
      <c r="FH835" s="16"/>
      <c r="FI835" s="440"/>
      <c r="FJ835" s="16"/>
      <c r="FK835" s="440"/>
      <c r="FL835" s="16"/>
      <c r="FM835" s="440"/>
      <c r="FN835" s="16"/>
      <c r="FO835" s="440"/>
      <c r="FP835" s="16"/>
      <c r="FQ835" s="440"/>
      <c r="FR835" s="16"/>
      <c r="FS835" s="440"/>
      <c r="FT835" s="16"/>
      <c r="FU835" s="440"/>
      <c r="FV835" s="16"/>
      <c r="FW835" s="440"/>
      <c r="FX835" s="535"/>
      <c r="FY835" s="440"/>
      <c r="FZ835" s="16"/>
      <c r="GA835" s="440"/>
      <c r="GB835" s="535"/>
      <c r="GC835" s="440"/>
      <c r="GD835" s="16"/>
      <c r="GE835" s="440"/>
      <c r="GF835" s="16"/>
      <c r="GG835" s="440"/>
      <c r="GH835" s="16"/>
      <c r="GI835" s="440"/>
      <c r="GJ835" s="16"/>
      <c r="GK835" s="440"/>
      <c r="GL835" s="16"/>
      <c r="GM835" s="440"/>
      <c r="GN835" s="16"/>
      <c r="GO835" s="440"/>
      <c r="GP835" s="16"/>
      <c r="GQ835" s="440"/>
      <c r="GR835" s="16"/>
      <c r="GS835" s="440"/>
      <c r="GT835" s="16"/>
      <c r="GU835" s="440"/>
      <c r="GV835" s="16"/>
      <c r="GW835" s="440"/>
      <c r="GX835" s="16"/>
      <c r="GY835" s="440"/>
      <c r="GZ835" s="455"/>
      <c r="HA835" s="455"/>
      <c r="HC835"/>
      <c r="HD835"/>
      <c r="HE835"/>
      <c r="HF835"/>
      <c r="HG835"/>
      <c r="HH835"/>
    </row>
    <row r="836" spans="1:217" s="2" customFormat="1" ht="12.75" hidden="1" customHeight="1" outlineLevel="1" x14ac:dyDescent="0.2">
      <c r="A836" s="351"/>
      <c r="D836" s="11"/>
      <c r="F836" s="11"/>
      <c r="H836" s="11"/>
      <c r="J836" s="11"/>
      <c r="L836" s="442"/>
      <c r="N836" s="442"/>
      <c r="P836" s="442"/>
      <c r="R836" s="442"/>
      <c r="S836" s="250"/>
      <c r="T836" s="442"/>
      <c r="U836" s="250"/>
      <c r="V836" s="442"/>
      <c r="W836" s="250"/>
      <c r="X836" s="442"/>
      <c r="Z836" s="442"/>
      <c r="AA836" s="250"/>
      <c r="AB836" s="442"/>
      <c r="AC836" s="250"/>
      <c r="AD836" s="442"/>
      <c r="AE836" s="250"/>
      <c r="AF836" s="442"/>
      <c r="AG836" s="250"/>
      <c r="AH836" s="442"/>
      <c r="AI836" s="398"/>
      <c r="AJ836" s="442"/>
      <c r="AK836" s="398"/>
      <c r="AL836" s="442"/>
      <c r="AM836" s="398"/>
      <c r="AN836" s="442"/>
      <c r="AO836" s="398"/>
      <c r="AP836" s="442"/>
      <c r="AQ836" s="398"/>
      <c r="AR836" s="442"/>
      <c r="AS836" s="398"/>
      <c r="AT836" s="442"/>
      <c r="AU836" s="398"/>
      <c r="AV836" s="442"/>
      <c r="AW836" s="398"/>
      <c r="AX836" s="442"/>
      <c r="AY836" s="31"/>
      <c r="AZ836" s="442"/>
      <c r="BA836" s="31"/>
      <c r="BB836" s="442"/>
      <c r="BC836" s="31"/>
      <c r="BD836" s="442"/>
      <c r="BE836" s="31"/>
      <c r="BF836" s="442"/>
      <c r="BG836" s="31"/>
      <c r="BH836" s="442"/>
      <c r="BI836" s="31"/>
      <c r="BJ836" s="442"/>
      <c r="BK836" s="31"/>
      <c r="BL836" s="14"/>
      <c r="BM836" s="31"/>
      <c r="BN836" s="442"/>
      <c r="BO836" s="31"/>
      <c r="BP836" s="442"/>
      <c r="BQ836" s="31"/>
      <c r="BR836" s="442"/>
      <c r="BS836" s="31"/>
      <c r="BT836" s="442"/>
      <c r="BU836" s="31"/>
      <c r="BV836" s="442"/>
      <c r="BW836" s="31"/>
      <c r="BX836" s="442"/>
      <c r="BY836" s="31"/>
      <c r="BZ836" s="442"/>
      <c r="CA836" s="31"/>
      <c r="CB836" s="442"/>
      <c r="CC836" s="31"/>
      <c r="CD836" s="442"/>
      <c r="CE836" s="31"/>
      <c r="CF836" s="442"/>
      <c r="CG836" s="250"/>
      <c r="CH836" s="442"/>
      <c r="CI836" s="250"/>
      <c r="CJ836" s="442"/>
      <c r="CK836" s="250"/>
      <c r="CL836" s="442"/>
      <c r="CM836" s="250"/>
      <c r="CN836" s="442"/>
      <c r="CO836" s="250"/>
      <c r="CP836" s="442"/>
      <c r="CQ836" s="514"/>
      <c r="CR836" s="442"/>
      <c r="CS836" s="250"/>
      <c r="CT836" s="442"/>
      <c r="CU836" s="250"/>
      <c r="CV836" s="442"/>
      <c r="CW836" s="250"/>
      <c r="CX836" s="442"/>
      <c r="CY836" s="250"/>
      <c r="CZ836" s="442"/>
      <c r="DA836" s="250"/>
      <c r="DB836" s="442"/>
      <c r="DC836" s="250"/>
      <c r="DD836" s="442"/>
      <c r="DE836" s="250"/>
      <c r="DF836" s="442"/>
      <c r="DG836" s="250"/>
      <c r="DH836" s="442"/>
      <c r="DI836" s="250"/>
      <c r="DJ836" s="442"/>
      <c r="DK836" s="250"/>
      <c r="DL836" s="442"/>
      <c r="DM836" s="250"/>
      <c r="DN836" s="442"/>
      <c r="DO836" s="250"/>
      <c r="DP836" s="442"/>
      <c r="DQ836" s="250"/>
      <c r="DR836" s="442"/>
      <c r="DS836" s="250"/>
      <c r="DT836" s="442"/>
      <c r="DU836" s="250"/>
      <c r="DV836" s="442"/>
      <c r="DW836" s="250"/>
      <c r="DX836" s="442"/>
      <c r="DY836" s="250"/>
      <c r="DZ836" s="442"/>
      <c r="EA836" s="250"/>
      <c r="EB836" s="442"/>
      <c r="EC836" s="250"/>
      <c r="ED836" s="442"/>
      <c r="EE836" s="250"/>
      <c r="EF836" s="1083"/>
      <c r="EG836" s="250"/>
      <c r="EH836" s="1083"/>
      <c r="EI836" s="250"/>
      <c r="EJ836" s="1083"/>
      <c r="EK836" s="250"/>
      <c r="EL836" s="1083"/>
      <c r="EM836" s="250"/>
      <c r="EN836" s="1083"/>
      <c r="EO836" s="250"/>
      <c r="EP836" s="442"/>
      <c r="EQ836" s="1009"/>
      <c r="ER836" s="442"/>
      <c r="ES836" s="1009"/>
      <c r="ET836" s="442"/>
      <c r="EU836" s="1009"/>
      <c r="EV836" s="442"/>
      <c r="EW836" s="1009"/>
      <c r="EX836" s="442"/>
      <c r="EY836" s="250"/>
      <c r="EZ836" s="588"/>
      <c r="FA836" s="10"/>
      <c r="FC836" s="11"/>
      <c r="FE836" s="442"/>
      <c r="FF836" s="250"/>
      <c r="FG836" s="442"/>
      <c r="FH836" s="250"/>
      <c r="FI836" s="442"/>
      <c r="FJ836" s="250"/>
      <c r="FK836" s="442"/>
      <c r="FL836" s="250"/>
      <c r="FM836" s="442"/>
      <c r="FN836" s="250"/>
      <c r="FO836" s="442"/>
      <c r="FP836" s="250"/>
      <c r="FQ836" s="442"/>
      <c r="FR836" s="250"/>
      <c r="FS836" s="442"/>
      <c r="FT836" s="250"/>
      <c r="FU836" s="442"/>
      <c r="FV836" s="250"/>
      <c r="FW836" s="442"/>
      <c r="FX836" s="514"/>
      <c r="FY836" s="442"/>
      <c r="FZ836" s="250"/>
      <c r="GA836" s="442"/>
      <c r="GB836" s="514"/>
      <c r="GC836" s="442"/>
      <c r="GD836" s="250"/>
      <c r="GE836" s="442"/>
      <c r="GF836" s="250"/>
      <c r="GG836" s="442"/>
      <c r="GH836" s="250"/>
      <c r="GI836" s="442"/>
      <c r="GJ836" s="250"/>
      <c r="GK836" s="442"/>
      <c r="GL836" s="250"/>
      <c r="GM836" s="442"/>
      <c r="GN836" s="250"/>
      <c r="GO836" s="442"/>
      <c r="GP836" s="250"/>
      <c r="GQ836" s="442"/>
      <c r="GR836" s="250"/>
      <c r="GS836" s="442"/>
      <c r="GT836" s="250"/>
      <c r="GU836" s="442"/>
      <c r="GV836" s="250"/>
      <c r="GW836" s="442"/>
      <c r="GX836" s="250"/>
      <c r="GY836" s="442"/>
      <c r="GZ836" s="442"/>
      <c r="HA836" s="442"/>
      <c r="HB836" s="10"/>
      <c r="HC836"/>
      <c r="HD836"/>
      <c r="HE836"/>
      <c r="HF836"/>
      <c r="HG836"/>
      <c r="HH836"/>
      <c r="HI836" s="10"/>
    </row>
    <row r="837" spans="1:217" s="2" customFormat="1" ht="12.75" hidden="1" customHeight="1" outlineLevel="1" x14ac:dyDescent="0.2">
      <c r="A837" s="351"/>
      <c r="D837" s="11"/>
      <c r="F837" s="11"/>
      <c r="H837" s="11"/>
      <c r="J837" s="11"/>
      <c r="L837" s="442"/>
      <c r="N837" s="442"/>
      <c r="P837" s="442"/>
      <c r="R837" s="442"/>
      <c r="S837" s="250"/>
      <c r="T837" s="442"/>
      <c r="U837" s="250"/>
      <c r="V837" s="442"/>
      <c r="W837" s="250"/>
      <c r="X837" s="442"/>
      <c r="Z837" s="442"/>
      <c r="AA837" s="250"/>
      <c r="AB837" s="442"/>
      <c r="AC837" s="250"/>
      <c r="AD837" s="442"/>
      <c r="AE837" s="250"/>
      <c r="AF837" s="442"/>
      <c r="AG837" s="250"/>
      <c r="AH837" s="442"/>
      <c r="AI837" s="398"/>
      <c r="AJ837" s="442"/>
      <c r="AK837" s="398"/>
      <c r="AL837" s="442"/>
      <c r="AM837" s="398"/>
      <c r="AN837" s="442"/>
      <c r="AO837" s="398"/>
      <c r="AP837" s="442"/>
      <c r="AQ837" s="398"/>
      <c r="AR837" s="442"/>
      <c r="AS837" s="398"/>
      <c r="AT837" s="442"/>
      <c r="AU837" s="398"/>
      <c r="AV837" s="442"/>
      <c r="AW837" s="398"/>
      <c r="AX837" s="442"/>
      <c r="AY837" s="31"/>
      <c r="AZ837" s="442"/>
      <c r="BA837" s="24"/>
      <c r="BB837" s="442"/>
      <c r="BC837" s="24"/>
      <c r="BD837" s="442"/>
      <c r="BE837" s="24"/>
      <c r="BF837" s="442"/>
      <c r="BG837" s="24"/>
      <c r="BH837" s="442"/>
      <c r="BI837" s="24"/>
      <c r="BJ837" s="442"/>
      <c r="BK837" s="24"/>
      <c r="BL837" s="14"/>
      <c r="BM837" s="24"/>
      <c r="BN837" s="442"/>
      <c r="BO837" s="24"/>
      <c r="BP837" s="442"/>
      <c r="BQ837" s="24"/>
      <c r="BR837" s="442"/>
      <c r="BS837" s="24"/>
      <c r="BT837" s="442"/>
      <c r="BU837" s="24"/>
      <c r="BV837" s="442"/>
      <c r="BW837" s="24"/>
      <c r="BX837" s="442"/>
      <c r="BY837" s="24"/>
      <c r="BZ837" s="442"/>
      <c r="CA837" s="24"/>
      <c r="CB837" s="442"/>
      <c r="CC837" s="24"/>
      <c r="CD837" s="442"/>
      <c r="CE837" s="24"/>
      <c r="CF837" s="442"/>
      <c r="CG837" s="250"/>
      <c r="CH837" s="442"/>
      <c r="CI837" s="250"/>
      <c r="CJ837" s="442"/>
      <c r="CK837" s="250"/>
      <c r="CL837" s="442"/>
      <c r="CM837" s="250"/>
      <c r="CN837" s="442"/>
      <c r="CO837" s="250"/>
      <c r="CP837" s="442"/>
      <c r="CQ837" s="514"/>
      <c r="CR837" s="442"/>
      <c r="CS837" s="250"/>
      <c r="CT837" s="442"/>
      <c r="CU837" s="250"/>
      <c r="CV837" s="442"/>
      <c r="CW837" s="250"/>
      <c r="CX837" s="442"/>
      <c r="CY837" s="250"/>
      <c r="CZ837" s="442"/>
      <c r="DA837" s="250"/>
      <c r="DB837" s="442"/>
      <c r="DC837" s="250"/>
      <c r="DD837" s="442"/>
      <c r="DE837" s="250"/>
      <c r="DF837" s="442"/>
      <c r="DG837" s="250"/>
      <c r="DH837" s="442"/>
      <c r="DI837" s="250"/>
      <c r="DJ837" s="442"/>
      <c r="DK837" s="250"/>
      <c r="DL837" s="442"/>
      <c r="DM837" s="250"/>
      <c r="DN837" s="442"/>
      <c r="DO837" s="250"/>
      <c r="DP837" s="442"/>
      <c r="DQ837" s="250"/>
      <c r="DR837" s="442"/>
      <c r="DS837" s="250"/>
      <c r="DT837" s="442"/>
      <c r="DU837" s="250"/>
      <c r="DV837" s="442"/>
      <c r="DW837" s="250"/>
      <c r="DX837" s="442"/>
      <c r="DY837" s="250"/>
      <c r="DZ837" s="442"/>
      <c r="EA837" s="250"/>
      <c r="EB837" s="442"/>
      <c r="EC837" s="250"/>
      <c r="ED837" s="442"/>
      <c r="EE837" s="250"/>
      <c r="EF837" s="1083"/>
      <c r="EG837" s="250"/>
      <c r="EH837" s="1083"/>
      <c r="EI837" s="250"/>
      <c r="EJ837" s="1083"/>
      <c r="EK837" s="250"/>
      <c r="EL837" s="1083"/>
      <c r="EM837" s="250"/>
      <c r="EN837" s="1083"/>
      <c r="EO837" s="250"/>
      <c r="EP837" s="442"/>
      <c r="EQ837" s="1009"/>
      <c r="ER837" s="442"/>
      <c r="ES837" s="1009"/>
      <c r="ET837" s="442"/>
      <c r="EU837" s="1009"/>
      <c r="EV837" s="442"/>
      <c r="EW837" s="1009"/>
      <c r="EX837" s="442"/>
      <c r="EY837" s="250"/>
      <c r="EZ837" s="588"/>
      <c r="FA837" s="10"/>
      <c r="FC837" s="11"/>
      <c r="FE837" s="442"/>
      <c r="FF837" s="250"/>
      <c r="FG837" s="442"/>
      <c r="FH837" s="250"/>
      <c r="FI837" s="442"/>
      <c r="FJ837" s="250"/>
      <c r="FK837" s="442"/>
      <c r="FL837" s="250"/>
      <c r="FM837" s="442"/>
      <c r="FN837" s="250"/>
      <c r="FO837" s="442"/>
      <c r="FP837" s="250"/>
      <c r="FQ837" s="442"/>
      <c r="FR837" s="250"/>
      <c r="FS837" s="442"/>
      <c r="FT837" s="250"/>
      <c r="FU837" s="442"/>
      <c r="FV837" s="250"/>
      <c r="FW837" s="442"/>
      <c r="FX837" s="514"/>
      <c r="FY837" s="442"/>
      <c r="FZ837" s="250"/>
      <c r="GA837" s="442"/>
      <c r="GB837" s="514"/>
      <c r="GC837" s="442"/>
      <c r="GD837" s="250"/>
      <c r="GE837" s="442"/>
      <c r="GF837" s="250"/>
      <c r="GG837" s="442"/>
      <c r="GH837" s="250"/>
      <c r="GI837" s="442"/>
      <c r="GJ837" s="250"/>
      <c r="GK837" s="442"/>
      <c r="GL837" s="250"/>
      <c r="GM837" s="442"/>
      <c r="GN837" s="250"/>
      <c r="GO837" s="442"/>
      <c r="GP837" s="250"/>
      <c r="GQ837" s="442"/>
      <c r="GR837" s="250"/>
      <c r="GS837" s="442"/>
      <c r="GT837" s="250"/>
      <c r="GU837" s="442"/>
      <c r="GV837" s="250"/>
      <c r="GW837" s="442"/>
      <c r="GX837" s="250"/>
      <c r="GY837" s="442"/>
      <c r="GZ837" s="442"/>
      <c r="HA837" s="442"/>
      <c r="HB837" s="10"/>
      <c r="HC837"/>
      <c r="HD837"/>
      <c r="HE837"/>
      <c r="HF837"/>
      <c r="HG837"/>
      <c r="HH837"/>
      <c r="HI837" s="10"/>
    </row>
    <row r="838" spans="1:217" s="10" customFormat="1" ht="12.75" hidden="1" customHeight="1" outlineLevel="1" x14ac:dyDescent="0.2">
      <c r="A838" s="28"/>
      <c r="B838" s="10" t="s">
        <v>502</v>
      </c>
      <c r="C838" s="16"/>
      <c r="D838" s="16"/>
      <c r="E838" s="16"/>
      <c r="F838" s="16"/>
      <c r="G838" s="16"/>
      <c r="H838" s="16"/>
      <c r="I838" s="16"/>
      <c r="J838" s="16"/>
      <c r="K838" s="16"/>
      <c r="L838" s="440"/>
      <c r="M838" s="16"/>
      <c r="N838" s="440"/>
      <c r="O838" s="16"/>
      <c r="P838" s="440"/>
      <c r="Q838" s="16"/>
      <c r="R838" s="440"/>
      <c r="S838" s="16"/>
      <c r="T838" s="440"/>
      <c r="U838" s="16"/>
      <c r="V838" s="440"/>
      <c r="W838" s="16"/>
      <c r="X838" s="440"/>
      <c r="Y838" s="16"/>
      <c r="Z838" s="440"/>
      <c r="AA838" s="16"/>
      <c r="AB838" s="440"/>
      <c r="AC838" s="16"/>
      <c r="AD838" s="440"/>
      <c r="AE838" s="16"/>
      <c r="AF838" s="440"/>
      <c r="AG838" s="16"/>
      <c r="AH838" s="440"/>
      <c r="AI838" s="16"/>
      <c r="AJ838" s="440"/>
      <c r="AK838" s="16"/>
      <c r="AL838" s="440"/>
      <c r="AM838" s="16"/>
      <c r="AN838" s="440"/>
      <c r="AO838" s="16"/>
      <c r="AP838" s="440"/>
      <c r="AQ838" s="16"/>
      <c r="AR838" s="440"/>
      <c r="AS838" s="16"/>
      <c r="AT838" s="440"/>
      <c r="AU838" s="16"/>
      <c r="AV838" s="440"/>
      <c r="AW838" s="16"/>
      <c r="AX838" s="440"/>
      <c r="AY838" s="16">
        <f>AY155</f>
        <v>111905</v>
      </c>
      <c r="AZ838" s="440"/>
      <c r="BA838" s="16">
        <f>BA155</f>
        <v>113063</v>
      </c>
      <c r="BB838" s="440"/>
      <c r="BC838" s="16">
        <f>BC155</f>
        <v>114561</v>
      </c>
      <c r="BD838" s="440"/>
      <c r="BE838" s="16">
        <f>BE155</f>
        <v>117556</v>
      </c>
      <c r="BF838" s="440"/>
      <c r="BG838" s="16">
        <f>BG155</f>
        <v>119273</v>
      </c>
      <c r="BH838" s="440"/>
      <c r="BI838" s="16">
        <f>BI155</f>
        <v>124416</v>
      </c>
      <c r="BJ838" s="440"/>
      <c r="BK838" s="16">
        <f>BK155</f>
        <v>127008</v>
      </c>
      <c r="BL838" s="440"/>
      <c r="BM838" s="16">
        <f>BM155</f>
        <v>124066</v>
      </c>
      <c r="BN838" s="440"/>
      <c r="BO838" s="16">
        <f>BO155</f>
        <v>127163</v>
      </c>
      <c r="BP838" s="440"/>
      <c r="BQ838" s="16">
        <f>BQ155</f>
        <v>127684</v>
      </c>
      <c r="BR838" s="440"/>
      <c r="BS838" s="16">
        <f>BS155</f>
        <v>128462</v>
      </c>
      <c r="BT838" s="440"/>
      <c r="BU838" s="16">
        <f>BU155</f>
        <v>152905</v>
      </c>
      <c r="BV838" s="440"/>
      <c r="BW838" s="16">
        <f>BW155</f>
        <v>144388</v>
      </c>
      <c r="BX838" s="440"/>
      <c r="BY838" s="16">
        <f>BY155</f>
        <v>141945</v>
      </c>
      <c r="BZ838" s="440"/>
      <c r="CA838" s="16">
        <f>CA155</f>
        <v>143912</v>
      </c>
      <c r="CB838" s="440"/>
      <c r="CC838" s="16">
        <f>CC155</f>
        <v>138587</v>
      </c>
      <c r="CD838" s="440"/>
      <c r="CE838" s="16">
        <f>CE155</f>
        <v>144626</v>
      </c>
      <c r="CF838" s="440"/>
      <c r="CG838" s="16"/>
      <c r="CH838" s="440"/>
      <c r="CI838" s="16"/>
      <c r="CJ838" s="440"/>
      <c r="CK838" s="16"/>
      <c r="CL838" s="440"/>
      <c r="CM838" s="16"/>
      <c r="CN838" s="440"/>
      <c r="CO838" s="16"/>
      <c r="CP838" s="440"/>
      <c r="CQ838" s="535"/>
      <c r="CR838" s="440"/>
      <c r="CS838" s="16"/>
      <c r="CT838" s="440"/>
      <c r="CU838" s="16"/>
      <c r="CV838" s="440"/>
      <c r="CW838" s="16"/>
      <c r="CX838" s="440"/>
      <c r="CY838" s="16"/>
      <c r="CZ838" s="440"/>
      <c r="DA838" s="16"/>
      <c r="DB838" s="440"/>
      <c r="DC838" s="16"/>
      <c r="DD838" s="440"/>
      <c r="DE838" s="16"/>
      <c r="DF838" s="440"/>
      <c r="DG838" s="16"/>
      <c r="DH838" s="440"/>
      <c r="DI838" s="16"/>
      <c r="DJ838" s="440"/>
      <c r="DK838" s="16"/>
      <c r="DL838" s="440"/>
      <c r="DM838" s="16"/>
      <c r="DN838" s="440"/>
      <c r="DO838" s="16"/>
      <c r="DP838" s="440"/>
      <c r="DQ838" s="16"/>
      <c r="DR838" s="440"/>
      <c r="DS838" s="16"/>
      <c r="DT838" s="440"/>
      <c r="DU838" s="16"/>
      <c r="DV838" s="440"/>
      <c r="DW838" s="16"/>
      <c r="DX838" s="440"/>
      <c r="DY838" s="16"/>
      <c r="DZ838" s="440"/>
      <c r="EA838" s="16"/>
      <c r="EB838" s="440"/>
      <c r="EC838" s="16"/>
      <c r="ED838" s="440"/>
      <c r="EE838" s="16"/>
      <c r="EF838" s="1080"/>
      <c r="EG838" s="16"/>
      <c r="EH838" s="1080"/>
      <c r="EI838" s="16"/>
      <c r="EJ838" s="1080"/>
      <c r="EK838" s="16"/>
      <c r="EL838" s="1080"/>
      <c r="EM838" s="16"/>
      <c r="EN838" s="1080"/>
      <c r="EO838" s="16"/>
      <c r="EP838" s="440"/>
      <c r="EQ838" s="1079"/>
      <c r="ER838" s="440"/>
      <c r="ES838" s="1079"/>
      <c r="ET838" s="440"/>
      <c r="EU838" s="1079"/>
      <c r="EV838" s="440"/>
      <c r="EW838" s="1079"/>
      <c r="EX838" s="440"/>
      <c r="EY838" s="16"/>
      <c r="EZ838" s="607"/>
      <c r="FA838" s="427"/>
      <c r="FB838" s="16"/>
      <c r="FC838" s="16"/>
      <c r="FD838" s="16"/>
      <c r="FE838" s="440"/>
      <c r="FF838" s="16"/>
      <c r="FG838" s="440"/>
      <c r="FH838" s="16"/>
      <c r="FI838" s="440"/>
      <c r="FJ838" s="16"/>
      <c r="FK838" s="440"/>
      <c r="FL838" s="16"/>
      <c r="FM838" s="440"/>
      <c r="FN838" s="16"/>
      <c r="FO838" s="440"/>
      <c r="FP838" s="16"/>
      <c r="FQ838" s="440"/>
      <c r="FR838" s="16"/>
      <c r="FS838" s="440"/>
      <c r="FT838" s="16"/>
      <c r="FU838" s="440"/>
      <c r="FV838" s="16"/>
      <c r="FW838" s="440"/>
      <c r="FX838" s="535"/>
      <c r="FY838" s="440"/>
      <c r="FZ838" s="16"/>
      <c r="GA838" s="440"/>
      <c r="GB838" s="535"/>
      <c r="GC838" s="440"/>
      <c r="GD838" s="16"/>
      <c r="GE838" s="440"/>
      <c r="GF838" s="16"/>
      <c r="GG838" s="440"/>
      <c r="GH838" s="16"/>
      <c r="GI838" s="440"/>
      <c r="GJ838" s="16"/>
      <c r="GK838" s="440"/>
      <c r="GL838" s="16"/>
      <c r="GM838" s="440"/>
      <c r="GN838" s="16"/>
      <c r="GO838" s="440"/>
      <c r="GP838" s="16"/>
      <c r="GQ838" s="440"/>
      <c r="GR838" s="16"/>
      <c r="GS838" s="440"/>
      <c r="GT838" s="16"/>
      <c r="GU838" s="440"/>
      <c r="GV838" s="16"/>
      <c r="GW838" s="440"/>
      <c r="GX838" s="16"/>
      <c r="GY838" s="440"/>
      <c r="GZ838" s="455"/>
      <c r="HA838" s="455"/>
      <c r="HC838"/>
      <c r="HD838"/>
      <c r="HE838"/>
      <c r="HF838"/>
      <c r="HG838"/>
      <c r="HH838"/>
    </row>
    <row r="839" spans="1:217" s="2" customFormat="1" ht="12.75" hidden="1" customHeight="1" outlineLevel="1" x14ac:dyDescent="0.2">
      <c r="A839" s="351"/>
      <c r="B839" s="2" t="s">
        <v>503</v>
      </c>
      <c r="C839" s="425"/>
      <c r="D839" s="425"/>
      <c r="E839" s="425"/>
      <c r="F839" s="425"/>
      <c r="G839" s="425"/>
      <c r="H839" s="425"/>
      <c r="I839" s="425"/>
      <c r="J839" s="429"/>
      <c r="K839" s="425"/>
      <c r="L839" s="429"/>
      <c r="M839" s="425"/>
      <c r="N839" s="429"/>
      <c r="O839" s="425"/>
      <c r="P839" s="429"/>
      <c r="Q839" s="425"/>
      <c r="R839" s="429"/>
      <c r="S839" s="425"/>
      <c r="T839" s="429"/>
      <c r="U839" s="425"/>
      <c r="V839" s="429"/>
      <c r="W839" s="425"/>
      <c r="X839" s="429"/>
      <c r="Y839" s="425"/>
      <c r="Z839" s="429"/>
      <c r="AA839" s="430"/>
      <c r="AB839" s="429"/>
      <c r="AC839" s="430"/>
      <c r="AD839" s="429"/>
      <c r="AE839" s="430"/>
      <c r="AF839" s="429"/>
      <c r="AG839" s="430"/>
      <c r="AH839" s="429"/>
      <c r="AI839" s="430"/>
      <c r="AJ839" s="429"/>
      <c r="AK839" s="430"/>
      <c r="AL839" s="429"/>
      <c r="AM839" s="430"/>
      <c r="AN839" s="429"/>
      <c r="AO839" s="430"/>
      <c r="AP839" s="429"/>
      <c r="AQ839" s="430"/>
      <c r="AR839" s="429"/>
      <c r="AS839" s="430"/>
      <c r="AT839" s="429"/>
      <c r="AU839" s="430"/>
      <c r="AV839" s="429"/>
      <c r="AW839" s="430"/>
      <c r="AX839" s="429"/>
      <c r="AY839" s="430">
        <f>AY147/AY838*100</f>
        <v>30.072829632277376</v>
      </c>
      <c r="AZ839" s="429"/>
      <c r="BA839" s="430">
        <f>BA147/BA838*100</f>
        <v>29.76835923334778</v>
      </c>
      <c r="BB839" s="429"/>
      <c r="BC839" s="430">
        <f>BC147/BC838*100</f>
        <v>28.911235062543099</v>
      </c>
      <c r="BD839" s="429"/>
      <c r="BE839" s="430">
        <f>BE147/BE838*100</f>
        <v>28.514920548504541</v>
      </c>
      <c r="BF839" s="429"/>
      <c r="BG839" s="430">
        <f>BG147/BG838*100</f>
        <v>28.63598635064097</v>
      </c>
      <c r="BH839" s="429"/>
      <c r="BI839" s="430">
        <f>BI147/BI838*100</f>
        <v>28.29780735596708</v>
      </c>
      <c r="BJ839" s="429"/>
      <c r="BK839" s="430">
        <f>BK147/BK838*100</f>
        <v>28.035241874527589</v>
      </c>
      <c r="BL839" s="429"/>
      <c r="BM839" s="430">
        <f>BM147/BM838*100</f>
        <v>27.834378475972464</v>
      </c>
      <c r="BN839" s="429"/>
      <c r="BO839" s="430">
        <f>BO147/BO838*100</f>
        <v>27.138397175278971</v>
      </c>
      <c r="BP839" s="429"/>
      <c r="BQ839" s="430">
        <f>BQ147/BQ838*100</f>
        <v>26.222549418877854</v>
      </c>
      <c r="BR839" s="429"/>
      <c r="BS839" s="430">
        <f>BS147/BS838*100</f>
        <v>25.398950662452709</v>
      </c>
      <c r="BT839" s="429"/>
      <c r="BU839" s="430">
        <f>BU147/BU838*100</f>
        <v>29.962394951113435</v>
      </c>
      <c r="BV839" s="429"/>
      <c r="BW839" s="430">
        <f>BW147/BW838*100</f>
        <v>29.591101753608335</v>
      </c>
      <c r="BX839" s="429"/>
      <c r="BY839" s="430">
        <f>BY147/BY838*100</f>
        <v>29.795343266758252</v>
      </c>
      <c r="BZ839" s="429"/>
      <c r="CA839" s="430">
        <f>CA147/CA838*100</f>
        <v>31.974401022847292</v>
      </c>
      <c r="CB839" s="429"/>
      <c r="CC839" s="430">
        <f>CC147/CC838*100</f>
        <v>32.967017108386784</v>
      </c>
      <c r="CD839" s="429"/>
      <c r="CE839" s="430">
        <f>CE147/CE838*100</f>
        <v>33.762947187919181</v>
      </c>
      <c r="CF839" s="429"/>
      <c r="CG839" s="430"/>
      <c r="CH839" s="429"/>
      <c r="CI839" s="430"/>
      <c r="CJ839" s="429"/>
      <c r="CK839" s="430"/>
      <c r="CL839" s="429"/>
      <c r="CM839" s="430"/>
      <c r="CN839" s="429"/>
      <c r="CO839" s="430"/>
      <c r="CP839" s="429"/>
      <c r="CQ839" s="509"/>
      <c r="CR839" s="429"/>
      <c r="CS839" s="430"/>
      <c r="CT839" s="429"/>
      <c r="CU839" s="430"/>
      <c r="CV839" s="429"/>
      <c r="CW839" s="430"/>
      <c r="CX839" s="429"/>
      <c r="CY839" s="430"/>
      <c r="CZ839" s="429"/>
      <c r="DA839" s="430"/>
      <c r="DB839" s="429"/>
      <c r="DC839" s="430"/>
      <c r="DD839" s="429"/>
      <c r="DE839" s="430"/>
      <c r="DF839" s="429"/>
      <c r="DG839" s="430"/>
      <c r="DH839" s="429"/>
      <c r="DI839" s="430"/>
      <c r="DJ839" s="429"/>
      <c r="DK839" s="430"/>
      <c r="DL839" s="429"/>
      <c r="DM839" s="430"/>
      <c r="DN839" s="429"/>
      <c r="DO839" s="430"/>
      <c r="DP839" s="429"/>
      <c r="DQ839" s="430"/>
      <c r="DR839" s="429"/>
      <c r="DS839" s="430"/>
      <c r="DT839" s="429"/>
      <c r="DU839" s="430"/>
      <c r="DV839" s="429"/>
      <c r="DW839" s="430"/>
      <c r="DX839" s="429"/>
      <c r="DY839" s="430"/>
      <c r="DZ839" s="429"/>
      <c r="EA839" s="430"/>
      <c r="EB839" s="429"/>
      <c r="EC839" s="430"/>
      <c r="ED839" s="429"/>
      <c r="EE839" s="430"/>
      <c r="EF839" s="1082"/>
      <c r="EG839" s="430"/>
      <c r="EH839" s="1082"/>
      <c r="EI839" s="430"/>
      <c r="EJ839" s="1082"/>
      <c r="EK839" s="430"/>
      <c r="EL839" s="1082"/>
      <c r="EM839" s="430"/>
      <c r="EN839" s="1082"/>
      <c r="EO839" s="430"/>
      <c r="EP839" s="429"/>
      <c r="EQ839" s="1081"/>
      <c r="ER839" s="429"/>
      <c r="ES839" s="1081"/>
      <c r="ET839" s="429"/>
      <c r="EU839" s="1081"/>
      <c r="EV839" s="429"/>
      <c r="EW839" s="1081"/>
      <c r="EX839" s="429"/>
      <c r="EY839" s="430"/>
      <c r="EZ839" s="608"/>
      <c r="FA839" s="426"/>
      <c r="FB839" s="425"/>
      <c r="FC839" s="425"/>
      <c r="FD839" s="425"/>
      <c r="FE839" s="429"/>
      <c r="FF839" s="430"/>
      <c r="FG839" s="429"/>
      <c r="FH839" s="430"/>
      <c r="FI839" s="429"/>
      <c r="FJ839" s="430"/>
      <c r="FK839" s="429"/>
      <c r="FL839" s="430"/>
      <c r="FM839" s="429"/>
      <c r="FN839" s="430"/>
      <c r="FO839" s="429"/>
      <c r="FP839" s="430"/>
      <c r="FQ839" s="429"/>
      <c r="FR839" s="430"/>
      <c r="FS839" s="429"/>
      <c r="FT839" s="430"/>
      <c r="FU839" s="429"/>
      <c r="FV839" s="430"/>
      <c r="FW839" s="429"/>
      <c r="FX839" s="509"/>
      <c r="FY839" s="429"/>
      <c r="FZ839" s="430"/>
      <c r="GA839" s="429"/>
      <c r="GB839" s="509"/>
      <c r="GC839" s="429"/>
      <c r="GD839" s="430"/>
      <c r="GE839" s="429"/>
      <c r="GF839" s="430"/>
      <c r="GG839" s="429"/>
      <c r="GH839" s="430"/>
      <c r="GI839" s="429"/>
      <c r="GJ839" s="430"/>
      <c r="GK839" s="429"/>
      <c r="GL839" s="430"/>
      <c r="GM839" s="429"/>
      <c r="GN839" s="430"/>
      <c r="GO839" s="429"/>
      <c r="GP839" s="430"/>
      <c r="GQ839" s="429"/>
      <c r="GR839" s="430"/>
      <c r="GS839" s="429"/>
      <c r="GT839" s="430"/>
      <c r="GU839" s="429"/>
      <c r="GV839" s="430"/>
      <c r="GW839" s="429"/>
      <c r="GX839" s="430"/>
      <c r="GY839" s="429"/>
      <c r="GZ839" s="33"/>
      <c r="HA839" s="33"/>
      <c r="HB839" s="10"/>
      <c r="HC839"/>
      <c r="HD839"/>
      <c r="HE839"/>
      <c r="HF839"/>
      <c r="HG839"/>
      <c r="HH839"/>
      <c r="HI839" s="10"/>
    </row>
    <row r="840" spans="1:217" s="10" customFormat="1" ht="12.75" hidden="1" customHeight="1" outlineLevel="1" x14ac:dyDescent="0.2">
      <c r="A840" s="28"/>
      <c r="B840" s="10" t="s">
        <v>504</v>
      </c>
      <c r="C840" s="16"/>
      <c r="D840" s="16"/>
      <c r="E840" s="16"/>
      <c r="F840" s="16"/>
      <c r="G840" s="16"/>
      <c r="H840" s="16"/>
      <c r="I840" s="16"/>
      <c r="J840" s="16"/>
      <c r="K840" s="16"/>
      <c r="L840" s="440"/>
      <c r="M840" s="16"/>
      <c r="N840" s="440"/>
      <c r="O840" s="16"/>
      <c r="P840" s="440"/>
      <c r="Q840" s="16"/>
      <c r="R840" s="440"/>
      <c r="S840" s="16"/>
      <c r="T840" s="440"/>
      <c r="U840" s="16"/>
      <c r="V840" s="440"/>
      <c r="W840" s="16"/>
      <c r="X840" s="440"/>
      <c r="Y840" s="16"/>
      <c r="Z840" s="440"/>
      <c r="AA840" s="16"/>
      <c r="AB840" s="440"/>
      <c r="AC840" s="16"/>
      <c r="AD840" s="440"/>
      <c r="AE840" s="16"/>
      <c r="AF840" s="440"/>
      <c r="AG840" s="16"/>
      <c r="AH840" s="440"/>
      <c r="AI840" s="16"/>
      <c r="AJ840" s="440"/>
      <c r="AK840" s="16"/>
      <c r="AL840" s="440"/>
      <c r="AM840" s="16"/>
      <c r="AN840" s="440"/>
      <c r="AO840" s="16"/>
      <c r="AP840" s="440"/>
      <c r="AQ840" s="16"/>
      <c r="AR840" s="440"/>
      <c r="AS840" s="16"/>
      <c r="AT840" s="440"/>
      <c r="AU840" s="16"/>
      <c r="AV840" s="440"/>
      <c r="AW840" s="16"/>
      <c r="AX840" s="440"/>
      <c r="AY840" s="16">
        <f>(AY839/100)*AY800</f>
        <v>98.430684681030954</v>
      </c>
      <c r="AZ840" s="440"/>
      <c r="BA840" s="16">
        <f>(BA839/100)*BA800</f>
        <v>89.190584010684319</v>
      </c>
      <c r="BB840" s="440"/>
      <c r="BC840" s="16">
        <f>(BC839/100)*BC800</f>
        <v>86.1110016632053</v>
      </c>
      <c r="BD840" s="440"/>
      <c r="BE840" s="16">
        <f>(BE839/100)*BE800</f>
        <v>94.669536221035074</v>
      </c>
      <c r="BF840" s="440"/>
      <c r="BG840" s="16">
        <f>(BG839/100)*BG800</f>
        <v>106.28356472449435</v>
      </c>
      <c r="BH840" s="440"/>
      <c r="BI840" s="16">
        <f>(BI839/100)*BI800</f>
        <v>102.6339705256806</v>
      </c>
      <c r="BJ840" s="440"/>
      <c r="BK840" s="16">
        <f>(BK839/100)*BK800</f>
        <v>101.0562641723356</v>
      </c>
      <c r="BL840" s="440"/>
      <c r="BM840" s="16">
        <f>(BM839/100)*BM800</f>
        <v>116.69027899542303</v>
      </c>
      <c r="BN840" s="440"/>
      <c r="BO840" s="16">
        <f>(BO839/100)*BO800</f>
        <v>130.78619869470981</v>
      </c>
      <c r="BP840" s="440"/>
      <c r="BQ840" s="16">
        <f>(BQ839/100)*BQ800</f>
        <v>109.93299564068023</v>
      </c>
      <c r="BR840" s="440"/>
      <c r="BS840" s="16">
        <f>(BS839/100)*BS800</f>
        <v>94.073805722853677</v>
      </c>
      <c r="BT840" s="440"/>
      <c r="BU840" s="16">
        <f>(BU839/100)*BU800</f>
        <v>84.447857769907401</v>
      </c>
      <c r="BV840" s="440"/>
      <c r="BW840" s="16">
        <f>(BW839/100)*BW800</f>
        <v>91.231642944970915</v>
      </c>
      <c r="BX840" s="440"/>
      <c r="BY840" s="16">
        <f>(BY839/100)*BY800</f>
        <v>94.313721186700164</v>
      </c>
      <c r="BZ840" s="440"/>
      <c r="CA840" s="16">
        <f>(CA839/100)*CA800</f>
        <v>97.005413564699779</v>
      </c>
      <c r="CB840" s="440"/>
      <c r="CC840" s="16">
        <f>(CC839/100)*CC800</f>
        <v>87.742983996167908</v>
      </c>
      <c r="CD840" s="440"/>
      <c r="CE840" s="16">
        <f>(CE839/100)*CE800</f>
        <v>95.23748256776895</v>
      </c>
      <c r="CF840" s="440"/>
      <c r="CG840" s="16"/>
      <c r="CH840" s="440"/>
      <c r="CI840" s="16"/>
      <c r="CJ840" s="440"/>
      <c r="CK840" s="16"/>
      <c r="CL840" s="440"/>
      <c r="CM840" s="16"/>
      <c r="CN840" s="440"/>
      <c r="CO840" s="16"/>
      <c r="CP840" s="440"/>
      <c r="CQ840" s="535"/>
      <c r="CR840" s="440"/>
      <c r="CS840" s="16"/>
      <c r="CT840" s="440"/>
      <c r="CU840" s="16"/>
      <c r="CV840" s="440"/>
      <c r="CW840" s="16"/>
      <c r="CX840" s="440"/>
      <c r="CY840" s="16"/>
      <c r="CZ840" s="440"/>
      <c r="DA840" s="16"/>
      <c r="DB840" s="440"/>
      <c r="DC840" s="16"/>
      <c r="DD840" s="440"/>
      <c r="DE840" s="16"/>
      <c r="DF840" s="440"/>
      <c r="DG840" s="16"/>
      <c r="DH840" s="440"/>
      <c r="DI840" s="16"/>
      <c r="DJ840" s="440"/>
      <c r="DK840" s="16"/>
      <c r="DL840" s="440"/>
      <c r="DM840" s="16"/>
      <c r="DN840" s="440"/>
      <c r="DO840" s="16"/>
      <c r="DP840" s="440"/>
      <c r="DQ840" s="16"/>
      <c r="DR840" s="440"/>
      <c r="DS840" s="16"/>
      <c r="DT840" s="440"/>
      <c r="DU840" s="16"/>
      <c r="DV840" s="440"/>
      <c r="DW840" s="16"/>
      <c r="DX840" s="440"/>
      <c r="DY840" s="16"/>
      <c r="DZ840" s="440"/>
      <c r="EA840" s="16"/>
      <c r="EB840" s="440"/>
      <c r="EC840" s="16"/>
      <c r="ED840" s="440"/>
      <c r="EE840" s="16"/>
      <c r="EF840" s="1080"/>
      <c r="EG840" s="16"/>
      <c r="EH840" s="1080"/>
      <c r="EI840" s="16"/>
      <c r="EJ840" s="1080"/>
      <c r="EK840" s="16"/>
      <c r="EL840" s="1080"/>
      <c r="EM840" s="16"/>
      <c r="EN840" s="1080"/>
      <c r="EO840" s="16"/>
      <c r="EP840" s="440"/>
      <c r="EQ840" s="1079"/>
      <c r="ER840" s="440"/>
      <c r="ES840" s="1079"/>
      <c r="ET840" s="440"/>
      <c r="EU840" s="1079"/>
      <c r="EV840" s="440"/>
      <c r="EW840" s="1079"/>
      <c r="EX840" s="440"/>
      <c r="EY840" s="16"/>
      <c r="EZ840" s="607"/>
      <c r="FA840" s="427"/>
      <c r="FB840" s="16"/>
      <c r="FC840" s="16"/>
      <c r="FD840" s="16"/>
      <c r="FE840" s="440"/>
      <c r="FF840" s="16"/>
      <c r="FG840" s="440"/>
      <c r="FH840" s="16"/>
      <c r="FI840" s="440"/>
      <c r="FJ840" s="16"/>
      <c r="FK840" s="440"/>
      <c r="FL840" s="16"/>
      <c r="FM840" s="440"/>
      <c r="FN840" s="16"/>
      <c r="FO840" s="440"/>
      <c r="FP840" s="16"/>
      <c r="FQ840" s="440"/>
      <c r="FR840" s="16"/>
      <c r="FS840" s="440"/>
      <c r="FT840" s="16"/>
      <c r="FU840" s="440"/>
      <c r="FV840" s="16"/>
      <c r="FW840" s="440"/>
      <c r="FX840" s="535"/>
      <c r="FY840" s="440"/>
      <c r="FZ840" s="16"/>
      <c r="GA840" s="440"/>
      <c r="GB840" s="535"/>
      <c r="GC840" s="440"/>
      <c r="GD840" s="16"/>
      <c r="GE840" s="440"/>
      <c r="GF840" s="16"/>
      <c r="GG840" s="440"/>
      <c r="GH840" s="16"/>
      <c r="GI840" s="440"/>
      <c r="GJ840" s="16"/>
      <c r="GK840" s="440"/>
      <c r="GL840" s="16"/>
      <c r="GM840" s="440"/>
      <c r="GN840" s="16"/>
      <c r="GO840" s="440"/>
      <c r="GP840" s="16"/>
      <c r="GQ840" s="440"/>
      <c r="GR840" s="16"/>
      <c r="GS840" s="440"/>
      <c r="GT840" s="16"/>
      <c r="GU840" s="440"/>
      <c r="GV840" s="16"/>
      <c r="GW840" s="440"/>
      <c r="GX840" s="16"/>
      <c r="GY840" s="440"/>
      <c r="GZ840" s="455"/>
      <c r="HA840" s="455"/>
      <c r="HC840"/>
      <c r="HD840"/>
      <c r="HE840"/>
      <c r="HF840"/>
      <c r="HG840"/>
      <c r="HH840"/>
    </row>
    <row r="841" spans="1:217" s="2" customFormat="1" ht="12.75" hidden="1" customHeight="1" outlineLevel="1" x14ac:dyDescent="0.2">
      <c r="A841" s="351"/>
      <c r="D841" s="11"/>
      <c r="F841" s="11"/>
      <c r="H841" s="11"/>
      <c r="J841" s="11"/>
      <c r="L841" s="442"/>
      <c r="N841" s="442"/>
      <c r="P841" s="442"/>
      <c r="R841" s="442"/>
      <c r="S841" s="250"/>
      <c r="T841" s="442"/>
      <c r="U841" s="250"/>
      <c r="V841" s="442"/>
      <c r="W841" s="250"/>
      <c r="X841" s="442"/>
      <c r="Z841" s="442"/>
      <c r="AA841" s="250"/>
      <c r="AB841" s="442"/>
      <c r="AC841" s="250"/>
      <c r="AD841" s="442"/>
      <c r="AE841" s="250"/>
      <c r="AF841" s="442"/>
      <c r="AG841" s="250"/>
      <c r="AH841" s="442"/>
      <c r="AI841" s="250"/>
      <c r="AJ841" s="442"/>
      <c r="AK841" s="250"/>
      <c r="AL841" s="442"/>
      <c r="AM841" s="250"/>
      <c r="AN841" s="442"/>
      <c r="AO841" s="250"/>
      <c r="AP841" s="442"/>
      <c r="AQ841" s="250"/>
      <c r="AR841" s="442"/>
      <c r="AS841" s="250"/>
      <c r="AT841" s="442"/>
      <c r="AU841" s="250"/>
      <c r="AV841" s="442"/>
      <c r="AW841" s="250"/>
      <c r="AX841" s="442"/>
      <c r="AY841" s="24"/>
      <c r="AZ841" s="442"/>
      <c r="BA841" s="24"/>
      <c r="BB841" s="442"/>
      <c r="BC841" s="24"/>
      <c r="BD841" s="442"/>
      <c r="BE841" s="24"/>
      <c r="BF841" s="442"/>
      <c r="BG841" s="24"/>
      <c r="BH841" s="442"/>
      <c r="BI841" s="24"/>
      <c r="BJ841" s="442"/>
      <c r="BK841" s="24"/>
      <c r="BL841" s="14"/>
      <c r="BM841" s="24"/>
      <c r="BN841" s="442"/>
      <c r="BO841" s="24"/>
      <c r="BP841" s="442"/>
      <c r="BQ841" s="24"/>
      <c r="BR841" s="442"/>
      <c r="BS841" s="24"/>
      <c r="BT841" s="442"/>
      <c r="BU841" s="24"/>
      <c r="BV841" s="442"/>
      <c r="BW841" s="24"/>
      <c r="BX841" s="442"/>
      <c r="BY841" s="24"/>
      <c r="BZ841" s="442"/>
      <c r="CA841" s="24"/>
      <c r="CB841" s="442"/>
      <c r="CC841" s="24"/>
      <c r="CD841" s="442"/>
      <c r="CE841" s="24"/>
      <c r="CF841" s="442"/>
      <c r="CG841" s="250"/>
      <c r="CH841" s="442"/>
      <c r="CI841" s="250"/>
      <c r="CJ841" s="442"/>
      <c r="CK841" s="250"/>
      <c r="CL841" s="442"/>
      <c r="CM841" s="250"/>
      <c r="CN841" s="442"/>
      <c r="CO841" s="250"/>
      <c r="CP841" s="442"/>
      <c r="CQ841" s="514"/>
      <c r="CR841" s="442"/>
      <c r="CS841" s="250"/>
      <c r="CT841" s="442"/>
      <c r="CU841" s="250"/>
      <c r="CV841" s="442"/>
      <c r="CW841" s="250"/>
      <c r="CX841" s="442"/>
      <c r="CY841" s="250"/>
      <c r="CZ841" s="442"/>
      <c r="DA841" s="250"/>
      <c r="DB841" s="442"/>
      <c r="DC841" s="250"/>
      <c r="DD841" s="442"/>
      <c r="DE841" s="250"/>
      <c r="DF841" s="442"/>
      <c r="DG841" s="250"/>
      <c r="DH841" s="442"/>
      <c r="DI841" s="250"/>
      <c r="DJ841" s="442"/>
      <c r="DK841" s="250"/>
      <c r="DL841" s="442"/>
      <c r="DM841" s="250"/>
      <c r="DN841" s="442"/>
      <c r="DO841" s="250"/>
      <c r="DP841" s="442"/>
      <c r="DQ841" s="250"/>
      <c r="DR841" s="442"/>
      <c r="DS841" s="250"/>
      <c r="DT841" s="442"/>
      <c r="DU841" s="250"/>
      <c r="DV841" s="442"/>
      <c r="DW841" s="250"/>
      <c r="DX841" s="442"/>
      <c r="DY841" s="250"/>
      <c r="DZ841" s="442"/>
      <c r="EA841" s="250"/>
      <c r="EB841" s="442"/>
      <c r="EC841" s="250"/>
      <c r="ED841" s="442"/>
      <c r="EE841" s="250"/>
      <c r="EF841" s="1083"/>
      <c r="EG841" s="250"/>
      <c r="EH841" s="1083"/>
      <c r="EI841" s="250"/>
      <c r="EJ841" s="1083"/>
      <c r="EK841" s="250"/>
      <c r="EL841" s="1083"/>
      <c r="EM841" s="250"/>
      <c r="EN841" s="1083"/>
      <c r="EO841" s="250"/>
      <c r="EP841" s="442"/>
      <c r="EQ841" s="1009"/>
      <c r="ER841" s="442"/>
      <c r="ES841" s="1009"/>
      <c r="ET841" s="442"/>
      <c r="EU841" s="1009"/>
      <c r="EV841" s="442"/>
      <c r="EW841" s="1009"/>
      <c r="EX841" s="442"/>
      <c r="EY841" s="250"/>
      <c r="EZ841" s="588"/>
      <c r="FA841" s="10"/>
      <c r="FC841" s="11"/>
      <c r="FE841" s="442"/>
      <c r="FF841" s="250"/>
      <c r="FG841" s="442"/>
      <c r="FH841" s="250"/>
      <c r="FI841" s="442"/>
      <c r="FJ841" s="250"/>
      <c r="FK841" s="442"/>
      <c r="FL841" s="250"/>
      <c r="FM841" s="442"/>
      <c r="FN841" s="250"/>
      <c r="FO841" s="442"/>
      <c r="FP841" s="250"/>
      <c r="FQ841" s="442"/>
      <c r="FR841" s="250"/>
      <c r="FS841" s="442"/>
      <c r="FT841" s="250"/>
      <c r="FU841" s="442"/>
      <c r="FV841" s="250"/>
      <c r="FW841" s="442"/>
      <c r="FX841" s="514"/>
      <c r="FY841" s="442"/>
      <c r="FZ841" s="250"/>
      <c r="GA841" s="442"/>
      <c r="GB841" s="514"/>
      <c r="GC841" s="442"/>
      <c r="GD841" s="250"/>
      <c r="GE841" s="442"/>
      <c r="GF841" s="250"/>
      <c r="GG841" s="442"/>
      <c r="GH841" s="250"/>
      <c r="GI841" s="442"/>
      <c r="GJ841" s="250"/>
      <c r="GK841" s="442"/>
      <c r="GL841" s="250"/>
      <c r="GM841" s="442"/>
      <c r="GN841" s="250"/>
      <c r="GO841" s="442"/>
      <c r="GP841" s="250"/>
      <c r="GQ841" s="442"/>
      <c r="GR841" s="250"/>
      <c r="GS841" s="442"/>
      <c r="GT841" s="250"/>
      <c r="GU841" s="442"/>
      <c r="GV841" s="250"/>
      <c r="GW841" s="442"/>
      <c r="GX841" s="250"/>
      <c r="GY841" s="442"/>
      <c r="GZ841" s="442"/>
      <c r="HA841" s="442"/>
      <c r="HB841" s="10"/>
      <c r="HC841"/>
      <c r="HD841"/>
      <c r="HE841"/>
      <c r="HF841"/>
      <c r="HG841"/>
      <c r="HH841"/>
      <c r="HI841" s="10"/>
    </row>
    <row r="842" spans="1:217" s="2" customFormat="1" ht="12.75" hidden="1" customHeight="1" outlineLevel="1" x14ac:dyDescent="0.2">
      <c r="A842" s="351"/>
      <c r="B842" s="18" t="s">
        <v>121</v>
      </c>
      <c r="D842" s="11"/>
      <c r="F842" s="11"/>
      <c r="H842" s="11"/>
      <c r="J842" s="401"/>
      <c r="L842" s="443"/>
      <c r="N842" s="443"/>
      <c r="P842" s="443"/>
      <c r="R842" s="443"/>
      <c r="S842" s="250"/>
      <c r="T842" s="443"/>
      <c r="U842" s="250"/>
      <c r="V842" s="443"/>
      <c r="W842" s="250"/>
      <c r="X842" s="443"/>
      <c r="Z842" s="443"/>
      <c r="AA842" s="250"/>
      <c r="AB842" s="443"/>
      <c r="AC842" s="250"/>
      <c r="AD842" s="443"/>
      <c r="AE842" s="250"/>
      <c r="AF842" s="443"/>
      <c r="AG842" s="250"/>
      <c r="AH842" s="443"/>
      <c r="AI842" s="250"/>
      <c r="AJ842" s="443"/>
      <c r="AK842" s="250"/>
      <c r="AL842" s="443"/>
      <c r="AM842" s="250"/>
      <c r="AN842" s="443"/>
      <c r="AO842" s="250"/>
      <c r="AP842" s="443"/>
      <c r="AQ842" s="250"/>
      <c r="AR842" s="443"/>
      <c r="AS842" s="250"/>
      <c r="AT842" s="443"/>
      <c r="AU842" s="250"/>
      <c r="AV842" s="443"/>
      <c r="AW842" s="250"/>
      <c r="AX842" s="443"/>
      <c r="AY842" s="24"/>
      <c r="AZ842" s="443"/>
      <c r="BA842" s="24"/>
      <c r="BB842" s="443"/>
      <c r="BC842" s="24"/>
      <c r="BD842" s="443"/>
      <c r="BE842" s="24"/>
      <c r="BF842" s="443"/>
      <c r="BG842" s="402">
        <f>(BG628*400)/BG735</f>
        <v>13.228212787490001</v>
      </c>
      <c r="BH842" s="443"/>
      <c r="BI842" s="402">
        <f>(BI628*400)/BI735</f>
        <v>14.97997757488387</v>
      </c>
      <c r="BJ842" s="443"/>
      <c r="BK842" s="402">
        <f>(BK628*400)/BK735</f>
        <v>13.050129551766405</v>
      </c>
      <c r="BL842" s="448"/>
      <c r="BM842" s="402">
        <f>(BM628*400)/BM735</f>
        <v>13.031047645540667</v>
      </c>
      <c r="BN842" s="443"/>
      <c r="BO842" s="402">
        <f>(BO628*400)/BO735</f>
        <v>12.903628755230779</v>
      </c>
      <c r="BP842" s="443"/>
      <c r="BQ842" s="402">
        <f>(BQ628*400)/BQ735</f>
        <v>11.792039142676904</v>
      </c>
      <c r="BR842" s="443"/>
      <c r="BS842" s="402">
        <f>(BS628*400)/BS735</f>
        <v>9.1409276594461772</v>
      </c>
      <c r="BT842" s="443"/>
      <c r="BU842" s="401">
        <f>(BU628*400)/BU735</f>
        <v>1.8361337259657025</v>
      </c>
      <c r="BV842" s="443"/>
      <c r="BW842" s="401">
        <f>(BW628*400)/BW735</f>
        <v>1.6360144256677398</v>
      </c>
      <c r="BX842" s="443"/>
      <c r="BY842" s="401">
        <f>(BY628*400)/BY735</f>
        <v>2.4947210918599936</v>
      </c>
      <c r="BZ842" s="443"/>
      <c r="CA842" s="401">
        <f>(CA628*400)/CA735</f>
        <v>2.4847221223668128</v>
      </c>
      <c r="CB842" s="443"/>
      <c r="CC842" s="401">
        <f>(CC628*400)/CC735</f>
        <v>1.9126200854264763</v>
      </c>
      <c r="CD842" s="443"/>
      <c r="CE842" s="401">
        <f>(CE628*400)/CE735</f>
        <v>3.38075459137155</v>
      </c>
      <c r="CF842" s="443"/>
      <c r="CG842" s="401">
        <f>(CG628*400)/CG735</f>
        <v>2.6864042758601392</v>
      </c>
      <c r="CH842" s="443"/>
      <c r="CI842" s="401">
        <f>(CI628*400)/CI735</f>
        <v>1.9465480001040936</v>
      </c>
      <c r="CJ842" s="443"/>
      <c r="CK842" s="401">
        <f>(CK628*400)/CK735</f>
        <v>3.8358587621907221</v>
      </c>
      <c r="CL842" s="443"/>
      <c r="CM842" s="401">
        <f>(CM628*400)/CM735</f>
        <v>5.8450485609117919</v>
      </c>
      <c r="CN842" s="443"/>
      <c r="CO842" s="401">
        <f>(CO628*400)/CO735</f>
        <v>6.0570505086284188</v>
      </c>
      <c r="CP842" s="443"/>
      <c r="CQ842" s="538">
        <f>(CQ628*400)/CQ735</f>
        <v>6.7936614969656102</v>
      </c>
      <c r="CR842" s="443"/>
      <c r="CS842" s="401">
        <f>(CS628*400)/CS735</f>
        <v>6.7357828318691801</v>
      </c>
      <c r="CT842" s="443"/>
      <c r="CU842" s="401">
        <f>(CU628*400)/CU735</f>
        <v>8.1497083603370051</v>
      </c>
      <c r="CV842" s="443"/>
      <c r="CW842" s="401">
        <f>(CW628*400)/CW735</f>
        <v>7.7159210187550746</v>
      </c>
      <c r="CX842" s="443"/>
      <c r="CY842" s="401">
        <f>(CY628*400)/CY735</f>
        <v>7.3736682631218846</v>
      </c>
      <c r="CZ842" s="443"/>
      <c r="DA842" s="401">
        <f>(DA628*400)/DA735</f>
        <v>6.4899307740717429</v>
      </c>
      <c r="DB842" s="443"/>
      <c r="DC842" s="401">
        <f>(DC628*400)/DC735</f>
        <v>7.7400283930689797</v>
      </c>
      <c r="DD842" s="443"/>
      <c r="DE842" s="401">
        <f>(DE628*400)/DE735</f>
        <v>7.7229768214158145</v>
      </c>
      <c r="DF842" s="443"/>
      <c r="DG842" s="401">
        <f>(DG628*400)/DG735</f>
        <v>6.7005230046236637</v>
      </c>
      <c r="DH842" s="443"/>
      <c r="DI842" s="401">
        <f>(DI628*400)/DI735</f>
        <v>6.9837515136154993</v>
      </c>
      <c r="DJ842" s="443"/>
      <c r="DK842" s="401">
        <f>(DK628*400)/DK735</f>
        <v>7.1123808807773994</v>
      </c>
      <c r="DL842" s="443"/>
      <c r="DM842" s="401">
        <f>(DM628*400)/DM735</f>
        <v>6.597177382160317</v>
      </c>
      <c r="DN842" s="443"/>
      <c r="DO842" s="401">
        <f>(DO628*400)/DO735</f>
        <v>7.5243290262952831</v>
      </c>
      <c r="DP842" s="443"/>
      <c r="DQ842" s="401">
        <f>(DQ628*400)/DQ735</f>
        <v>6.6697711072106598</v>
      </c>
      <c r="DR842" s="443"/>
      <c r="DS842" s="401">
        <f>(DS628*400)/DS735</f>
        <v>9.1351206911908793</v>
      </c>
      <c r="DT842" s="443"/>
      <c r="DU842" s="401">
        <f>(DU628*400)/DU735</f>
        <v>9.2002906101040178</v>
      </c>
      <c r="DV842" s="443"/>
      <c r="DW842" s="401">
        <f>(DW628*400)/DW735</f>
        <v>8.1108197067572565</v>
      </c>
      <c r="DX842" s="443"/>
      <c r="DY842" s="401">
        <f>(DY628*400)/DY735</f>
        <v>7.474322484840985</v>
      </c>
      <c r="DZ842" s="443"/>
      <c r="EA842" s="401">
        <f>(EA628*400)/EA735</f>
        <v>7.7054496007810052</v>
      </c>
      <c r="EB842" s="443"/>
      <c r="EC842" s="401">
        <f>(EC628*400)/EC735</f>
        <v>7.0071695307760011</v>
      </c>
      <c r="ED842" s="443"/>
      <c r="EE842" s="401">
        <f>(EE628*400)/EE735</f>
        <v>9.5963122625805628</v>
      </c>
      <c r="EF842" s="1089"/>
      <c r="EG842" s="401">
        <f>(EG628*400)/EG735</f>
        <v>8.0923429377037621</v>
      </c>
      <c r="EH842" s="1089"/>
      <c r="EI842" s="401">
        <f>(EI628*400)/EI735</f>
        <v>9.3895338191672462</v>
      </c>
      <c r="EJ842" s="1089"/>
      <c r="EK842" s="401">
        <f>(EK628*400)/EK735</f>
        <v>8.5391145646102373</v>
      </c>
      <c r="EL842" s="1089"/>
      <c r="EM842" s="401">
        <f>(EM628*400)/EM735</f>
        <v>9.3123002371378494</v>
      </c>
      <c r="EN842" s="1089"/>
      <c r="EO842" s="401">
        <f>(EO628*400)/EO735</f>
        <v>10.406311277304027</v>
      </c>
      <c r="EP842" s="443"/>
      <c r="EQ842" s="1088">
        <f>(EQ628*400)/EQ735</f>
        <v>11.083329297889364</v>
      </c>
      <c r="ER842" s="443"/>
      <c r="ES842" s="1088">
        <f t="shared" ref="ES842" si="4935">(ES628*400)/ES735</f>
        <v>11.203336269753274</v>
      </c>
      <c r="ET842" s="443"/>
      <c r="EU842" s="1088">
        <f t="shared" ref="EU842" si="4936">(EU628*400)/EU735</f>
        <v>11.325358614025246</v>
      </c>
      <c r="EV842" s="443"/>
      <c r="EW842" s="1088">
        <f t="shared" ref="EW842" si="4937">(EW628*400)/EW735</f>
        <v>11.418638158899501</v>
      </c>
      <c r="EX842" s="443"/>
      <c r="EY842" s="401"/>
      <c r="EZ842" s="611"/>
      <c r="FA842" s="402"/>
      <c r="FB842" s="401">
        <f>(FB628*400)/FB733</f>
        <v>36.369029961435778</v>
      </c>
      <c r="FC842" s="401"/>
      <c r="FD842" s="401">
        <f>(FD628*400)/FD733</f>
        <v>20.595744680851062</v>
      </c>
      <c r="FE842" s="443"/>
      <c r="FF842" s="401">
        <f>(FF628*400)/FF733</f>
        <v>40.307652196584542</v>
      </c>
      <c r="FG842" s="443"/>
      <c r="FH842" s="401">
        <f>(FH628*400)/FH733</f>
        <v>25.185905900340536</v>
      </c>
      <c r="FI842" s="443"/>
      <c r="FJ842" s="401">
        <f>(FJ628*400)/FJ733</f>
        <v>45.363506307712314</v>
      </c>
      <c r="FK842" s="443"/>
      <c r="FL842" s="401">
        <f>(FL628*400)/FL733</f>
        <v>48.96224873345318</v>
      </c>
      <c r="FM842" s="443"/>
      <c r="FN842" s="401">
        <f>(FN628*400)/FN733</f>
        <v>53.13066237165291</v>
      </c>
      <c r="FO842" s="443"/>
      <c r="FP842" s="401">
        <f>(FP628*400)/FP733</f>
        <v>42.531906285630221</v>
      </c>
      <c r="FQ842" s="443"/>
      <c r="FR842" s="401">
        <f>(FR628*400)/FR733</f>
        <v>46.438188494492046</v>
      </c>
      <c r="FS842" s="443"/>
      <c r="FT842" s="401">
        <f>(FT628*400)/FT733</f>
        <v>53.493870675941224</v>
      </c>
      <c r="FU842" s="443"/>
      <c r="FV842" s="401">
        <f>(FV628*100)/FV735</f>
        <v>8.5524380918769491</v>
      </c>
      <c r="FW842" s="443"/>
      <c r="FX842" s="538">
        <f>(FX628*100)/FX735</f>
        <v>2.143203675694187</v>
      </c>
      <c r="FY842" s="443"/>
      <c r="FZ842" s="401">
        <f>(FZ628*100)/FZ735</f>
        <v>2.8374310085298546</v>
      </c>
      <c r="GA842" s="443"/>
      <c r="GB842" s="538">
        <f>(GB628*100)/GB735</f>
        <v>7.1659454394221758</v>
      </c>
      <c r="GC842" s="443"/>
      <c r="GD842" s="401">
        <f>(GD628*100)/GD735</f>
        <v>7.46554059437495</v>
      </c>
      <c r="GE842" s="443"/>
      <c r="GF842" s="401">
        <f>(GF628*100)/GF735</f>
        <v>10.300495364391589</v>
      </c>
      <c r="GG842" s="443"/>
      <c r="GH842" s="401">
        <f>(GH628*100)/GH735</f>
        <v>9.93695200632318</v>
      </c>
      <c r="GI842" s="443"/>
      <c r="GJ842" s="401">
        <f>(GJ628*100)/GJ735</f>
        <v>8.5350204954553561</v>
      </c>
      <c r="GK842" s="443"/>
      <c r="GL842" s="401">
        <f>(GL628*100)/GL735</f>
        <v>8.4406315334150381</v>
      </c>
      <c r="GM842" s="98">
        <f t="shared" ref="GM842:GS847" si="4938">IF(ISERROR((GL842/GJ842-1)*100),"NA",IF(((GL842/GJ842-1)*100)&gt;100,"NM",IF(((GL842/GJ842-1)*100)&lt;-50,"NM",(GL842/GJ842-1)*100)))</f>
        <v>-1.1059019962585626</v>
      </c>
      <c r="GN842" s="401">
        <f>(GN628*100)/GN735</f>
        <v>9.992261831203967</v>
      </c>
      <c r="GO842" s="98">
        <f t="shared" si="4938"/>
        <v>18.382869713555028</v>
      </c>
      <c r="GP842" s="401">
        <f>(GP628*100)/GP735</f>
        <v>12.131092549372671</v>
      </c>
      <c r="GQ842" s="98">
        <f t="shared" si="4938"/>
        <v>21.404870631887718</v>
      </c>
      <c r="GR842" s="401">
        <f>(GR628*100)/GR735</f>
        <v>11.618149817394736</v>
      </c>
      <c r="GS842" s="98">
        <f t="shared" si="4938"/>
        <v>-4.2283308769617829</v>
      </c>
      <c r="GT842" s="401">
        <f>(GT628*100)/GT735</f>
        <v>11.891281854613878</v>
      </c>
      <c r="GU842" s="443"/>
      <c r="GV842" s="401">
        <f>(GV628*100)/GV735</f>
        <v>12.030625558132082</v>
      </c>
      <c r="GW842" s="443"/>
      <c r="GX842" s="401">
        <f>(GX628*100)/GX735</f>
        <v>12.043122178546385</v>
      </c>
      <c r="GY842" s="443"/>
      <c r="GZ842" s="443"/>
      <c r="HA842" s="443"/>
      <c r="HB842" s="10"/>
      <c r="HC842"/>
      <c r="HD842"/>
      <c r="HE842"/>
      <c r="HF842"/>
      <c r="HG842"/>
      <c r="HH842"/>
      <c r="HI842" s="10"/>
    </row>
    <row r="843" spans="1:217" s="10" customFormat="1" ht="12.75" hidden="1" customHeight="1" outlineLevel="1" x14ac:dyDescent="0.2">
      <c r="A843" s="28"/>
      <c r="B843" s="10" t="s">
        <v>97</v>
      </c>
      <c r="C843" s="16"/>
      <c r="D843" s="16"/>
      <c r="E843" s="16"/>
      <c r="F843" s="16"/>
      <c r="G843" s="16"/>
      <c r="H843" s="16"/>
      <c r="I843" s="16"/>
      <c r="J843" s="16"/>
      <c r="K843" s="16"/>
      <c r="L843" s="440"/>
      <c r="M843" s="16"/>
      <c r="N843" s="440"/>
      <c r="O843" s="16"/>
      <c r="P843" s="440"/>
      <c r="Q843" s="16"/>
      <c r="R843" s="440"/>
      <c r="S843" s="16"/>
      <c r="T843" s="440"/>
      <c r="U843" s="16"/>
      <c r="V843" s="440"/>
      <c r="W843" s="16"/>
      <c r="X843" s="440"/>
      <c r="Y843" s="16"/>
      <c r="Z843" s="440"/>
      <c r="AA843" s="16"/>
      <c r="AB843" s="440"/>
      <c r="AC843" s="16"/>
      <c r="AD843" s="440"/>
      <c r="AE843" s="16"/>
      <c r="AF843" s="440"/>
      <c r="AG843" s="16"/>
      <c r="AH843" s="440"/>
      <c r="AI843" s="16"/>
      <c r="AJ843" s="440"/>
      <c r="AK843" s="16"/>
      <c r="AL843" s="440"/>
      <c r="AM843" s="16"/>
      <c r="AN843" s="440"/>
      <c r="AO843" s="16"/>
      <c r="AP843" s="440"/>
      <c r="AQ843" s="16"/>
      <c r="AR843" s="440"/>
      <c r="AS843" s="16"/>
      <c r="AT843" s="440"/>
      <c r="AU843" s="16"/>
      <c r="AV843" s="440"/>
      <c r="AW843" s="16"/>
      <c r="AX843" s="440"/>
      <c r="AY843" s="16">
        <v>861</v>
      </c>
      <c r="AZ843" s="440"/>
      <c r="BA843" s="16">
        <v>835</v>
      </c>
      <c r="BB843" s="440"/>
      <c r="BC843" s="16">
        <v>816</v>
      </c>
      <c r="BD843" s="440"/>
      <c r="BE843" s="16">
        <v>820</v>
      </c>
      <c r="BF843" s="440"/>
      <c r="BG843" s="16">
        <v>896</v>
      </c>
      <c r="BH843" s="440"/>
      <c r="BI843" s="16">
        <v>957</v>
      </c>
      <c r="BJ843" s="440"/>
      <c r="BK843" s="16">
        <v>893</v>
      </c>
      <c r="BL843" s="440"/>
      <c r="BM843" s="16">
        <v>930</v>
      </c>
      <c r="BN843" s="440"/>
      <c r="BO843" s="16">
        <v>941</v>
      </c>
      <c r="BP843" s="440"/>
      <c r="BQ843" s="16">
        <v>949</v>
      </c>
      <c r="BR843" s="440"/>
      <c r="BS843" s="16">
        <v>778</v>
      </c>
      <c r="BT843" s="440"/>
      <c r="BU843" s="16">
        <v>649</v>
      </c>
      <c r="BV843" s="440"/>
      <c r="BW843" s="16">
        <v>622</v>
      </c>
      <c r="BX843" s="440"/>
      <c r="BY843" s="16"/>
      <c r="BZ843" s="440"/>
      <c r="CA843" s="16"/>
      <c r="CB843" s="440"/>
      <c r="CC843" s="16"/>
      <c r="CD843" s="440"/>
      <c r="CE843" s="16"/>
      <c r="CF843" s="440"/>
      <c r="CG843" s="16"/>
      <c r="CH843" s="440"/>
      <c r="CI843" s="16"/>
      <c r="CJ843" s="440"/>
      <c r="CK843" s="16"/>
      <c r="CL843" s="440"/>
      <c r="CM843" s="16">
        <f>CM192+CM581+CM505+CM271+CM117</f>
        <v>465</v>
      </c>
      <c r="CN843" s="440"/>
      <c r="CO843" s="16">
        <f>CO192+CO581+CO505+CO271+CO117</f>
        <v>478</v>
      </c>
      <c r="CP843" s="440"/>
      <c r="CQ843" s="16">
        <f>CQ192+CQ581+CQ505+CQ271+CQ117</f>
        <v>592</v>
      </c>
      <c r="CR843" s="440"/>
      <c r="CS843" s="16">
        <f>CS192+CS581+CS505+CS271+CS117</f>
        <v>698</v>
      </c>
      <c r="CT843" s="440"/>
      <c r="CU843" s="16">
        <f>CU192+CU581+CU505+CU271+CU117</f>
        <v>823</v>
      </c>
      <c r="CV843" s="440"/>
      <c r="CW843" s="16">
        <f>CW192+CW581+CW505+CW271+CW117</f>
        <v>793</v>
      </c>
      <c r="CX843" s="440"/>
      <c r="CY843" s="16">
        <f>CY192+CY581+CY505+CY271+CY117</f>
        <v>857</v>
      </c>
      <c r="CZ843" s="440"/>
      <c r="DA843" s="16">
        <f>DA192+DA581+DA505+DA271+DA117</f>
        <v>807</v>
      </c>
      <c r="DB843" s="440"/>
      <c r="DC843" s="16">
        <f>DC192+DC581+DC505+DC271+DC117</f>
        <v>868</v>
      </c>
      <c r="DD843" s="440"/>
      <c r="DE843" s="16">
        <f>DE192+DE581+DE505+DE271+DE117</f>
        <v>966</v>
      </c>
      <c r="DF843" s="440"/>
      <c r="DG843" s="16">
        <f>DG192+DG581+DG505+DG271+DG117</f>
        <v>894</v>
      </c>
      <c r="DH843" s="440"/>
      <c r="DI843" s="16">
        <f>DI192+DI581+DI505+DI271+DI117</f>
        <v>915</v>
      </c>
      <c r="DJ843" s="440"/>
      <c r="DK843" s="16">
        <f>DK192+DK581+DK505+DK271+DK117</f>
        <v>884</v>
      </c>
      <c r="DL843" s="440"/>
      <c r="DM843" s="16">
        <f>DM192+DM581+DM505+DM271+DM117</f>
        <v>961</v>
      </c>
      <c r="DN843" s="440"/>
      <c r="DO843" s="16">
        <f>DO192+DO581+DO505+DO271+DO117</f>
        <v>977</v>
      </c>
      <c r="DP843" s="440"/>
      <c r="DQ843" s="16">
        <f>DQ192+DQ581+DQ505+DQ271+DQ117</f>
        <v>982</v>
      </c>
      <c r="DR843" s="440"/>
      <c r="DS843" s="16">
        <f>DS192+DS581+DS505+DS271+DS117</f>
        <v>887</v>
      </c>
      <c r="DT843" s="440"/>
      <c r="DU843" s="16">
        <f>DU192+DU581+DU505+DU271+DU117</f>
        <v>924</v>
      </c>
      <c r="DV843" s="440"/>
      <c r="DW843" s="16">
        <f>DW192+DW581+DW505+DW271+DW117</f>
        <v>770</v>
      </c>
      <c r="DX843" s="440"/>
      <c r="DY843" s="16">
        <f>DY192+DY581+DY505+DY271+DY117</f>
        <v>747</v>
      </c>
      <c r="DZ843" s="440"/>
      <c r="EA843" s="16">
        <f>EA192+EA581+EA505+EA271+EA117</f>
        <v>759</v>
      </c>
      <c r="EB843" s="440"/>
      <c r="EC843" s="16">
        <f>EC192+EC581+EC505+EC271+EC117</f>
        <v>754</v>
      </c>
      <c r="ED843" s="440"/>
      <c r="EE843" s="16">
        <f>EE192+EE581+EE505+EE271+EE117</f>
        <v>829.2</v>
      </c>
      <c r="EF843" s="1080"/>
      <c r="EG843" s="16">
        <f>EG192+EG581+EG505+EG271+EG117</f>
        <v>803</v>
      </c>
      <c r="EH843" s="1080"/>
      <c r="EI843" s="16">
        <f>EI192+EI581+EI505+EI271+EI117</f>
        <v>830</v>
      </c>
      <c r="EJ843" s="1080"/>
      <c r="EK843" s="16">
        <f>EK192+EK581+EK505+EK271+EK117</f>
        <v>770</v>
      </c>
      <c r="EL843" s="1080"/>
      <c r="EM843" s="16">
        <f>EM192+EM581+EM505+EM271+EM117</f>
        <v>753</v>
      </c>
      <c r="EN843" s="1080"/>
      <c r="EO843" s="16">
        <f>EO192+EO581+EO505+EO271+EO117</f>
        <v>802</v>
      </c>
      <c r="EP843" s="440"/>
      <c r="EQ843" s="16">
        <f>EQ192+EQ581+EQ505+EQ271+EQ117</f>
        <v>868.24987546694592</v>
      </c>
      <c r="ER843" s="440"/>
      <c r="ES843" s="16">
        <f>ES192+ES581+ES505+ES271+ES117</f>
        <v>856.51110538128876</v>
      </c>
      <c r="ET843" s="440"/>
      <c r="EU843" s="16">
        <f>EU192+EU581+EU505+EU271+EU117</f>
        <v>855.09490618724476</v>
      </c>
      <c r="EV843" s="440"/>
      <c r="EW843" s="16">
        <f>EW192+EW581+EW505+EW271+EW117</f>
        <v>894.5119047779815</v>
      </c>
      <c r="EX843" s="440"/>
      <c r="EY843" s="16"/>
      <c r="EZ843" s="607"/>
      <c r="FA843" s="427"/>
      <c r="FB843" s="16"/>
      <c r="FC843" s="16"/>
      <c r="FD843" s="16">
        <f>FD192+FD581+FD505+FD271+FD117</f>
        <v>3392</v>
      </c>
      <c r="FE843" s="440"/>
      <c r="FF843" s="16">
        <f>FF192+FF581+FF505+FF271+FF117</f>
        <v>3469</v>
      </c>
      <c r="FG843" s="440"/>
      <c r="FH843" s="16">
        <f>FH192+FH581+FH505+FH271+FH117</f>
        <v>677.85161290322571</v>
      </c>
      <c r="FI843" s="440"/>
      <c r="FJ843" s="16">
        <f>FJ192+FJ581+FJ505+FJ271+FJ117</f>
        <v>835</v>
      </c>
      <c r="FK843" s="440"/>
      <c r="FL843" s="16">
        <f>FL192+FL581+FL505+FL271+FL117</f>
        <v>1071</v>
      </c>
      <c r="FM843" s="440"/>
      <c r="FN843" s="16">
        <f>FN192+FN581+FN505+FN271+FN117</f>
        <v>1026</v>
      </c>
      <c r="FO843" s="440"/>
      <c r="FP843" s="16">
        <f>FP192+FP581+FP505+FP271+FP117</f>
        <v>1245</v>
      </c>
      <c r="FQ843" s="440"/>
      <c r="FR843" s="16">
        <f>FR192+FR581+FR505+FR271+FR117</f>
        <v>1640</v>
      </c>
      <c r="FS843" s="440"/>
      <c r="FT843" s="16">
        <f>FT192+FT581+FT505+FT271+FT117</f>
        <v>1871</v>
      </c>
      <c r="FU843" s="440"/>
      <c r="FV843" s="16">
        <f>FV192+FV581+FV505+FV271+FV117</f>
        <v>4834</v>
      </c>
      <c r="FW843" s="440"/>
      <c r="FX843" s="16">
        <f>FX192+FX581+FX505+FX271+FX117</f>
        <v>1224</v>
      </c>
      <c r="FY843" s="440"/>
      <c r="FZ843" s="16">
        <f>FZ192+FZ581+FZ505+FZ271+FZ117</f>
        <v>1532</v>
      </c>
      <c r="GA843" s="440"/>
      <c r="GB843" s="16">
        <f>GB192+GB581+GB505+GB271+GB117</f>
        <v>2714</v>
      </c>
      <c r="GC843" s="440"/>
      <c r="GD843" s="16">
        <f>GD192+GD581+GD505+GD271+GD117</f>
        <v>3280</v>
      </c>
      <c r="GE843" s="440"/>
      <c r="GF843" s="16" t="e">
        <f>GF192+#REF!+#REF!+#REF!+GF581+#REF!</f>
        <v>#REF!</v>
      </c>
      <c r="GG843" s="440"/>
      <c r="GH843" s="16" t="e">
        <f>GH192+#REF!+#REF!+#REF!+GH581+#REF!</f>
        <v>#REF!</v>
      </c>
      <c r="GI843" s="440"/>
      <c r="GJ843" s="16">
        <f>GJ192+GJ581+GJ505+GJ271+GJ117</f>
        <v>3328</v>
      </c>
      <c r="GK843" s="440"/>
      <c r="GL843" s="16">
        <f>GL192+GL581+GL505+GL271+GL117</f>
        <v>3145.2</v>
      </c>
      <c r="GM843" s="98">
        <f t="shared" si="4938"/>
        <v>-5.492788461538467</v>
      </c>
      <c r="GN843" s="16">
        <f>GN192+GN581+GN505+GN271+GN117</f>
        <v>3155</v>
      </c>
      <c r="GO843" s="98">
        <f t="shared" si="4938"/>
        <v>0.31158590868625158</v>
      </c>
      <c r="GP843" s="16">
        <f>GP192+GP581+GP505+GP271+GP117</f>
        <v>3474.3677918134617</v>
      </c>
      <c r="GQ843" s="98">
        <f t="shared" si="4938"/>
        <v>10.12259245050593</v>
      </c>
      <c r="GR843" s="16">
        <f>GR192+GR581+GR505+GR271+GR117</f>
        <v>3471.547957285753</v>
      </c>
      <c r="GS843" s="98">
        <f t="shared" si="4938"/>
        <v>-8.1161083013525648E-2</v>
      </c>
      <c r="GT843" s="16">
        <f>GT192+GT581+GT505+GT271+GT117</f>
        <v>3443.1364939427076</v>
      </c>
      <c r="GU843" s="440"/>
      <c r="GV843" s="16">
        <f>GV192+GV581+GV505+GV271+GV117</f>
        <v>3424.1125040364354</v>
      </c>
      <c r="GW843" s="440"/>
      <c r="GX843" s="16">
        <f>GX192+GX581+GX505+GX271+GX117</f>
        <v>3405.4653241348569</v>
      </c>
      <c r="GY843" s="440"/>
      <c r="GZ843" s="455"/>
      <c r="HA843" s="455"/>
      <c r="HC843"/>
      <c r="HD843"/>
      <c r="HE843"/>
      <c r="HF843"/>
      <c r="HG843"/>
      <c r="HH843"/>
    </row>
    <row r="844" spans="1:217" s="2" customFormat="1" ht="12.75" hidden="1" customHeight="1" outlineLevel="1" x14ac:dyDescent="0.2">
      <c r="A844" s="351"/>
      <c r="D844" s="11"/>
      <c r="F844" s="11"/>
      <c r="H844" s="11"/>
      <c r="J844" s="11"/>
      <c r="L844" s="442"/>
      <c r="N844" s="442"/>
      <c r="P844" s="442"/>
      <c r="R844" s="442"/>
      <c r="S844" s="250"/>
      <c r="T844" s="442"/>
      <c r="U844" s="250"/>
      <c r="V844" s="442"/>
      <c r="W844" s="250"/>
      <c r="X844" s="442"/>
      <c r="Z844" s="442"/>
      <c r="AA844" s="250"/>
      <c r="AB844" s="442"/>
      <c r="AC844" s="250"/>
      <c r="AD844" s="442"/>
      <c r="AE844" s="250"/>
      <c r="AF844" s="442"/>
      <c r="AG844" s="250"/>
      <c r="AH844" s="442"/>
      <c r="AI844" s="250"/>
      <c r="AJ844" s="442"/>
      <c r="AK844" s="250"/>
      <c r="AL844" s="442"/>
      <c r="AM844" s="250"/>
      <c r="AN844" s="442"/>
      <c r="AO844" s="250"/>
      <c r="AP844" s="442"/>
      <c r="AQ844" s="250"/>
      <c r="AR844" s="442"/>
      <c r="AS844" s="250"/>
      <c r="AT844" s="442"/>
      <c r="AU844" s="250"/>
      <c r="AV844" s="442"/>
      <c r="AW844" s="250"/>
      <c r="AX844" s="442"/>
      <c r="AY844" s="24"/>
      <c r="AZ844" s="442"/>
      <c r="BA844" s="24"/>
      <c r="BB844" s="442"/>
      <c r="BC844" s="24"/>
      <c r="BD844" s="442"/>
      <c r="BE844" s="24"/>
      <c r="BF844" s="442"/>
      <c r="BG844" s="24"/>
      <c r="BH844" s="442"/>
      <c r="BI844" s="24"/>
      <c r="BJ844" s="442"/>
      <c r="BK844" s="24"/>
      <c r="BL844" s="14"/>
      <c r="BM844" s="24"/>
      <c r="BN844" s="442"/>
      <c r="BO844" s="24"/>
      <c r="BP844" s="442"/>
      <c r="BQ844" s="24"/>
      <c r="BR844" s="442"/>
      <c r="BS844" s="24"/>
      <c r="BT844" s="442"/>
      <c r="BU844" s="24"/>
      <c r="BV844" s="442"/>
      <c r="BW844" s="24"/>
      <c r="BX844" s="442"/>
      <c r="BY844" s="24"/>
      <c r="BZ844" s="442"/>
      <c r="CA844" s="24"/>
      <c r="CB844" s="442"/>
      <c r="CC844" s="24"/>
      <c r="CD844" s="442"/>
      <c r="CE844" s="24"/>
      <c r="CF844" s="442"/>
      <c r="CG844" s="250"/>
      <c r="CH844" s="442"/>
      <c r="CI844" s="250"/>
      <c r="CJ844" s="442"/>
      <c r="CK844" s="250"/>
      <c r="CL844" s="442"/>
      <c r="CM844" s="250"/>
      <c r="CN844" s="442"/>
      <c r="CO844" s="250"/>
      <c r="CP844" s="442"/>
      <c r="CQ844" s="250"/>
      <c r="CR844" s="442"/>
      <c r="CS844" s="250"/>
      <c r="CT844" s="442"/>
      <c r="CU844" s="250"/>
      <c r="CV844" s="442"/>
      <c r="CW844" s="250"/>
      <c r="CX844" s="442"/>
      <c r="CY844" s="250"/>
      <c r="CZ844" s="442"/>
      <c r="DA844" s="250"/>
      <c r="DB844" s="442"/>
      <c r="DC844" s="250"/>
      <c r="DD844" s="442"/>
      <c r="DE844" s="250"/>
      <c r="DF844" s="442"/>
      <c r="DG844" s="250"/>
      <c r="DH844" s="442"/>
      <c r="DI844" s="250"/>
      <c r="DJ844" s="442"/>
      <c r="DK844" s="250"/>
      <c r="DL844" s="442"/>
      <c r="DM844" s="250"/>
      <c r="DN844" s="442"/>
      <c r="DO844" s="250"/>
      <c r="DP844" s="442"/>
      <c r="DQ844" s="250"/>
      <c r="DR844" s="442"/>
      <c r="DS844" s="250"/>
      <c r="DT844" s="442"/>
      <c r="DU844" s="250"/>
      <c r="DV844" s="442"/>
      <c r="DW844" s="250"/>
      <c r="DX844" s="442"/>
      <c r="DY844" s="250"/>
      <c r="DZ844" s="442"/>
      <c r="EA844" s="250"/>
      <c r="EB844" s="442"/>
      <c r="EC844" s="250"/>
      <c r="ED844" s="442"/>
      <c r="EE844" s="250"/>
      <c r="EF844" s="1083"/>
      <c r="EG844" s="250"/>
      <c r="EH844" s="1083"/>
      <c r="EI844" s="250"/>
      <c r="EJ844" s="1083"/>
      <c r="EK844" s="250"/>
      <c r="EL844" s="1083"/>
      <c r="EM844" s="250"/>
      <c r="EN844" s="1083"/>
      <c r="EO844" s="250"/>
      <c r="EP844" s="442"/>
      <c r="EQ844" s="1009"/>
      <c r="ER844" s="442"/>
      <c r="ES844" s="1009"/>
      <c r="ET844" s="442"/>
      <c r="EU844" s="1009"/>
      <c r="EV844" s="442"/>
      <c r="EW844" s="1009"/>
      <c r="EX844" s="442"/>
      <c r="EY844" s="250"/>
      <c r="EZ844" s="588"/>
      <c r="FA844" s="10"/>
      <c r="FC844" s="11"/>
      <c r="FE844" s="442"/>
      <c r="FF844" s="250"/>
      <c r="FG844" s="442"/>
      <c r="FH844" s="250"/>
      <c r="FI844" s="442"/>
      <c r="FJ844" s="250"/>
      <c r="FK844" s="442"/>
      <c r="FL844" s="250"/>
      <c r="FM844" s="442"/>
      <c r="FN844" s="250"/>
      <c r="FO844" s="442"/>
      <c r="FP844" s="250"/>
      <c r="FQ844" s="442"/>
      <c r="FR844" s="250"/>
      <c r="FS844" s="442"/>
      <c r="FT844" s="250"/>
      <c r="FU844" s="442"/>
      <c r="FV844" s="250"/>
      <c r="FW844" s="442"/>
      <c r="FX844" s="514"/>
      <c r="FY844" s="442"/>
      <c r="FZ844" s="250"/>
      <c r="GA844" s="442"/>
      <c r="GB844" s="514"/>
      <c r="GC844" s="442"/>
      <c r="GD844" s="250"/>
      <c r="GE844" s="442"/>
      <c r="GF844" s="250"/>
      <c r="GG844" s="442"/>
      <c r="GH844" s="250"/>
      <c r="GI844" s="442"/>
      <c r="GJ844" s="250"/>
      <c r="GK844" s="442"/>
      <c r="GL844" s="250"/>
      <c r="GM844" s="98"/>
      <c r="GN844" s="250"/>
      <c r="GO844" s="98"/>
      <c r="GP844" s="250"/>
      <c r="GQ844" s="98"/>
      <c r="GR844" s="250"/>
      <c r="GS844" s="98"/>
      <c r="GT844" s="250"/>
      <c r="GU844" s="442"/>
      <c r="GV844" s="250"/>
      <c r="GW844" s="442"/>
      <c r="GX844" s="250"/>
      <c r="GY844" s="442"/>
      <c r="GZ844" s="442"/>
      <c r="HA844" s="442"/>
      <c r="HB844" s="10"/>
      <c r="HC844"/>
      <c r="HD844"/>
      <c r="HE844"/>
      <c r="HF844"/>
      <c r="HG844"/>
      <c r="HH844"/>
      <c r="HI844" s="10"/>
    </row>
    <row r="845" spans="1:217" s="2" customFormat="1" ht="12.75" hidden="1" customHeight="1" outlineLevel="1" x14ac:dyDescent="0.2">
      <c r="A845" s="351"/>
      <c r="B845" s="5" t="s">
        <v>295</v>
      </c>
      <c r="D845" s="11"/>
      <c r="F845" s="11"/>
      <c r="H845" s="11"/>
      <c r="J845" s="11"/>
      <c r="L845" s="442"/>
      <c r="N845" s="442"/>
      <c r="P845" s="442"/>
      <c r="R845" s="442"/>
      <c r="S845" s="250"/>
      <c r="T845" s="442"/>
      <c r="U845" s="250"/>
      <c r="V845" s="442"/>
      <c r="W845" s="250"/>
      <c r="X845" s="442"/>
      <c r="Z845" s="442"/>
      <c r="AA845" s="250"/>
      <c r="AB845" s="442"/>
      <c r="AC845" s="250"/>
      <c r="AD845" s="442"/>
      <c r="AE845" s="250"/>
      <c r="AF845" s="442"/>
      <c r="AG845" s="250"/>
      <c r="AH845" s="442"/>
      <c r="AI845" s="250"/>
      <c r="AJ845" s="442"/>
      <c r="AK845" s="250"/>
      <c r="AL845" s="442"/>
      <c r="AM845" s="250"/>
      <c r="AN845" s="442"/>
      <c r="AO845" s="250"/>
      <c r="AP845" s="442"/>
      <c r="AQ845" s="250"/>
      <c r="AR845" s="442"/>
      <c r="AS845" s="250"/>
      <c r="AT845" s="442"/>
      <c r="AU845" s="250"/>
      <c r="AV845" s="442"/>
      <c r="AW845" s="250"/>
      <c r="AX845" s="442"/>
      <c r="AY845" s="24"/>
      <c r="AZ845" s="442"/>
      <c r="BA845" s="169"/>
      <c r="BB845" s="442"/>
      <c r="BC845" s="169"/>
      <c r="BD845" s="442"/>
      <c r="BE845" s="169"/>
      <c r="BF845" s="442"/>
      <c r="BG845" s="169"/>
      <c r="BH845" s="442"/>
      <c r="BI845" s="169"/>
      <c r="BJ845" s="442"/>
      <c r="BK845" s="24"/>
      <c r="BL845" s="14"/>
      <c r="BM845" s="24"/>
      <c r="BN845" s="442"/>
      <c r="BO845" s="24"/>
      <c r="BP845" s="442"/>
      <c r="BQ845" s="24"/>
      <c r="BR845" s="442"/>
      <c r="BS845" s="24"/>
      <c r="BT845" s="442"/>
      <c r="BU845" s="24"/>
      <c r="BV845" s="442"/>
      <c r="BW845" s="24"/>
      <c r="BX845" s="442"/>
      <c r="BY845" s="24"/>
      <c r="BZ845" s="442"/>
      <c r="CA845" s="24"/>
      <c r="CB845" s="442"/>
      <c r="CC845" s="24"/>
      <c r="CD845" s="442"/>
      <c r="CE845" s="24"/>
      <c r="CF845" s="442"/>
      <c r="CG845" s="250"/>
      <c r="CH845" s="442"/>
      <c r="CI845" s="250"/>
      <c r="CJ845" s="442"/>
      <c r="CK845" s="250"/>
      <c r="CL845" s="442"/>
      <c r="CM845" s="250"/>
      <c r="CN845" s="442"/>
      <c r="CO845" s="250"/>
      <c r="CP845" s="442"/>
      <c r="CQ845" s="250"/>
      <c r="CR845" s="442"/>
      <c r="CS845" s="250"/>
      <c r="CT845" s="442"/>
      <c r="CU845" s="250"/>
      <c r="CV845" s="442"/>
      <c r="CW845" s="250"/>
      <c r="CX845" s="442"/>
      <c r="CY845" s="250"/>
      <c r="CZ845" s="442"/>
      <c r="DA845" s="250"/>
      <c r="DB845" s="442"/>
      <c r="DC845" s="250"/>
      <c r="DD845" s="442"/>
      <c r="DE845" s="250"/>
      <c r="DF845" s="442"/>
      <c r="DG845" s="250"/>
      <c r="DH845" s="442"/>
      <c r="DI845" s="250"/>
      <c r="DJ845" s="442"/>
      <c r="DK845" s="250"/>
      <c r="DL845" s="442"/>
      <c r="DM845" s="250"/>
      <c r="DN845" s="442"/>
      <c r="DO845" s="250"/>
      <c r="DP845" s="442"/>
      <c r="DQ845" s="250"/>
      <c r="DR845" s="442"/>
      <c r="DS845" s="250"/>
      <c r="DT845" s="442"/>
      <c r="DU845" s="250"/>
      <c r="DV845" s="442"/>
      <c r="DW845" s="250"/>
      <c r="DX845" s="442"/>
      <c r="DY845" s="250"/>
      <c r="DZ845" s="442"/>
      <c r="EA845" s="250"/>
      <c r="EB845" s="442"/>
      <c r="EC845" s="250"/>
      <c r="ED845" s="442"/>
      <c r="EE845" s="250"/>
      <c r="EF845" s="1083"/>
      <c r="EG845" s="250"/>
      <c r="EH845" s="1083"/>
      <c r="EI845" s="250"/>
      <c r="EJ845" s="1083"/>
      <c r="EK845" s="250"/>
      <c r="EL845" s="1083"/>
      <c r="EM845" s="250"/>
      <c r="EN845" s="1083"/>
      <c r="EO845" s="250"/>
      <c r="EP845" s="442"/>
      <c r="EQ845" s="1009"/>
      <c r="ER845" s="442"/>
      <c r="ES845" s="1009"/>
      <c r="ET845" s="442"/>
      <c r="EU845" s="1009"/>
      <c r="EV845" s="442"/>
      <c r="EW845" s="1009"/>
      <c r="EX845" s="442"/>
      <c r="EY845" s="250"/>
      <c r="EZ845" s="588"/>
      <c r="FA845" s="10"/>
      <c r="FC845" s="11"/>
      <c r="FE845" s="442"/>
      <c r="FF845" s="250"/>
      <c r="FG845" s="442"/>
      <c r="FH845" s="250"/>
      <c r="FI845" s="442"/>
      <c r="FJ845" s="250"/>
      <c r="FK845" s="442"/>
      <c r="FL845" s="250"/>
      <c r="FM845" s="442"/>
      <c r="FN845" s="250"/>
      <c r="FO845" s="442"/>
      <c r="FP845" s="250"/>
      <c r="FQ845" s="442"/>
      <c r="FR845" s="250"/>
      <c r="FS845" s="442"/>
      <c r="FT845" s="250"/>
      <c r="FU845" s="442"/>
      <c r="FV845" s="250"/>
      <c r="FW845" s="442"/>
      <c r="FX845" s="514"/>
      <c r="FY845" s="442"/>
      <c r="FZ845" s="250"/>
      <c r="GA845" s="442"/>
      <c r="GB845" s="514"/>
      <c r="GC845" s="442"/>
      <c r="GD845" s="250"/>
      <c r="GE845" s="442"/>
      <c r="GF845" s="250"/>
      <c r="GG845" s="442"/>
      <c r="GH845" s="250"/>
      <c r="GI845" s="442"/>
      <c r="GJ845" s="250"/>
      <c r="GK845" s="442"/>
      <c r="GL845" s="250"/>
      <c r="GM845" s="98"/>
      <c r="GN845" s="250"/>
      <c r="GO845" s="98"/>
      <c r="GP845" s="250"/>
      <c r="GQ845" s="98"/>
      <c r="GR845" s="250"/>
      <c r="GS845" s="98"/>
      <c r="GT845" s="250"/>
      <c r="GU845" s="442"/>
      <c r="GV845" s="250"/>
      <c r="GW845" s="442"/>
      <c r="GX845" s="250"/>
      <c r="GY845" s="442"/>
      <c r="GZ845" s="442"/>
      <c r="HA845" s="442"/>
      <c r="HB845" s="10"/>
      <c r="HC845"/>
      <c r="HD845"/>
      <c r="HE845"/>
      <c r="HF845"/>
      <c r="HG845"/>
      <c r="HH845"/>
      <c r="HI845" s="10"/>
    </row>
    <row r="846" spans="1:217" s="10" customFormat="1" ht="12.75" hidden="1" customHeight="1" outlineLevel="1" x14ac:dyDescent="0.2">
      <c r="A846" s="28"/>
      <c r="B846" s="10" t="s">
        <v>123</v>
      </c>
      <c r="C846" s="16"/>
      <c r="D846" s="16"/>
      <c r="E846" s="16"/>
      <c r="F846" s="16"/>
      <c r="G846" s="16"/>
      <c r="H846" s="16"/>
      <c r="I846" s="16"/>
      <c r="J846" s="16"/>
      <c r="K846" s="16"/>
      <c r="L846" s="440"/>
      <c r="M846" s="16"/>
      <c r="N846" s="440"/>
      <c r="O846" s="16"/>
      <c r="P846" s="440"/>
      <c r="Q846" s="16"/>
      <c r="R846" s="440"/>
      <c r="S846" s="16"/>
      <c r="T846" s="440"/>
      <c r="U846" s="16"/>
      <c r="V846" s="440"/>
      <c r="W846" s="16"/>
      <c r="X846" s="440"/>
      <c r="Y846" s="16"/>
      <c r="Z846" s="440"/>
      <c r="AA846" s="16"/>
      <c r="AB846" s="440"/>
      <c r="AC846" s="16"/>
      <c r="AD846" s="440"/>
      <c r="AE846" s="16"/>
      <c r="AF846" s="440"/>
      <c r="AG846" s="16"/>
      <c r="AH846" s="440"/>
      <c r="AI846" s="16"/>
      <c r="AJ846" s="440"/>
      <c r="AK846" s="16"/>
      <c r="AL846" s="440"/>
      <c r="AM846" s="16"/>
      <c r="AN846" s="440"/>
      <c r="AO846" s="16"/>
      <c r="AP846" s="440"/>
      <c r="AQ846" s="16"/>
      <c r="AR846" s="440"/>
      <c r="AS846" s="16"/>
      <c r="AT846" s="440"/>
      <c r="AU846" s="16"/>
      <c r="AV846" s="440"/>
      <c r="AW846" s="16"/>
      <c r="AX846" s="440"/>
      <c r="AY846" s="16"/>
      <c r="AZ846" s="440"/>
      <c r="BA846" s="16"/>
      <c r="BB846" s="440"/>
      <c r="BC846" s="16"/>
      <c r="BD846" s="440"/>
      <c r="BE846" s="16"/>
      <c r="BF846" s="440"/>
      <c r="BG846" s="16">
        <f>BG469+BG470+BG474</f>
        <v>536</v>
      </c>
      <c r="BH846" s="440"/>
      <c r="BI846" s="16">
        <f>BI469+BI470+BI474</f>
        <v>566</v>
      </c>
      <c r="BJ846" s="440"/>
      <c r="BK846" s="16">
        <f>BK469+BK470+BK474</f>
        <v>572</v>
      </c>
      <c r="BL846" s="440"/>
      <c r="BM846" s="16">
        <f>BM469+BM470+BM474</f>
        <v>601</v>
      </c>
      <c r="BN846" s="440"/>
      <c r="BO846" s="16">
        <f>BO469+BO470+BO474</f>
        <v>555</v>
      </c>
      <c r="BP846" s="440"/>
      <c r="BQ846" s="16">
        <f>BQ469+BQ470+BQ474</f>
        <v>574</v>
      </c>
      <c r="BR846" s="440"/>
      <c r="BS846" s="16">
        <f>BS469+BS470+BS474</f>
        <v>533</v>
      </c>
      <c r="BT846" s="440"/>
      <c r="BU846" s="16">
        <f>BU469+BU470+BU474</f>
        <v>553</v>
      </c>
      <c r="BV846" s="440"/>
      <c r="BW846" s="16">
        <f>BW469+BW470+BW474</f>
        <v>538</v>
      </c>
      <c r="BX846" s="440"/>
      <c r="BY846" s="16">
        <f>BY469+BY470+BY474</f>
        <v>570</v>
      </c>
      <c r="BZ846" s="440"/>
      <c r="CA846" s="16">
        <f>CA469+CA470+CA474</f>
        <v>667</v>
      </c>
      <c r="CB846" s="440"/>
      <c r="CC846" s="16">
        <f>CC469+CC470+CC474</f>
        <v>813</v>
      </c>
      <c r="CD846" s="440"/>
      <c r="CE846" s="16">
        <f>CE469+CE470+CE474</f>
        <v>767</v>
      </c>
      <c r="CF846" s="440"/>
      <c r="CG846" s="16">
        <f>CG469+CG470+CG474</f>
        <v>813</v>
      </c>
      <c r="CH846" s="440"/>
      <c r="CI846" s="16">
        <f>CI469+CI470+CI474</f>
        <v>783</v>
      </c>
      <c r="CJ846" s="440"/>
      <c r="CK846" s="16">
        <f>CK469+CK470+CK474</f>
        <v>756</v>
      </c>
      <c r="CL846" s="440"/>
      <c r="CM846" s="16">
        <f>CM469+CM470+CM474</f>
        <v>735</v>
      </c>
      <c r="CN846" s="440"/>
      <c r="CO846" s="16">
        <f>CO469+CO470+CO474</f>
        <v>844</v>
      </c>
      <c r="CP846" s="440"/>
      <c r="CQ846" s="16">
        <f>CQ469+CQ470+CQ474</f>
        <v>979</v>
      </c>
      <c r="CR846" s="440"/>
      <c r="CS846" s="16">
        <f>CS469+CS470+CS474</f>
        <v>922</v>
      </c>
      <c r="CT846" s="440"/>
      <c r="CU846" s="16">
        <f>CU469+CU470+CU474</f>
        <v>963</v>
      </c>
      <c r="CV846" s="440"/>
      <c r="CW846" s="16">
        <f>CW469+CW470+CW474</f>
        <v>897</v>
      </c>
      <c r="CX846" s="440"/>
      <c r="CY846" s="16">
        <f>CY469+CY470+CY474</f>
        <v>930</v>
      </c>
      <c r="CZ846" s="440"/>
      <c r="DA846" s="16">
        <f>DA469+DA470+DA474</f>
        <v>965</v>
      </c>
      <c r="DB846" s="440"/>
      <c r="DC846" s="16">
        <f>DC469+DC470+DC474</f>
        <v>969</v>
      </c>
      <c r="DD846" s="440"/>
      <c r="DE846" s="16">
        <f>DE469+DE470+DE474</f>
        <v>1006</v>
      </c>
      <c r="DF846" s="440"/>
      <c r="DG846" s="16">
        <f>DG469+DG470+DG474</f>
        <v>1053</v>
      </c>
      <c r="DH846" s="440"/>
      <c r="DI846" s="16">
        <f>DI469+DI470+DI474</f>
        <v>1138</v>
      </c>
      <c r="DJ846" s="440"/>
      <c r="DK846" s="16">
        <f>DK469+DK470+DK474</f>
        <v>1193</v>
      </c>
      <c r="DL846" s="440"/>
      <c r="DM846" s="16">
        <f>DM469+DM470+DM474</f>
        <v>1277</v>
      </c>
      <c r="DN846" s="440"/>
      <c r="DO846" s="16">
        <f>DO469+DO470+DO474</f>
        <v>1335</v>
      </c>
      <c r="DP846" s="440"/>
      <c r="DQ846" s="16">
        <f>DQ469+DQ470+DQ474</f>
        <v>1214</v>
      </c>
      <c r="DR846" s="440"/>
      <c r="DS846" s="16">
        <f>DS469+DS470+DS474</f>
        <v>1705</v>
      </c>
      <c r="DT846" s="440"/>
      <c r="DU846" s="16">
        <f>DU469+DU470+DU474</f>
        <v>1760</v>
      </c>
      <c r="DV846" s="440"/>
      <c r="DW846" s="16">
        <f>DW469+DW470+DW474</f>
        <v>1708</v>
      </c>
      <c r="DX846" s="440"/>
      <c r="DY846" s="16">
        <f>DY469+DY470+DY474</f>
        <v>1784</v>
      </c>
      <c r="DZ846" s="440"/>
      <c r="EA846" s="16">
        <f>EA469+EA470+EA474</f>
        <v>1656</v>
      </c>
      <c r="EB846" s="440"/>
      <c r="EC846" s="16">
        <f>EC469+EC470+EC474</f>
        <v>1686</v>
      </c>
      <c r="ED846" s="440"/>
      <c r="EE846" s="16">
        <f>EE469+EE470+EE474</f>
        <v>1555</v>
      </c>
      <c r="EF846" s="1080"/>
      <c r="EG846" s="16">
        <f>EG469+EG470+EG474</f>
        <v>1626</v>
      </c>
      <c r="EH846" s="1080"/>
      <c r="EI846" s="16">
        <f>EI469+EI470+EI474</f>
        <v>1517</v>
      </c>
      <c r="EJ846" s="1080"/>
      <c r="EK846" s="16">
        <f>EK469+EK470+EK474</f>
        <v>1404</v>
      </c>
      <c r="EL846" s="1080"/>
      <c r="EM846" s="16">
        <f>EM469+EM470+EM474</f>
        <v>1375</v>
      </c>
      <c r="EN846" s="1080"/>
      <c r="EO846" s="16">
        <f>EO469+EO470+EO474</f>
        <v>1453</v>
      </c>
      <c r="EP846" s="440"/>
      <c r="EQ846" s="16">
        <f>EQ469+EQ470+EQ474</f>
        <v>1459.7080036315599</v>
      </c>
      <c r="ER846" s="440"/>
      <c r="ES846" s="16">
        <f>ES469+ES470+ES474</f>
        <v>1434.2926246735296</v>
      </c>
      <c r="ET846" s="440"/>
      <c r="EU846" s="16">
        <f>EU469+EU470+EU474</f>
        <v>1421.5009982021502</v>
      </c>
      <c r="EV846" s="440"/>
      <c r="EW846" s="16">
        <f>EW469+EW470+EW474</f>
        <v>1408.1622229927848</v>
      </c>
      <c r="EX846" s="440"/>
      <c r="EY846" s="16"/>
      <c r="EZ846" s="607"/>
      <c r="FA846" s="427"/>
      <c r="FB846" s="16"/>
      <c r="FC846" s="16"/>
      <c r="FD846" s="16"/>
      <c r="FE846" s="440"/>
      <c r="FF846" s="16"/>
      <c r="FG846" s="440"/>
      <c r="FH846" s="16"/>
      <c r="FI846" s="440"/>
      <c r="FJ846" s="16"/>
      <c r="FK846" s="440"/>
      <c r="FL846" s="16"/>
      <c r="FM846" s="440"/>
      <c r="FN846" s="16"/>
      <c r="FO846" s="440"/>
      <c r="FP846" s="16"/>
      <c r="FQ846" s="440"/>
      <c r="FR846" s="16"/>
      <c r="FS846" s="440"/>
      <c r="FT846" s="16"/>
      <c r="FU846" s="440"/>
      <c r="FV846" s="16">
        <f>FV469+FV470+FV474</f>
        <v>2399</v>
      </c>
      <c r="FW846" s="440"/>
      <c r="FX846" s="16">
        <f>FX469+FX470+FX474</f>
        <v>2588</v>
      </c>
      <c r="FY846" s="440"/>
      <c r="FZ846" s="16">
        <f>FZ469+FZ470+FZ474</f>
        <v>3119</v>
      </c>
      <c r="GA846" s="440"/>
      <c r="GB846" s="16">
        <f>GB469+GB470+GB474</f>
        <v>3480</v>
      </c>
      <c r="GC846" s="440"/>
      <c r="GD846" s="16">
        <f>GD469+GD470+GD474</f>
        <v>3755</v>
      </c>
      <c r="GE846" s="440"/>
      <c r="GF846" s="16" t="e">
        <f>#REF!+#REF!+#REF!</f>
        <v>#REF!</v>
      </c>
      <c r="GG846" s="440"/>
      <c r="GH846" s="16" t="e">
        <f>#REF!+#REF!+#REF!</f>
        <v>#REF!</v>
      </c>
      <c r="GI846" s="440"/>
      <c r="GJ846" s="16">
        <f>GJ469+GJ470+GJ474</f>
        <v>6957</v>
      </c>
      <c r="GK846" s="440"/>
      <c r="GL846" s="16">
        <f>GL469+GL470+GL474</f>
        <v>6523</v>
      </c>
      <c r="GM846" s="98">
        <f t="shared" si="4938"/>
        <v>-6.238321115423318</v>
      </c>
      <c r="GN846" s="16">
        <f>GN469+GN470+GN474</f>
        <v>5749</v>
      </c>
      <c r="GO846" s="98">
        <f t="shared" si="4938"/>
        <v>-11.865705963513717</v>
      </c>
      <c r="GP846" s="16">
        <f>GP469+GP470+GP474</f>
        <v>5723.6638495000243</v>
      </c>
      <c r="GQ846" s="98">
        <f t="shared" si="4938"/>
        <v>-0.44070534875588763</v>
      </c>
      <c r="GR846" s="16">
        <f>GR469+GR470+GR474</f>
        <v>5457.7656870816063</v>
      </c>
      <c r="GS846" s="98">
        <f t="shared" si="4938"/>
        <v>-4.6455936164323308</v>
      </c>
      <c r="GT846" s="16">
        <f>GT469+GT470+GT474</f>
        <v>5088.7809727869471</v>
      </c>
      <c r="GU846" s="440"/>
      <c r="GV846" s="16">
        <f>GV469+GV470+GV474</f>
        <v>4706.1503733402878</v>
      </c>
      <c r="GW846" s="440"/>
      <c r="GX846" s="16">
        <f>GX469+GX470+GX474</f>
        <v>4320.0871563108249</v>
      </c>
      <c r="GY846" s="440"/>
      <c r="GZ846" s="455"/>
      <c r="HA846" s="455"/>
      <c r="HC846"/>
      <c r="HD846"/>
      <c r="HE846"/>
      <c r="HF846"/>
      <c r="HG846"/>
      <c r="HH846"/>
    </row>
    <row r="847" spans="1:217" s="10" customFormat="1" ht="12.75" hidden="1" customHeight="1" outlineLevel="1" x14ac:dyDescent="0.2">
      <c r="A847" s="28"/>
      <c r="B847" s="10" t="s">
        <v>116</v>
      </c>
      <c r="C847" s="16"/>
      <c r="D847" s="16"/>
      <c r="E847" s="16"/>
      <c r="F847" s="16"/>
      <c r="G847" s="16"/>
      <c r="H847" s="16"/>
      <c r="I847" s="16"/>
      <c r="J847" s="16"/>
      <c r="K847" s="16"/>
      <c r="L847" s="440"/>
      <c r="M847" s="16"/>
      <c r="N847" s="440"/>
      <c r="O847" s="16"/>
      <c r="P847" s="440"/>
      <c r="Q847" s="16"/>
      <c r="R847" s="440"/>
      <c r="S847" s="16"/>
      <c r="T847" s="440"/>
      <c r="U847" s="16"/>
      <c r="V847" s="440"/>
      <c r="W847" s="16"/>
      <c r="X847" s="440"/>
      <c r="Y847" s="16"/>
      <c r="Z847" s="440"/>
      <c r="AA847" s="16"/>
      <c r="AB847" s="440"/>
      <c r="AC847" s="16"/>
      <c r="AD847" s="440"/>
      <c r="AE847" s="16"/>
      <c r="AF847" s="440"/>
      <c r="AG847" s="16"/>
      <c r="AH847" s="440"/>
      <c r="AI847" s="16"/>
      <c r="AJ847" s="440"/>
      <c r="AK847" s="16"/>
      <c r="AL847" s="440"/>
      <c r="AM847" s="16"/>
      <c r="AN847" s="440"/>
      <c r="AO847" s="16"/>
      <c r="AP847" s="440"/>
      <c r="AQ847" s="16"/>
      <c r="AR847" s="440"/>
      <c r="AS847" s="16"/>
      <c r="AT847" s="440"/>
      <c r="AU847" s="16"/>
      <c r="AV847" s="440"/>
      <c r="AW847" s="16"/>
      <c r="AX847" s="440"/>
      <c r="AY847" s="16"/>
      <c r="AZ847" s="440"/>
      <c r="BA847" s="16"/>
      <c r="BB847" s="440"/>
      <c r="BC847" s="16"/>
      <c r="BD847" s="440"/>
      <c r="BE847" s="16"/>
      <c r="BF847" s="440"/>
      <c r="BG847" s="16">
        <f>BG550+BG551+BG555</f>
        <v>0</v>
      </c>
      <c r="BH847" s="440"/>
      <c r="BI847" s="16">
        <f>BI550+BI551+BI555</f>
        <v>0</v>
      </c>
      <c r="BJ847" s="440"/>
      <c r="BK847" s="16">
        <f>BK550+BK551+BK555</f>
        <v>0</v>
      </c>
      <c r="BL847" s="440"/>
      <c r="BM847" s="16">
        <f>BM550+BM551+BM555</f>
        <v>0</v>
      </c>
      <c r="BN847" s="440"/>
      <c r="BO847" s="16">
        <f>BO550+BO551+BO555</f>
        <v>0</v>
      </c>
      <c r="BP847" s="440"/>
      <c r="BQ847" s="16">
        <f>BQ550+BQ551+BQ555</f>
        <v>0</v>
      </c>
      <c r="BR847" s="440"/>
      <c r="BS847" s="16">
        <f>BS550+BS551+BS555</f>
        <v>0</v>
      </c>
      <c r="BT847" s="440"/>
      <c r="BU847" s="16">
        <f>BU550+BU551+BU555</f>
        <v>0</v>
      </c>
      <c r="BV847" s="440"/>
      <c r="BW847" s="16">
        <f>BW550+BW551+BW555</f>
        <v>0</v>
      </c>
      <c r="BX847" s="440"/>
      <c r="BY847" s="16">
        <f>BY550+BY551+BY555</f>
        <v>0</v>
      </c>
      <c r="BZ847" s="440"/>
      <c r="CA847" s="16">
        <f>CA550+CA551+CA555</f>
        <v>0</v>
      </c>
      <c r="CB847" s="440"/>
      <c r="CC847" s="16">
        <f>CC550+CC551+CC555</f>
        <v>0</v>
      </c>
      <c r="CD847" s="440"/>
      <c r="CE847" s="16">
        <f>CE550+CE551+CE555</f>
        <v>0</v>
      </c>
      <c r="CF847" s="440"/>
      <c r="CG847" s="16">
        <f>CG550+CG551+CG555</f>
        <v>0</v>
      </c>
      <c r="CH847" s="440"/>
      <c r="CI847" s="16">
        <f>CI550+CI551+CI555</f>
        <v>0</v>
      </c>
      <c r="CJ847" s="440"/>
      <c r="CK847" s="16">
        <f>CK550+CK551+CK555</f>
        <v>0</v>
      </c>
      <c r="CL847" s="440"/>
      <c r="CM847" s="16">
        <f>CM550+CM551+CM555</f>
        <v>0</v>
      </c>
      <c r="CN847" s="440"/>
      <c r="CO847" s="16">
        <f>CO550+CO551+CO555</f>
        <v>0</v>
      </c>
      <c r="CP847" s="440"/>
      <c r="CQ847" s="535">
        <f>CQ550+CQ551+CQ555</f>
        <v>0</v>
      </c>
      <c r="CR847" s="440"/>
      <c r="CS847" s="16">
        <f>CS550+CS551+CS555</f>
        <v>0</v>
      </c>
      <c r="CT847" s="440"/>
      <c r="CU847" s="16">
        <f>CU550+CU551+CU555</f>
        <v>0</v>
      </c>
      <c r="CV847" s="440"/>
      <c r="CW847" s="16">
        <f>CW550+CW551+CW555</f>
        <v>0</v>
      </c>
      <c r="CX847" s="440"/>
      <c r="CY847" s="16">
        <f>CY550+CY551+CY555</f>
        <v>0</v>
      </c>
      <c r="CZ847" s="440"/>
      <c r="DA847" s="16">
        <f>DA550+DA551+DA555</f>
        <v>0</v>
      </c>
      <c r="DB847" s="440"/>
      <c r="DC847" s="16">
        <f>DC550+DC551+DC555</f>
        <v>0</v>
      </c>
      <c r="DD847" s="440"/>
      <c r="DE847" s="16">
        <f>DE550+DE551+DE555</f>
        <v>0</v>
      </c>
      <c r="DF847" s="440"/>
      <c r="DG847" s="16">
        <f>DG550+DG551+DG555</f>
        <v>0</v>
      </c>
      <c r="DH847" s="440"/>
      <c r="DI847" s="16">
        <f>DI550+DI551+DI555</f>
        <v>0</v>
      </c>
      <c r="DJ847" s="440"/>
      <c r="DK847" s="16">
        <f>DK550+DK551+DK555</f>
        <v>0</v>
      </c>
      <c r="DL847" s="440"/>
      <c r="DM847" s="16">
        <f>DM550+DM551+DM555</f>
        <v>0</v>
      </c>
      <c r="DN847" s="440"/>
      <c r="DO847" s="16">
        <f>DO550+DO551+DO555</f>
        <v>0</v>
      </c>
      <c r="DP847" s="440"/>
      <c r="DQ847" s="16">
        <f>DQ550+DQ551+DQ555</f>
        <v>0</v>
      </c>
      <c r="DR847" s="440"/>
      <c r="DS847" s="16">
        <f>DS158+DS159+DS163</f>
        <v>532</v>
      </c>
      <c r="DT847" s="440"/>
      <c r="DU847" s="16">
        <f>DU158+DU159+DU163</f>
        <v>443</v>
      </c>
      <c r="DV847" s="440"/>
      <c r="DW847" s="16">
        <f>DW158+DW159+DW163</f>
        <v>1665</v>
      </c>
      <c r="DX847" s="440"/>
      <c r="DY847" s="16">
        <f>DY158+DY159+DY163</f>
        <v>854</v>
      </c>
      <c r="DZ847" s="440"/>
      <c r="EA847" s="16">
        <f>EA158+EA159+EA163</f>
        <v>480</v>
      </c>
      <c r="EB847" s="440"/>
      <c r="EC847" s="16">
        <f>EC158+EC159+EC163</f>
        <v>639</v>
      </c>
      <c r="ED847" s="440"/>
      <c r="EE847" s="16">
        <f>EE158+EE159+EE163</f>
        <v>1441</v>
      </c>
      <c r="EF847" s="1080"/>
      <c r="EG847" s="16">
        <f>EG158+EG159+EG163</f>
        <v>895</v>
      </c>
      <c r="EH847" s="1080"/>
      <c r="EI847" s="16">
        <f>EI158+EI159+EI163</f>
        <v>479</v>
      </c>
      <c r="EJ847" s="1080"/>
      <c r="EK847" s="16">
        <f>EK158+EK159+EK163</f>
        <v>1238</v>
      </c>
      <c r="EL847" s="1080"/>
      <c r="EM847" s="16">
        <f>EM158+EM159+EM163</f>
        <v>2459</v>
      </c>
      <c r="EN847" s="1080"/>
      <c r="EO847" s="16">
        <f>EO158+EO159+EO163</f>
        <v>1026</v>
      </c>
      <c r="EP847" s="440"/>
      <c r="EQ847" s="16">
        <f>EQ158+EQ159+EQ163</f>
        <v>1273.0974512560597</v>
      </c>
      <c r="ER847" s="440"/>
      <c r="ES847" s="16">
        <f>ES158+ES159+ES163</f>
        <v>1261.2216513865192</v>
      </c>
      <c r="ET847" s="440"/>
      <c r="EU847" s="16">
        <f>EU158+EU159+EU163</f>
        <v>1253.1770333699196</v>
      </c>
      <c r="EV847" s="440"/>
      <c r="EW847" s="16">
        <f>EW158+EW159+EW163</f>
        <v>1244.5389288119864</v>
      </c>
      <c r="EX847" s="440"/>
      <c r="EY847" s="16"/>
      <c r="EZ847" s="607"/>
      <c r="FA847" s="427"/>
      <c r="FB847" s="16"/>
      <c r="FC847" s="16"/>
      <c r="FD847" s="16"/>
      <c r="FE847" s="440"/>
      <c r="FF847" s="16"/>
      <c r="FG847" s="440"/>
      <c r="FH847" s="16"/>
      <c r="FI847" s="440"/>
      <c r="FJ847" s="16"/>
      <c r="FK847" s="440"/>
      <c r="FL847" s="16"/>
      <c r="FM847" s="440"/>
      <c r="FN847" s="16"/>
      <c r="FO847" s="440"/>
      <c r="FP847" s="16"/>
      <c r="FQ847" s="440"/>
      <c r="FR847" s="16"/>
      <c r="FS847" s="440"/>
      <c r="FT847" s="16"/>
      <c r="FU847" s="440"/>
      <c r="FV847" s="16">
        <f>FV550+FV551+FV555</f>
        <v>2038</v>
      </c>
      <c r="FW847" s="440"/>
      <c r="FX847" s="535">
        <f>FX550+FX551+FX555</f>
        <v>0</v>
      </c>
      <c r="FY847" s="440"/>
      <c r="FZ847" s="16">
        <f>FZ550+FZ551+FZ555</f>
        <v>0</v>
      </c>
      <c r="GA847" s="440"/>
      <c r="GB847" s="535">
        <f>GB550+GB551+GB555</f>
        <v>0</v>
      </c>
      <c r="GC847" s="440"/>
      <c r="GD847" s="16">
        <f>GD550+GD551+GD555</f>
        <v>0</v>
      </c>
      <c r="GE847" s="440"/>
      <c r="GF847" s="16">
        <f>GF550+GF551+GF555</f>
        <v>0</v>
      </c>
      <c r="GG847" s="440"/>
      <c r="GH847" s="16">
        <f>GH550+GH551+GH555</f>
        <v>0</v>
      </c>
      <c r="GI847" s="440"/>
      <c r="GJ847" s="16">
        <f>GJ158+GJ159+GJ163</f>
        <v>3494</v>
      </c>
      <c r="GK847" s="440"/>
      <c r="GL847" s="16">
        <f>GL158+GL159+GL163</f>
        <v>3455</v>
      </c>
      <c r="GM847" s="98">
        <f t="shared" si="4938"/>
        <v>-1.116199198626211</v>
      </c>
      <c r="GN847" s="16">
        <f>GN158+GN159+GN163</f>
        <v>5202</v>
      </c>
      <c r="GO847" s="98">
        <f t="shared" si="4938"/>
        <v>50.564399421128805</v>
      </c>
      <c r="GP847" s="16">
        <f>GP158+GP159+GP163</f>
        <v>5032.0350648244857</v>
      </c>
      <c r="GQ847" s="98">
        <f t="shared" si="4938"/>
        <v>-3.2672997919168445</v>
      </c>
      <c r="GR847" s="16">
        <f>GR158+GR159+GR163</f>
        <v>4932.1283733058372</v>
      </c>
      <c r="GS847" s="98">
        <f t="shared" si="4938"/>
        <v>-1.9854132618635334</v>
      </c>
      <c r="GT847" s="16">
        <f>GT158+GT159+GT163</f>
        <v>4926.7406114385903</v>
      </c>
      <c r="GU847" s="440"/>
      <c r="GV847" s="16">
        <f>GV158+GV159+GV163</f>
        <v>4987.0771879157155</v>
      </c>
      <c r="GW847" s="440"/>
      <c r="GX847" s="16">
        <f>GX158+GX159+GX163</f>
        <v>5096.7167290657726</v>
      </c>
      <c r="GY847" s="440"/>
      <c r="GZ847" s="455"/>
      <c r="HA847" s="455"/>
      <c r="HC847"/>
      <c r="HD847"/>
      <c r="HE847"/>
      <c r="HF847"/>
      <c r="HG847"/>
      <c r="HH847"/>
    </row>
    <row r="848" spans="1:217" s="10" customFormat="1" ht="12.75" hidden="1" customHeight="1" outlineLevel="1" x14ac:dyDescent="0.2">
      <c r="A848" s="28"/>
      <c r="B848" s="10" t="s">
        <v>122</v>
      </c>
      <c r="C848" s="16"/>
      <c r="D848" s="16"/>
      <c r="E848" s="16"/>
      <c r="F848" s="16"/>
      <c r="G848" s="16"/>
      <c r="H848" s="16"/>
      <c r="I848" s="16"/>
      <c r="J848" s="16"/>
      <c r="K848" s="16"/>
      <c r="L848" s="440"/>
      <c r="M848" s="16"/>
      <c r="N848" s="440"/>
      <c r="O848" s="16"/>
      <c r="P848" s="440"/>
      <c r="Q848" s="16"/>
      <c r="R848" s="440"/>
      <c r="S848" s="16"/>
      <c r="T848" s="440"/>
      <c r="U848" s="16"/>
      <c r="V848" s="440"/>
      <c r="W848" s="16"/>
      <c r="X848" s="440"/>
      <c r="Y848" s="16"/>
      <c r="Z848" s="440"/>
      <c r="AA848" s="16"/>
      <c r="AB848" s="440"/>
      <c r="AC848" s="16"/>
      <c r="AD848" s="440"/>
      <c r="AE848" s="16"/>
      <c r="AF848" s="440"/>
      <c r="AG848" s="16"/>
      <c r="AH848" s="440"/>
      <c r="AI848" s="16"/>
      <c r="AJ848" s="440"/>
      <c r="AK848" s="16"/>
      <c r="AL848" s="440"/>
      <c r="AM848" s="16"/>
      <c r="AN848" s="440"/>
      <c r="AO848" s="16"/>
      <c r="AP848" s="440"/>
      <c r="AQ848" s="16"/>
      <c r="AR848" s="440"/>
      <c r="AS848" s="16"/>
      <c r="AT848" s="440"/>
      <c r="AU848" s="16"/>
      <c r="AV848" s="440"/>
      <c r="AW848" s="16"/>
      <c r="AX848" s="440"/>
      <c r="AY848" s="16"/>
      <c r="AZ848" s="440"/>
      <c r="BA848" s="16"/>
      <c r="BB848" s="440"/>
      <c r="BC848" s="16"/>
      <c r="BD848" s="440"/>
      <c r="BE848" s="16"/>
      <c r="BF848" s="440"/>
      <c r="BG848" s="16"/>
      <c r="BH848" s="440"/>
      <c r="BI848" s="16"/>
      <c r="BJ848" s="440"/>
      <c r="BK848" s="16"/>
      <c r="BL848" s="440"/>
      <c r="BM848" s="16"/>
      <c r="BN848" s="440"/>
      <c r="BO848" s="16"/>
      <c r="BP848" s="440"/>
      <c r="BQ848" s="16"/>
      <c r="BR848" s="440"/>
      <c r="BS848" s="16"/>
      <c r="BT848" s="440"/>
      <c r="BU848" s="16"/>
      <c r="BV848" s="440"/>
      <c r="BW848" s="16"/>
      <c r="BX848" s="440"/>
      <c r="BY848" s="16"/>
      <c r="BZ848" s="440"/>
      <c r="CA848" s="16"/>
      <c r="CB848" s="440"/>
      <c r="CC848" s="16"/>
      <c r="CD848" s="440"/>
      <c r="CE848" s="16"/>
      <c r="CF848" s="440"/>
      <c r="CG848" s="16"/>
      <c r="CH848" s="440"/>
      <c r="CI848" s="16"/>
      <c r="CJ848" s="440"/>
      <c r="CK848" s="16"/>
      <c r="CL848" s="440"/>
      <c r="CM848" s="16"/>
      <c r="CN848" s="440"/>
      <c r="CO848" s="16"/>
      <c r="CP848" s="440"/>
      <c r="CQ848" s="535"/>
      <c r="CR848" s="440"/>
      <c r="CS848" s="16"/>
      <c r="CT848" s="440"/>
      <c r="CU848" s="16"/>
      <c r="CV848" s="440"/>
      <c r="CW848" s="16"/>
      <c r="CX848" s="440"/>
      <c r="CY848" s="16"/>
      <c r="CZ848" s="440"/>
      <c r="DA848" s="16"/>
      <c r="DB848" s="440"/>
      <c r="DC848" s="16"/>
      <c r="DD848" s="440"/>
      <c r="DE848" s="16"/>
      <c r="DF848" s="440"/>
      <c r="DG848" s="16"/>
      <c r="DH848" s="440"/>
      <c r="DI848" s="16"/>
      <c r="DJ848" s="440"/>
      <c r="DK848" s="16"/>
      <c r="DL848" s="440"/>
      <c r="DM848" s="16"/>
      <c r="DN848" s="440"/>
      <c r="DO848" s="16"/>
      <c r="DP848" s="440"/>
      <c r="DQ848" s="16"/>
      <c r="DR848" s="440"/>
      <c r="DS848" s="579"/>
      <c r="DT848" s="440"/>
      <c r="DU848" s="579"/>
      <c r="DV848" s="440"/>
      <c r="DW848" s="579"/>
      <c r="DX848" s="440"/>
      <c r="DY848" s="579"/>
      <c r="DZ848" s="440"/>
      <c r="EA848" s="579"/>
      <c r="EB848" s="440"/>
      <c r="EC848" s="579"/>
      <c r="ED848" s="440"/>
      <c r="EE848" s="579"/>
      <c r="EF848" s="579"/>
      <c r="EG848" s="579"/>
      <c r="EH848" s="579"/>
      <c r="EI848" s="579"/>
      <c r="EJ848" s="579"/>
      <c r="EK848" s="579"/>
      <c r="EL848" s="579"/>
      <c r="EM848" s="579"/>
      <c r="EN848" s="579"/>
      <c r="EO848" s="579"/>
      <c r="EP848" s="440"/>
      <c r="EQ848" s="579"/>
      <c r="ER848" s="440"/>
      <c r="ES848" s="579"/>
      <c r="ET848" s="440"/>
      <c r="EU848" s="579"/>
      <c r="EV848" s="440"/>
      <c r="EW848" s="579"/>
      <c r="EX848" s="440"/>
      <c r="EY848" s="16"/>
      <c r="EZ848" s="607"/>
      <c r="FA848" s="427"/>
      <c r="FB848" s="16"/>
      <c r="FC848" s="16"/>
      <c r="FD848" s="16"/>
      <c r="FE848" s="440"/>
      <c r="FF848" s="16"/>
      <c r="FG848" s="440"/>
      <c r="FH848" s="16"/>
      <c r="FI848" s="440"/>
      <c r="FJ848" s="16"/>
      <c r="FK848" s="440"/>
      <c r="FL848" s="16"/>
      <c r="FM848" s="440"/>
      <c r="FN848" s="16"/>
      <c r="FO848" s="440"/>
      <c r="FP848" s="16"/>
      <c r="FQ848" s="440"/>
      <c r="FR848" s="16"/>
      <c r="FS848" s="440"/>
      <c r="FT848" s="16"/>
      <c r="FU848" s="440"/>
      <c r="FV848" s="16"/>
      <c r="FW848" s="440"/>
      <c r="FX848" s="535"/>
      <c r="FY848" s="440"/>
      <c r="FZ848" s="16"/>
      <c r="GA848" s="440"/>
      <c r="GB848" s="577"/>
      <c r="GC848" s="578"/>
      <c r="GD848" s="579"/>
      <c r="GE848" s="578"/>
      <c r="GF848" s="579"/>
      <c r="GG848" s="578"/>
      <c r="GH848" s="579"/>
      <c r="GI848" s="578"/>
      <c r="GJ848" s="579"/>
      <c r="GK848" s="578"/>
      <c r="GL848" s="579"/>
      <c r="GM848" s="578"/>
      <c r="GN848" s="579"/>
      <c r="GO848" s="578"/>
      <c r="GP848" s="579"/>
      <c r="GQ848" s="578"/>
      <c r="GR848" s="579"/>
      <c r="GS848" s="578"/>
      <c r="GT848" s="579"/>
      <c r="GU848" s="578"/>
      <c r="GV848" s="579"/>
      <c r="GW848" s="440"/>
      <c r="GX848" s="579"/>
      <c r="GY848" s="440"/>
      <c r="GZ848" s="455"/>
      <c r="HA848" s="455"/>
      <c r="HC848"/>
      <c r="HD848"/>
      <c r="HE848"/>
      <c r="HF848"/>
      <c r="HG848"/>
      <c r="HH848"/>
    </row>
    <row r="849" spans="1:217" s="10" customFormat="1" ht="12.75" hidden="1" customHeight="1" outlineLevel="1" x14ac:dyDescent="0.2">
      <c r="A849" s="28"/>
      <c r="B849" s="10" t="s">
        <v>124</v>
      </c>
      <c r="C849" s="16"/>
      <c r="D849" s="16"/>
      <c r="E849" s="16"/>
      <c r="F849" s="16"/>
      <c r="G849" s="16"/>
      <c r="H849" s="16"/>
      <c r="I849" s="16"/>
      <c r="J849" s="16"/>
      <c r="K849" s="16"/>
      <c r="L849" s="440"/>
      <c r="M849" s="16"/>
      <c r="N849" s="440"/>
      <c r="O849" s="16"/>
      <c r="P849" s="440"/>
      <c r="Q849" s="16"/>
      <c r="R849" s="440"/>
      <c r="S849" s="16"/>
      <c r="T849" s="440"/>
      <c r="U849" s="16"/>
      <c r="V849" s="440"/>
      <c r="W849" s="16"/>
      <c r="X849" s="440"/>
      <c r="Y849" s="16"/>
      <c r="Z849" s="440"/>
      <c r="AA849" s="16"/>
      <c r="AB849" s="440"/>
      <c r="AC849" s="16"/>
      <c r="AD849" s="440"/>
      <c r="AE849" s="16"/>
      <c r="AF849" s="440"/>
      <c r="AG849" s="16"/>
      <c r="AH849" s="440"/>
      <c r="AI849" s="16"/>
      <c r="AJ849" s="440"/>
      <c r="AK849" s="16"/>
      <c r="AL849" s="440"/>
      <c r="AM849" s="16"/>
      <c r="AN849" s="440"/>
      <c r="AO849" s="16"/>
      <c r="AP849" s="440"/>
      <c r="AQ849" s="16"/>
      <c r="AR849" s="440"/>
      <c r="AS849" s="16"/>
      <c r="AT849" s="440"/>
      <c r="AU849" s="16"/>
      <c r="AV849" s="440"/>
      <c r="AW849" s="16"/>
      <c r="AX849" s="440"/>
      <c r="AY849" s="16"/>
      <c r="AZ849" s="440"/>
      <c r="BA849" s="16"/>
      <c r="BB849" s="440"/>
      <c r="BC849" s="16"/>
      <c r="BD849" s="440"/>
      <c r="BE849" s="16"/>
      <c r="BF849" s="440"/>
      <c r="BG849" s="16"/>
      <c r="BH849" s="440"/>
      <c r="BI849" s="16"/>
      <c r="BJ849" s="440"/>
      <c r="BK849" s="16"/>
      <c r="BL849" s="440"/>
      <c r="BM849" s="16"/>
      <c r="BN849" s="440"/>
      <c r="BO849" s="16"/>
      <c r="BP849" s="440"/>
      <c r="BQ849" s="16"/>
      <c r="BR849" s="440"/>
      <c r="BS849" s="16"/>
      <c r="BT849" s="440"/>
      <c r="BU849" s="16"/>
      <c r="BV849" s="440"/>
      <c r="BW849" s="16"/>
      <c r="BX849" s="440"/>
      <c r="BY849" s="16"/>
      <c r="BZ849" s="440"/>
      <c r="CA849" s="16"/>
      <c r="CB849" s="440"/>
      <c r="CC849" s="16"/>
      <c r="CD849" s="440"/>
      <c r="CE849" s="16"/>
      <c r="CF849" s="440"/>
      <c r="CG849" s="16"/>
      <c r="CH849" s="440"/>
      <c r="CI849" s="16"/>
      <c r="CJ849" s="440"/>
      <c r="CK849" s="16"/>
      <c r="CL849" s="440"/>
      <c r="CM849" s="16"/>
      <c r="CN849" s="440"/>
      <c r="CO849" s="16"/>
      <c r="CP849" s="440"/>
      <c r="CQ849" s="577"/>
      <c r="CR849" s="578"/>
      <c r="CS849" s="579"/>
      <c r="CT849" s="578"/>
      <c r="CU849" s="579"/>
      <c r="CV849" s="578"/>
      <c r="CW849" s="579"/>
      <c r="CX849" s="578"/>
      <c r="CY849" s="579"/>
      <c r="CZ849" s="578"/>
      <c r="DA849" s="579"/>
      <c r="DB849" s="578"/>
      <c r="DC849" s="579"/>
      <c r="DD849" s="578"/>
      <c r="DE849" s="579"/>
      <c r="DF849" s="578"/>
      <c r="DG849" s="579"/>
      <c r="DH849" s="578"/>
      <c r="DI849" s="579"/>
      <c r="DJ849" s="440"/>
      <c r="DK849" s="579"/>
      <c r="DL849" s="440"/>
      <c r="DM849" s="579"/>
      <c r="DN849" s="440"/>
      <c r="DO849" s="579"/>
      <c r="DP849" s="440"/>
      <c r="DQ849" s="579"/>
      <c r="DR849" s="440"/>
      <c r="DS849" s="579"/>
      <c r="DT849" s="440"/>
      <c r="DU849" s="579"/>
      <c r="DV849" s="440"/>
      <c r="DW849" s="579"/>
      <c r="DX849" s="440"/>
      <c r="DY849" s="579"/>
      <c r="DZ849" s="440"/>
      <c r="EA849" s="579"/>
      <c r="EB849" s="440"/>
      <c r="EC849" s="579"/>
      <c r="ED849" s="440"/>
      <c r="EE849" s="579"/>
      <c r="EF849" s="579"/>
      <c r="EG849" s="579"/>
      <c r="EH849" s="579"/>
      <c r="EI849" s="579"/>
      <c r="EJ849" s="579"/>
      <c r="EK849" s="579"/>
      <c r="EL849" s="579"/>
      <c r="EM849" s="579"/>
      <c r="EN849" s="579"/>
      <c r="EO849" s="579"/>
      <c r="EP849" s="440"/>
      <c r="EQ849" s="579"/>
      <c r="ER849" s="440"/>
      <c r="ES849" s="579"/>
      <c r="ET849" s="440"/>
      <c r="EU849" s="579"/>
      <c r="EV849" s="440"/>
      <c r="EW849" s="579"/>
      <c r="EX849" s="440"/>
      <c r="EY849" s="16"/>
      <c r="EZ849" s="607"/>
      <c r="FA849" s="427"/>
      <c r="FB849" s="16"/>
      <c r="FC849" s="16"/>
      <c r="FD849" s="16"/>
      <c r="FE849" s="440"/>
      <c r="FF849" s="16"/>
      <c r="FG849" s="440"/>
      <c r="FH849" s="16"/>
      <c r="FI849" s="440"/>
      <c r="FJ849" s="16"/>
      <c r="FK849" s="440"/>
      <c r="FL849" s="16"/>
      <c r="FM849" s="440"/>
      <c r="FN849" s="16"/>
      <c r="FO849" s="440"/>
      <c r="FP849" s="16"/>
      <c r="FQ849" s="440"/>
      <c r="FR849" s="16"/>
      <c r="FS849" s="440"/>
      <c r="FT849" s="16"/>
      <c r="FU849" s="440"/>
      <c r="FV849" s="16"/>
      <c r="FW849" s="440"/>
      <c r="FX849" s="535"/>
      <c r="FY849" s="440"/>
      <c r="FZ849" s="16"/>
      <c r="GA849" s="440"/>
      <c r="GB849" s="577"/>
      <c r="GC849" s="578"/>
      <c r="GD849" s="579"/>
      <c r="GE849" s="578"/>
      <c r="GF849" s="579"/>
      <c r="GG849" s="578"/>
      <c r="GH849" s="579"/>
      <c r="GI849" s="578"/>
      <c r="GJ849" s="579"/>
      <c r="GK849" s="578"/>
      <c r="GL849" s="579"/>
      <c r="GM849" s="578"/>
      <c r="GN849" s="579"/>
      <c r="GO849" s="578"/>
      <c r="GP849" s="579"/>
      <c r="GQ849" s="578"/>
      <c r="GR849" s="579"/>
      <c r="GS849" s="578"/>
      <c r="GT849" s="579"/>
      <c r="GU849" s="578"/>
      <c r="GV849" s="579"/>
      <c r="GW849" s="578"/>
      <c r="GX849" s="579"/>
      <c r="GY849" s="578"/>
      <c r="GZ849" s="455"/>
      <c r="HA849" s="455"/>
      <c r="HC849"/>
      <c r="HD849"/>
      <c r="HE849"/>
      <c r="HF849"/>
      <c r="HG849"/>
      <c r="HH849"/>
    </row>
    <row r="850" spans="1:217" s="10" customFormat="1" ht="12.75" hidden="1" customHeight="1" outlineLevel="1" x14ac:dyDescent="0.2">
      <c r="A850" s="28"/>
      <c r="B850" s="10" t="s">
        <v>126</v>
      </c>
      <c r="C850" s="16"/>
      <c r="D850" s="16"/>
      <c r="E850" s="16"/>
      <c r="F850" s="16"/>
      <c r="G850" s="16"/>
      <c r="H850" s="16"/>
      <c r="I850" s="16"/>
      <c r="J850" s="16"/>
      <c r="K850" s="16"/>
      <c r="L850" s="440"/>
      <c r="M850" s="16"/>
      <c r="N850" s="440"/>
      <c r="O850" s="16"/>
      <c r="P850" s="440"/>
      <c r="Q850" s="16"/>
      <c r="R850" s="440"/>
      <c r="S850" s="16"/>
      <c r="T850" s="440"/>
      <c r="U850" s="16"/>
      <c r="V850" s="440"/>
      <c r="W850" s="16"/>
      <c r="X850" s="440"/>
      <c r="Y850" s="16"/>
      <c r="Z850" s="440"/>
      <c r="AA850" s="16"/>
      <c r="AB850" s="440"/>
      <c r="AC850" s="16"/>
      <c r="AD850" s="440"/>
      <c r="AE850" s="16"/>
      <c r="AF850" s="440"/>
      <c r="AG850" s="16"/>
      <c r="AH850" s="440"/>
      <c r="AI850" s="16"/>
      <c r="AJ850" s="440"/>
      <c r="AK850" s="16"/>
      <c r="AL850" s="440"/>
      <c r="AM850" s="16"/>
      <c r="AN850" s="440"/>
      <c r="AO850" s="16"/>
      <c r="AP850" s="440"/>
      <c r="AQ850" s="16"/>
      <c r="AR850" s="440"/>
      <c r="AS850" s="16"/>
      <c r="AT850" s="440"/>
      <c r="AU850" s="16"/>
      <c r="AV850" s="440"/>
      <c r="AW850" s="16"/>
      <c r="AX850" s="440"/>
      <c r="AY850" s="16"/>
      <c r="AZ850" s="440"/>
      <c r="BA850" s="16"/>
      <c r="BB850" s="440"/>
      <c r="BC850" s="16"/>
      <c r="BD850" s="440"/>
      <c r="BE850" s="16"/>
      <c r="BF850" s="440"/>
      <c r="BG850" s="16"/>
      <c r="BH850" s="440"/>
      <c r="BI850" s="16"/>
      <c r="BJ850" s="440"/>
      <c r="BK850" s="16"/>
      <c r="BL850" s="440"/>
      <c r="BM850" s="16"/>
      <c r="BN850" s="440"/>
      <c r="BO850" s="16"/>
      <c r="BP850" s="440"/>
      <c r="BQ850" s="16"/>
      <c r="BR850" s="440"/>
      <c r="BS850" s="16"/>
      <c r="BT850" s="440"/>
      <c r="BU850" s="16"/>
      <c r="BV850" s="440"/>
      <c r="BW850" s="16"/>
      <c r="BX850" s="440"/>
      <c r="BY850" s="16"/>
      <c r="BZ850" s="440"/>
      <c r="CA850" s="16"/>
      <c r="CB850" s="440"/>
      <c r="CC850" s="16"/>
      <c r="CD850" s="440"/>
      <c r="CE850" s="16"/>
      <c r="CF850" s="440"/>
      <c r="CG850" s="16"/>
      <c r="CH850" s="440"/>
      <c r="CI850" s="16"/>
      <c r="CJ850" s="440"/>
      <c r="CK850" s="16"/>
      <c r="CL850" s="440"/>
      <c r="CM850" s="16"/>
      <c r="CN850" s="440"/>
      <c r="CO850" s="16"/>
      <c r="CP850" s="440"/>
      <c r="CQ850" s="535"/>
      <c r="CR850" s="440"/>
      <c r="CS850" s="16"/>
      <c r="CT850" s="440"/>
      <c r="CU850" s="16"/>
      <c r="CV850" s="440"/>
      <c r="CW850" s="16"/>
      <c r="CX850" s="440"/>
      <c r="CY850" s="16"/>
      <c r="CZ850" s="440"/>
      <c r="DA850" s="16"/>
      <c r="DB850" s="440"/>
      <c r="DC850" s="16"/>
      <c r="DD850" s="440"/>
      <c r="DE850" s="16"/>
      <c r="DF850" s="440"/>
      <c r="DG850" s="16"/>
      <c r="DH850" s="440"/>
      <c r="DI850" s="16"/>
      <c r="DJ850" s="440"/>
      <c r="DK850" s="16"/>
      <c r="DL850" s="440"/>
      <c r="DM850" s="16"/>
      <c r="DN850" s="440"/>
      <c r="DO850" s="16"/>
      <c r="DP850" s="440"/>
      <c r="DQ850" s="16"/>
      <c r="DR850" s="440"/>
      <c r="DS850" s="16">
        <f>DS251+DS253</f>
        <v>850</v>
      </c>
      <c r="DT850" s="440"/>
      <c r="DU850" s="16">
        <f>DU251+DU253</f>
        <v>862</v>
      </c>
      <c r="DV850" s="440"/>
      <c r="DW850" s="16">
        <f>DW251+DW253</f>
        <v>872</v>
      </c>
      <c r="DX850" s="440"/>
      <c r="DY850" s="16">
        <f>DY251+DY253</f>
        <v>875</v>
      </c>
      <c r="DZ850" s="440"/>
      <c r="EA850" s="16">
        <f>EA251+EA253</f>
        <v>880</v>
      </c>
      <c r="EB850" s="440"/>
      <c r="EC850" s="16">
        <f>EC251+EC253</f>
        <v>874</v>
      </c>
      <c r="ED850" s="440"/>
      <c r="EE850" s="16">
        <f>EE251+EE253</f>
        <v>882</v>
      </c>
      <c r="EF850" s="1080"/>
      <c r="EG850" s="16">
        <f>EG251+EG253</f>
        <v>887</v>
      </c>
      <c r="EH850" s="1080"/>
      <c r="EI850" s="16">
        <f>EI251+EI253</f>
        <v>875</v>
      </c>
      <c r="EJ850" s="1080"/>
      <c r="EK850" s="16">
        <f>EK251+EK253</f>
        <v>887</v>
      </c>
      <c r="EL850" s="1080"/>
      <c r="EM850" s="16">
        <f>EM251+EM253</f>
        <v>899</v>
      </c>
      <c r="EN850" s="1080"/>
      <c r="EO850" s="16">
        <f>EO251+EO253</f>
        <v>907</v>
      </c>
      <c r="EP850" s="440"/>
      <c r="EQ850" s="16">
        <f>EQ251+EQ253</f>
        <v>910.38299999999981</v>
      </c>
      <c r="ER850" s="440"/>
      <c r="ES850" s="16">
        <f>ES251+ES253</f>
        <v>913.77966899999967</v>
      </c>
      <c r="ET850" s="440"/>
      <c r="EU850" s="16">
        <f>EU251+EU253</f>
        <v>917.19006770699968</v>
      </c>
      <c r="EV850" s="440"/>
      <c r="EW850" s="16">
        <f>EW251+EW253</f>
        <v>920.61425712962046</v>
      </c>
      <c r="EX850" s="440"/>
      <c r="EY850" s="16"/>
      <c r="EZ850" s="607"/>
      <c r="FA850" s="427"/>
      <c r="FB850" s="16"/>
      <c r="FC850" s="16"/>
      <c r="FD850" s="16"/>
      <c r="FE850" s="440"/>
      <c r="FF850" s="16"/>
      <c r="FG850" s="440"/>
      <c r="FH850" s="16"/>
      <c r="FI850" s="440"/>
      <c r="FJ850" s="16"/>
      <c r="FK850" s="440"/>
      <c r="FL850" s="16"/>
      <c r="FM850" s="440"/>
      <c r="FN850" s="16"/>
      <c r="FO850" s="440"/>
      <c r="FP850" s="16"/>
      <c r="FQ850" s="440"/>
      <c r="FR850" s="16"/>
      <c r="FS850" s="440"/>
      <c r="FT850" s="16"/>
      <c r="FU850" s="440"/>
      <c r="FV850" s="16" t="e">
        <f>#REF!+#REF!</f>
        <v>#REF!</v>
      </c>
      <c r="FW850" s="440"/>
      <c r="FX850" s="535"/>
      <c r="FY850" s="440"/>
      <c r="FZ850" s="16"/>
      <c r="GA850" s="440"/>
      <c r="GB850" s="535"/>
      <c r="GC850" s="440"/>
      <c r="GD850" s="16"/>
      <c r="GE850" s="440"/>
      <c r="GF850" s="16" t="e">
        <f>#REF!+#REF!</f>
        <v>#REF!</v>
      </c>
      <c r="GG850" s="440"/>
      <c r="GH850" s="16" t="e">
        <f>#REF!+#REF!</f>
        <v>#REF!</v>
      </c>
      <c r="GI850" s="440"/>
      <c r="GJ850" s="16">
        <f>GJ251+GJ253</f>
        <v>3459</v>
      </c>
      <c r="GK850" s="440"/>
      <c r="GL850" s="16">
        <f>GL251+GL253</f>
        <v>3523</v>
      </c>
      <c r="GM850" s="98">
        <f t="shared" ref="GM850:GS851" si="4939">IF(ISERROR((GL850/GJ850-1)*100),"NA",IF(((GL850/GJ850-1)*100)&gt;100,"NM",IF(((GL850/GJ850-1)*100)&lt;-50,"NM",(GL850/GJ850-1)*100)))</f>
        <v>1.8502457357617796</v>
      </c>
      <c r="GN850" s="16">
        <f>GN251+GN253</f>
        <v>3568</v>
      </c>
      <c r="GO850" s="98">
        <f t="shared" si="4939"/>
        <v>1.2773204655123438</v>
      </c>
      <c r="GP850" s="16">
        <f>GP251+GP253</f>
        <v>3661.9669938366201</v>
      </c>
      <c r="GQ850" s="98">
        <f t="shared" si="4939"/>
        <v>2.6336040873492284</v>
      </c>
      <c r="GR850" s="16">
        <f>GR251+GR253</f>
        <v>3881.1928928656171</v>
      </c>
      <c r="GS850" s="98">
        <f t="shared" si="4939"/>
        <v>5.9865613042927812</v>
      </c>
      <c r="GT850" s="16">
        <f>GT251+GT253</f>
        <v>4113.5526610123061</v>
      </c>
      <c r="GU850" s="440"/>
      <c r="GV850" s="16">
        <f>GV251+GV253</f>
        <v>4318.9641552417925</v>
      </c>
      <c r="GW850" s="440"/>
      <c r="GX850" s="16">
        <f>GX251+GX253</f>
        <v>4534.6355786299082</v>
      </c>
      <c r="GY850" s="440"/>
      <c r="GZ850" s="455"/>
      <c r="HA850" s="455"/>
      <c r="HC850"/>
      <c r="HD850"/>
      <c r="HE850"/>
      <c r="HF850"/>
      <c r="HG850"/>
      <c r="HH850"/>
    </row>
    <row r="851" spans="1:217" s="10" customFormat="1" ht="12.75" hidden="1" customHeight="1" outlineLevel="1" x14ac:dyDescent="0.2">
      <c r="A851" s="28"/>
      <c r="B851" s="10" t="s">
        <v>707</v>
      </c>
      <c r="C851" s="16"/>
      <c r="D851" s="16"/>
      <c r="E851" s="16"/>
      <c r="F851" s="16"/>
      <c r="G851" s="16"/>
      <c r="H851" s="16"/>
      <c r="I851" s="16"/>
      <c r="J851" s="16"/>
      <c r="K851" s="16"/>
      <c r="L851" s="440"/>
      <c r="M851" s="16"/>
      <c r="N851" s="440"/>
      <c r="O851" s="16"/>
      <c r="P851" s="440"/>
      <c r="Q851" s="16"/>
      <c r="R851" s="440"/>
      <c r="S851" s="16"/>
      <c r="T851" s="440"/>
      <c r="U851" s="16"/>
      <c r="V851" s="440"/>
      <c r="W851" s="16"/>
      <c r="X851" s="440"/>
      <c r="Y851" s="16"/>
      <c r="Z851" s="440"/>
      <c r="AA851" s="16"/>
      <c r="AB851" s="440"/>
      <c r="AC851" s="16"/>
      <c r="AD851" s="440"/>
      <c r="AE851" s="16"/>
      <c r="AF851" s="440"/>
      <c r="AG851" s="16"/>
      <c r="AH851" s="440"/>
      <c r="AI851" s="16"/>
      <c r="AJ851" s="440"/>
      <c r="AK851" s="16"/>
      <c r="AL851" s="440"/>
      <c r="AM851" s="16"/>
      <c r="AN851" s="440"/>
      <c r="AO851" s="16"/>
      <c r="AP851" s="440"/>
      <c r="AQ851" s="16"/>
      <c r="AR851" s="440"/>
      <c r="AS851" s="16"/>
      <c r="AT851" s="440"/>
      <c r="AU851" s="16"/>
      <c r="AV851" s="440"/>
      <c r="AW851" s="16"/>
      <c r="AX851" s="440"/>
      <c r="AY851" s="16"/>
      <c r="AZ851" s="440"/>
      <c r="BA851" s="16"/>
      <c r="BB851" s="440"/>
      <c r="BC851" s="16"/>
      <c r="BD851" s="440"/>
      <c r="BE851" s="16"/>
      <c r="BF851" s="440"/>
      <c r="BG851" s="16">
        <f>BG848+BG849+BG850</f>
        <v>0</v>
      </c>
      <c r="BH851" s="440"/>
      <c r="BI851" s="16">
        <f>BI848+BI849+BI850</f>
        <v>0</v>
      </c>
      <c r="BJ851" s="440"/>
      <c r="BK851" s="16">
        <f>BK848+BK849+BK850</f>
        <v>0</v>
      </c>
      <c r="BL851" s="440"/>
      <c r="BM851" s="16">
        <f>BM848+BM849+BM850</f>
        <v>0</v>
      </c>
      <c r="BN851" s="440"/>
      <c r="BO851" s="16">
        <f>BO848+BO849+BO850</f>
        <v>0</v>
      </c>
      <c r="BP851" s="440"/>
      <c r="BQ851" s="16">
        <f>BQ848+BQ849+BQ850</f>
        <v>0</v>
      </c>
      <c r="BR851" s="440"/>
      <c r="BS851" s="16">
        <f>BS848+BS849+BS850</f>
        <v>0</v>
      </c>
      <c r="BT851" s="440"/>
      <c r="BU851" s="16">
        <f>BU848+BU849+BU850</f>
        <v>0</v>
      </c>
      <c r="BV851" s="440"/>
      <c r="BW851" s="16">
        <f>BW848+BW849+BW850</f>
        <v>0</v>
      </c>
      <c r="BX851" s="440"/>
      <c r="BY851" s="16">
        <f>BY848+BY849+BY850</f>
        <v>0</v>
      </c>
      <c r="BZ851" s="440"/>
      <c r="CA851" s="16">
        <f>CA848+CA849+CA850</f>
        <v>0</v>
      </c>
      <c r="CB851" s="440"/>
      <c r="CC851" s="16">
        <f>CC848+CC849+CC850</f>
        <v>0</v>
      </c>
      <c r="CD851" s="440"/>
      <c r="CE851" s="16">
        <f>CE848+CE849+CE850</f>
        <v>0</v>
      </c>
      <c r="CF851" s="440"/>
      <c r="CG851" s="16">
        <f>CG848+CG849+CG850</f>
        <v>0</v>
      </c>
      <c r="CH851" s="440"/>
      <c r="CI851" s="16">
        <f>CI848+CI849+CI850</f>
        <v>0</v>
      </c>
      <c r="CJ851" s="440"/>
      <c r="CK851" s="16">
        <f>CK848+CK849+CK850</f>
        <v>0</v>
      </c>
      <c r="CL851" s="440"/>
      <c r="CM851" s="16">
        <f>CM848+CM849+CM850</f>
        <v>0</v>
      </c>
      <c r="CN851" s="440"/>
      <c r="CO851" s="16">
        <f>CO848+CO849+CO850</f>
        <v>0</v>
      </c>
      <c r="CP851" s="440"/>
      <c r="CQ851" s="535">
        <f>CQ61+CQ62+CQ66</f>
        <v>3687</v>
      </c>
      <c r="CR851" s="440"/>
      <c r="CS851" s="16">
        <f>CS61+CS62+CS66</f>
        <v>3751</v>
      </c>
      <c r="CT851" s="440"/>
      <c r="CU851" s="16">
        <f>CU61+CU62+CU66</f>
        <v>3859</v>
      </c>
      <c r="CV851" s="440"/>
      <c r="CW851" s="16">
        <f>CW61+CW62+CW66</f>
        <v>3960</v>
      </c>
      <c r="CX851" s="440"/>
      <c r="CY851" s="16">
        <f>CY61+CY62+CY66</f>
        <v>4019</v>
      </c>
      <c r="CZ851" s="440"/>
      <c r="DA851" s="16">
        <f>DA61+DA62+DA66</f>
        <v>4040</v>
      </c>
      <c r="DB851" s="440"/>
      <c r="DC851" s="16">
        <f>DC61+DC62+DC66</f>
        <v>4162</v>
      </c>
      <c r="DD851" s="440"/>
      <c r="DE851" s="16">
        <f>DE61+DE62+DE66</f>
        <v>4072</v>
      </c>
      <c r="DF851" s="440"/>
      <c r="DG851" s="16">
        <f>DG61+DG62+DG66</f>
        <v>4041</v>
      </c>
      <c r="DH851" s="440"/>
      <c r="DI851" s="16">
        <f>DI61+DI62+DI66</f>
        <v>4081</v>
      </c>
      <c r="DJ851" s="440"/>
      <c r="DK851" s="16">
        <f>DK61+DK62+DK66</f>
        <v>4286</v>
      </c>
      <c r="DL851" s="440"/>
      <c r="DM851" s="16">
        <f>DM61+DM62+DM66</f>
        <v>4323</v>
      </c>
      <c r="DN851" s="440"/>
      <c r="DO851" s="16">
        <f>DO61+DO62+DO66</f>
        <v>4293</v>
      </c>
      <c r="DP851" s="440"/>
      <c r="DQ851" s="16">
        <f>DQ61+DQ62+DQ66</f>
        <v>4213</v>
      </c>
      <c r="DR851" s="440"/>
      <c r="DS851" s="16">
        <f>DS61+DS62+DS66</f>
        <v>3932</v>
      </c>
      <c r="DT851" s="440"/>
      <c r="DU851" s="16">
        <f>DU61+DU62+DU66</f>
        <v>3920</v>
      </c>
      <c r="DV851" s="440"/>
      <c r="DW851" s="16">
        <f>DW61+DW62+DW66</f>
        <v>3903</v>
      </c>
      <c r="DX851" s="440"/>
      <c r="DY851" s="16">
        <f>DY61+DY62+DY66</f>
        <v>3847</v>
      </c>
      <c r="DZ851" s="440"/>
      <c r="EA851" s="16">
        <f>EA61+EA62+EA66</f>
        <v>4114</v>
      </c>
      <c r="EB851" s="440"/>
      <c r="EC851" s="16">
        <f>EC61+EC62+EC66</f>
        <v>4099</v>
      </c>
      <c r="ED851" s="440"/>
      <c r="EE851" s="16">
        <f>EE61+EE62+EE66</f>
        <v>4050</v>
      </c>
      <c r="EF851" s="1080"/>
      <c r="EG851" s="16">
        <f>EG61+EG62+EG66</f>
        <v>4033</v>
      </c>
      <c r="EH851" s="1080"/>
      <c r="EI851" s="16">
        <f>EI61+EI62+EI66</f>
        <v>4300</v>
      </c>
      <c r="EJ851" s="1080"/>
      <c r="EK851" s="16">
        <f>EK61+EK62+EK66</f>
        <v>4202</v>
      </c>
      <c r="EL851" s="1080"/>
      <c r="EM851" s="16">
        <f>EM61+EM62+EM66</f>
        <v>4073</v>
      </c>
      <c r="EN851" s="1080"/>
      <c r="EO851" s="16">
        <f>EO61+EO62+EO66</f>
        <v>4105</v>
      </c>
      <c r="EP851" s="440"/>
      <c r="EQ851" s="1079">
        <f>EQ61+EQ62+EQ66</f>
        <v>4128.4311299629262</v>
      </c>
      <c r="ER851" s="440"/>
      <c r="ES851" s="1079">
        <f>ES61+ES62+ES66</f>
        <v>4142.3391753820579</v>
      </c>
      <c r="ET851" s="440"/>
      <c r="EU851" s="1079">
        <f>EU61+EU62+EU66</f>
        <v>4152.2384936920471</v>
      </c>
      <c r="EV851" s="440"/>
      <c r="EW851" s="1079">
        <f>EW61+EW62+EW66</f>
        <v>4165.6189288051301</v>
      </c>
      <c r="EX851" s="440"/>
      <c r="EY851" s="16"/>
      <c r="EZ851" s="607"/>
      <c r="FA851" s="427"/>
      <c r="FB851" s="16"/>
      <c r="FC851" s="16"/>
      <c r="FD851" s="16"/>
      <c r="FE851" s="440"/>
      <c r="FF851" s="16"/>
      <c r="FG851" s="440"/>
      <c r="FH851" s="16"/>
      <c r="FI851" s="440"/>
      <c r="FJ851" s="16"/>
      <c r="FK851" s="440"/>
      <c r="FL851" s="16"/>
      <c r="FM851" s="440"/>
      <c r="FN851" s="16"/>
      <c r="FO851" s="440"/>
      <c r="FP851" s="16"/>
      <c r="FQ851" s="440"/>
      <c r="FR851" s="16"/>
      <c r="FS851" s="440"/>
      <c r="FT851" s="16"/>
      <c r="FU851" s="440"/>
      <c r="FV851" s="16"/>
      <c r="FW851" s="440"/>
      <c r="FX851" s="535"/>
      <c r="FY851" s="440"/>
      <c r="FZ851" s="16"/>
      <c r="GA851" s="440"/>
      <c r="GB851" s="535">
        <f>GB61+GB62+GB66</f>
        <v>14969</v>
      </c>
      <c r="GC851" s="440"/>
      <c r="GD851" s="16">
        <f>GD61+GD62+GD66</f>
        <v>15878</v>
      </c>
      <c r="GE851" s="440"/>
      <c r="GF851" s="16">
        <f>GF61+GF62+GF66</f>
        <v>16356</v>
      </c>
      <c r="GG851" s="440"/>
      <c r="GH851" s="16">
        <f>GH61+GH62+GH66</f>
        <v>17115</v>
      </c>
      <c r="GI851" s="440"/>
      <c r="GJ851" s="16">
        <f>GJ61+GJ62+GJ66</f>
        <v>15602</v>
      </c>
      <c r="GK851" s="440"/>
      <c r="GL851" s="16">
        <f>GL61+GL62+GL66</f>
        <v>16296</v>
      </c>
      <c r="GM851" s="98">
        <f t="shared" si="4939"/>
        <v>4.4481476733752023</v>
      </c>
      <c r="GN851" s="16">
        <f>GN61+GN62+GN66</f>
        <v>16680</v>
      </c>
      <c r="GO851" s="98">
        <f t="shared" si="4939"/>
        <v>2.356406480117812</v>
      </c>
      <c r="GP851" s="16">
        <f>GP61+GP62+GP66</f>
        <v>16588.627727842162</v>
      </c>
      <c r="GQ851" s="98">
        <f t="shared" si="4939"/>
        <v>-0.54779539662972443</v>
      </c>
      <c r="GR851" s="16">
        <f>GR61+GR62+GR66</f>
        <v>16929.498196758734</v>
      </c>
      <c r="GS851" s="98">
        <f t="shared" si="4939"/>
        <v>2.0548442855490512</v>
      </c>
      <c r="GT851" s="16">
        <f>GT61+GT62+GT66</f>
        <v>17218.634955002377</v>
      </c>
      <c r="GU851" s="440"/>
      <c r="GV851" s="16">
        <f>GV61+GV62+GV66</f>
        <v>17542.851471760634</v>
      </c>
      <c r="GW851" s="440"/>
      <c r="GX851" s="16">
        <f>GX61+GX62+GX66</f>
        <v>17899.308010099092</v>
      </c>
      <c r="GY851" s="440"/>
      <c r="GZ851" s="455"/>
      <c r="HA851" s="455"/>
      <c r="HC851"/>
      <c r="HD851"/>
      <c r="HE851"/>
      <c r="HF851"/>
      <c r="HG851"/>
      <c r="HH851"/>
    </row>
    <row r="852" spans="1:217" s="10" customFormat="1" ht="12.75" hidden="1" customHeight="1" outlineLevel="1" x14ac:dyDescent="0.2">
      <c r="A852" s="28"/>
      <c r="B852" s="10" t="s">
        <v>125</v>
      </c>
      <c r="C852" s="16"/>
      <c r="D852" s="16"/>
      <c r="E852" s="16"/>
      <c r="F852" s="16"/>
      <c r="G852" s="16"/>
      <c r="H852" s="16"/>
      <c r="I852" s="16"/>
      <c r="J852" s="16"/>
      <c r="K852" s="16"/>
      <c r="L852" s="440"/>
      <c r="M852" s="16"/>
      <c r="N852" s="440"/>
      <c r="O852" s="16"/>
      <c r="P852" s="440"/>
      <c r="Q852" s="16"/>
      <c r="R852" s="440"/>
      <c r="S852" s="16"/>
      <c r="T852" s="440"/>
      <c r="U852" s="16"/>
      <c r="V852" s="440"/>
      <c r="W852" s="16"/>
      <c r="X852" s="440"/>
      <c r="Y852" s="16"/>
      <c r="Z852" s="440"/>
      <c r="AA852" s="16"/>
      <c r="AB852" s="440"/>
      <c r="AC852" s="16"/>
      <c r="AD852" s="440"/>
      <c r="AE852" s="16"/>
      <c r="AF852" s="440"/>
      <c r="AG852" s="16"/>
      <c r="AH852" s="440"/>
      <c r="AI852" s="16"/>
      <c r="AJ852" s="440"/>
      <c r="AK852" s="16"/>
      <c r="AL852" s="440"/>
      <c r="AM852" s="16"/>
      <c r="AN852" s="440"/>
      <c r="AO852" s="16"/>
      <c r="AP852" s="440"/>
      <c r="AQ852" s="16"/>
      <c r="AR852" s="440"/>
      <c r="AS852" s="16"/>
      <c r="AT852" s="440"/>
      <c r="AU852" s="16"/>
      <c r="AV852" s="440"/>
      <c r="AW852" s="16"/>
      <c r="AX852" s="440"/>
      <c r="AY852" s="16"/>
      <c r="AZ852" s="440"/>
      <c r="BA852" s="16"/>
      <c r="BB852" s="440"/>
      <c r="BC852" s="16"/>
      <c r="BD852" s="440"/>
      <c r="BE852" s="16"/>
      <c r="BF852" s="440"/>
      <c r="BG852" s="16">
        <f>BG158+BG159+BG163</f>
        <v>383</v>
      </c>
      <c r="BH852" s="440"/>
      <c r="BI852" s="16">
        <f>BI158+BI159+BI163</f>
        <v>335</v>
      </c>
      <c r="BJ852" s="440"/>
      <c r="BK852" s="16">
        <f>BK158+BK159+BK163</f>
        <v>395</v>
      </c>
      <c r="BL852" s="440"/>
      <c r="BM852" s="16">
        <f>BM158+BM159+BM163</f>
        <v>384</v>
      </c>
      <c r="BN852" s="440"/>
      <c r="BO852" s="16">
        <f>BO158+BO159+BO163</f>
        <v>608</v>
      </c>
      <c r="BP852" s="440"/>
      <c r="BQ852" s="16">
        <f>BQ158+BQ159+BQ163</f>
        <v>553</v>
      </c>
      <c r="BR852" s="440"/>
      <c r="BS852" s="16">
        <f>BS158+BS159+BS163</f>
        <v>1099</v>
      </c>
      <c r="BT852" s="440"/>
      <c r="BU852" s="16">
        <f>BU158+BU159+BU163</f>
        <v>802</v>
      </c>
      <c r="BV852" s="440"/>
      <c r="BW852" s="16">
        <f>BW158+BW159+BW163</f>
        <v>433</v>
      </c>
      <c r="BX852" s="440"/>
      <c r="BY852" s="16">
        <f>BY158+BY159+BY163</f>
        <v>825</v>
      </c>
      <c r="BZ852" s="440"/>
      <c r="CA852" s="16">
        <f>CA158+CA159+CA163</f>
        <v>707</v>
      </c>
      <c r="CB852" s="440"/>
      <c r="CC852" s="16">
        <f>CC158+CC159+CC163</f>
        <v>930</v>
      </c>
      <c r="CD852" s="440"/>
      <c r="CE852" s="16">
        <f>CE158+CE159+CE163</f>
        <v>789</v>
      </c>
      <c r="CF852" s="440"/>
      <c r="CG852" s="16">
        <f>CG158+CG159+CG163</f>
        <v>589</v>
      </c>
      <c r="CH852" s="440"/>
      <c r="CI852" s="16">
        <f>CI158+CI159+CI163</f>
        <v>519</v>
      </c>
      <c r="CJ852" s="440"/>
      <c r="CK852" s="16">
        <f>CK158+CK159+CK163</f>
        <v>513</v>
      </c>
      <c r="CL852" s="440"/>
      <c r="CM852" s="16">
        <f>CM158+CM159+CM163</f>
        <v>537</v>
      </c>
      <c r="CN852" s="440"/>
      <c r="CO852" s="16">
        <f>CO158+CO159+CO163</f>
        <v>993</v>
      </c>
      <c r="CP852" s="440"/>
      <c r="CQ852" s="535">
        <f>CQ158+CQ159+CQ163</f>
        <v>965</v>
      </c>
      <c r="CR852" s="440"/>
      <c r="CS852" s="16">
        <f>CS158+CS159+CS163</f>
        <v>834</v>
      </c>
      <c r="CT852" s="440"/>
      <c r="CU852" s="16">
        <f>CU158+CU159+CU163</f>
        <v>622</v>
      </c>
      <c r="CV852" s="440"/>
      <c r="CW852" s="16">
        <f>CW158+CW159+CW163</f>
        <v>645</v>
      </c>
      <c r="CX852" s="440"/>
      <c r="CY852" s="16">
        <f>CY158+CY159+CY163</f>
        <v>567</v>
      </c>
      <c r="CZ852" s="440"/>
      <c r="DA852" s="16">
        <f>DA158+DA159+DA163</f>
        <v>1887</v>
      </c>
      <c r="DB852" s="440"/>
      <c r="DC852" s="16">
        <f>DC158+DC159+DC163</f>
        <v>557</v>
      </c>
      <c r="DD852" s="440"/>
      <c r="DE852" s="16">
        <f>DE158+DE159+DE163</f>
        <v>635</v>
      </c>
      <c r="DF852" s="440"/>
      <c r="DG852" s="16">
        <f>DG158+DG159+DG163</f>
        <v>572</v>
      </c>
      <c r="DH852" s="440"/>
      <c r="DI852" s="16">
        <f>DI158+DI159+DI163</f>
        <v>1528</v>
      </c>
      <c r="DJ852" s="440"/>
      <c r="DK852" s="16">
        <f>DK158+DK159+DK163</f>
        <v>426</v>
      </c>
      <c r="DL852" s="440"/>
      <c r="DM852" s="16">
        <f>DM158+DM159+DM163</f>
        <v>816</v>
      </c>
      <c r="DN852" s="440"/>
      <c r="DO852" s="16">
        <f>DO158+DO159+DO163</f>
        <v>582</v>
      </c>
      <c r="DP852" s="440"/>
      <c r="DQ852" s="16">
        <f>DQ158+DQ159+DQ163</f>
        <v>1456</v>
      </c>
      <c r="DR852" s="440"/>
      <c r="DS852" s="1104"/>
      <c r="DT852" s="1105"/>
      <c r="DU852" s="1104"/>
      <c r="DV852" s="1105"/>
      <c r="DW852" s="1104"/>
      <c r="DX852" s="1105"/>
      <c r="DY852" s="1104"/>
      <c r="DZ852" s="1105"/>
      <c r="EA852" s="1104"/>
      <c r="EB852" s="1105"/>
      <c r="EC852" s="1104"/>
      <c r="ED852" s="1105"/>
      <c r="EE852" s="1104"/>
      <c r="EF852" s="1105"/>
      <c r="EG852" s="1104"/>
      <c r="EH852" s="1105"/>
      <c r="EI852" s="1104"/>
      <c r="EJ852" s="1105"/>
      <c r="EK852" s="1104"/>
      <c r="EL852" s="1105"/>
      <c r="EM852" s="1104"/>
      <c r="EN852" s="1105"/>
      <c r="EO852" s="1104"/>
      <c r="EP852" s="1105"/>
      <c r="EQ852" s="1104"/>
      <c r="ER852" s="1105"/>
      <c r="ES852" s="1104"/>
      <c r="ET852" s="1105"/>
      <c r="EU852" s="1104"/>
      <c r="EV852" s="1105"/>
      <c r="EW852" s="1104"/>
      <c r="EX852" s="1105"/>
      <c r="EY852" s="1104"/>
      <c r="EZ852" s="1106"/>
      <c r="FA852" s="1106"/>
      <c r="FB852" s="1104"/>
      <c r="FC852" s="1104"/>
      <c r="FD852" s="1104"/>
      <c r="FE852" s="1105"/>
      <c r="FF852" s="1104"/>
      <c r="FG852" s="1105"/>
      <c r="FH852" s="1104"/>
      <c r="FI852" s="1105"/>
      <c r="FJ852" s="1104"/>
      <c r="FK852" s="1105"/>
      <c r="FL852" s="1104"/>
      <c r="FM852" s="1105"/>
      <c r="FN852" s="1104"/>
      <c r="FO852" s="1105"/>
      <c r="FP852" s="1104"/>
      <c r="FQ852" s="1105"/>
      <c r="FR852" s="1104"/>
      <c r="FS852" s="1105"/>
      <c r="FT852" s="1104"/>
      <c r="FU852" s="1105"/>
      <c r="FV852" s="1104"/>
      <c r="FW852" s="1105"/>
      <c r="FX852" s="1107"/>
      <c r="FY852" s="1105"/>
      <c r="FZ852" s="1104"/>
      <c r="GA852" s="1105"/>
      <c r="GB852" s="1107"/>
      <c r="GC852" s="1105"/>
      <c r="GD852" s="1104"/>
      <c r="GE852" s="1105"/>
      <c r="GF852" s="1104"/>
      <c r="GG852" s="1105"/>
      <c r="GH852" s="1104"/>
      <c r="GI852" s="1105"/>
      <c r="GJ852" s="1104"/>
      <c r="GK852" s="1105"/>
      <c r="GL852" s="1104"/>
      <c r="GM852" s="1105"/>
      <c r="GN852" s="1104"/>
      <c r="GO852" s="1105"/>
      <c r="GP852" s="1104"/>
      <c r="GQ852" s="1105"/>
      <c r="GR852" s="1104"/>
      <c r="GS852" s="1105"/>
      <c r="GT852" s="1104"/>
      <c r="GU852" s="1105"/>
      <c r="GV852" s="1104"/>
      <c r="GW852" s="440"/>
      <c r="GX852" s="1104"/>
      <c r="GY852" s="440"/>
      <c r="GZ852" s="455"/>
      <c r="HA852" s="455"/>
      <c r="HC852"/>
      <c r="HD852"/>
      <c r="HE852"/>
      <c r="HF852"/>
      <c r="HG852"/>
      <c r="HH852"/>
    </row>
    <row r="853" spans="1:217" s="10" customFormat="1" ht="12.75" hidden="1" customHeight="1" outlineLevel="1" x14ac:dyDescent="0.2">
      <c r="A853" s="28"/>
      <c r="B853" s="10" t="s">
        <v>225</v>
      </c>
      <c r="C853" s="16"/>
      <c r="D853" s="16"/>
      <c r="E853" s="16"/>
      <c r="F853" s="16"/>
      <c r="G853" s="16"/>
      <c r="H853" s="16"/>
      <c r="I853" s="16"/>
      <c r="J853" s="16"/>
      <c r="K853" s="16"/>
      <c r="L853" s="440"/>
      <c r="M853" s="16"/>
      <c r="N853" s="440"/>
      <c r="O853" s="16"/>
      <c r="P853" s="440"/>
      <c r="Q853" s="16"/>
      <c r="R853" s="440"/>
      <c r="S853" s="16"/>
      <c r="T853" s="440"/>
      <c r="U853" s="16"/>
      <c r="V853" s="440"/>
      <c r="W853" s="16"/>
      <c r="X853" s="440"/>
      <c r="Y853" s="16"/>
      <c r="Z853" s="440"/>
      <c r="AA853" s="16"/>
      <c r="AB853" s="440"/>
      <c r="AC853" s="16"/>
      <c r="AD853" s="440"/>
      <c r="AE853" s="16"/>
      <c r="AF853" s="440"/>
      <c r="AG853" s="16"/>
      <c r="AH853" s="440"/>
      <c r="AI853" s="16"/>
      <c r="AJ853" s="440"/>
      <c r="AK853" s="16"/>
      <c r="AL853" s="440"/>
      <c r="AM853" s="16"/>
      <c r="AN853" s="440"/>
      <c r="AO853" s="16"/>
      <c r="AP853" s="440"/>
      <c r="AQ853" s="16"/>
      <c r="AR853" s="440"/>
      <c r="AS853" s="16"/>
      <c r="AT853" s="440"/>
      <c r="AU853" s="16"/>
      <c r="AV853" s="440"/>
      <c r="AW853" s="16"/>
      <c r="AX853" s="440"/>
      <c r="AY853" s="16"/>
      <c r="AZ853" s="440"/>
      <c r="BA853" s="16"/>
      <c r="BB853" s="440"/>
      <c r="BC853" s="16"/>
      <c r="BD853" s="440"/>
      <c r="BE853" s="16"/>
      <c r="BF853" s="440"/>
      <c r="BG853" s="16"/>
      <c r="BH853" s="440"/>
      <c r="BI853" s="16"/>
      <c r="BJ853" s="440"/>
      <c r="BK853" s="16"/>
      <c r="BL853" s="440"/>
      <c r="BM853" s="16"/>
      <c r="BN853" s="440"/>
      <c r="BO853" s="16"/>
      <c r="BP853" s="440"/>
      <c r="BQ853" s="16"/>
      <c r="BR853" s="440"/>
      <c r="BS853" s="16"/>
      <c r="BT853" s="440"/>
      <c r="BU853" s="16"/>
      <c r="BV853" s="440"/>
      <c r="BW853" s="16"/>
      <c r="BX853" s="440"/>
      <c r="BY853" s="16"/>
      <c r="BZ853" s="440"/>
      <c r="CA853" s="16"/>
      <c r="CB853" s="440"/>
      <c r="CC853" s="16"/>
      <c r="CD853" s="440"/>
      <c r="CE853" s="16"/>
      <c r="CF853" s="440"/>
      <c r="CG853" s="16"/>
      <c r="CH853" s="440"/>
      <c r="CI853" s="16"/>
      <c r="CJ853" s="440"/>
      <c r="CK853" s="16"/>
      <c r="CL853" s="440"/>
      <c r="CM853" s="16">
        <f>CM313+CM316+CM314</f>
        <v>787</v>
      </c>
      <c r="CN853" s="440"/>
      <c r="CO853" s="16">
        <f>CO313+CO316+CO314</f>
        <v>843</v>
      </c>
      <c r="CP853" s="440"/>
      <c r="CQ853" s="535">
        <f>CQ313+CQ316+CQ314</f>
        <v>868</v>
      </c>
      <c r="CR853" s="440"/>
      <c r="CS853" s="16">
        <f>CS313+CS316+CS314</f>
        <v>788</v>
      </c>
      <c r="CT853" s="440"/>
      <c r="CU853" s="16">
        <f>CU313+CU316+CU314</f>
        <v>887</v>
      </c>
      <c r="CV853" s="440"/>
      <c r="CW853" s="16">
        <f>CW313+CW316+CW314</f>
        <v>851</v>
      </c>
      <c r="CX853" s="440"/>
      <c r="CY853" s="16">
        <f>CY313+CY316+CY314</f>
        <v>802</v>
      </c>
      <c r="CZ853" s="440"/>
      <c r="DA853" s="16">
        <f>DA313+DA316+DA314</f>
        <v>839</v>
      </c>
      <c r="DB853" s="440"/>
      <c r="DC853" s="16">
        <f>DC313+DC316+DC314</f>
        <v>904</v>
      </c>
      <c r="DD853" s="440"/>
      <c r="DE853" s="16">
        <f>DE313+DE316+DE314</f>
        <v>950</v>
      </c>
      <c r="DF853" s="440"/>
      <c r="DG853" s="16">
        <f>DG313+DG316+DG314</f>
        <v>914</v>
      </c>
      <c r="DH853" s="440"/>
      <c r="DI853" s="16">
        <f>DI313+DI316+DI314</f>
        <v>1070</v>
      </c>
      <c r="DJ853" s="440"/>
      <c r="DK853" s="16">
        <f>DK313+DK316+DK314</f>
        <v>1001</v>
      </c>
      <c r="DL853" s="440"/>
      <c r="DM853" s="16">
        <f>DM313+DM316+DM314</f>
        <v>1124</v>
      </c>
      <c r="DN853" s="440"/>
      <c r="DO853" s="16">
        <f>DO313+DO316+DO314</f>
        <v>1147</v>
      </c>
      <c r="DP853" s="440"/>
      <c r="DQ853" s="16">
        <f>DQ313+DQ316+DQ314</f>
        <v>1041</v>
      </c>
      <c r="DR853" s="440"/>
      <c r="DS853" s="16">
        <f>DS313+DS316+DS314</f>
        <v>937</v>
      </c>
      <c r="DT853" s="440"/>
      <c r="DU853" s="16">
        <f>DU313+DU316+DU314</f>
        <v>1014</v>
      </c>
      <c r="DV853" s="440"/>
      <c r="DW853" s="16">
        <f>DW313+DW316+DW314</f>
        <v>857</v>
      </c>
      <c r="DX853" s="440"/>
      <c r="DY853" s="16">
        <f>DY313+DY316+DY314</f>
        <v>931</v>
      </c>
      <c r="DZ853" s="440"/>
      <c r="EA853" s="16">
        <f>EA313+EA316+EA314</f>
        <v>876</v>
      </c>
      <c r="EB853" s="440"/>
      <c r="EC853" s="16">
        <f>EC313+EC316+EC314</f>
        <v>908</v>
      </c>
      <c r="ED853" s="440"/>
      <c r="EE853" s="16">
        <f>EE313+EE316+EE314</f>
        <v>891</v>
      </c>
      <c r="EF853" s="1080"/>
      <c r="EG853" s="16">
        <f>EG313+EG316+EG314</f>
        <v>913</v>
      </c>
      <c r="EH853" s="1080"/>
      <c r="EI853" s="16">
        <f>EI313+EI316+EI314</f>
        <v>916</v>
      </c>
      <c r="EJ853" s="1080"/>
      <c r="EK853" s="16">
        <f>EK313+EK316+EK314</f>
        <v>928</v>
      </c>
      <c r="EL853" s="1080"/>
      <c r="EM853" s="16">
        <f>EM313+EM316+EM314</f>
        <v>937</v>
      </c>
      <c r="EN853" s="1080"/>
      <c r="EO853" s="16">
        <f>EO313+EO316+EO314</f>
        <v>988</v>
      </c>
      <c r="EP853" s="440"/>
      <c r="EQ853" s="1079">
        <f>EQ313+EQ316+EQ314</f>
        <v>1002.8199999999999</v>
      </c>
      <c r="ER853" s="440"/>
      <c r="ES853" s="1079">
        <f>ES313+ES316+ES314</f>
        <v>1017.8622999999998</v>
      </c>
      <c r="ET853" s="440"/>
      <c r="EU853" s="1079">
        <f>EU313+EU316+EU314</f>
        <v>1033.1302344999997</v>
      </c>
      <c r="EV853" s="440"/>
      <c r="EW853" s="1079">
        <f>EW313+EW316+EW314</f>
        <v>1048.6271880174995</v>
      </c>
      <c r="EX853" s="440"/>
      <c r="EY853" s="16"/>
      <c r="EZ853" s="607"/>
      <c r="FA853" s="427"/>
      <c r="FB853" s="16">
        <f>FB313+FB316+FB314</f>
        <v>0</v>
      </c>
      <c r="FC853" s="16"/>
      <c r="FD853" s="16">
        <f>FD313+FD316+FD314</f>
        <v>0</v>
      </c>
      <c r="FE853" s="440"/>
      <c r="FF853" s="16">
        <f>FF313+FF316+FF314</f>
        <v>0</v>
      </c>
      <c r="FG853" s="440"/>
      <c r="FH853" s="16">
        <f>FH313+FH316+FH314</f>
        <v>0</v>
      </c>
      <c r="FI853" s="440"/>
      <c r="FJ853" s="16">
        <f>FJ313+FJ316+FJ314</f>
        <v>0</v>
      </c>
      <c r="FK853" s="440"/>
      <c r="FL853" s="16">
        <f>FL313+FL316+FL314</f>
        <v>0</v>
      </c>
      <c r="FM853" s="440"/>
      <c r="FN853" s="16">
        <f>FN313+FN316+FN314</f>
        <v>0</v>
      </c>
      <c r="FO853" s="440"/>
      <c r="FP853" s="16">
        <f>FP313+FP316+FP314</f>
        <v>0</v>
      </c>
      <c r="FQ853" s="440"/>
      <c r="FR853" s="16">
        <f>FR313+FR316+FR314</f>
        <v>0</v>
      </c>
      <c r="FS853" s="440"/>
      <c r="FT853" s="16">
        <f>FT313+FT316+FT314</f>
        <v>0</v>
      </c>
      <c r="FU853" s="440"/>
      <c r="FV853" s="16">
        <f>FV313+FV316+FV314</f>
        <v>0</v>
      </c>
      <c r="FW853" s="440"/>
      <c r="FX853" s="535">
        <f>FX313+FX316+FX314</f>
        <v>0</v>
      </c>
      <c r="FY853" s="440"/>
      <c r="FZ853" s="16">
        <f>FZ313+FZ316+FZ314</f>
        <v>0</v>
      </c>
      <c r="GA853" s="440"/>
      <c r="GB853" s="535">
        <f>GB313+GB316+GB314</f>
        <v>3286</v>
      </c>
      <c r="GC853" s="440"/>
      <c r="GD853" s="16">
        <f>GD313+GD316+GD314</f>
        <v>3379</v>
      </c>
      <c r="GE853" s="440"/>
      <c r="GF853" s="16">
        <f>GF313+GF316+GF314</f>
        <v>3838</v>
      </c>
      <c r="GG853" s="440"/>
      <c r="GH853" s="16">
        <f>GH313+GH316+GH314</f>
        <v>4313</v>
      </c>
      <c r="GI853" s="440"/>
      <c r="GJ853" s="16">
        <f>GJ313+GJ316+GJ314</f>
        <v>3739</v>
      </c>
      <c r="GK853" s="440"/>
      <c r="GL853" s="16">
        <f>GL313+GL316+GL314</f>
        <v>3588</v>
      </c>
      <c r="GM853" s="98">
        <f t="shared" ref="GM853:GS856" si="4940">IF(ISERROR((GL853/GJ853-1)*100),"NA",IF(((GL853/GJ853-1)*100)&gt;100,"NM",IF(((GL853/GJ853-1)*100)&lt;-50,"NM",(GL853/GJ853-1)*100)))</f>
        <v>-4.0385129713827244</v>
      </c>
      <c r="GN853" s="16">
        <f>GN313+GN316+GN314</f>
        <v>3769</v>
      </c>
      <c r="GO853" s="98">
        <f t="shared" si="4940"/>
        <v>5.0445930880713474</v>
      </c>
      <c r="GP853" s="16">
        <f>GP313+GP316+GP314</f>
        <v>4102.4397225174989</v>
      </c>
      <c r="GQ853" s="98">
        <f t="shared" si="4940"/>
        <v>8.8469016321968361</v>
      </c>
      <c r="GR853" s="16">
        <f>GR313+GR316+GR314</f>
        <v>4348.5861058685496</v>
      </c>
      <c r="GS853" s="98">
        <f t="shared" si="4940"/>
        <v>6.0000000000000275</v>
      </c>
      <c r="GT853" s="16">
        <f>GT313+GT316+GT314</f>
        <v>4609.5012722206629</v>
      </c>
      <c r="GU853" s="440"/>
      <c r="GV853" s="16">
        <f>GV313+GV316+GV314</f>
        <v>4886.0713485539018</v>
      </c>
      <c r="GW853" s="440"/>
      <c r="GX853" s="16">
        <f>GX313+GX316+GX314</f>
        <v>5179.2356294671372</v>
      </c>
      <c r="GY853" s="440"/>
      <c r="GZ853" s="455"/>
      <c r="HA853" s="455"/>
      <c r="HC853"/>
      <c r="HD853"/>
      <c r="HE853"/>
      <c r="HF853"/>
      <c r="HG853"/>
      <c r="HH853"/>
    </row>
    <row r="854" spans="1:217" s="10" customFormat="1" ht="12.75" hidden="1" customHeight="1" outlineLevel="1" x14ac:dyDescent="0.2">
      <c r="A854" s="28"/>
      <c r="B854" s="10" t="s">
        <v>224</v>
      </c>
      <c r="C854" s="16"/>
      <c r="D854" s="16"/>
      <c r="E854" s="16"/>
      <c r="F854" s="16"/>
      <c r="G854" s="16"/>
      <c r="H854" s="16"/>
      <c r="I854" s="16"/>
      <c r="J854" s="16"/>
      <c r="K854" s="16"/>
      <c r="L854" s="440"/>
      <c r="M854" s="16"/>
      <c r="N854" s="440"/>
      <c r="O854" s="16"/>
      <c r="P854" s="440"/>
      <c r="Q854" s="16"/>
      <c r="R854" s="440"/>
      <c r="S854" s="16"/>
      <c r="T854" s="440"/>
      <c r="U854" s="16"/>
      <c r="V854" s="440"/>
      <c r="W854" s="16"/>
      <c r="X854" s="440"/>
      <c r="Y854" s="16"/>
      <c r="Z854" s="440"/>
      <c r="AA854" s="16"/>
      <c r="AB854" s="440"/>
      <c r="AC854" s="16"/>
      <c r="AD854" s="440"/>
      <c r="AE854" s="16"/>
      <c r="AF854" s="440"/>
      <c r="AG854" s="16"/>
      <c r="AH854" s="440"/>
      <c r="AI854" s="16"/>
      <c r="AJ854" s="440"/>
      <c r="AK854" s="16"/>
      <c r="AL854" s="440"/>
      <c r="AM854" s="16"/>
      <c r="AN854" s="440"/>
      <c r="AO854" s="16"/>
      <c r="AP854" s="440"/>
      <c r="AQ854" s="16"/>
      <c r="AR854" s="440"/>
      <c r="AS854" s="16"/>
      <c r="AT854" s="440"/>
      <c r="AU854" s="16"/>
      <c r="AV854" s="440"/>
      <c r="AW854" s="16"/>
      <c r="AX854" s="440"/>
      <c r="AY854" s="16"/>
      <c r="AZ854" s="440"/>
      <c r="BA854" s="16"/>
      <c r="BB854" s="440"/>
      <c r="BC854" s="16"/>
      <c r="BD854" s="440"/>
      <c r="BE854" s="16"/>
      <c r="BF854" s="440"/>
      <c r="BG854" s="16"/>
      <c r="BH854" s="440"/>
      <c r="BI854" s="16"/>
      <c r="BJ854" s="440"/>
      <c r="BK854" s="16"/>
      <c r="BL854" s="440"/>
      <c r="BM854" s="16"/>
      <c r="BN854" s="440"/>
      <c r="BO854" s="16"/>
      <c r="BP854" s="440"/>
      <c r="BQ854" s="16"/>
      <c r="BR854" s="440"/>
      <c r="BS854" s="16"/>
      <c r="BT854" s="440"/>
      <c r="BU854" s="16"/>
      <c r="BV854" s="440"/>
      <c r="BW854" s="16"/>
      <c r="BX854" s="440"/>
      <c r="BY854" s="16"/>
      <c r="BZ854" s="440"/>
      <c r="CA854" s="16"/>
      <c r="CB854" s="440"/>
      <c r="CC854" s="16"/>
      <c r="CD854" s="440"/>
      <c r="CE854" s="16"/>
      <c r="CF854" s="440"/>
      <c r="CG854" s="16"/>
      <c r="CH854" s="440"/>
      <c r="CI854" s="16"/>
      <c r="CJ854" s="440"/>
      <c r="CK854" s="16"/>
      <c r="CL854" s="440"/>
      <c r="CM854" s="16">
        <f>CM280+CM281+CM283</f>
        <v>2112</v>
      </c>
      <c r="CN854" s="440"/>
      <c r="CO854" s="16">
        <f>CO280+CO281+CO283</f>
        <v>2188</v>
      </c>
      <c r="CP854" s="440"/>
      <c r="CQ854" s="535">
        <f>CQ280+CQ281+CQ283</f>
        <v>2332</v>
      </c>
      <c r="CR854" s="440"/>
      <c r="CS854" s="16">
        <f>CS280+CS281+CS283</f>
        <v>2273</v>
      </c>
      <c r="CT854" s="440"/>
      <c r="CU854" s="16">
        <f>CU280+CU281+CU283</f>
        <v>2417</v>
      </c>
      <c r="CV854" s="440"/>
      <c r="CW854" s="16">
        <f>CW280+CW281+CW283</f>
        <v>2413</v>
      </c>
      <c r="CX854" s="440"/>
      <c r="CY854" s="16">
        <f>CY280+CY281+CY283</f>
        <v>2504</v>
      </c>
      <c r="CZ854" s="440"/>
      <c r="DA854" s="16">
        <f>DA280+DA281+DA283</f>
        <v>2527</v>
      </c>
      <c r="DB854" s="440"/>
      <c r="DC854" s="16">
        <f>DC280+DC281+DC283</f>
        <v>2455</v>
      </c>
      <c r="DD854" s="440"/>
      <c r="DE854" s="16">
        <f>DE280+DE281+DE283</f>
        <v>2450</v>
      </c>
      <c r="DF854" s="440"/>
      <c r="DG854" s="16">
        <f>DG280+DG281+DG283</f>
        <v>2382</v>
      </c>
      <c r="DH854" s="440"/>
      <c r="DI854" s="16">
        <f>DI280+DI281+DI283</f>
        <v>2328</v>
      </c>
      <c r="DJ854" s="440"/>
      <c r="DK854" s="16">
        <f>DK280+DK281+DK283</f>
        <v>2306</v>
      </c>
      <c r="DL854" s="440"/>
      <c r="DM854" s="16">
        <f>DM280+DM281+DM283</f>
        <v>2337</v>
      </c>
      <c r="DN854" s="440"/>
      <c r="DO854" s="16">
        <f>DO280+DO281+DO283</f>
        <v>2453</v>
      </c>
      <c r="DP854" s="440"/>
      <c r="DQ854" s="16">
        <f>DQ280+DQ281+DQ283</f>
        <v>2269</v>
      </c>
      <c r="DR854" s="440"/>
      <c r="DS854" s="16">
        <f>DS280+DS281+DS283</f>
        <v>2177</v>
      </c>
      <c r="DT854" s="440"/>
      <c r="DU854" s="16">
        <f>DU280+DU281+DU283</f>
        <v>2237</v>
      </c>
      <c r="DV854" s="440"/>
      <c r="DW854" s="16">
        <f>DW280+DW281+DW283</f>
        <v>2144</v>
      </c>
      <c r="DX854" s="440"/>
      <c r="DY854" s="16">
        <f>DY280+DY281+DY283</f>
        <v>2026</v>
      </c>
      <c r="DZ854" s="440"/>
      <c r="EA854" s="16">
        <f>EA280+EA281+EA283</f>
        <v>2025</v>
      </c>
      <c r="EB854" s="440"/>
      <c r="EC854" s="16">
        <f>EC280+EC281+EC283</f>
        <v>2067</v>
      </c>
      <c r="ED854" s="440"/>
      <c r="EE854" s="16">
        <f>EE280+EE281+EE283</f>
        <v>2228</v>
      </c>
      <c r="EF854" s="1080"/>
      <c r="EG854" s="16">
        <f>EG280+EG281+EG283</f>
        <v>2130</v>
      </c>
      <c r="EH854" s="1080"/>
      <c r="EI854" s="16">
        <f>EI280+EI281+EI283</f>
        <v>2084</v>
      </c>
      <c r="EJ854" s="1080"/>
      <c r="EK854" s="16">
        <f>EK280+EK281+EK283</f>
        <v>2045</v>
      </c>
      <c r="EL854" s="1080"/>
      <c r="EM854" s="16">
        <f>EM280+EM281+EM283</f>
        <v>2165</v>
      </c>
      <c r="EN854" s="1080"/>
      <c r="EO854" s="16">
        <f>EO280+EO281+EO283</f>
        <v>2088</v>
      </c>
      <c r="EP854" s="440"/>
      <c r="EQ854" s="1079">
        <f>EQ280+EQ281+EQ283</f>
        <v>2117.34</v>
      </c>
      <c r="ER854" s="440"/>
      <c r="ES854" s="1079">
        <f>ES280+ES281+ES283</f>
        <v>2147.1003000000001</v>
      </c>
      <c r="ET854" s="440"/>
      <c r="EU854" s="1079">
        <f>EU280+EU281+EU283</f>
        <v>2177.2870064999993</v>
      </c>
      <c r="EV854" s="440"/>
      <c r="EW854" s="1079">
        <f>EW280+EW281+EW283</f>
        <v>2207.9063156174993</v>
      </c>
      <c r="EX854" s="440"/>
      <c r="EY854" s="16"/>
      <c r="EZ854" s="607"/>
      <c r="FA854" s="427"/>
      <c r="FB854" s="16">
        <f>FB280+FB281+FB283</f>
        <v>0</v>
      </c>
      <c r="FC854" s="16"/>
      <c r="FD854" s="16">
        <f>FD280+FD281+FD283</f>
        <v>0</v>
      </c>
      <c r="FE854" s="440"/>
      <c r="FF854" s="16">
        <f>FF280+FF281+FF283</f>
        <v>0</v>
      </c>
      <c r="FG854" s="440"/>
      <c r="FH854" s="16">
        <f>FH280+FH281+FH283</f>
        <v>0</v>
      </c>
      <c r="FI854" s="440"/>
      <c r="FJ854" s="16">
        <f>FJ280+FJ281+FJ283</f>
        <v>0</v>
      </c>
      <c r="FK854" s="440"/>
      <c r="FL854" s="16">
        <f>FL280+FL281+FL283</f>
        <v>0</v>
      </c>
      <c r="FM854" s="440"/>
      <c r="FN854" s="16">
        <f>FN280+FN281+FN283</f>
        <v>0</v>
      </c>
      <c r="FO854" s="440"/>
      <c r="FP854" s="16">
        <f>FP280+FP281+FP283</f>
        <v>0</v>
      </c>
      <c r="FQ854" s="440"/>
      <c r="FR854" s="16">
        <f>FR280+FR281+FR283</f>
        <v>0</v>
      </c>
      <c r="FS854" s="440"/>
      <c r="FT854" s="16">
        <f>FT280+FT281+FT283</f>
        <v>0</v>
      </c>
      <c r="FU854" s="440"/>
      <c r="FV854" s="16">
        <f>FV280+FV281+FV283</f>
        <v>0</v>
      </c>
      <c r="FW854" s="440"/>
      <c r="FX854" s="535">
        <f>FX280+FX281+FX283</f>
        <v>0</v>
      </c>
      <c r="FY854" s="440"/>
      <c r="FZ854" s="16">
        <f>FZ280+FZ281+FZ283</f>
        <v>561</v>
      </c>
      <c r="GA854" s="440"/>
      <c r="GB854" s="535">
        <f>GB280+GB281+GB283</f>
        <v>9095</v>
      </c>
      <c r="GC854" s="440"/>
      <c r="GD854" s="16">
        <f>GD280+GD281+GD283</f>
        <v>9861</v>
      </c>
      <c r="GE854" s="440"/>
      <c r="GF854" s="16">
        <f>GF280+GF281+GF283</f>
        <v>9615</v>
      </c>
      <c r="GG854" s="440"/>
      <c r="GH854" s="16">
        <f>GH280+GH281+GH283</f>
        <v>9365</v>
      </c>
      <c r="GI854" s="440"/>
      <c r="GJ854" s="16">
        <f>GJ280+GJ281+GJ283</f>
        <v>8584</v>
      </c>
      <c r="GK854" s="440"/>
      <c r="GL854" s="16">
        <f>GL280+GL281+GL283</f>
        <v>8450</v>
      </c>
      <c r="GM854" s="98">
        <f t="shared" si="4940"/>
        <v>-1.5610438024231121</v>
      </c>
      <c r="GN854" s="16">
        <f>GN280+GN281+GN283</f>
        <v>8382</v>
      </c>
      <c r="GO854" s="98">
        <f t="shared" si="4940"/>
        <v>-0.804733727810647</v>
      </c>
      <c r="GP854" s="16">
        <f>GP280+GP281+GP283</f>
        <v>8649.6336221174988</v>
      </c>
      <c r="GQ854" s="98">
        <f t="shared" si="4940"/>
        <v>3.1929565988725761</v>
      </c>
      <c r="GR854" s="16">
        <f>GR280+GR281+GR283</f>
        <v>9082.1153032233742</v>
      </c>
      <c r="GS854" s="98">
        <f t="shared" si="4940"/>
        <v>5.0000000000000044</v>
      </c>
      <c r="GT854" s="16">
        <f>GT280+GT281+GT283</f>
        <v>9536.2210683845442</v>
      </c>
      <c r="GU854" s="440"/>
      <c r="GV854" s="16">
        <f>GV280+GV281+GV283</f>
        <v>10013.032121803772</v>
      </c>
      <c r="GW854" s="440"/>
      <c r="GX854" s="16">
        <f>GX280+GX281+GX283</f>
        <v>10513.68372789396</v>
      </c>
      <c r="GY854" s="440"/>
      <c r="GZ854" s="455"/>
      <c r="HA854" s="455"/>
      <c r="HC854"/>
      <c r="HD854"/>
      <c r="HE854"/>
      <c r="HF854"/>
      <c r="HG854"/>
      <c r="HH854"/>
    </row>
    <row r="855" spans="1:217" s="10" customFormat="1" ht="12.75" hidden="1" customHeight="1" outlineLevel="1" x14ac:dyDescent="0.2">
      <c r="A855" s="28"/>
      <c r="B855" s="10" t="s">
        <v>223</v>
      </c>
      <c r="C855" s="16"/>
      <c r="D855" s="16"/>
      <c r="E855" s="16"/>
      <c r="F855" s="16"/>
      <c r="G855" s="16"/>
      <c r="H855" s="16"/>
      <c r="I855" s="16"/>
      <c r="J855" s="16"/>
      <c r="K855" s="16"/>
      <c r="L855" s="440"/>
      <c r="M855" s="16"/>
      <c r="N855" s="440"/>
      <c r="O855" s="16"/>
      <c r="P855" s="440"/>
      <c r="Q855" s="16"/>
      <c r="R855" s="440"/>
      <c r="S855" s="16"/>
      <c r="T855" s="440"/>
      <c r="U855" s="16"/>
      <c r="V855" s="440"/>
      <c r="W855" s="16"/>
      <c r="X855" s="440"/>
      <c r="Y855" s="16"/>
      <c r="Z855" s="440"/>
      <c r="AA855" s="16"/>
      <c r="AB855" s="440"/>
      <c r="AC855" s="16"/>
      <c r="AD855" s="440"/>
      <c r="AE855" s="16"/>
      <c r="AF855" s="440"/>
      <c r="AG855" s="16"/>
      <c r="AH855" s="440"/>
      <c r="AI855" s="16"/>
      <c r="AJ855" s="440"/>
      <c r="AK855" s="16"/>
      <c r="AL855" s="440"/>
      <c r="AM855" s="16"/>
      <c r="AN855" s="440"/>
      <c r="AO855" s="16"/>
      <c r="AP855" s="440"/>
      <c r="AQ855" s="16"/>
      <c r="AR855" s="440"/>
      <c r="AS855" s="16"/>
      <c r="AT855" s="440"/>
      <c r="AU855" s="16"/>
      <c r="AV855" s="440"/>
      <c r="AW855" s="16"/>
      <c r="AX855" s="440"/>
      <c r="AY855" s="16"/>
      <c r="AZ855" s="440"/>
      <c r="BA855" s="16"/>
      <c r="BB855" s="440"/>
      <c r="BC855" s="16"/>
      <c r="BD855" s="440"/>
      <c r="BE855" s="16"/>
      <c r="BF855" s="440"/>
      <c r="BG855" s="16"/>
      <c r="BH855" s="440"/>
      <c r="BI855" s="16"/>
      <c r="BJ855" s="440"/>
      <c r="BK855" s="16"/>
      <c r="BL855" s="440"/>
      <c r="BM855" s="16"/>
      <c r="BN855" s="440"/>
      <c r="BO855" s="16"/>
      <c r="BP855" s="440"/>
      <c r="BQ855" s="16"/>
      <c r="BR855" s="440"/>
      <c r="BS855" s="16"/>
      <c r="BT855" s="440"/>
      <c r="BU855" s="16"/>
      <c r="BV855" s="440"/>
      <c r="BW855" s="16"/>
      <c r="BX855" s="440"/>
      <c r="BY855" s="16"/>
      <c r="BZ855" s="440"/>
      <c r="CA855" s="16"/>
      <c r="CB855" s="440"/>
      <c r="CC855" s="16"/>
      <c r="CD855" s="440"/>
      <c r="CE855" s="16"/>
      <c r="CF855" s="440"/>
      <c r="CG855" s="16"/>
      <c r="CH855" s="440"/>
      <c r="CI855" s="16"/>
      <c r="CJ855" s="440"/>
      <c r="CK855" s="16"/>
      <c r="CL855" s="440"/>
      <c r="CM855" s="16">
        <f>+CM349+CM350+CM352</f>
        <v>827</v>
      </c>
      <c r="CN855" s="440"/>
      <c r="CO855" s="16">
        <f>+CO349+CO350+CO352</f>
        <v>853</v>
      </c>
      <c r="CP855" s="440"/>
      <c r="CQ855" s="535">
        <f>+CQ349+CQ350+CQ352</f>
        <v>726</v>
      </c>
      <c r="CR855" s="440"/>
      <c r="CS855" s="16">
        <f>+CS349+CS350+CS352</f>
        <v>699</v>
      </c>
      <c r="CT855" s="440"/>
      <c r="CU855" s="16">
        <f>+CU349+CU350+CU352</f>
        <v>768</v>
      </c>
      <c r="CV855" s="440"/>
      <c r="CW855" s="16">
        <f>+CW349+CW350+CW352</f>
        <v>725</v>
      </c>
      <c r="CX855" s="440"/>
      <c r="CY855" s="16">
        <f>+CY349+CY350+CY352</f>
        <v>653</v>
      </c>
      <c r="CZ855" s="440"/>
      <c r="DA855" s="16">
        <f>+DA349+DA350+DA352</f>
        <v>678</v>
      </c>
      <c r="DB855" s="440"/>
      <c r="DC855" s="16">
        <f>+DC349+DC350+DC352</f>
        <v>685</v>
      </c>
      <c r="DD855" s="440"/>
      <c r="DE855" s="16">
        <f>+DE349+DE350+DE352</f>
        <v>688</v>
      </c>
      <c r="DF855" s="440"/>
      <c r="DG855" s="16">
        <f>+DG349+DG350+DG352</f>
        <v>707</v>
      </c>
      <c r="DH855" s="440"/>
      <c r="DI855" s="16">
        <f>+DI349+DI350+DI352</f>
        <v>700</v>
      </c>
      <c r="DJ855" s="440"/>
      <c r="DK855" s="16">
        <f>+DK349+DK350+DK352</f>
        <v>722</v>
      </c>
      <c r="DL855" s="440"/>
      <c r="DM855" s="16">
        <f>+DM349+DM350+DM352</f>
        <v>712</v>
      </c>
      <c r="DN855" s="440"/>
      <c r="DO855" s="16">
        <f>+DO349+DO350+DO352</f>
        <v>730</v>
      </c>
      <c r="DP855" s="440"/>
      <c r="DQ855" s="16">
        <f>+DQ349+DQ350+DQ352</f>
        <v>671</v>
      </c>
      <c r="DR855" s="440"/>
      <c r="DS855" s="16">
        <f>+DS349+DS350+DS352</f>
        <v>620</v>
      </c>
      <c r="DT855" s="440"/>
      <c r="DU855" s="16">
        <f>+DU349+DU350+DU352</f>
        <v>658</v>
      </c>
      <c r="DV855" s="440"/>
      <c r="DW855" s="16">
        <f>+DW349+DW350+DW352</f>
        <v>618</v>
      </c>
      <c r="DX855" s="440"/>
      <c r="DY855" s="16">
        <f>+DY349+DY350+DY352</f>
        <v>625</v>
      </c>
      <c r="DZ855" s="440"/>
      <c r="EA855" s="16">
        <f>+EA349+EA350+EA352</f>
        <v>615</v>
      </c>
      <c r="EB855" s="440"/>
      <c r="EC855" s="16">
        <f>+EC349+EC350+EC352</f>
        <v>633</v>
      </c>
      <c r="ED855" s="440"/>
      <c r="EE855" s="16">
        <f>+EE349+EE350+EE352</f>
        <v>621</v>
      </c>
      <c r="EF855" s="1080"/>
      <c r="EG855" s="16">
        <f>+EG349+EG350+EG352</f>
        <v>622</v>
      </c>
      <c r="EH855" s="1080"/>
      <c r="EI855" s="16">
        <f>+EI349+EI350+EI352</f>
        <v>614</v>
      </c>
      <c r="EJ855" s="1080"/>
      <c r="EK855" s="16">
        <f>+EK349+EK350+EK352</f>
        <v>625</v>
      </c>
      <c r="EL855" s="1080"/>
      <c r="EM855" s="16">
        <f>+EM349+EM350+EM352</f>
        <v>634</v>
      </c>
      <c r="EN855" s="1080"/>
      <c r="EO855" s="16">
        <f>+EO349+EO350+EO352</f>
        <v>651</v>
      </c>
      <c r="EP855" s="440"/>
      <c r="EQ855" s="1079">
        <f>+EQ349+EQ350+EQ352</f>
        <v>663.4</v>
      </c>
      <c r="ER855" s="440"/>
      <c r="ES855" s="1079">
        <f>+ES349+ES350+ES352</f>
        <v>676.03870000000006</v>
      </c>
      <c r="ET855" s="440"/>
      <c r="EU855" s="1079">
        <f>+EU349+EU350+EU352</f>
        <v>688.92073449999987</v>
      </c>
      <c r="EV855" s="440"/>
      <c r="EW855" s="1079">
        <f>+EW349+EW350+EW352</f>
        <v>702.05082859749996</v>
      </c>
      <c r="EX855" s="440"/>
      <c r="EY855" s="16"/>
      <c r="EZ855" s="607"/>
      <c r="FA855" s="427"/>
      <c r="FB855" s="16">
        <f>+FB349+FB350+FB352</f>
        <v>718</v>
      </c>
      <c r="FC855" s="16"/>
      <c r="FD855" s="16">
        <f>+FD349+FD350+FD352</f>
        <v>583</v>
      </c>
      <c r="FE855" s="440"/>
      <c r="FF855" s="16">
        <f>+FF349+FF350+FF352</f>
        <v>721</v>
      </c>
      <c r="FG855" s="440"/>
      <c r="FH855" s="16">
        <f>+FH349+FH350+FH352</f>
        <v>900</v>
      </c>
      <c r="FI855" s="440"/>
      <c r="FJ855" s="16">
        <f>+FJ349+FJ350+FJ352</f>
        <v>1669</v>
      </c>
      <c r="FK855" s="440"/>
      <c r="FL855" s="16">
        <f>+FL349+FL350+FL352</f>
        <v>2030</v>
      </c>
      <c r="FM855" s="440"/>
      <c r="FN855" s="16">
        <f>+FN349+FN350+FN352</f>
        <v>2064</v>
      </c>
      <c r="FO855" s="440"/>
      <c r="FP855" s="16">
        <f>+FP349+FP350+FP352</f>
        <v>2785</v>
      </c>
      <c r="FQ855" s="440"/>
      <c r="FR855" s="16">
        <f>+FR349+FR350+FR352</f>
        <v>3554</v>
      </c>
      <c r="FS855" s="440"/>
      <c r="FT855" s="16">
        <f>+FT349+FT350+FT352</f>
        <v>4114</v>
      </c>
      <c r="FU855" s="440"/>
      <c r="FV855" s="16">
        <f>+FV349+FV350+FV352</f>
        <v>4583</v>
      </c>
      <c r="FW855" s="440"/>
      <c r="FX855" s="535">
        <f>+FX349+FX350+FX352</f>
        <v>4262</v>
      </c>
      <c r="FY855" s="440"/>
      <c r="FZ855" s="16">
        <f>+FZ349+FZ350+FZ352</f>
        <v>4918</v>
      </c>
      <c r="GA855" s="440"/>
      <c r="GB855" s="535">
        <f>+GB349+GB350+GB352</f>
        <v>2915</v>
      </c>
      <c r="GC855" s="440"/>
      <c r="GD855" s="16">
        <f>+GD349+GD350+GD352</f>
        <v>2824</v>
      </c>
      <c r="GE855" s="440"/>
      <c r="GF855" s="16">
        <f>+GF349+GF350+GF352</f>
        <v>2780</v>
      </c>
      <c r="GG855" s="440"/>
      <c r="GH855" s="16">
        <f>+GH349+GH350+GH352</f>
        <v>2835</v>
      </c>
      <c r="GI855" s="440"/>
      <c r="GJ855" s="16">
        <f>+GJ349+GJ350+GJ352</f>
        <v>2521</v>
      </c>
      <c r="GK855" s="440"/>
      <c r="GL855" s="16">
        <f>+GL349+GL350+GL352</f>
        <v>2491</v>
      </c>
      <c r="GM855" s="98">
        <f t="shared" si="4940"/>
        <v>-1.1900039666798867</v>
      </c>
      <c r="GN855" s="16">
        <f>+GN349+GN350+GN352</f>
        <v>2524</v>
      </c>
      <c r="GO855" s="98">
        <f t="shared" si="4940"/>
        <v>1.3247691690084329</v>
      </c>
      <c r="GP855" s="16">
        <f>+GP349+GP350+GP352</f>
        <v>2730.4102630974999</v>
      </c>
      <c r="GQ855" s="98">
        <f t="shared" si="4940"/>
        <v>8.1779026583795442</v>
      </c>
      <c r="GR855" s="16">
        <f>+GR349+GR350+GR352</f>
        <v>2976.1471867762752</v>
      </c>
      <c r="GS855" s="98">
        <f t="shared" si="4940"/>
        <v>9.0000000000000071</v>
      </c>
      <c r="GT855" s="16">
        <f>+GT349+GT350+GT352</f>
        <v>3244.0004335861404</v>
      </c>
      <c r="GU855" s="440"/>
      <c r="GV855" s="16">
        <f>+GV349+GV350+GV352</f>
        <v>3535.9604726088933</v>
      </c>
      <c r="GW855" s="440"/>
      <c r="GX855" s="16">
        <f>+GX349+GX350+GX352</f>
        <v>3854.1969151436933</v>
      </c>
      <c r="GY855" s="440"/>
      <c r="GZ855" s="455"/>
      <c r="HA855" s="455"/>
      <c r="HC855"/>
      <c r="HD855"/>
      <c r="HE855"/>
      <c r="HF855"/>
      <c r="HG855"/>
      <c r="HH855"/>
    </row>
    <row r="856" spans="1:217" s="10" customFormat="1" ht="12.75" hidden="1" customHeight="1" outlineLevel="1" x14ac:dyDescent="0.2">
      <c r="A856" s="28"/>
      <c r="B856" s="10" t="s">
        <v>276</v>
      </c>
      <c r="C856" s="16"/>
      <c r="D856" s="16"/>
      <c r="E856" s="16"/>
      <c r="F856" s="16"/>
      <c r="G856" s="16"/>
      <c r="H856" s="16"/>
      <c r="I856" s="16"/>
      <c r="J856" s="16"/>
      <c r="K856" s="16"/>
      <c r="L856" s="440"/>
      <c r="M856" s="16"/>
      <c r="N856" s="440"/>
      <c r="O856" s="16"/>
      <c r="P856" s="440"/>
      <c r="Q856" s="16"/>
      <c r="R856" s="440"/>
      <c r="S856" s="16"/>
      <c r="T856" s="440"/>
      <c r="U856" s="16"/>
      <c r="V856" s="440"/>
      <c r="W856" s="16"/>
      <c r="X856" s="440"/>
      <c r="Y856" s="16"/>
      <c r="Z856" s="440"/>
      <c r="AA856" s="16"/>
      <c r="AB856" s="440"/>
      <c r="AC856" s="16"/>
      <c r="AD856" s="440"/>
      <c r="AE856" s="16"/>
      <c r="AF856" s="440"/>
      <c r="AG856" s="16"/>
      <c r="AH856" s="440"/>
      <c r="AI856" s="16"/>
      <c r="AJ856" s="440"/>
      <c r="AK856" s="16"/>
      <c r="AL856" s="440"/>
      <c r="AM856" s="16"/>
      <c r="AN856" s="440"/>
      <c r="AO856" s="16"/>
      <c r="AP856" s="440"/>
      <c r="AQ856" s="16"/>
      <c r="AR856" s="440"/>
      <c r="AS856" s="16"/>
      <c r="AT856" s="440"/>
      <c r="AU856" s="16"/>
      <c r="AV856" s="440"/>
      <c r="AW856" s="16"/>
      <c r="AX856" s="440"/>
      <c r="AY856" s="16"/>
      <c r="AZ856" s="440"/>
      <c r="BA856" s="16"/>
      <c r="BB856" s="440"/>
      <c r="BC856" s="16"/>
      <c r="BD856" s="440"/>
      <c r="BE856" s="16"/>
      <c r="BF856" s="440"/>
      <c r="BG856" s="16">
        <f>BG349+BG350+BG352</f>
        <v>964</v>
      </c>
      <c r="BH856" s="440"/>
      <c r="BI856" s="16">
        <f>BI349+BI350+BI352</f>
        <v>1021</v>
      </c>
      <c r="BJ856" s="440"/>
      <c r="BK856" s="16">
        <f>BK349+BK350+BK352</f>
        <v>1023</v>
      </c>
      <c r="BL856" s="440"/>
      <c r="BM856" s="16">
        <f>BM349+BM350+BM352</f>
        <v>1106</v>
      </c>
      <c r="BN856" s="440"/>
      <c r="BO856" s="16">
        <f>BO349+BO350+BO352</f>
        <v>1200</v>
      </c>
      <c r="BP856" s="440"/>
      <c r="BQ856" s="16">
        <f>BQ349+BQ350+BQ352</f>
        <v>1220</v>
      </c>
      <c r="BR856" s="440"/>
      <c r="BS856" s="16">
        <f>BS349+BS350+BS352</f>
        <v>1157</v>
      </c>
      <c r="BT856" s="440"/>
      <c r="BU856" s="16">
        <f>BU349+BU350+BU352</f>
        <v>1006</v>
      </c>
      <c r="BV856" s="440"/>
      <c r="BW856" s="16">
        <f>BW349+BW350+BW352</f>
        <v>933</v>
      </c>
      <c r="BX856" s="440"/>
      <c r="BY856" s="16">
        <f>BY349+BY350+BY352</f>
        <v>1005</v>
      </c>
      <c r="BZ856" s="440"/>
      <c r="CA856" s="16">
        <f>CA349+CA350+CA352</f>
        <v>1094</v>
      </c>
      <c r="CB856" s="440"/>
      <c r="CC856" s="16">
        <f>CC349+CC350+CC352</f>
        <v>1230</v>
      </c>
      <c r="CD856" s="440"/>
      <c r="CE856" s="16">
        <f>CE349+CE350+CE352</f>
        <v>1117</v>
      </c>
      <c r="CF856" s="440"/>
      <c r="CG856" s="16">
        <f>CG349+CG350+CG352</f>
        <v>1133</v>
      </c>
      <c r="CH856" s="440"/>
      <c r="CI856" s="16">
        <f>CI349+CI350+CI352</f>
        <v>1186</v>
      </c>
      <c r="CJ856" s="440"/>
      <c r="CK856" s="16">
        <f>CK349+CK350+CK352</f>
        <v>1482</v>
      </c>
      <c r="CL856" s="440"/>
      <c r="CM856" s="16">
        <f>+CM855+CM854+CM853</f>
        <v>3726</v>
      </c>
      <c r="CN856" s="440"/>
      <c r="CO856" s="16">
        <f>+CO855+CO854+CO853</f>
        <v>3884</v>
      </c>
      <c r="CP856" s="440"/>
      <c r="CQ856" s="535">
        <f>+CQ855+CQ854+CQ853</f>
        <v>3926</v>
      </c>
      <c r="CR856" s="440"/>
      <c r="CS856" s="16">
        <f>+CS855+CS854+CS853</f>
        <v>3760</v>
      </c>
      <c r="CT856" s="440"/>
      <c r="CU856" s="16">
        <f>+CU855+CU854+CU853</f>
        <v>4072</v>
      </c>
      <c r="CV856" s="440"/>
      <c r="CW856" s="16">
        <f>+CW855+CW854+CW853</f>
        <v>3989</v>
      </c>
      <c r="CX856" s="440"/>
      <c r="CY856" s="16">
        <f>+CY855+CY854+CY853</f>
        <v>3959</v>
      </c>
      <c r="CZ856" s="440"/>
      <c r="DA856" s="16">
        <f>+DA855+DA854+DA853</f>
        <v>4044</v>
      </c>
      <c r="DB856" s="440"/>
      <c r="DC856" s="16">
        <f>+DC855+DC854+DC853</f>
        <v>4044</v>
      </c>
      <c r="DD856" s="440"/>
      <c r="DE856" s="16">
        <f>+DE855+DE854+DE853</f>
        <v>4088</v>
      </c>
      <c r="DF856" s="440"/>
      <c r="DG856" s="16">
        <f>+DG855+DG854+DG853</f>
        <v>4003</v>
      </c>
      <c r="DH856" s="440"/>
      <c r="DI856" s="16">
        <f>+DI855+DI854+DI853</f>
        <v>4098</v>
      </c>
      <c r="DJ856" s="440"/>
      <c r="DK856" s="16">
        <f>+DK855+DK854+DK853</f>
        <v>4029</v>
      </c>
      <c r="DL856" s="440"/>
      <c r="DM856" s="16">
        <f>+DM855+DM854+DM853</f>
        <v>4173</v>
      </c>
      <c r="DN856" s="440"/>
      <c r="DO856" s="16">
        <f>+DO855+DO854+DO853</f>
        <v>4330</v>
      </c>
      <c r="DP856" s="440"/>
      <c r="DQ856" s="16">
        <f>+DQ855+DQ854+DQ853</f>
        <v>3981</v>
      </c>
      <c r="DR856" s="440"/>
      <c r="DS856" s="16">
        <f>+DS855+DS854+DS853</f>
        <v>3734</v>
      </c>
      <c r="DT856" s="440"/>
      <c r="DU856" s="16">
        <f>+DU855+DU854+DU853</f>
        <v>3909</v>
      </c>
      <c r="DV856" s="440"/>
      <c r="DW856" s="16">
        <f>+DW855+DW854+DW853</f>
        <v>3619</v>
      </c>
      <c r="DX856" s="440"/>
      <c r="DY856" s="16">
        <f>+DY855+DY854+DY853</f>
        <v>3582</v>
      </c>
      <c r="DZ856" s="440"/>
      <c r="EA856" s="16">
        <f>+EA855+EA854+EA853</f>
        <v>3516</v>
      </c>
      <c r="EB856" s="440"/>
      <c r="EC856" s="16">
        <f>+EC855+EC854+EC853</f>
        <v>3608</v>
      </c>
      <c r="ED856" s="440"/>
      <c r="EE856" s="16">
        <f>+EE855+EE854+EE853</f>
        <v>3740</v>
      </c>
      <c r="EF856" s="1080"/>
      <c r="EG856" s="16">
        <f>+EG855+EG854+EG853</f>
        <v>3665</v>
      </c>
      <c r="EH856" s="1080"/>
      <c r="EI856" s="16">
        <f>+EI855+EI854+EI853</f>
        <v>3614</v>
      </c>
      <c r="EJ856" s="1080"/>
      <c r="EK856" s="16">
        <f>+EK855+EK854+EK853</f>
        <v>3598</v>
      </c>
      <c r="EL856" s="1080"/>
      <c r="EM856" s="16">
        <f>+EM855+EM854+EM853</f>
        <v>3736</v>
      </c>
      <c r="EN856" s="1080"/>
      <c r="EO856" s="16">
        <f>+EO855+EO854+EO853</f>
        <v>3727</v>
      </c>
      <c r="EP856" s="440"/>
      <c r="EQ856" s="1079">
        <f t="shared" ref="EQ856" si="4941">+EQ855+EQ854+EQ853</f>
        <v>3783.5600000000004</v>
      </c>
      <c r="ER856" s="440"/>
      <c r="ES856" s="1079">
        <f t="shared" ref="ES856" si="4942">+ES855+ES854+ES853</f>
        <v>3841.0012999999999</v>
      </c>
      <c r="ET856" s="440"/>
      <c r="EU856" s="1079">
        <f t="shared" ref="EU856" si="4943">+EU855+EU854+EU853</f>
        <v>3899.3379754999987</v>
      </c>
      <c r="EV856" s="440"/>
      <c r="EW856" s="1079">
        <f t="shared" ref="EW856" si="4944">+EW855+EW854+EW853</f>
        <v>3958.5843322324986</v>
      </c>
      <c r="EX856" s="440"/>
      <c r="EY856" s="16"/>
      <c r="EZ856" s="607"/>
      <c r="FA856" s="427"/>
      <c r="FB856" s="16">
        <f>+FB855+FB854+FB853</f>
        <v>718</v>
      </c>
      <c r="FC856" s="16"/>
      <c r="FD856" s="16">
        <f>+FD855+FD854+FD853</f>
        <v>583</v>
      </c>
      <c r="FE856" s="440"/>
      <c r="FF856" s="16">
        <f>+FF855+FF854+FF853</f>
        <v>721</v>
      </c>
      <c r="FG856" s="440"/>
      <c r="FH856" s="16">
        <f>+FH855+FH854+FH853</f>
        <v>900</v>
      </c>
      <c r="FI856" s="440"/>
      <c r="FJ856" s="16">
        <f>+FJ855+FJ854+FJ853</f>
        <v>1669</v>
      </c>
      <c r="FK856" s="440"/>
      <c r="FL856" s="16">
        <f>+FL855+FL854+FL853</f>
        <v>2030</v>
      </c>
      <c r="FM856" s="440"/>
      <c r="FN856" s="16">
        <f>+FN855+FN854+FN853</f>
        <v>2064</v>
      </c>
      <c r="FO856" s="440"/>
      <c r="FP856" s="16">
        <f>+FP855+FP854+FP853</f>
        <v>2785</v>
      </c>
      <c r="FQ856" s="440"/>
      <c r="FR856" s="16">
        <f>+FR855+FR854+FR853</f>
        <v>3554</v>
      </c>
      <c r="FS856" s="440"/>
      <c r="FT856" s="16">
        <f>+FT855+FT854+FT853</f>
        <v>4114</v>
      </c>
      <c r="FU856" s="440"/>
      <c r="FV856" s="16">
        <f>+FV855+FV854+FV853</f>
        <v>4583</v>
      </c>
      <c r="FW856" s="440"/>
      <c r="FX856" s="535">
        <f>+FX855+FX854+FX853</f>
        <v>4262</v>
      </c>
      <c r="FY856" s="440"/>
      <c r="FZ856" s="16">
        <f>+FZ855+FZ854+FZ853</f>
        <v>5479</v>
      </c>
      <c r="GA856" s="440"/>
      <c r="GB856" s="535">
        <f>+GB855+GB854+GB853</f>
        <v>15296</v>
      </c>
      <c r="GC856" s="440"/>
      <c r="GD856" s="16">
        <f>+GD855+GD854+GD853</f>
        <v>16064</v>
      </c>
      <c r="GE856" s="440"/>
      <c r="GF856" s="16">
        <f>+GF855+GF854+GF853</f>
        <v>16233</v>
      </c>
      <c r="GG856" s="440"/>
      <c r="GH856" s="16">
        <f>+GH855+GH854+GH853</f>
        <v>16513</v>
      </c>
      <c r="GI856" s="440"/>
      <c r="GJ856" s="16">
        <f>+GJ855+GJ854+GJ853</f>
        <v>14844</v>
      </c>
      <c r="GK856" s="440"/>
      <c r="GL856" s="16">
        <f>+GL855+GL854+GL853</f>
        <v>14529</v>
      </c>
      <c r="GM856" s="98">
        <f t="shared" si="4940"/>
        <v>-2.1220695230396158</v>
      </c>
      <c r="GN856" s="16">
        <f>+GN855+GN854+GN853</f>
        <v>14675</v>
      </c>
      <c r="GO856" s="98">
        <f t="shared" si="4940"/>
        <v>1.0048867781678128</v>
      </c>
      <c r="GP856" s="16">
        <f>+GP855+GP854+GP853</f>
        <v>15482.483607732498</v>
      </c>
      <c r="GQ856" s="98">
        <f t="shared" si="4940"/>
        <v>5.5024436642759689</v>
      </c>
      <c r="GR856" s="16">
        <f>+GR855+GR854+GR853</f>
        <v>16406.848595868199</v>
      </c>
      <c r="GS856" s="98">
        <f t="shared" si="4940"/>
        <v>5.9703921641747426</v>
      </c>
      <c r="GT856" s="16">
        <f>+GT855+GT854+GT853</f>
        <v>17389.722774191348</v>
      </c>
      <c r="GU856" s="440"/>
      <c r="GV856" s="16">
        <f>+GV855+GV854+GV853</f>
        <v>18435.063942966568</v>
      </c>
      <c r="GW856" s="440"/>
      <c r="GX856" s="16">
        <f>+GX855+GX854+GX853</f>
        <v>19547.116272504791</v>
      </c>
      <c r="GY856" s="440"/>
      <c r="GZ856" s="455"/>
      <c r="HA856" s="455"/>
      <c r="HC856"/>
      <c r="HD856"/>
      <c r="HE856"/>
      <c r="HF856"/>
      <c r="HG856"/>
      <c r="HH856"/>
    </row>
    <row r="857" spans="1:217" s="2" customFormat="1" ht="12.75" hidden="1" customHeight="1" outlineLevel="1" x14ac:dyDescent="0.2">
      <c r="L857" s="7"/>
      <c r="N857" s="7"/>
      <c r="P857" s="7"/>
      <c r="R857" s="7"/>
      <c r="T857" s="7"/>
      <c r="V857" s="7"/>
      <c r="X857" s="7"/>
      <c r="Z857" s="7"/>
      <c r="AB857" s="7"/>
      <c r="AD857" s="7"/>
      <c r="AF857" s="7"/>
      <c r="AH857" s="7"/>
      <c r="AJ857" s="7"/>
      <c r="AL857" s="7"/>
      <c r="AN857" s="7"/>
      <c r="AP857" s="7"/>
      <c r="AR857" s="7"/>
      <c r="AT857" s="7"/>
      <c r="AV857" s="7"/>
      <c r="AX857" s="7"/>
      <c r="AZ857" s="7"/>
      <c r="BB857" s="7"/>
      <c r="BD857" s="7"/>
      <c r="BF857" s="7"/>
      <c r="BH857" s="7"/>
      <c r="BJ857" s="7"/>
      <c r="BL857" s="7"/>
      <c r="BN857" s="7"/>
      <c r="BP857" s="7"/>
      <c r="BR857" s="7"/>
      <c r="BT857" s="7"/>
      <c r="BV857" s="7"/>
      <c r="BX857" s="7"/>
      <c r="BZ857" s="7"/>
      <c r="CB857" s="7"/>
      <c r="CD857" s="7"/>
      <c r="CF857" s="7"/>
      <c r="CH857" s="7"/>
      <c r="CJ857" s="7"/>
      <c r="CL857" s="7"/>
      <c r="CN857" s="7"/>
      <c r="CP857" s="7"/>
      <c r="CQ857" s="471"/>
      <c r="CR857" s="7"/>
      <c r="CT857" s="7"/>
      <c r="CV857" s="7"/>
      <c r="CX857" s="7"/>
      <c r="CZ857" s="7"/>
      <c r="DB857" s="7"/>
      <c r="DD857" s="7"/>
      <c r="DF857" s="7"/>
      <c r="DH857" s="7"/>
      <c r="DJ857" s="7"/>
      <c r="DL857" s="7"/>
      <c r="DN857" s="7"/>
      <c r="DP857" s="7"/>
      <c r="DR857" s="7"/>
      <c r="DT857" s="7"/>
      <c r="DV857" s="7"/>
      <c r="DX857" s="7"/>
      <c r="DZ857" s="7"/>
      <c r="EB857" s="7"/>
      <c r="ED857" s="7"/>
      <c r="EF857" s="1078"/>
      <c r="EH857" s="1078"/>
      <c r="EJ857" s="1078"/>
      <c r="EL857" s="1078"/>
      <c r="EN857" s="1078"/>
      <c r="EP857" s="7"/>
      <c r="EQ857" s="772"/>
      <c r="ER857" s="7"/>
      <c r="ES857" s="772"/>
      <c r="ET857" s="7"/>
      <c r="EU857" s="772"/>
      <c r="EV857" s="7"/>
      <c r="EW857" s="772"/>
      <c r="EX857" s="7"/>
      <c r="EZ857" s="588"/>
      <c r="FA857" s="10"/>
      <c r="FE857" s="7"/>
      <c r="FG857" s="7"/>
      <c r="FI857" s="7"/>
      <c r="FK857" s="7"/>
      <c r="FM857" s="7"/>
      <c r="FO857" s="7"/>
      <c r="FQ857" s="7"/>
      <c r="FS857" s="7"/>
      <c r="FU857" s="7"/>
      <c r="FW857" s="7"/>
      <c r="FX857" s="471"/>
      <c r="FY857" s="7"/>
      <c r="GA857" s="7"/>
      <c r="GB857" s="471"/>
      <c r="GC857" s="7"/>
      <c r="GE857" s="7"/>
      <c r="GG857" s="7"/>
      <c r="GI857" s="7"/>
      <c r="GK857" s="7"/>
      <c r="GM857" s="7"/>
      <c r="GO857" s="7"/>
      <c r="GQ857" s="7"/>
      <c r="GS857" s="7"/>
      <c r="GU857" s="7"/>
      <c r="GW857" s="7"/>
      <c r="GY857" s="7"/>
      <c r="GZ857" s="7"/>
      <c r="HA857" s="7"/>
      <c r="HB857" s="10"/>
      <c r="HC857"/>
      <c r="HD857"/>
      <c r="HE857"/>
      <c r="HF857"/>
      <c r="HG857"/>
      <c r="HH857"/>
      <c r="HI857" s="10"/>
    </row>
    <row r="858" spans="1:217" s="10" customFormat="1" ht="12.75" hidden="1" customHeight="1" outlineLevel="1" x14ac:dyDescent="0.2">
      <c r="A858" s="28"/>
      <c r="B858" s="10" t="s">
        <v>179</v>
      </c>
      <c r="C858" s="16"/>
      <c r="D858" s="16"/>
      <c r="E858" s="16"/>
      <c r="F858" s="16"/>
      <c r="G858" s="16"/>
      <c r="H858" s="16"/>
      <c r="I858" s="16"/>
      <c r="J858" s="16"/>
      <c r="K858" s="16"/>
      <c r="L858" s="440"/>
      <c r="M858" s="16"/>
      <c r="N858" s="440"/>
      <c r="O858" s="16"/>
      <c r="P858" s="440"/>
      <c r="Q858" s="16"/>
      <c r="R858" s="440"/>
      <c r="S858" s="16"/>
      <c r="T858" s="440"/>
      <c r="U858" s="16"/>
      <c r="V858" s="440"/>
      <c r="W858" s="16"/>
      <c r="X858" s="440"/>
      <c r="Y858" s="16"/>
      <c r="Z858" s="440"/>
      <c r="AA858" s="16"/>
      <c r="AB858" s="440"/>
      <c r="AC858" s="16"/>
      <c r="AD858" s="440"/>
      <c r="AE858" s="16"/>
      <c r="AF858" s="440"/>
      <c r="AG858" s="16"/>
      <c r="AH858" s="440"/>
      <c r="AI858" s="16"/>
      <c r="AJ858" s="440"/>
      <c r="AK858" s="16"/>
      <c r="AL858" s="440"/>
      <c r="AM858" s="16"/>
      <c r="AN858" s="440"/>
      <c r="AO858" s="16"/>
      <c r="AP858" s="440"/>
      <c r="AQ858" s="16"/>
      <c r="AR858" s="440"/>
      <c r="AS858" s="16"/>
      <c r="AT858" s="440"/>
      <c r="AU858" s="16"/>
      <c r="AV858" s="440"/>
      <c r="AW858" s="16"/>
      <c r="AX858" s="440"/>
      <c r="AY858" s="16"/>
      <c r="AZ858" s="440"/>
      <c r="BA858" s="16"/>
      <c r="BB858" s="440"/>
      <c r="BC858" s="16"/>
      <c r="BD858" s="440"/>
      <c r="BE858" s="16"/>
      <c r="BF858" s="440"/>
      <c r="BG858" s="16"/>
      <c r="BH858" s="440"/>
      <c r="BI858" s="16"/>
      <c r="BJ858" s="440"/>
      <c r="BK858" s="16"/>
      <c r="BL858" s="440"/>
      <c r="BM858" s="16"/>
      <c r="BN858" s="440"/>
      <c r="BO858" s="16">
        <f>BO590+BO591+BO593</f>
        <v>8052</v>
      </c>
      <c r="BP858" s="440"/>
      <c r="BQ858" s="16">
        <f>BQ590+BQ591+BQ593</f>
        <v>8090</v>
      </c>
      <c r="BR858" s="440"/>
      <c r="BS858" s="16">
        <f>BS590+BS591+BS593</f>
        <v>8558</v>
      </c>
      <c r="BT858" s="440"/>
      <c r="BU858" s="16">
        <f>BU590+BU591+BU593</f>
        <v>8163</v>
      </c>
      <c r="BV858" s="440"/>
      <c r="BW858" s="16">
        <f>BW590+BW591+BW593</f>
        <v>7865</v>
      </c>
      <c r="BX858" s="440"/>
      <c r="BY858" s="16">
        <f>BY590+BY591+BY593</f>
        <v>8375</v>
      </c>
      <c r="BZ858" s="440"/>
      <c r="CA858" s="16">
        <f>CA590+CA591+CA593</f>
        <v>8458</v>
      </c>
      <c r="CB858" s="440"/>
      <c r="CC858" s="16">
        <f>CC590+CC591+CC593</f>
        <v>9321</v>
      </c>
      <c r="CD858" s="440"/>
      <c r="CE858" s="16">
        <f>CE590+CE591+CE593</f>
        <v>8659</v>
      </c>
      <c r="CF858" s="440"/>
      <c r="CG858" s="16">
        <f>CG590+CG591+CG593</f>
        <v>8551</v>
      </c>
      <c r="CH858" s="440"/>
      <c r="CI858" s="16">
        <f>CI590+CI591+CI593</f>
        <v>8506</v>
      </c>
      <c r="CJ858" s="440"/>
      <c r="CK858" s="16">
        <f>CK590+CK591+CK593</f>
        <v>9325</v>
      </c>
      <c r="CL858" s="440"/>
      <c r="CM858" s="16">
        <f>CM590+CM591+CM593</f>
        <v>10832</v>
      </c>
      <c r="CN858" s="440"/>
      <c r="CO858" s="16">
        <f>CO590+CO591+CO593</f>
        <v>11636</v>
      </c>
      <c r="CP858" s="440"/>
      <c r="CQ858" s="535">
        <f>CQ590+CQ591+CQ593</f>
        <v>11643</v>
      </c>
      <c r="CR858" s="440"/>
      <c r="CS858" s="16">
        <f>CS590+CS591+CS593</f>
        <v>11450</v>
      </c>
      <c r="CT858" s="440"/>
      <c r="CU858" s="16">
        <f>CU590+CU591+CU593</f>
        <v>11568</v>
      </c>
      <c r="CV858" s="440"/>
      <c r="CW858" s="16">
        <f>CW590+CW591+CW593</f>
        <v>11564</v>
      </c>
      <c r="CX858" s="440"/>
      <c r="CY858" s="16">
        <f>CY590+CY591+CY593</f>
        <v>11563</v>
      </c>
      <c r="CZ858" s="440"/>
      <c r="DA858" s="16">
        <f>DA590+DA591+DA593</f>
        <v>13184</v>
      </c>
      <c r="DB858" s="440"/>
      <c r="DC858" s="16">
        <f>DC590+DC591+DC593</f>
        <v>11795</v>
      </c>
      <c r="DD858" s="440"/>
      <c r="DE858" s="16">
        <f>DE590+DE591+DE593</f>
        <v>11938</v>
      </c>
      <c r="DF858" s="440"/>
      <c r="DG858" s="16">
        <f>DG590+DG591+DG593</f>
        <v>11816</v>
      </c>
      <c r="DH858" s="440"/>
      <c r="DI858" s="16">
        <f>DI590+DI591+DI593</f>
        <v>13073</v>
      </c>
      <c r="DJ858" s="440"/>
      <c r="DK858" s="16">
        <f>DK590+DK591+DK593</f>
        <v>12031</v>
      </c>
      <c r="DL858" s="440"/>
      <c r="DM858" s="16">
        <f>DM590+DM591+DM593</f>
        <v>12706</v>
      </c>
      <c r="DN858" s="440"/>
      <c r="DO858" s="16">
        <f>DO590+DO591+DO593</f>
        <v>12725</v>
      </c>
      <c r="DP858" s="440"/>
      <c r="DQ858" s="16">
        <f>DQ590+DQ591+DQ593</f>
        <v>13134</v>
      </c>
      <c r="DR858" s="440"/>
      <c r="DS858" s="16">
        <f>DS590+DS591+DS593</f>
        <v>10630</v>
      </c>
      <c r="DT858" s="440"/>
      <c r="DU858" s="16">
        <f>DU590+DU591+DU593</f>
        <v>10825</v>
      </c>
      <c r="DV858" s="440"/>
      <c r="DW858" s="16">
        <f>DW590+DW591+DW593</f>
        <v>11630</v>
      </c>
      <c r="DX858" s="440"/>
      <c r="DY858" s="16">
        <f>DY590+DY591+DY593</f>
        <v>10781</v>
      </c>
      <c r="DZ858" s="440"/>
      <c r="EA858" s="16">
        <f>EA590+EA591+EA593</f>
        <v>10671</v>
      </c>
      <c r="EB858" s="440"/>
      <c r="EC858" s="16">
        <f>EC590+EC591+EC593</f>
        <v>10940</v>
      </c>
      <c r="ED858" s="440"/>
      <c r="EE858" s="16">
        <f>EE590+EE591+EE593</f>
        <v>11731</v>
      </c>
      <c r="EF858" s="1080"/>
      <c r="EG858" s="16">
        <f>EG590+EG591+EG593</f>
        <v>11136</v>
      </c>
      <c r="EH858" s="1080"/>
      <c r="EI858" s="16">
        <f>EI590+EI591+EI593</f>
        <v>10882</v>
      </c>
      <c r="EJ858" s="1080"/>
      <c r="EK858" s="16">
        <f>EK590+EK591+EK593</f>
        <v>11398</v>
      </c>
      <c r="EL858" s="1080"/>
      <c r="EM858" s="16">
        <f>EM590+EM591+EM593</f>
        <v>12620</v>
      </c>
      <c r="EN858" s="1080"/>
      <c r="EO858" s="16">
        <f>EO590+EO591+EO593</f>
        <v>11300</v>
      </c>
      <c r="EP858" s="440"/>
      <c r="EQ858" s="1079">
        <f>EQ590+EQ591+EQ593</f>
        <v>11646.709584850543</v>
      </c>
      <c r="ER858" s="440"/>
      <c r="ES858" s="1079">
        <f t="shared" ref="ES858" si="4945">ES590+ES591+ES593</f>
        <v>11684.295720442105</v>
      </c>
      <c r="ET858" s="440"/>
      <c r="EU858" s="1079">
        <f t="shared" ref="EU858" si="4946">EU590+EU591+EU593</f>
        <v>11735.238481471117</v>
      </c>
      <c r="EV858" s="440"/>
      <c r="EW858" s="1079">
        <f t="shared" ref="EW858" si="4947">EW590+EW591+EW593</f>
        <v>11789.44652210202</v>
      </c>
      <c r="EX858" s="440"/>
      <c r="EY858" s="16"/>
      <c r="EZ858" s="607"/>
      <c r="FA858" s="427"/>
      <c r="FB858" s="16">
        <f>FB590+FB591+FB593</f>
        <v>0</v>
      </c>
      <c r="FC858" s="16"/>
      <c r="FD858" s="16">
        <f>FD590+FD591+FD593</f>
        <v>0</v>
      </c>
      <c r="FE858" s="440"/>
      <c r="FF858" s="16">
        <f>FF590+FF591+FF593</f>
        <v>20410</v>
      </c>
      <c r="FG858" s="440"/>
      <c r="FH858" s="16">
        <f>FH590+FH591+FH593</f>
        <v>20526</v>
      </c>
      <c r="FI858" s="440"/>
      <c r="FJ858" s="16">
        <f>FJ590+FJ591+FJ593</f>
        <v>22602</v>
      </c>
      <c r="FK858" s="440"/>
      <c r="FL858" s="16">
        <f>FL590+FL591+FL593</f>
        <v>24511</v>
      </c>
      <c r="FM858" s="440"/>
      <c r="FN858" s="16">
        <f>FN590+FN591+FN593</f>
        <v>26267</v>
      </c>
      <c r="FO858" s="440"/>
      <c r="FP858" s="16">
        <f>FP590+FP591+FP593</f>
        <v>29959</v>
      </c>
      <c r="FQ858" s="440"/>
      <c r="FR858" s="16">
        <f>FR590+FR591+FR593</f>
        <v>32560</v>
      </c>
      <c r="FS858" s="440"/>
      <c r="FT858" s="16">
        <f>FT590+FT591+FT593</f>
        <v>32142</v>
      </c>
      <c r="FU858" s="440"/>
      <c r="FV858" s="16">
        <f>FV590+FV591+FV593</f>
        <v>32863</v>
      </c>
      <c r="FW858" s="440"/>
      <c r="FX858" s="535">
        <f>FX590+FX591+FX593</f>
        <v>34019</v>
      </c>
      <c r="FY858" s="440"/>
      <c r="FZ858" s="16">
        <f>FZ590+FZ591+FZ593</f>
        <v>35041</v>
      </c>
      <c r="GA858" s="440"/>
      <c r="GB858" s="535">
        <f>GB590+GB591+GB593</f>
        <v>45449</v>
      </c>
      <c r="GC858" s="440"/>
      <c r="GD858" s="16">
        <f>GD590+GD591+GD593</f>
        <v>47879</v>
      </c>
      <c r="GE858" s="440"/>
      <c r="GF858" s="16">
        <f>GF590+GF591+GF593</f>
        <v>48622</v>
      </c>
      <c r="GG858" s="440"/>
      <c r="GH858" s="16">
        <f>GH590+GH591+GH593</f>
        <v>50596</v>
      </c>
      <c r="GI858" s="440"/>
      <c r="GJ858" s="16">
        <f>GJ590+GJ591+GJ593</f>
        <v>43866</v>
      </c>
      <c r="GK858" s="440"/>
      <c r="GL858" s="16">
        <f>GL590+GL591+GL593</f>
        <v>44478</v>
      </c>
      <c r="GM858" s="98">
        <f t="shared" ref="GM858:GS858" si="4948">IF(ISERROR((GL858/GJ858-1)*100),"NA",IF(((GL858/GJ858-1)*100)&gt;100,"NM",IF(((GL858/GJ858-1)*100)&lt;-50,"NM",(GL858/GJ858-1)*100)))</f>
        <v>1.3951579811243286</v>
      </c>
      <c r="GN858" s="16">
        <f>GN590+GN591+GN593</f>
        <v>46200</v>
      </c>
      <c r="GO858" s="98">
        <f t="shared" si="4948"/>
        <v>3.8715769593956617</v>
      </c>
      <c r="GP858" s="16">
        <f>GP590+GP591+GP593</f>
        <v>46855.690308865785</v>
      </c>
      <c r="GQ858" s="98">
        <f t="shared" si="4948"/>
        <v>1.4192430927830957</v>
      </c>
      <c r="GR858" s="16">
        <f>GR590+GR591+GR593</f>
        <v>47981.071941661292</v>
      </c>
      <c r="GS858" s="98">
        <f t="shared" si="4948"/>
        <v>2.4018035491039758</v>
      </c>
      <c r="GT858" s="16">
        <f>GT590+GT591+GT593</f>
        <v>49117.924472170685</v>
      </c>
      <c r="GU858" s="440"/>
      <c r="GV858" s="16">
        <f>GV590+GV591+GV593</f>
        <v>50377.585632341506</v>
      </c>
      <c r="GW858" s="440"/>
      <c r="GX858" s="16">
        <f>GX590+GX591+GX593</f>
        <v>51792.462532706064</v>
      </c>
      <c r="GY858" s="440"/>
      <c r="GZ858" s="455"/>
      <c r="HA858" s="455"/>
      <c r="HC858"/>
      <c r="HD858"/>
      <c r="HE858"/>
      <c r="HF858"/>
      <c r="HG858"/>
      <c r="HH858"/>
    </row>
    <row r="859" spans="1:217" s="2" customFormat="1" ht="12.75" hidden="1" customHeight="1" outlineLevel="1" x14ac:dyDescent="0.2">
      <c r="L859" s="7"/>
      <c r="N859" s="7"/>
      <c r="P859" s="7"/>
      <c r="R859" s="7"/>
      <c r="T859" s="7"/>
      <c r="V859" s="7"/>
      <c r="X859" s="7"/>
      <c r="Z859" s="7"/>
      <c r="AB859" s="7"/>
      <c r="AD859" s="7"/>
      <c r="AF859" s="7"/>
      <c r="AH859" s="7"/>
      <c r="AJ859" s="7"/>
      <c r="AL859" s="7"/>
      <c r="AN859" s="7"/>
      <c r="AP859" s="7"/>
      <c r="AR859" s="7"/>
      <c r="AT859" s="7"/>
      <c r="AV859" s="7"/>
      <c r="AX859" s="7"/>
      <c r="AZ859" s="7"/>
      <c r="BB859" s="7"/>
      <c r="BD859" s="7"/>
      <c r="BF859" s="7"/>
      <c r="BH859" s="7"/>
      <c r="BJ859" s="7"/>
      <c r="BL859" s="7"/>
      <c r="BN859" s="7"/>
      <c r="BP859" s="7"/>
      <c r="BR859" s="7"/>
      <c r="BT859" s="7"/>
      <c r="BV859" s="7"/>
      <c r="BX859" s="7"/>
      <c r="BZ859" s="7"/>
      <c r="CB859" s="7"/>
      <c r="CD859" s="7"/>
      <c r="CF859" s="7"/>
      <c r="CH859" s="7"/>
      <c r="CJ859" s="7"/>
      <c r="CL859" s="7"/>
      <c r="CN859" s="7"/>
      <c r="CP859" s="7"/>
      <c r="CQ859" s="471"/>
      <c r="CR859" s="7"/>
      <c r="CT859" s="7"/>
      <c r="CV859" s="7"/>
      <c r="CX859" s="7"/>
      <c r="CZ859" s="7"/>
      <c r="DB859" s="7"/>
      <c r="DD859" s="7"/>
      <c r="DF859" s="7"/>
      <c r="DH859" s="7"/>
      <c r="DJ859" s="7"/>
      <c r="DL859" s="7"/>
      <c r="DN859" s="7"/>
      <c r="DP859" s="7"/>
      <c r="DR859" s="7"/>
      <c r="DT859" s="7"/>
      <c r="DV859" s="7"/>
      <c r="DX859" s="7"/>
      <c r="DZ859" s="7"/>
      <c r="EB859" s="7"/>
      <c r="ED859" s="7"/>
      <c r="EF859" s="1078"/>
      <c r="EH859" s="1078"/>
      <c r="EJ859" s="1078"/>
      <c r="EL859" s="1078"/>
      <c r="EN859" s="1078"/>
      <c r="EP859" s="7"/>
      <c r="EQ859" s="772"/>
      <c r="ER859" s="7"/>
      <c r="ES859" s="772"/>
      <c r="ET859" s="7"/>
      <c r="EU859" s="772"/>
      <c r="EV859" s="7"/>
      <c r="EW859" s="772"/>
      <c r="EX859" s="7"/>
      <c r="EZ859" s="588"/>
      <c r="FA859" s="10"/>
      <c r="FE859" s="7"/>
      <c r="FG859" s="7"/>
      <c r="FI859" s="7"/>
      <c r="FK859" s="7"/>
      <c r="FM859" s="7"/>
      <c r="FO859" s="7"/>
      <c r="FQ859" s="7"/>
      <c r="FS859" s="7"/>
      <c r="FU859" s="7"/>
      <c r="FW859" s="7"/>
      <c r="FX859" s="471"/>
      <c r="FY859" s="7"/>
      <c r="GA859" s="7"/>
      <c r="GB859" s="471"/>
      <c r="GC859" s="7"/>
      <c r="GE859" s="7"/>
      <c r="GG859" s="7"/>
      <c r="GI859" s="7"/>
      <c r="GK859" s="7"/>
      <c r="GM859" s="7"/>
      <c r="GO859" s="7"/>
      <c r="GQ859" s="7"/>
      <c r="GS859" s="7"/>
      <c r="GU859" s="7"/>
      <c r="GW859" s="7"/>
      <c r="GY859" s="7"/>
      <c r="GZ859" s="7"/>
      <c r="HA859" s="7"/>
      <c r="HB859" s="10"/>
      <c r="HC859"/>
      <c r="HD859"/>
      <c r="HE859"/>
      <c r="HF859"/>
      <c r="HG859"/>
      <c r="HH859"/>
      <c r="HI859" s="10"/>
    </row>
    <row r="860" spans="1:217" s="10" customFormat="1" ht="12.75" hidden="1" customHeight="1" outlineLevel="1" x14ac:dyDescent="0.2">
      <c r="A860" s="28"/>
      <c r="B860" s="10" t="s">
        <v>312</v>
      </c>
      <c r="C860" s="16"/>
      <c r="D860" s="16"/>
      <c r="E860" s="16"/>
      <c r="F860" s="16"/>
      <c r="G860" s="16"/>
      <c r="H860" s="16"/>
      <c r="I860" s="16"/>
      <c r="J860" s="16"/>
      <c r="K860" s="16"/>
      <c r="L860" s="440"/>
      <c r="M860" s="16"/>
      <c r="N860" s="440"/>
      <c r="O860" s="16"/>
      <c r="P860" s="440"/>
      <c r="Q860" s="16"/>
      <c r="R860" s="440"/>
      <c r="S860" s="16"/>
      <c r="T860" s="440"/>
      <c r="U860" s="16"/>
      <c r="V860" s="440"/>
      <c r="W860" s="16"/>
      <c r="X860" s="440"/>
      <c r="Y860" s="16"/>
      <c r="Z860" s="440"/>
      <c r="AA860" s="16"/>
      <c r="AB860" s="440"/>
      <c r="AC860" s="16"/>
      <c r="AD860" s="440"/>
      <c r="AE860" s="16"/>
      <c r="AF860" s="440"/>
      <c r="AG860" s="16"/>
      <c r="AH860" s="440"/>
      <c r="AI860" s="16"/>
      <c r="AJ860" s="440"/>
      <c r="AK860" s="16"/>
      <c r="AL860" s="440"/>
      <c r="AM860" s="16"/>
      <c r="AN860" s="440"/>
      <c r="AO860" s="16"/>
      <c r="AP860" s="440"/>
      <c r="AQ860" s="16"/>
      <c r="AR860" s="440"/>
      <c r="AS860" s="16"/>
      <c r="AT860" s="440"/>
      <c r="AU860" s="16"/>
      <c r="AV860" s="440"/>
      <c r="AW860" s="16"/>
      <c r="AX860" s="440"/>
      <c r="AY860" s="16"/>
      <c r="AZ860" s="440"/>
      <c r="BA860" s="16"/>
      <c r="BB860" s="440"/>
      <c r="BC860" s="16"/>
      <c r="BD860" s="440"/>
      <c r="BE860" s="16"/>
      <c r="BF860" s="440"/>
      <c r="BG860" s="16"/>
      <c r="BH860" s="440"/>
      <c r="BI860" s="16"/>
      <c r="BJ860" s="440"/>
      <c r="BK860" s="16"/>
      <c r="BL860" s="440"/>
      <c r="BM860" s="16"/>
      <c r="BN860" s="440"/>
      <c r="BO860" s="16" t="e">
        <f>#REF!+#REF!</f>
        <v>#REF!</v>
      </c>
      <c r="BP860" s="440"/>
      <c r="BQ860" s="16" t="e">
        <f>#REF!+#REF!</f>
        <v>#REF!</v>
      </c>
      <c r="BR860" s="440"/>
      <c r="BS860" s="16" t="e">
        <f>#REF!+#REF!</f>
        <v>#REF!</v>
      </c>
      <c r="BT860" s="440"/>
      <c r="BU860" s="16" t="e">
        <f>#REF!+#REF!</f>
        <v>#REF!</v>
      </c>
      <c r="BV860" s="440"/>
      <c r="BW860" s="16" t="e">
        <f>#REF!+#REF!</f>
        <v>#REF!</v>
      </c>
      <c r="BX860" s="440"/>
      <c r="BY860" s="16" t="e">
        <f>#REF!+#REF!</f>
        <v>#REF!</v>
      </c>
      <c r="BZ860" s="440"/>
      <c r="CA860" s="16" t="e">
        <f>#REF!+#REF!</f>
        <v>#REF!</v>
      </c>
      <c r="CB860" s="440"/>
      <c r="CC860" s="16" t="e">
        <f>#REF!+#REF!</f>
        <v>#REF!</v>
      </c>
      <c r="CD860" s="440"/>
      <c r="CE860" s="16" t="e">
        <f>#REF!+#REF!</f>
        <v>#REF!</v>
      </c>
      <c r="CF860" s="440"/>
      <c r="CG860" s="16" t="e">
        <f>#REF!+#REF!</f>
        <v>#REF!</v>
      </c>
      <c r="CH860" s="440"/>
      <c r="CI860" s="16" t="e">
        <f>#REF!+#REF!</f>
        <v>#REF!</v>
      </c>
      <c r="CJ860" s="440"/>
      <c r="CK860" s="16" t="e">
        <f>#REF!+#REF!</f>
        <v>#REF!</v>
      </c>
      <c r="CL860" s="440"/>
      <c r="CM860" s="16" t="e">
        <f>#REF!+#REF!</f>
        <v>#REF!</v>
      </c>
      <c r="CN860" s="440"/>
      <c r="CO860" s="16" t="e">
        <f>#REF!+#REF!</f>
        <v>#REF!</v>
      </c>
      <c r="CP860" s="440"/>
      <c r="CQ860" s="535">
        <f>+CQ118</f>
        <v>227</v>
      </c>
      <c r="CR860" s="440"/>
      <c r="CS860" s="16">
        <f t="shared" ref="CS860:DI860" si="4949">+CS118</f>
        <v>360</v>
      </c>
      <c r="CT860" s="440" t="str">
        <f t="shared" si="4949"/>
        <v>NA</v>
      </c>
      <c r="CU860" s="16">
        <f t="shared" si="4949"/>
        <v>366</v>
      </c>
      <c r="CV860" s="440" t="str">
        <f t="shared" si="4949"/>
        <v>NA</v>
      </c>
      <c r="CW860" s="16">
        <f t="shared" si="4949"/>
        <v>400</v>
      </c>
      <c r="CX860" s="440" t="str">
        <f t="shared" si="4949"/>
        <v>NA</v>
      </c>
      <c r="CY860" s="16">
        <f t="shared" si="4949"/>
        <v>401.84615384615387</v>
      </c>
      <c r="CZ860" s="440">
        <f t="shared" si="4949"/>
        <v>77.024737377160292</v>
      </c>
      <c r="DA860" s="16">
        <f t="shared" si="4949"/>
        <v>319.30769230769232</v>
      </c>
      <c r="DB860" s="440">
        <f t="shared" si="4949"/>
        <v>-11.303418803418797</v>
      </c>
      <c r="DC860" s="16">
        <f t="shared" si="4949"/>
        <v>353.15384615384613</v>
      </c>
      <c r="DD860" s="440">
        <f t="shared" si="4949"/>
        <v>-3.5098781000420409</v>
      </c>
      <c r="DE860" s="16">
        <f t="shared" si="4949"/>
        <v>395.53846153846155</v>
      </c>
      <c r="DF860" s="440">
        <f t="shared" si="4949"/>
        <v>-1.1153846153846181</v>
      </c>
      <c r="DG860" s="16">
        <f t="shared" si="4949"/>
        <v>323.07692307692309</v>
      </c>
      <c r="DH860" s="440">
        <f t="shared" si="4949"/>
        <v>-19.601837672281775</v>
      </c>
      <c r="DI860" s="16">
        <f t="shared" si="4949"/>
        <v>324.38461538461536</v>
      </c>
      <c r="DJ860" s="440"/>
      <c r="DK860" s="16">
        <f>+DK118</f>
        <v>289.46153846153845</v>
      </c>
      <c r="DL860" s="440"/>
      <c r="DM860" s="16">
        <f>+DM118</f>
        <v>326.07692307692309</v>
      </c>
      <c r="DN860" s="440"/>
      <c r="DO860" s="16">
        <f>+DO118</f>
        <v>330.61538461538464</v>
      </c>
      <c r="DP860" s="440"/>
      <c r="DQ860" s="16">
        <f>+DQ118</f>
        <v>363.46153846153845</v>
      </c>
      <c r="DR860" s="440"/>
      <c r="DS860" s="16">
        <f>+DS118</f>
        <v>223</v>
      </c>
      <c r="DT860" s="440"/>
      <c r="DU860" s="16">
        <f>+DU118</f>
        <v>265</v>
      </c>
      <c r="DV860" s="440"/>
      <c r="DW860" s="16">
        <f>+DW118</f>
        <v>272.23076923076923</v>
      </c>
      <c r="DX860" s="440"/>
      <c r="DY860" s="16">
        <f>+DY118</f>
        <v>254.23076923076923</v>
      </c>
      <c r="DZ860" s="440"/>
      <c r="EA860" s="16">
        <f>+EA118</f>
        <v>230.53846153846155</v>
      </c>
      <c r="EB860" s="440"/>
      <c r="EC860" s="16">
        <f>+EC118</f>
        <v>291.07692307692309</v>
      </c>
      <c r="ED860" s="440"/>
      <c r="EE860" s="16">
        <f>+EE118</f>
        <v>276.92307692307691</v>
      </c>
      <c r="EF860" s="1080"/>
      <c r="EG860" s="16">
        <f>+EG118</f>
        <v>277</v>
      </c>
      <c r="EH860" s="1080"/>
      <c r="EI860" s="16">
        <f>+EI118</f>
        <v>293.38461538461536</v>
      </c>
      <c r="EJ860" s="1080"/>
      <c r="EK860" s="16">
        <f>+EK118</f>
        <v>312</v>
      </c>
      <c r="EL860" s="1080"/>
      <c r="EM860" s="16">
        <f>+EM118</f>
        <v>370</v>
      </c>
      <c r="EN860" s="1080"/>
      <c r="EO860" s="16">
        <f>+EO118</f>
        <v>352</v>
      </c>
      <c r="EP860" s="440"/>
      <c r="EQ860" s="1079">
        <f>+EQ118</f>
        <v>336.8536408523255</v>
      </c>
      <c r="ER860" s="440"/>
      <c r="ES860" s="1079">
        <f>+ES118</f>
        <v>349.02362622308556</v>
      </c>
      <c r="ET860" s="440"/>
      <c r="EU860" s="1079">
        <f>+EU118</f>
        <v>360.92676472185622</v>
      </c>
      <c r="EV860" s="440"/>
      <c r="EW860" s="1079">
        <f>+EW118</f>
        <v>373.21802192787754</v>
      </c>
      <c r="EX860" s="440"/>
      <c r="EY860" s="16"/>
      <c r="EZ860" s="607"/>
      <c r="FA860" s="427"/>
      <c r="FB860" s="16"/>
      <c r="FC860" s="16"/>
      <c r="FD860" s="16"/>
      <c r="FE860" s="440"/>
      <c r="FF860" s="16"/>
      <c r="FG860" s="440"/>
      <c r="FH860" s="16"/>
      <c r="FI860" s="440"/>
      <c r="FJ860" s="16"/>
      <c r="FK860" s="440"/>
      <c r="FL860" s="16"/>
      <c r="FM860" s="440"/>
      <c r="FN860" s="16"/>
      <c r="FO860" s="440"/>
      <c r="FP860" s="16"/>
      <c r="FQ860" s="440"/>
      <c r="FR860" s="16"/>
      <c r="FS860" s="440"/>
      <c r="FT860" s="16"/>
      <c r="FU860" s="440"/>
      <c r="FV860" s="16"/>
      <c r="FW860" s="440"/>
      <c r="FX860" s="535">
        <f>+FX118</f>
        <v>0</v>
      </c>
      <c r="FY860" s="440"/>
      <c r="FZ860" s="395">
        <f>+FZ118</f>
        <v>0</v>
      </c>
      <c r="GA860" s="440"/>
      <c r="GB860" s="535">
        <f t="shared" ref="GB860:GY860" si="4950">+GB118</f>
        <v>1309.8461538461538</v>
      </c>
      <c r="GC860" s="440" t="str">
        <f t="shared" si="4950"/>
        <v>NA</v>
      </c>
      <c r="GD860" s="16">
        <f t="shared" si="4950"/>
        <v>1487.1538461538462</v>
      </c>
      <c r="GE860" s="440">
        <f t="shared" si="4950"/>
        <v>13.536528071411791</v>
      </c>
      <c r="GF860" s="16">
        <f t="shared" si="4950"/>
        <v>1396.1538461538462</v>
      </c>
      <c r="GG860" s="440">
        <f t="shared" si="4950"/>
        <v>-6.1190710184658386</v>
      </c>
      <c r="GH860" s="16">
        <f t="shared" si="4950"/>
        <v>1309.6153846153845</v>
      </c>
      <c r="GI860" s="440">
        <f t="shared" si="4950"/>
        <v>-6.1983471074380292</v>
      </c>
      <c r="GJ860" s="16">
        <f t="shared" si="4950"/>
        <v>1014.4615384615385</v>
      </c>
      <c r="GK860" s="440">
        <f t="shared" si="4950"/>
        <v>-22.537444933920703</v>
      </c>
      <c r="GL860" s="16">
        <f t="shared" si="4950"/>
        <v>1075.5384615384614</v>
      </c>
      <c r="GM860" s="440">
        <f t="shared" si="4950"/>
        <v>6.0206248104337279</v>
      </c>
      <c r="GN860" s="16">
        <f t="shared" si="4950"/>
        <v>1327.3846153846155</v>
      </c>
      <c r="GO860" s="440">
        <f t="shared" si="4950"/>
        <v>23.415820340437719</v>
      </c>
      <c r="GP860" s="16">
        <f t="shared" si="4950"/>
        <v>1420.0220537251462</v>
      </c>
      <c r="GQ860" s="440">
        <f t="shared" si="4950"/>
        <v>6.9789447057655218</v>
      </c>
      <c r="GR860" s="16">
        <f t="shared" si="4950"/>
        <v>1486.5546478775359</v>
      </c>
      <c r="GS860" s="440">
        <f t="shared" si="4950"/>
        <v>4.6853211876431544</v>
      </c>
      <c r="GT860" s="16">
        <f t="shared" si="4950"/>
        <v>1510.2420396021735</v>
      </c>
      <c r="GU860" s="440">
        <f t="shared" si="4950"/>
        <v>1.5934423775444628</v>
      </c>
      <c r="GV860" s="16">
        <f t="shared" si="4950"/>
        <v>1536.9366381834079</v>
      </c>
      <c r="GW860" s="440">
        <f t="shared" si="4950"/>
        <v>1.7675708847481486</v>
      </c>
      <c r="GX860" s="16">
        <f t="shared" si="4950"/>
        <v>1566.3779397387625</v>
      </c>
      <c r="GY860" s="440">
        <f t="shared" si="4950"/>
        <v>1.9155832988764443</v>
      </c>
      <c r="GZ860" s="455"/>
      <c r="HA860" s="455"/>
      <c r="HC860"/>
      <c r="HD860"/>
      <c r="HE860"/>
      <c r="HF860"/>
      <c r="HG860"/>
      <c r="HH860"/>
    </row>
    <row r="861" spans="1:217" s="10" customFormat="1" ht="12.75" hidden="1" customHeight="1" outlineLevel="1" x14ac:dyDescent="0.2">
      <c r="A861" s="28"/>
      <c r="C861" s="16"/>
      <c r="D861" s="16"/>
      <c r="E861" s="16"/>
      <c r="F861" s="16"/>
      <c r="G861" s="16"/>
      <c r="H861" s="16"/>
      <c r="I861" s="16"/>
      <c r="J861" s="16"/>
      <c r="K861" s="16"/>
      <c r="L861" s="440"/>
      <c r="M861" s="16"/>
      <c r="N861" s="440"/>
      <c r="O861" s="16"/>
      <c r="P861" s="440"/>
      <c r="Q861" s="16"/>
      <c r="R861" s="440"/>
      <c r="S861" s="16"/>
      <c r="T861" s="440"/>
      <c r="U861" s="16"/>
      <c r="V861" s="440"/>
      <c r="W861" s="16"/>
      <c r="X861" s="440"/>
      <c r="Y861" s="16"/>
      <c r="Z861" s="440"/>
      <c r="AA861" s="16"/>
      <c r="AB861" s="440"/>
      <c r="AC861" s="16"/>
      <c r="AD861" s="440"/>
      <c r="AE861" s="16"/>
      <c r="AF861" s="440"/>
      <c r="AG861" s="16"/>
      <c r="AH861" s="440"/>
      <c r="AI861" s="16"/>
      <c r="AJ861" s="440"/>
      <c r="AK861" s="16"/>
      <c r="AL861" s="440"/>
      <c r="AM861" s="16"/>
      <c r="AN861" s="440"/>
      <c r="AO861" s="16"/>
      <c r="AP861" s="440"/>
      <c r="AQ861" s="16"/>
      <c r="AR861" s="440"/>
      <c r="AS861" s="16"/>
      <c r="AT861" s="440"/>
      <c r="AU861" s="16"/>
      <c r="AV861" s="440"/>
      <c r="AW861" s="16"/>
      <c r="AX861" s="440"/>
      <c r="AY861" s="16"/>
      <c r="AZ861" s="440"/>
      <c r="BA861" s="16"/>
      <c r="BB861" s="440"/>
      <c r="BC861" s="16"/>
      <c r="BD861" s="440"/>
      <c r="BE861" s="16"/>
      <c r="BF861" s="440"/>
      <c r="BG861" s="16"/>
      <c r="BH861" s="440"/>
      <c r="BI861" s="16"/>
      <c r="BJ861" s="440"/>
      <c r="BK861" s="16"/>
      <c r="BL861" s="440"/>
      <c r="BM861" s="16"/>
      <c r="BN861" s="440"/>
      <c r="BO861" s="16"/>
      <c r="BP861" s="440"/>
      <c r="BQ861" s="16"/>
      <c r="BR861" s="440"/>
      <c r="BS861" s="16"/>
      <c r="BT861" s="440"/>
      <c r="BU861" s="16"/>
      <c r="BV861" s="440"/>
      <c r="BW861" s="16"/>
      <c r="BX861" s="440"/>
      <c r="BY861" s="16"/>
      <c r="BZ861" s="440"/>
      <c r="CA861" s="16"/>
      <c r="CB861" s="440"/>
      <c r="CC861" s="16"/>
      <c r="CD861" s="440"/>
      <c r="CE861" s="16"/>
      <c r="CF861" s="440"/>
      <c r="CG861" s="16"/>
      <c r="CH861" s="440"/>
      <c r="CI861" s="16"/>
      <c r="CJ861" s="440"/>
      <c r="CK861" s="16"/>
      <c r="CL861" s="440"/>
      <c r="CM861" s="16"/>
      <c r="CN861" s="440"/>
      <c r="CO861" s="16"/>
      <c r="CP861" s="440"/>
      <c r="CQ861" s="395"/>
      <c r="CR861" s="440"/>
      <c r="CS861" s="16"/>
      <c r="CT861" s="440"/>
      <c r="CU861" s="16"/>
      <c r="CV861" s="440"/>
      <c r="CW861" s="16"/>
      <c r="CX861" s="440"/>
      <c r="CY861" s="16"/>
      <c r="CZ861" s="440"/>
      <c r="DA861" s="16"/>
      <c r="DB861" s="440"/>
      <c r="DC861" s="16"/>
      <c r="DD861" s="440"/>
      <c r="DE861" s="16"/>
      <c r="DF861" s="440"/>
      <c r="DG861" s="16"/>
      <c r="DH861" s="440"/>
      <c r="DI861" s="16"/>
      <c r="DJ861" s="440"/>
      <c r="DK861" s="16"/>
      <c r="DL861" s="440"/>
      <c r="DM861" s="16"/>
      <c r="DN861" s="440"/>
      <c r="DO861" s="16"/>
      <c r="DP861" s="440"/>
      <c r="DQ861" s="16"/>
      <c r="DR861" s="440"/>
      <c r="DS861" s="16"/>
      <c r="DT861" s="440"/>
      <c r="DU861" s="16"/>
      <c r="DV861" s="440"/>
      <c r="DW861" s="16"/>
      <c r="DX861" s="440"/>
      <c r="DY861" s="16"/>
      <c r="DZ861" s="440"/>
      <c r="EA861" s="16"/>
      <c r="EB861" s="440"/>
      <c r="EC861" s="16"/>
      <c r="ED861" s="440"/>
      <c r="EE861" s="16"/>
      <c r="EF861" s="1080"/>
      <c r="EG861" s="16"/>
      <c r="EH861" s="1080"/>
      <c r="EI861" s="16"/>
      <c r="EJ861" s="1080"/>
      <c r="EK861" s="16"/>
      <c r="EL861" s="1080"/>
      <c r="EM861" s="16"/>
      <c r="EN861" s="1080"/>
      <c r="EO861" s="16"/>
      <c r="EP861" s="440"/>
      <c r="EQ861" s="1079"/>
      <c r="ER861" s="440"/>
      <c r="ES861" s="1079"/>
      <c r="ET861" s="440"/>
      <c r="EU861" s="1079"/>
      <c r="EV861" s="440"/>
      <c r="EW861" s="1079"/>
      <c r="EX861" s="440"/>
      <c r="EY861" s="16"/>
      <c r="EZ861" s="607"/>
      <c r="FA861" s="427"/>
      <c r="FB861" s="16"/>
      <c r="FC861" s="16"/>
      <c r="FD861" s="16"/>
      <c r="FE861" s="440"/>
      <c r="FF861" s="16"/>
      <c r="FG861" s="440"/>
      <c r="FH861" s="16"/>
      <c r="FI861" s="440"/>
      <c r="FJ861" s="16"/>
      <c r="FK861" s="440"/>
      <c r="FL861" s="16"/>
      <c r="FM861" s="440"/>
      <c r="FN861" s="16"/>
      <c r="FO861" s="440"/>
      <c r="FP861" s="16"/>
      <c r="FQ861" s="440"/>
      <c r="FR861" s="16"/>
      <c r="FS861" s="440"/>
      <c r="FT861" s="16"/>
      <c r="FU861" s="440"/>
      <c r="FV861" s="16"/>
      <c r="FW861" s="440"/>
      <c r="FX861" s="535"/>
      <c r="FY861" s="440"/>
      <c r="FZ861" s="16"/>
      <c r="GA861" s="440"/>
      <c r="GB861" s="535"/>
      <c r="GC861" s="440"/>
      <c r="GD861" s="16"/>
      <c r="GE861" s="440"/>
      <c r="GF861" s="16"/>
      <c r="GG861" s="440"/>
      <c r="GH861" s="16"/>
      <c r="GI861" s="440"/>
      <c r="GJ861" s="16"/>
      <c r="GK861" s="440"/>
      <c r="GL861" s="16"/>
      <c r="GM861" s="440"/>
      <c r="GN861" s="16"/>
      <c r="GO861" s="440"/>
      <c r="GP861" s="16"/>
      <c r="GQ861" s="440"/>
      <c r="GR861" s="16"/>
      <c r="GS861" s="440"/>
      <c r="GT861" s="16"/>
      <c r="GU861" s="440"/>
      <c r="GV861" s="16"/>
      <c r="GW861" s="440"/>
      <c r="GX861" s="16"/>
      <c r="GY861" s="440"/>
      <c r="GZ861" s="455"/>
      <c r="HA861" s="455"/>
      <c r="HC861"/>
      <c r="HD861"/>
      <c r="HE861"/>
      <c r="HF861"/>
      <c r="HG861"/>
      <c r="HH861"/>
    </row>
    <row r="862" spans="1:217" s="10" customFormat="1" ht="12.75" hidden="1" customHeight="1" outlineLevel="1" x14ac:dyDescent="0.2">
      <c r="A862" s="28"/>
      <c r="B862" s="10" t="s">
        <v>534</v>
      </c>
      <c r="C862" s="16"/>
      <c r="D862" s="16"/>
      <c r="E862" s="16"/>
      <c r="F862" s="16"/>
      <c r="G862" s="16"/>
      <c r="H862" s="16"/>
      <c r="I862" s="16"/>
      <c r="J862" s="16"/>
      <c r="K862" s="16"/>
      <c r="L862" s="440"/>
      <c r="M862" s="16"/>
      <c r="N862" s="440"/>
      <c r="O862" s="16"/>
      <c r="P862" s="440"/>
      <c r="Q862" s="16"/>
      <c r="R862" s="440"/>
      <c r="S862" s="16"/>
      <c r="T862" s="440"/>
      <c r="U862" s="16"/>
      <c r="V862" s="440"/>
      <c r="W862" s="16"/>
      <c r="X862" s="440"/>
      <c r="Y862" s="16"/>
      <c r="Z862" s="440"/>
      <c r="AA862" s="16"/>
      <c r="AB862" s="440"/>
      <c r="AC862" s="16"/>
      <c r="AD862" s="440"/>
      <c r="AE862" s="16"/>
      <c r="AF862" s="440"/>
      <c r="AG862" s="16"/>
      <c r="AH862" s="440"/>
      <c r="AI862" s="16"/>
      <c r="AJ862" s="440"/>
      <c r="AK862" s="16"/>
      <c r="AL862" s="440"/>
      <c r="AM862" s="16"/>
      <c r="AN862" s="440"/>
      <c r="AO862" s="16"/>
      <c r="AP862" s="440"/>
      <c r="AQ862" s="16">
        <f>AQ592</f>
        <v>3279</v>
      </c>
      <c r="AR862" s="440"/>
      <c r="AS862" s="16">
        <f>AS592</f>
        <v>3508</v>
      </c>
      <c r="AT862" s="440"/>
      <c r="AU862" s="16">
        <f>AU592</f>
        <v>4112</v>
      </c>
      <c r="AV862" s="440"/>
      <c r="AW862" s="16">
        <f>AW592</f>
        <v>4167</v>
      </c>
      <c r="AX862" s="440"/>
      <c r="AY862" s="16">
        <f>AY592</f>
        <v>4254</v>
      </c>
      <c r="AZ862" s="440"/>
      <c r="BA862" s="16">
        <f>BA592</f>
        <v>4254</v>
      </c>
      <c r="BB862" s="440"/>
      <c r="BC862" s="16">
        <f>BC592</f>
        <v>4283</v>
      </c>
      <c r="BD862" s="440"/>
      <c r="BE862" s="16">
        <f>BE592</f>
        <v>4675</v>
      </c>
      <c r="BF862" s="440"/>
      <c r="BG862" s="16">
        <f>BG592</f>
        <v>4582</v>
      </c>
      <c r="BH862" s="440"/>
      <c r="BI862" s="16">
        <f>BI592</f>
        <v>4902</v>
      </c>
      <c r="BJ862" s="440"/>
      <c r="BK862" s="16">
        <f>BK592</f>
        <v>4577</v>
      </c>
      <c r="BL862" s="440"/>
      <c r="BM862" s="16">
        <f>BM592</f>
        <v>4801</v>
      </c>
      <c r="BN862" s="440"/>
      <c r="BO862" s="16">
        <f>BO592</f>
        <v>4269</v>
      </c>
      <c r="BP862" s="440"/>
      <c r="BQ862" s="16">
        <f>BQ592</f>
        <v>4297</v>
      </c>
      <c r="BR862" s="440"/>
      <c r="BS862" s="16">
        <f>BS592</f>
        <v>4013</v>
      </c>
      <c r="BT862" s="440"/>
      <c r="BU862" s="16">
        <f>BU592</f>
        <v>3621</v>
      </c>
      <c r="BV862" s="440"/>
      <c r="BW862" s="16">
        <f>BW592</f>
        <v>3274</v>
      </c>
      <c r="BX862" s="440"/>
      <c r="BY862" s="16">
        <f>BY592</f>
        <v>3859</v>
      </c>
      <c r="BZ862" s="440"/>
      <c r="CA862" s="16">
        <f>CA592</f>
        <v>3956</v>
      </c>
      <c r="CB862" s="440"/>
      <c r="CC862" s="16">
        <f>CC592</f>
        <v>4000</v>
      </c>
      <c r="CD862" s="440"/>
      <c r="CE862" s="16">
        <f>CE592</f>
        <v>4271</v>
      </c>
      <c r="CF862" s="440"/>
      <c r="CG862" s="16">
        <f>CG592</f>
        <v>4120</v>
      </c>
      <c r="CH862" s="440"/>
      <c r="CI862" s="16">
        <f>CI592</f>
        <v>4314</v>
      </c>
      <c r="CJ862" s="440"/>
      <c r="CK862" s="16">
        <f>CK592</f>
        <v>4437</v>
      </c>
      <c r="CL862" s="440"/>
      <c r="CM862" s="16">
        <f>CM592</f>
        <v>4783</v>
      </c>
      <c r="CN862" s="440"/>
      <c r="CO862" s="16">
        <f>CO592</f>
        <v>5011</v>
      </c>
      <c r="CP862" s="440"/>
      <c r="CQ862" s="16">
        <f>CQ592</f>
        <v>4961</v>
      </c>
      <c r="CR862" s="440"/>
      <c r="CS862" s="16">
        <f>CS592</f>
        <v>4892</v>
      </c>
      <c r="CT862" s="440"/>
      <c r="CU862" s="16">
        <f>CU592</f>
        <v>5077</v>
      </c>
      <c r="CV862" s="440"/>
      <c r="CW862" s="16">
        <f>CW592</f>
        <v>5172</v>
      </c>
      <c r="CX862" s="440"/>
      <c r="CY862" s="16">
        <f>CY592</f>
        <v>5048</v>
      </c>
      <c r="CZ862" s="440"/>
      <c r="DA862" s="16">
        <f>DA592</f>
        <v>5175</v>
      </c>
      <c r="DB862" s="440"/>
      <c r="DC862" s="16">
        <f>DC592</f>
        <v>5082</v>
      </c>
      <c r="DD862" s="440"/>
      <c r="DE862" s="16">
        <f>DE592</f>
        <v>5057</v>
      </c>
      <c r="DF862" s="440"/>
      <c r="DG862" s="16">
        <f>DG592</f>
        <v>4998</v>
      </c>
      <c r="DH862" s="440"/>
      <c r="DI862" s="16">
        <f>DI592</f>
        <v>5257</v>
      </c>
      <c r="DJ862" s="440"/>
      <c r="DK862" s="16">
        <f>DK592</f>
        <v>5085</v>
      </c>
      <c r="DL862" s="440"/>
      <c r="DM862" s="16">
        <f>DM592</f>
        <v>5095</v>
      </c>
      <c r="DN862" s="440"/>
      <c r="DO862" s="16">
        <f>DO592</f>
        <v>5193</v>
      </c>
      <c r="DP862" s="440"/>
      <c r="DQ862" s="16">
        <f>DQ592</f>
        <v>5111</v>
      </c>
      <c r="DR862" s="440"/>
      <c r="DS862" s="16">
        <f>DS592</f>
        <v>4173</v>
      </c>
      <c r="DT862" s="440"/>
      <c r="DU862" s="16">
        <f>DU592</f>
        <v>4320</v>
      </c>
      <c r="DV862" s="440"/>
      <c r="DW862" s="16">
        <f>DW592</f>
        <v>3987</v>
      </c>
      <c r="DX862" s="440"/>
      <c r="DY862" s="16">
        <f>DY592</f>
        <v>3982</v>
      </c>
      <c r="DZ862" s="440"/>
      <c r="EA862" s="16">
        <f>EA592</f>
        <v>3948</v>
      </c>
      <c r="EB862" s="440"/>
      <c r="EC862" s="16">
        <f>EC592</f>
        <v>4074</v>
      </c>
      <c r="ED862" s="440"/>
      <c r="EE862" s="16">
        <f>EE592</f>
        <v>4279</v>
      </c>
      <c r="EF862" s="1080"/>
      <c r="EG862" s="16">
        <f>EG592</f>
        <v>4136</v>
      </c>
      <c r="EH862" s="1080"/>
      <c r="EI862" s="16">
        <f>EI592</f>
        <v>4172</v>
      </c>
      <c r="EJ862" s="1080"/>
      <c r="EK862" s="16">
        <f>EK592</f>
        <v>4113</v>
      </c>
      <c r="EL862" s="1080"/>
      <c r="EM862" s="16">
        <f>EM592</f>
        <v>4156</v>
      </c>
      <c r="EN862" s="1080"/>
      <c r="EO862" s="16">
        <f>EO592</f>
        <v>4103</v>
      </c>
      <c r="EP862" s="440"/>
      <c r="EQ862" s="1079">
        <f>EQ592</f>
        <v>4149.7413766001828</v>
      </c>
      <c r="ER862" s="440"/>
      <c r="ES862" s="1079">
        <f t="shared" ref="ES862" si="4951">ES592</f>
        <v>4167.9403029496252</v>
      </c>
      <c r="ET862" s="440"/>
      <c r="EU862" s="1079">
        <f t="shared" ref="EU862" si="4952">EU592</f>
        <v>4183.7837736369984</v>
      </c>
      <c r="EV862" s="440"/>
      <c r="EW862" s="1079">
        <f t="shared" ref="EW862" si="4953">EW592</f>
        <v>4194.9838457543701</v>
      </c>
      <c r="EX862" s="440"/>
      <c r="EY862" s="16"/>
      <c r="EZ862" s="607"/>
      <c r="FA862" s="427"/>
      <c r="FB862" s="16"/>
      <c r="FC862" s="16"/>
      <c r="FD862" s="16"/>
      <c r="FE862" s="440"/>
      <c r="FF862" s="16"/>
      <c r="FG862" s="440"/>
      <c r="FH862" s="16"/>
      <c r="FI862" s="440"/>
      <c r="FJ862" s="16"/>
      <c r="FK862" s="440"/>
      <c r="FL862" s="16"/>
      <c r="FM862" s="440"/>
      <c r="FN862" s="16"/>
      <c r="FO862" s="440"/>
      <c r="FP862" s="16">
        <f>FP592</f>
        <v>15066</v>
      </c>
      <c r="FQ862" s="440"/>
      <c r="FR862" s="16">
        <f>FR592</f>
        <v>17466</v>
      </c>
      <c r="FS862" s="440"/>
      <c r="FT862" s="16">
        <f>FT592</f>
        <v>18862</v>
      </c>
      <c r="FU862" s="440"/>
      <c r="FV862" s="16">
        <f>FV592</f>
        <v>16200</v>
      </c>
      <c r="FW862" s="440"/>
      <c r="FX862" s="535">
        <f>FX592</f>
        <v>15089</v>
      </c>
      <c r="FY862" s="440"/>
      <c r="FZ862" s="16">
        <f>FZ592</f>
        <v>17142</v>
      </c>
      <c r="GA862" s="440"/>
      <c r="GB862" s="535">
        <f>GB592</f>
        <v>19638</v>
      </c>
      <c r="GC862" s="440"/>
      <c r="GD862" s="16">
        <f>GD592</f>
        <v>20472</v>
      </c>
      <c r="GE862" s="440"/>
      <c r="GF862" s="16">
        <f>GF592</f>
        <v>20394</v>
      </c>
      <c r="GG862" s="440"/>
      <c r="GH862" s="16">
        <f>GH592</f>
        <v>20484</v>
      </c>
      <c r="GI862" s="440"/>
      <c r="GJ862" s="16">
        <f>GJ592</f>
        <v>16462</v>
      </c>
      <c r="GK862" s="440"/>
      <c r="GL862" s="16">
        <f>GL592</f>
        <v>16437</v>
      </c>
      <c r="GM862" s="98">
        <f t="shared" ref="GM862:GS864" si="4954">IF(ISERROR((GL862/GJ862-1)*100),"NA",IF(((GL862/GJ862-1)*100)&gt;100,"NM",IF(((GL862/GJ862-1)*100)&lt;-50,"NM",(GL862/GJ862-1)*100)))</f>
        <v>-0.15186490098408889</v>
      </c>
      <c r="GN862" s="16">
        <f>GN592</f>
        <v>16544</v>
      </c>
      <c r="GO862" s="98">
        <f t="shared" si="4954"/>
        <v>0.65097037172232586</v>
      </c>
      <c r="GP862" s="16">
        <f>GP592</f>
        <v>16696.449298941177</v>
      </c>
      <c r="GQ862" s="98">
        <f t="shared" si="4954"/>
        <v>0.92147787077596632</v>
      </c>
      <c r="GR862" s="16">
        <f>GR592</f>
        <v>16887.907235514191</v>
      </c>
      <c r="GS862" s="98">
        <f t="shared" si="4954"/>
        <v>1.1466985174216404</v>
      </c>
      <c r="GT862" s="16">
        <f>GT592</f>
        <v>17131.220559191741</v>
      </c>
      <c r="GU862" s="440"/>
      <c r="GV862" s="16">
        <f>GV592</f>
        <v>17376.338270888893</v>
      </c>
      <c r="GW862" s="440"/>
      <c r="GX862" s="16">
        <f>GX592</f>
        <v>17619.543112645177</v>
      </c>
      <c r="GY862" s="440"/>
      <c r="GZ862" s="455"/>
      <c r="HA862" s="455"/>
      <c r="HC862"/>
      <c r="HD862"/>
      <c r="HE862"/>
      <c r="HF862"/>
      <c r="HG862"/>
      <c r="HH862"/>
    </row>
    <row r="863" spans="1:217" s="10" customFormat="1" ht="12.75" hidden="1" customHeight="1" outlineLevel="1" x14ac:dyDescent="0.2">
      <c r="A863" s="28"/>
      <c r="B863" s="10" t="s">
        <v>306</v>
      </c>
      <c r="C863" s="16"/>
      <c r="D863" s="16"/>
      <c r="E863" s="16"/>
      <c r="F863" s="16"/>
      <c r="G863" s="16"/>
      <c r="H863" s="16"/>
      <c r="I863" s="16"/>
      <c r="J863" s="16"/>
      <c r="K863" s="16"/>
      <c r="L863" s="440"/>
      <c r="M863" s="16"/>
      <c r="N863" s="440"/>
      <c r="O863" s="16"/>
      <c r="P863" s="440"/>
      <c r="Q863" s="16"/>
      <c r="R863" s="440"/>
      <c r="S863" s="16"/>
      <c r="T863" s="440"/>
      <c r="U863" s="16"/>
      <c r="V863" s="440"/>
      <c r="W863" s="16"/>
      <c r="X863" s="440"/>
      <c r="Y863" s="16"/>
      <c r="Z863" s="440"/>
      <c r="AA863" s="16"/>
      <c r="AB863" s="440"/>
      <c r="AC863" s="16"/>
      <c r="AD863" s="440"/>
      <c r="AE863" s="16"/>
      <c r="AF863" s="440"/>
      <c r="AG863" s="16"/>
      <c r="AH863" s="440"/>
      <c r="AI863" s="16"/>
      <c r="AJ863" s="440"/>
      <c r="AK863" s="16"/>
      <c r="AL863" s="440"/>
      <c r="AM863" s="16"/>
      <c r="AN863" s="440"/>
      <c r="AO863" s="16"/>
      <c r="AP863" s="440"/>
      <c r="AQ863" s="16">
        <f>AQ598</f>
        <v>812</v>
      </c>
      <c r="AR863" s="440"/>
      <c r="AS863" s="16">
        <f>AS598</f>
        <v>845</v>
      </c>
      <c r="AT863" s="440"/>
      <c r="AU863" s="16">
        <f>AU598</f>
        <v>1186</v>
      </c>
      <c r="AV863" s="440"/>
      <c r="AW863" s="16">
        <f>AW598</f>
        <v>1167</v>
      </c>
      <c r="AX863" s="440"/>
      <c r="AY863" s="16">
        <f>AY598</f>
        <v>1245</v>
      </c>
      <c r="AZ863" s="440"/>
      <c r="BA863" s="16">
        <f>BA598</f>
        <v>1299</v>
      </c>
      <c r="BB863" s="440"/>
      <c r="BC863" s="16">
        <f>BC598</f>
        <v>1382</v>
      </c>
      <c r="BD863" s="440"/>
      <c r="BE863" s="16">
        <f>BE598</f>
        <v>1433</v>
      </c>
      <c r="BF863" s="440"/>
      <c r="BG863" s="16">
        <f>BG598</f>
        <v>1423</v>
      </c>
      <c r="BH863" s="440"/>
      <c r="BI863" s="16">
        <f>BI598</f>
        <v>1509</v>
      </c>
      <c r="BJ863" s="440"/>
      <c r="BK863" s="16">
        <f>BK598</f>
        <v>1503</v>
      </c>
      <c r="BL863" s="440"/>
      <c r="BM863" s="16">
        <f>BM598</f>
        <v>1479</v>
      </c>
      <c r="BN863" s="440"/>
      <c r="BO863" s="16">
        <f>BO598</f>
        <v>1262</v>
      </c>
      <c r="BP863" s="440"/>
      <c r="BQ863" s="16">
        <f>BQ598</f>
        <v>1223</v>
      </c>
      <c r="BR863" s="440"/>
      <c r="BS863" s="16">
        <f>BS598</f>
        <v>1161</v>
      </c>
      <c r="BT863" s="440"/>
      <c r="BU863" s="16">
        <f>BU598</f>
        <v>1263</v>
      </c>
      <c r="BV863" s="440"/>
      <c r="BW863" s="16">
        <f>BW598</f>
        <v>1213</v>
      </c>
      <c r="BX863" s="440"/>
      <c r="BY863" s="16">
        <f>BY598</f>
        <v>1269</v>
      </c>
      <c r="BZ863" s="440"/>
      <c r="CA863" s="16">
        <f>CA598</f>
        <v>1296</v>
      </c>
      <c r="CB863" s="440"/>
      <c r="CC863" s="16">
        <f>CC598</f>
        <v>1195</v>
      </c>
      <c r="CD863" s="440"/>
      <c r="CE863" s="16">
        <f>CE598</f>
        <v>1184</v>
      </c>
      <c r="CF863" s="440"/>
      <c r="CG863" s="16">
        <f>CG598</f>
        <v>1083</v>
      </c>
      <c r="CH863" s="440"/>
      <c r="CI863" s="16">
        <f>CI598</f>
        <v>1292</v>
      </c>
      <c r="CJ863" s="440"/>
      <c r="CK863" s="16">
        <f>CK598</f>
        <v>1246</v>
      </c>
      <c r="CL863" s="440"/>
      <c r="CM863" s="16">
        <f>CM598</f>
        <v>1479</v>
      </c>
      <c r="CN863" s="440"/>
      <c r="CO863" s="16">
        <f>CO598</f>
        <v>1508</v>
      </c>
      <c r="CP863" s="440"/>
      <c r="CQ863" s="16">
        <f>CQ598</f>
        <v>1534</v>
      </c>
      <c r="CR863" s="440"/>
      <c r="CS863" s="16">
        <f>CS598</f>
        <v>1536</v>
      </c>
      <c r="CT863" s="440"/>
      <c r="CU863" s="16">
        <f>CU598</f>
        <v>1539</v>
      </c>
      <c r="CV863" s="440"/>
      <c r="CW863" s="16">
        <f>CW598</f>
        <v>1525</v>
      </c>
      <c r="CX863" s="440"/>
      <c r="CY863" s="16">
        <f>CY598</f>
        <v>1589</v>
      </c>
      <c r="CZ863" s="440"/>
      <c r="DA863" s="16">
        <f>DA598</f>
        <v>1589</v>
      </c>
      <c r="DB863" s="440"/>
      <c r="DC863" s="16">
        <f>DC598</f>
        <v>1554</v>
      </c>
      <c r="DD863" s="440"/>
      <c r="DE863" s="16">
        <f>DE598</f>
        <v>1521</v>
      </c>
      <c r="DF863" s="440"/>
      <c r="DG863" s="16">
        <f>DG598</f>
        <v>1472</v>
      </c>
      <c r="DH863" s="440"/>
      <c r="DI863" s="16">
        <f>DI598</f>
        <v>1468</v>
      </c>
      <c r="DJ863" s="440"/>
      <c r="DK863" s="16">
        <f>DK598</f>
        <v>1401</v>
      </c>
      <c r="DL863" s="440"/>
      <c r="DM863" s="16">
        <f>DM598</f>
        <v>1425</v>
      </c>
      <c r="DN863" s="440"/>
      <c r="DO863" s="16">
        <f>DO598</f>
        <v>1426</v>
      </c>
      <c r="DP863" s="440"/>
      <c r="DQ863" s="16">
        <f>DQ598</f>
        <v>1409</v>
      </c>
      <c r="DR863" s="440"/>
      <c r="DS863" s="16">
        <f>DS598</f>
        <v>1020</v>
      </c>
      <c r="DT863" s="440"/>
      <c r="DU863" s="16">
        <f>DU598</f>
        <v>1026</v>
      </c>
      <c r="DV863" s="440"/>
      <c r="DW863" s="16">
        <f>DW598</f>
        <v>1018</v>
      </c>
      <c r="DX863" s="440"/>
      <c r="DY863" s="16">
        <f>DY598</f>
        <v>1015</v>
      </c>
      <c r="DZ863" s="440"/>
      <c r="EA863" s="16">
        <f>EA598</f>
        <v>1011</v>
      </c>
      <c r="EB863" s="440"/>
      <c r="EC863" s="16">
        <f>EC598</f>
        <v>1025</v>
      </c>
      <c r="ED863" s="440"/>
      <c r="EE863" s="16">
        <f>EE598</f>
        <v>1026</v>
      </c>
      <c r="EF863" s="1080"/>
      <c r="EG863" s="16">
        <f>EG598</f>
        <v>1026</v>
      </c>
      <c r="EH863" s="1080"/>
      <c r="EI863" s="16">
        <f>EI598</f>
        <v>1036</v>
      </c>
      <c r="EJ863" s="1080"/>
      <c r="EK863" s="16">
        <f>EK598</f>
        <v>1066</v>
      </c>
      <c r="EL863" s="1080"/>
      <c r="EM863" s="16">
        <f>EM598</f>
        <v>1105</v>
      </c>
      <c r="EN863" s="1080"/>
      <c r="EO863" s="16">
        <f>EO598</f>
        <v>1106</v>
      </c>
      <c r="EP863" s="440"/>
      <c r="EQ863" s="1079">
        <f>EQ598</f>
        <v>1080.6572648623253</v>
      </c>
      <c r="ER863" s="440"/>
      <c r="ES863" s="1079">
        <f t="shared" ref="ES863" si="4955">ES598</f>
        <v>1087.5483922613614</v>
      </c>
      <c r="ET863" s="440"/>
      <c r="EU863" s="1079">
        <f t="shared" ref="EU863" si="4956">EU598</f>
        <v>1093.9686731512063</v>
      </c>
      <c r="EV863" s="440"/>
      <c r="EW863" s="1079">
        <f t="shared" ref="EW863" si="4957">EW598</f>
        <v>1099.9804309431627</v>
      </c>
      <c r="EX863" s="440"/>
      <c r="EY863" s="16"/>
      <c r="EZ863" s="607"/>
      <c r="FA863" s="427"/>
      <c r="FB863" s="16"/>
      <c r="FC863" s="16"/>
      <c r="FD863" s="16"/>
      <c r="FE863" s="440"/>
      <c r="FF863" s="16"/>
      <c r="FG863" s="440"/>
      <c r="FH863" s="16"/>
      <c r="FI863" s="440"/>
      <c r="FJ863" s="16"/>
      <c r="FK863" s="440"/>
      <c r="FL863" s="16"/>
      <c r="FM863" s="440"/>
      <c r="FN863" s="16"/>
      <c r="FO863" s="440"/>
      <c r="FP863" s="16">
        <f>FP598</f>
        <v>4010</v>
      </c>
      <c r="FQ863" s="440"/>
      <c r="FR863" s="16">
        <f>FR598</f>
        <v>5359</v>
      </c>
      <c r="FS863" s="440"/>
      <c r="FT863" s="16">
        <f>FT598</f>
        <v>5914</v>
      </c>
      <c r="FU863" s="440"/>
      <c r="FV863" s="16">
        <f>FV598</f>
        <v>4909</v>
      </c>
      <c r="FW863" s="440"/>
      <c r="FX863" s="535">
        <f>FX598</f>
        <v>4973</v>
      </c>
      <c r="FY863" s="440"/>
      <c r="FZ863" s="16">
        <f>FZ598</f>
        <v>4805</v>
      </c>
      <c r="GA863" s="440"/>
      <c r="GB863" s="535">
        <f>GB598</f>
        <v>6057</v>
      </c>
      <c r="GC863" s="440"/>
      <c r="GD863" s="16">
        <f>GD598</f>
        <v>6242</v>
      </c>
      <c r="GE863" s="440"/>
      <c r="GF863" s="16">
        <f>GF598</f>
        <v>6015</v>
      </c>
      <c r="GG863" s="440"/>
      <c r="GH863" s="16">
        <f>GH598</f>
        <v>5661</v>
      </c>
      <c r="GI863" s="440"/>
      <c r="GJ863" s="16">
        <f>GJ598</f>
        <v>4079</v>
      </c>
      <c r="GK863" s="440"/>
      <c r="GL863" s="16">
        <f>GL598</f>
        <v>4088</v>
      </c>
      <c r="GM863" s="98">
        <f t="shared" si="4954"/>
        <v>0.2206423142927294</v>
      </c>
      <c r="GN863" s="16">
        <f>GN598</f>
        <v>4313</v>
      </c>
      <c r="GO863" s="98">
        <f t="shared" si="4954"/>
        <v>5.5039138943248522</v>
      </c>
      <c r="GP863" s="16">
        <f>GP598</f>
        <v>4362.1547612180557</v>
      </c>
      <c r="GQ863" s="98">
        <f t="shared" si="4954"/>
        <v>1.1396884121969819</v>
      </c>
      <c r="GR863" s="16">
        <f>GR598</f>
        <v>4468.9509658563911</v>
      </c>
      <c r="GS863" s="98">
        <f t="shared" si="4954"/>
        <v>2.4482442848615227</v>
      </c>
      <c r="GT863" s="16">
        <f>GT598</f>
        <v>4595.8832103308741</v>
      </c>
      <c r="GU863" s="440"/>
      <c r="GV863" s="16">
        <f>GV598</f>
        <v>4728.7580083789881</v>
      </c>
      <c r="GW863" s="440"/>
      <c r="GX863" s="16">
        <f>GX598</f>
        <v>4865.2064147410938</v>
      </c>
      <c r="GY863" s="440"/>
      <c r="GZ863" s="455"/>
      <c r="HA863" s="455"/>
      <c r="HC863"/>
      <c r="HD863"/>
      <c r="HE863"/>
      <c r="HF863"/>
      <c r="HG863"/>
      <c r="HH863"/>
    </row>
    <row r="864" spans="1:217" s="10" customFormat="1" ht="12.75" hidden="1" customHeight="1" outlineLevel="1" x14ac:dyDescent="0.2">
      <c r="A864" s="28"/>
      <c r="B864" s="10" t="s">
        <v>662</v>
      </c>
      <c r="C864" s="16"/>
      <c r="D864" s="16"/>
      <c r="E864" s="16"/>
      <c r="F864" s="16"/>
      <c r="G864" s="16"/>
      <c r="H864" s="16"/>
      <c r="I864" s="16"/>
      <c r="J864" s="16"/>
      <c r="K864" s="16"/>
      <c r="L864" s="440"/>
      <c r="M864" s="16"/>
      <c r="N864" s="440"/>
      <c r="O864" s="16"/>
      <c r="P864" s="440"/>
      <c r="Q864" s="16"/>
      <c r="R864" s="440"/>
      <c r="S864" s="16"/>
      <c r="T864" s="440"/>
      <c r="U864" s="16"/>
      <c r="V864" s="440"/>
      <c r="W864" s="16"/>
      <c r="X864" s="440"/>
      <c r="Y864" s="16"/>
      <c r="Z864" s="440"/>
      <c r="AA864" s="16"/>
      <c r="AB864" s="440"/>
      <c r="AC864" s="16"/>
      <c r="AD864" s="440"/>
      <c r="AE864" s="16"/>
      <c r="AF864" s="440"/>
      <c r="AG864" s="16"/>
      <c r="AH864" s="440"/>
      <c r="AI864" s="16"/>
      <c r="AJ864" s="440"/>
      <c r="AK864" s="16"/>
      <c r="AL864" s="440"/>
      <c r="AM864" s="16"/>
      <c r="AN864" s="440"/>
      <c r="AO864" s="16"/>
      <c r="AP864" s="440"/>
      <c r="AQ864" s="16">
        <f>AQ862-AQ863</f>
        <v>2467</v>
      </c>
      <c r="AR864" s="440"/>
      <c r="AS864" s="16">
        <f>AS862-AS863</f>
        <v>2663</v>
      </c>
      <c r="AT864" s="440"/>
      <c r="AU864" s="16">
        <f>AU862-AU863</f>
        <v>2926</v>
      </c>
      <c r="AV864" s="440"/>
      <c r="AW864" s="16">
        <f>AW862-AW863</f>
        <v>3000</v>
      </c>
      <c r="AX864" s="440"/>
      <c r="AY864" s="16">
        <f>AY862-AY863</f>
        <v>3009</v>
      </c>
      <c r="AZ864" s="440"/>
      <c r="BA864" s="16">
        <f>BA862-BA863</f>
        <v>2955</v>
      </c>
      <c r="BB864" s="440"/>
      <c r="BC864" s="16">
        <f>BC862-BC863</f>
        <v>2901</v>
      </c>
      <c r="BD864" s="440"/>
      <c r="BE864" s="16">
        <f>BE862-BE863</f>
        <v>3242</v>
      </c>
      <c r="BF864" s="440"/>
      <c r="BG864" s="16">
        <f>BG862-BG863</f>
        <v>3159</v>
      </c>
      <c r="BH864" s="440"/>
      <c r="BI864" s="16">
        <f>BI862-BI863</f>
        <v>3393</v>
      </c>
      <c r="BJ864" s="440"/>
      <c r="BK864" s="16">
        <f>BK862-BK863</f>
        <v>3074</v>
      </c>
      <c r="BL864" s="440"/>
      <c r="BM864" s="16">
        <f>BM862-BM863</f>
        <v>3322</v>
      </c>
      <c r="BN864" s="440"/>
      <c r="BO864" s="16">
        <f>BO862-BO863</f>
        <v>3007</v>
      </c>
      <c r="BP864" s="440"/>
      <c r="BQ864" s="16">
        <f>BQ862-BQ863</f>
        <v>3074</v>
      </c>
      <c r="BR864" s="440"/>
      <c r="BS864" s="16">
        <f>BS862-BS863</f>
        <v>2852</v>
      </c>
      <c r="BT864" s="440"/>
      <c r="BU864" s="16">
        <f>BU862-BU863</f>
        <v>2358</v>
      </c>
      <c r="BV864" s="440"/>
      <c r="BW864" s="16">
        <f>BW862-BW863</f>
        <v>2061</v>
      </c>
      <c r="BX864" s="440"/>
      <c r="BY864" s="16">
        <f>BY862-BY863</f>
        <v>2590</v>
      </c>
      <c r="BZ864" s="440"/>
      <c r="CA864" s="16">
        <f>CA862-CA863</f>
        <v>2660</v>
      </c>
      <c r="CB864" s="440"/>
      <c r="CC864" s="16">
        <f>CC862-CC863</f>
        <v>2805</v>
      </c>
      <c r="CD864" s="440"/>
      <c r="CE864" s="16">
        <f>CE862-CE863</f>
        <v>3087</v>
      </c>
      <c r="CF864" s="440"/>
      <c r="CG864" s="16">
        <f>CG862-CG863</f>
        <v>3037</v>
      </c>
      <c r="CH864" s="440"/>
      <c r="CI864" s="16">
        <f>CI862-CI863</f>
        <v>3022</v>
      </c>
      <c r="CJ864" s="440"/>
      <c r="CK864" s="16">
        <f>CK862-CK863</f>
        <v>3191</v>
      </c>
      <c r="CL864" s="440"/>
      <c r="CM864" s="16">
        <f>CM862-CM863</f>
        <v>3304</v>
      </c>
      <c r="CN864" s="440"/>
      <c r="CO864" s="16">
        <f>CO862-CO863</f>
        <v>3503</v>
      </c>
      <c r="CP864" s="440"/>
      <c r="CQ864" s="16">
        <f>CQ862-CQ863</f>
        <v>3427</v>
      </c>
      <c r="CR864" s="440"/>
      <c r="CS864" s="16">
        <f>CS862-CS863</f>
        <v>3356</v>
      </c>
      <c r="CT864" s="440"/>
      <c r="CU864" s="16">
        <f>CU862-CU863</f>
        <v>3538</v>
      </c>
      <c r="CV864" s="440"/>
      <c r="CW864" s="16">
        <f>CW862-CW863</f>
        <v>3647</v>
      </c>
      <c r="CX864" s="440"/>
      <c r="CY864" s="16">
        <f>CY862-CY863</f>
        <v>3459</v>
      </c>
      <c r="CZ864" s="440"/>
      <c r="DA864" s="16">
        <f>DA862-DA863</f>
        <v>3586</v>
      </c>
      <c r="DB864" s="440"/>
      <c r="DC864" s="16">
        <f>DC862-DC863</f>
        <v>3528</v>
      </c>
      <c r="DD864" s="440"/>
      <c r="DE864" s="16">
        <f>DE862-DE863</f>
        <v>3536</v>
      </c>
      <c r="DF864" s="440"/>
      <c r="DG864" s="16">
        <f>DG862-DG863</f>
        <v>3526</v>
      </c>
      <c r="DH864" s="440"/>
      <c r="DI864" s="16">
        <f>DI862-DI863</f>
        <v>3789</v>
      </c>
      <c r="DJ864" s="440"/>
      <c r="DK864" s="16">
        <f>DK862-DK863</f>
        <v>3684</v>
      </c>
      <c r="DL864" s="440"/>
      <c r="DM864" s="16">
        <f>DM862-DM863</f>
        <v>3670</v>
      </c>
      <c r="DN864" s="440"/>
      <c r="DO864" s="16">
        <f>DO862-DO863</f>
        <v>3767</v>
      </c>
      <c r="DP864" s="440"/>
      <c r="DQ864" s="16">
        <f>DQ862-DQ863</f>
        <v>3702</v>
      </c>
      <c r="DR864" s="440"/>
      <c r="DS864" s="16">
        <f>DS862-DS863</f>
        <v>3153</v>
      </c>
      <c r="DT864" s="440"/>
      <c r="DU864" s="16">
        <f>DU862-DU863</f>
        <v>3294</v>
      </c>
      <c r="DV864" s="440"/>
      <c r="DW864" s="16">
        <f>DW862-DW863</f>
        <v>2969</v>
      </c>
      <c r="DX864" s="440"/>
      <c r="DY864" s="16">
        <f>DY862-DY863</f>
        <v>2967</v>
      </c>
      <c r="DZ864" s="440"/>
      <c r="EA864" s="16">
        <f>EA862-EA863</f>
        <v>2937</v>
      </c>
      <c r="EB864" s="440"/>
      <c r="EC864" s="16">
        <f>EC862-EC863</f>
        <v>3049</v>
      </c>
      <c r="ED864" s="440"/>
      <c r="EE864" s="16">
        <f>EE862-EE863</f>
        <v>3253</v>
      </c>
      <c r="EF864" s="1080"/>
      <c r="EG864" s="16">
        <f>EG862-EG863</f>
        <v>3110</v>
      </c>
      <c r="EH864" s="1080"/>
      <c r="EI864" s="16">
        <f>EI862-EI863</f>
        <v>3136</v>
      </c>
      <c r="EJ864" s="1080"/>
      <c r="EK864" s="16">
        <f>EK862-EK863</f>
        <v>3047</v>
      </c>
      <c r="EL864" s="1080"/>
      <c r="EM864" s="16">
        <f>EM862-EM863</f>
        <v>3051</v>
      </c>
      <c r="EN864" s="1080"/>
      <c r="EO864" s="16">
        <f>EO862-EO863</f>
        <v>2997</v>
      </c>
      <c r="EP864" s="440"/>
      <c r="EQ864" s="1079">
        <f t="shared" ref="EQ864" si="4958">EQ862-EQ863</f>
        <v>3069.0841117378577</v>
      </c>
      <c r="ER864" s="440"/>
      <c r="ES864" s="1079">
        <f t="shared" ref="ES864" si="4959">ES862-ES863</f>
        <v>3080.391910688264</v>
      </c>
      <c r="ET864" s="440"/>
      <c r="EU864" s="1079">
        <f t="shared" ref="EU864" si="4960">EU862-EU863</f>
        <v>3089.8151004857918</v>
      </c>
      <c r="EV864" s="440"/>
      <c r="EW864" s="1079">
        <f t="shared" ref="EW864" si="4961">EW862-EW863</f>
        <v>3095.0034148112072</v>
      </c>
      <c r="EX864" s="440"/>
      <c r="EY864" s="16"/>
      <c r="EZ864" s="607"/>
      <c r="FA864" s="427"/>
      <c r="FB864" s="16"/>
      <c r="FC864" s="16"/>
      <c r="FD864" s="16"/>
      <c r="FE864" s="440"/>
      <c r="FF864" s="16"/>
      <c r="FG864" s="440"/>
      <c r="FH864" s="16"/>
      <c r="FI864" s="440"/>
      <c r="FJ864" s="16"/>
      <c r="FK864" s="440"/>
      <c r="FL864" s="16"/>
      <c r="FM864" s="440"/>
      <c r="FN864" s="16"/>
      <c r="FO864" s="440"/>
      <c r="FP864" s="16">
        <f>FP862-FP863</f>
        <v>11056</v>
      </c>
      <c r="FQ864" s="440"/>
      <c r="FR864" s="16">
        <f>FR862-FR863</f>
        <v>12107</v>
      </c>
      <c r="FS864" s="440"/>
      <c r="FT864" s="16">
        <f>FT862-FT863</f>
        <v>12948</v>
      </c>
      <c r="FU864" s="440"/>
      <c r="FV864" s="16">
        <f>FV862-FV863</f>
        <v>11291</v>
      </c>
      <c r="FW864" s="440"/>
      <c r="FX864" s="535">
        <f>FX862-FX863</f>
        <v>10116</v>
      </c>
      <c r="FY864" s="440"/>
      <c r="FZ864" s="16">
        <f>FZ862-FZ863</f>
        <v>12337</v>
      </c>
      <c r="GA864" s="440"/>
      <c r="GB864" s="535">
        <f>GB862-GB863</f>
        <v>13581</v>
      </c>
      <c r="GC864" s="440"/>
      <c r="GD864" s="16">
        <f>GD862-GD863</f>
        <v>14230</v>
      </c>
      <c r="GE864" s="440"/>
      <c r="GF864" s="16">
        <f>GF862-GF863</f>
        <v>14379</v>
      </c>
      <c r="GG864" s="440"/>
      <c r="GH864" s="16">
        <f>GH862-GH863</f>
        <v>14823</v>
      </c>
      <c r="GI864" s="440"/>
      <c r="GJ864" s="16">
        <f>GJ862-GJ863</f>
        <v>12383</v>
      </c>
      <c r="GK864" s="440"/>
      <c r="GL864" s="16">
        <f>GL862-GL863</f>
        <v>12349</v>
      </c>
      <c r="GM864" s="98">
        <f t="shared" si="4954"/>
        <v>-0.27456997496567714</v>
      </c>
      <c r="GN864" s="16">
        <f>GN862-GN863</f>
        <v>12231</v>
      </c>
      <c r="GO864" s="98">
        <f t="shared" si="4954"/>
        <v>-0.95554295894404451</v>
      </c>
      <c r="GP864" s="16">
        <f>GP862-GP863</f>
        <v>12334.294537723123</v>
      </c>
      <c r="GQ864" s="98">
        <f t="shared" si="4954"/>
        <v>0.8445306003035169</v>
      </c>
      <c r="GR864" s="16">
        <f>GR862-GR863</f>
        <v>12418.9562696578</v>
      </c>
      <c r="GS864" s="98">
        <f t="shared" si="4954"/>
        <v>0.68639298077199928</v>
      </c>
      <c r="GT864" s="16">
        <f>GT862-GT863</f>
        <v>12535.337348860867</v>
      </c>
      <c r="GU864" s="440"/>
      <c r="GV864" s="16">
        <f>GV862-GV863</f>
        <v>12647.580262509906</v>
      </c>
      <c r="GW864" s="440"/>
      <c r="GX864" s="16">
        <f>GX862-GX863</f>
        <v>12754.336697904084</v>
      </c>
      <c r="GY864" s="440"/>
      <c r="GZ864" s="455"/>
      <c r="HA864" s="455"/>
      <c r="HC864"/>
      <c r="HD864"/>
      <c r="HE864"/>
      <c r="HF864"/>
      <c r="HG864"/>
      <c r="HH864"/>
    </row>
    <row r="865" spans="1:217" s="10" customFormat="1" ht="12.75" hidden="1" customHeight="1" outlineLevel="1" x14ac:dyDescent="0.2">
      <c r="A865" s="28"/>
      <c r="C865" s="16"/>
      <c r="D865" s="16"/>
      <c r="E865" s="16"/>
      <c r="F865" s="16"/>
      <c r="G865" s="16"/>
      <c r="H865" s="16"/>
      <c r="I865" s="16"/>
      <c r="J865" s="16"/>
      <c r="K865" s="16"/>
      <c r="L865" s="440"/>
      <c r="M865" s="16"/>
      <c r="N865" s="440"/>
      <c r="O865" s="16"/>
      <c r="P865" s="440"/>
      <c r="Q865" s="16"/>
      <c r="R865" s="440"/>
      <c r="S865" s="16"/>
      <c r="T865" s="440"/>
      <c r="U865" s="16"/>
      <c r="V865" s="440"/>
      <c r="W865" s="16"/>
      <c r="X865" s="440"/>
      <c r="Y865" s="16"/>
      <c r="Z865" s="440"/>
      <c r="AA865" s="16"/>
      <c r="AB865" s="440"/>
      <c r="AC865" s="16"/>
      <c r="AD865" s="440"/>
      <c r="AE865" s="16"/>
      <c r="AF865" s="440"/>
      <c r="AG865" s="16"/>
      <c r="AH865" s="440"/>
      <c r="AI865" s="16"/>
      <c r="AJ865" s="440"/>
      <c r="AK865" s="16"/>
      <c r="AL865" s="440"/>
      <c r="AM865" s="16"/>
      <c r="AN865" s="440"/>
      <c r="AO865" s="16"/>
      <c r="AP865" s="440"/>
      <c r="AQ865" s="16"/>
      <c r="AR865" s="440"/>
      <c r="AS865" s="16"/>
      <c r="AT865" s="440"/>
      <c r="AU865" s="16"/>
      <c r="AV865" s="440"/>
      <c r="AW865" s="16"/>
      <c r="AX865" s="440"/>
      <c r="AY865" s="16"/>
      <c r="AZ865" s="440"/>
      <c r="BA865" s="16"/>
      <c r="BB865" s="440"/>
      <c r="BC865" s="16"/>
      <c r="BD865" s="440"/>
      <c r="BE865" s="16"/>
      <c r="BF865" s="440"/>
      <c r="BG865" s="16"/>
      <c r="BH865" s="440"/>
      <c r="BI865" s="16"/>
      <c r="BJ865" s="440"/>
      <c r="BK865" s="16"/>
      <c r="BL865" s="440"/>
      <c r="BM865" s="16"/>
      <c r="BN865" s="440"/>
      <c r="BO865" s="16"/>
      <c r="BP865" s="440"/>
      <c r="BQ865" s="16"/>
      <c r="BR865" s="440"/>
      <c r="BS865" s="16"/>
      <c r="BT865" s="440"/>
      <c r="BU865" s="16"/>
      <c r="BV865" s="440"/>
      <c r="BW865" s="16"/>
      <c r="BX865" s="440"/>
      <c r="BY865" s="16"/>
      <c r="BZ865" s="440"/>
      <c r="CA865" s="16"/>
      <c r="CB865" s="440"/>
      <c r="CC865" s="16"/>
      <c r="CD865" s="440"/>
      <c r="CE865" s="16"/>
      <c r="CF865" s="440"/>
      <c r="CG865" s="16"/>
      <c r="CH865" s="440"/>
      <c r="CI865" s="16"/>
      <c r="CJ865" s="440"/>
      <c r="CK865" s="16"/>
      <c r="CL865" s="440"/>
      <c r="CM865" s="16"/>
      <c r="CN865" s="440"/>
      <c r="CO865" s="16"/>
      <c r="CP865" s="440"/>
      <c r="CQ865" s="16"/>
      <c r="CR865" s="440"/>
      <c r="CS865" s="16"/>
      <c r="CT865" s="440"/>
      <c r="CU865" s="16"/>
      <c r="CV865" s="440"/>
      <c r="CW865" s="16"/>
      <c r="CX865" s="440"/>
      <c r="CY865" s="16"/>
      <c r="CZ865" s="440"/>
      <c r="DA865" s="16"/>
      <c r="DB865" s="440"/>
      <c r="DC865" s="16"/>
      <c r="DD865" s="440"/>
      <c r="DE865" s="16"/>
      <c r="DF865" s="440"/>
      <c r="DG865" s="16"/>
      <c r="DH865" s="440"/>
      <c r="DI865" s="16"/>
      <c r="DJ865" s="440"/>
      <c r="DK865" s="16"/>
      <c r="DL865" s="440"/>
      <c r="DM865" s="16"/>
      <c r="DN865" s="440"/>
      <c r="DO865" s="16"/>
      <c r="DP865" s="440"/>
      <c r="DQ865" s="16"/>
      <c r="DR865" s="440"/>
      <c r="DS865" s="16"/>
      <c r="DT865" s="440"/>
      <c r="DU865" s="16"/>
      <c r="DV865" s="440"/>
      <c r="DW865" s="16"/>
      <c r="DX865" s="440"/>
      <c r="DY865" s="16"/>
      <c r="DZ865" s="440"/>
      <c r="EA865" s="16"/>
      <c r="EB865" s="440"/>
      <c r="EC865" s="16"/>
      <c r="ED865" s="440"/>
      <c r="EE865" s="16"/>
      <c r="EF865" s="1080"/>
      <c r="EG865" s="16"/>
      <c r="EH865" s="1080"/>
      <c r="EI865" s="16"/>
      <c r="EJ865" s="1080"/>
      <c r="EK865" s="16"/>
      <c r="EL865" s="1080"/>
      <c r="EM865" s="16"/>
      <c r="EN865" s="1080"/>
      <c r="EO865" s="16"/>
      <c r="EP865" s="440"/>
      <c r="EQ865" s="1079"/>
      <c r="ER865" s="440"/>
      <c r="ES865" s="1079"/>
      <c r="ET865" s="440"/>
      <c r="EU865" s="1079"/>
      <c r="EV865" s="440"/>
      <c r="EW865" s="1079"/>
      <c r="EX865" s="440"/>
      <c r="EY865" s="16"/>
      <c r="EZ865" s="607"/>
      <c r="FA865" s="427"/>
      <c r="FB865" s="16"/>
      <c r="FC865" s="16"/>
      <c r="FD865" s="16"/>
      <c r="FE865" s="440"/>
      <c r="FF865" s="16"/>
      <c r="FG865" s="440"/>
      <c r="FH865" s="16"/>
      <c r="FI865" s="440"/>
      <c r="FJ865" s="16"/>
      <c r="FK865" s="440"/>
      <c r="FL865" s="16"/>
      <c r="FM865" s="440"/>
      <c r="FN865" s="16"/>
      <c r="FO865" s="440"/>
      <c r="FP865" s="16"/>
      <c r="FQ865" s="440"/>
      <c r="FR865" s="16"/>
      <c r="FS865" s="440"/>
      <c r="FT865" s="16"/>
      <c r="FU865" s="440"/>
      <c r="FV865" s="16"/>
      <c r="FW865" s="440"/>
      <c r="FX865" s="535"/>
      <c r="FY865" s="440"/>
      <c r="FZ865" s="16"/>
      <c r="GA865" s="440"/>
      <c r="GB865" s="535"/>
      <c r="GC865" s="440"/>
      <c r="GD865" s="16"/>
      <c r="GE865" s="440"/>
      <c r="GF865" s="16"/>
      <c r="GG865" s="440"/>
      <c r="GH865" s="16"/>
      <c r="GI865" s="440"/>
      <c r="GJ865" s="16"/>
      <c r="GK865" s="440"/>
      <c r="GL865" s="16"/>
      <c r="GM865" s="440"/>
      <c r="GN865" s="16"/>
      <c r="GO865" s="440"/>
      <c r="GP865" s="16"/>
      <c r="GQ865" s="440"/>
      <c r="GR865" s="16"/>
      <c r="GS865" s="440"/>
      <c r="GT865" s="16"/>
      <c r="GU865" s="440"/>
      <c r="GV865" s="16"/>
      <c r="GW865" s="440"/>
      <c r="GX865" s="16"/>
      <c r="GY865" s="440"/>
      <c r="GZ865" s="455"/>
      <c r="HA865" s="455"/>
      <c r="HC865"/>
      <c r="HD865"/>
      <c r="HE865"/>
      <c r="HF865"/>
      <c r="HG865"/>
      <c r="HH865"/>
    </row>
    <row r="866" spans="1:217" s="10" customFormat="1" ht="12.75" hidden="1" customHeight="1" outlineLevel="1" x14ac:dyDescent="0.2">
      <c r="A866" s="28"/>
      <c r="B866" s="10" t="s">
        <v>663</v>
      </c>
      <c r="C866" s="16"/>
      <c r="D866" s="16"/>
      <c r="E866" s="16"/>
      <c r="F866" s="16"/>
      <c r="G866" s="16"/>
      <c r="H866" s="16"/>
      <c r="I866" s="16"/>
      <c r="J866" s="16"/>
      <c r="K866" s="16"/>
      <c r="L866" s="440"/>
      <c r="M866" s="16"/>
      <c r="N866" s="440"/>
      <c r="O866" s="16"/>
      <c r="P866" s="440"/>
      <c r="Q866" s="16"/>
      <c r="R866" s="440"/>
      <c r="S866" s="16"/>
      <c r="T866" s="440"/>
      <c r="U866" s="16"/>
      <c r="V866" s="440"/>
      <c r="W866" s="16"/>
      <c r="X866" s="440"/>
      <c r="Y866" s="16"/>
      <c r="Z866" s="440"/>
      <c r="AA866" s="16"/>
      <c r="AB866" s="440"/>
      <c r="AC866" s="16"/>
      <c r="AD866" s="440"/>
      <c r="AE866" s="16"/>
      <c r="AF866" s="440"/>
      <c r="AG866" s="16"/>
      <c r="AH866" s="440"/>
      <c r="AI866" s="16"/>
      <c r="AJ866" s="440"/>
      <c r="AK866" s="16"/>
      <c r="AL866" s="440"/>
      <c r="AM866" s="16"/>
      <c r="AN866" s="440"/>
      <c r="AO866" s="16"/>
      <c r="AP866" s="440"/>
      <c r="AQ866" s="16">
        <f>AQ594</f>
        <v>10335</v>
      </c>
      <c r="AR866" s="440"/>
      <c r="AS866" s="16">
        <f>AS594</f>
        <v>10656</v>
      </c>
      <c r="AT866" s="440"/>
      <c r="AU866" s="16">
        <f>AU594</f>
        <v>12086</v>
      </c>
      <c r="AV866" s="440"/>
      <c r="AW866" s="16">
        <f>AW594</f>
        <v>11948</v>
      </c>
      <c r="AX866" s="440"/>
      <c r="AY866" s="16">
        <f>AY594</f>
        <v>12188</v>
      </c>
      <c r="AZ866" s="440"/>
      <c r="BA866" s="16">
        <f>BA594</f>
        <v>12211</v>
      </c>
      <c r="BB866" s="440"/>
      <c r="BC866" s="16">
        <f>BC594</f>
        <v>12384</v>
      </c>
      <c r="BD866" s="440"/>
      <c r="BE866" s="16">
        <f>BE594</f>
        <v>13243</v>
      </c>
      <c r="BF866" s="440"/>
      <c r="BG866" s="16">
        <f>BG594</f>
        <v>13011</v>
      </c>
      <c r="BH866" s="440"/>
      <c r="BI866" s="16">
        <f>BI594</f>
        <v>13533</v>
      </c>
      <c r="BJ866" s="440"/>
      <c r="BK866" s="16">
        <f>BK594</f>
        <v>11956</v>
      </c>
      <c r="BL866" s="440"/>
      <c r="BM866" s="16">
        <f>BM594</f>
        <v>12504</v>
      </c>
      <c r="BN866" s="440"/>
      <c r="BO866" s="16">
        <f>BO594</f>
        <v>12321</v>
      </c>
      <c r="BP866" s="440"/>
      <c r="BQ866" s="16">
        <f>BQ594</f>
        <v>12387</v>
      </c>
      <c r="BR866" s="440"/>
      <c r="BS866" s="16">
        <f>BS594</f>
        <v>12571</v>
      </c>
      <c r="BT866" s="440"/>
      <c r="BU866" s="16">
        <f>BU594</f>
        <v>11784</v>
      </c>
      <c r="BV866" s="440"/>
      <c r="BW866" s="16">
        <f>BW594</f>
        <v>11139</v>
      </c>
      <c r="BX866" s="440"/>
      <c r="BY866" s="16">
        <f>BY594</f>
        <v>12234</v>
      </c>
      <c r="BZ866" s="440"/>
      <c r="CA866" s="16">
        <f>CA594</f>
        <v>12414</v>
      </c>
      <c r="CB866" s="440"/>
      <c r="CC866" s="16">
        <f>CC594</f>
        <v>13321</v>
      </c>
      <c r="CD866" s="440"/>
      <c r="CE866" s="16">
        <f>CE594</f>
        <v>12930</v>
      </c>
      <c r="CF866" s="440"/>
      <c r="CG866" s="16">
        <f>CG594</f>
        <v>12671</v>
      </c>
      <c r="CH866" s="440"/>
      <c r="CI866" s="16">
        <f>CI594</f>
        <v>12820</v>
      </c>
      <c r="CJ866" s="440"/>
      <c r="CK866" s="16">
        <f>CK594</f>
        <v>13762</v>
      </c>
      <c r="CL866" s="440"/>
      <c r="CM866" s="16">
        <f>CM594</f>
        <v>15615</v>
      </c>
      <c r="CN866" s="440"/>
      <c r="CO866" s="16">
        <f>CO594</f>
        <v>16647</v>
      </c>
      <c r="CP866" s="440"/>
      <c r="CQ866" s="16">
        <f>CQ594</f>
        <v>16604</v>
      </c>
      <c r="CR866" s="440"/>
      <c r="CS866" s="16">
        <f>CS594</f>
        <v>16342</v>
      </c>
      <c r="CT866" s="440"/>
      <c r="CU866" s="16">
        <f>CU594</f>
        <v>16645</v>
      </c>
      <c r="CV866" s="440"/>
      <c r="CW866" s="16">
        <f>CW594</f>
        <v>16736</v>
      </c>
      <c r="CX866" s="440"/>
      <c r="CY866" s="16">
        <f>CY594</f>
        <v>16611</v>
      </c>
      <c r="CZ866" s="440"/>
      <c r="DA866" s="16">
        <f>DA594</f>
        <v>18359</v>
      </c>
      <c r="DB866" s="440"/>
      <c r="DC866" s="16">
        <f>DC594</f>
        <v>16877</v>
      </c>
      <c r="DD866" s="440"/>
      <c r="DE866" s="16">
        <f>DE594</f>
        <v>16995</v>
      </c>
      <c r="DF866" s="440"/>
      <c r="DG866" s="16">
        <f>DG594</f>
        <v>16814</v>
      </c>
      <c r="DH866" s="440"/>
      <c r="DI866" s="16">
        <f>DI594</f>
        <v>18330</v>
      </c>
      <c r="DJ866" s="440"/>
      <c r="DK866" s="16">
        <f>DK594</f>
        <v>17116</v>
      </c>
      <c r="DL866" s="440"/>
      <c r="DM866" s="16">
        <f>DM594</f>
        <v>17801</v>
      </c>
      <c r="DN866" s="440"/>
      <c r="DO866" s="16">
        <f>DO594</f>
        <v>17918</v>
      </c>
      <c r="DP866" s="440"/>
      <c r="DQ866" s="16">
        <f>DQ594</f>
        <v>18245</v>
      </c>
      <c r="DR866" s="440"/>
      <c r="DS866" s="16">
        <f>DS594</f>
        <v>14803</v>
      </c>
      <c r="DT866" s="440"/>
      <c r="DU866" s="16">
        <f>DU594</f>
        <v>15145</v>
      </c>
      <c r="DV866" s="440"/>
      <c r="DW866" s="16">
        <f>DW594</f>
        <v>15617</v>
      </c>
      <c r="DX866" s="440"/>
      <c r="DY866" s="16">
        <f>DY594</f>
        <v>14763</v>
      </c>
      <c r="DZ866" s="440"/>
      <c r="EA866" s="16">
        <f>EA594</f>
        <v>14619</v>
      </c>
      <c r="EB866" s="440"/>
      <c r="EC866" s="16">
        <f>EC594</f>
        <v>15014</v>
      </c>
      <c r="ED866" s="440"/>
      <c r="EE866" s="16">
        <f>EE594</f>
        <v>16010</v>
      </c>
      <c r="EF866" s="1080"/>
      <c r="EG866" s="16">
        <f>EG594</f>
        <v>15272</v>
      </c>
      <c r="EH866" s="1080"/>
      <c r="EI866" s="16">
        <f>EI594</f>
        <v>15054</v>
      </c>
      <c r="EJ866" s="1080"/>
      <c r="EK866" s="16">
        <f>EK594</f>
        <v>15511</v>
      </c>
      <c r="EL866" s="1080"/>
      <c r="EM866" s="16">
        <f>EM594</f>
        <v>16776</v>
      </c>
      <c r="EN866" s="1080"/>
      <c r="EO866" s="16">
        <f>EO594</f>
        <v>15403</v>
      </c>
      <c r="EP866" s="440"/>
      <c r="EQ866" s="1079">
        <f>EQ594</f>
        <v>15796.450961450726</v>
      </c>
      <c r="ER866" s="440"/>
      <c r="ES866" s="1079">
        <f t="shared" ref="ES866" si="4962">ES594</f>
        <v>15852.23602339173</v>
      </c>
      <c r="ET866" s="440"/>
      <c r="EU866" s="1079">
        <f t="shared" ref="EU866" si="4963">EU594</f>
        <v>15919.022255108115</v>
      </c>
      <c r="EV866" s="440"/>
      <c r="EW866" s="1079">
        <f t="shared" ref="EW866" si="4964">EW594</f>
        <v>15984.43036785639</v>
      </c>
      <c r="EX866" s="440"/>
      <c r="EY866" s="16"/>
      <c r="EZ866" s="607"/>
      <c r="FA866" s="427"/>
      <c r="FB866" s="16"/>
      <c r="FC866" s="16"/>
      <c r="FD866" s="16"/>
      <c r="FE866" s="440"/>
      <c r="FF866" s="16"/>
      <c r="FG866" s="440"/>
      <c r="FH866" s="16"/>
      <c r="FI866" s="440"/>
      <c r="FJ866" s="16"/>
      <c r="FK866" s="440"/>
      <c r="FL866" s="16"/>
      <c r="FM866" s="440"/>
      <c r="FN866" s="16"/>
      <c r="FO866" s="440"/>
      <c r="FP866" s="16">
        <f>FP594</f>
        <v>45025</v>
      </c>
      <c r="FQ866" s="440"/>
      <c r="FR866" s="16">
        <f>FR594</f>
        <v>50026</v>
      </c>
      <c r="FS866" s="440"/>
      <c r="FT866" s="16">
        <f>FT594</f>
        <v>51004</v>
      </c>
      <c r="FU866" s="440"/>
      <c r="FV866" s="16">
        <f>FV594</f>
        <v>49063</v>
      </c>
      <c r="FW866" s="440"/>
      <c r="FX866" s="535">
        <f>FX594</f>
        <v>49108</v>
      </c>
      <c r="FY866" s="440"/>
      <c r="FZ866" s="16">
        <f>FZ594</f>
        <v>52183</v>
      </c>
      <c r="GA866" s="440"/>
      <c r="GB866" s="535">
        <f>GB594</f>
        <v>65087</v>
      </c>
      <c r="GC866" s="440"/>
      <c r="GD866" s="16">
        <f>GD594</f>
        <v>68351</v>
      </c>
      <c r="GE866" s="440"/>
      <c r="GF866" s="16">
        <f>GF594</f>
        <v>69016</v>
      </c>
      <c r="GG866" s="440"/>
      <c r="GH866" s="16">
        <f>GH594</f>
        <v>71080</v>
      </c>
      <c r="GI866" s="440"/>
      <c r="GJ866" s="16">
        <f>GJ594</f>
        <v>60328</v>
      </c>
      <c r="GK866" s="440"/>
      <c r="GL866" s="16">
        <f>GL594</f>
        <v>60915</v>
      </c>
      <c r="GM866" s="98">
        <f t="shared" ref="GM866:GS867" si="4965">IF(ISERROR((GL866/GJ866-1)*100),"NA",IF(((GL866/GJ866-1)*100)&gt;100,"NM",IF(((GL866/GJ866-1)*100)&lt;-50,"NM",(GL866/GJ866-1)*100)))</f>
        <v>0.97301418909958581</v>
      </c>
      <c r="GN866" s="16">
        <f>GN594</f>
        <v>62744</v>
      </c>
      <c r="GO866" s="98">
        <f t="shared" si="4965"/>
        <v>3.0025445292620967</v>
      </c>
      <c r="GP866" s="16">
        <f>GP594</f>
        <v>63552.139607806959</v>
      </c>
      <c r="GQ866" s="98">
        <f t="shared" si="4965"/>
        <v>1.2879950398555495</v>
      </c>
      <c r="GR866" s="16">
        <f>GR594</f>
        <v>64868.979177175483</v>
      </c>
      <c r="GS866" s="98">
        <f t="shared" si="4965"/>
        <v>2.0720617393765295</v>
      </c>
      <c r="GT866" s="16">
        <f>GT594</f>
        <v>66249.145031362437</v>
      </c>
      <c r="GU866" s="440"/>
      <c r="GV866" s="16">
        <f>GV594</f>
        <v>67753.923903230403</v>
      </c>
      <c r="GW866" s="440"/>
      <c r="GX866" s="16">
        <f>GX594</f>
        <v>69412.005645351237</v>
      </c>
      <c r="GY866" s="440"/>
      <c r="GZ866" s="455"/>
      <c r="HA866" s="455"/>
      <c r="HC866"/>
      <c r="HD866"/>
      <c r="HE866"/>
      <c r="HF866"/>
      <c r="HG866"/>
      <c r="HH866"/>
    </row>
    <row r="867" spans="1:217" s="10" customFormat="1" ht="12.75" hidden="1" customHeight="1" outlineLevel="1" x14ac:dyDescent="0.2">
      <c r="A867" s="28"/>
      <c r="B867" s="10" t="s">
        <v>664</v>
      </c>
      <c r="C867" s="16"/>
      <c r="D867" s="16"/>
      <c r="E867" s="16"/>
      <c r="F867" s="16"/>
      <c r="G867" s="16"/>
      <c r="H867" s="16"/>
      <c r="I867" s="16"/>
      <c r="J867" s="16"/>
      <c r="K867" s="16"/>
      <c r="L867" s="440"/>
      <c r="M867" s="16"/>
      <c r="N867" s="440"/>
      <c r="O867" s="16"/>
      <c r="P867" s="440"/>
      <c r="Q867" s="16"/>
      <c r="R867" s="440"/>
      <c r="S867" s="16"/>
      <c r="T867" s="440"/>
      <c r="U867" s="16"/>
      <c r="V867" s="440"/>
      <c r="W867" s="16"/>
      <c r="X867" s="440"/>
      <c r="Y867" s="16"/>
      <c r="Z867" s="440"/>
      <c r="AA867" s="16"/>
      <c r="AB867" s="440"/>
      <c r="AC867" s="16"/>
      <c r="AD867" s="440"/>
      <c r="AE867" s="16"/>
      <c r="AF867" s="440"/>
      <c r="AG867" s="16"/>
      <c r="AH867" s="440"/>
      <c r="AI867" s="16"/>
      <c r="AJ867" s="440"/>
      <c r="AK867" s="16"/>
      <c r="AL867" s="440"/>
      <c r="AM867" s="16"/>
      <c r="AN867" s="440"/>
      <c r="AO867" s="16"/>
      <c r="AP867" s="440"/>
      <c r="AQ867" s="16">
        <f>AQ866-AQ863</f>
        <v>9523</v>
      </c>
      <c r="AR867" s="440"/>
      <c r="AS867" s="16">
        <f>AS866-AS863</f>
        <v>9811</v>
      </c>
      <c r="AT867" s="440"/>
      <c r="AU867" s="16">
        <f>AU866-AU863</f>
        <v>10900</v>
      </c>
      <c r="AV867" s="440"/>
      <c r="AW867" s="16">
        <f>AW866-AW863</f>
        <v>10781</v>
      </c>
      <c r="AX867" s="440"/>
      <c r="AY867" s="16">
        <f>AY866-AY863</f>
        <v>10943</v>
      </c>
      <c r="AZ867" s="440"/>
      <c r="BA867" s="16">
        <f>BA866-BA863</f>
        <v>10912</v>
      </c>
      <c r="BB867" s="440"/>
      <c r="BC867" s="16">
        <f>BC866-BC863</f>
        <v>11002</v>
      </c>
      <c r="BD867" s="440"/>
      <c r="BE867" s="16">
        <f>BE866-BE863</f>
        <v>11810</v>
      </c>
      <c r="BF867" s="440"/>
      <c r="BG867" s="16">
        <f>BG866-BG863</f>
        <v>11588</v>
      </c>
      <c r="BH867" s="440"/>
      <c r="BI867" s="16">
        <f>BI866-BI863</f>
        <v>12024</v>
      </c>
      <c r="BJ867" s="440"/>
      <c r="BK867" s="16">
        <f>BK866-BK863</f>
        <v>10453</v>
      </c>
      <c r="BL867" s="440"/>
      <c r="BM867" s="16">
        <f>BM866-BM863</f>
        <v>11025</v>
      </c>
      <c r="BN867" s="440"/>
      <c r="BO867" s="16">
        <f>BO866-BO863</f>
        <v>11059</v>
      </c>
      <c r="BP867" s="440"/>
      <c r="BQ867" s="16">
        <f>BQ866-BQ863</f>
        <v>11164</v>
      </c>
      <c r="BR867" s="440"/>
      <c r="BS867" s="16">
        <f>BS866-BS863</f>
        <v>11410</v>
      </c>
      <c r="BT867" s="440"/>
      <c r="BU867" s="16">
        <f>BU866-BU863</f>
        <v>10521</v>
      </c>
      <c r="BV867" s="440"/>
      <c r="BW867" s="16">
        <f>BW866-BW863</f>
        <v>9926</v>
      </c>
      <c r="BX867" s="440"/>
      <c r="BY867" s="16">
        <f>BY866-BY863</f>
        <v>10965</v>
      </c>
      <c r="BZ867" s="440"/>
      <c r="CA867" s="16">
        <f>CA866-CA863</f>
        <v>11118</v>
      </c>
      <c r="CB867" s="440"/>
      <c r="CC867" s="16">
        <f>CC866-CC863</f>
        <v>12126</v>
      </c>
      <c r="CD867" s="440"/>
      <c r="CE867" s="16">
        <f>CE866-CE863</f>
        <v>11746</v>
      </c>
      <c r="CF867" s="440"/>
      <c r="CG867" s="16">
        <f>CG866-CG863</f>
        <v>11588</v>
      </c>
      <c r="CH867" s="440"/>
      <c r="CI867" s="16">
        <f>CI866-CI863</f>
        <v>11528</v>
      </c>
      <c r="CJ867" s="440"/>
      <c r="CK867" s="16">
        <f>CK866-CK863</f>
        <v>12516</v>
      </c>
      <c r="CL867" s="440"/>
      <c r="CM867" s="16">
        <f>CM866-CM863</f>
        <v>14136</v>
      </c>
      <c r="CN867" s="440"/>
      <c r="CO867" s="16">
        <f>CO866-CO863</f>
        <v>15139</v>
      </c>
      <c r="CP867" s="440"/>
      <c r="CQ867" s="16">
        <f>CQ866-CQ863</f>
        <v>15070</v>
      </c>
      <c r="CR867" s="440"/>
      <c r="CS867" s="16">
        <f>CS866-CS863</f>
        <v>14806</v>
      </c>
      <c r="CT867" s="440"/>
      <c r="CU867" s="16">
        <f>CU866-CU863</f>
        <v>15106</v>
      </c>
      <c r="CV867" s="440"/>
      <c r="CW867" s="16">
        <f>CW866-CW863</f>
        <v>15211</v>
      </c>
      <c r="CX867" s="440"/>
      <c r="CY867" s="16">
        <f>CY866-CY863</f>
        <v>15022</v>
      </c>
      <c r="CZ867" s="440"/>
      <c r="DA867" s="16">
        <f>DA866-DA863</f>
        <v>16770</v>
      </c>
      <c r="DB867" s="440"/>
      <c r="DC867" s="16">
        <f>DC866-DC863</f>
        <v>15323</v>
      </c>
      <c r="DD867" s="440"/>
      <c r="DE867" s="16">
        <f>DE866-DE863</f>
        <v>15474</v>
      </c>
      <c r="DF867" s="440"/>
      <c r="DG867" s="16">
        <f>DG866-DG863</f>
        <v>15342</v>
      </c>
      <c r="DH867" s="440"/>
      <c r="DI867" s="16">
        <f>DI866-DI863</f>
        <v>16862</v>
      </c>
      <c r="DJ867" s="440"/>
      <c r="DK867" s="16">
        <f>DK866-DK863</f>
        <v>15715</v>
      </c>
      <c r="DL867" s="440"/>
      <c r="DM867" s="16">
        <f>DM866-DM863</f>
        <v>16376</v>
      </c>
      <c r="DN867" s="440"/>
      <c r="DO867" s="16">
        <f>DO866-DO863</f>
        <v>16492</v>
      </c>
      <c r="DP867" s="440"/>
      <c r="DQ867" s="16">
        <f>DQ866-DQ863</f>
        <v>16836</v>
      </c>
      <c r="DR867" s="440"/>
      <c r="DS867" s="16">
        <f>DS866-DS863</f>
        <v>13783</v>
      </c>
      <c r="DT867" s="440"/>
      <c r="DU867" s="16">
        <f>DU866-DU863</f>
        <v>14119</v>
      </c>
      <c r="DV867" s="440"/>
      <c r="DW867" s="16">
        <f>DW866-DW863</f>
        <v>14599</v>
      </c>
      <c r="DX867" s="440"/>
      <c r="DY867" s="16">
        <f>DY866-DY863</f>
        <v>13748</v>
      </c>
      <c r="DZ867" s="440"/>
      <c r="EA867" s="16">
        <f>EA866-EA863</f>
        <v>13608</v>
      </c>
      <c r="EB867" s="440"/>
      <c r="EC867" s="16">
        <f>EC866-EC863</f>
        <v>13989</v>
      </c>
      <c r="ED867" s="440"/>
      <c r="EE867" s="16">
        <f>EE866-EE863</f>
        <v>14984</v>
      </c>
      <c r="EF867" s="1080"/>
      <c r="EG867" s="16">
        <f>EG866-EG863</f>
        <v>14246</v>
      </c>
      <c r="EH867" s="1080"/>
      <c r="EI867" s="16">
        <f>EI866-EI863</f>
        <v>14018</v>
      </c>
      <c r="EJ867" s="1080"/>
      <c r="EK867" s="16">
        <f>EK866-EK863</f>
        <v>14445</v>
      </c>
      <c r="EL867" s="1080"/>
      <c r="EM867" s="16">
        <f>EM866-EM863</f>
        <v>15671</v>
      </c>
      <c r="EN867" s="1080"/>
      <c r="EO867" s="16">
        <f>EO866-EO863</f>
        <v>14297</v>
      </c>
      <c r="EP867" s="440"/>
      <c r="EQ867" s="1079">
        <f t="shared" ref="EQ867" si="4966">EQ866-EQ863</f>
        <v>14715.7936965884</v>
      </c>
      <c r="ER867" s="440"/>
      <c r="ES867" s="1079">
        <f t="shared" ref="ES867" si="4967">ES866-ES863</f>
        <v>14764.687631130368</v>
      </c>
      <c r="ET867" s="440"/>
      <c r="EU867" s="1079">
        <f t="shared" ref="EU867" si="4968">EU866-EU863</f>
        <v>14825.053581956909</v>
      </c>
      <c r="EV867" s="440"/>
      <c r="EW867" s="1079">
        <f t="shared" ref="EW867" si="4969">EW866-EW863</f>
        <v>14884.449936913228</v>
      </c>
      <c r="EX867" s="440"/>
      <c r="EY867" s="16"/>
      <c r="EZ867" s="607"/>
      <c r="FA867" s="427"/>
      <c r="FB867" s="16"/>
      <c r="FC867" s="16"/>
      <c r="FD867" s="16"/>
      <c r="FE867" s="440"/>
      <c r="FF867" s="16"/>
      <c r="FG867" s="440"/>
      <c r="FH867" s="16"/>
      <c r="FI867" s="440"/>
      <c r="FJ867" s="16"/>
      <c r="FK867" s="440"/>
      <c r="FL867" s="16"/>
      <c r="FM867" s="440"/>
      <c r="FN867" s="16"/>
      <c r="FO867" s="440"/>
      <c r="FP867" s="16">
        <f>FP866-FP863</f>
        <v>41015</v>
      </c>
      <c r="FQ867" s="440"/>
      <c r="FR867" s="16">
        <f>FR866-FR863</f>
        <v>44667</v>
      </c>
      <c r="FS867" s="440"/>
      <c r="FT867" s="16">
        <f>FT866-FT863</f>
        <v>45090</v>
      </c>
      <c r="FU867" s="440"/>
      <c r="FV867" s="16">
        <f>FV866-FV863</f>
        <v>44154</v>
      </c>
      <c r="FW867" s="440"/>
      <c r="FX867" s="535">
        <f>FX866-FX863</f>
        <v>44135</v>
      </c>
      <c r="FY867" s="440"/>
      <c r="FZ867" s="16">
        <f>FZ866-FZ863</f>
        <v>47378</v>
      </c>
      <c r="GA867" s="440"/>
      <c r="GB867" s="535">
        <f>GB866-GB863</f>
        <v>59030</v>
      </c>
      <c r="GC867" s="440"/>
      <c r="GD867" s="16">
        <f>GD866-GD863</f>
        <v>62109</v>
      </c>
      <c r="GE867" s="440"/>
      <c r="GF867" s="16">
        <f>GF866-GF863</f>
        <v>63001</v>
      </c>
      <c r="GG867" s="440"/>
      <c r="GH867" s="16">
        <f>GH866-GH863</f>
        <v>65419</v>
      </c>
      <c r="GI867" s="440"/>
      <c r="GJ867" s="16">
        <f>GJ866-GJ863</f>
        <v>56249</v>
      </c>
      <c r="GK867" s="440"/>
      <c r="GL867" s="16">
        <f>GL866-GL863</f>
        <v>56827</v>
      </c>
      <c r="GM867" s="98">
        <f t="shared" si="4965"/>
        <v>1.0275738235346443</v>
      </c>
      <c r="GN867" s="16">
        <f>GN866-GN863</f>
        <v>58431</v>
      </c>
      <c r="GO867" s="98">
        <f t="shared" si="4965"/>
        <v>2.8226019321801354</v>
      </c>
      <c r="GP867" s="16">
        <f>GP866-GP863</f>
        <v>59189.984846588901</v>
      </c>
      <c r="GQ867" s="98">
        <f t="shared" si="4965"/>
        <v>1.2989420796989615</v>
      </c>
      <c r="GR867" s="16">
        <f>GR866-GR863</f>
        <v>60400.028211319091</v>
      </c>
      <c r="GS867" s="98">
        <f t="shared" si="4965"/>
        <v>2.0443380208094775</v>
      </c>
      <c r="GT867" s="16">
        <f>GT866-GT863</f>
        <v>61653.261821031563</v>
      </c>
      <c r="GU867" s="440"/>
      <c r="GV867" s="16">
        <f>GV866-GV863</f>
        <v>63025.165894851416</v>
      </c>
      <c r="GW867" s="440"/>
      <c r="GX867" s="16">
        <f>GX866-GX863</f>
        <v>64546.799230610144</v>
      </c>
      <c r="GY867" s="440"/>
      <c r="GZ867" s="455"/>
      <c r="HA867" s="455"/>
      <c r="HC867"/>
      <c r="HD867"/>
      <c r="HE867"/>
      <c r="HF867"/>
      <c r="HG867"/>
      <c r="HH867"/>
    </row>
    <row r="868" spans="1:217" s="10" customFormat="1" ht="12.75" hidden="1" customHeight="1" outlineLevel="1" x14ac:dyDescent="0.2">
      <c r="A868" s="28"/>
      <c r="C868" s="16"/>
      <c r="D868" s="16"/>
      <c r="E868" s="16"/>
      <c r="F868" s="16"/>
      <c r="G868" s="16"/>
      <c r="H868" s="16"/>
      <c r="I868" s="16"/>
      <c r="J868" s="16"/>
      <c r="K868" s="16"/>
      <c r="L868" s="440"/>
      <c r="M868" s="16"/>
      <c r="N868" s="440"/>
      <c r="O868" s="16"/>
      <c r="P868" s="440"/>
      <c r="Q868" s="16"/>
      <c r="R868" s="440"/>
      <c r="S868" s="16"/>
      <c r="T868" s="440"/>
      <c r="U868" s="16"/>
      <c r="V868" s="440"/>
      <c r="W868" s="16"/>
      <c r="X868" s="440"/>
      <c r="Y868" s="16"/>
      <c r="Z868" s="440"/>
      <c r="AA868" s="16"/>
      <c r="AB868" s="440"/>
      <c r="AC868" s="16"/>
      <c r="AD868" s="440"/>
      <c r="AE868" s="16"/>
      <c r="AF868" s="440"/>
      <c r="AG868" s="16"/>
      <c r="AH868" s="440"/>
      <c r="AI868" s="16"/>
      <c r="AJ868" s="440"/>
      <c r="AK868" s="16"/>
      <c r="AL868" s="440"/>
      <c r="AM868" s="16"/>
      <c r="AN868" s="440"/>
      <c r="AO868" s="16"/>
      <c r="AP868" s="440"/>
      <c r="AQ868" s="16"/>
      <c r="AR868" s="440"/>
      <c r="AS868" s="16"/>
      <c r="AT868" s="440"/>
      <c r="AU868" s="16"/>
      <c r="AV868" s="440"/>
      <c r="AW868" s="16"/>
      <c r="AX868" s="440"/>
      <c r="AY868" s="16"/>
      <c r="AZ868" s="440"/>
      <c r="BA868" s="16"/>
      <c r="BB868" s="440"/>
      <c r="BC868" s="16"/>
      <c r="BD868" s="440"/>
      <c r="BE868" s="16"/>
      <c r="BF868" s="440"/>
      <c r="BG868" s="16"/>
      <c r="BH868" s="440"/>
      <c r="BI868" s="16"/>
      <c r="BJ868" s="440"/>
      <c r="BK868" s="16"/>
      <c r="BL868" s="440"/>
      <c r="BM868" s="16"/>
      <c r="BN868" s="440"/>
      <c r="BO868" s="16"/>
      <c r="BP868" s="440"/>
      <c r="BQ868" s="16"/>
      <c r="BR868" s="440"/>
      <c r="BS868" s="16"/>
      <c r="BT868" s="440"/>
      <c r="BU868" s="16"/>
      <c r="BV868" s="440"/>
      <c r="BW868" s="16"/>
      <c r="BX868" s="440"/>
      <c r="BY868" s="16"/>
      <c r="BZ868" s="440"/>
      <c r="CA868" s="16"/>
      <c r="CB868" s="440"/>
      <c r="CC868" s="16"/>
      <c r="CD868" s="440"/>
      <c r="CE868" s="16"/>
      <c r="CF868" s="440"/>
      <c r="CG868" s="16"/>
      <c r="CH868" s="440"/>
      <c r="CI868" s="16"/>
      <c r="CJ868" s="440"/>
      <c r="CK868" s="16"/>
      <c r="CL868" s="440"/>
      <c r="CM868" s="16"/>
      <c r="CN868" s="440"/>
      <c r="CO868" s="16"/>
      <c r="CP868" s="440"/>
      <c r="CQ868" s="395"/>
      <c r="CR868" s="440"/>
      <c r="CS868" s="16"/>
      <c r="CT868" s="440"/>
      <c r="CU868" s="16"/>
      <c r="CV868" s="440"/>
      <c r="CW868" s="16"/>
      <c r="CX868" s="440"/>
      <c r="CY868" s="16"/>
      <c r="CZ868" s="440"/>
      <c r="DA868" s="16"/>
      <c r="DB868" s="440"/>
      <c r="DC868" s="16"/>
      <c r="DD868" s="440"/>
      <c r="DE868" s="16"/>
      <c r="DF868" s="440"/>
      <c r="DG868" s="16"/>
      <c r="DH868" s="440"/>
      <c r="DI868" s="16"/>
      <c r="DJ868" s="440"/>
      <c r="DK868" s="16"/>
      <c r="DL868" s="440"/>
      <c r="DM868" s="16"/>
      <c r="DN868" s="440"/>
      <c r="DO868" s="16"/>
      <c r="DP868" s="440"/>
      <c r="DQ868" s="16"/>
      <c r="DR868" s="440"/>
      <c r="DS868" s="16"/>
      <c r="DT868" s="440"/>
      <c r="DU868" s="16"/>
      <c r="DV868" s="440"/>
      <c r="DW868" s="16"/>
      <c r="DX868" s="440"/>
      <c r="DY868" s="16"/>
      <c r="DZ868" s="440"/>
      <c r="EA868" s="16"/>
      <c r="EB868" s="440"/>
      <c r="EC868" s="16"/>
      <c r="ED868" s="440"/>
      <c r="EE868" s="16"/>
      <c r="EF868" s="1080"/>
      <c r="EG868" s="16"/>
      <c r="EH868" s="1080"/>
      <c r="EI868" s="16"/>
      <c r="EJ868" s="1080"/>
      <c r="EK868" s="16"/>
      <c r="EL868" s="1080"/>
      <c r="EM868" s="16"/>
      <c r="EN868" s="1080"/>
      <c r="EO868" s="16"/>
      <c r="EP868" s="440"/>
      <c r="EQ868" s="1079"/>
      <c r="ER868" s="440"/>
      <c r="ES868" s="1079"/>
      <c r="ET868" s="440"/>
      <c r="EU868" s="1079"/>
      <c r="EV868" s="440"/>
      <c r="EW868" s="1079"/>
      <c r="EX868" s="440"/>
      <c r="EY868" s="16"/>
      <c r="EZ868" s="607"/>
      <c r="FA868" s="427"/>
      <c r="FB868" s="16"/>
      <c r="FC868" s="16"/>
      <c r="FD868" s="16"/>
      <c r="FE868" s="440"/>
      <c r="FF868" s="16"/>
      <c r="FG868" s="440"/>
      <c r="FH868" s="16"/>
      <c r="FI868" s="440"/>
      <c r="FJ868" s="16"/>
      <c r="FK868" s="440"/>
      <c r="FL868" s="16"/>
      <c r="FM868" s="440"/>
      <c r="FN868" s="16"/>
      <c r="FO868" s="440"/>
      <c r="FP868" s="16"/>
      <c r="FQ868" s="440"/>
      <c r="FR868" s="16"/>
      <c r="FS868" s="440"/>
      <c r="FT868" s="16"/>
      <c r="FU868" s="440"/>
      <c r="FV868" s="16"/>
      <c r="FW868" s="440"/>
      <c r="FX868" s="535"/>
      <c r="FY868" s="440"/>
      <c r="FZ868" s="16"/>
      <c r="GA868" s="440"/>
      <c r="GB868" s="535"/>
      <c r="GC868" s="440"/>
      <c r="GD868" s="16"/>
      <c r="GE868" s="440"/>
      <c r="GF868" s="16"/>
      <c r="GG868" s="440"/>
      <c r="GH868" s="16"/>
      <c r="GI868" s="440"/>
      <c r="GJ868" s="16"/>
      <c r="GK868" s="440"/>
      <c r="GL868" s="16"/>
      <c r="GM868" s="440"/>
      <c r="GN868" s="16"/>
      <c r="GO868" s="440"/>
      <c r="GP868" s="16"/>
      <c r="GQ868" s="440"/>
      <c r="GR868" s="16"/>
      <c r="GS868" s="440"/>
      <c r="GT868" s="16"/>
      <c r="GU868" s="440"/>
      <c r="GV868" s="16"/>
      <c r="GW868" s="440"/>
      <c r="GX868" s="16"/>
      <c r="GY868" s="440"/>
      <c r="GZ868" s="455"/>
      <c r="HA868" s="455"/>
      <c r="HC868"/>
      <c r="HD868"/>
      <c r="HE868"/>
      <c r="HF868"/>
      <c r="HG868"/>
      <c r="HH868"/>
    </row>
    <row r="869" spans="1:217" ht="12.75" customHeight="1" collapsed="1" x14ac:dyDescent="0.2"/>
    <row r="870" spans="1:217" s="708" customFormat="1" ht="12.75" customHeight="1" collapsed="1" x14ac:dyDescent="0.2">
      <c r="B870" s="709" t="s">
        <v>326</v>
      </c>
      <c r="C870" s="710"/>
      <c r="D870" s="710"/>
      <c r="E870" s="710"/>
      <c r="F870" s="710"/>
      <c r="G870" s="710"/>
      <c r="H870" s="710"/>
      <c r="I870" s="710"/>
      <c r="J870" s="710"/>
      <c r="K870" s="710"/>
      <c r="L870" s="710"/>
      <c r="M870" s="710"/>
      <c r="N870" s="710"/>
      <c r="O870" s="710"/>
      <c r="P870" s="710"/>
      <c r="Q870" s="710"/>
      <c r="R870" s="710"/>
      <c r="S870" s="710"/>
      <c r="T870" s="710"/>
      <c r="U870" s="710"/>
      <c r="V870" s="710"/>
      <c r="W870" s="710"/>
      <c r="X870" s="710"/>
      <c r="Y870" s="710"/>
      <c r="Z870" s="710"/>
      <c r="AA870" s="710"/>
      <c r="AB870" s="710"/>
      <c r="AC870" s="710"/>
      <c r="AD870" s="710"/>
      <c r="AE870" s="710"/>
      <c r="AF870" s="710"/>
      <c r="AG870" s="710"/>
      <c r="AH870" s="710"/>
      <c r="AI870" s="710"/>
      <c r="AJ870" s="710"/>
      <c r="AK870" s="710"/>
      <c r="AL870" s="710"/>
      <c r="AM870" s="710"/>
      <c r="AN870" s="710"/>
      <c r="AO870" s="710"/>
      <c r="AP870" s="710"/>
      <c r="AQ870" s="710"/>
      <c r="AR870" s="710"/>
      <c r="AS870" s="710"/>
      <c r="AT870" s="710"/>
      <c r="AU870" s="710"/>
      <c r="AV870" s="710"/>
      <c r="AW870" s="710"/>
      <c r="AX870" s="710"/>
      <c r="AY870" s="710"/>
      <c r="AZ870" s="710"/>
      <c r="BA870" s="710"/>
      <c r="BB870" s="710"/>
      <c r="BC870" s="710"/>
      <c r="BD870" s="710"/>
      <c r="BE870" s="710"/>
      <c r="BF870" s="710"/>
      <c r="BG870" s="710"/>
      <c r="BH870" s="710"/>
      <c r="BI870" s="710"/>
      <c r="BJ870" s="710"/>
      <c r="BK870" s="710"/>
      <c r="BL870" s="710"/>
      <c r="BM870" s="710"/>
      <c r="BN870" s="710"/>
      <c r="BO870" s="710"/>
      <c r="BP870" s="710"/>
      <c r="BQ870" s="710"/>
      <c r="BR870" s="710"/>
      <c r="BS870" s="711"/>
      <c r="BT870" s="710"/>
      <c r="BU870" s="711"/>
      <c r="BV870" s="710"/>
      <c r="BW870" s="711"/>
      <c r="BX870" s="710"/>
      <c r="BY870" s="711"/>
      <c r="BZ870" s="710"/>
      <c r="CA870" s="711"/>
      <c r="CB870" s="710"/>
      <c r="CC870" s="711"/>
      <c r="CD870" s="710"/>
      <c r="CE870" s="711"/>
      <c r="CF870" s="710"/>
      <c r="CG870" s="711"/>
      <c r="CH870" s="710"/>
      <c r="CI870" s="711"/>
      <c r="CJ870" s="710"/>
      <c r="CK870" s="711"/>
      <c r="CL870" s="710"/>
      <c r="CM870" s="711"/>
      <c r="CN870" s="710"/>
      <c r="CO870" s="711"/>
      <c r="CP870" s="710"/>
      <c r="CQ870" s="711"/>
      <c r="CR870" s="710"/>
      <c r="CS870" s="711"/>
      <c r="CT870" s="710"/>
      <c r="CU870" s="711"/>
      <c r="CV870" s="710"/>
      <c r="CW870" s="711"/>
      <c r="CX870" s="710"/>
      <c r="CY870" s="711"/>
      <c r="CZ870" s="710"/>
      <c r="DA870" s="711"/>
      <c r="DB870" s="710"/>
      <c r="DC870" s="711"/>
      <c r="DD870" s="710"/>
      <c r="DE870" s="711"/>
      <c r="DF870" s="710"/>
      <c r="DG870" s="711"/>
      <c r="DH870" s="710"/>
      <c r="DI870" s="711"/>
      <c r="DJ870" s="710"/>
      <c r="DK870" s="711"/>
      <c r="DL870" s="710"/>
      <c r="DM870" s="711"/>
      <c r="DN870" s="710"/>
      <c r="DO870" s="711"/>
      <c r="DP870" s="710"/>
      <c r="DQ870" s="711"/>
      <c r="DR870" s="710"/>
      <c r="DS870" s="711"/>
      <c r="DT870" s="710"/>
      <c r="DU870" s="711"/>
      <c r="DV870" s="710"/>
      <c r="DW870" s="711"/>
      <c r="DX870" s="710"/>
      <c r="DY870" s="711"/>
      <c r="DZ870" s="710"/>
      <c r="EA870" s="711"/>
      <c r="EB870" s="710"/>
      <c r="EC870" s="711"/>
      <c r="ED870" s="711"/>
      <c r="EE870" s="711"/>
      <c r="EF870" s="711"/>
      <c r="EG870" s="711"/>
      <c r="EH870" s="711"/>
      <c r="EI870" s="711"/>
      <c r="EJ870" s="711"/>
      <c r="EK870" s="711"/>
      <c r="EL870" s="711"/>
      <c r="EM870" s="711"/>
      <c r="EN870" s="711"/>
      <c r="EO870" s="711"/>
      <c r="EP870" s="711"/>
      <c r="EQ870" s="711"/>
      <c r="ER870" s="711"/>
      <c r="ES870" s="711"/>
      <c r="ET870" s="711"/>
      <c r="EU870" s="711"/>
      <c r="EV870" s="711"/>
      <c r="EW870" s="711"/>
      <c r="EX870" s="711"/>
      <c r="EY870" s="711"/>
      <c r="EZ870" s="713"/>
      <c r="FA870" s="714"/>
      <c r="FB870" s="711"/>
      <c r="FC870" s="710"/>
      <c r="FD870" s="711"/>
      <c r="FE870" s="710"/>
      <c r="FF870" s="712"/>
      <c r="FG870" s="710"/>
      <c r="FH870" s="712"/>
      <c r="FI870" s="710"/>
      <c r="FJ870" s="712"/>
      <c r="FK870" s="710"/>
      <c r="FL870" s="712"/>
      <c r="FM870" s="710"/>
      <c r="FN870" s="712"/>
      <c r="FO870" s="710"/>
      <c r="FP870" s="712"/>
      <c r="FQ870" s="710"/>
      <c r="FR870" s="712"/>
      <c r="FS870" s="715"/>
      <c r="FT870" s="712"/>
      <c r="FU870" s="715"/>
      <c r="FV870" s="712"/>
      <c r="FW870" s="710"/>
      <c r="FX870" s="716"/>
      <c r="FY870" s="710"/>
      <c r="FZ870" s="712"/>
      <c r="GA870" s="710"/>
      <c r="GB870" s="716"/>
      <c r="GC870" s="710"/>
      <c r="GD870" s="712"/>
      <c r="GE870" s="710"/>
      <c r="GF870" s="712"/>
      <c r="GG870" s="710"/>
      <c r="GH870" s="712"/>
      <c r="GI870" s="710"/>
      <c r="GJ870" s="712"/>
      <c r="GK870" s="710"/>
      <c r="GL870" s="712"/>
      <c r="GM870" s="710"/>
      <c r="GN870" s="712"/>
      <c r="GO870" s="710"/>
      <c r="GP870" s="712"/>
      <c r="GQ870" s="710"/>
      <c r="GR870" s="712"/>
      <c r="GS870" s="710"/>
      <c r="GT870" s="712"/>
      <c r="GU870" s="710"/>
      <c r="GV870" s="712"/>
      <c r="GW870" s="710"/>
      <c r="GX870" s="712"/>
      <c r="GY870" s="710"/>
      <c r="GZ870" s="710"/>
      <c r="HA870" s="710"/>
      <c r="HC870"/>
      <c r="HD870"/>
      <c r="HE870"/>
      <c r="HF870"/>
      <c r="HG870"/>
      <c r="HH870"/>
    </row>
    <row r="871" spans="1:217" s="3" customFormat="1" ht="12.75" hidden="1" customHeight="1" outlineLevel="1" x14ac:dyDescent="0.2">
      <c r="B871" s="50"/>
      <c r="C871" s="51"/>
      <c r="D871" s="52"/>
      <c r="E871" s="51"/>
      <c r="F871" s="52"/>
      <c r="G871" s="51"/>
      <c r="H871" s="52"/>
      <c r="I871" s="51"/>
      <c r="J871" s="52"/>
      <c r="K871" s="51"/>
      <c r="L871" s="52"/>
      <c r="M871" s="51"/>
      <c r="N871" s="52"/>
      <c r="O871" s="51"/>
      <c r="P871" s="52"/>
      <c r="Q871" s="51"/>
      <c r="R871" s="52"/>
      <c r="S871" s="51"/>
      <c r="T871" s="52"/>
      <c r="U871" s="51"/>
      <c r="V871" s="52"/>
      <c r="W871" s="51"/>
      <c r="X871" s="52"/>
      <c r="Y871" s="51"/>
      <c r="Z871" s="52"/>
      <c r="AA871" s="51"/>
      <c r="AB871" s="52"/>
      <c r="AC871" s="51"/>
      <c r="AD871" s="52"/>
      <c r="AE871" s="51"/>
      <c r="AF871" s="52"/>
      <c r="AG871" s="53"/>
      <c r="AH871" s="52"/>
      <c r="AI871" s="53"/>
      <c r="AJ871" s="52"/>
      <c r="AK871" s="53"/>
      <c r="AL871" s="52"/>
      <c r="AM871" s="53"/>
      <c r="AN871" s="52"/>
      <c r="AO871" s="53"/>
      <c r="AP871" s="52"/>
      <c r="AQ871" s="53"/>
      <c r="AR871" s="52"/>
      <c r="AS871" s="53"/>
      <c r="AT871" s="52"/>
      <c r="AU871" s="53"/>
      <c r="AV871" s="52"/>
      <c r="AW871" s="53"/>
      <c r="AX871" s="52"/>
      <c r="AY871" s="54"/>
      <c r="AZ871" s="447"/>
      <c r="BA871" s="54"/>
      <c r="BB871" s="447"/>
      <c r="BC871" s="54"/>
      <c r="BD871" s="447"/>
      <c r="BE871" s="54"/>
      <c r="BF871" s="447"/>
      <c r="BG871" s="54"/>
      <c r="BH871" s="447"/>
      <c r="BI871" s="54"/>
      <c r="BJ871" s="447"/>
      <c r="BK871" s="54"/>
      <c r="BL871" s="447"/>
      <c r="BM871" s="54"/>
      <c r="BN871" s="447"/>
      <c r="BO871" s="54"/>
      <c r="BP871" s="447"/>
      <c r="BQ871" s="54"/>
      <c r="BR871" s="447"/>
      <c r="BS871" s="54"/>
      <c r="BT871" s="447"/>
      <c r="BU871" s="54"/>
      <c r="BV871" s="52"/>
      <c r="BW871" s="54"/>
      <c r="BX871" s="52"/>
      <c r="BY871" s="54"/>
      <c r="BZ871" s="52"/>
      <c r="CA871" s="54"/>
      <c r="CB871" s="52"/>
      <c r="CC871" s="54"/>
      <c r="CD871" s="52"/>
      <c r="CE871" s="54"/>
      <c r="CF871" s="52"/>
      <c r="CG871" s="54"/>
      <c r="CH871" s="52"/>
      <c r="CI871" s="54"/>
      <c r="CJ871" s="52"/>
      <c r="CK871" s="54"/>
      <c r="CL871" s="52"/>
      <c r="CM871" s="54"/>
      <c r="CN871" s="52"/>
      <c r="CO871" s="54"/>
      <c r="CP871" s="52"/>
      <c r="CQ871" s="476"/>
      <c r="CR871" s="52"/>
      <c r="CS871" s="54"/>
      <c r="CT871" s="52"/>
      <c r="CU871" s="54"/>
      <c r="CV871" s="52"/>
      <c r="CW871" s="54"/>
      <c r="CX871" s="52"/>
      <c r="CY871" s="54"/>
      <c r="CZ871" s="52"/>
      <c r="DA871" s="54"/>
      <c r="DB871" s="52"/>
      <c r="DC871" s="54"/>
      <c r="DD871" s="52"/>
      <c r="DE871" s="54"/>
      <c r="DF871" s="52"/>
      <c r="DG871" s="54"/>
      <c r="DH871" s="52"/>
      <c r="DI871" s="54"/>
      <c r="DJ871" s="52"/>
      <c r="DK871" s="54"/>
      <c r="DL871" s="52"/>
      <c r="DM871" s="54"/>
      <c r="DN871" s="52"/>
      <c r="DO871" s="54"/>
      <c r="DP871" s="52"/>
      <c r="DQ871" s="54"/>
      <c r="DR871" s="52"/>
      <c r="DS871" s="54"/>
      <c r="DT871" s="52"/>
      <c r="DU871" s="54"/>
      <c r="DV871" s="52"/>
      <c r="DW871" s="54"/>
      <c r="DX871" s="52"/>
      <c r="DY871" s="54"/>
      <c r="DZ871" s="52"/>
      <c r="EA871" s="54"/>
      <c r="EB871" s="52"/>
      <c r="EC871" s="54"/>
      <c r="ED871" s="54"/>
      <c r="EE871" s="54"/>
      <c r="EF871" s="54"/>
      <c r="EG871" s="54"/>
      <c r="EH871" s="54"/>
      <c r="EI871" s="54"/>
      <c r="EJ871" s="54"/>
      <c r="EK871" s="54"/>
      <c r="EL871" s="54"/>
      <c r="EM871" s="54"/>
      <c r="EN871" s="54"/>
      <c r="EO871" s="54"/>
      <c r="EP871" s="54"/>
      <c r="EQ871" s="54"/>
      <c r="ER871" s="54"/>
      <c r="ES871" s="54"/>
      <c r="ET871" s="54"/>
      <c r="EU871" s="54"/>
      <c r="EV871" s="54"/>
      <c r="EW871" s="54"/>
      <c r="EX871" s="54"/>
      <c r="EY871" s="54"/>
      <c r="EZ871" s="587"/>
      <c r="FA871" s="417"/>
      <c r="FB871" s="56"/>
      <c r="FC871" s="55"/>
      <c r="FD871" s="56"/>
      <c r="FE871" s="52"/>
      <c r="FF871" s="57"/>
      <c r="FG871" s="52"/>
      <c r="FH871" s="58"/>
      <c r="FI871" s="52"/>
      <c r="FJ871" s="58"/>
      <c r="FK871" s="52"/>
      <c r="FL871" s="58"/>
      <c r="FM871" s="52"/>
      <c r="FN871" s="58"/>
      <c r="FO871" s="52"/>
      <c r="FP871" s="58"/>
      <c r="FQ871" s="52"/>
      <c r="FR871" s="58"/>
      <c r="FS871" s="447"/>
      <c r="FT871" s="58"/>
      <c r="FU871" s="447"/>
      <c r="FV871" s="58"/>
      <c r="FW871" s="447"/>
      <c r="FX871" s="473"/>
      <c r="FY871" s="447"/>
      <c r="FZ871" s="58"/>
      <c r="GA871" s="447"/>
      <c r="GB871" s="473"/>
      <c r="GC871" s="447"/>
      <c r="GD871" s="58"/>
      <c r="GE871" s="447"/>
      <c r="GF871" s="58"/>
      <c r="GG871" s="447"/>
      <c r="GH871" s="58"/>
      <c r="GI871" s="447"/>
      <c r="GJ871" s="58"/>
      <c r="GK871" s="447"/>
      <c r="GL871" s="58"/>
      <c r="GM871" s="447"/>
      <c r="GN871" s="58"/>
      <c r="GO871" s="447"/>
      <c r="GP871" s="58"/>
      <c r="GQ871" s="447"/>
      <c r="GR871" s="58"/>
      <c r="GS871" s="447"/>
      <c r="GT871" s="58"/>
      <c r="GU871" s="447"/>
      <c r="GV871" s="58"/>
      <c r="GW871" s="447"/>
      <c r="GX871" s="58"/>
      <c r="GY871" s="447"/>
      <c r="GZ871" s="52"/>
      <c r="HA871" s="52"/>
      <c r="HB871" s="10"/>
      <c r="HC871"/>
      <c r="HD871"/>
      <c r="HE871"/>
      <c r="HF871"/>
      <c r="HG871"/>
      <c r="HH871"/>
      <c r="HI871" s="10"/>
    </row>
    <row r="872" spans="1:217" s="3" customFormat="1" ht="12.75" hidden="1" customHeight="1" outlineLevel="1" x14ac:dyDescent="0.2">
      <c r="B872" s="59" t="s">
        <v>262</v>
      </c>
      <c r="C872" s="51"/>
      <c r="D872" s="52"/>
      <c r="E872" s="51"/>
      <c r="F872" s="52"/>
      <c r="G872" s="51"/>
      <c r="H872" s="52"/>
      <c r="I872" s="51"/>
      <c r="J872" s="52"/>
      <c r="K872" s="51"/>
      <c r="L872" s="52"/>
      <c r="M872" s="51"/>
      <c r="N872" s="52"/>
      <c r="O872" s="51"/>
      <c r="P872" s="52"/>
      <c r="Q872" s="51"/>
      <c r="R872" s="52"/>
      <c r="S872" s="51"/>
      <c r="T872" s="52"/>
      <c r="U872" s="51"/>
      <c r="V872" s="52"/>
      <c r="W872" s="51"/>
      <c r="X872" s="52"/>
      <c r="Y872" s="51"/>
      <c r="Z872" s="52"/>
      <c r="AA872" s="51"/>
      <c r="AB872" s="52"/>
      <c r="AC872" s="51"/>
      <c r="AD872" s="52"/>
      <c r="AE872" s="51"/>
      <c r="AF872" s="52"/>
      <c r="AG872" s="53"/>
      <c r="AH872" s="52"/>
      <c r="AI872" s="53"/>
      <c r="AJ872" s="52"/>
      <c r="AK872" s="53"/>
      <c r="AL872" s="52"/>
      <c r="AM872" s="53"/>
      <c r="AN872" s="52"/>
      <c r="AO872" s="53"/>
      <c r="AP872" s="52"/>
      <c r="AQ872" s="53"/>
      <c r="AR872" s="52"/>
      <c r="AS872" s="53"/>
      <c r="AT872" s="52"/>
      <c r="AU872" s="53"/>
      <c r="AV872" s="52"/>
      <c r="AW872" s="53"/>
      <c r="AX872" s="52"/>
      <c r="AY872" s="54"/>
      <c r="AZ872" s="447"/>
      <c r="BA872" s="54"/>
      <c r="BB872" s="447"/>
      <c r="BC872" s="54"/>
      <c r="BD872" s="447"/>
      <c r="BE872" s="54"/>
      <c r="BF872" s="447"/>
      <c r="BG872" s="54"/>
      <c r="BH872" s="447"/>
      <c r="BI872" s="54"/>
      <c r="BJ872" s="447"/>
      <c r="BK872" s="54"/>
      <c r="BL872" s="447"/>
      <c r="BM872" s="54"/>
      <c r="BN872" s="447"/>
      <c r="BP872" s="447"/>
      <c r="BR872" s="447"/>
      <c r="BT872" s="447"/>
      <c r="BU872" s="54"/>
      <c r="BV872" s="52"/>
      <c r="BW872" s="54"/>
      <c r="BX872" s="52"/>
      <c r="BY872" s="54"/>
      <c r="BZ872" s="52"/>
      <c r="CA872" s="54"/>
      <c r="CB872" s="52"/>
      <c r="CC872" s="54"/>
      <c r="CD872" s="52"/>
      <c r="CE872" s="54"/>
      <c r="CF872" s="52"/>
      <c r="CG872" s="54"/>
      <c r="CH872" s="52"/>
      <c r="CI872" s="54"/>
      <c r="CJ872" s="52"/>
      <c r="CK872" s="54"/>
      <c r="CL872" s="52"/>
      <c r="CM872" s="54"/>
      <c r="CN872" s="52"/>
      <c r="CO872" s="54"/>
      <c r="CP872" s="52"/>
      <c r="CQ872" s="476"/>
      <c r="CR872" s="52"/>
      <c r="CS872" s="54"/>
      <c r="CT872" s="52"/>
      <c r="CU872" s="54"/>
      <c r="CV872" s="52"/>
      <c r="CW872" s="54"/>
      <c r="CX872" s="52"/>
      <c r="CY872" s="54"/>
      <c r="CZ872" s="52"/>
      <c r="DA872" s="54"/>
      <c r="DB872" s="52"/>
      <c r="DC872" s="54"/>
      <c r="DD872" s="52"/>
      <c r="DE872" s="54"/>
      <c r="DF872" s="52"/>
      <c r="DG872" s="54"/>
      <c r="DH872" s="52"/>
      <c r="DI872" s="54"/>
      <c r="DJ872" s="52"/>
      <c r="DK872" s="54"/>
      <c r="DL872" s="52"/>
      <c r="DM872" s="54"/>
      <c r="DN872" s="52"/>
      <c r="DO872" s="54"/>
      <c r="DP872" s="52"/>
      <c r="DQ872" s="54"/>
      <c r="DR872" s="52"/>
      <c r="DS872" s="54"/>
      <c r="DT872" s="52"/>
      <c r="DU872" s="54"/>
      <c r="DV872" s="52"/>
      <c r="DW872" s="54"/>
      <c r="DX872" s="52"/>
      <c r="DY872" s="54"/>
      <c r="DZ872" s="52"/>
      <c r="EA872" s="54"/>
      <c r="EB872" s="52"/>
      <c r="EC872" s="54"/>
      <c r="ED872" s="54"/>
      <c r="EE872" s="54"/>
      <c r="EF872" s="54"/>
      <c r="EG872" s="54"/>
      <c r="EH872" s="54"/>
      <c r="EI872" s="54"/>
      <c r="EJ872" s="54"/>
      <c r="EK872" s="54"/>
      <c r="EL872" s="54"/>
      <c r="EM872" s="54"/>
      <c r="EN872" s="54"/>
      <c r="EO872" s="54"/>
      <c r="EP872" s="54"/>
      <c r="EQ872" s="54"/>
      <c r="ER872" s="54"/>
      <c r="ES872" s="54"/>
      <c r="ET872" s="54"/>
      <c r="EU872" s="54"/>
      <c r="EV872" s="54"/>
      <c r="EW872" s="54"/>
      <c r="EX872" s="54"/>
      <c r="EY872" s="54"/>
      <c r="EZ872" s="587"/>
      <c r="FA872" s="417"/>
      <c r="FB872" s="56"/>
      <c r="FC872" s="55"/>
      <c r="FD872" s="56"/>
      <c r="FE872" s="52"/>
      <c r="FF872" s="57"/>
      <c r="FG872" s="52"/>
      <c r="FH872" s="58"/>
      <c r="FI872" s="52"/>
      <c r="FJ872" s="58"/>
      <c r="FK872" s="52"/>
      <c r="FL872" s="58"/>
      <c r="FM872" s="52"/>
      <c r="FN872" s="58"/>
      <c r="FO872" s="52"/>
      <c r="FP872" s="58"/>
      <c r="FQ872" s="52"/>
      <c r="FR872" s="58"/>
      <c r="FS872" s="447"/>
      <c r="FT872" s="58"/>
      <c r="FU872" s="447"/>
      <c r="FV872" s="58"/>
      <c r="FW872" s="447"/>
      <c r="FX872" s="473"/>
      <c r="FY872" s="447"/>
      <c r="FZ872" s="58"/>
      <c r="GA872" s="447"/>
      <c r="GB872" s="473"/>
      <c r="GC872" s="447"/>
      <c r="GD872" s="58"/>
      <c r="GE872" s="447"/>
      <c r="GF872" s="58"/>
      <c r="GG872" s="447"/>
      <c r="GH872" s="58"/>
      <c r="GI872" s="447"/>
      <c r="GJ872" s="58"/>
      <c r="GK872" s="447"/>
      <c r="GL872" s="58"/>
      <c r="GM872" s="447"/>
      <c r="GN872" s="58"/>
      <c r="GO872" s="447"/>
      <c r="GP872" s="58"/>
      <c r="GQ872" s="447"/>
      <c r="GR872" s="58"/>
      <c r="GS872" s="447"/>
      <c r="GT872" s="58"/>
      <c r="GU872" s="447"/>
      <c r="GV872" s="58"/>
      <c r="GW872" s="447"/>
      <c r="GX872" s="58"/>
      <c r="GY872" s="447"/>
      <c r="GZ872" s="52"/>
      <c r="HA872" s="52"/>
      <c r="HB872" s="10"/>
      <c r="HC872"/>
      <c r="HD872"/>
      <c r="HE872"/>
      <c r="HF872"/>
      <c r="HG872"/>
      <c r="HH872"/>
      <c r="HI872" s="10"/>
    </row>
    <row r="873" spans="1:217" s="3" customFormat="1" ht="12.75" hidden="1" customHeight="1" outlineLevel="1" x14ac:dyDescent="0.2">
      <c r="B873" s="60" t="s">
        <v>265</v>
      </c>
      <c r="C873" s="51"/>
      <c r="D873" s="52"/>
      <c r="E873" s="51"/>
      <c r="F873" s="52"/>
      <c r="G873" s="51"/>
      <c r="H873" s="52"/>
      <c r="I873" s="51"/>
      <c r="J873" s="52"/>
      <c r="K873" s="51"/>
      <c r="L873" s="52"/>
      <c r="M873" s="51"/>
      <c r="N873" s="52"/>
      <c r="O873" s="51"/>
      <c r="P873" s="52"/>
      <c r="Q873" s="51"/>
      <c r="R873" s="52"/>
      <c r="S873" s="51"/>
      <c r="T873" s="52"/>
      <c r="U873" s="51"/>
      <c r="V873" s="52"/>
      <c r="W873" s="51"/>
      <c r="X873" s="52"/>
      <c r="Y873" s="51"/>
      <c r="Z873" s="52"/>
      <c r="AA873" s="51"/>
      <c r="AB873" s="52"/>
      <c r="AC873" s="51"/>
      <c r="AD873" s="52"/>
      <c r="AE873" s="51"/>
      <c r="AF873" s="52"/>
      <c r="AG873" s="53"/>
      <c r="AH873" s="52"/>
      <c r="AI873" s="53"/>
      <c r="AJ873" s="52"/>
      <c r="AK873" s="53"/>
      <c r="AL873" s="52"/>
      <c r="AM873" s="53"/>
      <c r="AN873" s="52"/>
      <c r="AO873" s="53"/>
      <c r="AP873" s="52"/>
      <c r="AQ873" s="53"/>
      <c r="AR873" s="52"/>
      <c r="AS873" s="53"/>
      <c r="AT873" s="52"/>
      <c r="AU873" s="53"/>
      <c r="AV873" s="52"/>
      <c r="AW873" s="53"/>
      <c r="AX873" s="52"/>
      <c r="AY873" s="54"/>
      <c r="AZ873" s="447"/>
      <c r="BA873" s="54"/>
      <c r="BB873" s="447"/>
      <c r="BC873" s="54"/>
      <c r="BD873" s="447"/>
      <c r="BE873" s="54"/>
      <c r="BF873" s="447"/>
      <c r="BG873" s="54"/>
      <c r="BH873" s="447"/>
      <c r="BI873" s="54"/>
      <c r="BJ873" s="447"/>
      <c r="BK873" s="54"/>
      <c r="BL873" s="53"/>
      <c r="BM873" s="54"/>
      <c r="BN873" s="53"/>
      <c r="BO873" s="54"/>
      <c r="BP873" s="447"/>
      <c r="BQ873" s="54"/>
      <c r="BR873" s="447"/>
      <c r="BS873" s="54"/>
      <c r="BT873" s="447"/>
      <c r="BU873" s="54"/>
      <c r="BV873" s="450"/>
      <c r="BW873" s="54"/>
      <c r="BX873" s="450"/>
      <c r="BY873" s="54"/>
      <c r="BZ873" s="450"/>
      <c r="CA873" s="54"/>
      <c r="CB873" s="450"/>
      <c r="CC873" s="54"/>
      <c r="CD873" s="450"/>
      <c r="CE873" s="54"/>
      <c r="CF873" s="450"/>
      <c r="CG873" s="54"/>
      <c r="CH873" s="450"/>
      <c r="CI873" s="54"/>
      <c r="CJ873" s="450"/>
      <c r="CK873" s="54"/>
      <c r="CL873" s="450"/>
      <c r="CM873" s="54"/>
      <c r="CN873" s="450"/>
      <c r="CO873" s="54"/>
      <c r="CP873" s="450"/>
      <c r="CQ873" s="476"/>
      <c r="CR873" s="450"/>
      <c r="CS873" s="61"/>
      <c r="CT873" s="450"/>
      <c r="CU873" s="61"/>
      <c r="CV873" s="450"/>
      <c r="CW873" s="61"/>
      <c r="CX873" s="450"/>
      <c r="CY873" s="61"/>
      <c r="CZ873" s="450"/>
      <c r="DA873" s="61"/>
      <c r="DB873" s="450"/>
      <c r="DC873" s="61"/>
      <c r="DD873" s="450"/>
      <c r="DE873" s="61"/>
      <c r="DF873" s="450"/>
      <c r="DG873" s="61"/>
      <c r="DH873" s="450"/>
      <c r="DI873" s="61"/>
      <c r="DJ873" s="450"/>
      <c r="DK873" s="61"/>
      <c r="DL873" s="450"/>
      <c r="DM873" s="61"/>
      <c r="DN873" s="450"/>
      <c r="DO873" s="61"/>
      <c r="DP873" s="450"/>
      <c r="DQ873" s="61"/>
      <c r="DR873" s="450"/>
      <c r="DS873" s="61"/>
      <c r="DT873" s="450"/>
      <c r="DU873" s="61"/>
      <c r="DV873" s="450"/>
      <c r="DW873" s="61"/>
      <c r="DX873" s="450"/>
      <c r="DY873" s="61"/>
      <c r="DZ873" s="450"/>
      <c r="EA873" s="61"/>
      <c r="EB873" s="450"/>
      <c r="EC873" s="61"/>
      <c r="ED873" s="61"/>
      <c r="EE873" s="61"/>
      <c r="EF873" s="61"/>
      <c r="EG873" s="61"/>
      <c r="EH873" s="61"/>
      <c r="EI873" s="61"/>
      <c r="EJ873" s="61"/>
      <c r="EK873" s="61"/>
      <c r="EL873" s="61"/>
      <c r="EM873" s="61"/>
      <c r="EN873" s="61"/>
      <c r="EO873" s="61"/>
      <c r="EP873" s="61"/>
      <c r="EQ873" s="61"/>
      <c r="ER873" s="61"/>
      <c r="ES873" s="61"/>
      <c r="ET873" s="61"/>
      <c r="EU873" s="61"/>
      <c r="EV873" s="61"/>
      <c r="EW873" s="61"/>
      <c r="EX873" s="61"/>
      <c r="EY873" s="61"/>
      <c r="EZ873" s="591"/>
      <c r="FA873" s="418"/>
      <c r="FB873" s="63"/>
      <c r="FC873" s="61"/>
      <c r="FD873" s="63"/>
      <c r="FE873" s="450"/>
      <c r="FF873" s="64"/>
      <c r="FG873" s="450"/>
      <c r="FH873" s="61"/>
      <c r="FI873" s="450"/>
      <c r="FJ873" s="61"/>
      <c r="FK873" s="450"/>
      <c r="FL873" s="61"/>
      <c r="FM873" s="450"/>
      <c r="FN873" s="61"/>
      <c r="FO873" s="450"/>
      <c r="FP873" s="61"/>
      <c r="FQ873" s="450"/>
      <c r="FR873" s="61"/>
      <c r="FS873" s="447"/>
      <c r="FT873" s="61"/>
      <c r="FU873" s="447"/>
      <c r="FV873" s="61"/>
      <c r="FW873" s="447"/>
      <c r="FX873" s="474"/>
      <c r="FY873" s="447"/>
      <c r="FZ873" s="61"/>
      <c r="GA873" s="447"/>
      <c r="GB873" s="474"/>
      <c r="GC873" s="447"/>
      <c r="GD873" s="61"/>
      <c r="GE873" s="447"/>
      <c r="GF873" s="61"/>
      <c r="GG873" s="447"/>
      <c r="GH873" s="61"/>
      <c r="GI873" s="447"/>
      <c r="GJ873" s="61"/>
      <c r="GK873" s="447"/>
      <c r="GL873" s="61"/>
      <c r="GM873" s="447"/>
      <c r="GN873" s="61"/>
      <c r="GO873" s="447"/>
      <c r="GP873" s="61"/>
      <c r="GQ873" s="447"/>
      <c r="GR873" s="62">
        <f>GR24</f>
        <v>8</v>
      </c>
      <c r="GS873" s="447"/>
      <c r="GT873" s="62">
        <f>GT24</f>
        <v>8</v>
      </c>
      <c r="GU873" s="447"/>
      <c r="GV873" s="62">
        <f>GV24</f>
        <v>8</v>
      </c>
      <c r="GW873" s="447"/>
      <c r="GX873" s="62">
        <f>GX24</f>
        <v>8</v>
      </c>
      <c r="GY873" s="447"/>
      <c r="GZ873" s="52"/>
      <c r="HA873" s="52"/>
      <c r="HB873" s="10"/>
      <c r="HC873"/>
      <c r="HD873"/>
      <c r="HE873"/>
      <c r="HF873"/>
      <c r="HG873"/>
      <c r="HH873"/>
      <c r="HI873" s="10"/>
    </row>
    <row r="874" spans="1:217" s="3" customFormat="1" ht="12.75" hidden="1" customHeight="1" outlineLevel="1" x14ac:dyDescent="0.2">
      <c r="B874" s="60" t="s">
        <v>185</v>
      </c>
      <c r="C874" s="51"/>
      <c r="D874" s="52"/>
      <c r="E874" s="51"/>
      <c r="F874" s="52"/>
      <c r="G874" s="51"/>
      <c r="H874" s="52"/>
      <c r="I874" s="51"/>
      <c r="J874" s="52"/>
      <c r="K874" s="51"/>
      <c r="L874" s="52"/>
      <c r="M874" s="51"/>
      <c r="N874" s="52"/>
      <c r="O874" s="51"/>
      <c r="P874" s="52"/>
      <c r="Q874" s="51"/>
      <c r="R874" s="52"/>
      <c r="S874" s="51"/>
      <c r="T874" s="52"/>
      <c r="U874" s="51"/>
      <c r="V874" s="52"/>
      <c r="W874" s="51"/>
      <c r="X874" s="52"/>
      <c r="Y874" s="51"/>
      <c r="Z874" s="52"/>
      <c r="AA874" s="51"/>
      <c r="AB874" s="52"/>
      <c r="AC874" s="51"/>
      <c r="AD874" s="52"/>
      <c r="AE874" s="51"/>
      <c r="AF874" s="52"/>
      <c r="AG874" s="53"/>
      <c r="AH874" s="52"/>
      <c r="AI874" s="53"/>
      <c r="AJ874" s="52"/>
      <c r="AK874" s="53"/>
      <c r="AL874" s="52"/>
      <c r="AM874" s="53"/>
      <c r="AN874" s="52"/>
      <c r="AO874" s="53"/>
      <c r="AP874" s="52"/>
      <c r="AQ874" s="53"/>
      <c r="AR874" s="52"/>
      <c r="AS874" s="53"/>
      <c r="AT874" s="52"/>
      <c r="AU874" s="53"/>
      <c r="AV874" s="52"/>
      <c r="AW874" s="53"/>
      <c r="AX874" s="52"/>
      <c r="AY874" s="54"/>
      <c r="AZ874" s="447"/>
      <c r="BA874" s="54"/>
      <c r="BB874" s="447"/>
      <c r="BC874" s="54"/>
      <c r="BD874" s="447"/>
      <c r="BE874" s="54"/>
      <c r="BF874" s="447"/>
      <c r="BG874" s="54"/>
      <c r="BH874" s="447"/>
      <c r="BI874" s="54"/>
      <c r="BJ874" s="447"/>
      <c r="BK874" s="54"/>
      <c r="BL874" s="53"/>
      <c r="BM874" s="54"/>
      <c r="BN874" s="53"/>
      <c r="BO874" s="54"/>
      <c r="BP874" s="447"/>
      <c r="BQ874" s="54"/>
      <c r="BR874" s="449"/>
      <c r="BS874" s="54"/>
      <c r="BT874" s="449"/>
      <c r="BU874" s="54"/>
      <c r="BV874" s="450"/>
      <c r="BW874" s="54"/>
      <c r="BX874" s="450"/>
      <c r="BY874" s="54"/>
      <c r="BZ874" s="450"/>
      <c r="CA874" s="54"/>
      <c r="CB874" s="450"/>
      <c r="CC874" s="54"/>
      <c r="CD874" s="450"/>
      <c r="CE874" s="54"/>
      <c r="CF874" s="450"/>
      <c r="CG874" s="54"/>
      <c r="CH874" s="450"/>
      <c r="CI874" s="54"/>
      <c r="CJ874" s="450"/>
      <c r="CK874" s="54"/>
      <c r="CL874" s="450"/>
      <c r="CM874" s="54"/>
      <c r="CN874" s="450"/>
      <c r="CO874" s="54"/>
      <c r="CP874" s="450"/>
      <c r="CQ874" s="476"/>
      <c r="CR874" s="450"/>
      <c r="CS874" s="67"/>
      <c r="CT874" s="450"/>
      <c r="CU874" s="67"/>
      <c r="CV874" s="450"/>
      <c r="CW874" s="67"/>
      <c r="CX874" s="450"/>
      <c r="CY874" s="67"/>
      <c r="CZ874" s="450"/>
      <c r="DA874" s="67"/>
      <c r="DB874" s="450"/>
      <c r="DC874" s="67"/>
      <c r="DD874" s="450"/>
      <c r="DE874" s="67"/>
      <c r="DF874" s="450"/>
      <c r="DG874" s="67"/>
      <c r="DH874" s="450"/>
      <c r="DI874" s="67"/>
      <c r="DJ874" s="450"/>
      <c r="DK874" s="67"/>
      <c r="DL874" s="450"/>
      <c r="DM874" s="67"/>
      <c r="DN874" s="450"/>
      <c r="DO874" s="67"/>
      <c r="DP874" s="450"/>
      <c r="DQ874" s="67"/>
      <c r="DR874" s="450"/>
      <c r="DS874" s="67"/>
      <c r="DT874" s="450"/>
      <c r="DU874" s="67"/>
      <c r="DV874" s="450"/>
      <c r="DW874" s="67"/>
      <c r="DX874" s="450"/>
      <c r="DY874" s="67"/>
      <c r="DZ874" s="450"/>
      <c r="EA874" s="67"/>
      <c r="EB874" s="450"/>
      <c r="EC874" s="67"/>
      <c r="ED874" s="67"/>
      <c r="EE874" s="67"/>
      <c r="EF874" s="67"/>
      <c r="EG874" s="67"/>
      <c r="EH874" s="67"/>
      <c r="EI874" s="67"/>
      <c r="EJ874" s="67"/>
      <c r="EK874" s="67"/>
      <c r="EL874" s="67"/>
      <c r="EM874" s="67"/>
      <c r="EN874" s="67"/>
      <c r="EO874" s="67"/>
      <c r="EP874" s="67"/>
      <c r="EQ874" s="67"/>
      <c r="ER874" s="67"/>
      <c r="ES874" s="67"/>
      <c r="ET874" s="67"/>
      <c r="EU874" s="67"/>
      <c r="EV874" s="67"/>
      <c r="EW874" s="67"/>
      <c r="EX874" s="67"/>
      <c r="EY874" s="67"/>
      <c r="EZ874" s="591"/>
      <c r="FA874" s="418"/>
      <c r="FB874" s="63"/>
      <c r="FC874" s="61"/>
      <c r="FD874" s="63"/>
      <c r="FE874" s="450"/>
      <c r="FF874" s="64"/>
      <c r="FG874" s="450"/>
      <c r="FH874" s="61"/>
      <c r="FI874" s="450"/>
      <c r="FJ874" s="61"/>
      <c r="FK874" s="450"/>
      <c r="FL874" s="61"/>
      <c r="FM874" s="450"/>
      <c r="FN874" s="61"/>
      <c r="FO874" s="450"/>
      <c r="FP874" s="61"/>
      <c r="FQ874" s="450"/>
      <c r="FR874" s="61"/>
      <c r="FS874" s="447"/>
      <c r="FT874" s="61"/>
      <c r="FU874" s="447"/>
      <c r="FV874" s="61"/>
      <c r="FW874" s="449"/>
      <c r="FX874" s="475"/>
      <c r="FY874" s="449"/>
      <c r="FZ874" s="67"/>
      <c r="GA874" s="449"/>
      <c r="GB874" s="475"/>
      <c r="GC874" s="449"/>
      <c r="GD874" s="67"/>
      <c r="GE874" s="449"/>
      <c r="GF874" s="67"/>
      <c r="GG874" s="449"/>
      <c r="GH874" s="67"/>
      <c r="GI874" s="449"/>
      <c r="GJ874" s="67"/>
      <c r="GK874" s="449"/>
      <c r="GL874" s="67"/>
      <c r="GM874" s="449"/>
      <c r="GN874" s="67"/>
      <c r="GO874" s="449"/>
      <c r="GP874" s="67"/>
      <c r="GQ874" s="449"/>
      <c r="GR874" s="66">
        <v>2</v>
      </c>
      <c r="GS874" s="449"/>
      <c r="GT874" s="66">
        <v>2</v>
      </c>
      <c r="GU874" s="449"/>
      <c r="GV874" s="66">
        <v>2</v>
      </c>
      <c r="GW874" s="449"/>
      <c r="GX874" s="66">
        <v>2</v>
      </c>
      <c r="GY874" s="449"/>
      <c r="GZ874" s="52"/>
      <c r="HA874" s="52"/>
      <c r="HB874" s="10"/>
      <c r="HC874"/>
      <c r="HD874"/>
      <c r="HE874"/>
      <c r="HF874"/>
      <c r="HG874"/>
      <c r="HH874"/>
      <c r="HI874" s="10"/>
    </row>
    <row r="875" spans="1:217" s="3" customFormat="1" ht="12.75" hidden="1" customHeight="1" outlineLevel="1" x14ac:dyDescent="0.2">
      <c r="B875" s="60" t="s">
        <v>186</v>
      </c>
      <c r="C875" s="51"/>
      <c r="D875" s="52"/>
      <c r="E875" s="51"/>
      <c r="F875" s="52"/>
      <c r="G875" s="51"/>
      <c r="H875" s="52"/>
      <c r="I875" s="51"/>
      <c r="J875" s="52"/>
      <c r="K875" s="51"/>
      <c r="L875" s="52"/>
      <c r="M875" s="51"/>
      <c r="N875" s="52"/>
      <c r="O875" s="51"/>
      <c r="P875" s="52"/>
      <c r="Q875" s="51"/>
      <c r="R875" s="52"/>
      <c r="S875" s="51"/>
      <c r="T875" s="52"/>
      <c r="U875" s="51"/>
      <c r="V875" s="52"/>
      <c r="W875" s="51"/>
      <c r="X875" s="52"/>
      <c r="Y875" s="51"/>
      <c r="Z875" s="52"/>
      <c r="AA875" s="51"/>
      <c r="AB875" s="52"/>
      <c r="AC875" s="51"/>
      <c r="AD875" s="52"/>
      <c r="AE875" s="51"/>
      <c r="AF875" s="52"/>
      <c r="AG875" s="53"/>
      <c r="AH875" s="52"/>
      <c r="AI875" s="53"/>
      <c r="AJ875" s="52"/>
      <c r="AK875" s="53"/>
      <c r="AL875" s="52"/>
      <c r="AM875" s="53"/>
      <c r="AN875" s="52"/>
      <c r="AO875" s="53"/>
      <c r="AP875" s="52"/>
      <c r="AQ875" s="53"/>
      <c r="AR875" s="52"/>
      <c r="AS875" s="53"/>
      <c r="AT875" s="52"/>
      <c r="AU875" s="53"/>
      <c r="AV875" s="52"/>
      <c r="AW875" s="53"/>
      <c r="AX875" s="52"/>
      <c r="AY875" s="54"/>
      <c r="AZ875" s="447"/>
      <c r="BA875" s="54"/>
      <c r="BB875" s="447"/>
      <c r="BC875" s="54"/>
      <c r="BD875" s="447"/>
      <c r="BE875" s="54"/>
      <c r="BF875" s="447"/>
      <c r="BG875" s="54"/>
      <c r="BH875" s="447"/>
      <c r="BI875" s="54"/>
      <c r="BJ875" s="447"/>
      <c r="BK875" s="54"/>
      <c r="BL875" s="53"/>
      <c r="BM875" s="54"/>
      <c r="BN875" s="53"/>
      <c r="BO875" s="54"/>
      <c r="BP875" s="447"/>
      <c r="BQ875" s="54"/>
      <c r="BR875" s="449"/>
      <c r="BS875" s="54"/>
      <c r="BT875" s="449"/>
      <c r="BU875" s="54"/>
      <c r="BV875" s="450"/>
      <c r="BW875" s="54"/>
      <c r="BX875" s="450"/>
      <c r="BY875" s="54"/>
      <c r="BZ875" s="450"/>
      <c r="CA875" s="54"/>
      <c r="CB875" s="450"/>
      <c r="CC875" s="54"/>
      <c r="CD875" s="450"/>
      <c r="CE875" s="54"/>
      <c r="CF875" s="450"/>
      <c r="CG875" s="54"/>
      <c r="CH875" s="450"/>
      <c r="CI875" s="54"/>
      <c r="CJ875" s="450"/>
      <c r="CK875" s="54"/>
      <c r="CL875" s="450"/>
      <c r="CM875" s="54"/>
      <c r="CN875" s="450"/>
      <c r="CO875" s="54"/>
      <c r="CP875" s="450"/>
      <c r="CQ875" s="476"/>
      <c r="CR875" s="450"/>
      <c r="CS875" s="67"/>
      <c r="CT875" s="450"/>
      <c r="CU875" s="67"/>
      <c r="CV875" s="450"/>
      <c r="CW875" s="67"/>
      <c r="CX875" s="450"/>
      <c r="CY875" s="67"/>
      <c r="CZ875" s="450"/>
      <c r="DA875" s="67"/>
      <c r="DB875" s="450"/>
      <c r="DC875" s="67"/>
      <c r="DD875" s="450"/>
      <c r="DE875" s="67"/>
      <c r="DF875" s="450"/>
      <c r="DG875" s="67"/>
      <c r="DH875" s="450"/>
      <c r="DI875" s="67"/>
      <c r="DJ875" s="450"/>
      <c r="DK875" s="67"/>
      <c r="DL875" s="450"/>
      <c r="DM875" s="67"/>
      <c r="DN875" s="450"/>
      <c r="DO875" s="67"/>
      <c r="DP875" s="450"/>
      <c r="DQ875" s="67"/>
      <c r="DR875" s="450"/>
      <c r="DS875" s="67"/>
      <c r="DT875" s="450"/>
      <c r="DU875" s="67"/>
      <c r="DV875" s="450"/>
      <c r="DW875" s="67"/>
      <c r="DX875" s="450"/>
      <c r="DY875" s="67"/>
      <c r="DZ875" s="450"/>
      <c r="EA875" s="67"/>
      <c r="EB875" s="450"/>
      <c r="EC875" s="67"/>
      <c r="ED875" s="67"/>
      <c r="EE875" s="67"/>
      <c r="EF875" s="67"/>
      <c r="EG875" s="67"/>
      <c r="EH875" s="67"/>
      <c r="EI875" s="67"/>
      <c r="EJ875" s="67"/>
      <c r="EK875" s="67"/>
      <c r="EL875" s="67"/>
      <c r="EM875" s="67"/>
      <c r="EN875" s="67"/>
      <c r="EO875" s="67"/>
      <c r="EP875" s="67"/>
      <c r="EQ875" s="67"/>
      <c r="ER875" s="67"/>
      <c r="ES875" s="67"/>
      <c r="ET875" s="67"/>
      <c r="EU875" s="67"/>
      <c r="EV875" s="67"/>
      <c r="EW875" s="67"/>
      <c r="EX875" s="67"/>
      <c r="EY875" s="67"/>
      <c r="EZ875" s="591"/>
      <c r="FA875" s="418"/>
      <c r="FB875" s="63"/>
      <c r="FC875" s="61"/>
      <c r="FD875" s="63"/>
      <c r="FE875" s="450"/>
      <c r="FF875" s="64"/>
      <c r="FG875" s="450"/>
      <c r="FH875" s="61"/>
      <c r="FI875" s="450"/>
      <c r="FJ875" s="61"/>
      <c r="FK875" s="450"/>
      <c r="FL875" s="61"/>
      <c r="FM875" s="450"/>
      <c r="FN875" s="61"/>
      <c r="FO875" s="450"/>
      <c r="FP875" s="61"/>
      <c r="FQ875" s="450"/>
      <c r="FR875" s="61"/>
      <c r="FS875" s="447"/>
      <c r="FT875" s="61"/>
      <c r="FU875" s="447"/>
      <c r="FV875" s="61"/>
      <c r="FW875" s="449"/>
      <c r="FX875" s="475"/>
      <c r="FY875" s="449"/>
      <c r="FZ875" s="67"/>
      <c r="GA875" s="449"/>
      <c r="GB875" s="475"/>
      <c r="GC875" s="449"/>
      <c r="GD875" s="67"/>
      <c r="GE875" s="449"/>
      <c r="GF875" s="67"/>
      <c r="GG875" s="449"/>
      <c r="GH875" s="67"/>
      <c r="GI875" s="449"/>
      <c r="GJ875" s="67"/>
      <c r="GK875" s="449"/>
      <c r="GL875" s="67"/>
      <c r="GM875" s="449"/>
      <c r="GN875" s="67"/>
      <c r="GO875" s="449"/>
      <c r="GP875" s="67"/>
      <c r="GQ875" s="449"/>
      <c r="GR875" s="68">
        <v>-2</v>
      </c>
      <c r="GS875" s="449"/>
      <c r="GT875" s="68">
        <v>-2</v>
      </c>
      <c r="GU875" s="449"/>
      <c r="GV875" s="68">
        <v>-2</v>
      </c>
      <c r="GW875" s="449"/>
      <c r="GX875" s="68">
        <v>-2</v>
      </c>
      <c r="GY875" s="449"/>
      <c r="GZ875" s="52"/>
      <c r="HA875" s="52"/>
      <c r="HB875" s="10"/>
      <c r="HC875"/>
      <c r="HD875"/>
      <c r="HE875"/>
      <c r="HF875"/>
      <c r="HG875"/>
      <c r="HH875"/>
      <c r="HI875" s="10"/>
    </row>
    <row r="876" spans="1:217" s="3" customFormat="1" ht="12.75" hidden="1" customHeight="1" outlineLevel="1" x14ac:dyDescent="0.2">
      <c r="B876" s="60"/>
      <c r="C876" s="51"/>
      <c r="D876" s="52"/>
      <c r="E876" s="51"/>
      <c r="F876" s="52"/>
      <c r="G876" s="51"/>
      <c r="H876" s="52"/>
      <c r="I876" s="51"/>
      <c r="J876" s="52"/>
      <c r="K876" s="51"/>
      <c r="L876" s="52"/>
      <c r="M876" s="51"/>
      <c r="N876" s="52"/>
      <c r="O876" s="51"/>
      <c r="P876" s="52"/>
      <c r="Q876" s="51"/>
      <c r="R876" s="52"/>
      <c r="S876" s="51"/>
      <c r="T876" s="52"/>
      <c r="U876" s="51"/>
      <c r="V876" s="52"/>
      <c r="W876" s="51"/>
      <c r="X876" s="52"/>
      <c r="Y876" s="51"/>
      <c r="Z876" s="52"/>
      <c r="AA876" s="51"/>
      <c r="AB876" s="52"/>
      <c r="AC876" s="51"/>
      <c r="AD876" s="52"/>
      <c r="AE876" s="51"/>
      <c r="AF876" s="52"/>
      <c r="AG876" s="53"/>
      <c r="AH876" s="52"/>
      <c r="AI876" s="53"/>
      <c r="AJ876" s="52"/>
      <c r="AK876" s="53"/>
      <c r="AL876" s="52"/>
      <c r="AM876" s="53"/>
      <c r="AN876" s="52"/>
      <c r="AO876" s="53"/>
      <c r="AP876" s="52"/>
      <c r="AQ876" s="53"/>
      <c r="AR876" s="52"/>
      <c r="AS876" s="53"/>
      <c r="AT876" s="52"/>
      <c r="AU876" s="53"/>
      <c r="AV876" s="52"/>
      <c r="AW876" s="53"/>
      <c r="AX876" s="52"/>
      <c r="AY876" s="54"/>
      <c r="AZ876" s="447"/>
      <c r="BA876" s="54"/>
      <c r="BB876" s="447"/>
      <c r="BC876" s="54"/>
      <c r="BD876" s="447"/>
      <c r="BE876" s="54"/>
      <c r="BF876" s="447"/>
      <c r="BG876" s="54"/>
      <c r="BH876" s="447"/>
      <c r="BI876" s="54"/>
      <c r="BJ876" s="447"/>
      <c r="BK876" s="54"/>
      <c r="BL876" s="53"/>
      <c r="BM876" s="54"/>
      <c r="BN876" s="53"/>
      <c r="BO876" s="54"/>
      <c r="BP876" s="447"/>
      <c r="BQ876" s="54"/>
      <c r="BR876" s="447"/>
      <c r="BS876" s="54"/>
      <c r="BT876" s="447"/>
      <c r="BU876" s="54"/>
      <c r="BV876" s="52"/>
      <c r="BW876" s="54"/>
      <c r="BX876" s="52"/>
      <c r="BY876" s="54"/>
      <c r="BZ876" s="52"/>
      <c r="CA876" s="54"/>
      <c r="CB876" s="52"/>
      <c r="CC876" s="54"/>
      <c r="CD876" s="52"/>
      <c r="CE876" s="54"/>
      <c r="CF876" s="52"/>
      <c r="CG876" s="54"/>
      <c r="CH876" s="52"/>
      <c r="CI876" s="54"/>
      <c r="CJ876" s="52"/>
      <c r="CK876" s="54"/>
      <c r="CL876" s="52"/>
      <c r="CM876" s="54"/>
      <c r="CN876" s="52"/>
      <c r="CO876" s="54"/>
      <c r="CP876" s="52"/>
      <c r="CQ876" s="476"/>
      <c r="CR876" s="52"/>
      <c r="CS876" s="54"/>
      <c r="CT876" s="52"/>
      <c r="CU876" s="54"/>
      <c r="CV876" s="52"/>
      <c r="CW876" s="54"/>
      <c r="CX876" s="52"/>
      <c r="CY876" s="54"/>
      <c r="CZ876" s="52"/>
      <c r="DA876" s="54"/>
      <c r="DB876" s="52"/>
      <c r="DC876" s="54"/>
      <c r="DD876" s="52"/>
      <c r="DE876" s="54"/>
      <c r="DF876" s="52"/>
      <c r="DG876" s="54"/>
      <c r="DH876" s="52"/>
      <c r="DI876" s="54"/>
      <c r="DJ876" s="52"/>
      <c r="DK876" s="54"/>
      <c r="DL876" s="52"/>
      <c r="DM876" s="54"/>
      <c r="DN876" s="52"/>
      <c r="DO876" s="54"/>
      <c r="DP876" s="52"/>
      <c r="DQ876" s="54"/>
      <c r="DR876" s="52"/>
      <c r="DS876" s="54"/>
      <c r="DT876" s="52"/>
      <c r="DU876" s="54"/>
      <c r="DV876" s="52"/>
      <c r="DW876" s="54"/>
      <c r="DX876" s="52"/>
      <c r="DY876" s="54"/>
      <c r="DZ876" s="52"/>
      <c r="EA876" s="54"/>
      <c r="EB876" s="52"/>
      <c r="EC876" s="54"/>
      <c r="ED876" s="54"/>
      <c r="EE876" s="54"/>
      <c r="EF876" s="54"/>
      <c r="EG876" s="54"/>
      <c r="EH876" s="54"/>
      <c r="EI876" s="54"/>
      <c r="EJ876" s="54"/>
      <c r="EK876" s="54"/>
      <c r="EL876" s="54"/>
      <c r="EM876" s="54"/>
      <c r="EN876" s="54"/>
      <c r="EO876" s="54"/>
      <c r="EP876" s="54"/>
      <c r="EQ876" s="54"/>
      <c r="ER876" s="54"/>
      <c r="ES876" s="54"/>
      <c r="ET876" s="54"/>
      <c r="EU876" s="54"/>
      <c r="EV876" s="54"/>
      <c r="EW876" s="54"/>
      <c r="EX876" s="54"/>
      <c r="EY876" s="54"/>
      <c r="EZ876" s="587"/>
      <c r="FA876" s="417"/>
      <c r="FB876" s="56"/>
      <c r="FC876" s="55"/>
      <c r="FD876" s="56"/>
      <c r="FE876" s="52"/>
      <c r="FF876" s="57"/>
      <c r="FG876" s="52"/>
      <c r="FH876" s="58"/>
      <c r="FI876" s="52"/>
      <c r="FJ876" s="58"/>
      <c r="FK876" s="52"/>
      <c r="FL876" s="58"/>
      <c r="FM876" s="52"/>
      <c r="FN876" s="58"/>
      <c r="FO876" s="52"/>
      <c r="FP876" s="58"/>
      <c r="FQ876" s="52"/>
      <c r="FR876" s="58"/>
      <c r="FS876" s="447"/>
      <c r="FT876" s="58"/>
      <c r="FU876" s="447"/>
      <c r="FV876" s="58"/>
      <c r="FW876" s="447"/>
      <c r="FX876" s="473"/>
      <c r="FY876" s="447"/>
      <c r="FZ876" s="58"/>
      <c r="GA876" s="447"/>
      <c r="GB876" s="473"/>
      <c r="GC876" s="447"/>
      <c r="GD876" s="58"/>
      <c r="GE876" s="447"/>
      <c r="GF876" s="58"/>
      <c r="GG876" s="447"/>
      <c r="GH876" s="58"/>
      <c r="GI876" s="447"/>
      <c r="GJ876" s="58"/>
      <c r="GK876" s="447"/>
      <c r="GL876" s="58"/>
      <c r="GM876" s="447"/>
      <c r="GN876" s="58"/>
      <c r="GO876" s="447"/>
      <c r="GP876" s="58"/>
      <c r="GQ876" s="447"/>
      <c r="GR876" s="58"/>
      <c r="GS876" s="447"/>
      <c r="GT876" s="58"/>
      <c r="GU876" s="447"/>
      <c r="GV876" s="58"/>
      <c r="GW876" s="447"/>
      <c r="GX876" s="58"/>
      <c r="GY876" s="447"/>
      <c r="GZ876" s="52"/>
      <c r="HA876" s="52"/>
      <c r="HB876" s="10"/>
      <c r="HC876"/>
      <c r="HD876"/>
      <c r="HE876"/>
      <c r="HF876"/>
      <c r="HG876"/>
      <c r="HH876"/>
      <c r="HI876" s="10"/>
    </row>
    <row r="877" spans="1:217" s="3" customFormat="1" ht="12.75" hidden="1" customHeight="1" outlineLevel="1" x14ac:dyDescent="0.2">
      <c r="B877" s="69" t="s">
        <v>264</v>
      </c>
      <c r="C877" s="51"/>
      <c r="D877" s="52"/>
      <c r="E877" s="51"/>
      <c r="F877" s="52"/>
      <c r="G877" s="51"/>
      <c r="H877" s="52"/>
      <c r="I877" s="51"/>
      <c r="J877" s="52"/>
      <c r="K877" s="51"/>
      <c r="L877" s="52"/>
      <c r="M877" s="51"/>
      <c r="N877" s="52"/>
      <c r="O877" s="51"/>
      <c r="P877" s="52"/>
      <c r="Q877" s="51"/>
      <c r="R877" s="52"/>
      <c r="S877" s="51"/>
      <c r="T877" s="52"/>
      <c r="U877" s="51"/>
      <c r="V877" s="52"/>
      <c r="W877" s="51"/>
      <c r="X877" s="52"/>
      <c r="Y877" s="51"/>
      <c r="Z877" s="52"/>
      <c r="AA877" s="51"/>
      <c r="AB877" s="52"/>
      <c r="AC877" s="51"/>
      <c r="AD877" s="52"/>
      <c r="AE877" s="51"/>
      <c r="AF877" s="52"/>
      <c r="AG877" s="53"/>
      <c r="AH877" s="52"/>
      <c r="AI877" s="53"/>
      <c r="AJ877" s="52"/>
      <c r="AK877" s="53"/>
      <c r="AL877" s="52"/>
      <c r="AM877" s="53"/>
      <c r="AN877" s="52"/>
      <c r="AO877" s="53"/>
      <c r="AP877" s="52"/>
      <c r="AQ877" s="53"/>
      <c r="AR877" s="52"/>
      <c r="AS877" s="53"/>
      <c r="AT877" s="52"/>
      <c r="AU877" s="53"/>
      <c r="AV877" s="52"/>
      <c r="AW877" s="53"/>
      <c r="AX877" s="52"/>
      <c r="AY877" s="54"/>
      <c r="AZ877" s="447"/>
      <c r="BA877" s="54"/>
      <c r="BB877" s="447"/>
      <c r="BC877" s="54"/>
      <c r="BD877" s="447"/>
      <c r="BE877" s="54"/>
      <c r="BF877" s="447"/>
      <c r="BG877" s="54"/>
      <c r="BH877" s="447"/>
      <c r="BI877" s="54"/>
      <c r="BJ877" s="447"/>
      <c r="BK877" s="54"/>
      <c r="BL877" s="53"/>
      <c r="BM877" s="54"/>
      <c r="BN877" s="53"/>
      <c r="BO877" s="54"/>
      <c r="BP877" s="447"/>
      <c r="BQ877" s="54"/>
      <c r="BR877" s="447"/>
      <c r="BS877" s="54"/>
      <c r="BT877" s="447"/>
      <c r="BU877" s="54"/>
      <c r="BV877" s="52"/>
      <c r="BW877" s="54"/>
      <c r="BX877" s="52"/>
      <c r="BY877" s="54"/>
      <c r="BZ877" s="52"/>
      <c r="CA877" s="54"/>
      <c r="CB877" s="52"/>
      <c r="CC877" s="54"/>
      <c r="CD877" s="52"/>
      <c r="CE877" s="54"/>
      <c r="CF877" s="52"/>
      <c r="CG877" s="54"/>
      <c r="CH877" s="52"/>
      <c r="CI877" s="54"/>
      <c r="CJ877" s="52"/>
      <c r="CK877" s="54"/>
      <c r="CL877" s="52"/>
      <c r="CM877" s="54"/>
      <c r="CN877" s="52"/>
      <c r="CO877" s="54"/>
      <c r="CP877" s="52"/>
      <c r="CQ877" s="476"/>
      <c r="CR877" s="52"/>
      <c r="CS877" s="54"/>
      <c r="CT877" s="52"/>
      <c r="CU877" s="54"/>
      <c r="CV877" s="52"/>
      <c r="CW877" s="54"/>
      <c r="CX877" s="52"/>
      <c r="CY877" s="54"/>
      <c r="CZ877" s="52"/>
      <c r="DA877" s="54"/>
      <c r="DB877" s="52"/>
      <c r="DC877" s="54"/>
      <c r="DD877" s="52"/>
      <c r="DE877" s="54"/>
      <c r="DF877" s="52"/>
      <c r="DG877" s="54"/>
      <c r="DH877" s="52"/>
      <c r="DI877" s="54"/>
      <c r="DJ877" s="52"/>
      <c r="DK877" s="54"/>
      <c r="DL877" s="52"/>
      <c r="DM877" s="54"/>
      <c r="DN877" s="52"/>
      <c r="DO877" s="54"/>
      <c r="DP877" s="52"/>
      <c r="DQ877" s="54"/>
      <c r="DR877" s="52"/>
      <c r="DS877" s="54"/>
      <c r="DT877" s="52"/>
      <c r="DU877" s="54"/>
      <c r="DV877" s="52"/>
      <c r="DW877" s="54"/>
      <c r="DX877" s="52"/>
      <c r="DY877" s="54"/>
      <c r="DZ877" s="52"/>
      <c r="EA877" s="54"/>
      <c r="EB877" s="52"/>
      <c r="EC877" s="54"/>
      <c r="ED877" s="54"/>
      <c r="EE877" s="54"/>
      <c r="EF877" s="54"/>
      <c r="EG877" s="54"/>
      <c r="EH877" s="54"/>
      <c r="EI877" s="54"/>
      <c r="EJ877" s="54"/>
      <c r="EK877" s="54"/>
      <c r="EL877" s="54"/>
      <c r="EM877" s="54"/>
      <c r="EN877" s="54"/>
      <c r="EO877" s="54"/>
      <c r="EP877" s="54"/>
      <c r="EQ877" s="54"/>
      <c r="ER877" s="54"/>
      <c r="ES877" s="54"/>
      <c r="ET877" s="54"/>
      <c r="EU877" s="54"/>
      <c r="EV877" s="54"/>
      <c r="EW877" s="54"/>
      <c r="EX877" s="54"/>
      <c r="EY877" s="54"/>
      <c r="EZ877" s="587"/>
      <c r="FA877" s="417"/>
      <c r="FB877" s="56"/>
      <c r="FC877" s="55"/>
      <c r="FD877" s="56"/>
      <c r="FE877" s="52"/>
      <c r="FF877" s="57"/>
      <c r="FG877" s="52"/>
      <c r="FH877" s="58"/>
      <c r="FI877" s="52"/>
      <c r="FJ877" s="58"/>
      <c r="FK877" s="52"/>
      <c r="FL877" s="58"/>
      <c r="FM877" s="52"/>
      <c r="FN877" s="58"/>
      <c r="FO877" s="52"/>
      <c r="FP877" s="58"/>
      <c r="FQ877" s="52"/>
      <c r="FR877" s="58"/>
      <c r="FS877" s="447"/>
      <c r="FT877" s="58"/>
      <c r="FU877" s="447"/>
      <c r="FV877" s="58"/>
      <c r="FW877" s="447"/>
      <c r="FX877" s="473"/>
      <c r="FY877" s="447"/>
      <c r="FZ877" s="58"/>
      <c r="GA877" s="447"/>
      <c r="GB877" s="473"/>
      <c r="GC877" s="447"/>
      <c r="GD877" s="58"/>
      <c r="GE877" s="447"/>
      <c r="GF877" s="58"/>
      <c r="GG877" s="447"/>
      <c r="GH877" s="58"/>
      <c r="GI877" s="447"/>
      <c r="GJ877" s="58"/>
      <c r="GK877" s="447"/>
      <c r="GL877" s="58"/>
      <c r="GM877" s="447"/>
      <c r="GN877" s="58"/>
      <c r="GO877" s="447"/>
      <c r="GP877" s="58"/>
      <c r="GQ877" s="447"/>
      <c r="GR877" s="58"/>
      <c r="GS877" s="447"/>
      <c r="GT877" s="58"/>
      <c r="GU877" s="447"/>
      <c r="GV877" s="58"/>
      <c r="GW877" s="447"/>
      <c r="GX877" s="58"/>
      <c r="GY877" s="447"/>
      <c r="GZ877" s="52"/>
      <c r="HA877" s="52"/>
      <c r="HB877" s="10"/>
      <c r="HC877"/>
      <c r="HD877"/>
      <c r="HE877"/>
      <c r="HF877"/>
      <c r="HG877"/>
      <c r="HH877"/>
      <c r="HI877" s="10"/>
    </row>
    <row r="878" spans="1:217" s="3" customFormat="1" ht="12.75" hidden="1" customHeight="1" outlineLevel="1" x14ac:dyDescent="0.2">
      <c r="B878" s="60" t="s">
        <v>265</v>
      </c>
      <c r="C878" s="51"/>
      <c r="D878" s="52"/>
      <c r="E878" s="51"/>
      <c r="F878" s="52"/>
      <c r="G878" s="51"/>
      <c r="H878" s="52"/>
      <c r="I878" s="51"/>
      <c r="J878" s="52"/>
      <c r="K878" s="51"/>
      <c r="L878" s="52"/>
      <c r="M878" s="51"/>
      <c r="N878" s="52"/>
      <c r="O878" s="51"/>
      <c r="P878" s="52"/>
      <c r="Q878" s="51"/>
      <c r="R878" s="52"/>
      <c r="S878" s="51"/>
      <c r="T878" s="52"/>
      <c r="U878" s="51"/>
      <c r="V878" s="52"/>
      <c r="W878" s="51"/>
      <c r="X878" s="52"/>
      <c r="Y878" s="51"/>
      <c r="Z878" s="52"/>
      <c r="AA878" s="51"/>
      <c r="AB878" s="52"/>
      <c r="AC878" s="51"/>
      <c r="AD878" s="52"/>
      <c r="AE878" s="51"/>
      <c r="AF878" s="52"/>
      <c r="AG878" s="53"/>
      <c r="AH878" s="52"/>
      <c r="AI878" s="53"/>
      <c r="AJ878" s="52"/>
      <c r="AK878" s="53"/>
      <c r="AL878" s="52"/>
      <c r="AM878" s="53"/>
      <c r="AN878" s="52"/>
      <c r="AO878" s="53"/>
      <c r="AP878" s="52"/>
      <c r="AQ878" s="53"/>
      <c r="AR878" s="52"/>
      <c r="AS878" s="53"/>
      <c r="AT878" s="52"/>
      <c r="AU878" s="53"/>
      <c r="AV878" s="52"/>
      <c r="AW878" s="53"/>
      <c r="AX878" s="52"/>
      <c r="AY878" s="54"/>
      <c r="AZ878" s="447"/>
      <c r="BA878" s="54"/>
      <c r="BB878" s="447"/>
      <c r="BC878" s="54"/>
      <c r="BD878" s="447"/>
      <c r="BE878" s="54"/>
      <c r="BF878" s="447"/>
      <c r="BG878" s="54"/>
      <c r="BH878" s="447"/>
      <c r="BI878" s="54"/>
      <c r="BJ878" s="447"/>
      <c r="BK878" s="54"/>
      <c r="BL878" s="53"/>
      <c r="BM878" s="54"/>
      <c r="BN878" s="53"/>
      <c r="BO878" s="54"/>
      <c r="BP878" s="447"/>
      <c r="BQ878" s="54"/>
      <c r="BR878" s="447"/>
      <c r="BS878" s="54"/>
      <c r="BT878" s="447"/>
      <c r="BU878" s="54"/>
      <c r="BV878" s="52"/>
      <c r="BW878" s="54"/>
      <c r="BX878" s="52"/>
      <c r="BY878" s="54"/>
      <c r="BZ878" s="52"/>
      <c r="CA878" s="54"/>
      <c r="CB878" s="52"/>
      <c r="CC878" s="54"/>
      <c r="CD878" s="52"/>
      <c r="CE878" s="54"/>
      <c r="CF878" s="52"/>
      <c r="CG878" s="54"/>
      <c r="CH878" s="52"/>
      <c r="CI878" s="54"/>
      <c r="CJ878" s="52"/>
      <c r="CK878" s="54"/>
      <c r="CL878" s="52"/>
      <c r="CM878" s="54"/>
      <c r="CN878" s="52"/>
      <c r="CO878" s="54"/>
      <c r="CP878" s="52"/>
      <c r="CQ878" s="476"/>
      <c r="CR878" s="52"/>
      <c r="CS878" s="54"/>
      <c r="CT878" s="52"/>
      <c r="CU878" s="54"/>
      <c r="CV878" s="52"/>
      <c r="CW878" s="54"/>
      <c r="CX878" s="52"/>
      <c r="CY878" s="54"/>
      <c r="CZ878" s="52"/>
      <c r="DA878" s="54"/>
      <c r="DB878" s="52"/>
      <c r="DC878" s="54"/>
      <c r="DD878" s="52"/>
      <c r="DE878" s="54"/>
      <c r="DF878" s="52"/>
      <c r="DG878" s="54"/>
      <c r="DH878" s="52"/>
      <c r="DI878" s="54"/>
      <c r="DJ878" s="52"/>
      <c r="DK878" s="54"/>
      <c r="DL878" s="52"/>
      <c r="DM878" s="54"/>
      <c r="DN878" s="52"/>
      <c r="DO878" s="54"/>
      <c r="DP878" s="52"/>
      <c r="DQ878" s="54"/>
      <c r="DR878" s="52"/>
      <c r="DS878" s="54"/>
      <c r="DT878" s="52"/>
      <c r="DU878" s="54"/>
      <c r="DV878" s="52"/>
      <c r="DW878" s="54"/>
      <c r="DX878" s="52"/>
      <c r="DY878" s="54"/>
      <c r="DZ878" s="52"/>
      <c r="EA878" s="54"/>
      <c r="EB878" s="52"/>
      <c r="EC878" s="54"/>
      <c r="ED878" s="54"/>
      <c r="EE878" s="54"/>
      <c r="EF878" s="54"/>
      <c r="EG878" s="54"/>
      <c r="EH878" s="54"/>
      <c r="EI878" s="54"/>
      <c r="EJ878" s="54"/>
      <c r="EK878" s="54"/>
      <c r="EL878" s="54"/>
      <c r="EM878" s="54"/>
      <c r="EN878" s="54"/>
      <c r="EO878" s="54"/>
      <c r="EP878" s="54"/>
      <c r="EQ878" s="54"/>
      <c r="ER878" s="54"/>
      <c r="ES878" s="54"/>
      <c r="ET878" s="54"/>
      <c r="EU878" s="54"/>
      <c r="EV878" s="54"/>
      <c r="EW878" s="54"/>
      <c r="EX878" s="54"/>
      <c r="EY878" s="54"/>
      <c r="EZ878" s="587"/>
      <c r="FA878" s="417"/>
      <c r="FB878" s="56"/>
      <c r="FC878" s="55"/>
      <c r="FD878" s="56"/>
      <c r="FE878" s="52"/>
      <c r="FF878" s="57"/>
      <c r="FG878" s="52"/>
      <c r="FH878" s="58"/>
      <c r="FI878" s="52"/>
      <c r="FJ878" s="58"/>
      <c r="FK878" s="52"/>
      <c r="FL878" s="58"/>
      <c r="FM878" s="52"/>
      <c r="FN878" s="58"/>
      <c r="FO878" s="52"/>
      <c r="FP878" s="58"/>
      <c r="FQ878" s="52"/>
      <c r="FR878" s="58"/>
      <c r="FS878" s="447"/>
      <c r="FT878" s="58"/>
      <c r="FU878" s="447"/>
      <c r="FV878" s="58"/>
      <c r="FW878" s="447"/>
      <c r="FX878" s="476"/>
      <c r="FY878" s="447"/>
      <c r="FZ878" s="54"/>
      <c r="GA878" s="447"/>
      <c r="GB878" s="476"/>
      <c r="GC878" s="447"/>
      <c r="GD878" s="54"/>
      <c r="GE878" s="447"/>
      <c r="GF878" s="54"/>
      <c r="GG878" s="447"/>
      <c r="GH878" s="54"/>
      <c r="GI878" s="447"/>
      <c r="GJ878" s="54"/>
      <c r="GK878" s="447"/>
      <c r="GL878" s="54"/>
      <c r="GM878" s="447"/>
      <c r="GN878" s="54"/>
      <c r="GO878" s="447"/>
      <c r="GP878" s="54"/>
      <c r="GQ878" s="447"/>
      <c r="GR878" s="70">
        <f>GR676</f>
        <v>3000</v>
      </c>
      <c r="GS878" s="447"/>
      <c r="GT878" s="70">
        <f>GT676</f>
        <v>3000</v>
      </c>
      <c r="GU878" s="447"/>
      <c r="GV878" s="70">
        <f>GV676</f>
        <v>3000</v>
      </c>
      <c r="GW878" s="447"/>
      <c r="GX878" s="70">
        <f>GX676</f>
        <v>3000</v>
      </c>
      <c r="GY878" s="447"/>
      <c r="GZ878" s="52"/>
      <c r="HA878" s="52"/>
      <c r="HB878" s="10"/>
      <c r="HC878"/>
      <c r="HD878"/>
      <c r="HE878"/>
      <c r="HF878"/>
      <c r="HG878"/>
      <c r="HH878"/>
      <c r="HI878" s="10"/>
    </row>
    <row r="879" spans="1:217" s="3" customFormat="1" ht="12.75" hidden="1" customHeight="1" outlineLevel="1" x14ac:dyDescent="0.2">
      <c r="B879" s="60" t="s">
        <v>185</v>
      </c>
      <c r="C879" s="51"/>
      <c r="D879" s="52"/>
      <c r="E879" s="51"/>
      <c r="F879" s="52"/>
      <c r="G879" s="51"/>
      <c r="H879" s="52"/>
      <c r="I879" s="51"/>
      <c r="J879" s="52"/>
      <c r="K879" s="51"/>
      <c r="L879" s="52"/>
      <c r="M879" s="51"/>
      <c r="N879" s="52"/>
      <c r="O879" s="51"/>
      <c r="P879" s="52"/>
      <c r="Q879" s="51"/>
      <c r="R879" s="52"/>
      <c r="S879" s="51"/>
      <c r="T879" s="52"/>
      <c r="U879" s="51"/>
      <c r="V879" s="52"/>
      <c r="W879" s="51"/>
      <c r="X879" s="52"/>
      <c r="Y879" s="51"/>
      <c r="Z879" s="52"/>
      <c r="AA879" s="51"/>
      <c r="AB879" s="52"/>
      <c r="AC879" s="51"/>
      <c r="AD879" s="52"/>
      <c r="AE879" s="51"/>
      <c r="AF879" s="52"/>
      <c r="AG879" s="53"/>
      <c r="AH879" s="52"/>
      <c r="AI879" s="53"/>
      <c r="AJ879" s="52"/>
      <c r="AK879" s="53"/>
      <c r="AL879" s="52"/>
      <c r="AM879" s="53"/>
      <c r="AN879" s="52"/>
      <c r="AO879" s="53"/>
      <c r="AP879" s="52"/>
      <c r="AQ879" s="53"/>
      <c r="AR879" s="52"/>
      <c r="AS879" s="53"/>
      <c r="AT879" s="52"/>
      <c r="AU879" s="53"/>
      <c r="AV879" s="52"/>
      <c r="AW879" s="53"/>
      <c r="AX879" s="52"/>
      <c r="AY879" s="54"/>
      <c r="AZ879" s="447"/>
      <c r="BA879" s="54"/>
      <c r="BB879" s="447"/>
      <c r="BC879" s="54"/>
      <c r="BD879" s="447"/>
      <c r="BE879" s="54"/>
      <c r="BF879" s="447"/>
      <c r="BG879" s="54"/>
      <c r="BH879" s="447"/>
      <c r="BI879" s="54"/>
      <c r="BJ879" s="447"/>
      <c r="BK879" s="54"/>
      <c r="BL879" s="53"/>
      <c r="BM879" s="54"/>
      <c r="BN879" s="53"/>
      <c r="BO879" s="54"/>
      <c r="BP879" s="447"/>
      <c r="BQ879" s="54"/>
      <c r="BR879" s="447"/>
      <c r="BS879" s="54"/>
      <c r="BT879" s="447"/>
      <c r="BU879" s="54"/>
      <c r="BV879" s="52"/>
      <c r="BW879" s="54"/>
      <c r="BX879" s="52"/>
      <c r="BY879" s="54"/>
      <c r="BZ879" s="52"/>
      <c r="CA879" s="54"/>
      <c r="CB879" s="52"/>
      <c r="CC879" s="54"/>
      <c r="CD879" s="52"/>
      <c r="CE879" s="54"/>
      <c r="CF879" s="52"/>
      <c r="CG879" s="54"/>
      <c r="CH879" s="52"/>
      <c r="CI879" s="54"/>
      <c r="CJ879" s="52"/>
      <c r="CK879" s="54"/>
      <c r="CL879" s="52"/>
      <c r="CM879" s="54"/>
      <c r="CN879" s="52"/>
      <c r="CO879" s="54"/>
      <c r="CP879" s="52"/>
      <c r="CQ879" s="476"/>
      <c r="CR879" s="52"/>
      <c r="CS879" s="72"/>
      <c r="CT879" s="52"/>
      <c r="CU879" s="72"/>
      <c r="CV879" s="52"/>
      <c r="CW879" s="72"/>
      <c r="CX879" s="52"/>
      <c r="CY879" s="72"/>
      <c r="CZ879" s="52"/>
      <c r="DA879" s="72"/>
      <c r="DB879" s="52"/>
      <c r="DC879" s="72"/>
      <c r="DD879" s="52"/>
      <c r="DE879" s="72"/>
      <c r="DF879" s="52"/>
      <c r="DG879" s="72"/>
      <c r="DH879" s="52"/>
      <c r="DI879" s="72"/>
      <c r="DJ879" s="52"/>
      <c r="DK879" s="72"/>
      <c r="DL879" s="52"/>
      <c r="DM879" s="72"/>
      <c r="DN879" s="52"/>
      <c r="DO879" s="72"/>
      <c r="DP879" s="52"/>
      <c r="DQ879" s="72"/>
      <c r="DR879" s="52"/>
      <c r="DS879" s="72"/>
      <c r="DT879" s="52"/>
      <c r="DU879" s="72"/>
      <c r="DV879" s="52"/>
      <c r="DW879" s="72"/>
      <c r="DX879" s="52"/>
      <c r="DY879" s="72"/>
      <c r="DZ879" s="52"/>
      <c r="EA879" s="72"/>
      <c r="EB879" s="52"/>
      <c r="EC879" s="72"/>
      <c r="ED879" s="72"/>
      <c r="EE879" s="72"/>
      <c r="EF879" s="72"/>
      <c r="EG879" s="72"/>
      <c r="EH879" s="72"/>
      <c r="EI879" s="72"/>
      <c r="EJ879" s="72"/>
      <c r="EK879" s="72"/>
      <c r="EL879" s="72"/>
      <c r="EM879" s="72"/>
      <c r="EN879" s="72"/>
      <c r="EO879" s="72"/>
      <c r="EP879" s="72"/>
      <c r="EQ879" s="72"/>
      <c r="ER879" s="72"/>
      <c r="ES879" s="72"/>
      <c r="ET879" s="72"/>
      <c r="EU879" s="72"/>
      <c r="EV879" s="72"/>
      <c r="EW879" s="72"/>
      <c r="EX879" s="72"/>
      <c r="EY879" s="72"/>
      <c r="EZ879" s="587"/>
      <c r="FA879" s="417"/>
      <c r="FB879" s="56"/>
      <c r="FC879" s="55"/>
      <c r="FD879" s="56"/>
      <c r="FE879" s="52"/>
      <c r="FF879" s="57"/>
      <c r="FG879" s="52"/>
      <c r="FH879" s="58"/>
      <c r="FI879" s="52"/>
      <c r="FJ879" s="58"/>
      <c r="FK879" s="52"/>
      <c r="FL879" s="58"/>
      <c r="FM879" s="52"/>
      <c r="FN879" s="58"/>
      <c r="FO879" s="52"/>
      <c r="FP879" s="58"/>
      <c r="FQ879" s="52"/>
      <c r="FR879" s="58"/>
      <c r="FS879" s="447"/>
      <c r="FT879" s="58"/>
      <c r="FU879" s="447"/>
      <c r="FV879" s="58"/>
      <c r="FW879" s="447"/>
      <c r="FX879" s="477"/>
      <c r="FY879" s="447"/>
      <c r="FZ879" s="72"/>
      <c r="GA879" s="447"/>
      <c r="GB879" s="477"/>
      <c r="GC879" s="447"/>
      <c r="GD879" s="72"/>
      <c r="GE879" s="447"/>
      <c r="GF879" s="72"/>
      <c r="GG879" s="447"/>
      <c r="GH879" s="72"/>
      <c r="GI879" s="447"/>
      <c r="GJ879" s="72"/>
      <c r="GK879" s="447"/>
      <c r="GL879" s="72"/>
      <c r="GM879" s="447"/>
      <c r="GN879" s="72"/>
      <c r="GO879" s="447"/>
      <c r="GP879" s="72"/>
      <c r="GQ879" s="447"/>
      <c r="GR879" s="71">
        <v>200</v>
      </c>
      <c r="GS879" s="447"/>
      <c r="GT879" s="71">
        <v>200</v>
      </c>
      <c r="GU879" s="447"/>
      <c r="GV879" s="71">
        <v>200</v>
      </c>
      <c r="GW879" s="447"/>
      <c r="GX879" s="71">
        <v>200</v>
      </c>
      <c r="GY879" s="447"/>
      <c r="GZ879" s="52"/>
      <c r="HA879" s="52"/>
      <c r="HB879" s="10"/>
      <c r="HC879"/>
      <c r="HD879"/>
      <c r="HE879"/>
      <c r="HF879"/>
      <c r="HG879"/>
      <c r="HH879"/>
      <c r="HI879" s="10"/>
    </row>
    <row r="880" spans="1:217" s="3" customFormat="1" ht="12.75" hidden="1" customHeight="1" outlineLevel="1" x14ac:dyDescent="0.2">
      <c r="B880" s="60" t="s">
        <v>186</v>
      </c>
      <c r="C880" s="51"/>
      <c r="D880" s="52"/>
      <c r="E880" s="51"/>
      <c r="F880" s="52"/>
      <c r="G880" s="51"/>
      <c r="H880" s="52"/>
      <c r="I880" s="51"/>
      <c r="J880" s="52"/>
      <c r="K880" s="51"/>
      <c r="L880" s="52"/>
      <c r="M880" s="51"/>
      <c r="N880" s="52"/>
      <c r="O880" s="51"/>
      <c r="P880" s="52"/>
      <c r="Q880" s="51"/>
      <c r="R880" s="52"/>
      <c r="S880" s="51"/>
      <c r="T880" s="52"/>
      <c r="U880" s="51"/>
      <c r="V880" s="52"/>
      <c r="W880" s="51"/>
      <c r="X880" s="52"/>
      <c r="Y880" s="51"/>
      <c r="Z880" s="52"/>
      <c r="AA880" s="51"/>
      <c r="AB880" s="52"/>
      <c r="AC880" s="51"/>
      <c r="AD880" s="52"/>
      <c r="AE880" s="51"/>
      <c r="AF880" s="52"/>
      <c r="AG880" s="53"/>
      <c r="AH880" s="52"/>
      <c r="AI880" s="53"/>
      <c r="AJ880" s="52"/>
      <c r="AK880" s="53"/>
      <c r="AL880" s="52"/>
      <c r="AM880" s="53"/>
      <c r="AN880" s="52"/>
      <c r="AO880" s="53"/>
      <c r="AP880" s="52"/>
      <c r="AQ880" s="53"/>
      <c r="AR880" s="52"/>
      <c r="AS880" s="53"/>
      <c r="AT880" s="52"/>
      <c r="AU880" s="53"/>
      <c r="AV880" s="52"/>
      <c r="AW880" s="53"/>
      <c r="AX880" s="52"/>
      <c r="AY880" s="54"/>
      <c r="AZ880" s="447"/>
      <c r="BA880" s="54"/>
      <c r="BB880" s="447"/>
      <c r="BC880" s="54"/>
      <c r="BD880" s="447"/>
      <c r="BE880" s="54"/>
      <c r="BF880" s="447"/>
      <c r="BG880" s="54"/>
      <c r="BH880" s="447"/>
      <c r="BI880" s="54"/>
      <c r="BJ880" s="447"/>
      <c r="BK880" s="54"/>
      <c r="BL880" s="53"/>
      <c r="BM880" s="54"/>
      <c r="BN880" s="53"/>
      <c r="BO880" s="54"/>
      <c r="BP880" s="447"/>
      <c r="BQ880" s="54"/>
      <c r="BR880" s="447"/>
      <c r="BS880" s="54"/>
      <c r="BT880" s="447"/>
      <c r="BU880" s="54"/>
      <c r="BV880" s="52"/>
      <c r="BW880" s="54"/>
      <c r="BX880" s="52"/>
      <c r="BY880" s="54"/>
      <c r="BZ880" s="52"/>
      <c r="CA880" s="54"/>
      <c r="CB880" s="52"/>
      <c r="CC880" s="54"/>
      <c r="CD880" s="52"/>
      <c r="CE880" s="54"/>
      <c r="CF880" s="52"/>
      <c r="CG880" s="54"/>
      <c r="CH880" s="52"/>
      <c r="CI880" s="54"/>
      <c r="CJ880" s="52"/>
      <c r="CK880" s="54"/>
      <c r="CL880" s="52"/>
      <c r="CM880" s="54"/>
      <c r="CN880" s="52"/>
      <c r="CO880" s="54"/>
      <c r="CP880" s="52"/>
      <c r="CQ880" s="476"/>
      <c r="CR880" s="52"/>
      <c r="CS880" s="72"/>
      <c r="CT880" s="52"/>
      <c r="CU880" s="72"/>
      <c r="CV880" s="52"/>
      <c r="CW880" s="72"/>
      <c r="CX880" s="52"/>
      <c r="CY880" s="72"/>
      <c r="CZ880" s="52"/>
      <c r="DA880" s="72"/>
      <c r="DB880" s="52"/>
      <c r="DC880" s="72"/>
      <c r="DD880" s="52"/>
      <c r="DE880" s="72"/>
      <c r="DF880" s="52"/>
      <c r="DG880" s="72"/>
      <c r="DH880" s="52"/>
      <c r="DI880" s="72"/>
      <c r="DJ880" s="52"/>
      <c r="DK880" s="72"/>
      <c r="DL880" s="52"/>
      <c r="DM880" s="72"/>
      <c r="DN880" s="52"/>
      <c r="DO880" s="72"/>
      <c r="DP880" s="52"/>
      <c r="DQ880" s="72"/>
      <c r="DR880" s="52"/>
      <c r="DS880" s="72"/>
      <c r="DT880" s="52"/>
      <c r="DU880" s="72"/>
      <c r="DV880" s="52"/>
      <c r="DW880" s="72"/>
      <c r="DX880" s="52"/>
      <c r="DY880" s="72"/>
      <c r="DZ880" s="52"/>
      <c r="EA880" s="72"/>
      <c r="EB880" s="52"/>
      <c r="EC880" s="72"/>
      <c r="ED880" s="72"/>
      <c r="EE880" s="72"/>
      <c r="EF880" s="72"/>
      <c r="EG880" s="72"/>
      <c r="EH880" s="72"/>
      <c r="EI880" s="72"/>
      <c r="EJ880" s="72"/>
      <c r="EK880" s="72"/>
      <c r="EL880" s="72"/>
      <c r="EM880" s="72"/>
      <c r="EN880" s="72"/>
      <c r="EO880" s="72"/>
      <c r="EP880" s="72"/>
      <c r="EQ880" s="72"/>
      <c r="ER880" s="72"/>
      <c r="ES880" s="72"/>
      <c r="ET880" s="72"/>
      <c r="EU880" s="72"/>
      <c r="EV880" s="72"/>
      <c r="EW880" s="72"/>
      <c r="EX880" s="72"/>
      <c r="EY880" s="72"/>
      <c r="EZ880" s="587"/>
      <c r="FA880" s="417"/>
      <c r="FB880" s="56"/>
      <c r="FC880" s="55"/>
      <c r="FD880" s="56"/>
      <c r="FE880" s="52"/>
      <c r="FF880" s="57"/>
      <c r="FG880" s="52"/>
      <c r="FH880" s="58"/>
      <c r="FI880" s="52"/>
      <c r="FJ880" s="58"/>
      <c r="FK880" s="52"/>
      <c r="FL880" s="58"/>
      <c r="FM880" s="52"/>
      <c r="FN880" s="58"/>
      <c r="FO880" s="52"/>
      <c r="FP880" s="58"/>
      <c r="FQ880" s="52"/>
      <c r="FR880" s="58"/>
      <c r="FS880" s="447"/>
      <c r="FT880" s="58"/>
      <c r="FU880" s="447"/>
      <c r="FV880" s="58"/>
      <c r="FW880" s="447"/>
      <c r="FX880" s="477"/>
      <c r="FY880" s="447"/>
      <c r="FZ880" s="72"/>
      <c r="GA880" s="447"/>
      <c r="GB880" s="477"/>
      <c r="GC880" s="447"/>
      <c r="GD880" s="72"/>
      <c r="GE880" s="447"/>
      <c r="GF880" s="72"/>
      <c r="GG880" s="447"/>
      <c r="GH880" s="72"/>
      <c r="GI880" s="447"/>
      <c r="GJ880" s="72"/>
      <c r="GK880" s="447"/>
      <c r="GL880" s="72"/>
      <c r="GM880" s="447"/>
      <c r="GN880" s="72"/>
      <c r="GO880" s="447"/>
      <c r="GP880" s="72"/>
      <c r="GQ880" s="447"/>
      <c r="GR880" s="73">
        <v>-200</v>
      </c>
      <c r="GS880" s="447"/>
      <c r="GT880" s="73">
        <v>-200</v>
      </c>
      <c r="GU880" s="447"/>
      <c r="GV880" s="73">
        <v>-200</v>
      </c>
      <c r="GW880" s="447"/>
      <c r="GX880" s="73">
        <v>-200</v>
      </c>
      <c r="GY880" s="447"/>
      <c r="GZ880" s="52"/>
      <c r="HA880" s="52"/>
      <c r="HB880" s="10"/>
      <c r="HC880"/>
      <c r="HD880"/>
      <c r="HE880"/>
      <c r="HF880"/>
      <c r="HG880"/>
      <c r="HH880"/>
      <c r="HI880" s="10"/>
    </row>
    <row r="881" spans="2:217" s="3" customFormat="1" ht="12.75" hidden="1" customHeight="1" outlineLevel="1" x14ac:dyDescent="0.2">
      <c r="B881" s="74"/>
      <c r="C881" s="51"/>
      <c r="D881" s="52"/>
      <c r="E881" s="51"/>
      <c r="F881" s="52"/>
      <c r="G881" s="51"/>
      <c r="H881" s="52"/>
      <c r="I881" s="51"/>
      <c r="J881" s="52"/>
      <c r="K881" s="51"/>
      <c r="L881" s="52"/>
      <c r="M881" s="51"/>
      <c r="N881" s="52"/>
      <c r="O881" s="51"/>
      <c r="P881" s="52"/>
      <c r="Q881" s="51"/>
      <c r="R881" s="52"/>
      <c r="S881" s="51"/>
      <c r="T881" s="52"/>
      <c r="U881" s="51"/>
      <c r="V881" s="52"/>
      <c r="W881" s="51"/>
      <c r="X881" s="52"/>
      <c r="Y881" s="51"/>
      <c r="Z881" s="52"/>
      <c r="AA881" s="51"/>
      <c r="AB881" s="52"/>
      <c r="AC881" s="51"/>
      <c r="AD881" s="52"/>
      <c r="AE881" s="51"/>
      <c r="AF881" s="52"/>
      <c r="AG881" s="53"/>
      <c r="AH881" s="52"/>
      <c r="AI881" s="53"/>
      <c r="AJ881" s="52"/>
      <c r="AK881" s="53"/>
      <c r="AL881" s="52"/>
      <c r="AM881" s="53"/>
      <c r="AN881" s="52"/>
      <c r="AO881" s="53"/>
      <c r="AP881" s="52"/>
      <c r="AQ881" s="53"/>
      <c r="AR881" s="52"/>
      <c r="AS881" s="53"/>
      <c r="AT881" s="52"/>
      <c r="AU881" s="53"/>
      <c r="AV881" s="52"/>
      <c r="AW881" s="53"/>
      <c r="AX881" s="52"/>
      <c r="AY881" s="54"/>
      <c r="AZ881" s="447"/>
      <c r="BA881" s="54"/>
      <c r="BB881" s="447"/>
      <c r="BC881" s="54"/>
      <c r="BD881" s="447"/>
      <c r="BE881" s="54"/>
      <c r="BF881" s="447"/>
      <c r="BG881" s="54"/>
      <c r="BH881" s="447"/>
      <c r="BI881" s="54"/>
      <c r="BJ881" s="447"/>
      <c r="BK881" s="54"/>
      <c r="BL881" s="53"/>
      <c r="BM881" s="54"/>
      <c r="BN881" s="53"/>
      <c r="BO881" s="54"/>
      <c r="BP881" s="447"/>
      <c r="BQ881" s="54"/>
      <c r="BR881" s="447"/>
      <c r="BS881" s="54"/>
      <c r="BT881" s="447"/>
      <c r="BU881" s="54"/>
      <c r="BV881" s="52"/>
      <c r="BW881" s="54"/>
      <c r="BX881" s="52"/>
      <c r="BY881" s="54"/>
      <c r="BZ881" s="52"/>
      <c r="CA881" s="54"/>
      <c r="CB881" s="52"/>
      <c r="CC881" s="54"/>
      <c r="CD881" s="52"/>
      <c r="CE881" s="54"/>
      <c r="CF881" s="52"/>
      <c r="CG881" s="54"/>
      <c r="CH881" s="52"/>
      <c r="CI881" s="54"/>
      <c r="CJ881" s="52"/>
      <c r="CK881" s="54"/>
      <c r="CL881" s="52"/>
      <c r="CM881" s="54"/>
      <c r="CN881" s="52"/>
      <c r="CO881" s="54"/>
      <c r="CP881" s="52"/>
      <c r="CQ881" s="476"/>
      <c r="CR881" s="52"/>
      <c r="CS881" s="54"/>
      <c r="CT881" s="52"/>
      <c r="CU881" s="54"/>
      <c r="CV881" s="52"/>
      <c r="CW881" s="54"/>
      <c r="CX881" s="52"/>
      <c r="CY881" s="54"/>
      <c r="CZ881" s="52"/>
      <c r="DA881" s="54"/>
      <c r="DB881" s="52"/>
      <c r="DC881" s="54"/>
      <c r="DD881" s="52"/>
      <c r="DE881" s="54"/>
      <c r="DF881" s="52"/>
      <c r="DG881" s="54"/>
      <c r="DH881" s="52"/>
      <c r="DI881" s="54"/>
      <c r="DJ881" s="52"/>
      <c r="DK881" s="54"/>
      <c r="DL881" s="52"/>
      <c r="DM881" s="54"/>
      <c r="DN881" s="52"/>
      <c r="DO881" s="54"/>
      <c r="DP881" s="52"/>
      <c r="DQ881" s="54"/>
      <c r="DR881" s="52"/>
      <c r="DS881" s="54"/>
      <c r="DT881" s="52"/>
      <c r="DU881" s="54"/>
      <c r="DV881" s="52"/>
      <c r="DW881" s="54"/>
      <c r="DX881" s="52"/>
      <c r="DY881" s="54"/>
      <c r="DZ881" s="52"/>
      <c r="EA881" s="54"/>
      <c r="EB881" s="52"/>
      <c r="EC881" s="54"/>
      <c r="ED881" s="54"/>
      <c r="EE881" s="54"/>
      <c r="EF881" s="54"/>
      <c r="EG881" s="54"/>
      <c r="EH881" s="54"/>
      <c r="EI881" s="54"/>
      <c r="EJ881" s="54"/>
      <c r="EK881" s="54"/>
      <c r="EL881" s="54"/>
      <c r="EM881" s="54"/>
      <c r="EN881" s="54"/>
      <c r="EO881" s="54"/>
      <c r="EP881" s="54"/>
      <c r="EQ881" s="54"/>
      <c r="ER881" s="54"/>
      <c r="ES881" s="54"/>
      <c r="ET881" s="54"/>
      <c r="EU881" s="54"/>
      <c r="EV881" s="54"/>
      <c r="EW881" s="54"/>
      <c r="EX881" s="54"/>
      <c r="EY881" s="54"/>
      <c r="EZ881" s="587"/>
      <c r="FA881" s="417"/>
      <c r="FB881" s="56"/>
      <c r="FC881" s="55"/>
      <c r="FD881" s="56"/>
      <c r="FE881" s="52"/>
      <c r="FF881" s="57"/>
      <c r="FG881" s="52"/>
      <c r="FH881" s="58"/>
      <c r="FI881" s="52"/>
      <c r="FJ881" s="58"/>
      <c r="FK881" s="52"/>
      <c r="FL881" s="58"/>
      <c r="FM881" s="52"/>
      <c r="FN881" s="58"/>
      <c r="FO881" s="52"/>
      <c r="FP881" s="58"/>
      <c r="FQ881" s="52"/>
      <c r="FR881" s="58"/>
      <c r="FS881" s="447"/>
      <c r="FT881" s="58"/>
      <c r="FU881" s="447"/>
      <c r="FV881" s="58"/>
      <c r="FW881" s="447"/>
      <c r="FX881" s="473"/>
      <c r="FY881" s="447"/>
      <c r="FZ881" s="58"/>
      <c r="GA881" s="447"/>
      <c r="GB881" s="473"/>
      <c r="GC881" s="447"/>
      <c r="GD881" s="58"/>
      <c r="GE881" s="447"/>
      <c r="GF881" s="58"/>
      <c r="GG881" s="447"/>
      <c r="GH881" s="58"/>
      <c r="GI881" s="447"/>
      <c r="GJ881" s="58"/>
      <c r="GK881" s="447"/>
      <c r="GL881" s="58"/>
      <c r="GM881" s="447"/>
      <c r="GN881" s="58"/>
      <c r="GO881" s="447"/>
      <c r="GP881" s="58"/>
      <c r="GQ881" s="447"/>
      <c r="GR881" s="58"/>
      <c r="GS881" s="447"/>
      <c r="GT881" s="58"/>
      <c r="GU881" s="447"/>
      <c r="GV881" s="58"/>
      <c r="GW881" s="447"/>
      <c r="GX881" s="58"/>
      <c r="GY881" s="447"/>
      <c r="GZ881" s="52"/>
      <c r="HA881" s="52"/>
      <c r="HB881" s="10"/>
      <c r="HC881"/>
      <c r="HD881"/>
      <c r="HE881"/>
      <c r="HF881"/>
      <c r="HG881"/>
      <c r="HH881"/>
      <c r="HI881" s="10"/>
    </row>
    <row r="882" spans="2:217" s="3" customFormat="1" ht="12.75" hidden="1" customHeight="1" outlineLevel="1" x14ac:dyDescent="0.2">
      <c r="B882" s="75" t="s">
        <v>320</v>
      </c>
      <c r="C882" s="51"/>
      <c r="D882" s="52"/>
      <c r="E882" s="51"/>
      <c r="F882" s="52"/>
      <c r="G882" s="51"/>
      <c r="H882" s="52"/>
      <c r="I882" s="51"/>
      <c r="J882" s="52"/>
      <c r="K882" s="51"/>
      <c r="L882" s="52"/>
      <c r="M882" s="51"/>
      <c r="N882" s="52"/>
      <c r="O882" s="51"/>
      <c r="P882" s="52"/>
      <c r="Q882" s="51"/>
      <c r="R882" s="52"/>
      <c r="S882" s="51"/>
      <c r="T882" s="52"/>
      <c r="U882" s="51"/>
      <c r="V882" s="52"/>
      <c r="W882" s="51"/>
      <c r="X882" s="52"/>
      <c r="Y882" s="51"/>
      <c r="Z882" s="52"/>
      <c r="AA882" s="51"/>
      <c r="AB882" s="52"/>
      <c r="AC882" s="51"/>
      <c r="AD882" s="52"/>
      <c r="AE882" s="51"/>
      <c r="AF882" s="52"/>
      <c r="AG882" s="53"/>
      <c r="AH882" s="52"/>
      <c r="AI882" s="53"/>
      <c r="AJ882" s="52"/>
      <c r="AK882" s="53"/>
      <c r="AL882" s="52"/>
      <c r="AM882" s="53"/>
      <c r="AN882" s="52"/>
      <c r="AO882" s="53"/>
      <c r="AP882" s="52"/>
      <c r="AQ882" s="53"/>
      <c r="AR882" s="52"/>
      <c r="AS882" s="53"/>
      <c r="AT882" s="52"/>
      <c r="AU882" s="53"/>
      <c r="AV882" s="52"/>
      <c r="AW882" s="53"/>
      <c r="AX882" s="52"/>
      <c r="AY882" s="54"/>
      <c r="AZ882" s="447"/>
      <c r="BA882" s="54"/>
      <c r="BB882" s="447"/>
      <c r="BC882" s="54"/>
      <c r="BD882" s="447"/>
      <c r="BE882" s="54"/>
      <c r="BF882" s="447"/>
      <c r="BG882" s="54"/>
      <c r="BH882" s="447"/>
      <c r="BI882" s="54"/>
      <c r="BJ882" s="447"/>
      <c r="BK882" s="54"/>
      <c r="BL882" s="53"/>
      <c r="BM882" s="54"/>
      <c r="BN882" s="53"/>
      <c r="BO882" s="54"/>
      <c r="BP882" s="447"/>
      <c r="BQ882" s="54"/>
      <c r="BR882" s="447"/>
      <c r="BS882" s="54"/>
      <c r="BT882" s="447"/>
      <c r="BU882" s="54"/>
      <c r="BV882" s="52"/>
      <c r="BW882" s="54"/>
      <c r="BX882" s="52"/>
      <c r="BY882" s="54"/>
      <c r="BZ882" s="52"/>
      <c r="CA882" s="54"/>
      <c r="CB882" s="52"/>
      <c r="CC882" s="54"/>
      <c r="CD882" s="52"/>
      <c r="CE882" s="54"/>
      <c r="CF882" s="52"/>
      <c r="CG882" s="54"/>
      <c r="CH882" s="52"/>
      <c r="CI882" s="54"/>
      <c r="CJ882" s="52"/>
      <c r="CK882" s="54"/>
      <c r="CL882" s="52"/>
      <c r="CM882" s="54"/>
      <c r="CN882" s="52"/>
      <c r="CO882" s="54"/>
      <c r="CP882" s="52"/>
      <c r="CQ882" s="476"/>
      <c r="CR882" s="52"/>
      <c r="CS882" s="54"/>
      <c r="CT882" s="52"/>
      <c r="CU882" s="54"/>
      <c r="CV882" s="52"/>
      <c r="CW882" s="54"/>
      <c r="CX882" s="52"/>
      <c r="CY882" s="54"/>
      <c r="CZ882" s="52"/>
      <c r="DA882" s="54"/>
      <c r="DB882" s="52"/>
      <c r="DC882" s="54"/>
      <c r="DD882" s="52"/>
      <c r="DE882" s="54"/>
      <c r="DF882" s="52"/>
      <c r="DG882" s="54"/>
      <c r="DH882" s="52"/>
      <c r="DI882" s="54"/>
      <c r="DJ882" s="52"/>
      <c r="DK882" s="54"/>
      <c r="DL882" s="52"/>
      <c r="DM882" s="54"/>
      <c r="DN882" s="52"/>
      <c r="DO882" s="54"/>
      <c r="DP882" s="52"/>
      <c r="DQ882" s="54"/>
      <c r="DR882" s="52"/>
      <c r="DS882" s="54"/>
      <c r="DT882" s="52"/>
      <c r="DU882" s="54"/>
      <c r="DV882" s="52"/>
      <c r="DW882" s="54"/>
      <c r="DX882" s="52"/>
      <c r="DY882" s="54"/>
      <c r="DZ882" s="52"/>
      <c r="EA882" s="54"/>
      <c r="EB882" s="52"/>
      <c r="EC882" s="54"/>
      <c r="ED882" s="54"/>
      <c r="EE882" s="54"/>
      <c r="EF882" s="54"/>
      <c r="EG882" s="54"/>
      <c r="EH882" s="54"/>
      <c r="EI882" s="54"/>
      <c r="EJ882" s="54"/>
      <c r="EK882" s="54"/>
      <c r="EL882" s="54"/>
      <c r="EM882" s="54"/>
      <c r="EN882" s="54"/>
      <c r="EO882" s="54"/>
      <c r="EP882" s="54"/>
      <c r="EQ882" s="54"/>
      <c r="ER882" s="54"/>
      <c r="ES882" s="54"/>
      <c r="ET882" s="54"/>
      <c r="EU882" s="54"/>
      <c r="EV882" s="54"/>
      <c r="EW882" s="54"/>
      <c r="EX882" s="54"/>
      <c r="EY882" s="54"/>
      <c r="EZ882" s="587"/>
      <c r="FA882" s="417"/>
      <c r="FB882" s="56"/>
      <c r="FC882" s="55"/>
      <c r="FD882" s="56"/>
      <c r="FE882" s="52"/>
      <c r="FF882" s="57"/>
      <c r="FG882" s="52"/>
      <c r="FH882" s="58"/>
      <c r="FI882" s="52"/>
      <c r="FJ882" s="58"/>
      <c r="FK882" s="52"/>
      <c r="FL882" s="58"/>
      <c r="FM882" s="52"/>
      <c r="FN882" s="58"/>
      <c r="FO882" s="52"/>
      <c r="FP882" s="58"/>
      <c r="FQ882" s="52"/>
      <c r="FR882" s="58"/>
      <c r="FS882" s="447"/>
      <c r="FT882" s="58"/>
      <c r="FU882" s="447"/>
      <c r="FV882" s="58"/>
      <c r="FW882" s="447"/>
      <c r="FX882" s="473"/>
      <c r="FY882" s="447"/>
      <c r="FZ882" s="58"/>
      <c r="GA882" s="447"/>
      <c r="GB882" s="473"/>
      <c r="GC882" s="447"/>
      <c r="GD882" s="58"/>
      <c r="GE882" s="447"/>
      <c r="GF882" s="58"/>
      <c r="GG882" s="447"/>
      <c r="GH882" s="58"/>
      <c r="GI882" s="447"/>
      <c r="GJ882" s="58"/>
      <c r="GK882" s="447"/>
      <c r="GL882" s="58"/>
      <c r="GM882" s="447"/>
      <c r="GN882" s="58"/>
      <c r="GO882" s="447"/>
      <c r="GP882" s="58"/>
      <c r="GQ882" s="447"/>
      <c r="GR882" s="58"/>
      <c r="GS882" s="447"/>
      <c r="GT882" s="58"/>
      <c r="GU882" s="447"/>
      <c r="GV882" s="58"/>
      <c r="GW882" s="447"/>
      <c r="GX882" s="58"/>
      <c r="GY882" s="447"/>
      <c r="GZ882" s="52"/>
      <c r="HA882" s="52"/>
      <c r="HB882" s="10"/>
      <c r="HC882"/>
      <c r="HD882"/>
      <c r="HE882"/>
      <c r="HF882"/>
      <c r="HG882"/>
      <c r="HH882"/>
      <c r="HI882" s="10"/>
    </row>
    <row r="883" spans="2:217" s="3" customFormat="1" ht="12.75" hidden="1" customHeight="1" outlineLevel="1" x14ac:dyDescent="0.2">
      <c r="B883" s="60" t="s">
        <v>265</v>
      </c>
      <c r="C883" s="51"/>
      <c r="D883" s="52"/>
      <c r="E883" s="51"/>
      <c r="F883" s="52"/>
      <c r="G883" s="51"/>
      <c r="H883" s="52"/>
      <c r="I883" s="51"/>
      <c r="J883" s="52"/>
      <c r="K883" s="51"/>
      <c r="L883" s="52"/>
      <c r="M883" s="51"/>
      <c r="N883" s="52"/>
      <c r="O883" s="51"/>
      <c r="P883" s="52"/>
      <c r="Q883" s="51"/>
      <c r="R883" s="52"/>
      <c r="S883" s="51"/>
      <c r="T883" s="52"/>
      <c r="U883" s="51"/>
      <c r="V883" s="52"/>
      <c r="W883" s="51"/>
      <c r="X883" s="52"/>
      <c r="Y883" s="51"/>
      <c r="Z883" s="52"/>
      <c r="AA883" s="51"/>
      <c r="AB883" s="52"/>
      <c r="AC883" s="51"/>
      <c r="AD883" s="52"/>
      <c r="AE883" s="51"/>
      <c r="AF883" s="52"/>
      <c r="AG883" s="53"/>
      <c r="AH883" s="52"/>
      <c r="AI883" s="53"/>
      <c r="AJ883" s="52"/>
      <c r="AK883" s="53"/>
      <c r="AL883" s="52"/>
      <c r="AM883" s="53"/>
      <c r="AN883" s="52"/>
      <c r="AO883" s="53"/>
      <c r="AP883" s="52"/>
      <c r="AQ883" s="53"/>
      <c r="AR883" s="52"/>
      <c r="AS883" s="53"/>
      <c r="AT883" s="52"/>
      <c r="AU883" s="53"/>
      <c r="AV883" s="52"/>
      <c r="AW883" s="53"/>
      <c r="AX883" s="52"/>
      <c r="AY883" s="54"/>
      <c r="AZ883" s="447"/>
      <c r="BA883" s="54"/>
      <c r="BB883" s="447"/>
      <c r="BC883" s="54"/>
      <c r="BD883" s="447"/>
      <c r="BE883" s="54"/>
      <c r="BF883" s="447"/>
      <c r="BG883" s="54"/>
      <c r="BH883" s="447"/>
      <c r="BI883" s="54"/>
      <c r="BJ883" s="447"/>
      <c r="BK883" s="54"/>
      <c r="BL883" s="53"/>
      <c r="BM883" s="54"/>
      <c r="BN883" s="53"/>
      <c r="BO883" s="54"/>
      <c r="BP883" s="447"/>
      <c r="BQ883" s="54"/>
      <c r="BR883" s="447"/>
      <c r="BS883" s="54"/>
      <c r="BT883" s="447"/>
      <c r="BU883" s="54"/>
      <c r="BV883" s="450"/>
      <c r="BW883" s="54"/>
      <c r="BX883" s="450"/>
      <c r="BY883" s="54"/>
      <c r="BZ883" s="450"/>
      <c r="CA883" s="54"/>
      <c r="CB883" s="450"/>
      <c r="CC883" s="54"/>
      <c r="CD883" s="450"/>
      <c r="CE883" s="54"/>
      <c r="CF883" s="450"/>
      <c r="CG883" s="54"/>
      <c r="CH883" s="450"/>
      <c r="CI883" s="54"/>
      <c r="CJ883" s="450"/>
      <c r="CK883" s="54"/>
      <c r="CL883" s="450"/>
      <c r="CM883" s="54"/>
      <c r="CN883" s="450"/>
      <c r="CO883" s="54"/>
      <c r="CP883" s="450"/>
      <c r="CQ883" s="476"/>
      <c r="CR883" s="450"/>
      <c r="CS883" s="61"/>
      <c r="CT883" s="450"/>
      <c r="CU883" s="61"/>
      <c r="CV883" s="450"/>
      <c r="CW883" s="61"/>
      <c r="CX883" s="450"/>
      <c r="CY883" s="61"/>
      <c r="CZ883" s="450"/>
      <c r="DA883" s="61"/>
      <c r="DB883" s="450"/>
      <c r="DC883" s="61"/>
      <c r="DD883" s="450"/>
      <c r="DE883" s="61"/>
      <c r="DF883" s="450"/>
      <c r="DG883" s="61"/>
      <c r="DH883" s="450"/>
      <c r="DI883" s="61"/>
      <c r="DJ883" s="450"/>
      <c r="DK883" s="61"/>
      <c r="DL883" s="450"/>
      <c r="DM883" s="61"/>
      <c r="DN883" s="450"/>
      <c r="DO883" s="61"/>
      <c r="DP883" s="450"/>
      <c r="DQ883" s="61"/>
      <c r="DR883" s="450"/>
      <c r="DS883" s="61"/>
      <c r="DT883" s="450"/>
      <c r="DU883" s="61"/>
      <c r="DV883" s="450"/>
      <c r="DW883" s="61"/>
      <c r="DX883" s="450"/>
      <c r="DY883" s="61"/>
      <c r="DZ883" s="450"/>
      <c r="EA883" s="61"/>
      <c r="EB883" s="450"/>
      <c r="EC883" s="61"/>
      <c r="ED883" s="61"/>
      <c r="EE883" s="61"/>
      <c r="EF883" s="61"/>
      <c r="EG883" s="61"/>
      <c r="EH883" s="61"/>
      <c r="EI883" s="61"/>
      <c r="EJ883" s="61"/>
      <c r="EK883" s="61"/>
      <c r="EL883" s="61"/>
      <c r="EM883" s="61"/>
      <c r="EN883" s="61"/>
      <c r="EO883" s="61"/>
      <c r="EP883" s="61"/>
      <c r="EQ883" s="61"/>
      <c r="ER883" s="61"/>
      <c r="ES883" s="61"/>
      <c r="ET883" s="61"/>
      <c r="EU883" s="61"/>
      <c r="EV883" s="61"/>
      <c r="EW883" s="61"/>
      <c r="EX883" s="61"/>
      <c r="EY883" s="61"/>
      <c r="EZ883" s="587"/>
      <c r="FA883" s="417"/>
      <c r="FB883" s="63"/>
      <c r="FC883" s="61"/>
      <c r="FD883" s="63"/>
      <c r="FE883" s="450"/>
      <c r="FF883" s="64"/>
      <c r="FG883" s="450"/>
      <c r="FH883" s="61"/>
      <c r="FI883" s="450"/>
      <c r="FJ883" s="61"/>
      <c r="FK883" s="450"/>
      <c r="FL883" s="61"/>
      <c r="FM883" s="450"/>
      <c r="FN883" s="61"/>
      <c r="FO883" s="450"/>
      <c r="FP883" s="61"/>
      <c r="FQ883" s="450"/>
      <c r="FR883" s="61"/>
      <c r="FS883" s="447"/>
      <c r="FT883" s="61"/>
      <c r="FU883" s="447"/>
      <c r="FV883" s="61"/>
      <c r="FW883" s="447"/>
      <c r="FX883" s="474"/>
      <c r="FY883" s="447"/>
      <c r="FZ883" s="61"/>
      <c r="GA883" s="447"/>
      <c r="GB883" s="474"/>
      <c r="GC883" s="447"/>
      <c r="GD883" s="61"/>
      <c r="GE883" s="447"/>
      <c r="GF883" s="61"/>
      <c r="GG883" s="447"/>
      <c r="GH883" s="61"/>
      <c r="GI883" s="447"/>
      <c r="GJ883" s="61"/>
      <c r="GK883" s="447"/>
      <c r="GL883" s="61"/>
      <c r="GM883" s="447"/>
      <c r="GN883" s="61"/>
      <c r="GO883" s="447"/>
      <c r="GP883" s="61"/>
      <c r="GQ883" s="447"/>
      <c r="GR883" s="62" t="e">
        <f>(+GR560+GR174+#REF!+#REF!+#REF!+GR356)/(+GR557++GR165+#REF!+#REF!+#REF!+GR349)*100</f>
        <v>#REF!</v>
      </c>
      <c r="GS883" s="447"/>
      <c r="GT883" s="62" t="e">
        <f>(+GT560+GT174+#REF!+#REF!+#REF!+GT356)/(+GT557++GT165+#REF!+#REF!+#REF!+GT349)*100</f>
        <v>#REF!</v>
      </c>
      <c r="GU883" s="447"/>
      <c r="GV883" s="62" t="e">
        <f>(+GV560+GV174+#REF!+#REF!+#REF!+GV356)/(+GV557++GV165+#REF!+#REF!+#REF!+GV349)*100</f>
        <v>#REF!</v>
      </c>
      <c r="GW883" s="447"/>
      <c r="GX883" s="62" t="e">
        <f>(+GX560+GX174+#REF!+#REF!+#REF!+GX356)/(+GX557++GX165+#REF!+#REF!+#REF!+GX349)*100</f>
        <v>#REF!</v>
      </c>
      <c r="GY883" s="447"/>
      <c r="GZ883" s="52"/>
      <c r="HA883" s="52"/>
      <c r="HB883" s="10"/>
      <c r="HC883"/>
      <c r="HD883"/>
      <c r="HE883"/>
      <c r="HF883"/>
      <c r="HG883"/>
      <c r="HH883"/>
      <c r="HI883" s="10"/>
    </row>
    <row r="884" spans="2:217" s="3" customFormat="1" ht="12.75" hidden="1" customHeight="1" outlineLevel="1" x14ac:dyDescent="0.2">
      <c r="B884" s="60" t="s">
        <v>187</v>
      </c>
      <c r="C884" s="51"/>
      <c r="D884" s="52"/>
      <c r="E884" s="51"/>
      <c r="F884" s="52"/>
      <c r="G884" s="51"/>
      <c r="H884" s="52"/>
      <c r="I884" s="51"/>
      <c r="J884" s="52"/>
      <c r="K884" s="51"/>
      <c r="L884" s="52"/>
      <c r="M884" s="51"/>
      <c r="N884" s="52"/>
      <c r="O884" s="51"/>
      <c r="P884" s="52"/>
      <c r="Q884" s="51"/>
      <c r="R884" s="52"/>
      <c r="S884" s="51"/>
      <c r="T884" s="52"/>
      <c r="U884" s="51"/>
      <c r="V884" s="52"/>
      <c r="W884" s="51"/>
      <c r="X884" s="52"/>
      <c r="Y884" s="51"/>
      <c r="Z884" s="52"/>
      <c r="AA884" s="51"/>
      <c r="AB884" s="52"/>
      <c r="AC884" s="51"/>
      <c r="AD884" s="52"/>
      <c r="AE884" s="51"/>
      <c r="AF884" s="52"/>
      <c r="AG884" s="53"/>
      <c r="AH884" s="52"/>
      <c r="AI884" s="53"/>
      <c r="AJ884" s="52"/>
      <c r="AK884" s="53"/>
      <c r="AL884" s="52"/>
      <c r="AM884" s="53"/>
      <c r="AN884" s="52"/>
      <c r="AO884" s="53"/>
      <c r="AP884" s="52"/>
      <c r="AQ884" s="53"/>
      <c r="AR884" s="52"/>
      <c r="AS884" s="53"/>
      <c r="AT884" s="52"/>
      <c r="AU884" s="53"/>
      <c r="AV884" s="52"/>
      <c r="AW884" s="53"/>
      <c r="AX884" s="52"/>
      <c r="AY884" s="54"/>
      <c r="AZ884" s="447"/>
      <c r="BA884" s="54"/>
      <c r="BB884" s="447"/>
      <c r="BC884" s="54"/>
      <c r="BD884" s="447"/>
      <c r="BE884" s="54"/>
      <c r="BF884" s="447"/>
      <c r="BG884" s="54"/>
      <c r="BH884" s="447"/>
      <c r="BI884" s="54"/>
      <c r="BJ884" s="447"/>
      <c r="BK884" s="54"/>
      <c r="BL884" s="53"/>
      <c r="BM884" s="54"/>
      <c r="BN884" s="53"/>
      <c r="BO884" s="54"/>
      <c r="BP884" s="447"/>
      <c r="BQ884" s="54"/>
      <c r="BR884" s="449"/>
      <c r="BS884" s="54"/>
      <c r="BT884" s="449"/>
      <c r="BU884" s="54"/>
      <c r="BV884" s="451"/>
      <c r="BW884" s="54"/>
      <c r="BX884" s="451"/>
      <c r="BY884" s="54"/>
      <c r="BZ884" s="451"/>
      <c r="CA884" s="54"/>
      <c r="CB884" s="451"/>
      <c r="CC884" s="54"/>
      <c r="CD884" s="451"/>
      <c r="CE884" s="54"/>
      <c r="CF884" s="451"/>
      <c r="CG884" s="54"/>
      <c r="CH884" s="451"/>
      <c r="CI884" s="54"/>
      <c r="CJ884" s="451"/>
      <c r="CK884" s="54"/>
      <c r="CL884" s="451"/>
      <c r="CM884" s="54"/>
      <c r="CN884" s="451"/>
      <c r="CO884" s="54"/>
      <c r="CP884" s="451"/>
      <c r="CQ884" s="476"/>
      <c r="CR884" s="451"/>
      <c r="CS884" s="67"/>
      <c r="CT884" s="451"/>
      <c r="CU884" s="67"/>
      <c r="CV884" s="451"/>
      <c r="CW884" s="67"/>
      <c r="CX884" s="451"/>
      <c r="CY884" s="67"/>
      <c r="CZ884" s="451"/>
      <c r="DA884" s="67"/>
      <c r="DB884" s="451"/>
      <c r="DC884" s="67"/>
      <c r="DD884" s="451"/>
      <c r="DE884" s="67"/>
      <c r="DF884" s="451"/>
      <c r="DG884" s="67"/>
      <c r="DH884" s="451"/>
      <c r="DI884" s="67"/>
      <c r="DJ884" s="451"/>
      <c r="DK884" s="67"/>
      <c r="DL884" s="451"/>
      <c r="DM884" s="67"/>
      <c r="DN884" s="451"/>
      <c r="DO884" s="67"/>
      <c r="DP884" s="451"/>
      <c r="DQ884" s="67"/>
      <c r="DR884" s="451"/>
      <c r="DS884" s="67"/>
      <c r="DT884" s="451"/>
      <c r="DU884" s="67"/>
      <c r="DV884" s="451"/>
      <c r="DW884" s="67"/>
      <c r="DX884" s="451"/>
      <c r="DY884" s="67"/>
      <c r="DZ884" s="451"/>
      <c r="EA884" s="67"/>
      <c r="EB884" s="451"/>
      <c r="EC884" s="67"/>
      <c r="ED884" s="67"/>
      <c r="EE884" s="67"/>
      <c r="EF884" s="67"/>
      <c r="EG884" s="67"/>
      <c r="EH884" s="67"/>
      <c r="EI884" s="67"/>
      <c r="EJ884" s="67"/>
      <c r="EK884" s="67"/>
      <c r="EL884" s="67"/>
      <c r="EM884" s="67"/>
      <c r="EN884" s="67"/>
      <c r="EO884" s="67"/>
      <c r="EP884" s="67"/>
      <c r="EQ884" s="67"/>
      <c r="ER884" s="67"/>
      <c r="ES884" s="67"/>
      <c r="ET884" s="67"/>
      <c r="EU884" s="67"/>
      <c r="EV884" s="67"/>
      <c r="EW884" s="67"/>
      <c r="EX884" s="67"/>
      <c r="EY884" s="67"/>
      <c r="EZ884" s="592"/>
      <c r="FA884" s="419"/>
      <c r="FB884" s="77"/>
      <c r="FC884" s="76"/>
      <c r="FD884" s="77"/>
      <c r="FE884" s="451"/>
      <c r="FF884" s="78"/>
      <c r="FG884" s="451"/>
      <c r="FH884" s="76"/>
      <c r="FI884" s="451"/>
      <c r="FJ884" s="76"/>
      <c r="FK884" s="451"/>
      <c r="FL884" s="76"/>
      <c r="FM884" s="451"/>
      <c r="FN884" s="76"/>
      <c r="FO884" s="451"/>
      <c r="FP884" s="76"/>
      <c r="FQ884" s="451"/>
      <c r="FR884" s="76"/>
      <c r="FS884" s="447"/>
      <c r="FT884" s="76"/>
      <c r="FU884" s="447"/>
      <c r="FV884" s="76"/>
      <c r="FW884" s="449"/>
      <c r="FX884" s="475"/>
      <c r="FY884" s="449"/>
      <c r="FZ884" s="67"/>
      <c r="GA884" s="449"/>
      <c r="GB884" s="475"/>
      <c r="GC884" s="449"/>
      <c r="GD884" s="67"/>
      <c r="GE884" s="449"/>
      <c r="GF884" s="67"/>
      <c r="GG884" s="449"/>
      <c r="GH884" s="67"/>
      <c r="GI884" s="449"/>
      <c r="GJ884" s="67"/>
      <c r="GK884" s="449"/>
      <c r="GL884" s="67"/>
      <c r="GM884" s="449"/>
      <c r="GN884" s="67"/>
      <c r="GO884" s="449"/>
      <c r="GP884" s="67"/>
      <c r="GQ884" s="449"/>
      <c r="GR884" s="66">
        <v>-2</v>
      </c>
      <c r="GS884" s="449"/>
      <c r="GT884" s="66">
        <v>-2</v>
      </c>
      <c r="GU884" s="449"/>
      <c r="GV884" s="66">
        <v>-2</v>
      </c>
      <c r="GW884" s="449"/>
      <c r="GX884" s="66">
        <v>-2</v>
      </c>
      <c r="GY884" s="449"/>
      <c r="GZ884" s="52"/>
      <c r="HA884" s="52"/>
      <c r="HB884" s="10"/>
      <c r="HC884"/>
      <c r="HD884"/>
      <c r="HE884"/>
      <c r="HF884"/>
      <c r="HG884"/>
      <c r="HH884"/>
      <c r="HI884" s="10"/>
    </row>
    <row r="885" spans="2:217" s="3" customFormat="1" ht="12.75" hidden="1" customHeight="1" outlineLevel="1" x14ac:dyDescent="0.2">
      <c r="B885" s="60" t="s">
        <v>188</v>
      </c>
      <c r="C885" s="51"/>
      <c r="D885" s="52"/>
      <c r="E885" s="51"/>
      <c r="F885" s="52"/>
      <c r="G885" s="51"/>
      <c r="H885" s="52"/>
      <c r="I885" s="51"/>
      <c r="J885" s="52"/>
      <c r="K885" s="51"/>
      <c r="L885" s="52"/>
      <c r="M885" s="51"/>
      <c r="N885" s="52"/>
      <c r="O885" s="51"/>
      <c r="P885" s="52"/>
      <c r="Q885" s="51"/>
      <c r="R885" s="52"/>
      <c r="S885" s="51"/>
      <c r="T885" s="52"/>
      <c r="U885" s="51"/>
      <c r="V885" s="52"/>
      <c r="W885" s="51"/>
      <c r="X885" s="52"/>
      <c r="Y885" s="51"/>
      <c r="Z885" s="52"/>
      <c r="AA885" s="51"/>
      <c r="AB885" s="52"/>
      <c r="AC885" s="51"/>
      <c r="AD885" s="52"/>
      <c r="AE885" s="51"/>
      <c r="AF885" s="52"/>
      <c r="AG885" s="53"/>
      <c r="AH885" s="52"/>
      <c r="AI885" s="53"/>
      <c r="AJ885" s="52"/>
      <c r="AK885" s="53"/>
      <c r="AL885" s="52"/>
      <c r="AM885" s="53"/>
      <c r="AN885" s="52"/>
      <c r="AO885" s="53"/>
      <c r="AP885" s="52"/>
      <c r="AQ885" s="53"/>
      <c r="AR885" s="52"/>
      <c r="AS885" s="53"/>
      <c r="AT885" s="52"/>
      <c r="AU885" s="53"/>
      <c r="AV885" s="52"/>
      <c r="AW885" s="53"/>
      <c r="AX885" s="52"/>
      <c r="AY885" s="54"/>
      <c r="AZ885" s="447"/>
      <c r="BA885" s="54"/>
      <c r="BB885" s="447"/>
      <c r="BC885" s="54"/>
      <c r="BD885" s="447"/>
      <c r="BE885" s="54"/>
      <c r="BF885" s="447"/>
      <c r="BG885" s="54"/>
      <c r="BH885" s="447"/>
      <c r="BI885" s="54"/>
      <c r="BJ885" s="447"/>
      <c r="BK885" s="54"/>
      <c r="BL885" s="53"/>
      <c r="BM885" s="54"/>
      <c r="BN885" s="53"/>
      <c r="BO885" s="54"/>
      <c r="BP885" s="447"/>
      <c r="BQ885" s="54"/>
      <c r="BR885" s="449"/>
      <c r="BS885" s="54"/>
      <c r="BT885" s="449"/>
      <c r="BU885" s="54"/>
      <c r="BV885" s="451"/>
      <c r="BW885" s="54"/>
      <c r="BX885" s="451"/>
      <c r="BY885" s="54"/>
      <c r="BZ885" s="451"/>
      <c r="CA885" s="54"/>
      <c r="CB885" s="451"/>
      <c r="CC885" s="54"/>
      <c r="CD885" s="451"/>
      <c r="CE885" s="54"/>
      <c r="CF885" s="451"/>
      <c r="CG885" s="54"/>
      <c r="CH885" s="451"/>
      <c r="CI885" s="54"/>
      <c r="CJ885" s="451"/>
      <c r="CK885" s="54"/>
      <c r="CL885" s="451"/>
      <c r="CM885" s="54"/>
      <c r="CN885" s="451"/>
      <c r="CO885" s="54"/>
      <c r="CP885" s="451"/>
      <c r="CQ885" s="476"/>
      <c r="CR885" s="451"/>
      <c r="CS885" s="67"/>
      <c r="CT885" s="451"/>
      <c r="CU885" s="67"/>
      <c r="CV885" s="451"/>
      <c r="CW885" s="67"/>
      <c r="CX885" s="451"/>
      <c r="CY885" s="67"/>
      <c r="CZ885" s="451"/>
      <c r="DA885" s="67"/>
      <c r="DB885" s="451"/>
      <c r="DC885" s="67"/>
      <c r="DD885" s="451"/>
      <c r="DE885" s="67"/>
      <c r="DF885" s="451"/>
      <c r="DG885" s="67"/>
      <c r="DH885" s="451"/>
      <c r="DI885" s="67"/>
      <c r="DJ885" s="451"/>
      <c r="DK885" s="67"/>
      <c r="DL885" s="451"/>
      <c r="DM885" s="67"/>
      <c r="DN885" s="451"/>
      <c r="DO885" s="67"/>
      <c r="DP885" s="451"/>
      <c r="DQ885" s="67"/>
      <c r="DR885" s="451"/>
      <c r="DS885" s="67"/>
      <c r="DT885" s="451"/>
      <c r="DU885" s="67"/>
      <c r="DV885" s="451"/>
      <c r="DW885" s="67"/>
      <c r="DX885" s="451"/>
      <c r="DY885" s="67"/>
      <c r="DZ885" s="451"/>
      <c r="EA885" s="67"/>
      <c r="EB885" s="451"/>
      <c r="EC885" s="67"/>
      <c r="ED885" s="67"/>
      <c r="EE885" s="67"/>
      <c r="EF885" s="67"/>
      <c r="EG885" s="67"/>
      <c r="EH885" s="67"/>
      <c r="EI885" s="67"/>
      <c r="EJ885" s="67"/>
      <c r="EK885" s="67"/>
      <c r="EL885" s="67"/>
      <c r="EM885" s="67"/>
      <c r="EN885" s="67"/>
      <c r="EO885" s="67"/>
      <c r="EP885" s="67"/>
      <c r="EQ885" s="67"/>
      <c r="ER885" s="67"/>
      <c r="ES885" s="67"/>
      <c r="ET885" s="67"/>
      <c r="EU885" s="67"/>
      <c r="EV885" s="67"/>
      <c r="EW885" s="67"/>
      <c r="EX885" s="67"/>
      <c r="EY885" s="67"/>
      <c r="EZ885" s="592"/>
      <c r="FA885" s="419"/>
      <c r="FB885" s="77"/>
      <c r="FC885" s="76"/>
      <c r="FD885" s="77"/>
      <c r="FE885" s="451"/>
      <c r="FF885" s="78"/>
      <c r="FG885" s="451"/>
      <c r="FH885" s="76"/>
      <c r="FI885" s="451"/>
      <c r="FJ885" s="76"/>
      <c r="FK885" s="451"/>
      <c r="FL885" s="76"/>
      <c r="FM885" s="451"/>
      <c r="FN885" s="76"/>
      <c r="FO885" s="451"/>
      <c r="FP885" s="76"/>
      <c r="FQ885" s="451"/>
      <c r="FR885" s="76"/>
      <c r="FS885" s="447"/>
      <c r="FT885" s="76"/>
      <c r="FU885" s="447"/>
      <c r="FV885" s="76"/>
      <c r="FW885" s="449"/>
      <c r="FX885" s="475"/>
      <c r="FY885" s="449"/>
      <c r="FZ885" s="67"/>
      <c r="GA885" s="449"/>
      <c r="GB885" s="475"/>
      <c r="GC885" s="449"/>
      <c r="GD885" s="67"/>
      <c r="GE885" s="449"/>
      <c r="GF885" s="67"/>
      <c r="GG885" s="449"/>
      <c r="GH885" s="67"/>
      <c r="GI885" s="449"/>
      <c r="GJ885" s="67"/>
      <c r="GK885" s="449"/>
      <c r="GL885" s="67"/>
      <c r="GM885" s="449"/>
      <c r="GN885" s="67"/>
      <c r="GO885" s="449"/>
      <c r="GP885" s="67"/>
      <c r="GQ885" s="449"/>
      <c r="GR885" s="68">
        <v>2</v>
      </c>
      <c r="GS885" s="449"/>
      <c r="GT885" s="68">
        <v>2</v>
      </c>
      <c r="GU885" s="449"/>
      <c r="GV885" s="68">
        <v>2</v>
      </c>
      <c r="GW885" s="449"/>
      <c r="GX885" s="68">
        <v>2</v>
      </c>
      <c r="GY885" s="449"/>
      <c r="GZ885" s="52"/>
      <c r="HA885" s="52"/>
      <c r="HB885" s="10"/>
      <c r="HC885"/>
      <c r="HD885"/>
      <c r="HE885"/>
      <c r="HF885"/>
      <c r="HG885"/>
      <c r="HH885"/>
      <c r="HI885" s="10"/>
    </row>
    <row r="886" spans="2:217" s="3" customFormat="1" ht="12.75" hidden="1" customHeight="1" outlineLevel="1" x14ac:dyDescent="0.2">
      <c r="B886" s="60"/>
      <c r="C886" s="51"/>
      <c r="D886" s="52"/>
      <c r="E886" s="51"/>
      <c r="F886" s="52"/>
      <c r="G886" s="51"/>
      <c r="H886" s="52"/>
      <c r="I886" s="51"/>
      <c r="J886" s="52"/>
      <c r="K886" s="51"/>
      <c r="L886" s="52"/>
      <c r="M886" s="51"/>
      <c r="N886" s="52"/>
      <c r="O886" s="51"/>
      <c r="P886" s="52"/>
      <c r="Q886" s="51"/>
      <c r="R886" s="52"/>
      <c r="S886" s="51"/>
      <c r="T886" s="52"/>
      <c r="U886" s="51"/>
      <c r="V886" s="52"/>
      <c r="W886" s="51"/>
      <c r="X886" s="52"/>
      <c r="Y886" s="51"/>
      <c r="Z886" s="52"/>
      <c r="AA886" s="51"/>
      <c r="AB886" s="52"/>
      <c r="AC886" s="51"/>
      <c r="AD886" s="52"/>
      <c r="AE886" s="51"/>
      <c r="AF886" s="52"/>
      <c r="AG886" s="53"/>
      <c r="AH886" s="52"/>
      <c r="AI886" s="53"/>
      <c r="AJ886" s="52"/>
      <c r="AK886" s="53"/>
      <c r="AL886" s="52"/>
      <c r="AM886" s="53"/>
      <c r="AN886" s="52"/>
      <c r="AO886" s="53"/>
      <c r="AP886" s="52"/>
      <c r="AQ886" s="53"/>
      <c r="AR886" s="52"/>
      <c r="AS886" s="53"/>
      <c r="AT886" s="52"/>
      <c r="AU886" s="53"/>
      <c r="AV886" s="52"/>
      <c r="AW886" s="53"/>
      <c r="AX886" s="52"/>
      <c r="AY886" s="54"/>
      <c r="AZ886" s="447"/>
      <c r="BA886" s="54"/>
      <c r="BB886" s="447"/>
      <c r="BC886" s="54"/>
      <c r="BD886" s="447"/>
      <c r="BE886" s="54"/>
      <c r="BF886" s="447"/>
      <c r="BG886" s="54"/>
      <c r="BH886" s="447"/>
      <c r="BI886" s="54"/>
      <c r="BJ886" s="447"/>
      <c r="BK886" s="54"/>
      <c r="BL886" s="53"/>
      <c r="BM886" s="54"/>
      <c r="BN886" s="53"/>
      <c r="BO886" s="54"/>
      <c r="BP886" s="447"/>
      <c r="BQ886" s="54"/>
      <c r="BR886" s="447"/>
      <c r="BS886" s="54"/>
      <c r="BT886" s="447"/>
      <c r="BU886" s="54"/>
      <c r="BV886" s="52"/>
      <c r="BW886" s="54"/>
      <c r="BX886" s="52"/>
      <c r="BY886" s="54"/>
      <c r="BZ886" s="52"/>
      <c r="CA886" s="54"/>
      <c r="CB886" s="52"/>
      <c r="CC886" s="54"/>
      <c r="CD886" s="52"/>
      <c r="CE886" s="54"/>
      <c r="CF886" s="52"/>
      <c r="CG886" s="54"/>
      <c r="CH886" s="52"/>
      <c r="CI886" s="54"/>
      <c r="CJ886" s="52"/>
      <c r="CK886" s="54"/>
      <c r="CL886" s="52"/>
      <c r="CM886" s="54"/>
      <c r="CN886" s="52"/>
      <c r="CO886" s="54"/>
      <c r="CP886" s="52"/>
      <c r="CQ886" s="476"/>
      <c r="CR886" s="52"/>
      <c r="CS886" s="54"/>
      <c r="CT886" s="52"/>
      <c r="CU886" s="54"/>
      <c r="CV886" s="52"/>
      <c r="CW886" s="54"/>
      <c r="CX886" s="52"/>
      <c r="CY886" s="54"/>
      <c r="CZ886" s="52"/>
      <c r="DA886" s="54"/>
      <c r="DB886" s="52"/>
      <c r="DC886" s="54"/>
      <c r="DD886" s="52"/>
      <c r="DE886" s="54"/>
      <c r="DF886" s="52"/>
      <c r="DG886" s="54"/>
      <c r="DH886" s="52"/>
      <c r="DI886" s="54"/>
      <c r="DJ886" s="52"/>
      <c r="DK886" s="54"/>
      <c r="DL886" s="52"/>
      <c r="DM886" s="54"/>
      <c r="DN886" s="52"/>
      <c r="DO886" s="54"/>
      <c r="DP886" s="52"/>
      <c r="DQ886" s="54"/>
      <c r="DR886" s="52"/>
      <c r="DS886" s="54"/>
      <c r="DT886" s="52"/>
      <c r="DU886" s="54"/>
      <c r="DV886" s="52"/>
      <c r="DW886" s="54"/>
      <c r="DX886" s="52"/>
      <c r="DY886" s="54"/>
      <c r="DZ886" s="52"/>
      <c r="EA886" s="54"/>
      <c r="EB886" s="52"/>
      <c r="EC886" s="54"/>
      <c r="ED886" s="54"/>
      <c r="EE886" s="54"/>
      <c r="EF886" s="54"/>
      <c r="EG886" s="54"/>
      <c r="EH886" s="54"/>
      <c r="EI886" s="54"/>
      <c r="EJ886" s="54"/>
      <c r="EK886" s="54"/>
      <c r="EL886" s="54"/>
      <c r="EM886" s="54"/>
      <c r="EN886" s="54"/>
      <c r="EO886" s="54"/>
      <c r="EP886" s="54"/>
      <c r="EQ886" s="54"/>
      <c r="ER886" s="54"/>
      <c r="ES886" s="54"/>
      <c r="ET886" s="54"/>
      <c r="EU886" s="54"/>
      <c r="EV886" s="54"/>
      <c r="EW886" s="54"/>
      <c r="EX886" s="54"/>
      <c r="EY886" s="54"/>
      <c r="EZ886" s="587"/>
      <c r="FA886" s="417"/>
      <c r="FB886" s="56"/>
      <c r="FC886" s="55"/>
      <c r="FD886" s="56"/>
      <c r="FE886" s="52"/>
      <c r="FF886" s="57"/>
      <c r="FG886" s="52"/>
      <c r="FH886" s="58"/>
      <c r="FI886" s="52"/>
      <c r="FJ886" s="58"/>
      <c r="FK886" s="52"/>
      <c r="FL886" s="58"/>
      <c r="FM886" s="52"/>
      <c r="FN886" s="58"/>
      <c r="FO886" s="52"/>
      <c r="FP886" s="58"/>
      <c r="FQ886" s="52"/>
      <c r="FR886" s="58"/>
      <c r="FS886" s="447"/>
      <c r="FT886" s="58"/>
      <c r="FU886" s="447"/>
      <c r="FV886" s="58"/>
      <c r="FW886" s="447"/>
      <c r="FX886" s="473"/>
      <c r="FY886" s="447"/>
      <c r="FZ886" s="58"/>
      <c r="GA886" s="447"/>
      <c r="GB886" s="473"/>
      <c r="GC886" s="447"/>
      <c r="GD886" s="58"/>
      <c r="GE886" s="447"/>
      <c r="GF886" s="58"/>
      <c r="GG886" s="447"/>
      <c r="GH886" s="58"/>
      <c r="GI886" s="447"/>
      <c r="GJ886" s="58"/>
      <c r="GK886" s="447"/>
      <c r="GL886" s="58"/>
      <c r="GM886" s="447"/>
      <c r="GN886" s="58"/>
      <c r="GO886" s="447"/>
      <c r="GP886" s="58"/>
      <c r="GQ886" s="447"/>
      <c r="GR886" s="58"/>
      <c r="GS886" s="447"/>
      <c r="GT886" s="58"/>
      <c r="GU886" s="447"/>
      <c r="GV886" s="58"/>
      <c r="GW886" s="447"/>
      <c r="GX886" s="58"/>
      <c r="GY886" s="447"/>
      <c r="GZ886" s="52"/>
      <c r="HA886" s="52"/>
      <c r="HB886" s="10"/>
      <c r="HC886"/>
      <c r="HD886"/>
      <c r="HE886"/>
      <c r="HF886"/>
      <c r="HG886"/>
      <c r="HH886"/>
      <c r="HI886" s="10"/>
    </row>
    <row r="887" spans="2:217" s="3" customFormat="1" ht="12.75" hidden="1" customHeight="1" outlineLevel="1" x14ac:dyDescent="0.2">
      <c r="B887" s="75" t="s">
        <v>321</v>
      </c>
      <c r="C887" s="51"/>
      <c r="D887" s="52"/>
      <c r="E887" s="51"/>
      <c r="F887" s="52"/>
      <c r="G887" s="51"/>
      <c r="H887" s="52"/>
      <c r="I887" s="51"/>
      <c r="J887" s="52"/>
      <c r="K887" s="51"/>
      <c r="L887" s="52"/>
      <c r="M887" s="51"/>
      <c r="N887" s="52"/>
      <c r="O887" s="51"/>
      <c r="P887" s="52"/>
      <c r="Q887" s="51"/>
      <c r="R887" s="52"/>
      <c r="S887" s="51"/>
      <c r="T887" s="52"/>
      <c r="U887" s="51"/>
      <c r="V887" s="52"/>
      <c r="W887" s="51"/>
      <c r="X887" s="52"/>
      <c r="Y887" s="51"/>
      <c r="Z887" s="52"/>
      <c r="AA887" s="51"/>
      <c r="AB887" s="52"/>
      <c r="AC887" s="51"/>
      <c r="AD887" s="52"/>
      <c r="AE887" s="51"/>
      <c r="AF887" s="52"/>
      <c r="AG887" s="53"/>
      <c r="AH887" s="52"/>
      <c r="AI887" s="53"/>
      <c r="AJ887" s="52"/>
      <c r="AK887" s="53"/>
      <c r="AL887" s="52"/>
      <c r="AM887" s="53"/>
      <c r="AN887" s="52"/>
      <c r="AO887" s="53"/>
      <c r="AP887" s="52"/>
      <c r="AQ887" s="53"/>
      <c r="AR887" s="52"/>
      <c r="AS887" s="53"/>
      <c r="AT887" s="52"/>
      <c r="AU887" s="53"/>
      <c r="AV887" s="52"/>
      <c r="AW887" s="53"/>
      <c r="AX887" s="52"/>
      <c r="AY887" s="54"/>
      <c r="AZ887" s="447"/>
      <c r="BA887" s="54"/>
      <c r="BB887" s="447"/>
      <c r="BC887" s="54"/>
      <c r="BD887" s="447"/>
      <c r="BE887" s="54"/>
      <c r="BF887" s="447"/>
      <c r="BG887" s="54"/>
      <c r="BH887" s="447"/>
      <c r="BI887" s="54"/>
      <c r="BJ887" s="447"/>
      <c r="BK887" s="54"/>
      <c r="BL887" s="53"/>
      <c r="BM887" s="54"/>
      <c r="BN887" s="53"/>
      <c r="BO887" s="54"/>
      <c r="BP887" s="447"/>
      <c r="BQ887" s="54"/>
      <c r="BR887" s="447"/>
      <c r="BS887" s="54"/>
      <c r="BT887" s="447"/>
      <c r="BU887" s="54"/>
      <c r="BV887" s="52"/>
      <c r="BW887" s="54"/>
      <c r="BX887" s="52"/>
      <c r="BY887" s="54"/>
      <c r="BZ887" s="52"/>
      <c r="CA887" s="54"/>
      <c r="CB887" s="52"/>
      <c r="CC887" s="54"/>
      <c r="CD887" s="52"/>
      <c r="CE887" s="54"/>
      <c r="CF887" s="52"/>
      <c r="CG887" s="54"/>
      <c r="CH887" s="52"/>
      <c r="CI887" s="54"/>
      <c r="CJ887" s="52"/>
      <c r="CK887" s="54"/>
      <c r="CL887" s="52"/>
      <c r="CM887" s="54"/>
      <c r="CN887" s="52"/>
      <c r="CO887" s="54"/>
      <c r="CP887" s="52"/>
      <c r="CQ887" s="476"/>
      <c r="CR887" s="52"/>
      <c r="CS887" s="54"/>
      <c r="CT887" s="52"/>
      <c r="CU887" s="54"/>
      <c r="CV887" s="52"/>
      <c r="CW887" s="54"/>
      <c r="CX887" s="52"/>
      <c r="CY887" s="54"/>
      <c r="CZ887" s="52"/>
      <c r="DA887" s="54"/>
      <c r="DB887" s="52"/>
      <c r="DC887" s="54"/>
      <c r="DD887" s="52"/>
      <c r="DE887" s="54"/>
      <c r="DF887" s="52"/>
      <c r="DG887" s="54"/>
      <c r="DH887" s="52"/>
      <c r="DI887" s="54"/>
      <c r="DJ887" s="52"/>
      <c r="DK887" s="54"/>
      <c r="DL887" s="52"/>
      <c r="DM887" s="54"/>
      <c r="DN887" s="52"/>
      <c r="DO887" s="54"/>
      <c r="DP887" s="52"/>
      <c r="DQ887" s="54"/>
      <c r="DR887" s="52"/>
      <c r="DS887" s="54"/>
      <c r="DT887" s="52"/>
      <c r="DU887" s="54"/>
      <c r="DV887" s="52"/>
      <c r="DW887" s="54"/>
      <c r="DX887" s="52"/>
      <c r="DY887" s="54"/>
      <c r="DZ887" s="52"/>
      <c r="EA887" s="54"/>
      <c r="EB887" s="52"/>
      <c r="EC887" s="54"/>
      <c r="ED887" s="54"/>
      <c r="EE887" s="54"/>
      <c r="EF887" s="54"/>
      <c r="EG887" s="54"/>
      <c r="EH887" s="54"/>
      <c r="EI887" s="54"/>
      <c r="EJ887" s="54"/>
      <c r="EK887" s="54"/>
      <c r="EL887" s="54"/>
      <c r="EM887" s="54"/>
      <c r="EN887" s="54"/>
      <c r="EO887" s="54"/>
      <c r="EP887" s="54"/>
      <c r="EQ887" s="54"/>
      <c r="ER887" s="54"/>
      <c r="ES887" s="54"/>
      <c r="ET887" s="54"/>
      <c r="EU887" s="54"/>
      <c r="EV887" s="54"/>
      <c r="EW887" s="54"/>
      <c r="EX887" s="54"/>
      <c r="EY887" s="54"/>
      <c r="EZ887" s="587"/>
      <c r="FA887" s="417"/>
      <c r="FB887" s="56"/>
      <c r="FC887" s="55"/>
      <c r="FD887" s="56"/>
      <c r="FE887" s="52"/>
      <c r="FF887" s="57"/>
      <c r="FG887" s="52"/>
      <c r="FH887" s="58"/>
      <c r="FI887" s="52"/>
      <c r="FJ887" s="58"/>
      <c r="FK887" s="52"/>
      <c r="FL887" s="58"/>
      <c r="FM887" s="52"/>
      <c r="FN887" s="58"/>
      <c r="FO887" s="52"/>
      <c r="FP887" s="58"/>
      <c r="FQ887" s="52"/>
      <c r="FR887" s="58"/>
      <c r="FS887" s="447"/>
      <c r="FT887" s="58"/>
      <c r="FU887" s="447"/>
      <c r="FV887" s="58"/>
      <c r="FW887" s="447"/>
      <c r="FX887" s="473"/>
      <c r="FY887" s="447"/>
      <c r="FZ887" s="58"/>
      <c r="GA887" s="447"/>
      <c r="GB887" s="473"/>
      <c r="GC887" s="447"/>
      <c r="GD887" s="58"/>
      <c r="GE887" s="447"/>
      <c r="GF887" s="58"/>
      <c r="GG887" s="447"/>
      <c r="GH887" s="58"/>
      <c r="GI887" s="447"/>
      <c r="GJ887" s="58"/>
      <c r="GK887" s="447"/>
      <c r="GL887" s="58"/>
      <c r="GM887" s="447"/>
      <c r="GN887" s="58"/>
      <c r="GO887" s="447"/>
      <c r="GP887" s="58"/>
      <c r="GQ887" s="447"/>
      <c r="GR887" s="58"/>
      <c r="GS887" s="447"/>
      <c r="GT887" s="58"/>
      <c r="GU887" s="447"/>
      <c r="GV887" s="58"/>
      <c r="GW887" s="447"/>
      <c r="GX887" s="58"/>
      <c r="GY887" s="447"/>
      <c r="GZ887" s="52"/>
      <c r="HA887" s="52"/>
      <c r="HB887" s="10"/>
      <c r="HC887"/>
      <c r="HD887"/>
      <c r="HE887"/>
      <c r="HF887"/>
      <c r="HG887"/>
      <c r="HH887"/>
      <c r="HI887" s="10"/>
    </row>
    <row r="888" spans="2:217" s="3" customFormat="1" ht="12.75" hidden="1" customHeight="1" outlineLevel="1" x14ac:dyDescent="0.2">
      <c r="B888" s="60" t="s">
        <v>265</v>
      </c>
      <c r="C888" s="51"/>
      <c r="D888" s="52"/>
      <c r="E888" s="51"/>
      <c r="F888" s="52"/>
      <c r="G888" s="51"/>
      <c r="H888" s="52"/>
      <c r="I888" s="51"/>
      <c r="J888" s="52"/>
      <c r="K888" s="51"/>
      <c r="L888" s="52"/>
      <c r="M888" s="51"/>
      <c r="N888" s="52"/>
      <c r="O888" s="51"/>
      <c r="P888" s="52"/>
      <c r="Q888" s="51"/>
      <c r="R888" s="52"/>
      <c r="S888" s="51"/>
      <c r="T888" s="52"/>
      <c r="U888" s="51"/>
      <c r="V888" s="52"/>
      <c r="W888" s="51"/>
      <c r="X888" s="52"/>
      <c r="Y888" s="51"/>
      <c r="Z888" s="52"/>
      <c r="AA888" s="51"/>
      <c r="AB888" s="52"/>
      <c r="AC888" s="51"/>
      <c r="AD888" s="52"/>
      <c r="AE888" s="51"/>
      <c r="AF888" s="52"/>
      <c r="AG888" s="53"/>
      <c r="AH888" s="52"/>
      <c r="AI888" s="53"/>
      <c r="AJ888" s="52"/>
      <c r="AK888" s="53"/>
      <c r="AL888" s="52"/>
      <c r="AM888" s="53"/>
      <c r="AN888" s="52"/>
      <c r="AO888" s="53"/>
      <c r="AP888" s="52"/>
      <c r="AQ888" s="53"/>
      <c r="AR888" s="52"/>
      <c r="AS888" s="53"/>
      <c r="AT888" s="52"/>
      <c r="AU888" s="53"/>
      <c r="AV888" s="52"/>
      <c r="AW888" s="53"/>
      <c r="AX888" s="52"/>
      <c r="AY888" s="54"/>
      <c r="AZ888" s="447"/>
      <c r="BA888" s="54"/>
      <c r="BB888" s="447"/>
      <c r="BC888" s="54"/>
      <c r="BD888" s="447"/>
      <c r="BE888" s="54"/>
      <c r="BF888" s="447"/>
      <c r="BG888" s="54"/>
      <c r="BH888" s="447"/>
      <c r="BI888" s="54"/>
      <c r="BJ888" s="447"/>
      <c r="BK888" s="54"/>
      <c r="BL888" s="53"/>
      <c r="BM888" s="54"/>
      <c r="BN888" s="53"/>
      <c r="BO888" s="54"/>
      <c r="BP888" s="447"/>
      <c r="BQ888" s="54"/>
      <c r="BR888" s="447"/>
      <c r="BS888" s="54"/>
      <c r="BT888" s="447"/>
      <c r="BU888" s="54"/>
      <c r="BV888" s="52"/>
      <c r="BW888" s="54"/>
      <c r="BX888" s="52"/>
      <c r="BY888" s="54"/>
      <c r="BZ888" s="52"/>
      <c r="CA888" s="54"/>
      <c r="CB888" s="52"/>
      <c r="CC888" s="54"/>
      <c r="CD888" s="52"/>
      <c r="CE888" s="54"/>
      <c r="CF888" s="52"/>
      <c r="CG888" s="54"/>
      <c r="CH888" s="52"/>
      <c r="CI888" s="54"/>
      <c r="CJ888" s="52"/>
      <c r="CK888" s="54"/>
      <c r="CL888" s="52"/>
      <c r="CM888" s="54"/>
      <c r="CN888" s="52"/>
      <c r="CO888" s="54"/>
      <c r="CP888" s="52"/>
      <c r="CQ888" s="476"/>
      <c r="CR888" s="52"/>
      <c r="CS888" s="61"/>
      <c r="CT888" s="52"/>
      <c r="CU888" s="61"/>
      <c r="CV888" s="52"/>
      <c r="CW888" s="61"/>
      <c r="CX888" s="52"/>
      <c r="CY888" s="61"/>
      <c r="CZ888" s="52"/>
      <c r="DA888" s="61"/>
      <c r="DB888" s="52"/>
      <c r="DC888" s="61"/>
      <c r="DD888" s="52"/>
      <c r="DE888" s="61"/>
      <c r="DF888" s="52"/>
      <c r="DG888" s="61"/>
      <c r="DH888" s="52"/>
      <c r="DI888" s="61"/>
      <c r="DJ888" s="52"/>
      <c r="DK888" s="61"/>
      <c r="DL888" s="52"/>
      <c r="DM888" s="61"/>
      <c r="DN888" s="52"/>
      <c r="DO888" s="61"/>
      <c r="DP888" s="52"/>
      <c r="DQ888" s="61"/>
      <c r="DR888" s="52"/>
      <c r="DS888" s="61"/>
      <c r="DT888" s="52"/>
      <c r="DU888" s="61"/>
      <c r="DV888" s="52"/>
      <c r="DW888" s="61"/>
      <c r="DX888" s="52"/>
      <c r="DY888" s="61"/>
      <c r="DZ888" s="52"/>
      <c r="EA888" s="61"/>
      <c r="EB888" s="52"/>
      <c r="EC888" s="61"/>
      <c r="ED888" s="61"/>
      <c r="EE888" s="61"/>
      <c r="EF888" s="61"/>
      <c r="EG888" s="61"/>
      <c r="EH888" s="61"/>
      <c r="EI888" s="61"/>
      <c r="EJ888" s="61"/>
      <c r="EK888" s="61"/>
      <c r="EL888" s="61"/>
      <c r="EM888" s="61"/>
      <c r="EN888" s="61"/>
      <c r="EO888" s="61"/>
      <c r="EP888" s="61"/>
      <c r="EQ888" s="61"/>
      <c r="ER888" s="61"/>
      <c r="ES888" s="61"/>
      <c r="ET888" s="61"/>
      <c r="EU888" s="61"/>
      <c r="EV888" s="61"/>
      <c r="EW888" s="61"/>
      <c r="EX888" s="61"/>
      <c r="EY888" s="61"/>
      <c r="EZ888" s="587"/>
      <c r="FA888" s="417"/>
      <c r="FB888" s="56"/>
      <c r="FC888" s="55"/>
      <c r="FD888" s="56"/>
      <c r="FE888" s="52"/>
      <c r="FF888" s="57"/>
      <c r="FG888" s="52"/>
      <c r="FH888" s="58"/>
      <c r="FI888" s="52"/>
      <c r="FJ888" s="58"/>
      <c r="FK888" s="52"/>
      <c r="FL888" s="58"/>
      <c r="FM888" s="52"/>
      <c r="FN888" s="58"/>
      <c r="FO888" s="52"/>
      <c r="FP888" s="58"/>
      <c r="FQ888" s="52"/>
      <c r="FR888" s="58"/>
      <c r="FS888" s="447"/>
      <c r="FT888" s="58"/>
      <c r="FU888" s="447"/>
      <c r="FV888" s="58"/>
      <c r="FW888" s="447"/>
      <c r="FX888" s="474"/>
      <c r="FY888" s="447"/>
      <c r="FZ888" s="61"/>
      <c r="GA888" s="447"/>
      <c r="GB888" s="474"/>
      <c r="GC888" s="447"/>
      <c r="GD888" s="61"/>
      <c r="GE888" s="447"/>
      <c r="GF888" s="61"/>
      <c r="GG888" s="447"/>
      <c r="GH888" s="61"/>
      <c r="GI888" s="447"/>
      <c r="GJ888" s="61"/>
      <c r="GK888" s="447"/>
      <c r="GL888" s="61"/>
      <c r="GM888" s="447"/>
      <c r="GN888" s="61"/>
      <c r="GO888" s="447"/>
      <c r="GP888" s="61"/>
      <c r="GQ888" s="447"/>
      <c r="GR888" s="79" t="e">
        <f>(+GR561+GR177+#REF!+#REF!+#REF!+GR359)/(+GR557+GR165+#REF!+#REF!+#REF!+GR353)*100</f>
        <v>#REF!</v>
      </c>
      <c r="GS888" s="447"/>
      <c r="GT888" s="79" t="e">
        <f>(+GT561+GT177+#REF!+#REF!+#REF!+GT359)/(+GT557+GT165+#REF!+#REF!+#REF!+GT353)*100</f>
        <v>#REF!</v>
      </c>
      <c r="GU888" s="447"/>
      <c r="GV888" s="79" t="e">
        <f>(+GV561+GV177+#REF!+#REF!+#REF!+GV359)/(+GV557+GV165+#REF!+#REF!+#REF!+GV353)*100</f>
        <v>#REF!</v>
      </c>
      <c r="GW888" s="447"/>
      <c r="GX888" s="79" t="e">
        <f>(+GX561+GX177+#REF!+#REF!+#REF!+GX359)/(+GX557+GX165+#REF!+#REF!+#REF!+GX353)*100</f>
        <v>#REF!</v>
      </c>
      <c r="GY888" s="447"/>
      <c r="GZ888" s="52"/>
      <c r="HA888" s="52"/>
      <c r="HB888" s="10"/>
      <c r="HC888"/>
      <c r="HD888"/>
      <c r="HE888"/>
      <c r="HF888"/>
      <c r="HG888"/>
      <c r="HH888"/>
      <c r="HI888" s="10"/>
    </row>
    <row r="889" spans="2:217" s="3" customFormat="1" ht="12.75" hidden="1" customHeight="1" outlineLevel="1" x14ac:dyDescent="0.2">
      <c r="B889" s="60" t="s">
        <v>187</v>
      </c>
      <c r="C889" s="51"/>
      <c r="D889" s="52"/>
      <c r="E889" s="51"/>
      <c r="F889" s="52"/>
      <c r="G889" s="51"/>
      <c r="H889" s="52"/>
      <c r="I889" s="51"/>
      <c r="J889" s="52"/>
      <c r="K889" s="51"/>
      <c r="L889" s="52"/>
      <c r="M889" s="51"/>
      <c r="N889" s="52"/>
      <c r="O889" s="51"/>
      <c r="P889" s="52"/>
      <c r="Q889" s="51"/>
      <c r="R889" s="52"/>
      <c r="S889" s="51"/>
      <c r="T889" s="52"/>
      <c r="U889" s="51"/>
      <c r="V889" s="52"/>
      <c r="W889" s="51"/>
      <c r="X889" s="52"/>
      <c r="Y889" s="51"/>
      <c r="Z889" s="52"/>
      <c r="AA889" s="51"/>
      <c r="AB889" s="52"/>
      <c r="AC889" s="51"/>
      <c r="AD889" s="52"/>
      <c r="AE889" s="51"/>
      <c r="AF889" s="52"/>
      <c r="AG889" s="53"/>
      <c r="AH889" s="52"/>
      <c r="AI889" s="53"/>
      <c r="AJ889" s="52"/>
      <c r="AK889" s="53"/>
      <c r="AL889" s="52"/>
      <c r="AM889" s="53"/>
      <c r="AN889" s="52"/>
      <c r="AO889" s="53"/>
      <c r="AP889" s="52"/>
      <c r="AQ889" s="53"/>
      <c r="AR889" s="52"/>
      <c r="AS889" s="53"/>
      <c r="AT889" s="52"/>
      <c r="AU889" s="53"/>
      <c r="AV889" s="52"/>
      <c r="AW889" s="53"/>
      <c r="AX889" s="52"/>
      <c r="AY889" s="54"/>
      <c r="AZ889" s="447"/>
      <c r="BA889" s="54"/>
      <c r="BB889" s="447"/>
      <c r="BC889" s="54"/>
      <c r="BD889" s="447"/>
      <c r="BE889" s="54"/>
      <c r="BF889" s="447"/>
      <c r="BG889" s="54"/>
      <c r="BH889" s="447"/>
      <c r="BI889" s="54"/>
      <c r="BJ889" s="447"/>
      <c r="BK889" s="54"/>
      <c r="BL889" s="53"/>
      <c r="BM889" s="54"/>
      <c r="BN889" s="53"/>
      <c r="BO889" s="54"/>
      <c r="BP889" s="447"/>
      <c r="BQ889" s="54"/>
      <c r="BR889" s="449"/>
      <c r="BS889" s="54"/>
      <c r="BT889" s="449"/>
      <c r="BU889" s="54"/>
      <c r="BV889" s="451"/>
      <c r="BW889" s="54"/>
      <c r="BX889" s="451"/>
      <c r="BY889" s="54"/>
      <c r="BZ889" s="451"/>
      <c r="CA889" s="54"/>
      <c r="CB889" s="451"/>
      <c r="CC889" s="54"/>
      <c r="CD889" s="451"/>
      <c r="CE889" s="54"/>
      <c r="CF889" s="451"/>
      <c r="CG889" s="54"/>
      <c r="CH889" s="451"/>
      <c r="CI889" s="54"/>
      <c r="CJ889" s="451"/>
      <c r="CK889" s="54"/>
      <c r="CL889" s="451"/>
      <c r="CM889" s="54"/>
      <c r="CN889" s="451"/>
      <c r="CO889" s="54"/>
      <c r="CP889" s="451"/>
      <c r="CQ889" s="476"/>
      <c r="CR889" s="451"/>
      <c r="CS889" s="67"/>
      <c r="CT889" s="451"/>
      <c r="CU889" s="67"/>
      <c r="CV889" s="451"/>
      <c r="CW889" s="67"/>
      <c r="CX889" s="451"/>
      <c r="CY889" s="67"/>
      <c r="CZ889" s="451"/>
      <c r="DA889" s="67"/>
      <c r="DB889" s="451"/>
      <c r="DC889" s="67"/>
      <c r="DD889" s="451"/>
      <c r="DE889" s="67"/>
      <c r="DF889" s="451"/>
      <c r="DG889" s="67"/>
      <c r="DH889" s="451"/>
      <c r="DI889" s="67"/>
      <c r="DJ889" s="451"/>
      <c r="DK889" s="67"/>
      <c r="DL889" s="451"/>
      <c r="DM889" s="67"/>
      <c r="DN889" s="451"/>
      <c r="DO889" s="67"/>
      <c r="DP889" s="451"/>
      <c r="DQ889" s="67"/>
      <c r="DR889" s="451"/>
      <c r="DS889" s="67"/>
      <c r="DT889" s="451"/>
      <c r="DU889" s="67"/>
      <c r="DV889" s="451"/>
      <c r="DW889" s="67"/>
      <c r="DX889" s="451"/>
      <c r="DY889" s="67"/>
      <c r="DZ889" s="451"/>
      <c r="EA889" s="67"/>
      <c r="EB889" s="451"/>
      <c r="EC889" s="67"/>
      <c r="ED889" s="67"/>
      <c r="EE889" s="67"/>
      <c r="EF889" s="67"/>
      <c r="EG889" s="67"/>
      <c r="EH889" s="67"/>
      <c r="EI889" s="67"/>
      <c r="EJ889" s="67"/>
      <c r="EK889" s="67"/>
      <c r="EL889" s="67"/>
      <c r="EM889" s="67"/>
      <c r="EN889" s="67"/>
      <c r="EO889" s="67"/>
      <c r="EP889" s="67"/>
      <c r="EQ889" s="67"/>
      <c r="ER889" s="67"/>
      <c r="ES889" s="67"/>
      <c r="ET889" s="67"/>
      <c r="EU889" s="67"/>
      <c r="EV889" s="67"/>
      <c r="EW889" s="67"/>
      <c r="EX889" s="67"/>
      <c r="EY889" s="67"/>
      <c r="EZ889" s="592"/>
      <c r="FA889" s="419"/>
      <c r="FB889" s="77"/>
      <c r="FC889" s="76"/>
      <c r="FD889" s="77"/>
      <c r="FE889" s="451"/>
      <c r="FF889" s="78"/>
      <c r="FG889" s="451"/>
      <c r="FH889" s="76"/>
      <c r="FI889" s="451"/>
      <c r="FJ889" s="76"/>
      <c r="FK889" s="451"/>
      <c r="FL889" s="76"/>
      <c r="FM889" s="451"/>
      <c r="FN889" s="76"/>
      <c r="FO889" s="451"/>
      <c r="FP889" s="76"/>
      <c r="FQ889" s="451"/>
      <c r="FR889" s="76"/>
      <c r="FS889" s="447"/>
      <c r="FT889" s="76"/>
      <c r="FU889" s="447"/>
      <c r="FV889" s="76"/>
      <c r="FW889" s="449"/>
      <c r="FX889" s="475"/>
      <c r="FY889" s="449"/>
      <c r="FZ889" s="67"/>
      <c r="GA889" s="449"/>
      <c r="GB889" s="475"/>
      <c r="GC889" s="449"/>
      <c r="GD889" s="67"/>
      <c r="GE889" s="449"/>
      <c r="GF889" s="67"/>
      <c r="GG889" s="449"/>
      <c r="GH889" s="67"/>
      <c r="GI889" s="449"/>
      <c r="GJ889" s="67"/>
      <c r="GK889" s="449"/>
      <c r="GL889" s="67"/>
      <c r="GM889" s="449"/>
      <c r="GN889" s="67"/>
      <c r="GO889" s="449"/>
      <c r="GP889" s="67"/>
      <c r="GQ889" s="449"/>
      <c r="GR889" s="66">
        <v>-1</v>
      </c>
      <c r="GS889" s="449"/>
      <c r="GT889" s="66">
        <v>-1</v>
      </c>
      <c r="GU889" s="449"/>
      <c r="GV889" s="66">
        <v>-1</v>
      </c>
      <c r="GW889" s="449"/>
      <c r="GX889" s="66">
        <v>-1</v>
      </c>
      <c r="GY889" s="449"/>
      <c r="GZ889" s="52"/>
      <c r="HA889" s="52"/>
      <c r="HB889" s="10"/>
      <c r="HC889"/>
      <c r="HD889"/>
      <c r="HE889"/>
      <c r="HF889"/>
      <c r="HG889"/>
      <c r="HH889"/>
      <c r="HI889" s="10"/>
    </row>
    <row r="890" spans="2:217" s="3" customFormat="1" ht="12.75" hidden="1" customHeight="1" outlineLevel="1" x14ac:dyDescent="0.2">
      <c r="B890" s="60" t="s">
        <v>188</v>
      </c>
      <c r="C890" s="81"/>
      <c r="D890" s="55"/>
      <c r="E890" s="81"/>
      <c r="F890" s="55"/>
      <c r="G890" s="81"/>
      <c r="H890" s="55"/>
      <c r="I890" s="81"/>
      <c r="J890" s="55"/>
      <c r="K890" s="81"/>
      <c r="L890" s="52"/>
      <c r="M890" s="81"/>
      <c r="N890" s="52"/>
      <c r="O890" s="81"/>
      <c r="P890" s="52"/>
      <c r="Q890" s="81"/>
      <c r="R890" s="52"/>
      <c r="S890" s="81"/>
      <c r="T890" s="52"/>
      <c r="U890" s="81"/>
      <c r="V890" s="52"/>
      <c r="W890" s="81"/>
      <c r="X890" s="52"/>
      <c r="Y890" s="81"/>
      <c r="Z890" s="52"/>
      <c r="AA890" s="81"/>
      <c r="AB890" s="52"/>
      <c r="AC890" s="81"/>
      <c r="AD890" s="52"/>
      <c r="AE890" s="81"/>
      <c r="AF890" s="52"/>
      <c r="AG890" s="54"/>
      <c r="AH890" s="52"/>
      <c r="AI890" s="54"/>
      <c r="AJ890" s="52"/>
      <c r="AK890" s="54"/>
      <c r="AL890" s="52"/>
      <c r="AM890" s="54"/>
      <c r="AN890" s="52"/>
      <c r="AO890" s="54"/>
      <c r="AP890" s="52"/>
      <c r="AQ890" s="54"/>
      <c r="AR890" s="52"/>
      <c r="AS890" s="54"/>
      <c r="AT890" s="52"/>
      <c r="AU890" s="54"/>
      <c r="AV890" s="52"/>
      <c r="AW890" s="54"/>
      <c r="AX890" s="52"/>
      <c r="AY890" s="54"/>
      <c r="AZ890" s="447"/>
      <c r="BA890" s="54"/>
      <c r="BB890" s="447"/>
      <c r="BC890" s="54"/>
      <c r="BD890" s="447"/>
      <c r="BE890" s="54"/>
      <c r="BF890" s="447"/>
      <c r="BG890" s="54"/>
      <c r="BH890" s="447"/>
      <c r="BI890" s="54"/>
      <c r="BJ890" s="447"/>
      <c r="BK890" s="54"/>
      <c r="BL890" s="53"/>
      <c r="BM890" s="54"/>
      <c r="BN890" s="53"/>
      <c r="BO890" s="54"/>
      <c r="BP890" s="447"/>
      <c r="BQ890" s="54"/>
      <c r="BR890" s="449"/>
      <c r="BS890" s="54"/>
      <c r="BT890" s="449"/>
      <c r="BU890" s="54"/>
      <c r="BV890" s="451"/>
      <c r="BW890" s="54"/>
      <c r="BX890" s="451"/>
      <c r="BY890" s="54"/>
      <c r="BZ890" s="451"/>
      <c r="CA890" s="54"/>
      <c r="CB890" s="451"/>
      <c r="CC890" s="54"/>
      <c r="CD890" s="451"/>
      <c r="CE890" s="54"/>
      <c r="CF890" s="451"/>
      <c r="CG890" s="54"/>
      <c r="CH890" s="451"/>
      <c r="CI890" s="54"/>
      <c r="CJ890" s="451"/>
      <c r="CK890" s="54"/>
      <c r="CL890" s="451"/>
      <c r="CM890" s="54"/>
      <c r="CN890" s="451"/>
      <c r="CO890" s="54"/>
      <c r="CP890" s="451"/>
      <c r="CQ890" s="476"/>
      <c r="CR890" s="451"/>
      <c r="CS890" s="67"/>
      <c r="CT890" s="451"/>
      <c r="CU890" s="67"/>
      <c r="CV890" s="451"/>
      <c r="CW890" s="67"/>
      <c r="CX890" s="451"/>
      <c r="CY890" s="67"/>
      <c r="CZ890" s="451"/>
      <c r="DA890" s="67"/>
      <c r="DB890" s="451"/>
      <c r="DC890" s="67"/>
      <c r="DD890" s="451"/>
      <c r="DE890" s="67"/>
      <c r="DF890" s="451"/>
      <c r="DG890" s="67"/>
      <c r="DH890" s="451"/>
      <c r="DI890" s="67"/>
      <c r="DJ890" s="451"/>
      <c r="DK890" s="67"/>
      <c r="DL890" s="451"/>
      <c r="DM890" s="67"/>
      <c r="DN890" s="451"/>
      <c r="DO890" s="67"/>
      <c r="DP890" s="451"/>
      <c r="DQ890" s="67"/>
      <c r="DR890" s="451"/>
      <c r="DS890" s="67"/>
      <c r="DT890" s="451"/>
      <c r="DU890" s="67"/>
      <c r="DV890" s="451"/>
      <c r="DW890" s="67"/>
      <c r="DX890" s="451"/>
      <c r="DY890" s="67"/>
      <c r="DZ890" s="451"/>
      <c r="EA890" s="67"/>
      <c r="EB890" s="451"/>
      <c r="EC890" s="67"/>
      <c r="ED890" s="67"/>
      <c r="EE890" s="67"/>
      <c r="EF890" s="67"/>
      <c r="EG890" s="67"/>
      <c r="EH890" s="67"/>
      <c r="EI890" s="67"/>
      <c r="EJ890" s="67"/>
      <c r="EK890" s="67"/>
      <c r="EL890" s="67"/>
      <c r="EM890" s="67"/>
      <c r="EN890" s="67"/>
      <c r="EO890" s="67"/>
      <c r="EP890" s="67"/>
      <c r="EQ890" s="67"/>
      <c r="ER890" s="67"/>
      <c r="ES890" s="67"/>
      <c r="ET890" s="67"/>
      <c r="EU890" s="67"/>
      <c r="EV890" s="67"/>
      <c r="EW890" s="67"/>
      <c r="EX890" s="67"/>
      <c r="EY890" s="67"/>
      <c r="EZ890" s="592"/>
      <c r="FA890" s="419"/>
      <c r="FB890" s="77"/>
      <c r="FC890" s="76"/>
      <c r="FD890" s="77"/>
      <c r="FE890" s="451"/>
      <c r="FF890" s="78"/>
      <c r="FG890" s="451"/>
      <c r="FH890" s="76"/>
      <c r="FI890" s="451"/>
      <c r="FJ890" s="76"/>
      <c r="FK890" s="451"/>
      <c r="FL890" s="76"/>
      <c r="FM890" s="451"/>
      <c r="FN890" s="76"/>
      <c r="FO890" s="451"/>
      <c r="FP890" s="76"/>
      <c r="FQ890" s="451"/>
      <c r="FR890" s="76"/>
      <c r="FS890" s="447"/>
      <c r="FT890" s="76"/>
      <c r="FU890" s="447"/>
      <c r="FV890" s="76"/>
      <c r="FW890" s="449"/>
      <c r="FX890" s="475"/>
      <c r="FY890" s="449"/>
      <c r="FZ890" s="67"/>
      <c r="GA890" s="449"/>
      <c r="GB890" s="475"/>
      <c r="GC890" s="449"/>
      <c r="GD890" s="67"/>
      <c r="GE890" s="449"/>
      <c r="GF890" s="67"/>
      <c r="GG890" s="449"/>
      <c r="GH890" s="67"/>
      <c r="GI890" s="449"/>
      <c r="GJ890" s="67"/>
      <c r="GK890" s="449"/>
      <c r="GL890" s="67"/>
      <c r="GM890" s="449"/>
      <c r="GN890" s="67"/>
      <c r="GO890" s="449"/>
      <c r="GP890" s="67"/>
      <c r="GQ890" s="449"/>
      <c r="GR890" s="68">
        <v>1</v>
      </c>
      <c r="GS890" s="449"/>
      <c r="GT890" s="68">
        <v>1</v>
      </c>
      <c r="GU890" s="449"/>
      <c r="GV890" s="68">
        <v>1</v>
      </c>
      <c r="GW890" s="449"/>
      <c r="GX890" s="68">
        <v>1</v>
      </c>
      <c r="GY890" s="449"/>
      <c r="GZ890" s="52"/>
      <c r="HA890" s="52"/>
      <c r="HB890" s="10"/>
      <c r="HC890"/>
      <c r="HD890"/>
      <c r="HE890"/>
      <c r="HF890"/>
      <c r="HG890"/>
      <c r="HH890"/>
      <c r="HI890" s="10"/>
    </row>
    <row r="891" spans="2:217" s="3" customFormat="1" ht="12.75" hidden="1" customHeight="1" outlineLevel="1" x14ac:dyDescent="0.2">
      <c r="B891" s="74"/>
      <c r="C891" s="81"/>
      <c r="D891" s="55"/>
      <c r="E891" s="81"/>
      <c r="F891" s="55"/>
      <c r="G891" s="81"/>
      <c r="H891" s="55"/>
      <c r="I891" s="81"/>
      <c r="J891" s="55"/>
      <c r="K891" s="81"/>
      <c r="L891" s="52"/>
      <c r="M891" s="81"/>
      <c r="N891" s="52"/>
      <c r="O891" s="81"/>
      <c r="P891" s="52"/>
      <c r="Q891" s="81"/>
      <c r="R891" s="52"/>
      <c r="S891" s="81"/>
      <c r="T891" s="52"/>
      <c r="U891" s="81"/>
      <c r="V891" s="52"/>
      <c r="W891" s="81"/>
      <c r="X891" s="52"/>
      <c r="Y891" s="81"/>
      <c r="Z891" s="52"/>
      <c r="AA891" s="81"/>
      <c r="AB891" s="52"/>
      <c r="AC891" s="81"/>
      <c r="AD891" s="52"/>
      <c r="AE891" s="81"/>
      <c r="AF891" s="52"/>
      <c r="AG891" s="54"/>
      <c r="AH891" s="52"/>
      <c r="AI891" s="54"/>
      <c r="AJ891" s="52"/>
      <c r="AK891" s="54"/>
      <c r="AL891" s="52"/>
      <c r="AM891" s="54"/>
      <c r="AN891" s="52"/>
      <c r="AO891" s="54"/>
      <c r="AP891" s="52"/>
      <c r="AQ891" s="54"/>
      <c r="AR891" s="52"/>
      <c r="AS891" s="54"/>
      <c r="AT891" s="52"/>
      <c r="AU891" s="54"/>
      <c r="AV891" s="52"/>
      <c r="AW891" s="54"/>
      <c r="AX891" s="52"/>
      <c r="AY891" s="54"/>
      <c r="AZ891" s="447"/>
      <c r="BA891" s="54"/>
      <c r="BB891" s="447"/>
      <c r="BC891" s="54"/>
      <c r="BD891" s="447"/>
      <c r="BE891" s="54"/>
      <c r="BF891" s="447"/>
      <c r="BG891" s="54"/>
      <c r="BH891" s="447"/>
      <c r="BI891" s="54"/>
      <c r="BJ891" s="447"/>
      <c r="BK891" s="54"/>
      <c r="BL891" s="53"/>
      <c r="BM891" s="54"/>
      <c r="BN891" s="53"/>
      <c r="BO891" s="54"/>
      <c r="BP891" s="447"/>
      <c r="BQ891" s="54"/>
      <c r="BR891" s="447"/>
      <c r="BS891" s="54"/>
      <c r="BT891" s="447"/>
      <c r="BU891" s="54"/>
      <c r="BV891" s="52"/>
      <c r="BW891" s="54"/>
      <c r="BX891" s="52"/>
      <c r="BY891" s="54"/>
      <c r="BZ891" s="52"/>
      <c r="CA891" s="54"/>
      <c r="CB891" s="52"/>
      <c r="CC891" s="54"/>
      <c r="CD891" s="52"/>
      <c r="CE891" s="54"/>
      <c r="CF891" s="52"/>
      <c r="CG891" s="54"/>
      <c r="CH891" s="52"/>
      <c r="CI891" s="54"/>
      <c r="CJ891" s="52"/>
      <c r="CK891" s="54"/>
      <c r="CL891" s="52"/>
      <c r="CM891" s="54"/>
      <c r="CN891" s="52"/>
      <c r="CO891" s="54"/>
      <c r="CP891" s="52"/>
      <c r="CQ891" s="476"/>
      <c r="CR891" s="52"/>
      <c r="CS891" s="54"/>
      <c r="CT891" s="52"/>
      <c r="CU891" s="54"/>
      <c r="CV891" s="52"/>
      <c r="CW891" s="54"/>
      <c r="CX891" s="52"/>
      <c r="CY891" s="54"/>
      <c r="CZ891" s="52"/>
      <c r="DA891" s="54"/>
      <c r="DB891" s="52"/>
      <c r="DC891" s="54"/>
      <c r="DD891" s="52"/>
      <c r="DE891" s="54"/>
      <c r="DF891" s="52"/>
      <c r="DG891" s="54"/>
      <c r="DH891" s="52"/>
      <c r="DI891" s="54"/>
      <c r="DJ891" s="52"/>
      <c r="DK891" s="54"/>
      <c r="DL891" s="52"/>
      <c r="DM891" s="54"/>
      <c r="DN891" s="52"/>
      <c r="DO891" s="54"/>
      <c r="DP891" s="52"/>
      <c r="DQ891" s="54"/>
      <c r="DR891" s="52"/>
      <c r="DS891" s="54"/>
      <c r="DT891" s="52"/>
      <c r="DU891" s="54"/>
      <c r="DV891" s="52"/>
      <c r="DW891" s="54"/>
      <c r="DX891" s="52"/>
      <c r="DY891" s="54"/>
      <c r="DZ891" s="52"/>
      <c r="EA891" s="54"/>
      <c r="EB891" s="52"/>
      <c r="EC891" s="54"/>
      <c r="ED891" s="54"/>
      <c r="EE891" s="54"/>
      <c r="EF891" s="54"/>
      <c r="EG891" s="54"/>
      <c r="EH891" s="54"/>
      <c r="EI891" s="54"/>
      <c r="EJ891" s="54"/>
      <c r="EK891" s="54"/>
      <c r="EL891" s="54"/>
      <c r="EM891" s="54"/>
      <c r="EN891" s="54"/>
      <c r="EO891" s="54"/>
      <c r="EP891" s="54"/>
      <c r="EQ891" s="54"/>
      <c r="ER891" s="54"/>
      <c r="ES891" s="54"/>
      <c r="ET891" s="54"/>
      <c r="EU891" s="54"/>
      <c r="EV891" s="54"/>
      <c r="EW891" s="54"/>
      <c r="EX891" s="54"/>
      <c r="EY891" s="54"/>
      <c r="EZ891" s="587"/>
      <c r="FA891" s="417"/>
      <c r="FB891" s="56"/>
      <c r="FC891" s="55"/>
      <c r="FD891" s="56"/>
      <c r="FE891" s="52"/>
      <c r="FF891" s="57"/>
      <c r="FG891" s="52"/>
      <c r="FH891" s="58"/>
      <c r="FI891" s="52"/>
      <c r="FJ891" s="58"/>
      <c r="FK891" s="52"/>
      <c r="FL891" s="58"/>
      <c r="FM891" s="52"/>
      <c r="FN891" s="58"/>
      <c r="FO891" s="52"/>
      <c r="FP891" s="58"/>
      <c r="FQ891" s="52"/>
      <c r="FR891" s="58"/>
      <c r="FS891" s="447"/>
      <c r="FT891" s="58"/>
      <c r="FU891" s="447"/>
      <c r="FV891" s="58"/>
      <c r="FW891" s="447"/>
      <c r="FX891" s="473"/>
      <c r="FY891" s="447"/>
      <c r="FZ891" s="58"/>
      <c r="GA891" s="447"/>
      <c r="GB891" s="473"/>
      <c r="GC891" s="447"/>
      <c r="GD891" s="58"/>
      <c r="GE891" s="447"/>
      <c r="GF891" s="58"/>
      <c r="GG891" s="447"/>
      <c r="GH891" s="58"/>
      <c r="GI891" s="447"/>
      <c r="GJ891" s="58"/>
      <c r="GK891" s="447"/>
      <c r="GL891" s="58"/>
      <c r="GM891" s="447"/>
      <c r="GN891" s="58"/>
      <c r="GO891" s="447"/>
      <c r="GP891" s="58"/>
      <c r="GQ891" s="447"/>
      <c r="GR891" s="58"/>
      <c r="GS891" s="447"/>
      <c r="GT891" s="58"/>
      <c r="GU891" s="447"/>
      <c r="GV891" s="58"/>
      <c r="GW891" s="447"/>
      <c r="GX891" s="58"/>
      <c r="GY891" s="447"/>
      <c r="GZ891" s="52"/>
      <c r="HA891" s="52"/>
      <c r="HB891" s="10"/>
      <c r="HC891"/>
      <c r="HD891"/>
      <c r="HE891"/>
      <c r="HF891"/>
      <c r="HG891"/>
      <c r="HH891"/>
      <c r="HI891" s="10"/>
    </row>
    <row r="892" spans="2:217" s="3" customFormat="1" ht="12.75" hidden="1" customHeight="1" outlineLevel="1" x14ac:dyDescent="0.2">
      <c r="B892" s="75" t="s">
        <v>508</v>
      </c>
      <c r="C892" s="81"/>
      <c r="D892" s="55"/>
      <c r="E892" s="81"/>
      <c r="F892" s="55"/>
      <c r="G892" s="81"/>
      <c r="H892" s="55"/>
      <c r="I892" s="81"/>
      <c r="J892" s="55"/>
      <c r="K892" s="81"/>
      <c r="L892" s="52"/>
      <c r="M892" s="81"/>
      <c r="N892" s="52"/>
      <c r="O892" s="81"/>
      <c r="P892" s="52"/>
      <c r="Q892" s="81"/>
      <c r="R892" s="52"/>
      <c r="S892" s="81"/>
      <c r="T892" s="52"/>
      <c r="U892" s="81"/>
      <c r="V892" s="52"/>
      <c r="W892" s="81"/>
      <c r="X892" s="52"/>
      <c r="Y892" s="81"/>
      <c r="Z892" s="52"/>
      <c r="AA892" s="81"/>
      <c r="AB892" s="52"/>
      <c r="AC892" s="81"/>
      <c r="AD892" s="52"/>
      <c r="AE892" s="81"/>
      <c r="AF892" s="52"/>
      <c r="AG892" s="54"/>
      <c r="AH892" s="52"/>
      <c r="AI892" s="54"/>
      <c r="AJ892" s="52"/>
      <c r="AK892" s="54"/>
      <c r="AL892" s="52"/>
      <c r="AM892" s="54"/>
      <c r="AN892" s="52"/>
      <c r="AO892" s="54"/>
      <c r="AP892" s="52"/>
      <c r="AQ892" s="54"/>
      <c r="AR892" s="52"/>
      <c r="AS892" s="54"/>
      <c r="AT892" s="52"/>
      <c r="AU892" s="54"/>
      <c r="AV892" s="52"/>
      <c r="AW892" s="54"/>
      <c r="AX892" s="52"/>
      <c r="AY892" s="54"/>
      <c r="AZ892" s="447"/>
      <c r="BA892" s="54"/>
      <c r="BB892" s="447"/>
      <c r="BC892" s="54"/>
      <c r="BD892" s="447"/>
      <c r="BE892" s="54"/>
      <c r="BF892" s="447"/>
      <c r="BG892" s="54"/>
      <c r="BH892" s="447"/>
      <c r="BI892" s="54"/>
      <c r="BJ892" s="447"/>
      <c r="BK892" s="54"/>
      <c r="BL892" s="53"/>
      <c r="BM892" s="54"/>
      <c r="BN892" s="53"/>
      <c r="BO892" s="54"/>
      <c r="BP892" s="447"/>
      <c r="BQ892" s="54"/>
      <c r="BR892" s="447"/>
      <c r="BS892" s="54"/>
      <c r="BT892" s="447"/>
      <c r="BU892" s="54"/>
      <c r="BV892" s="52"/>
      <c r="BW892" s="54"/>
      <c r="BX892" s="52"/>
      <c r="BY892" s="54"/>
      <c r="BZ892" s="52"/>
      <c r="CA892" s="54"/>
      <c r="CB892" s="52"/>
      <c r="CC892" s="54"/>
      <c r="CD892" s="52"/>
      <c r="CE892" s="54"/>
      <c r="CF892" s="52"/>
      <c r="CG892" s="54"/>
      <c r="CH892" s="52"/>
      <c r="CI892" s="54"/>
      <c r="CJ892" s="52"/>
      <c r="CK892" s="54"/>
      <c r="CL892" s="52"/>
      <c r="CM892" s="54"/>
      <c r="CN892" s="52"/>
      <c r="CO892" s="54"/>
      <c r="CP892" s="52"/>
      <c r="CQ892" s="476"/>
      <c r="CR892" s="52"/>
      <c r="CS892" s="54"/>
      <c r="CT892" s="52"/>
      <c r="CU892" s="54"/>
      <c r="CV892" s="52"/>
      <c r="CW892" s="54"/>
      <c r="CX892" s="52"/>
      <c r="CY892" s="54"/>
      <c r="CZ892" s="52"/>
      <c r="DA892" s="54"/>
      <c r="DB892" s="52"/>
      <c r="DC892" s="54"/>
      <c r="DD892" s="52"/>
      <c r="DE892" s="54"/>
      <c r="DF892" s="52"/>
      <c r="DG892" s="54"/>
      <c r="DH892" s="52"/>
      <c r="DI892" s="54"/>
      <c r="DJ892" s="52"/>
      <c r="DK892" s="54"/>
      <c r="DL892" s="52"/>
      <c r="DM892" s="54"/>
      <c r="DN892" s="52"/>
      <c r="DO892" s="54"/>
      <c r="DP892" s="52"/>
      <c r="DQ892" s="54"/>
      <c r="DR892" s="52"/>
      <c r="DS892" s="54"/>
      <c r="DT892" s="52"/>
      <c r="DU892" s="54"/>
      <c r="DV892" s="52"/>
      <c r="DW892" s="54"/>
      <c r="DX892" s="52"/>
      <c r="DY892" s="54"/>
      <c r="DZ892" s="52"/>
      <c r="EA892" s="54"/>
      <c r="EB892" s="52"/>
      <c r="EC892" s="54"/>
      <c r="ED892" s="54"/>
      <c r="EE892" s="54"/>
      <c r="EF892" s="54"/>
      <c r="EG892" s="54"/>
      <c r="EH892" s="54"/>
      <c r="EI892" s="54"/>
      <c r="EJ892" s="54"/>
      <c r="EK892" s="54"/>
      <c r="EL892" s="54"/>
      <c r="EM892" s="54"/>
      <c r="EN892" s="54"/>
      <c r="EO892" s="54"/>
      <c r="EP892" s="54"/>
      <c r="EQ892" s="54"/>
      <c r="ER892" s="54"/>
      <c r="ES892" s="54"/>
      <c r="ET892" s="54"/>
      <c r="EU892" s="54"/>
      <c r="EV892" s="54"/>
      <c r="EW892" s="54"/>
      <c r="EX892" s="54"/>
      <c r="EY892" s="54"/>
      <c r="EZ892" s="587"/>
      <c r="FA892" s="417"/>
      <c r="FB892" s="56"/>
      <c r="FC892" s="55"/>
      <c r="FD892" s="56"/>
      <c r="FE892" s="52"/>
      <c r="FF892" s="57"/>
      <c r="FG892" s="52"/>
      <c r="FH892" s="58"/>
      <c r="FI892" s="52"/>
      <c r="FJ892" s="58"/>
      <c r="FK892" s="52"/>
      <c r="FL892" s="58"/>
      <c r="FM892" s="52"/>
      <c r="FN892" s="58"/>
      <c r="FO892" s="52"/>
      <c r="FP892" s="58"/>
      <c r="FQ892" s="52"/>
      <c r="FR892" s="58"/>
      <c r="FS892" s="447"/>
      <c r="FT892" s="58"/>
      <c r="FU892" s="447"/>
      <c r="FV892" s="58"/>
      <c r="FW892" s="447"/>
      <c r="FX892" s="473"/>
      <c r="FY892" s="447"/>
      <c r="FZ892" s="58"/>
      <c r="GA892" s="447"/>
      <c r="GB892" s="473"/>
      <c r="GC892" s="447"/>
      <c r="GD892" s="58"/>
      <c r="GE892" s="447"/>
      <c r="GF892" s="58"/>
      <c r="GG892" s="447"/>
      <c r="GH892" s="58"/>
      <c r="GI892" s="447"/>
      <c r="GJ892" s="58"/>
      <c r="GK892" s="447"/>
      <c r="GL892" s="58"/>
      <c r="GM892" s="447"/>
      <c r="GN892" s="58"/>
      <c r="GO892" s="447"/>
      <c r="GP892" s="58"/>
      <c r="GQ892" s="447"/>
      <c r="GR892" s="58"/>
      <c r="GS892" s="447"/>
      <c r="GT892" s="58"/>
      <c r="GU892" s="447"/>
      <c r="GV892" s="58"/>
      <c r="GW892" s="447"/>
      <c r="GX892" s="58"/>
      <c r="GY892" s="447"/>
      <c r="GZ892" s="52"/>
      <c r="HA892" s="52"/>
      <c r="HB892" s="10"/>
      <c r="HC892"/>
      <c r="HD892"/>
      <c r="HE892"/>
      <c r="HF892"/>
      <c r="HG892"/>
      <c r="HH892"/>
      <c r="HI892" s="10"/>
    </row>
    <row r="893" spans="2:217" s="3" customFormat="1" ht="12.75" hidden="1" customHeight="1" outlineLevel="1" x14ac:dyDescent="0.2">
      <c r="B893" s="60" t="s">
        <v>265</v>
      </c>
      <c r="C893" s="81"/>
      <c r="D893" s="55"/>
      <c r="E893" s="81"/>
      <c r="F893" s="55"/>
      <c r="G893" s="81"/>
      <c r="H893" s="55"/>
      <c r="I893" s="81"/>
      <c r="J893" s="55"/>
      <c r="K893" s="81"/>
      <c r="L893" s="52"/>
      <c r="M893" s="81"/>
      <c r="N893" s="52"/>
      <c r="O893" s="81"/>
      <c r="P893" s="52"/>
      <c r="Q893" s="81"/>
      <c r="R893" s="52"/>
      <c r="S893" s="81"/>
      <c r="T893" s="52"/>
      <c r="U893" s="81"/>
      <c r="V893" s="52"/>
      <c r="W893" s="81"/>
      <c r="X893" s="52"/>
      <c r="Y893" s="81"/>
      <c r="Z893" s="52"/>
      <c r="AA893" s="81"/>
      <c r="AB893" s="52"/>
      <c r="AC893" s="81"/>
      <c r="AD893" s="52"/>
      <c r="AE893" s="81"/>
      <c r="AF893" s="52"/>
      <c r="AG893" s="54"/>
      <c r="AH893" s="52"/>
      <c r="AI893" s="54"/>
      <c r="AJ893" s="52"/>
      <c r="AK893" s="54"/>
      <c r="AL893" s="52"/>
      <c r="AM893" s="54"/>
      <c r="AN893" s="52"/>
      <c r="AO893" s="54"/>
      <c r="AP893" s="52"/>
      <c r="AQ893" s="54"/>
      <c r="AR893" s="52"/>
      <c r="AS893" s="54"/>
      <c r="AT893" s="52"/>
      <c r="AU893" s="54"/>
      <c r="AV893" s="52"/>
      <c r="AW893" s="54"/>
      <c r="AX893" s="52"/>
      <c r="AY893" s="54"/>
      <c r="AZ893" s="447"/>
      <c r="BA893" s="54"/>
      <c r="BB893" s="447"/>
      <c r="BC893" s="54"/>
      <c r="BD893" s="447"/>
      <c r="BE893" s="54"/>
      <c r="BF893" s="447"/>
      <c r="BG893" s="54"/>
      <c r="BH893" s="447"/>
      <c r="BI893" s="54"/>
      <c r="BJ893" s="447"/>
      <c r="BK893" s="54"/>
      <c r="BL893" s="53"/>
      <c r="BM893" s="54"/>
      <c r="BN893" s="53"/>
      <c r="BO893" s="54"/>
      <c r="BP893" s="447"/>
      <c r="BQ893" s="54"/>
      <c r="BR893" s="447"/>
      <c r="BS893" s="54"/>
      <c r="BT893" s="447"/>
      <c r="BU893" s="54"/>
      <c r="BV893" s="52"/>
      <c r="BW893" s="54"/>
      <c r="BX893" s="52"/>
      <c r="BY893" s="54"/>
      <c r="BZ893" s="52"/>
      <c r="CA893" s="54"/>
      <c r="CB893" s="52"/>
      <c r="CC893" s="54"/>
      <c r="CD893" s="52"/>
      <c r="CE893" s="54"/>
      <c r="CF893" s="52"/>
      <c r="CG893" s="54"/>
      <c r="CH893" s="52"/>
      <c r="CI893" s="54"/>
      <c r="CJ893" s="52"/>
      <c r="CK893" s="54"/>
      <c r="CL893" s="52"/>
      <c r="CM893" s="54"/>
      <c r="CN893" s="52"/>
      <c r="CO893" s="54"/>
      <c r="CP893" s="52"/>
      <c r="CQ893" s="476"/>
      <c r="CR893" s="52"/>
      <c r="CS893" s="61"/>
      <c r="CT893" s="52"/>
      <c r="CU893" s="61"/>
      <c r="CV893" s="52"/>
      <c r="CW893" s="61"/>
      <c r="CX893" s="52"/>
      <c r="CY893" s="61"/>
      <c r="CZ893" s="52"/>
      <c r="DA893" s="61"/>
      <c r="DB893" s="52"/>
      <c r="DC893" s="61"/>
      <c r="DD893" s="52"/>
      <c r="DE893" s="61"/>
      <c r="DF893" s="52"/>
      <c r="DG893" s="61"/>
      <c r="DH893" s="52"/>
      <c r="DI893" s="61"/>
      <c r="DJ893" s="52"/>
      <c r="DK893" s="61"/>
      <c r="DL893" s="52"/>
      <c r="DM893" s="61"/>
      <c r="DN893" s="52"/>
      <c r="DO893" s="61"/>
      <c r="DP893" s="52"/>
      <c r="DQ893" s="61"/>
      <c r="DR893" s="52"/>
      <c r="DS893" s="61"/>
      <c r="DT893" s="52"/>
      <c r="DU893" s="61"/>
      <c r="DV893" s="52"/>
      <c r="DW893" s="61"/>
      <c r="DX893" s="52"/>
      <c r="DY893" s="61"/>
      <c r="DZ893" s="52"/>
      <c r="EA893" s="61"/>
      <c r="EB893" s="52"/>
      <c r="EC893" s="61"/>
      <c r="ED893" s="61"/>
      <c r="EE893" s="61"/>
      <c r="EF893" s="61"/>
      <c r="EG893" s="61"/>
      <c r="EH893" s="61"/>
      <c r="EI893" s="61"/>
      <c r="EJ893" s="61"/>
      <c r="EK893" s="61"/>
      <c r="EL893" s="61"/>
      <c r="EM893" s="61"/>
      <c r="EN893" s="61"/>
      <c r="EO893" s="61"/>
      <c r="EP893" s="61"/>
      <c r="EQ893" s="61"/>
      <c r="ER893" s="61"/>
      <c r="ES893" s="61"/>
      <c r="ET893" s="61"/>
      <c r="EU893" s="61"/>
      <c r="EV893" s="61"/>
      <c r="EW893" s="61"/>
      <c r="EX893" s="61"/>
      <c r="EY893" s="61"/>
      <c r="EZ893" s="587"/>
      <c r="FA893" s="417"/>
      <c r="FB893" s="56"/>
      <c r="FC893" s="55"/>
      <c r="FD893" s="56"/>
      <c r="FE893" s="52"/>
      <c r="FF893" s="57"/>
      <c r="FG893" s="52"/>
      <c r="FH893" s="58"/>
      <c r="FI893" s="52"/>
      <c r="FJ893" s="58"/>
      <c r="FK893" s="52"/>
      <c r="FL893" s="58"/>
      <c r="FM893" s="52"/>
      <c r="FN893" s="58"/>
      <c r="FO893" s="52"/>
      <c r="FP893" s="58"/>
      <c r="FQ893" s="52"/>
      <c r="FR893" s="58"/>
      <c r="FS893" s="447"/>
      <c r="FT893" s="58"/>
      <c r="FU893" s="447"/>
      <c r="FV893" s="58"/>
      <c r="FW893" s="447"/>
      <c r="FX893" s="474"/>
      <c r="FY893" s="447"/>
      <c r="FZ893" s="61"/>
      <c r="GA893" s="447"/>
      <c r="GB893" s="474"/>
      <c r="GC893" s="447"/>
      <c r="GD893" s="61"/>
      <c r="GE893" s="447"/>
      <c r="GF893" s="61"/>
      <c r="GG893" s="447"/>
      <c r="GH893" s="61"/>
      <c r="GI893" s="447"/>
      <c r="GJ893" s="61"/>
      <c r="GK893" s="447"/>
      <c r="GL893" s="61"/>
      <c r="GM893" s="447"/>
      <c r="GN893" s="61"/>
      <c r="GO893" s="447"/>
      <c r="GP893" s="61"/>
      <c r="GQ893" s="447"/>
      <c r="GR893" s="62" t="e">
        <f>#REF!</f>
        <v>#REF!</v>
      </c>
      <c r="GS893" s="447"/>
      <c r="GT893" s="62" t="e">
        <f>#REF!</f>
        <v>#REF!</v>
      </c>
      <c r="GU893" s="447"/>
      <c r="GV893" s="62" t="e">
        <f>#REF!</f>
        <v>#REF!</v>
      </c>
      <c r="GW893" s="447"/>
      <c r="GX893" s="62" t="e">
        <f>#REF!</f>
        <v>#REF!</v>
      </c>
      <c r="GY893" s="447"/>
      <c r="GZ893" s="52"/>
      <c r="HA893" s="52"/>
      <c r="HB893" s="10"/>
      <c r="HC893"/>
      <c r="HD893"/>
      <c r="HE893"/>
      <c r="HF893"/>
      <c r="HG893"/>
      <c r="HH893"/>
      <c r="HI893" s="10"/>
    </row>
    <row r="894" spans="2:217" s="3" customFormat="1" ht="12.75" hidden="1" customHeight="1" outlineLevel="1" x14ac:dyDescent="0.2">
      <c r="B894" s="60" t="s">
        <v>187</v>
      </c>
      <c r="C894" s="81"/>
      <c r="D894" s="55"/>
      <c r="E894" s="81"/>
      <c r="F894" s="55"/>
      <c r="G894" s="81"/>
      <c r="H894" s="55"/>
      <c r="I894" s="81"/>
      <c r="J894" s="55"/>
      <c r="K894" s="81"/>
      <c r="L894" s="52"/>
      <c r="M894" s="81"/>
      <c r="N894" s="52"/>
      <c r="O894" s="81"/>
      <c r="P894" s="52"/>
      <c r="Q894" s="81"/>
      <c r="R894" s="52"/>
      <c r="S894" s="81"/>
      <c r="T894" s="52"/>
      <c r="U894" s="81"/>
      <c r="V894" s="52"/>
      <c r="W894" s="81"/>
      <c r="X894" s="52"/>
      <c r="Y894" s="81"/>
      <c r="Z894" s="52"/>
      <c r="AA894" s="81"/>
      <c r="AB894" s="52"/>
      <c r="AC894" s="81"/>
      <c r="AD894" s="52"/>
      <c r="AE894" s="81"/>
      <c r="AF894" s="52"/>
      <c r="AG894" s="54"/>
      <c r="AH894" s="52"/>
      <c r="AI894" s="54"/>
      <c r="AJ894" s="52"/>
      <c r="AK894" s="54"/>
      <c r="AL894" s="52"/>
      <c r="AM894" s="54"/>
      <c r="AN894" s="52"/>
      <c r="AO894" s="54"/>
      <c r="AP894" s="52"/>
      <c r="AQ894" s="54"/>
      <c r="AR894" s="52"/>
      <c r="AS894" s="54"/>
      <c r="AT894" s="52"/>
      <c r="AU894" s="54"/>
      <c r="AV894" s="52"/>
      <c r="AW894" s="54"/>
      <c r="AX894" s="52"/>
      <c r="AY894" s="54"/>
      <c r="AZ894" s="447"/>
      <c r="BA894" s="54"/>
      <c r="BB894" s="447"/>
      <c r="BC894" s="54"/>
      <c r="BD894" s="447"/>
      <c r="BE894" s="54"/>
      <c r="BF894" s="447"/>
      <c r="BG894" s="54"/>
      <c r="BH894" s="447"/>
      <c r="BI894" s="54"/>
      <c r="BJ894" s="447"/>
      <c r="BK894" s="54"/>
      <c r="BL894" s="53"/>
      <c r="BM894" s="54"/>
      <c r="BN894" s="53"/>
      <c r="BO894" s="54"/>
      <c r="BP894" s="447"/>
      <c r="BQ894" s="54"/>
      <c r="BR894" s="447"/>
      <c r="BS894" s="54"/>
      <c r="BT894" s="447"/>
      <c r="BU894" s="54"/>
      <c r="BV894" s="449"/>
      <c r="BW894" s="54"/>
      <c r="BX894" s="449"/>
      <c r="BY894" s="54"/>
      <c r="BZ894" s="449"/>
      <c r="CA894" s="54"/>
      <c r="CB894" s="449"/>
      <c r="CC894" s="54"/>
      <c r="CD894" s="449"/>
      <c r="CE894" s="54"/>
      <c r="CF894" s="449"/>
      <c r="CG894" s="54"/>
      <c r="CH894" s="449"/>
      <c r="CI894" s="54"/>
      <c r="CJ894" s="449"/>
      <c r="CK894" s="54"/>
      <c r="CL894" s="449"/>
      <c r="CM894" s="54"/>
      <c r="CN894" s="449"/>
      <c r="CO894" s="54"/>
      <c r="CP894" s="449"/>
      <c r="CQ894" s="476"/>
      <c r="CR894" s="449"/>
      <c r="CS894" s="67"/>
      <c r="CT894" s="449"/>
      <c r="CU894" s="67"/>
      <c r="CV894" s="449"/>
      <c r="CW894" s="67"/>
      <c r="CX894" s="449"/>
      <c r="CY894" s="67"/>
      <c r="CZ894" s="449"/>
      <c r="DA894" s="67"/>
      <c r="DB894" s="449"/>
      <c r="DC894" s="67"/>
      <c r="DD894" s="449"/>
      <c r="DE894" s="67"/>
      <c r="DF894" s="449"/>
      <c r="DG894" s="67"/>
      <c r="DH894" s="449"/>
      <c r="DI894" s="67"/>
      <c r="DJ894" s="449"/>
      <c r="DK894" s="67"/>
      <c r="DL894" s="449"/>
      <c r="DM894" s="67"/>
      <c r="DN894" s="449"/>
      <c r="DO894" s="67"/>
      <c r="DP894" s="449"/>
      <c r="DQ894" s="67"/>
      <c r="DR894" s="449"/>
      <c r="DS894" s="67"/>
      <c r="DT894" s="449"/>
      <c r="DU894" s="67"/>
      <c r="DV894" s="449"/>
      <c r="DW894" s="67"/>
      <c r="DX894" s="449"/>
      <c r="DY894" s="67"/>
      <c r="DZ894" s="449"/>
      <c r="EA894" s="67"/>
      <c r="EB894" s="449"/>
      <c r="EC894" s="67"/>
      <c r="ED894" s="67"/>
      <c r="EE894" s="67"/>
      <c r="EF894" s="67"/>
      <c r="EG894" s="67"/>
      <c r="EH894" s="67"/>
      <c r="EI894" s="67"/>
      <c r="EJ894" s="67"/>
      <c r="EK894" s="67"/>
      <c r="EL894" s="67"/>
      <c r="EM894" s="67"/>
      <c r="EN894" s="67"/>
      <c r="EO894" s="67"/>
      <c r="EP894" s="67"/>
      <c r="EQ894" s="67"/>
      <c r="ER894" s="67"/>
      <c r="ES894" s="67"/>
      <c r="ET894" s="67"/>
      <c r="EU894" s="67"/>
      <c r="EV894" s="67"/>
      <c r="EW894" s="67"/>
      <c r="EX894" s="67"/>
      <c r="EY894" s="67"/>
      <c r="EZ894" s="593"/>
      <c r="FA894" s="420"/>
      <c r="FB894" s="82"/>
      <c r="FC894" s="65"/>
      <c r="FD894" s="82"/>
      <c r="FE894" s="449"/>
      <c r="FF894" s="83"/>
      <c r="FG894" s="449"/>
      <c r="FH894" s="65"/>
      <c r="FI894" s="449"/>
      <c r="FJ894" s="65"/>
      <c r="FK894" s="449"/>
      <c r="FL894" s="65"/>
      <c r="FM894" s="449"/>
      <c r="FN894" s="65"/>
      <c r="FO894" s="449"/>
      <c r="FP894" s="65"/>
      <c r="FQ894" s="449"/>
      <c r="FR894" s="65"/>
      <c r="FS894" s="447"/>
      <c r="FT894" s="65"/>
      <c r="FU894" s="447"/>
      <c r="FV894" s="65"/>
      <c r="FW894" s="449"/>
      <c r="FX894" s="475"/>
      <c r="FY894" s="449"/>
      <c r="FZ894" s="67"/>
      <c r="GA894" s="449"/>
      <c r="GB894" s="475"/>
      <c r="GC894" s="449"/>
      <c r="GD894" s="67"/>
      <c r="GE894" s="449"/>
      <c r="GF894" s="67"/>
      <c r="GG894" s="449"/>
      <c r="GH894" s="67"/>
      <c r="GI894" s="449"/>
      <c r="GJ894" s="67"/>
      <c r="GK894" s="449"/>
      <c r="GL894" s="67"/>
      <c r="GM894" s="449"/>
      <c r="GN894" s="67"/>
      <c r="GO894" s="449"/>
      <c r="GP894" s="67"/>
      <c r="GQ894" s="449"/>
      <c r="GR894" s="66">
        <v>-1</v>
      </c>
      <c r="GS894" s="449"/>
      <c r="GT894" s="66">
        <v>-1</v>
      </c>
      <c r="GU894" s="449"/>
      <c r="GV894" s="66">
        <v>-1</v>
      </c>
      <c r="GW894" s="449"/>
      <c r="GX894" s="66">
        <v>-1</v>
      </c>
      <c r="GY894" s="449"/>
      <c r="GZ894" s="52"/>
      <c r="HA894" s="52"/>
      <c r="HB894" s="10"/>
      <c r="HC894"/>
      <c r="HD894"/>
      <c r="HE894"/>
      <c r="HF894"/>
      <c r="HG894"/>
      <c r="HH894"/>
      <c r="HI894" s="10"/>
    </row>
    <row r="895" spans="2:217" s="3" customFormat="1" ht="12.75" hidden="1" customHeight="1" outlineLevel="1" x14ac:dyDescent="0.2">
      <c r="B895" s="60" t="s">
        <v>188</v>
      </c>
      <c r="C895" s="81"/>
      <c r="D895" s="55"/>
      <c r="E895" s="81"/>
      <c r="F895" s="55"/>
      <c r="G895" s="81"/>
      <c r="H895" s="55"/>
      <c r="I895" s="81"/>
      <c r="J895" s="55"/>
      <c r="K895" s="81"/>
      <c r="L895" s="52"/>
      <c r="M895" s="81"/>
      <c r="N895" s="52"/>
      <c r="O895" s="81"/>
      <c r="P895" s="52"/>
      <c r="Q895" s="81"/>
      <c r="R895" s="52"/>
      <c r="S895" s="81"/>
      <c r="T895" s="52"/>
      <c r="U895" s="81"/>
      <c r="V895" s="52"/>
      <c r="W895" s="81"/>
      <c r="X895" s="52"/>
      <c r="Y895" s="81"/>
      <c r="Z895" s="52"/>
      <c r="AA895" s="81"/>
      <c r="AB895" s="52"/>
      <c r="AC895" s="81"/>
      <c r="AD895" s="52"/>
      <c r="AE895" s="81"/>
      <c r="AF895" s="52"/>
      <c r="AG895" s="54"/>
      <c r="AH895" s="52"/>
      <c r="AI895" s="54"/>
      <c r="AJ895" s="52"/>
      <c r="AK895" s="54"/>
      <c r="AL895" s="52"/>
      <c r="AM895" s="54"/>
      <c r="AN895" s="52"/>
      <c r="AO895" s="54"/>
      <c r="AP895" s="52"/>
      <c r="AQ895" s="54"/>
      <c r="AR895" s="52"/>
      <c r="AS895" s="54"/>
      <c r="AT895" s="52"/>
      <c r="AU895" s="54"/>
      <c r="AV895" s="52"/>
      <c r="AW895" s="54"/>
      <c r="AX895" s="52"/>
      <c r="AY895" s="54"/>
      <c r="AZ895" s="447"/>
      <c r="BA895" s="54"/>
      <c r="BB895" s="447"/>
      <c r="BC895" s="54"/>
      <c r="BD895" s="447"/>
      <c r="BE895" s="54"/>
      <c r="BF895" s="447"/>
      <c r="BG895" s="54"/>
      <c r="BH895" s="447"/>
      <c r="BI895" s="54"/>
      <c r="BJ895" s="447"/>
      <c r="BK895" s="54"/>
      <c r="BL895" s="53"/>
      <c r="BM895" s="54"/>
      <c r="BN895" s="53"/>
      <c r="BO895" s="54"/>
      <c r="BP895" s="447"/>
      <c r="BQ895" s="54"/>
      <c r="BR895" s="447"/>
      <c r="BS895" s="54"/>
      <c r="BT895" s="447"/>
      <c r="BU895" s="54"/>
      <c r="BV895" s="449"/>
      <c r="BW895" s="54"/>
      <c r="BX895" s="449"/>
      <c r="BY895" s="54"/>
      <c r="BZ895" s="449"/>
      <c r="CA895" s="54"/>
      <c r="CB895" s="449"/>
      <c r="CC895" s="54"/>
      <c r="CD895" s="449"/>
      <c r="CE895" s="54"/>
      <c r="CF895" s="449"/>
      <c r="CG895" s="54"/>
      <c r="CH895" s="449"/>
      <c r="CI895" s="54"/>
      <c r="CJ895" s="449"/>
      <c r="CK895" s="54"/>
      <c r="CL895" s="449"/>
      <c r="CM895" s="54"/>
      <c r="CN895" s="449"/>
      <c r="CO895" s="54"/>
      <c r="CP895" s="449"/>
      <c r="CQ895" s="476"/>
      <c r="CR895" s="449"/>
      <c r="CS895" s="67"/>
      <c r="CT895" s="449"/>
      <c r="CU895" s="67"/>
      <c r="CV895" s="449"/>
      <c r="CW895" s="67"/>
      <c r="CX895" s="449"/>
      <c r="CY895" s="67"/>
      <c r="CZ895" s="449"/>
      <c r="DA895" s="67"/>
      <c r="DB895" s="449"/>
      <c r="DC895" s="67"/>
      <c r="DD895" s="449"/>
      <c r="DE895" s="67"/>
      <c r="DF895" s="449"/>
      <c r="DG895" s="67"/>
      <c r="DH895" s="449"/>
      <c r="DI895" s="67"/>
      <c r="DJ895" s="449"/>
      <c r="DK895" s="67"/>
      <c r="DL895" s="449"/>
      <c r="DM895" s="67"/>
      <c r="DN895" s="449"/>
      <c r="DO895" s="67"/>
      <c r="DP895" s="449"/>
      <c r="DQ895" s="67"/>
      <c r="DR895" s="449"/>
      <c r="DS895" s="67"/>
      <c r="DT895" s="449"/>
      <c r="DU895" s="67"/>
      <c r="DV895" s="449"/>
      <c r="DW895" s="67"/>
      <c r="DX895" s="449"/>
      <c r="DY895" s="67"/>
      <c r="DZ895" s="449"/>
      <c r="EA895" s="67"/>
      <c r="EB895" s="449"/>
      <c r="EC895" s="67"/>
      <c r="ED895" s="67"/>
      <c r="EE895" s="67"/>
      <c r="EF895" s="67"/>
      <c r="EG895" s="67"/>
      <c r="EH895" s="67"/>
      <c r="EI895" s="67"/>
      <c r="EJ895" s="67"/>
      <c r="EK895" s="67"/>
      <c r="EL895" s="67"/>
      <c r="EM895" s="67"/>
      <c r="EN895" s="67"/>
      <c r="EO895" s="67"/>
      <c r="EP895" s="67"/>
      <c r="EQ895" s="67"/>
      <c r="ER895" s="67"/>
      <c r="ES895" s="67"/>
      <c r="ET895" s="67"/>
      <c r="EU895" s="67"/>
      <c r="EV895" s="67"/>
      <c r="EW895" s="67"/>
      <c r="EX895" s="67"/>
      <c r="EY895" s="67"/>
      <c r="EZ895" s="593"/>
      <c r="FA895" s="420"/>
      <c r="FB895" s="82"/>
      <c r="FC895" s="65"/>
      <c r="FD895" s="82"/>
      <c r="FE895" s="449"/>
      <c r="FF895" s="83"/>
      <c r="FG895" s="449"/>
      <c r="FH895" s="65"/>
      <c r="FI895" s="449"/>
      <c r="FJ895" s="65"/>
      <c r="FK895" s="449"/>
      <c r="FL895" s="65"/>
      <c r="FM895" s="449"/>
      <c r="FN895" s="65"/>
      <c r="FO895" s="449"/>
      <c r="FP895" s="65"/>
      <c r="FQ895" s="449"/>
      <c r="FR895" s="65"/>
      <c r="FS895" s="447"/>
      <c r="FT895" s="65"/>
      <c r="FU895" s="447"/>
      <c r="FV895" s="65"/>
      <c r="FW895" s="449"/>
      <c r="FX895" s="475"/>
      <c r="FY895" s="449"/>
      <c r="FZ895" s="67"/>
      <c r="GA895" s="449"/>
      <c r="GB895" s="475"/>
      <c r="GC895" s="449"/>
      <c r="GD895" s="67"/>
      <c r="GE895" s="449"/>
      <c r="GF895" s="67"/>
      <c r="GG895" s="449"/>
      <c r="GH895" s="67"/>
      <c r="GI895" s="449"/>
      <c r="GJ895" s="67"/>
      <c r="GK895" s="449"/>
      <c r="GL895" s="67"/>
      <c r="GM895" s="449"/>
      <c r="GN895" s="67"/>
      <c r="GO895" s="449"/>
      <c r="GP895" s="67"/>
      <c r="GQ895" s="449"/>
      <c r="GR895" s="68">
        <v>1</v>
      </c>
      <c r="GS895" s="449"/>
      <c r="GT895" s="68">
        <v>1</v>
      </c>
      <c r="GU895" s="449"/>
      <c r="GV895" s="68">
        <v>1</v>
      </c>
      <c r="GW895" s="449"/>
      <c r="GX895" s="68">
        <v>1</v>
      </c>
      <c r="GY895" s="449"/>
      <c r="GZ895" s="52"/>
      <c r="HA895" s="52"/>
      <c r="HB895" s="10"/>
      <c r="HC895"/>
      <c r="HD895"/>
      <c r="HE895"/>
      <c r="HF895"/>
      <c r="HG895"/>
      <c r="HH895"/>
      <c r="HI895" s="10"/>
    </row>
    <row r="896" spans="2:217" s="3" customFormat="1" ht="12.75" hidden="1" customHeight="1" outlineLevel="1" x14ac:dyDescent="0.2">
      <c r="B896" s="74"/>
      <c r="C896" s="81"/>
      <c r="D896" s="55"/>
      <c r="E896" s="81"/>
      <c r="F896" s="55"/>
      <c r="G896" s="81"/>
      <c r="H896" s="55"/>
      <c r="I896" s="81"/>
      <c r="J896" s="55"/>
      <c r="K896" s="81"/>
      <c r="L896" s="52"/>
      <c r="M896" s="81"/>
      <c r="N896" s="52"/>
      <c r="O896" s="81"/>
      <c r="P896" s="52"/>
      <c r="Q896" s="81"/>
      <c r="R896" s="52"/>
      <c r="S896" s="81"/>
      <c r="T896" s="52"/>
      <c r="U896" s="81"/>
      <c r="V896" s="52"/>
      <c r="W896" s="81"/>
      <c r="X896" s="52"/>
      <c r="Y896" s="81"/>
      <c r="Z896" s="52"/>
      <c r="AA896" s="81"/>
      <c r="AB896" s="52"/>
      <c r="AC896" s="81"/>
      <c r="AD896" s="52"/>
      <c r="AE896" s="81"/>
      <c r="AF896" s="52"/>
      <c r="AG896" s="54"/>
      <c r="AH896" s="52"/>
      <c r="AI896" s="54"/>
      <c r="AJ896" s="52"/>
      <c r="AK896" s="54"/>
      <c r="AL896" s="52"/>
      <c r="AM896" s="54"/>
      <c r="AN896" s="52"/>
      <c r="AO896" s="54"/>
      <c r="AP896" s="52"/>
      <c r="AQ896" s="54"/>
      <c r="AR896" s="52"/>
      <c r="AS896" s="54"/>
      <c r="AT896" s="52"/>
      <c r="AU896" s="54"/>
      <c r="AV896" s="52"/>
      <c r="AW896" s="54"/>
      <c r="AX896" s="52"/>
      <c r="AY896" s="54"/>
      <c r="AZ896" s="447"/>
      <c r="BA896" s="54"/>
      <c r="BB896" s="447"/>
      <c r="BC896" s="54"/>
      <c r="BD896" s="447"/>
      <c r="BE896" s="54"/>
      <c r="BF896" s="447"/>
      <c r="BG896" s="54"/>
      <c r="BH896" s="447"/>
      <c r="BI896" s="54"/>
      <c r="BJ896" s="447"/>
      <c r="BK896" s="54"/>
      <c r="BL896" s="53"/>
      <c r="BM896" s="54"/>
      <c r="BN896" s="53"/>
      <c r="BO896" s="54"/>
      <c r="BP896" s="447"/>
      <c r="BQ896" s="54"/>
      <c r="BR896" s="447"/>
      <c r="BS896" s="54"/>
      <c r="BT896" s="447"/>
      <c r="BU896" s="54"/>
      <c r="BV896" s="52"/>
      <c r="BW896" s="54"/>
      <c r="BX896" s="52"/>
      <c r="BY896" s="54"/>
      <c r="BZ896" s="52"/>
      <c r="CA896" s="54"/>
      <c r="CB896" s="52"/>
      <c r="CC896" s="54"/>
      <c r="CD896" s="52"/>
      <c r="CE896" s="54"/>
      <c r="CF896" s="52"/>
      <c r="CG896" s="54"/>
      <c r="CH896" s="52"/>
      <c r="CI896" s="54"/>
      <c r="CJ896" s="52"/>
      <c r="CK896" s="54"/>
      <c r="CL896" s="52"/>
      <c r="CM896" s="54"/>
      <c r="CN896" s="52"/>
      <c r="CO896" s="54"/>
      <c r="CP896" s="52"/>
      <c r="CQ896" s="476"/>
      <c r="CR896" s="52"/>
      <c r="CS896" s="54"/>
      <c r="CT896" s="52"/>
      <c r="CU896" s="54"/>
      <c r="CV896" s="52"/>
      <c r="CW896" s="54"/>
      <c r="CX896" s="52"/>
      <c r="CY896" s="54"/>
      <c r="CZ896" s="52"/>
      <c r="DA896" s="54"/>
      <c r="DB896" s="52"/>
      <c r="DC896" s="54"/>
      <c r="DD896" s="52"/>
      <c r="DE896" s="54"/>
      <c r="DF896" s="52"/>
      <c r="DG896" s="54"/>
      <c r="DH896" s="52"/>
      <c r="DI896" s="54"/>
      <c r="DJ896" s="52"/>
      <c r="DK896" s="54"/>
      <c r="DL896" s="52"/>
      <c r="DM896" s="54"/>
      <c r="DN896" s="52"/>
      <c r="DO896" s="54"/>
      <c r="DP896" s="52"/>
      <c r="DQ896" s="54"/>
      <c r="DR896" s="52"/>
      <c r="DS896" s="54"/>
      <c r="DT896" s="52"/>
      <c r="DU896" s="54"/>
      <c r="DV896" s="52"/>
      <c r="DW896" s="54"/>
      <c r="DX896" s="52"/>
      <c r="DY896" s="54"/>
      <c r="DZ896" s="52"/>
      <c r="EA896" s="54"/>
      <c r="EB896" s="52"/>
      <c r="EC896" s="54"/>
      <c r="ED896" s="54"/>
      <c r="EE896" s="54"/>
      <c r="EF896" s="54"/>
      <c r="EG896" s="54"/>
      <c r="EH896" s="54"/>
      <c r="EI896" s="54"/>
      <c r="EJ896" s="54"/>
      <c r="EK896" s="54"/>
      <c r="EL896" s="54"/>
      <c r="EM896" s="54"/>
      <c r="EN896" s="54"/>
      <c r="EO896" s="54"/>
      <c r="EP896" s="54"/>
      <c r="EQ896" s="54"/>
      <c r="ER896" s="54"/>
      <c r="ES896" s="54"/>
      <c r="ET896" s="54"/>
      <c r="EU896" s="54"/>
      <c r="EV896" s="54"/>
      <c r="EW896" s="54"/>
      <c r="EX896" s="54"/>
      <c r="EY896" s="54"/>
      <c r="EZ896" s="587"/>
      <c r="FA896" s="417"/>
      <c r="FB896" s="56"/>
      <c r="FC896" s="55"/>
      <c r="FD896" s="56"/>
      <c r="FE896" s="52"/>
      <c r="FF896" s="57"/>
      <c r="FG896" s="52"/>
      <c r="FH896" s="58"/>
      <c r="FI896" s="52"/>
      <c r="FJ896" s="58"/>
      <c r="FK896" s="52"/>
      <c r="FL896" s="58"/>
      <c r="FM896" s="52"/>
      <c r="FN896" s="58"/>
      <c r="FO896" s="52"/>
      <c r="FP896" s="58"/>
      <c r="FQ896" s="52"/>
      <c r="FR896" s="58"/>
      <c r="FS896" s="447"/>
      <c r="FT896" s="58"/>
      <c r="FU896" s="447"/>
      <c r="FV896" s="58"/>
      <c r="FW896" s="447"/>
      <c r="FX896" s="473"/>
      <c r="FY896" s="447"/>
      <c r="FZ896" s="58"/>
      <c r="GA896" s="447"/>
      <c r="GB896" s="473"/>
      <c r="GC896" s="447"/>
      <c r="GD896" s="58"/>
      <c r="GE896" s="447"/>
      <c r="GF896" s="58"/>
      <c r="GG896" s="447"/>
      <c r="GH896" s="58"/>
      <c r="GI896" s="447"/>
      <c r="GJ896" s="58"/>
      <c r="GK896" s="447"/>
      <c r="GL896" s="58"/>
      <c r="GM896" s="447"/>
      <c r="GN896" s="58"/>
      <c r="GO896" s="447"/>
      <c r="GP896" s="58"/>
      <c r="GQ896" s="447"/>
      <c r="GR896" s="58"/>
      <c r="GS896" s="447"/>
      <c r="GT896" s="58"/>
      <c r="GU896" s="447"/>
      <c r="GV896" s="58"/>
      <c r="GW896" s="447"/>
      <c r="GX896" s="58"/>
      <c r="GY896" s="447"/>
      <c r="GZ896" s="52"/>
      <c r="HA896" s="52"/>
      <c r="HB896" s="10"/>
      <c r="HC896"/>
      <c r="HD896"/>
      <c r="HE896"/>
      <c r="HF896"/>
      <c r="HG896"/>
      <c r="HH896"/>
      <c r="HI896" s="10"/>
    </row>
    <row r="897" spans="1:217" s="2" customFormat="1" ht="12.75" hidden="1" customHeight="1" outlineLevel="1" x14ac:dyDescent="0.2">
      <c r="A897" s="3"/>
      <c r="B897" s="84" t="s">
        <v>551</v>
      </c>
      <c r="C897" s="81"/>
      <c r="D897" s="55"/>
      <c r="E897" s="81"/>
      <c r="F897" s="55"/>
      <c r="G897" s="81"/>
      <c r="H897" s="55"/>
      <c r="I897" s="81"/>
      <c r="J897" s="55"/>
      <c r="K897" s="81"/>
      <c r="L897" s="52"/>
      <c r="M897" s="81"/>
      <c r="N897" s="52"/>
      <c r="O897" s="81"/>
      <c r="P897" s="52"/>
      <c r="Q897" s="81"/>
      <c r="R897" s="52"/>
      <c r="S897" s="81"/>
      <c r="T897" s="52"/>
      <c r="U897" s="81"/>
      <c r="V897" s="52"/>
      <c r="W897" s="81"/>
      <c r="X897" s="52"/>
      <c r="Y897" s="81"/>
      <c r="Z897" s="52"/>
      <c r="AA897" s="81"/>
      <c r="AB897" s="52"/>
      <c r="AC897" s="81"/>
      <c r="AD897" s="52"/>
      <c r="AE897" s="81"/>
      <c r="AF897" s="52"/>
      <c r="AG897" s="54"/>
      <c r="AH897" s="52"/>
      <c r="AI897" s="54"/>
      <c r="AJ897" s="52"/>
      <c r="AK897" s="54"/>
      <c r="AL897" s="52"/>
      <c r="AM897" s="54"/>
      <c r="AN897" s="52"/>
      <c r="AO897" s="54"/>
      <c r="AP897" s="52"/>
      <c r="AQ897" s="54"/>
      <c r="AR897" s="52"/>
      <c r="AS897" s="54"/>
      <c r="AT897" s="52"/>
      <c r="AU897" s="54"/>
      <c r="AV897" s="52"/>
      <c r="AW897" s="54"/>
      <c r="AX897" s="52"/>
      <c r="AY897" s="54"/>
      <c r="AZ897" s="447"/>
      <c r="BA897" s="54"/>
      <c r="BB897" s="447"/>
      <c r="BC897" s="54"/>
      <c r="BD897" s="447"/>
      <c r="BE897" s="54"/>
      <c r="BF897" s="447"/>
      <c r="BG897" s="54"/>
      <c r="BH897" s="447"/>
      <c r="BI897" s="54"/>
      <c r="BJ897" s="447"/>
      <c r="BK897" s="54"/>
      <c r="BL897" s="53"/>
      <c r="BM897" s="54"/>
      <c r="BN897" s="53"/>
      <c r="BO897" s="54"/>
      <c r="BP897" s="447"/>
      <c r="BQ897" s="54"/>
      <c r="BR897" s="447"/>
      <c r="BS897" s="54"/>
      <c r="BT897" s="447"/>
      <c r="BU897" s="54"/>
      <c r="BV897" s="52"/>
      <c r="BW897" s="54"/>
      <c r="BX897" s="52"/>
      <c r="BY897" s="54"/>
      <c r="BZ897" s="52"/>
      <c r="CA897" s="54"/>
      <c r="CB897" s="52"/>
      <c r="CC897" s="54"/>
      <c r="CD897" s="52"/>
      <c r="CE897" s="54"/>
      <c r="CF897" s="52"/>
      <c r="CG897" s="54"/>
      <c r="CH897" s="52"/>
      <c r="CI897" s="54"/>
      <c r="CJ897" s="52"/>
      <c r="CK897" s="54"/>
      <c r="CL897" s="52"/>
      <c r="CM897" s="54"/>
      <c r="CN897" s="52"/>
      <c r="CO897" s="54"/>
      <c r="CP897" s="52"/>
      <c r="CQ897" s="476"/>
      <c r="CR897" s="52"/>
      <c r="CS897" s="54"/>
      <c r="CT897" s="52"/>
      <c r="CU897" s="54"/>
      <c r="CV897" s="52"/>
      <c r="CW897" s="54"/>
      <c r="CX897" s="52"/>
      <c r="CY897" s="54"/>
      <c r="CZ897" s="52"/>
      <c r="DA897" s="54"/>
      <c r="DB897" s="52"/>
      <c r="DC897" s="54"/>
      <c r="DD897" s="52"/>
      <c r="DE897" s="54"/>
      <c r="DF897" s="52"/>
      <c r="DG897" s="54"/>
      <c r="DH897" s="52"/>
      <c r="DI897" s="54"/>
      <c r="DJ897" s="52"/>
      <c r="DK897" s="54"/>
      <c r="DL897" s="52"/>
      <c r="DM897" s="54"/>
      <c r="DN897" s="52"/>
      <c r="DO897" s="54"/>
      <c r="DP897" s="52"/>
      <c r="DQ897" s="54"/>
      <c r="DR897" s="52"/>
      <c r="DS897" s="54"/>
      <c r="DT897" s="52"/>
      <c r="DU897" s="54"/>
      <c r="DV897" s="52"/>
      <c r="DW897" s="54"/>
      <c r="DX897" s="52"/>
      <c r="DY897" s="54"/>
      <c r="DZ897" s="52"/>
      <c r="EA897" s="54"/>
      <c r="EB897" s="52"/>
      <c r="EC897" s="54"/>
      <c r="ED897" s="54"/>
      <c r="EE897" s="54"/>
      <c r="EF897" s="54"/>
      <c r="EG897" s="54"/>
      <c r="EH897" s="54"/>
      <c r="EI897" s="54"/>
      <c r="EJ897" s="54"/>
      <c r="EK897" s="54"/>
      <c r="EL897" s="54"/>
      <c r="EM897" s="54"/>
      <c r="EN897" s="54"/>
      <c r="EO897" s="54"/>
      <c r="EP897" s="54"/>
      <c r="EQ897" s="54"/>
      <c r="ER897" s="54"/>
      <c r="ES897" s="54"/>
      <c r="ET897" s="54"/>
      <c r="EU897" s="54"/>
      <c r="EV897" s="54"/>
      <c r="EW897" s="54"/>
      <c r="EX897" s="54"/>
      <c r="EY897" s="54"/>
      <c r="EZ897" s="587"/>
      <c r="FA897" s="417"/>
      <c r="FB897" s="56"/>
      <c r="FC897" s="55"/>
      <c r="FD897" s="56"/>
      <c r="FE897" s="52"/>
      <c r="FF897" s="57"/>
      <c r="FG897" s="52"/>
      <c r="FH897" s="58"/>
      <c r="FI897" s="52"/>
      <c r="FJ897" s="58"/>
      <c r="FK897" s="52"/>
      <c r="FL897" s="58"/>
      <c r="FM897" s="52"/>
      <c r="FN897" s="58"/>
      <c r="FO897" s="52"/>
      <c r="FP897" s="58"/>
      <c r="FQ897" s="52"/>
      <c r="FR897" s="58"/>
      <c r="FS897" s="447"/>
      <c r="FT897" s="58"/>
      <c r="FU897" s="447"/>
      <c r="FV897" s="58"/>
      <c r="FW897" s="447"/>
      <c r="FX897" s="473"/>
      <c r="FY897" s="447"/>
      <c r="FZ897" s="58"/>
      <c r="GA897" s="447"/>
      <c r="GB897" s="473"/>
      <c r="GC897" s="447"/>
      <c r="GD897" s="58"/>
      <c r="GE897" s="447"/>
      <c r="GF897" s="58"/>
      <c r="GG897" s="447"/>
      <c r="GH897" s="58"/>
      <c r="GI897" s="447"/>
      <c r="GJ897" s="58"/>
      <c r="GK897" s="447"/>
      <c r="GL897" s="58"/>
      <c r="GM897" s="447"/>
      <c r="GN897" s="58"/>
      <c r="GO897" s="447"/>
      <c r="GP897" s="58"/>
      <c r="GQ897" s="447"/>
      <c r="GR897" s="58"/>
      <c r="GS897" s="447"/>
      <c r="GT897" s="58"/>
      <c r="GU897" s="447"/>
      <c r="GV897" s="58"/>
      <c r="GW897" s="447"/>
      <c r="GX897" s="58"/>
      <c r="GY897" s="447"/>
      <c r="GZ897" s="52"/>
      <c r="HA897" s="52"/>
      <c r="HB897" s="10"/>
      <c r="HC897"/>
      <c r="HD897"/>
      <c r="HE897"/>
      <c r="HF897"/>
      <c r="HG897"/>
      <c r="HH897"/>
      <c r="HI897" s="10"/>
    </row>
    <row r="898" spans="1:217" s="2" customFormat="1" ht="12.75" hidden="1" customHeight="1" outlineLevel="1" x14ac:dyDescent="0.2">
      <c r="A898" s="3"/>
      <c r="B898" s="85" t="s">
        <v>473</v>
      </c>
      <c r="C898" s="81"/>
      <c r="D898" s="55"/>
      <c r="E898" s="81"/>
      <c r="F898" s="55"/>
      <c r="G898" s="81"/>
      <c r="H898" s="55"/>
      <c r="I898" s="81"/>
      <c r="J898" s="55"/>
      <c r="K898" s="81"/>
      <c r="L898" s="52"/>
      <c r="M898" s="81"/>
      <c r="N898" s="52"/>
      <c r="O898" s="81"/>
      <c r="P898" s="52"/>
      <c r="Q898" s="81"/>
      <c r="R898" s="52"/>
      <c r="S898" s="81"/>
      <c r="T898" s="52"/>
      <c r="U898" s="81"/>
      <c r="V898" s="52"/>
      <c r="W898" s="81"/>
      <c r="X898" s="52"/>
      <c r="Y898" s="81"/>
      <c r="Z898" s="52"/>
      <c r="AA898" s="81"/>
      <c r="AB898" s="52"/>
      <c r="AC898" s="81"/>
      <c r="AD898" s="52"/>
      <c r="AE898" s="81"/>
      <c r="AF898" s="52"/>
      <c r="AG898" s="54"/>
      <c r="AH898" s="52"/>
      <c r="AI898" s="54"/>
      <c r="AJ898" s="52"/>
      <c r="AK898" s="54"/>
      <c r="AL898" s="52"/>
      <c r="AM898" s="54"/>
      <c r="AN898" s="52"/>
      <c r="AO898" s="54"/>
      <c r="AP898" s="52"/>
      <c r="AQ898" s="54"/>
      <c r="AR898" s="52"/>
      <c r="AS898" s="54"/>
      <c r="AT898" s="52"/>
      <c r="AU898" s="54"/>
      <c r="AV898" s="52"/>
      <c r="AW898" s="54"/>
      <c r="AX898" s="52"/>
      <c r="AY898" s="54"/>
      <c r="AZ898" s="447"/>
      <c r="BA898" s="54"/>
      <c r="BB898" s="447"/>
      <c r="BC898" s="54"/>
      <c r="BD898" s="447"/>
      <c r="BE898" s="54"/>
      <c r="BF898" s="447"/>
      <c r="BG898" s="54"/>
      <c r="BH898" s="447"/>
      <c r="BI898" s="54"/>
      <c r="BJ898" s="447"/>
      <c r="BK898" s="54"/>
      <c r="BL898" s="53"/>
      <c r="BM898" s="54"/>
      <c r="BN898" s="53"/>
      <c r="BO898" s="54"/>
      <c r="BP898" s="447"/>
      <c r="BQ898" s="54"/>
      <c r="BR898" s="447"/>
      <c r="BS898" s="54"/>
      <c r="BT898" s="447"/>
      <c r="BU898" s="54"/>
      <c r="BV898" s="52"/>
      <c r="BW898" s="54"/>
      <c r="BX898" s="52"/>
      <c r="BY898" s="54"/>
      <c r="BZ898" s="52"/>
      <c r="CA898" s="54"/>
      <c r="CB898" s="52"/>
      <c r="CC898" s="54"/>
      <c r="CD898" s="52"/>
      <c r="CE898" s="54"/>
      <c r="CF898" s="52"/>
      <c r="CG898" s="54"/>
      <c r="CH898" s="52"/>
      <c r="CI898" s="54"/>
      <c r="CJ898" s="52"/>
      <c r="CK898" s="54"/>
      <c r="CL898" s="452"/>
      <c r="CM898" s="54"/>
      <c r="CN898" s="452"/>
      <c r="CO898" s="54"/>
      <c r="CP898" s="452"/>
      <c r="CQ898" s="476"/>
      <c r="CR898" s="452"/>
      <c r="CS898" s="404"/>
      <c r="CT898" s="52"/>
      <c r="CU898" s="404"/>
      <c r="CV898" s="52"/>
      <c r="CW898" s="404"/>
      <c r="CX898" s="52"/>
      <c r="CY898" s="404"/>
      <c r="CZ898" s="52"/>
      <c r="DA898" s="404"/>
      <c r="DB898" s="52"/>
      <c r="DC898" s="404"/>
      <c r="DD898" s="52"/>
      <c r="DE898" s="404"/>
      <c r="DF898" s="52"/>
      <c r="DG898" s="404"/>
      <c r="DH898" s="52"/>
      <c r="DI898" s="404"/>
      <c r="DJ898" s="52"/>
      <c r="DK898" s="404"/>
      <c r="DL898" s="52"/>
      <c r="DM898" s="404"/>
      <c r="DN898" s="52"/>
      <c r="DO898" s="404"/>
      <c r="DP898" s="52"/>
      <c r="DQ898" s="404"/>
      <c r="DR898" s="52"/>
      <c r="DS898" s="404"/>
      <c r="DT898" s="52"/>
      <c r="DU898" s="404"/>
      <c r="DV898" s="52"/>
      <c r="DW898" s="404"/>
      <c r="DX898" s="52"/>
      <c r="DY898" s="404"/>
      <c r="DZ898" s="52"/>
      <c r="EA898" s="404"/>
      <c r="EB898" s="52"/>
      <c r="EC898" s="404"/>
      <c r="ED898" s="404"/>
      <c r="EE898" s="404"/>
      <c r="EF898" s="404"/>
      <c r="EG898" s="404"/>
      <c r="EH898" s="404"/>
      <c r="EI898" s="404"/>
      <c r="EJ898" s="404"/>
      <c r="EK898" s="404"/>
      <c r="EL898" s="404"/>
      <c r="EM898" s="404"/>
      <c r="EN898" s="404"/>
      <c r="EO898" s="404"/>
      <c r="EP898" s="404"/>
      <c r="EQ898" s="404"/>
      <c r="ER898" s="404"/>
      <c r="ES898" s="404"/>
      <c r="ET898" s="404"/>
      <c r="EU898" s="404"/>
      <c r="EV898" s="404"/>
      <c r="EW898" s="404"/>
      <c r="EX898" s="404"/>
      <c r="EY898" s="404"/>
      <c r="EZ898" s="587"/>
      <c r="FA898" s="417"/>
      <c r="FB898" s="56"/>
      <c r="FC898" s="55"/>
      <c r="FD898" s="56"/>
      <c r="FE898" s="52"/>
      <c r="FF898" s="57"/>
      <c r="FG898" s="52"/>
      <c r="FH898" s="58"/>
      <c r="FI898" s="52"/>
      <c r="FJ898" s="58"/>
      <c r="FK898" s="52"/>
      <c r="FL898" s="58"/>
      <c r="FM898" s="52"/>
      <c r="FN898" s="58"/>
      <c r="FO898" s="52"/>
      <c r="FP898" s="58"/>
      <c r="FQ898" s="52"/>
      <c r="FR898" s="58"/>
      <c r="FS898" s="447"/>
      <c r="FT898" s="58"/>
      <c r="FU898" s="447"/>
      <c r="FV898" s="87"/>
      <c r="FW898" s="447"/>
      <c r="FX898" s="478"/>
      <c r="FY898" s="447"/>
      <c r="FZ898" s="87"/>
      <c r="GA898" s="447"/>
      <c r="GB898" s="478"/>
      <c r="GC898" s="447"/>
      <c r="GD898" s="87"/>
      <c r="GE898" s="447"/>
      <c r="GF898" s="87"/>
      <c r="GG898" s="447"/>
      <c r="GH898" s="87"/>
      <c r="GI898" s="447"/>
      <c r="GJ898" s="87"/>
      <c r="GK898" s="447"/>
      <c r="GL898" s="87"/>
      <c r="GM898" s="447"/>
      <c r="GN898" s="87"/>
      <c r="GO898" s="447"/>
      <c r="GP898" s="87"/>
      <c r="GQ898" s="447"/>
      <c r="GR898" s="86">
        <v>11.1</v>
      </c>
      <c r="GS898" s="447"/>
      <c r="GT898" s="86">
        <v>11.1</v>
      </c>
      <c r="GU898" s="447"/>
      <c r="GV898" s="86">
        <v>11.1</v>
      </c>
      <c r="GW898" s="447"/>
      <c r="GX898" s="86">
        <v>11.1</v>
      </c>
      <c r="GY898" s="447"/>
      <c r="GZ898" s="52"/>
      <c r="HA898" s="52"/>
      <c r="HB898" s="10"/>
      <c r="HC898"/>
      <c r="HD898"/>
      <c r="HE898"/>
      <c r="HF898"/>
      <c r="HG898"/>
      <c r="HH898"/>
      <c r="HI898" s="10"/>
    </row>
    <row r="899" spans="1:217" s="2" customFormat="1" ht="12.75" hidden="1" customHeight="1" outlineLevel="1" x14ac:dyDescent="0.2">
      <c r="A899" s="3"/>
      <c r="B899" s="85" t="s">
        <v>474</v>
      </c>
      <c r="C899" s="81"/>
      <c r="D899" s="55"/>
      <c r="E899" s="81"/>
      <c r="F899" s="55"/>
      <c r="G899" s="81"/>
      <c r="H899" s="55"/>
      <c r="I899" s="81"/>
      <c r="J899" s="55"/>
      <c r="K899" s="81"/>
      <c r="L899" s="52"/>
      <c r="M899" s="81"/>
      <c r="N899" s="52"/>
      <c r="O899" s="81"/>
      <c r="P899" s="52"/>
      <c r="Q899" s="81"/>
      <c r="R899" s="52"/>
      <c r="S899" s="81"/>
      <c r="T899" s="52"/>
      <c r="U899" s="81"/>
      <c r="V899" s="52"/>
      <c r="W899" s="81"/>
      <c r="X899" s="52"/>
      <c r="Y899" s="81"/>
      <c r="Z899" s="52"/>
      <c r="AA899" s="81"/>
      <c r="AB899" s="52"/>
      <c r="AC899" s="81"/>
      <c r="AD899" s="52"/>
      <c r="AE899" s="81"/>
      <c r="AF899" s="52"/>
      <c r="AG899" s="54"/>
      <c r="AH899" s="52"/>
      <c r="AI899" s="54"/>
      <c r="AJ899" s="52"/>
      <c r="AK899" s="54"/>
      <c r="AL899" s="52"/>
      <c r="AM899" s="54"/>
      <c r="AN899" s="52"/>
      <c r="AO899" s="54"/>
      <c r="AP899" s="52"/>
      <c r="AQ899" s="54"/>
      <c r="AR899" s="52"/>
      <c r="AS899" s="54"/>
      <c r="AT899" s="52"/>
      <c r="AU899" s="54"/>
      <c r="AV899" s="52"/>
      <c r="AW899" s="54"/>
      <c r="AX899" s="52"/>
      <c r="AY899" s="54"/>
      <c r="AZ899" s="447"/>
      <c r="BA899" s="54"/>
      <c r="BB899" s="447"/>
      <c r="BC899" s="54"/>
      <c r="BD899" s="447"/>
      <c r="BE899" s="54"/>
      <c r="BF899" s="447"/>
      <c r="BG899" s="54"/>
      <c r="BH899" s="447"/>
      <c r="BI899" s="54"/>
      <c r="BJ899" s="447"/>
      <c r="BK899" s="54"/>
      <c r="BL899" s="53"/>
      <c r="BM899" s="54"/>
      <c r="BN899" s="53"/>
      <c r="BO899" s="54"/>
      <c r="BP899" s="447"/>
      <c r="BQ899" s="54"/>
      <c r="BR899" s="447"/>
      <c r="BS899" s="54"/>
      <c r="BT899" s="447"/>
      <c r="BU899" s="54"/>
      <c r="BV899" s="52"/>
      <c r="BW899" s="54"/>
      <c r="BX899" s="52"/>
      <c r="BY899" s="54"/>
      <c r="BZ899" s="52"/>
      <c r="CA899" s="54"/>
      <c r="CB899" s="52"/>
      <c r="CC899" s="54"/>
      <c r="CD899" s="52"/>
      <c r="CE899" s="54"/>
      <c r="CF899" s="52"/>
      <c r="CG899" s="54"/>
      <c r="CH899" s="52"/>
      <c r="CI899" s="54"/>
      <c r="CJ899" s="52"/>
      <c r="CK899" s="54"/>
      <c r="CL899" s="452"/>
      <c r="CM899" s="54"/>
      <c r="CN899" s="452"/>
      <c r="CO899" s="54"/>
      <c r="CP899" s="452"/>
      <c r="CQ899" s="476"/>
      <c r="CR899" s="52"/>
      <c r="CS899" s="404"/>
      <c r="CT899" s="52"/>
      <c r="CU899" s="404"/>
      <c r="CV899" s="52"/>
      <c r="CW899" s="404"/>
      <c r="CX899" s="52"/>
      <c r="CY899" s="404"/>
      <c r="CZ899" s="52"/>
      <c r="DA899" s="404"/>
      <c r="DB899" s="52"/>
      <c r="DC899" s="404"/>
      <c r="DD899" s="52"/>
      <c r="DE899" s="404"/>
      <c r="DF899" s="52"/>
      <c r="DG899" s="404"/>
      <c r="DH899" s="52"/>
      <c r="DI899" s="404"/>
      <c r="DJ899" s="52"/>
      <c r="DK899" s="404"/>
      <c r="DL899" s="52"/>
      <c r="DM899" s="404"/>
      <c r="DN899" s="52"/>
      <c r="DO899" s="404"/>
      <c r="DP899" s="52"/>
      <c r="DQ899" s="404"/>
      <c r="DR899" s="52"/>
      <c r="DS899" s="404"/>
      <c r="DT899" s="52"/>
      <c r="DU899" s="404"/>
      <c r="DV899" s="52"/>
      <c r="DW899" s="404"/>
      <c r="DX899" s="52"/>
      <c r="DY899" s="404"/>
      <c r="DZ899" s="52"/>
      <c r="EA899" s="404"/>
      <c r="EB899" s="52"/>
      <c r="EC899" s="404"/>
      <c r="ED899" s="404"/>
      <c r="EE899" s="404"/>
      <c r="EF899" s="404"/>
      <c r="EG899" s="404"/>
      <c r="EH899" s="404"/>
      <c r="EI899" s="404"/>
      <c r="EJ899" s="404"/>
      <c r="EK899" s="404"/>
      <c r="EL899" s="404"/>
      <c r="EM899" s="404"/>
      <c r="EN899" s="404"/>
      <c r="EO899" s="404"/>
      <c r="EP899" s="404"/>
      <c r="EQ899" s="404"/>
      <c r="ER899" s="404"/>
      <c r="ES899" s="404"/>
      <c r="ET899" s="404"/>
      <c r="EU899" s="404"/>
      <c r="EV899" s="404"/>
      <c r="EW899" s="404"/>
      <c r="EX899" s="404"/>
      <c r="EY899" s="404"/>
      <c r="EZ899" s="587"/>
      <c r="FA899" s="417"/>
      <c r="FB899" s="56"/>
      <c r="FC899" s="55"/>
      <c r="FD899" s="56"/>
      <c r="FE899" s="52"/>
      <c r="FF899" s="57"/>
      <c r="FG899" s="52"/>
      <c r="FH899" s="58"/>
      <c r="FI899" s="52"/>
      <c r="FJ899" s="58"/>
      <c r="FK899" s="52"/>
      <c r="FL899" s="58"/>
      <c r="FM899" s="52"/>
      <c r="FN899" s="58"/>
      <c r="FO899" s="52"/>
      <c r="FP899" s="58"/>
      <c r="FQ899" s="52"/>
      <c r="FR899" s="58"/>
      <c r="FS899" s="447"/>
      <c r="FT899" s="58"/>
      <c r="FU899" s="447"/>
      <c r="FV899" s="87"/>
      <c r="FW899" s="447"/>
      <c r="FX899" s="478"/>
      <c r="FY899" s="447"/>
      <c r="FZ899" s="87"/>
      <c r="GA899" s="447"/>
      <c r="GB899" s="478"/>
      <c r="GC899" s="447"/>
      <c r="GD899" s="87"/>
      <c r="GE899" s="447"/>
      <c r="GF899" s="87"/>
      <c r="GG899" s="447"/>
      <c r="GH899" s="87"/>
      <c r="GI899" s="447"/>
      <c r="GJ899" s="87"/>
      <c r="GK899" s="447"/>
      <c r="GL899" s="87"/>
      <c r="GM899" s="447"/>
      <c r="GN899" s="87"/>
      <c r="GO899" s="447"/>
      <c r="GP899" s="87"/>
      <c r="GQ899" s="447"/>
      <c r="GR899" s="88">
        <v>5.0199999999999996</v>
      </c>
      <c r="GS899" s="447"/>
      <c r="GT899" s="88">
        <v>5.0199999999999996</v>
      </c>
      <c r="GU899" s="447"/>
      <c r="GV899" s="88">
        <v>5.0199999999999996</v>
      </c>
      <c r="GW899" s="447"/>
      <c r="GX899" s="88">
        <v>5.0199999999999996</v>
      </c>
      <c r="GY899" s="447"/>
      <c r="GZ899" s="52"/>
      <c r="HA899" s="52"/>
      <c r="HB899" s="10"/>
      <c r="HC899"/>
      <c r="HD899"/>
      <c r="HE899"/>
      <c r="HF899"/>
      <c r="HG899"/>
      <c r="HH899"/>
      <c r="HI899" s="10"/>
    </row>
    <row r="900" spans="1:217" s="2" customFormat="1" ht="12.75" hidden="1" customHeight="1" outlineLevel="1" x14ac:dyDescent="0.2">
      <c r="A900" s="3"/>
      <c r="B900" s="85" t="s">
        <v>475</v>
      </c>
      <c r="C900" s="87">
        <f>C689</f>
        <v>0.49</v>
      </c>
      <c r="D900" s="87"/>
      <c r="E900" s="87">
        <f>E689</f>
        <v>0.48</v>
      </c>
      <c r="F900" s="55"/>
      <c r="G900" s="87">
        <f>G689</f>
        <v>0.49</v>
      </c>
      <c r="H900" s="55"/>
      <c r="I900" s="87">
        <f>I689</f>
        <v>0.51</v>
      </c>
      <c r="J900" s="55"/>
      <c r="K900" s="87">
        <f>K689</f>
        <v>0.49</v>
      </c>
      <c r="L900" s="52"/>
      <c r="M900" s="87">
        <f>M689</f>
        <v>0.54</v>
      </c>
      <c r="N900" s="52"/>
      <c r="O900" s="87">
        <f>O689</f>
        <v>0.3</v>
      </c>
      <c r="P900" s="52"/>
      <c r="Q900" s="87">
        <f>Q689</f>
        <v>-0.17</v>
      </c>
      <c r="R900" s="52"/>
      <c r="S900" s="87">
        <f>S689</f>
        <v>0.54</v>
      </c>
      <c r="T900" s="52"/>
      <c r="U900" s="87">
        <f>U689</f>
        <v>0.69</v>
      </c>
      <c r="V900" s="52"/>
      <c r="W900" s="87">
        <f>W689</f>
        <v>0.69</v>
      </c>
      <c r="X900" s="52"/>
      <c r="Y900" s="87">
        <f>Y689</f>
        <v>0.47</v>
      </c>
      <c r="Z900" s="52"/>
      <c r="AA900" s="87">
        <f>AA689</f>
        <v>0.62</v>
      </c>
      <c r="AB900" s="52"/>
      <c r="AC900" s="87">
        <f>AC689</f>
        <v>0.84</v>
      </c>
      <c r="AD900" s="52"/>
      <c r="AE900" s="87">
        <f>AE689</f>
        <v>0.81</v>
      </c>
      <c r="AF900" s="52"/>
      <c r="AG900" s="87">
        <f>AG689</f>
        <v>0.74</v>
      </c>
      <c r="AH900" s="52"/>
      <c r="AI900" s="87">
        <f>AI689</f>
        <v>0.78</v>
      </c>
      <c r="AJ900" s="52"/>
      <c r="AK900" s="87">
        <f>AK689</f>
        <v>1.01</v>
      </c>
      <c r="AL900" s="52"/>
      <c r="AM900" s="87">
        <f>AM689</f>
        <v>0.82</v>
      </c>
      <c r="AN900" s="52"/>
      <c r="AO900" s="87">
        <f>AO689</f>
        <v>0.88</v>
      </c>
      <c r="AP900" s="52"/>
      <c r="AQ900" s="87">
        <f>AQ689</f>
        <v>1.1100000000000001</v>
      </c>
      <c r="AR900" s="445"/>
      <c r="AS900" s="87">
        <f>AS689</f>
        <v>1.17</v>
      </c>
      <c r="AT900" s="52"/>
      <c r="AU900" s="87">
        <f>AU689</f>
        <v>1.01</v>
      </c>
      <c r="AV900" s="445"/>
      <c r="AW900" s="87">
        <f>AW689</f>
        <v>1.04</v>
      </c>
      <c r="AX900" s="445"/>
      <c r="AY900" s="87">
        <f>AY689</f>
        <v>1.334547346514048</v>
      </c>
      <c r="AZ900" s="447"/>
      <c r="BA900" s="87">
        <f>BA689</f>
        <v>1.2780880633848553</v>
      </c>
      <c r="BB900" s="447"/>
      <c r="BC900" s="87">
        <f>BC689</f>
        <v>1.2382060230063332</v>
      </c>
      <c r="BD900" s="447"/>
      <c r="BE900" s="87">
        <f>BE689</f>
        <v>1.3633423877894191</v>
      </c>
      <c r="BF900" s="447"/>
      <c r="BG900" s="87">
        <f>BG689</f>
        <v>1.4068391626576517</v>
      </c>
      <c r="BH900" s="447"/>
      <c r="BI900" s="87">
        <f>BI689</f>
        <v>1.7168674698795181</v>
      </c>
      <c r="BJ900" s="447"/>
      <c r="BK900" s="87">
        <f>BK689</f>
        <v>1.4592893667234823</v>
      </c>
      <c r="BL900" s="53"/>
      <c r="BM900" s="87">
        <f>BM689</f>
        <v>1.54</v>
      </c>
      <c r="BN900" s="53"/>
      <c r="BO900" s="87">
        <f>BO689</f>
        <v>1.4630817524225466</v>
      </c>
      <c r="BP900" s="447"/>
      <c r="BQ900" s="87">
        <f>BQ689</f>
        <v>1.2209222298692362</v>
      </c>
      <c r="BR900" s="447"/>
      <c r="BS900" s="87">
        <f>BS689</f>
        <v>0.83642866969321783</v>
      </c>
      <c r="BT900" s="447"/>
      <c r="BU900" s="87">
        <f>BU689</f>
        <v>-5.9223790322580641E-2</v>
      </c>
      <c r="BV900" s="52"/>
      <c r="BW900" s="87">
        <f>BW689</f>
        <v>-7.2767636901825361E-2</v>
      </c>
      <c r="BX900" s="52"/>
      <c r="BY900" s="87">
        <f>BY689</f>
        <v>0.17331232577869349</v>
      </c>
      <c r="BZ900" s="52"/>
      <c r="CA900" s="87">
        <f>CA689</f>
        <v>0.17526894717756558</v>
      </c>
      <c r="CB900" s="52"/>
      <c r="CC900" s="87">
        <f>CC689</f>
        <v>3.9855072463768113E-2</v>
      </c>
      <c r="CD900" s="52"/>
      <c r="CE900" s="87">
        <f>CE689</f>
        <v>0.28964518464880523</v>
      </c>
      <c r="CF900" s="52"/>
      <c r="CG900" s="87">
        <f>CG689</f>
        <v>0.32390126429861527</v>
      </c>
      <c r="CH900" s="52"/>
      <c r="CI900" s="87">
        <f>CI689</f>
        <v>0.21854829577624277</v>
      </c>
      <c r="CJ900" s="52"/>
      <c r="CK900" s="87">
        <f>CK689</f>
        <v>0.57444083160902548</v>
      </c>
      <c r="CL900" s="52"/>
      <c r="CM900" s="87">
        <f>CM689</f>
        <v>0.65825151940158955</v>
      </c>
      <c r="CN900" s="52"/>
      <c r="CO900" s="87">
        <f>CO689</f>
        <v>0.60317460317460314</v>
      </c>
      <c r="CP900" s="52"/>
      <c r="CQ900" s="478">
        <f>CQ689</f>
        <v>0.70437066216469701</v>
      </c>
      <c r="CR900" s="52"/>
      <c r="CS900" s="87">
        <f>CS689</f>
        <v>0.75025790115352153</v>
      </c>
      <c r="CT900" s="52"/>
      <c r="CU900" s="87">
        <f>CU689</f>
        <v>0.92912503501727506</v>
      </c>
      <c r="CV900" s="52"/>
      <c r="CW900" s="87">
        <f>CW689</f>
        <v>0.95700934579439256</v>
      </c>
      <c r="CX900" s="52"/>
      <c r="CY900" s="87">
        <f>CY689</f>
        <v>0.86367880485527548</v>
      </c>
      <c r="CZ900" s="52"/>
      <c r="DA900" s="87">
        <f>DA689</f>
        <v>0.67425968109339407</v>
      </c>
      <c r="DB900" s="52"/>
      <c r="DC900" s="87">
        <f>DC689</f>
        <v>0.90678503487634743</v>
      </c>
      <c r="DD900" s="52"/>
      <c r="DE900" s="87">
        <f>DE689</f>
        <v>0.90720159031354475</v>
      </c>
      <c r="DF900" s="52"/>
      <c r="DG900" s="87">
        <f>DG689</f>
        <v>0.74823234583370613</v>
      </c>
      <c r="DH900" s="52"/>
      <c r="DI900" s="87">
        <f>DI689</f>
        <v>0.78727704068183801</v>
      </c>
      <c r="DJ900" s="52"/>
      <c r="DK900" s="87">
        <f>DK689</f>
        <v>0.81192459447610699</v>
      </c>
      <c r="DL900" s="52"/>
      <c r="DM900" s="87">
        <f>DM689</f>
        <v>0.79926464151273746</v>
      </c>
      <c r="DN900" s="52"/>
      <c r="DO900" s="87">
        <f>DO689</f>
        <v>0.91148115687992992</v>
      </c>
      <c r="DP900" s="52"/>
      <c r="DQ900" s="87">
        <f>DQ689</f>
        <v>0.75394404253464664</v>
      </c>
      <c r="DR900" s="52"/>
      <c r="DS900" s="87">
        <f>DS689</f>
        <v>1.1146328578975173</v>
      </c>
      <c r="DT900" s="52"/>
      <c r="DU900" s="87">
        <f>DU689</f>
        <v>1.2043601559730595</v>
      </c>
      <c r="DV900" s="52"/>
      <c r="DW900" s="87">
        <f>DW689</f>
        <v>0.31684219842463934</v>
      </c>
      <c r="DX900" s="52"/>
      <c r="DY900" s="87">
        <f>DY689</f>
        <v>0.88104155519885852</v>
      </c>
      <c r="DZ900" s="52"/>
      <c r="EA900" s="87">
        <f>EA689</f>
        <v>0.90384268446689531</v>
      </c>
      <c r="EB900" s="52"/>
      <c r="EC900" s="87">
        <f>EC689</f>
        <v>0.56442160310161393</v>
      </c>
      <c r="ED900" s="87" t="str">
        <f t="shared" ref="ED900:EY900" si="4970">ED689</f>
        <v>NM</v>
      </c>
      <c r="EE900" s="87">
        <f>EE689</f>
        <v>1.2214910303795186</v>
      </c>
      <c r="EF900" s="87" t="str">
        <f t="shared" si="4970"/>
        <v>NM</v>
      </c>
      <c r="EG900" s="87">
        <f>EG689</f>
        <v>0.95328282828282829</v>
      </c>
      <c r="EH900" s="87">
        <f t="shared" si="4970"/>
        <v>8.199530732425476</v>
      </c>
      <c r="EI900" s="87">
        <f>EI689</f>
        <v>1.2023300263948302</v>
      </c>
      <c r="EJ900" s="87">
        <f t="shared" si="4970"/>
        <v>33.024258209711441</v>
      </c>
      <c r="EK900" s="87">
        <f>EK689</f>
        <v>1.0359486184271325</v>
      </c>
      <c r="EL900" s="87">
        <f t="shared" si="4970"/>
        <v>83.54163142133109</v>
      </c>
      <c r="EM900" s="87">
        <f>EM689</f>
        <v>1.0405972935137657</v>
      </c>
      <c r="EN900" s="87">
        <f t="shared" si="4970"/>
        <v>-14.809256258684844</v>
      </c>
      <c r="EO900" s="87">
        <f>EO689</f>
        <v>0.63835797005931649</v>
      </c>
      <c r="EP900" s="87">
        <f t="shared" si="4970"/>
        <v>-33.035826187155152</v>
      </c>
      <c r="EQ900" s="87">
        <f t="shared" ref="EQ900:EX900" si="4971">EQ689</f>
        <v>1.175646973242267</v>
      </c>
      <c r="ER900" s="87">
        <f t="shared" si="4971"/>
        <v>-2.2192786145890375</v>
      </c>
      <c r="ES900" s="87">
        <f t="shared" si="4971"/>
        <v>1.1948101956024264</v>
      </c>
      <c r="ET900" s="87">
        <f t="shared" si="4971"/>
        <v>15.334889621889868</v>
      </c>
      <c r="EU900" s="87">
        <f t="shared" si="4971"/>
        <v>1.227460917453878</v>
      </c>
      <c r="EV900" s="87">
        <f t="shared" si="4971"/>
        <v>17.957342874603622</v>
      </c>
      <c r="EW900" s="87">
        <f t="shared" si="4971"/>
        <v>1.2580567406871328</v>
      </c>
      <c r="EX900" s="87">
        <f t="shared" si="4971"/>
        <v>97.077000631829449</v>
      </c>
      <c r="EY900" s="87">
        <f t="shared" si="4970"/>
        <v>0</v>
      </c>
      <c r="EZ900" s="587"/>
      <c r="FA900" s="417"/>
      <c r="FB900" s="87"/>
      <c r="FC900" s="55"/>
      <c r="FD900" s="87"/>
      <c r="FE900" s="52"/>
      <c r="FF900" s="87"/>
      <c r="FG900" s="52"/>
      <c r="FH900" s="87"/>
      <c r="FI900" s="52"/>
      <c r="FJ900" s="87"/>
      <c r="FK900" s="52"/>
      <c r="FL900" s="87"/>
      <c r="FM900" s="52"/>
      <c r="FN900" s="87"/>
      <c r="FO900" s="52"/>
      <c r="FP900" s="87"/>
      <c r="FQ900" s="52"/>
      <c r="FR900" s="87">
        <f>FR689</f>
        <v>5.2140657916058997</v>
      </c>
      <c r="FS900" s="447"/>
      <c r="FT900" s="87">
        <f>FT689</f>
        <v>6.1216592884079359</v>
      </c>
      <c r="FU900" s="447"/>
      <c r="FV900" s="87">
        <f>FV689</f>
        <v>3.3837993890362217</v>
      </c>
      <c r="FW900" s="447"/>
      <c r="FX900" s="478">
        <f>FX689</f>
        <v>0.31842489061740398</v>
      </c>
      <c r="FY900" s="447"/>
      <c r="FZ900" s="87">
        <f>FZ689</f>
        <v>1.4449973292850917</v>
      </c>
      <c r="GA900" s="447"/>
      <c r="GB900" s="478">
        <f>GB689</f>
        <v>3.1284811607769716</v>
      </c>
      <c r="GC900" s="447"/>
      <c r="GD900" s="87">
        <f>GD689</f>
        <v>3.4195015547407994</v>
      </c>
      <c r="GE900" s="447"/>
      <c r="GF900" s="87">
        <f>GF689</f>
        <v>4.7218987908643077</v>
      </c>
      <c r="GG900" s="447"/>
      <c r="GH900" s="87">
        <f>GH689</f>
        <v>4.6737109229725879</v>
      </c>
      <c r="GI900" s="447"/>
      <c r="GJ900" s="87">
        <f>GJ689</f>
        <v>3.5176613885505481</v>
      </c>
      <c r="GK900" s="447"/>
      <c r="GL900" s="87">
        <f>GL689</f>
        <v>3.6430858018846664</v>
      </c>
      <c r="GM900" s="447"/>
      <c r="GN900" s="87">
        <f>GN689</f>
        <v>3.9263860559985169</v>
      </c>
      <c r="GO900" s="447"/>
      <c r="GP900" s="87">
        <f>GP689</f>
        <v>4.8537545892026177</v>
      </c>
      <c r="GQ900" s="447"/>
      <c r="GR900" s="89">
        <f>GR689</f>
        <v>5.3505339451739911</v>
      </c>
      <c r="GS900" s="447"/>
      <c r="GT900" s="89">
        <f>GT689</f>
        <v>5.8484909473717046</v>
      </c>
      <c r="GU900" s="447"/>
      <c r="GV900" s="89">
        <f>GV689</f>
        <v>6.4018315140999009</v>
      </c>
      <c r="GW900" s="447"/>
      <c r="GX900" s="89">
        <f>GX689</f>
        <v>6.9019374914110392</v>
      </c>
      <c r="GY900" s="447"/>
      <c r="GZ900" s="52"/>
      <c r="HA900" s="52"/>
      <c r="HB900" s="10"/>
      <c r="HC900"/>
      <c r="HD900"/>
      <c r="HE900"/>
      <c r="HF900"/>
      <c r="HG900"/>
      <c r="HH900"/>
      <c r="HI900" s="10"/>
    </row>
    <row r="901" spans="1:217" s="2" customFormat="1" ht="12.75" hidden="1" customHeight="1" outlineLevel="1" x14ac:dyDescent="0.2">
      <c r="A901" s="3"/>
      <c r="B901" s="50"/>
      <c r="C901" s="81"/>
      <c r="D901" s="55"/>
      <c r="E901" s="81"/>
      <c r="F901" s="55"/>
      <c r="G901" s="81"/>
      <c r="H901" s="55"/>
      <c r="I901" s="81"/>
      <c r="J901" s="55"/>
      <c r="K901" s="81"/>
      <c r="L901" s="52"/>
      <c r="M901" s="81"/>
      <c r="N901" s="52"/>
      <c r="O901" s="81"/>
      <c r="P901" s="52"/>
      <c r="Q901" s="81"/>
      <c r="R901" s="52"/>
      <c r="S901" s="81"/>
      <c r="T901" s="52"/>
      <c r="U901" s="81"/>
      <c r="V901" s="52"/>
      <c r="W901" s="81"/>
      <c r="X901" s="52"/>
      <c r="Y901" s="81"/>
      <c r="Z901" s="52"/>
      <c r="AA901" s="81"/>
      <c r="AB901" s="52"/>
      <c r="AC901" s="81"/>
      <c r="AD901" s="52"/>
      <c r="AE901" s="81"/>
      <c r="AF901" s="52"/>
      <c r="AG901" s="54"/>
      <c r="AH901" s="52"/>
      <c r="AI901" s="54"/>
      <c r="AJ901" s="52"/>
      <c r="AK901" s="54"/>
      <c r="AL901" s="52"/>
      <c r="AM901" s="54"/>
      <c r="AN901" s="52"/>
      <c r="AO901" s="54"/>
      <c r="AP901" s="52"/>
      <c r="AQ901" s="54"/>
      <c r="AR901" s="52"/>
      <c r="AS901" s="54"/>
      <c r="AT901" s="52"/>
      <c r="AU901" s="54"/>
      <c r="AV901" s="52"/>
      <c r="AW901" s="54"/>
      <c r="AX901" s="52"/>
      <c r="AY901" s="54"/>
      <c r="AZ901" s="447"/>
      <c r="BA901" s="54"/>
      <c r="BB901" s="447"/>
      <c r="BC901" s="54"/>
      <c r="BD901" s="447"/>
      <c r="BE901" s="54"/>
      <c r="BF901" s="447"/>
      <c r="BG901" s="54"/>
      <c r="BH901" s="447"/>
      <c r="BI901" s="54"/>
      <c r="BJ901" s="447"/>
      <c r="BK901" s="54"/>
      <c r="BL901" s="447"/>
      <c r="BM901" s="54"/>
      <c r="BN901" s="447"/>
      <c r="BO901" s="54"/>
      <c r="BP901" s="447"/>
      <c r="BQ901" s="54"/>
      <c r="BR901" s="447"/>
      <c r="BS901" s="54"/>
      <c r="BT901" s="447"/>
      <c r="BU901" s="54"/>
      <c r="BV901" s="52"/>
      <c r="BW901" s="54"/>
      <c r="BX901" s="52"/>
      <c r="BY901" s="54"/>
      <c r="BZ901" s="52"/>
      <c r="CA901" s="54"/>
      <c r="CB901" s="52"/>
      <c r="CC901" s="54"/>
      <c r="CD901" s="52"/>
      <c r="CE901" s="54"/>
      <c r="CF901" s="52"/>
      <c r="CG901" s="54"/>
      <c r="CH901" s="52"/>
      <c r="CI901" s="54"/>
      <c r="CJ901" s="52"/>
      <c r="CK901" s="54"/>
      <c r="CL901" s="52"/>
      <c r="CM901" s="54"/>
      <c r="CN901" s="52"/>
      <c r="CO901" s="54"/>
      <c r="CP901" s="52"/>
      <c r="CQ901" s="476"/>
      <c r="CR901" s="52"/>
      <c r="CS901" s="54"/>
      <c r="CT901" s="52"/>
      <c r="CU901" s="54"/>
      <c r="CV901" s="52"/>
      <c r="CW901" s="54"/>
      <c r="CX901" s="52"/>
      <c r="CY901" s="54"/>
      <c r="CZ901" s="52"/>
      <c r="DA901" s="54"/>
      <c r="DB901" s="52"/>
      <c r="DC901" s="54"/>
      <c r="DD901" s="52"/>
      <c r="DE901" s="54"/>
      <c r="DF901" s="52"/>
      <c r="DG901" s="54"/>
      <c r="DH901" s="52"/>
      <c r="DI901" s="54"/>
      <c r="DJ901" s="52"/>
      <c r="DK901" s="54"/>
      <c r="DL901" s="52"/>
      <c r="DM901" s="54"/>
      <c r="DN901" s="52"/>
      <c r="DO901" s="54"/>
      <c r="DP901" s="52"/>
      <c r="DQ901" s="54"/>
      <c r="DR901" s="52"/>
      <c r="DS901" s="54"/>
      <c r="DT901" s="52"/>
      <c r="DU901" s="54"/>
      <c r="DV901" s="52"/>
      <c r="DW901" s="54"/>
      <c r="DX901" s="52"/>
      <c r="DY901" s="54"/>
      <c r="DZ901" s="52"/>
      <c r="EA901" s="54"/>
      <c r="EB901" s="52"/>
      <c r="EC901" s="54"/>
      <c r="ED901" s="54"/>
      <c r="EE901" s="54"/>
      <c r="EF901" s="54"/>
      <c r="EG901" s="54"/>
      <c r="EH901" s="54"/>
      <c r="EI901" s="54"/>
      <c r="EJ901" s="54"/>
      <c r="EK901" s="54"/>
      <c r="EL901" s="54"/>
      <c r="EM901" s="54"/>
      <c r="EN901" s="54"/>
      <c r="EO901" s="54"/>
      <c r="EP901" s="54"/>
      <c r="EQ901" s="54"/>
      <c r="ER901" s="54"/>
      <c r="ES901" s="54"/>
      <c r="ET901" s="54"/>
      <c r="EU901" s="54"/>
      <c r="EV901" s="54"/>
      <c r="EW901" s="54"/>
      <c r="EX901" s="54"/>
      <c r="EY901" s="54"/>
      <c r="EZ901" s="587"/>
      <c r="FA901" s="417"/>
      <c r="FB901" s="56"/>
      <c r="FC901" s="55"/>
      <c r="FD901" s="56"/>
      <c r="FE901" s="52"/>
      <c r="FF901" s="57"/>
      <c r="FG901" s="52"/>
      <c r="FH901" s="58"/>
      <c r="FI901" s="52"/>
      <c r="FJ901" s="58"/>
      <c r="FK901" s="52"/>
      <c r="FL901" s="58"/>
      <c r="FM901" s="52"/>
      <c r="FN901" s="58"/>
      <c r="FO901" s="52"/>
      <c r="FP901" s="58"/>
      <c r="FQ901" s="52"/>
      <c r="FR901" s="58"/>
      <c r="FS901" s="447"/>
      <c r="FT901" s="58"/>
      <c r="FU901" s="447"/>
      <c r="FV901" s="58"/>
      <c r="FW901" s="447"/>
      <c r="FX901" s="473"/>
      <c r="FY901" s="447"/>
      <c r="FZ901" s="58"/>
      <c r="GA901" s="447"/>
      <c r="GB901" s="473"/>
      <c r="GC901" s="447"/>
      <c r="GD901" s="58"/>
      <c r="GE901" s="447"/>
      <c r="GF901" s="58"/>
      <c r="GG901" s="447"/>
      <c r="GH901" s="58"/>
      <c r="GI901" s="447"/>
      <c r="GJ901" s="58"/>
      <c r="GK901" s="447"/>
      <c r="GL901" s="58"/>
      <c r="GM901" s="447"/>
      <c r="GN901" s="58"/>
      <c r="GO901" s="447"/>
      <c r="GP901" s="58"/>
      <c r="GQ901" s="447"/>
      <c r="GR901" s="58"/>
      <c r="GS901" s="447"/>
      <c r="GT901" s="58"/>
      <c r="GU901" s="447"/>
      <c r="GV901" s="58"/>
      <c r="GW901" s="447"/>
      <c r="GX901" s="58"/>
      <c r="GY901" s="447"/>
      <c r="GZ901" s="52"/>
      <c r="HA901" s="52"/>
      <c r="HB901" s="10"/>
      <c r="HC901"/>
      <c r="HD901"/>
      <c r="HE901"/>
      <c r="HF901"/>
      <c r="HG901"/>
      <c r="HH901"/>
      <c r="HI901" s="10"/>
    </row>
    <row r="902" spans="1:217" s="2" customFormat="1" ht="12.75" hidden="1" customHeight="1" outlineLevel="1" x14ac:dyDescent="0.2">
      <c r="A902" s="3"/>
      <c r="B902" s="60"/>
      <c r="C902" s="54"/>
      <c r="D902" s="55"/>
      <c r="E902" s="54"/>
      <c r="F902" s="55"/>
      <c r="G902" s="54"/>
      <c r="H902" s="55"/>
      <c r="I902" s="54"/>
      <c r="J902" s="55"/>
      <c r="K902" s="54"/>
      <c r="L902" s="52"/>
      <c r="M902" s="54"/>
      <c r="N902" s="52"/>
      <c r="O902" s="54"/>
      <c r="P902" s="52"/>
      <c r="Q902" s="54"/>
      <c r="R902" s="52"/>
      <c r="S902" s="54"/>
      <c r="T902" s="52"/>
      <c r="U902" s="54"/>
      <c r="V902" s="52"/>
      <c r="W902" s="54"/>
      <c r="X902" s="52"/>
      <c r="Y902" s="54"/>
      <c r="Z902" s="52"/>
      <c r="AA902" s="54"/>
      <c r="AB902" s="52"/>
      <c r="AC902" s="54"/>
      <c r="AD902" s="52"/>
      <c r="AE902" s="54"/>
      <c r="AF902" s="52"/>
      <c r="AG902" s="54"/>
      <c r="AH902" s="52"/>
      <c r="AI902" s="54"/>
      <c r="AJ902" s="52"/>
      <c r="AK902" s="54"/>
      <c r="AL902" s="52"/>
      <c r="AM902" s="54"/>
      <c r="AN902" s="52"/>
      <c r="AO902" s="54"/>
      <c r="AP902" s="52"/>
      <c r="AQ902" s="54"/>
      <c r="AR902" s="52"/>
      <c r="AS902" s="54"/>
      <c r="AT902" s="52"/>
      <c r="AU902" s="54"/>
      <c r="AV902" s="52"/>
      <c r="AW902" s="54"/>
      <c r="AX902" s="52"/>
      <c r="AY902" s="54"/>
      <c r="AZ902" s="447"/>
      <c r="BA902" s="54"/>
      <c r="BB902" s="447"/>
      <c r="BC902" s="54"/>
      <c r="BD902" s="447"/>
      <c r="BE902" s="54"/>
      <c r="BF902" s="447"/>
      <c r="BG902" s="54"/>
      <c r="BH902" s="447"/>
      <c r="BI902" s="54"/>
      <c r="BJ902" s="447"/>
      <c r="BK902" s="27"/>
      <c r="BL902" s="447"/>
      <c r="BM902" s="27"/>
      <c r="BN902" s="447"/>
      <c r="BO902" s="27"/>
      <c r="BP902" s="447"/>
      <c r="BQ902" s="27"/>
      <c r="BR902" s="447"/>
      <c r="BS902" s="27"/>
      <c r="BT902" s="447"/>
      <c r="BU902" s="54"/>
      <c r="BV902" s="52"/>
      <c r="BW902" s="54"/>
      <c r="BX902" s="52"/>
      <c r="BY902" s="54"/>
      <c r="BZ902" s="52"/>
      <c r="CA902" s="54"/>
      <c r="CB902" s="52"/>
      <c r="CC902" s="54"/>
      <c r="CD902" s="52"/>
      <c r="CE902" s="54"/>
      <c r="CF902" s="52"/>
      <c r="CG902" s="54"/>
      <c r="CH902" s="52"/>
      <c r="CI902" s="54"/>
      <c r="CJ902" s="52"/>
      <c r="CK902" s="54"/>
      <c r="CL902" s="52"/>
      <c r="CM902" s="54"/>
      <c r="CN902" s="52"/>
      <c r="CO902" s="54"/>
      <c r="CP902" s="52"/>
      <c r="CQ902" s="476"/>
      <c r="CR902" s="52"/>
      <c r="CS902" s="27"/>
      <c r="CT902" s="52"/>
      <c r="CU902" s="27"/>
      <c r="CV902" s="52"/>
      <c r="CW902" s="27"/>
      <c r="CX902" s="52"/>
      <c r="CY902" s="27"/>
      <c r="CZ902" s="52"/>
      <c r="DA902" s="27"/>
      <c r="DB902" s="52"/>
      <c r="DC902" s="27"/>
      <c r="DD902" s="52"/>
      <c r="DE902" s="27"/>
      <c r="DF902" s="52"/>
      <c r="DG902" s="27"/>
      <c r="DH902" s="52"/>
      <c r="DI902" s="27"/>
      <c r="DJ902" s="52"/>
      <c r="DK902" s="27"/>
      <c r="DL902" s="52"/>
      <c r="DM902" s="27"/>
      <c r="DN902" s="52"/>
      <c r="DO902" s="27"/>
      <c r="DP902" s="52"/>
      <c r="DQ902" s="27"/>
      <c r="DR902" s="52"/>
      <c r="DS902" s="27"/>
      <c r="DT902" s="52"/>
      <c r="DU902" s="27"/>
      <c r="DV902" s="52"/>
      <c r="DW902" s="27"/>
      <c r="DX902" s="52"/>
      <c r="DY902" s="27"/>
      <c r="DZ902" s="52"/>
      <c r="EA902" s="27"/>
      <c r="EB902" s="52"/>
      <c r="EC902" s="27"/>
      <c r="ED902" s="27"/>
      <c r="EE902" s="27"/>
      <c r="EF902" s="27"/>
      <c r="EG902" s="27"/>
      <c r="EH902" s="27"/>
      <c r="EI902" s="27"/>
      <c r="EJ902" s="27"/>
      <c r="EK902" s="27"/>
      <c r="EL902" s="27"/>
      <c r="EM902" s="27"/>
      <c r="EN902" s="27"/>
      <c r="EO902" s="27"/>
      <c r="EP902" s="27"/>
      <c r="EQ902" s="27"/>
      <c r="ER902" s="27"/>
      <c r="ES902" s="27"/>
      <c r="ET902" s="27"/>
      <c r="EU902" s="27"/>
      <c r="EV902" s="27"/>
      <c r="EW902" s="27"/>
      <c r="EX902" s="27"/>
      <c r="EY902" s="27"/>
      <c r="EZ902" s="587"/>
      <c r="FA902" s="417"/>
      <c r="FB902" s="54"/>
      <c r="FC902" s="55"/>
      <c r="FD902" s="54"/>
      <c r="FE902" s="52"/>
      <c r="FF902" s="90"/>
      <c r="FG902" s="52"/>
      <c r="FH902" s="90"/>
      <c r="FI902" s="52"/>
      <c r="FJ902" s="90"/>
      <c r="FK902" s="52"/>
      <c r="FL902" s="90"/>
      <c r="FM902" s="52"/>
      <c r="FN902" s="90"/>
      <c r="FO902" s="52"/>
      <c r="FP902" s="90"/>
      <c r="FQ902" s="52"/>
      <c r="FR902" s="54"/>
      <c r="FS902" s="447"/>
      <c r="FT902" s="54"/>
      <c r="FU902" s="447"/>
      <c r="FV902" s="54"/>
      <c r="FW902" s="447"/>
      <c r="FX902" s="476"/>
      <c r="FY902" s="447"/>
      <c r="FZ902" s="54"/>
      <c r="GA902" s="447"/>
      <c r="GB902" s="476"/>
      <c r="GC902" s="447"/>
      <c r="GD902" s="54"/>
      <c r="GE902" s="447"/>
      <c r="GF902" s="54"/>
      <c r="GG902" s="447"/>
      <c r="GH902" s="54"/>
      <c r="GI902" s="447"/>
      <c r="GJ902" s="54"/>
      <c r="GK902" s="447"/>
      <c r="GL902" s="54"/>
      <c r="GM902" s="447"/>
      <c r="GN902" s="54"/>
      <c r="GO902" s="447"/>
      <c r="GP902" s="54"/>
      <c r="GQ902" s="447"/>
      <c r="GR902" s="54"/>
      <c r="GS902" s="447"/>
      <c r="GT902" s="54"/>
      <c r="GU902" s="447"/>
      <c r="GV902" s="54"/>
      <c r="GW902" s="447"/>
      <c r="GX902" s="54"/>
      <c r="GY902" s="447"/>
      <c r="GZ902" s="17"/>
      <c r="HA902" s="17"/>
      <c r="HB902" s="10"/>
      <c r="HC902"/>
      <c r="HD902"/>
      <c r="HE902"/>
      <c r="HF902"/>
      <c r="HG902"/>
      <c r="HH902"/>
      <c r="HI902" s="10"/>
    </row>
    <row r="903" spans="1:217" ht="12.75" customHeight="1" collapsed="1" x14ac:dyDescent="0.2">
      <c r="ED903" s="23"/>
      <c r="EF903" s="23"/>
      <c r="EH903" s="23"/>
      <c r="EJ903" s="23"/>
      <c r="EL903" s="23"/>
      <c r="EN903" s="23"/>
      <c r="EP903" s="23"/>
      <c r="EQ903" s="23"/>
      <c r="ER903" s="23"/>
      <c r="ES903" s="23"/>
      <c r="ET903" s="23"/>
      <c r="EU903" s="23"/>
      <c r="EV903" s="23"/>
      <c r="EW903" s="23"/>
      <c r="EX903" s="23"/>
    </row>
  </sheetData>
  <dataConsolidate/>
  <mergeCells count="1">
    <mergeCell ref="B4:B5"/>
  </mergeCells>
  <phoneticPr fontId="4" type="noConversion"/>
  <conditionalFormatting sqref="EA116">
    <cfRule type="expression" dxfId="24" priority="73" stopIfTrue="1">
      <formula>IF($U$4=TRUE,TRUE,FALSE)</formula>
    </cfRule>
  </conditionalFormatting>
  <conditionalFormatting sqref="EA336">
    <cfRule type="expression" dxfId="23" priority="71" stopIfTrue="1">
      <formula>IF($U$4=TRUE,TRUE,FALSE)</formula>
    </cfRule>
  </conditionalFormatting>
  <conditionalFormatting sqref="EA303">
    <cfRule type="expression" dxfId="22" priority="70" stopIfTrue="1">
      <formula>IF($U$4=TRUE,TRUE,FALSE)</formula>
    </cfRule>
  </conditionalFormatting>
  <conditionalFormatting sqref="EA543">
    <cfRule type="expression" dxfId="21" priority="69" stopIfTrue="1">
      <formula>IF($U$4=TRUE,TRUE,FALSE)</formula>
    </cfRule>
  </conditionalFormatting>
  <conditionalFormatting sqref="EC116">
    <cfRule type="expression" dxfId="20" priority="59" stopIfTrue="1">
      <formula>IF($U$4=TRUE,TRUE,FALSE)</formula>
    </cfRule>
  </conditionalFormatting>
  <conditionalFormatting sqref="EC336">
    <cfRule type="expression" dxfId="19" priority="56" stopIfTrue="1">
      <formula>IF($U$4=TRUE,TRUE,FALSE)</formula>
    </cfRule>
  </conditionalFormatting>
  <conditionalFormatting sqref="EC543">
    <cfRule type="expression" dxfId="18" priority="53" stopIfTrue="1">
      <formula>IF($U$4=TRUE,TRUE,FALSE)</formula>
    </cfRule>
  </conditionalFormatting>
  <conditionalFormatting sqref="EE116">
    <cfRule type="expression" dxfId="17" priority="46" stopIfTrue="1">
      <formula>IF($U$4=TRUE,TRUE,FALSE)</formula>
    </cfRule>
  </conditionalFormatting>
  <conditionalFormatting sqref="EE336">
    <cfRule type="expression" dxfId="16" priority="41" stopIfTrue="1">
      <formula>IF($U$4=TRUE,TRUE,FALSE)</formula>
    </cfRule>
  </conditionalFormatting>
  <conditionalFormatting sqref="EE543">
    <cfRule type="expression" dxfId="15" priority="37" stopIfTrue="1">
      <formula>IF($U$4=TRUE,TRUE,FALSE)</formula>
    </cfRule>
  </conditionalFormatting>
  <conditionalFormatting sqref="EG116">
    <cfRule type="expression" dxfId="14" priority="35" stopIfTrue="1">
      <formula>IF($U$4=TRUE,TRUE,FALSE)</formula>
    </cfRule>
  </conditionalFormatting>
  <conditionalFormatting sqref="EG336">
    <cfRule type="expression" dxfId="13" priority="34" stopIfTrue="1">
      <formula>IF($U$4=TRUE,TRUE,FALSE)</formula>
    </cfRule>
  </conditionalFormatting>
  <conditionalFormatting sqref="EG543">
    <cfRule type="expression" dxfId="12" priority="27" stopIfTrue="1">
      <formula>IF($U$4=TRUE,TRUE,FALSE)</formula>
    </cfRule>
  </conditionalFormatting>
  <conditionalFormatting sqref="EI116">
    <cfRule type="expression" dxfId="11" priority="22" stopIfTrue="1">
      <formula>IF($U$4=TRUE,TRUE,FALSE)</formula>
    </cfRule>
  </conditionalFormatting>
  <conditionalFormatting sqref="EI336">
    <cfRule type="expression" dxfId="10" priority="17" stopIfTrue="1">
      <formula>IF($U$4=TRUE,TRUE,FALSE)</formula>
    </cfRule>
  </conditionalFormatting>
  <conditionalFormatting sqref="EI543">
    <cfRule type="expression" dxfId="9" priority="14" stopIfTrue="1">
      <formula>IF($U$4=TRUE,TRUE,FALSE)</formula>
    </cfRule>
  </conditionalFormatting>
  <conditionalFormatting sqref="EK116">
    <cfRule type="expression" dxfId="8" priority="12" stopIfTrue="1">
      <formula>IF($U$4=TRUE,TRUE,FALSE)</formula>
    </cfRule>
  </conditionalFormatting>
  <conditionalFormatting sqref="EK336">
    <cfRule type="expression" dxfId="7" priority="11" stopIfTrue="1">
      <formula>IF($U$4=TRUE,TRUE,FALSE)</formula>
    </cfRule>
  </conditionalFormatting>
  <conditionalFormatting sqref="EK543">
    <cfRule type="expression" dxfId="6" priority="10" stopIfTrue="1">
      <formula>IF($U$4=TRUE,TRUE,FALSE)</formula>
    </cfRule>
  </conditionalFormatting>
  <conditionalFormatting sqref="EM116">
    <cfRule type="expression" dxfId="5" priority="9" stopIfTrue="1">
      <formula>IF($U$4=TRUE,TRUE,FALSE)</formula>
    </cfRule>
  </conditionalFormatting>
  <conditionalFormatting sqref="EM336">
    <cfRule type="expression" dxfId="4" priority="8" stopIfTrue="1">
      <formula>IF($U$4=TRUE,TRUE,FALSE)</formula>
    </cfRule>
  </conditionalFormatting>
  <conditionalFormatting sqref="EM543">
    <cfRule type="expression" dxfId="3" priority="7" stopIfTrue="1">
      <formula>IF($U$4=TRUE,TRUE,FALSE)</formula>
    </cfRule>
  </conditionalFormatting>
  <conditionalFormatting sqref="EO116">
    <cfRule type="expression" dxfId="2" priority="5" stopIfTrue="1">
      <formula>IF($U$4=TRUE,TRUE,FALSE)</formula>
    </cfRule>
  </conditionalFormatting>
  <conditionalFormatting sqref="EO336">
    <cfRule type="expression" dxfId="1" priority="4" stopIfTrue="1">
      <formula>IF($U$4=TRUE,TRUE,FALSE)</formula>
    </cfRule>
  </conditionalFormatting>
  <conditionalFormatting sqref="EO543">
    <cfRule type="expression" dxfId="0" priority="1" stopIfTrue="1">
      <formula>IF($U$4=TRUE,TRUE,FALSE)</formula>
    </cfRule>
  </conditionalFormatting>
  <dataValidations disablePrompts="1" count="1">
    <dataValidation type="list" allowBlank="1" showInputMessage="1" showErrorMessage="1" promptTitle="Scenario Analysis" prompt="1= Base Case_x000a_2= Bull Case_x000a_3= Bear Case_x000a_" sqref="B6">
      <formula1>"1,2,3"</formula1>
    </dataValidation>
  </dataValidations>
  <pageMargins left="0" right="0" top="0" bottom="0" header="0" footer="0"/>
  <pageSetup scale="80" orientation="portrait" horizontalDpi="300" r:id="rId1"/>
  <headerFooter alignWithMargins="0"/>
  <ignoredErrors>
    <ignoredError sqref="DV4 DX4 DZ4 EB4 DC22:DQ27 DI904:ED1388 DI719:DP719 DC284:DH359 DI277:DQ359 DC616:DQ621 DC626:DQ626 DC650:DQ651 DI653:DQ688 ED4 DC515:DQ515 DC361:DQ371 DC758:DQ796 DC832:DQ842 GR915:GR1388 GT915:GT1388 GV915:GV1388 DS594:DT595 DS445:DT446 DS412:DT413 EC315:ED316 DY315:EB315 DV315:DW316 DS315:DU319 DY313:ED314 DS313:DW314 DV317:ED319 DX316:EB316 DX313:DX315 DT32:DU32 DI28:DU31 DV28:ED32 DT33:ED36 DI32:DS36 DJ10:DJ14 DS586:DT589 DR414:DZ414 DR198:ED199 DU413:DZ413 DR276:DR413 DS320:ED404 DS415:DZ444 DR415:DR446 DR215 DR221:DR222 DR236:DT237 DR235 DR246 DT246 DV246 DX246 DZ246 EB246 ED246 DR226:ED234 DR266:ED275 DS276:ED312 ED222 EB222 DZ222 DX222 DV222 DT222 DT235 DV235:DV237 DX235:DX237 DZ235:DZ237 EB235:EB237 ED235:ED237 EF904:EF914 O7:CP8 DJ16:DJ21 DJ7:DJ8 DR7:ED16 DC547:DQ549 DR542:DT544 EF4:EF6 DS405:DV405 DX405:ED405 DS406:ED411 EF266:EF411 EE266:EE411 EE211:EF222 DC179:DR179 DR223:EF225 DR200:EF210 DR616:DR719 DS616:DT718 DR747:DT753 DS615:DZ615 DR537 DT537 DT596 DR447:DT458 EE10:EE16 DI37:ED176 DC28:DH177 DJ180 EE181:EF199 DS606:DT614 DU597:DZ598 DU594:DU596 DW594:DW596 DU606:DU608 DW606:DW608 DU604:DZ605 DY594:DY596 DY606:DY608 DS178:EF179 DI177:EE177 DR493:DT517 DS490:DZ490 DR489:DU489 DW489 DY489 DR541 DR806:DT812 DR796:DR805 DW492 DY492 DR492:DU492 DU600:DZ601 DY602:DY603 DW602:DW603 DU602:DU603 DS600:DT603 DT599 GN915:GN1388 GZ904:HB1388 EF9:EF16 DI690:DQ718 DI689:DP689 DD360 DP360 DN360 DL360 DJ360 DH360 DF360 DR180:EF180 DP180 DN180 DL180 DC181:ED191 DD180 DH180 DF180 DI194:ED197 DC194:DH196 DJ192:DJ193 DR192:ED193 DP192:DP193 DN192:DN193 DL192:DL193 DD192:DD193 DH192:DH193 DF192:DF193 DC374:DQ378 DD372:DD373 DP372:DP373 DN372:DN373 DL372:DL373 DJ372:DJ373 DH372:DH373 DF372:DF373 DC586:DR614 DC628:DQ648 DD627 DF627 DH627 DJ627 DL627 DN627 DP627 DD622 DP622 DN622 DL622 DJ622 DH622 DF622 DI798:DQ805 DC798:DH804 DD806 DF806 DH806 DC807:DQ812 DJ806 DL806 DN806 DP806 DR814:DT903 DR813 DT813 DJ817 DP817 DN817 DL817 DC818:DQ818 DD817 DH817 DF817 DC823:DQ823 DJ813 DP813 DN813 DL813 DC814:DQ816 DD813 DH813 DF813 DD819:DD822 DF819:DF822 DH819:DH822 DJ819:DJ822 DL819:DL822 DN819:DN822 DP819:DP822 DC826:DQ830 DJ825 DP825 DN825 DL825 DD825 DH825 DF825 DC847:DQ847 DD843:DD846 DP843:DP846 DN843:DN846 DL843:DL846 DJ843:DJ846 DH843:DH846 DF843:DF846 DC851:DQ903 DC805 DE805 DG805 EH904:EH914 EH4:EH6 EG266:EH411 EG10:EG16 EH9:EH16 EH214:EH238 EE27:EE176 DR758:DT795 DR754 DT754 EG27:EG173 EH241:EH261 EE226:EF261 DR247:ED261 DC653:DH736 DI720:DT736 DC740:DT745 DR755:DT756 DC747:DQ756 EH27:EI173 DR460:DT488 EJ4:EJ6 EJ904:EJ914 EJ9 EI10:EI16 EI241:EK411 EI214:EI237 EJ10:EK16 EJ183:EL187 EJ218:EL237 DR459:DU459 DW459 DY459 DR27:ED27 DR26 EF27:EF177 EY904:GL1388 EL4:EL16 EL268 EN241 EL241 EI238:EL238 EH213:EL213 EJ217:EL217 EE7:EK8 EN268 EJ214:EL216 EH239:EL240 EL242:EL267 EL269:EL411 EL904:EL914 EP915:EP1388 GR904:GR914 GN904:GO914 GT904:GW914 HA9:HB9 HA8:HB8 HA7:HB7 GT7:GW9 GI7:GI9 GZ4:HB6 GR7:GR9 EY7:GA9 EY6:GE6 EY4:GK4 GI6 GA5:GK5 FY5 FW5 EY5:FU5 GV5:GV6 GT6 GR6 ER4 EQ6:EX6 GM6 GS6 GU6 GW5:GY5 GW6:GY6 ER5 FV5 FX5 FZ5 GL5:GM5 GO6:GQ6 GO4 GS4:GU4 GL4:GM4 GF6:GH6 EQ7:EX9 GB7:GH9 GS7:GS9 GP7:GQ9 GX9:GZ9 GX7:GZ7 GX8:GZ8 GM7:GO9 GW4 GY4 EL27:EL105 EL26 EN26 EL107:EL182 EL106 EN106 EN217 EJ212:EL212 EN212 GO5 EN183:EN211 EN218:EN237 EN5:EN16 EN238 EN213 EN214:EN216 EN239:EN240 EN242:EN267 EN269:EN321 EN904:EN914 EN27:EN32 EN107 EE590 EE591:EE593 EI617 EI616 EI625 EI626 EI623:EI624 EI622 EI618:EI621 EI627 EI628 EI629:EI631 EI613 EI614 EK626 EK627 EK659 EG617 EG616 EG625 EG626 EG623:EG624 EG622 EG618:EG621 EG627 EG628 EG629:EG631 EI606:EI608 EG613 EG614 EG594:EG596 EG597:EG598 EI590 EI591:EI593 EG590 EG591:EG593 EK597:EK598 EK590 EK591:EK593 EI615 EG615 EI594:EI596 EI597:EI598 EE597:EE598 EE594:EE596 EE636:EE637 EE629:EE631 EE628 EE627 EE618:EE621 EE622 EE623:EE624 EE626 EE625 EE614 EE613 EE615 EE616 EE617 EE638 EC597:EC598 EC638 EC618:EC621 EC617 EC616 EC615 EC614 EC613 EC625 EC626 EC623:EC624 EC622 EC627 EC628 EC629:EC631 EC637 EC594:EC596 EA720 EI720 EK720 EC720 EE720 EE732 EK732 EM615 EM739 EM737 EM591:EM593 EM590 EM597:EM598 EM594:EM596 EM699:EM701 EM715 EM606:EM608 EM759:EM765 EM716:EM718 EM741:EM742 EM610:EM612 EM670:EM674 EM669 EM677:EM678 EM664:EM667 EM663 EM668 EM646:EM662 EM747:EM748 EM730:EM731 EM617 EM609 EM720:EM723 EM633 EM645 EM634 EM644 EM640:EM643 EM704 EM702:EM703 EM714 EM705:EM713 EM725:EM727 EM732:EM733 EM675 EM693:EM698 EM692 EM691 EM689 EM736 EM629:EM632 EM628 EM627 EM618:EM621 EM623:EM624 EM622 EM626 EM625 EM614 EM613 EM616 EM690 EM744:EM745 EM743 EM746 EM758 EM750:EM756 EM749 EM757 EM734:EM735 EM738 EM681:EM688 EM680 EM740 EM10:EM16 EM766:EM870 EM586:EM589 EM546:EM550 DR18:ED25 DR17:DZ17 EE18:EE25 EG18:EG25 EI18:EI25 EJ18:EK173 EM18:EM25 EN18:EN23 EF18:EF25 EH18:EH25 EL18 EN17 EJ17 ED17 EB17 EL17 EH17 EF17 EA17 EG17 EI17 EM17 EC17 EE17 EK17 EM7:EM8 EL22:EL25 EA594 EN34:EN71 EN33 EN73:EN105 EN72 EN109:EN181 EN108 EN182 EN327:EN411 EN326 EN323:EN325 EN322 GS5 EM27:EM173 EN25 EN24 EM413:EM444 EM446:EM457 ET5 EV5 EX5 EA613:EA631 EA637:EA638 EN4 EP4 EP5:EP9 EP904:EP914 EM175:EM187 EJ175:EK182 EJ174 EH175:EI187 EH174 EG175:EG187 EM189:EM411 EJ189:EL211 EJ188 EL188 EH189:EI212 EH188 EG189:EG261 EM458:EM486 EM488:EM500 EM502:EM527 EP25 EP18:EP23 EP27:EP32 EP10:EP16 EP26 GQ105 EP191:EP193 EP194 EP195:EP211 HL12:KJ12 HL11:KJ11 HL10:KJ10 ER189:EX189 EQ190:EX191 ER114:EX114 EQ115:EX166 EP152 EP153:EP181 EP24 GW238 GT238:GV238 GR241:GS241 GX225 GT225 GV225 GR225 GX226:GX227 GS226:GS227 GR226:GR227 GU225 GT226:GW227 GS225 GW225 GY226:GY227 GX201 GT201 GV201 GR201 GX204 GX203 GX202 GS202:GS204 GR202:GR204 GU201 GT202:GW204 GS201 GW201 GR106 GS106 GS108 GS70 GP70:GQ70 EQ363:ER363 EQ349 ER349 EQ350:ER350 ER268:EX268 EQ269:EX275 EX201 EV201 ET201 ER201 EQ202:EX212 ER169:EX169 EQ170:EX170 ER171:EX171 EQ172:EX180 EQ536 EQ522 EQ480 EW213 EU213 EW106 EU106 EW33 EU33 ES33 EQ33 ES106 ES213 EP268 EP238 EP213 EP241 EP217 HA291:HB291 HA290:HB290 HA289:HB289 HA288:HB288 HA287:HB287 GZ292:HB292 HA284:HB284 HA283:HB283 HA282:HB282 HA281:HB281 HA280:HB280 GZ285:HB286 HA275:HB275 HA274:HB274 GZ276:HB279 HA272:HB272 HA271:HB271 HA270:HB270 HA269:HB269 HA268:HB268 HA267:HB267 HA266:HB266 GZ273:HB273 HA260:HB260 HA259:HB259 HA258:HB258 HA257:HB257 GZ261:HB265 HA254:HB254 HA253:HB253 HA252:HB252 HA251:HB251 GZ255:HB256 HA208:HB208 HA207:HB207 HA206:HB206 HA205:HB205 HA204:HB204 HA203:HB203 HA202:HB202 HA201:HB201 GZ209:HB250 HA196:HB196 HA195:HB195 GZ197:HB200 HA193:HB193 HA192:HB192 HA191:HB191 HA190:HB190 HA189:HB189 HA188:HB188 HA187:HB187 GZ194:HB194 HA184:HB184 GZ185:HB186 HA182:HB182 GZ183:HB183 HA180:HB180 HA179:HB179 GZ181:HB181 HA177:HB177 HA176:HB176 HA175:HB175 HA174:HB174 GZ178:HB178 HA171:HB171 HA170:HB170 HA169:HB169 HA168:HB168 HA167:HB167 GZ172:HB173 HA165:HB165 HA164:HB164 HA163:HB163 HA162:HB162 HA161:HB161 HA160:HB160 HA159:HB159 HA158:HB158 GZ166:HB166 HA155:HB155 HA154:HB154 GZ156:HB157 HA152:HB152 HA151:HB151 HA150:HB150 GZ153:HB153 HA148:HB148 HA147:HB147 HA146:HB146 HA145:HB145 HA144:HB144 HA143:HB143 GZ149:HB149 HA140:HB140 GZ141:HB142 HA138:HB138 HA137:HB137 GZ139:HB139 HA135:HB135 GZ136:HB136 HA133:HB133 HA132:HB132 HA131:HB131 HA130:HB130 HA129:HB129 HA128:HB128 HA127:HB127 GZ134:HB134 HA121:HB121 HA120:HB120 GZ122:HB126 HA118:HB118 HA117:HB117 HA116:HB116 HA115:HB115 HA114:HB114 HA113:HB113 HA112:HB112 GZ119:HB119 HA110:HB110 GZ111:HB111 HA108:HB108 GZ109:HB109 HA106:HB106 GZ107:HB107 HA103:HB103 HA102:HB102 HA101:HB101 HA100:HB100 GZ104:HB105 HA74:HB74 HA73:HB73 HA72:HB72 HA71:HB71 HA70:HB70 GZ75:HB99 HA68:HB68 HA67:HB67 HA66:HB66 HA65:HB65 HA64:HB64 HA63:HB63 HA62:HB62 HA61:HB61 GZ69:HB69 HA58:HB58 GZ59:HB60 HA56:HB56 HA55:HB55 HA54:HB54 GZ57:HB57 HA52:HB52 HA51:HB51 HA50:HB50 HA49:HB49 HA48:HB48 HA47:HB47 HA46:HB46 GZ53:HB53 HA43:HB43 HA42:HB42 HA41:HB41 GZ44:HB45 HA39:HB39 HA38:HB38 HA37:HB37 HA36:HB36 HA35:HB35 HA34:HB34 HA33:HB33 GZ40:HB40 GT290:GW292 GT284:GW287 GT269:GW279 GT260:GW267 GT254:GW258 GT242:GW251 GT239:GW240 GT228:GW236 GT218:GW224 GT214:GW216 GT205:GW211 GT190:GW200 GT185:GW188 GT183:GW183 GT180:GW181 GT172:GW177 GT170:GW170 GT164:GW166 GT160:GW162 GT153:GW158 GT151:GW151 GT149:GW149 GT145:GW147 GT139:GW142 GT136:GW136 GT129:GW134 GT115:GW126 GT109:GW113 GT107:GW107 GT103:GW105 GT74:GW101 GT67:GW69 GT55:GW65 GT51:GW53 GT48:GW49 GT44:GW45 GT38:GW40 GT34:GW36 GT288:GW289 GR290:GR292 GT280:GW283 GR284:GR287 GT268:GW268 GR269:GR279 GT259:GW259 GR260:GR267 GT252:GW253 GR254:GR258 GT241:GW241 GR242:GR251 GT237:GW237 GR239:GR240 GR228:GR236 GT217:GW217 GR218:GR224 GT212:GW213 GR214:GR216 GR205:GR211 GT189:GW189 GR190:GR200 GT184:GW184 GR185:GR188 GR182:GR183 GT178:GW179 GR180:GR181 GT171:GW171 GR172:GR177 GT167:GW169 GR170 GT163:GW163 GR164:GR166 GT159:GW159 GR160:GR162 GT152:GW152 GR153:GR158 GT150:GW150 GR151 GT148:GW148 GR149 GT143:GW144 GR145:GR147 GT137:GW138 GR139:GR142 GT135:GW135 GR136 GT127:GW128 GR129:GR134 GT114:GW114 GR115:GR126 GT108:GW108 GR109:GR113 GT106:GW106 GT102:GW102 GR103:GR105 GT70:GW73 GR74:GR101 GT66:GW66 GR67:GR70 GT54:GW54 GR55:GR65 GT50:GW50 GR51:GR53 GT46:GW47 GR48:GR49 GT41:GW43 GR44:GR45 GT37:GW37 GR38:GR40 GT33:GW33 GR34:GR36 GO276:GO292 GM192:GO225 EY266:GM292 EY181:GN184 EY185:GL225 GN266:GO275 GM185:GN191 GN276:GN292 GO181:GO191 EY226:GO265 EQ192:EX200 EQ294:ER294 GP33:GS33 EQ329:ER332 EQ267:EX267 EQ226:EX236 GP237:GS238 EQ181:EX181 GP182:GQ182 EQ276:EX281 GP280:GS283 EQ185:ER185 GP268:GS268 GP201:GQ201 GP37:GS37 GP34:GQ36 GS34:GS36 GX33:GZ33 GP41:GS43 GP38:GQ40 GS38:GS40 GX37:GZ37 GP46:GS47 GP44:GQ45 GS44:GS45 GX43:GZ43 GP50:GS50 GP48:GQ49 GS48:GS49 GX47:GZ47 GP54:GS54 GP51:GQ53 GS51:GS53 GX50:GZ50 GP66:GS66 GP55:GQ65 GS55:GS65 GX54:GZ54 GP71:GS73 GP67:GQ69 GS67:GS69 GX66:GZ66 GP102:GS102 GP74:GQ101 GS74:GS101 GX73:GZ73 GP106:GQ106 GP103:GQ104 GS103:GS105 GX102:GZ102 GP108:GQ108 GP107:GQ107 GR107:GS107 GX106:GZ106 GP114:GS114 GP109:GQ113 GS109:GS113 GX108:GZ108 GP127:GS128 GP115:GQ126 GS115:GS126 GX114:GZ114 GP135:GS135 GP129:GQ134 GS129:GS134 GX128:GZ128 GP137:GS138 GP136:GQ136 GS136 GX135:GZ135 GP143:GS144 GP139:GQ142 GS139:GS142 GX138:GZ138 GP148:GS148 GP145:GQ147 GS145:GS147 GX144:GZ144 GP150:GS150 GP149:GQ149 GS149 GX148:GZ148 GP152:GS152 GP151:GQ151 GS151 GX150:GZ150 GP159:GS159 GP153:GQ158 GS153:GS158 GX152:GZ152 GP163:GS163 GP160:GQ162 GS160:GS162 GX159:GZ159 GP167:GS169 GP164:GQ166 GS164:GS166 GX163:GZ163 GP171:GS171 GP170:GQ170 GS170 GX169:GZ169 GP178:GS179 GP172:GQ177 GS172:GS177 GX171:GZ171 GP181:GQ181 GS181 GP180:GQ180 GS180 GX179:GZ179 GP184:GQ184 GP183:GQ183 GS183 GY182:GZ182 GP189:GS189 GP185:GQ188 GS185:GS188 GX184:GZ184 GP192:GQ200 GS192:GS200 GP190:GQ191 GS190:GS191 GX189:GZ189 GP212:GS213 GP202:GQ211 GS205:GS211 GY201:GZ201 GP217:GS217 GP214:GQ216 GS214:GS216 GX212:GY212 GP225:GQ225 GP218:GQ224 GS218:GS224 GX217:GY217 GP226:GQ236 GS228:GS236 GY225 GP241:GQ241 GP239:GQ240 GS239:GS240 GX237:GY238 GP252:GS253 GP242:GQ251 GS242:GS251 GX241:GY241 GP259:GS259 GP254:GQ258 GS254:GS258 GX253:GZ253 GP266:GQ267 GS266:GS267 GP260:GQ265 GS260:GS265 GX259:GZ259 GP276:GQ279 GS276:GS279 GP269:GQ275 GS269:GS275 GX268:GZ268 GP288:GS289 GP284:GQ287 GS284:GS287 GX283:GZ283 GP290:GQ292 GS290:GS292 GX289:GZ289 GX36:GZ36 GX39:GZ39 GX44:GY45 GX49:GZ49 GX52:GZ52 GX56:GZ56 GX68:GZ68 GX74:GZ74 GX103:GZ103 GX107:GY107 GX110:GZ110 GX118:GZ118 GX133:GZ133 GX136:GY136 GX140:GZ140 GX147:GZ147 GX149:GY149 GX151:GZ151 GX155:GZ155 GX162:GZ162 GX165:GZ165 GX170:GZ170 GX177:GZ177 GX181:GY181 GX180:GZ180 GX183:GY183 GX188:GZ188 GX193:GZ193 GX191:GZ191 GX208:GZ208 GX214:GY216 GX218:GY224 GX228:GY236 GX239:GY240 GX251:GZ251 GX254:GZ254 GX267:GZ267 GX260:GZ260 GX276:GY279 GX272:GZ272 GX284:GZ284 GX291:GZ291 GX40:GY40 GX34:GZ34 GX35:GZ35 GX38:GZ38 GX41:GZ41 GX42:GZ42 GX53:GY53 GX46:GZ46 GX48:GZ48 GX51:GZ51 GX58:GZ58 GX57:GY57 GX55:GZ55 GX65:GZ65 GX59:GY60 GX69:GY69 GX61:GZ61 GX62:GZ62 GX63:GZ63 GX64:GZ64 GX67:GZ67 GX101:GZ101 GX75:GY99 GX70:GZ70 GX71:GZ71 GX72:GZ72 GX104:GY105 GX100:GZ100 GX109:GY109 GX113:GZ113 GX111:GY111 GX121:GZ121 GX119:GY119 GX112:GZ112 GX115:GZ115 GX116:GZ116 GX117:GZ117 GX122:GY126 GX120:GZ120 GX134:GY134 GX127:GZ127 GX129:GZ129 GX130:GZ130 GX131:GZ131 GX132:GZ132 GX139:GY139 GX137:GZ137 GX141:GY142 GX143:GZ143 GX145:GZ145 GX146:GZ146 GX153:GY153 GX158:GZ158 GX156:GY157 GX154:GZ154 GX166:GY166 GX160:GZ160 GX161:GZ161 GX164:GZ164 GX172:GY173 GX167:GZ167 GX168:GZ168 GX178:GY178 GX174:GZ174 GX175:GZ175 GX176:GZ176 GX185:GY186 GX196:GZ196 GX194:GY194 GX187:GZ187 GX190:GZ190 GX192:GZ192 GX197:GY200 GX195:GZ195 GX209:GY211 GX242:GY250 GY202:GZ202 GY203:GZ203 GY204:GZ204 GX205:GZ205 GX206:GZ206 GX207:GZ207 GX258:GZ258 GX255:GY256 GX252:GZ252 GX261:GY265 GX257:GZ257 GX275:GZ275 GX273:GY273 GX266:GZ266 GX269:GZ269 GX270:GZ270 GX271:GZ271 GX274:GZ274 GX287:GZ287 GX285:GY286 GX280:GZ280 GX281:GZ281 GX282:GZ282 GX292:GY292 GX288:GZ288 GX290:GZ290 EQ107:EX107 EX183:EX184 EX182 EQ183:ER183 ER182:ES182 ER168:EX168 EQ242:EX265 ER241 ET241 EV241 EX241 EQ239:EX240 ER238 EQ214:EX216 ER213 EQ301:ER325 ER300 EQ296:ER299 ER293 ER295 EQ333:ER336 ER328 EQ370:ER411 EQ365:ER368 ER106 ER167:EX167 EP212 ER364 ER237:EX237 EY33:GO180 EP183:EP190 EP218:EP237 EP214:EP216 EP239:EP240 EP242:EP267 EP269:EP321 EP107 EQ676 EQ668 EQ497 EP106 EQ351:ER361 EQ327:ER327 GW182 GS182 GT182:GU182 GV182 GX182 EP34:EP71 EP33 EQ34:EX69 ER33 ET33 EV33 EX33 EP73:EP105 EP72 EP109:EP151 EP108:EQ108 ET106 EV106 EX106 EP182 ET213 EV213 EX213 EP327:EP411 EP326:EQ326 EP323:EP325 EP322 GX17 GV17 GR17 GP17 GN17 GL17 GJ17 EW17 EU17 ES17 EQ17 GT17 GS17 EP17 ER17 ET17 EV17 EX17 EY17:GI17 GK17 GM17 GO17 GQ17 GU17 GW17 GS18:GS31 GT18:GW31 GR18:GR31 GP18:GQ31 EY18:GO29 EQ18:EX23 GO30 EY30:GM30 EY31:GO32 GM10:GO10 EY10:GI10 GX32:GZ32 GX20:GZ20 GX19:GZ19 GX22:GY31 GX16:GZ16 GX15:GZ15 GX14:GZ14 GX13:GZ13 GX12:GZ12 GX11:GZ11 GX10:GZ10 GX18:GY18 GX21:GZ21 GY17:GZ17 GS10:GS16 GP10:GQ16 GP32:GS32 EQ10:EX16 EY11:GO16 GR10:GR16 GT32:GW32 GT10:GW16 GZ18:HB18 HA14:HB14 HA15:HB15 HA16:HB16 HA17:HB17 GZ22:HB31 HA19:HB19 HA20:HB20 HA21:HB21 HA32:HB32 EO10 EO34:EO71 EO32 EO22:EO23 EO21 EO20 EO19 EO18 EO17 EO16 EO15 EO14 EO13 EO12 HJ12:HK12 EO11 HJ11:HK11 HJ10:HK10 EO31 EO30 GN30 EO635 EO449 EO322 EO323:EO325 EO326 EO327:EO411 EO217 EO213 EO191 EO182 EO107 EO106 EO181 EO108 EO109:EO151 EO73:EO105 EO72 EO33 EO683:EO686 EO682 EQ106 EO498:EO502 EO497 EO669:EO673 EO668 EO677:EO678 EO676 EO269:EO321 EO268 EO242:EO267 EO241 EO239:EO240 EO214:EO216 EO238 EO218:EO237 EO183:EO190 EO152 EO212 EO169 EO167 EO694 EO692 EO490 EO489 EO168 EO208 EO207 EO206 EO205 EO204 EO203 EO202 EO209:EO211 EO196 EO195 EO201 EO197:EO200 EO193 EO192 EO194 GP105 EQ268 EO534 EO483:EO488 EO480 EO520:EO521 EO519 EO575 EO571 EO570 EO572:EO573 EO569 EO568 EO563 EO561 EO560 EO562 EO558:EO559 EO557 EO556 EO555 EO554 EO553 EO552 EO551 EO550 EO680 EO679 EO689 EO687 EO583 EO581 EO582 EO586:EO589 EO584 EO585 EO579 EO576 EO577 EO578 EO574 EO567 EO580 EO675 EO566 EO565 EO564 EO537 EO535 EO536 EO523:EO527 EO522 EO172:EO180 EO171 EO170 ES201 EU201 EW201 EO514 EO503 EO495:EO496 EO494 EO25 EO24 EO153:EO166 EQ201 EO27:EO29 EO26 EO646:EO662 EO642 EO643 EO641 EO640 EO644 EO674 EO481:EO482 EO492 EO491 EO529:EO533 EO591:EO593 EO734:EO735 EO730:EO732 EO613 EO606:EO608 EO590 EO594:EO596 EO597:EO598 EO664:EO667 EO663 EO715 EO714 EO743 EO741:EO742 EO738 EO737 EO783:EO795 EO758 EO750:EO756 EO749 EO747:EO748 EO746 EO616 EO615 EO609 EO740 EO622 EO617 EO736 EO691 EO733 EO690 EO681 EO759:EO765 EO610:EO612 EO614 EO634 EO633 EO627 EO626 EO625 EO744:EO745 EO623:EO624 EO739 EO688 EO618:EO621 EO628 EO629:EO632 EO693 EO725:EO727 EO705:EO713 EO704 EO702:EO703 EO645 EO720:EO723 EO716:EO718 EO699:EO701 EO413:EO444 EO540 EO806 EO796:EO805 EO518 EO446:EO448 EO808:EO809 EO807 EO766:EO782 EO459 EO455:EO458 EO454 EO450:EO453 EO462 EO460:EO461 EO479 EO475:EO477 EO474 EO470:EO473 EO493 EO546:EO549 EQ502 EO504 EO862:EO864 EO861 EO860 EO851 EO848:EO849 EO847 EO846 EO844:EO845 EO843 EO842 EO831:EO841 EO826:EO830 EO824:EO825 EO819 EO818 EO817 EO816 EO814:EO815 EO813 EO516:EO517 EO505 EO823 EO822 EO820:EO821 EO853:EO856 EO852 EO850 EO506 EO868:EO903 EO866:EO867 EO865 EO858 EO857 EO812 EO810:EO811 EO859 EO464 EO463 EO469 EO465:EO468 EO507:EO513 EO515 EO478 EQ524 EO695:EO698 EO7:EO8 ER184 EQ266:EX266 EQ282:EX292 EQ338:ER348 EQ337:ER337 ER326:ES326 ER362 EQ489 GQ5 GU5 EO639 EM639 EG636:EG638 EQ187:EX188 ER186 EM540 DT541 DR546:DT549 DR545 DT545 DZ599 DX599 DV599 EM542 EO542 EO543 EO544:EO545 EE545 EM544:EM545 EA541 EA545 EM541 EM543 EO541 EK541 EI541 EG541 EE541 EC541 EQ541 EM529:EM537 EQ109:EX113 ER108:EX108 GS184 EO602 EO603 EO604:EO605 EO600 EO601 EM603 EM604:EM605 EM601 EM600 EM602 EI602 EI600 EI601 EK600 EK601 EI604:EI605 EI603 EK605 EI599 EQ605 EM599 EO599 EK599 EQ599 EC606:EC608 EC603 EC604:EC605 EC600 EC601 EC602 EE601 EE600 EE604:EE605 EE603 EE606:EE608 EE602 EG602 EG600 EG601 EG604:EG605 EG606:EG608 EG603 EA599 EA604:EA605 EA603 EA606:EA608 EA602 EA601 EA600 EC599 EG599 EE599 ET238:EX238 EQ218:EX225 ER217:ET217 EV217 EX217 EQ71:EX72 ER70:EX70 EQ74:EX105 ER73:EX73 ER369 EX185 EX186 GS328 GS295 ES369:EX369 EV293:EX293 ET293 EW605 EU605 ES605 GL599 EW599 EU599 ES599 GJ599 GT599 GV599 GX599 GR599 GT605 GV605 GX605 GR605 GX528 GV528 GT528 GT529 GR528 GX535 GV535 GT535 EW541 EU541 GR541 GT541 ES541 GN541 GL541 GP541 GX541 GV541 GJ541 GR494 GR362 GR479 ES362:EX362 EX328 EW326 ET326 EU326:EV326 EX326 EX337 ES337:EW337 ES338:EX348 GX635 GV635 GT635 GR635 GN682 ES327:EX327 EX349 ES351:EX361 ES364:EX364 GP692 EW676 ES676 ES365:EX368 ES370:EX411 ES328:EW328 ES333:EX336 ES295:EX295 ES296:EX299 ES300:EX300 ES301:EX325 GX411:GZ411 GX407:GZ407 GX405:GZ405 GX409:GY409 GX400:GZ400 GX402:GY404 GX397:GZ397 GX396:GZ396 GX395:GZ395 GX394:GZ394 GX393:GZ393 GX399:GY399 GX401:GZ401 GX387:GZ387 GX386:GZ386 GX389:GY391 GX383:GZ383 GX382:GZ382 GX385:GY385 GX388:GZ388 GX375:GZ375 GX377:GY380 GX372:GZ372 GX367:GZ367 GX374:GY374 GX376:GZ376 GX365:GY366 GX357:GZ357 GX361:GY361 GX351:GZ351 GX350:GZ350 GX349:GZ349 GX354:GY355 GX356:GZ356 GX340:GZ340 GX337:GZ337 GX336:GZ336 GX335:GZ335 GX334:GZ334 GX331:GZ331 GX339:GY339 GX341:GZ341 GX329:GY330 GX323:GZ323 GX321:GZ321 GX325:GY325 GX315:GZ315 GX314:GZ314 GX313:GZ313 GX318:GY319 GX320:GZ320 GX307:GZ307 GX309:GY312 GX304:GZ304 GX303:GZ303 GX302:GZ302 GX301:GZ301 GX298:GZ298 GX306:GY306 GX308:GZ308 GX296:GY297 GX408:GZ408 GX398:GZ398 GX384:GZ384 GX370:GZ370 GX368:GZ368 GX363:GY363 GX359:GZ359 GX360:GZ360 GX353:GZ353 GX343:GY348 GX338:GZ338 GX332:GZ332 GX327:GY327 GX324:GZ324 GX317:GZ317 GX305:GZ305 GX299:GZ299 GX294:GY294 GX373:GZ373 GX410:GZ410 GS411 GP411:GQ411 GX406:GZ406 GS407:GS409 GP407:GQ409 GP410:GS410 GX392:GZ392 GS393:GS404 GP393:GQ404 GP405:GS406 GX381:GZ381 GS382:GS391 GP382:GQ391 GP392:GS392 GZ371 GX369:GZ369 GS370 GP370:GQ370 GP371:GS371 GX364:GZ364 GS365:GS368 GP365:GQ368 GP369:GS369 GX362:GZ362 GS363 GP363:GR363 GP364:GQ364 GX358:GZ358 GS359 GP359:GQ359 GS360:GS361 GP360:GQ361 GX352:GZ352 GS353:GS356 GP353:GQ356 GP357:GS358 GX342:GY342 GS343:GS348 GP343:GQ348 GP349:GS352 GX333:GZ333 GS334:GS341 GP334:GQ341 GP342:GS342 GX328:GZ328 GS329:GS332 GP329:GQ332 GP333:GS333 GX326:GZ326 GS327 GP327:GQ327 GX322:GZ322 GS323:GS325 GP323:GQ325 GP326:GR326 GX316:GZ316 GS317:GS320 GP317:GQ320 GP321:GS322 GX300:GZ300 GS301:GS312 GP302:GQ312 GP313:GS316 GX295:GZ295 GS296:GS299 GP296:GQ299 GP300:GS300 GX293:GZ293 GS294 GP294:GQ294 GP293:GQ293 GS372:GS380 GP372:GQ380 GP381:GS381 GP362:GQ362 GP328:GQ328 ES329:EX332 GP295:GQ295 ES294:EX294 EY294:GN327 EY328:GM411 GN293 GN360:GO411 GN328:GN359 EY293:GM293 GR372:GR380 GO293:GO359 GR294 GT293:GW293 GR296:GR299 GT295:GW295 GR301:GR312 GT300:GW300 GR317:GR320 GT313:GW316 GR323:GR325 GT321:GW322 GR327 GT326:GW326 GR329:GR332 GT328:GW328 GR334:GR341 GT333:GW333 GR343:GR348 GT342:GW342 GR353:GR356 GT349:GW352 GR359:GR361 GT357:GW358 GT362:GW362 GR365:GR368 GT364:GW364 GR370 GT369:GW369 GT371:GY371 GR382:GR391 GT381:GW381 GR393:GR404 GT392:GW392 GR407:GR409 GT405:GW406 GR411 GT410:GW410 GT372:GW380 GT294:GW294 GT296:GW299 GT301:GW312 GT317:GW320 GT323:GW325 GT327:GW327 GT329:GW332 GT334:GW341 GT343:GW348 GT353:GW356 GT359:GW361 GT363:GW363 GT365:GW368 GT370:GW370 GT382:GW391 GT393:GW404 GT407:GW409 GT411:GW411 GZ294:HB294 HA293:HB293 GZ296:HB297 HA295:HB295 GZ306:HB306 HA298:HB298 HA299:HB299 HA300:HB300 HA301:HB301 HA302:HB302 HA303:HB303 HA304:HB304 HA305:HB305 GZ309:HB312 HA307:HB307 HA308:HB308 GZ318:HB319 HA313:HB313 HA314:HB314 HA315:HB315 HA316:HB316 HA317:HB317 GZ325:HB325 HA320:HB320 HA321:HB321 HA322:HB322 HA323:HB323 HA324:HB324 GZ327:HB327 HA326:HB326 GZ329:HB330 HA328:HB328 GZ339:HB339 HA331:HB331 HA332:HB332 HA333:HB333 HA334:HB334 HA335:HB335 HA336:HB336 HA337:HB337 HA338:HB338 GZ342:HB348 HA340:HB340 HA341:HB341 GZ354:HB355 HA349:HB349 HA350:HB350 HA351:HB351 HA352:HB352 HA353:HB353 GZ361:HB361 HA356:HB356 HA357:HB357 HA358:HB358 HA359:HB359 HA360:HB360 GZ363:HB363 HA362:HB362 GZ365:HB366 HA364:HB364 GZ374:HB374 HA367:HB367 HA368:HB368 HA369:HB369 HA370:HB370 HA371:HB371 HA372:HB372 HA373:HB373 GZ377:HB380 HA375:HB375 HA376:HB376 GZ385:HB385 HA381:HB381 HA382:HB382 HA383:HB383 HA384:HB384 GZ389:HB391 HA386:HB386 HA387:HB387 HA388:HB388 GZ399:HB399 HA392:HB392 HA393:HB393 HA394:HB394 HA395:HB395 HA396:HB396 HA397:HB397 HA398:HB398 GZ402:HB404 HA400:HB400 HA401:HB401 GZ409:HB409 HA405:HB405 HA406:HB406 HA407:HB407 HA408:HB408 HA410:HB410 HA411:HB411 EU676 ES635 GP571 GP570 GP572:GP573 GP569 GP568 GP561 GP560 GP562 GP557 GP556 GP555 GP554 GP553 GP552 GP551 GP550 GP558:GP559 GR679 GN687 GP581 GP582 GP584 GP583 GP585 GP576 GP577 GP578 GP574 GP575 GP567 GP580 GP579 GP566 GP564 GP565 GP563 ES536 ES535 EU535 EW535 EU635 EW635 EU536 EW536 ES480 EU480 GP301:GQ301 EX350 ES350:EW350 EV349 ET349 ES349 EU349 EW349 ES363:EX363 GP503 GS326 GS362 GS364 GR293:GS293 ES293 ES538:HB538 GR328 GR295 GR364 GP635 GT494 EU293 GJ642 GP675 GP540 GR521 ES539 GT539 GR539 GR535 EU539 EW539 GN539 GP539 GV539 GX539 GR522 GT521 GT522 GV521 GV522 GX521 GX522 GN635 GL626 EI638 EK638 EM638 EO638 EO636 EO637 EM637 EK637 EI637 EI636 EK636 EM636 EA636 EC636 EG690 EG720 EQ732 EQ25:EX32 ER24:EX24 ES185:EW185 ES183:EW183 EV182 ET182 ES184:EW184 ES186:EW186 EU182 EW182 GX213:GY213 ET4 EV4 EX4 GQ4 HI904:KJ1388 HI9:KJ9 HI8:KJ8 HI7:KJ7 HI4:KJ6 HI291:KJ291 HI290:KJ290 HI289:KJ289 HI288:KJ288 HI287:KJ287 HI292:KJ292 HI284:KJ284 HI283:KJ283 HI282:KJ282 HI281:KJ281 HI280:KJ280 HI285:KJ286 HI275:KJ275 HI274:KJ274 HI276:KJ279 HI272:KJ272 HI271:KJ271 HI270:KJ270 HI269:KJ269 HI268:KJ268 HI267:KJ267 HI266:KJ266 HI273:KJ273 HI260:KJ260 HI259:KJ259 HI258:KJ258 HI257:KJ257 HI261:KJ265 HI254:KJ254 HI253:KJ253 HI252:KJ252 HI251:KJ251 HI255:KJ256 HI208:KJ208 HI207:KJ207 HI206:KJ206 HI205:KJ205 HI204:KJ204 HI203:KJ203 HI202:KJ202 HI201:KJ201 HI209:KJ250 HI196:KJ196 HI195:KJ195 HI197:KJ200 HI193:KJ193 HI192:KJ192 HI191:KJ191 HI190:KJ190 HI189:KJ189 HI188:KJ188 HI187:KJ187 HI194:KJ194 HI184:KJ184 HI185:KJ186 HI182:KJ182 HI183:KJ183 HI180:KJ180 HI179:KJ179 HI181:KJ181 HI177:KJ177 HI176:KJ176 HI175:KJ175 HI174:KJ174 HI178:KJ178 HI171:KJ171 HI170:KJ170 HI169:KJ169 HI168:KJ168 HI167:KJ167 HI172:KJ173 HI165:KJ165 HI164:KJ164 HI163:KJ163 HI162:KJ162 HI161:KJ161 HI160:KJ160 HI159:KJ159 HI158:KJ158 HI166:KJ166 HI155:KJ155 HI154:KJ154 HI156:KJ157 HI152:KJ152 HI151:KJ151 HI150:KJ150 HI153:KJ153 HI148:KJ148 HI147:KJ147 HI146:KJ146 HI145:KJ145 HI144:KJ144 HI143:KJ143 HI149:KJ149 HI140:KJ140 HI141:KJ142 HI138:KJ138 HI137:KJ137 HI139:KJ139 HI135:KJ135 HI136:KJ136 HI133:KJ133 HI132:KJ132 HI131:KJ131 HI130:KJ130 HI129:KJ129 HI128:KJ128 HI127:KJ127 HI134:KJ134 HI121:KJ121 HI120:KJ120 HI122:KJ126 HI118:KJ118 HI117:KJ117 HI116:KJ116 HI115:KJ115 HI114:KJ114 HI113:KJ113 HI112:KJ112 HI119:KJ119 HI110:KJ110 HI111:KJ111 HI108:KJ108 HI109:KJ109 HI106:KJ106 HI107:KJ107 HI103:KJ103 HI102:KJ102 HI101:KJ101 HI100:KJ100 HI104:KJ105 HI74:KJ74 HI73:KJ73 HI72:KJ72 HI71:KJ71 HI70:KJ70 HI75:KJ99 HI68:KJ68 HI67:KJ67 HI66:KJ66 HI65:KJ65 HI64:KJ64 HI63:KJ63 HI62:KJ62 HI61:KJ61 HI69:KJ69 HI58:KJ58 HI59:KJ60 HI56:KJ56 HI55:KJ55 HI54:KJ54 HI57:KJ57 HI52:KJ52 HI51:KJ51 HI50:KJ50 HI49:KJ49 HI48:KJ48 HI47:KJ47 HI46:KJ46 HI53:KJ53 HI43:KJ43 HI42:KJ42 HI41:KJ41 HI44:KJ45 HI39:KJ39 HI38:KJ38 HI37:KJ37 HI36:KJ36 HI35:KJ35 HI34:KJ34 HI33:KJ33 HI40:KJ40 HI18:KJ18 HI10 HI11 HI12 HI13:KJ13 HI14:KJ14 HI15:KJ15 HI16:KJ16 HI17:KJ17 HI22:KJ31 HI19:KJ19 HI20:KJ20 HI21:KJ21 HI32:KJ32 HI294:KJ294 HI293:KJ293 HI296:KJ297 HI295:KJ295 HI306:KJ306 HI298:KJ298 HI299:KJ299 HI300:KJ300 HI301:KJ301 HI302:KJ302 HI303:KJ303 HI304:KJ304 HI305:KJ305 HI309:KJ312 HI307:KJ307 HI308:KJ308 HI318:KJ319 HI313:KJ313 HI314:KJ314 HI315:KJ315 HI316:KJ316 HI317:KJ317 HI325:KJ325 HI320:KJ320 HI321:KJ321 HI322:KJ322 HI323:KJ323 HI324:KJ324 HI327:KJ327 HI326:KJ326 HI329:KJ330 HI328:KJ328 HI339:KJ339 HI331:KJ331 HI332:KJ332 HI333:KJ333 HI334:KJ334 HI335:KJ335 HI336:KJ336 HI337:KJ337 HI338:KJ338 HI342:KJ348 HI340:KJ340 HI341:KJ341 HI354:KJ355 HI349:KJ349 HI350:KJ350 HI351:KJ351 HI352:KJ352 HI353:KJ353 HI361:KJ361 HI356:KJ356 HI357:KJ357 HI358:KJ358 HI359:KJ359 HI360:KJ360 HI363:KJ363 HI362:KJ362 HI365:KJ366 HI364:KJ364 HI374:KJ374 HI367:KJ367 HI368:KJ368 HI369:KJ369 HI370:KJ370 HI371:KJ371 HI372:KJ372 HI373:KJ373 HI377:KJ380 HI375:KJ375 HI376:KJ376 HI385:KJ385 HI381:KJ381 HI382:KJ382 HI383:KJ383 HI384:KJ384 HI389:KJ391 HI386:KJ386 HI387:KJ387 HI388:KJ388 HI399:KJ399 HI392:KJ392 HI393:KJ393 HI394:KJ394 HI395:KJ395 HI396:KJ396 HI397:KJ397 HI398:KJ398 HI402:KJ404 HI400:KJ400 HI401:KJ401 HI409:KJ409 HI405:KJ405 HI406:KJ406 HI407:KJ407 HI408:KJ408 HI410:KJ410 HI411:KJ411 HI538:KJ538" formula="1"/>
    <ignoredError sqref="GJ6 GL6 GK6 GJ7:GL9 GJ10:GL10" numberStoredAsText="1" formula="1"/>
    <ignoredError sqref="EL514 EL515 EL507:EL513 EL464 EL465:EL468 EL462 EL463 EL783:EL795 EL826:EL830 EL842 EL847 EL851 EL858 EL859 EL808:EL809 EL810:EL811 EL812 EL816 EL853:EL856 EL857 EL862:EL864 EL865 EL866:EL867 EL868:EL903 EL506 EL582 EL850 EL852 EL819 EL820:EL821 EL822 EL823 EL480:EL482 EL505 EL516:EL517 EL581 EL583:EL589 EL806 EL813 EL814:EL815 EL817 EL818 EL824:EL825 EL831:EL841 EL843 EL844:EL845 EL846 EL848:EL849 EL860 EL861 EL576:EL577 EL574 EL575 EB669 EN489 EN494 EL494 EL495:EL504 EN474 EN478:EN479 EL478:EL479 EL483:EL488 EL546:EL562 EL566 EL567:EL573 EL492 EL493 EL537 EL449 EL469 EL470:EL473 EL474 EL475:EL477 EL459 EL460:EL461 EL489 EL450:EL453 EL455:EL458 EL766:EL782 EL807 EL579:EL580 EN565 EN563 EN564 EA676:EB676 EN537 EN449 EJ449 EN469 EJ469 EJ470:EJ473 EJ474 EJ475:EJ488 EA668:EB668 EN492 EN459 EJ459 EJ460:EJ468 EH586:EH589 EF459 EF460:EF488 EF489 EF455:EF458 ED459 EB459 EA460:ED488 EH449:EH453 EH489 EH446:EL448 EH455:EH488 EJ489 EJ450:EJ453 EF449:EF453 EJ455:EJ458 EA677:EB698 EA719:EB719 EJ546:EJ549 EJ492 EJ493:EJ517 EJ586:EJ589 EF586:EF589 EJ537 EJ766:EJ795 EJ806:EJ903 EH546:EH549 EF546:EF549 EA747:EB756 EA757:EB757 EA740:EB745 EA746:EB746 EA721:EB736 EA737:EB739 EL578 EB590:EB593 EF766:EF795 EB528 EH766:EH795 EA758:EB795 EH806:EH903 EH492 EH493:EH517 EA540:EF540 EA531:EF533 EA796:EB805 EH537 EA537:EF537 EA539:EF539 EF492 EF493:EF517 EA493:ED517 ED492 EB492 EA518:EF518 EF806:EF903 EA871:ED903 EA610:EB612 ED489 EB489 EA491:EF491 EA586:ED589 EB594:EB596 EA609:EB609 EA632:EB634 EA670:EB675 EA454:ED454 EF446:EF448 EA446:ED453 EA455:ED458 EG415:EK416 EG414:EK414 EG412:EK413 EE412 EA412:EC412 EA445:EM445 ED412:ED413 EA414:ED414 EA413:EC413 EA415:ED444 EE440:EF444 EF412:EF439 EE446:EE453 EE413:EE439 EE454:EF454 EB615 EB597:EB598 EA490:EF490 EC489 EA489 EE871:EE903 EA492 EC492 EE492:EE517 EH454 EG537 EG796:EH805 EG531:EH533 EG540:EH540 EG492:EG500 EG806:EG903 EG766:EG795 EH528 EG518:EH518 EE586:EE589 EG546:EG549 EJ540 EJ796:EJ805 EJ454 EJ518:EJ528 EJ536 EJ539 EI766:EI903 EI536:EI537 EI586:EI589 EI540 EI492:EI500 EI449:EI486 EG446:EG486 EA459 EC459 EE455:EE489 EG586:EG589 EL454 EL563:EL565 EK586:EK589 EG417:EK444 EK766:EK903 EK449:EK486 EK492:EK500 EA669 EL518 EG491:EL491 EL796:EL805 EH490:EL490 EL539:EL540 EL412:EL444 EL523:EL528 EL522 EN522 EL520:EL521 EL519 EN519 EL536 EN536 EL535 EL534 EN534 EN514 EN515 EN507:EN513 EN464 EN465:EN468 EN462 EN463 EN783:EN795 EN826:EN830 EN842 EN847 EN851 EN858 EN859 EN808:EN809 EN810:EN811 EN812 EN816 EN853:EN856 EN857 EN862:EN864 EN865 EN866:EN867 EN868:EN903 EN506 EN582 EN850 EN852 EN819 EN820:EN821 EN822 EN823 EN480:EN482 EN505 EN516:EN517 EN581 EN583:EN589 EN806 EN813 EN814:EN815 EN817 EN818 EN824:EN825 EN831:EN841 EN843 EN844:EN845 EN846 EN848:EN849 EN860 EN861 EN576:EN577 EN574 EN575 EN495:EN504 EN483:EN488 EN546:EN562 EN566 EN567:EN573 EN493 EN470:EN473 EN475:EN477 EN460:EN461 EN450:EN453 EN455:EN458 EN766:EN782 EN807 EN579:EN580 EN446:EN448 EN578 EN445:EO445 EN454 EN518 EN491 EN796:EN805 EN490 EN539:EN540 EN412:EN444 EN523:EN527 EN520:EN521 EN535 EA639:EB667 EB636:EB637 EB638 EK523:EK525 EI523:EI525 EG523:EH525 EH519 EA523:EF525 EB519 EF519 ED519 EB520 ED520 EF520 EH520 EB521 ED521 EF521 EH521 EB522 ED522 EF522 EH522 EB527 EB526 ED526 EF526 EH527 EH526 EK527 ED527 EF527 ED528 EF528 EB529 ED529 EF529 EH529 EI531:EJ533 EJ529 EK531:EK533 EA530:EB530 ED530 EF530 EH530 EJ530 EA535:EF536 EA534:EB534 ED534 EF534 EG535:EH536 EH534 EK535:EK537 EB613:EB614 EB616:EB631 ED590:ED593 EE546:EE549 EH594:EH602 EF615 EG632:EG634 EJ615:EL615 EK660:EK698 EK628:EK632 EK606:EK608 EK594:EK596 EG640:EG689 EI640:EI675 EK640:EK644 EN737:EN739 EN757 EN746 EN615 EN609 EM719:EO719 EN699:EN701 EN724 EN715 EN759:EN765 EN716:EN718 EN741:EN742 EN610:EN612 EN669:EN673 EN677:EN679 EN664:EN667 EN646:EN662 EN747:EN748 EN730:EN731 EN617 EN720:EN723 EN633 EN645 EN634 EN640:EN643 EN704 EN702:EN703 EN705:EN713 EN725:EN727 EN733 EN675 EN693:EN698 EN692 EN691 EN689 EN736 EN629:EN632 EN628 EN627 EN618:EN621 EN623:EN624 EN622 EN626 EN625 EN614 EN613 EN616 EN690 EN744:EN745 EN743 EN758 EN750:EN756 EN749 EN734:EN735 EN681:EN688 EN680 EN740 EN635 EI737:EL739 EI757:EL757 EI746:EL746 EH615 EG609:EL609 EK725:EK727 EK705:EK714 EK703 EK634 EG610:EG612 EI632:EI634 EK721:EK723 EK616:EK625 EK730:EK731 EK747:EK756 EK646:EK658 EK610:EK614 EK740:EK745 EK716:EK718 EK758:EK765 EL590:EL598 EN590:EN598 EI721:EI723 EI677:EI698 EI740:EI745 EI758:EI765 EI610:EI612 EI747:EI756 EJ590:EJ598 EG747:EG756 EG740:EG745 EG721:EG723 EF590:EF593 EH590:EH593 EF594:EF598 EG758:EG765 EF633:EF643 EF609 EF610:EF614 EH758:EH765 EH604:EH605 EH606:EH608 EH603 EF758:EF765 EF737:EH739 EF721:EF731 EH721:EH731 EF746:EH746 EF740:EF745 EH740:EH745 EF757:EH757 EF747:EF756 EH747:EH756 EJ747:EJ756 EJ610:EJ614 EJ758:EJ765 EJ606:EJ608 EJ740:EJ745 EF719:EL719 EJ701 EJ724 EJ715:EL715 EJ714 EN714 EF664:EF667 EF663 EN663 EF668 EN668 EF645 EF644 EN644 EN676 EL606:EL608 EL759:EL765 EJ716:EJ718 EL716:EL718 EL741:EL742 EJ730:EJ731 EJ729 EN728:EN729 EL610:EL612 EL669:EL674 EJ677:EJ698 EL677:EL679 EL664:EL667 EL663 EL668 EF646:EF662 EL646:EL662 EL676 EL747:EL748 EL730:EL731 EF616:EF632 EL617 EN606:EN608 EJ721:EJ723 EL720:EL723 EJ670:EJ675 EJ633:EL633 EJ664:EJ667 EJ663 EJ668 EJ645:EL645 EJ644 EJ646:EJ662 EJ616:EJ632 EJ669 EF670:EF675 EF677:EF718 EF676 EF669 EH633:EH635 EH610:EH614 EH664:EH667 EH663 EH668 EH645 EH644 EH646:EH662 EH616:EH632 EH670:EH675 EH677:EH718 EH676:EJ676 EH669 EJ634:EJ635 EL634 EL644 EL640:EL643 EJ704 EJ702:EJ703 EL702:EL703 EL714 EJ705:EJ713 EL705:EL713 EJ725:EJ727 EL725:EL727 EL733 EN732 EL635 EL675 EL693:EL698 EL692 EL691 EL689 EL736 EL629:EL632 EL628 EL627 EL618:EL621 EL623:EL624 EL622 EL626 EL625 EL614 EL613 EL616 EL690 EL744:EL745 EL743 EL758 EL750:EL756 EL749 EL734:EL735 EL681:EL688 EL680 EL740 EF796:EF805 EA806:EB870 EE668 EE719 EE757 EE746 EE737:EE739 EE609 EE632:EE634 EE610:EE612 EE758:EE765 EE721:EE731 EE740:EE745 EE747:EE756 EE669:EE698 EE639:EE667 ED615 ED616:ED631 ED613:ED614 ED638 ED637 ED636 EC639:ED667 EC669 EE766:EE795 EE806:EE870 EC670:ED675 EC632:ED634 ED597:ED598 EC609:ED609 ED594:ED596 EC610:ED612 EC806:ED870 EC796:EE805 EC758:ED795 EC737:ED739 EC721:ED736 EC746:ED746 EC740:ED745 EC757:ED757 EC747:ED756 EC719:ED719 EC677:ED698 EC668:ED668 EC676:ED676 ED669 EA703:EB703 EB699 EC703:ED703 ED699 EE703 EG703 EI703 EJ699 EL699 EB700 ED700 EJ700 EL700 EB701 ED701 EL701 EB702 ED702 EA705:EB714 EB704 EC705:ED714 ED704 EE705:EE714 EG705:EG714 EI705:EI714 EL704 EA716:EB718 EB715 EC716:ED718 ED715 EE716:EE718 EG716:EG718 EI716:EI718 EL724 ED720 EB720 EJ720 EH720 EF720 EJ728 EL728 EL729 EK733:EK736 EE733:EE736 EI733:EI736 EG733:EG736 EF733:EF736 EH733:EH736 EJ733:EJ736 EL732 EJ732 EH732 EF732 EG732 EI732 EN529:EN533 EN528 EN674 EM412 EK488:EK489 EI488:EI489 EG488:EG490 EK502:EK518 EI502:EI518 EG502:EG517 EI535:EJ535 EJ534 EI725:EI727 EG725:EG727 EI730:EI731 EG730:EG731 EP636 EQ645:EQ667 EP694 EP695:EP698 ER524 EQ525:ER525 EP494 EP478:EP479 EP537 EP449 EP469 EP474 EP489 EP492 EP459 EP454 EP563:EP565 ER741:ER742 ER737 ER758 ER757 ER749 ER746 ER615 ER609 EQ807:ER812 EQ796:ER805 EQ540:ER540 EQ537:ER537 EQ518:ER518 EQ492:ER492 ER491 EQ422:ER444 ER740 EQ490:ER490 ER479 EQ515:ER515 EQ514:ER514 EQ516:ER517 EQ563:ER565 EQ546:ER562 EQ852:ER859 EQ851:ER851 ER750:ER756 ER675 ER617:ER621 ER736 ER691:ER733 ER747:ER748 ER690 ER681:ER689 ER680 ER677:ER679 EQ766:ER795 ER610:ER612 EQ493:ER493 ER591:ER598 EQ567:ER573 EQ445:ER477 EQ483:ER484 ER734:ER735 EQ566:ER566 EQ507:ER513 EQ506:ER506 EQ583:ER589 EQ582:ER582 ER614 ER613 EQ575:ER575 EQ574:ER574 EQ579:ER580 EQ576:ER578 ER616 ER628:ER633 ER627 ER626 ER625 ER744:ER745 ER743 ER623:ER624 ER622 EQ806:ER806 EQ818:ER818 EQ817:ER817 EQ823:ER823 EQ820:ER821 EQ847:ER849 EQ846:ER846 EQ850:ER850 EQ819:ER819 EQ822:ER822 EQ505:ER505 EQ581:ER581 EQ814:ER816 EQ813:ER813 EQ826:ER842 EQ824:ER825 EQ844:ER845 EQ843:ER843 EQ861:ER903 EQ860:ER860 ER590 ER739 ER738 ER636:ER667 ER634 EQ412:ER421 EQ503:ER504 ER502 ER489 EQ495:ER496 ER494 EQ498:ER501 ER497 ER536 ER535 EQ529:ER529 EQ520:ER520 ER519 EQ523:ER523 ER522 ER635 ER669:ER674 ER668 ER676 EP522 EP519 EP536 EP534 EP514 EP515 EP507:EP513 EP464 EP465:EP468 EP462 EP463 EP783:EP795 EP826:EP830 EP842 EP847 EP851 EP858 EP859 EP808:EP809 EP810:EP811 EP812 EP816 EP853:EP856 EP857 EP862:EP864 EP865 EP866:EP867 EP868:EP903 EP506 EP582 EP850 EP852 EP819 EP820:EP821 EP822 EP823 EP480:EP482 EP505 EP516:EP517 EP581 EP583:EP589 EP806 EP813 EP814:EP815 EP817 EP818 EP824:EP825 EP831:EP841 EP843 EP844:EP845 EP846 EP848:EP849 EP860 EP861 EP576:EP577 EP574 EP575 EP495:EP504 EP483:EP488 EP546:EP562 EP566 EP567:EP573 EP493 EP470:EP473 EP475:EP477 EP460:EP461 EP450:EP453 EP455:EP458 EP766:EP782 EP807 EP579:EP580 EP446:EP448 EP578 EP445 EP518 EP796:EP805 EP490 EP539:EP540 EP412:EP444 EP523:EP527 EP520:EP521 ER759:ER765 EP737:EP739 EP757 EP746 EP615 EP609 EP719 EP699:EP701 EP724 EP715 EP759:EP765 EP716:EP718 EP741:EP742 EP610:EP612 EP669:EP673 EP677:EP679 EP664:EP667 EP646:EP662 EP747:EP748 EP730:EP731 EP617 EP720:EP723 EP633 EP645 EP634 EP639:EP643 EP704 EP702:EP703 EP705:EP713 EP725:EP727 EP733 EP675 EP693 EP692 EP691 EP689 EP736 EP629:EP632 EP628 EP627 EP618:EP621 EP623:EP624 EP622 EP626 EP625 EP614 EP613 EP616 EP690 EP744:EP745 EP743 EP758 EP750:EP756 EP749 EP638 EP734:EP735 EP681:EP688 EP680 EP740 EQ669:EQ673 EP635 EQ634 EQ637:EQ643 EQ738 EQ739 EQ590 EQ622 EQ623:EQ624 EQ743 EQ744:EQ745 EQ625 EQ626 EQ627 EQ628:EQ633 EQ616 EQ613 EQ614 EQ734:EQ735 EQ591:EQ598 EQ610:EQ612 EQ759:EQ765 EQ677:EQ679 EQ680 EQ681:EQ689 EQ690 EQ747:EQ748 EQ691:EQ731 EQ736 EQ617:EQ621 EQ675 EQ750:EQ756 EQ740 EQ609 EQ615 EQ746 EQ749 EQ757 EQ758 EQ737 EQ741:EQ742 EP714 EP663 EP668 EP644 EP676 EP597:EP598 EP594:EP596 EP590 EP606:EP608 EP728:EP729 EP637 EP732 EP591:EP593 EP529:EP533 EP528 EP535 EP491 EQ481:ER482 ER480 EP674 ER528 ER521 ER478 EQ486:ER488 ER485 EH640:EH643 EJ640:EJ643 EL639 EJ639 EH636:EH639 EN639 EK639 EI639 EG639 EH539 EK540 ER539 EI546:EI549 EK546:EK549 EA546:ED549 EQ606:EQ608 ER606:ER608 EB545:ED545 EK542:EK545 EI542:EI545 EP543 EP542 EP544:EP545 EQ542:ER545 ER541 EP541 EN543 EN542 EN544:EN545 EG544:EG545 EG542 EE542:EE544 EA542:ED544 EF543:EH543 EB541 ED541 EF541:EF542 EH541:EH542 EF544:EF545 EH544:EH545 EJ543 EJ542 EJ544:EJ545 EJ541 EN541 EL543 EL542 EL544:EL545 EL541 EL529:EL533 ER605 ER599 EP600 EP603 EP604:EP605 EP602 EP601 EP599 EQ603:EQ604 EQ600 EQ601:EQ602 ER601:ER602 ER600 ER603:ER604 EN603 EN604:EN605 EL603 EL604:EL605 EJ603 EJ604:EJ605 EJ599:EJ602 EN599:EN602 EL599:EL602 EK602:EK604 ED603 ED602 ED600:ED601 ED606:ED608 ED604:ED605 ED599 EF603 EF606:EF608 EF604:EF605 EF599:EF602 EB599 EB600:EB601 EB604:EB605 EB606:EB608 EB602:EB603 EQ527:ER527 ER526 EQ531:ER534 ER530 ES530:EX530 ES531:EX534 ES526:EX526 ES527:EX527 EY602:GI602 EY601:GI601 EY600:GI600 EY603:GI603 EY604:GI605 EY599:GI599 GK603 GK604:GK605 GL600:GL605 GK600:GK602 ES603:EX604 ES600:EX600 ES601:EX602 ET599 EV599 EX599 GJ600:GJ605 GK599 ET605 EV605 EX605 GW600 GW603 GW602 GW601 GW599 GU603 GU599:GU602 GX602 GX600 GS599 GS603 GS601:GS602 GS600 GX603 GX601 GR600:GR603 GT600:GT603 GV600:GV603 GW606 GW608 GW607 GW605 GU606:GU608 GU605 GX608 GS605:GS608 GX606 GX607 GR606:GR608 GT606:GT608 GV606:GV608 GT531:GW534 GT530:GW530 GR531:GR534 GR529:GS530 GS531:GS534 GX529:GX530 GX531:GX534 GS535 GU535 GW535 GS528 GU528 GW528 GU529:GW529 GY521:GY522 GW521:GW522 GU521:GU522 GS522 GS521 GP521:GQ521 GP522:GQ522 EY529:GO536 GZ529:HB536 GT545:GW545 GT544:GW544 GT542:GW542 GT543:GW543 GR544:GR545 GN544:GO545 GR542 GR543 EY544:GL545 EY542:GL542 EY543:GL543 EY541:GI541 GN542:GO542 GN543:GO543 GU541 GW541 GO541 GK541 GM541 GM542:GM545 ES542:EX545 GP542:GQ545 GS541 GY541:GZ541 GQ541 GS542:GS545 GX545:GZ545 GX542:GZ542 GX543:GZ543 GX544:GZ544 ET541 EV541 EX541 GK642:GL642 EY642:GI642 EY643:GL643 ES606:EX608 GV604 GT604 GR604 GJ606:GJ608 GY539 GW539 GU539 GO539 EY539:GM539 EX539 EV539 ET539 ES485:EX485 ES486:EX488 GS479 GP479:GQ479 ES478:EX478 GQ540 ES521:EX521 GO687 GR642 GR643 GR641 GT642:GW642 GT643:GW643 GT641:GW641 GN642:GO642 GN643:GO643 GN637:GO637 GN640:GO640 GN641:GO641 GN638:GO638 GO635 GN636:GO636 GN639:GO639 GN644:GO644 GU644:GW644 GT644 GX644 GX642 GX641 GS641:GS643 GP639:GQ643 GP637:GQ637 GP644:GS644 GQ635 GP638:GQ638 GP636:GQ636 GX643 GX639 GX636 GS636 GS638 GS637 GS639:GS640 GX638 GX637 GX640 GS635 GU635 GW635 GT639:GW639 GT640:GW640 GT637:GW637 GT638:GW638 GT636:GW636 GR639 GR640 GR637 GR638 GR636 ES528:EX528 EV480:EX480 ET480 ES481:EX482 GS494 GY528 GP528:GQ528 ES759:EX765 EX536 EV536 ET536 GY535 GP535:GQ535 ES675:EW675 ET676 EV676 EX675 EX676 ES668:EX668 ES669:EX674 EX635 EV635 ET635 ES522:EX522 ES523:EX523 ES519:EX519 ES520:EX520 ES529:EX529 EX535 EV535 ET535 ES497:EX497 ES498:EX501 ES494:EX494 ES495:EX496 ES489:EX489 ES502:EX502 ES503:EX504 ES412:EX421 GX765:GZ765 GX764:GZ764 GX763:GZ763 GX762:GZ762 GX761:GZ761 GX760:GZ760 GX767:GY782 GX753:GZ753 GX752:GZ752 GX751:GZ751 GX750:GZ750 GX723:GZ723 GX722:GZ722 GX721:GZ721 GX725:GY726 GX727:GZ727 GX706:GZ706 GX705:GZ705 GX704:GZ704 GX708:GY713 GX693:GY698 GX688:GY688 GX684:GZ684 GX686:GY686 GX687:GZ687 GX681:GZ681 GX683:GY683 GX685:GZ685 GX679:GY679 GX673:GZ673 GX677:GY677 GX670:GZ670 GX669:GZ669 GX668:GZ668 GX672:GY672 GX674:GZ674 GX664:GZ664 GX663:GZ663 GX666:GY667 GX671:GZ671 GX656:GZ656 GX655:GZ655 GX654:GZ654 GX653:GZ653 GX652:GZ652 GX658:GY662 GX665:GZ665 GX651:GY651 GX657:GZ657 GX647:GZ647 GX649:GY649 GX650:GZ650 GX645:GY646 GY643 GY639:GZ639 GY636:GZ636 GX630:GZ630 GX632:GY634 GX624:GZ624 GX623:GZ623 GX622:GZ622 GX621:GZ621 GX620:GZ620 GX619:GZ619 GX618:GZ618 GX629:GY629 GX614:GZ614 GY607:GZ607 GY606:GZ606 GY605:GZ605 GX604:GZ604 GX610:GY612 GY601:GZ601 GX597:GZ597 GY599:GZ599 GX593:GZ593 GX592:GZ592 GX591:GZ591 GX595:GY596 GX598:GZ598 GX584:GZ584 GX581:GZ581 GX580:GZ580 GX579:GZ579 GX576:GZ576 GX575:GZ575 GX574:GZ574 GX583:GY583 GX585:GZ585 GX570:GZ570 GX572:GY573 GX577:GZ577 GX569:GY569 GX571:GZ571 GX560:GZ560 GX562:GZ562 GX556:GZ556 GX555:GZ555 GX554:GZ554 GX553:GZ553 GX552:GZ552 GX551:GZ551 GX550:GZ550 GX558:GY559 GX561:GZ561 GX508:GZ508 GX510:GY512 GX505:GZ505 GX504:GZ504 GX503:GZ503 GX502:GZ502 GX501:GZ501 GX500:GZ500 GX507:GY507 GX509:GZ509 GX498:GY499 GX506:GZ506 GX495:GY495 GX487:GZ487 GX481:GZ481 GX478:GZ478 GX484:GY486 GX475:GZ475 GX471:GZ471 GX477:GY477 GX467:GY468 GX465:GY465 GX458:GZ458 GX457:GZ457 GX456:GZ456 GX455:GZ455 GX460:GY460 GX461:GZ461 GX450:GY452 GX756:GZ756 GX736:GZ736 GX733:GZ733 GX731:GZ731 GX724:GZ724 GX719:GZ719 GX717:GZ717 GX513:GZ513 GX514:GY514 GX515:GY515 GX516:GY517 GX831:GY841 GX848:GY849 GX806:GY807 GX810:GY811 GX814:GY815 GX852:GY852 GX866:GY867 GX868:GY903 GX862:GY864 GX865:GY865 GX853:GY856 GX857:GY857 GX816:GY817 GX818:GY818 GX812:GY813 GX808:GY809 GX858:GY858 GX859:GY861 GX850:GY850 GX842:GY847 GX819:GY830 GX851:GY851 GX446:GY446 GX447:GZ447 GX445:GZ445 GX586:GY589 GX488:GZ488 GX613:GZ613 GX749:GZ749 GX747:GY748 GX754:GZ754 GX745:GZ745 GX741:GY741 GX743:GZ743 GX744:GZ744 GX740:GY740 GX742:GZ742 GX707:GZ707 GX617:GY617 GX625:GZ625 GX616:GZ616 GX759:GY759 GX758:GY758 GX766:GZ766 GX783:GY795 GX472:GZ472 GX755:GZ755 GS756 GP756:GQ756 GX735:GZ735 GX734:GZ734 GP734:GS734 GS736 GX732:GZ732 GS733 GP733:GQ733 GX730:GZ730 GX729:GZ729 GP729:GS729 GX728:GZ728 GP728:GS728 GS731 GP731:GQ731 GP732:GS732 GX720:GZ720 GS721:GS727 GP721:GQ727 GP730:GS730 GX718:GZ718 GS719 GP719:GQ719 GP720:GS720 GX716:GZ716 GX715:GZ715 GP715:GS715 GX714:GZ714 GP714:GS714 GS717 GP717:GQ717 GP718:GS718 GX703:GZ703 GX702:GZ702 GP702:GS702 GX701:GZ701 GP701:GS701 GX700:GZ700 GP700:GS700 GS690 GS693:GS698 GP693:GQ698 GS692 GS689 GS687:GS688 GP687:GQ688 GS691 GS679 GP679:GQ679 GS680 GS681:GS683 GP681:GQ683 GS669:GS673 GP669:GQ673 GP674:GS674 GS503:GS509 GP504:GQ509 GS498:GS501 GP498:GQ501 GP502:GS502 GS458:GS461 GP458:GQ461 GP664:GQ667 GP668:GS668 GP645:GQ662 GP663:GS663 GP690:GQ690 GP678:GS678 GS510:GS513 GS514 GS515 GS516:GS517 GX546:GY549 GX557:GZ557 GS831:GS841 GS848:GS849 GS806:GS807 GS810:GS811 GS814:GS815 GS852 GS866:GS867 GS868:GS903 GS862:GS864 GS865 GS853:GS856 GS857 GS816:GS817 GS818 GS812:GS813 GS808:GS809 GS858 GS859:GS861 GS850 GS842:GS847 GS819:GS830 GS851 GS446 GS447 GS445 GS586:GS589 GS484:GS488 GS610:GS614 GS749 GS747:GS748 GS750:GS754 GP750:GQ754 GX567:GY567 GX568:GZ568 GX566:GZ566 GX578:GZ578 GX582:GZ582 GQ579:GV585 EZ634:EZ635 ES634:EX634 ES636:EX667 GQ567:GV567 GS745 GS741 GS743 GS744 GS740 GS742 GP745:GQ745 GY641 GY642:GZ642 GS704:GS713 GP704:GQ713 GP716:GS716 GS617 GS618:GS625 GS616 GY603 GS546:GS549 GP446:GQ446 GP447:GQ447 GP831:GQ841 GP848:GQ849 GP806:GQ807 GP810:GQ811 GP814:GQ815 GP852:GQ852 GS759 GS664:GS667 GN664 GP497:GS497 GP495:GQ496 GP494:GQ494 GP493:GQ493 GS758 GS760:GS782 GS783:GS795 GY638:GZ638 GX648:GZ648 GY635:GZ635 GY644:GZ644 GY675:GZ675 GY637:GZ637 GY640:GZ640 GS626 GS628 GS629:GS634 GS627 GX628:GZ628 GX631:GZ631 GX626:GZ626 GP626:GQ626 GX627:GZ627 GS677 GP677:GQ677 GX692:GZ692 GX699:GZ699 GX689:GZ689 GX690:GZ690 GX680:GY680 GX678:GZ678 GX682:GZ682 GX691:GY691 GP741:GQ741 GP699:GS699 GP617:GQ617 GP758:GQ758 GP759:GQ782 GS493 GX493:GY493 GQ568:GV577 GP546:GQ549 GQ550:GV562 GX496:GZ496 GX497:GZ497 GS495:GS496 GS475:GS477 GS465:GS468 GS483 GS482 GP482:GQ482 GS463 GS451:GS452 GP451:GQ452 GP453:GS453 GS471:GS472 GX463:GZ463 GX453:GZ453 GX466:GZ466 GX482:GZ482 GX476:GZ476 GX479:GZ479 GX483:GY483 GP483:GQ483 GX473:GZ473 GS473 GP473:GQ473 GX448:GZ448 GP448:GS448 GS470 GX470:GZ470 GP470:GQ470 GS455:GS456 GP455:GQ456 GX459:GZ459 GS645:GS662 GX440:GZ440 GX438:GZ438 GX442:GY442 GX435:GY437 GX431:GZ431 GX433:GY433 GX434:GZ434 GX429:GY429 GX425:GZ425 GX422:GZ422 GX420:GZ420 GX427:GY427 GX428:GZ428 GX415:GZ415 GX417:GY417 GX413:GY413 GX414:GZ414 GY531:GY534 GX523:GY525 GX444:GZ444 GX441:GZ441 GX432:GZ432 GX426:GZ426 GX423:GZ423 GX418:GY419 GX412:GZ412 GX738:GY738 GX757:GY757 GX540:GY540 GX746:GY746 GX491:GY491 GX615:GZ615 GX518:GY518 GX805:GY805 GX796:GY797 GX798:GY804 GX609:GY609 GX739:GY739 GX737:GY737 GX536:GY536 GY529:GY530 GP531:GQ534 GP536:GS536 GX526:GY527 GP529:GQ530 GX519:GY520 GS523:GS525 GP523:GQ525 GP526:GS527 GX490:GZ490 GX443:GZ443 GS444 GP444:GQ444 GX439:GZ439 GS440:GS442 GP440:GQ442 GP443:GS443 GX430:GZ430 GS431:GS437 GP431:GQ437 GP438:GS439 GX424:GZ424 GS425:GS429 GP425:GQ429 GP430:GS430 GX421:GZ421 GS422:GS423 GP422:GQ423 GX416:GZ416 GS418:GS419 GP418:GQ419 GP420:GS421 GS412:GS414 GP412:GQ414 GP415:GS417 GP609:GQ609 GP490:GS490 GP491:GQ491 GQ539 GP615:GQ615 GP424:GS424 GP746:GQ746 GP757:GQ757 GP738:GQ738 GP739:GS739 GP737:GS737 GS738 ES738:EX738 ES739:EX739 GS757 GS539:GS540 GS746 GS491 GS615 GS518 GP518:GQ518 GX564:GY565 GX563:GZ563 GQ564:GV565 GQ563:GV563 GS676 GS675 GQ692 GP703:GS703 GP689:GQ689 GP743:GQ743 GP744:GQ744 GP740:GQ740 GP742:GQ742 GP736:GQ736 GS604 GS591:GS598 GS590 GY608:GZ608 GY600:GZ600 GY602:GZ602 GX594:GZ594 GX590:GZ590 GP600:GQ600 GP601:GQ602 GP603:GQ608 GP591:GQ599 GP590:GQ590 ES590:EX590 GP628:GQ628 GP629:GQ634 GP618:GQ625 GP627:GQ627 ES860:EX860 ES861:EX903 ES843:EX843 ES844:EX845 ES824:EX825 ES826:EX842 ES813:EX813 ES814:EX816 ES581:EX581 ES505:EX505 ES822:EX822 ES819:EX819 GX494:GZ494 GP510:GQ513 GX676:GZ676 GP676:GQ676 ES850:EX850 ES846:EX846 ES847:EX849 ES820:EX821 ES823:EX823 ES817:EX817 ES818:EX818 ES806:EX806 ES622:EX622 ES623:EX624 GN690 ES743:EX743 ES744:EX745 ES625:EX625 ES626:EX626 ES627:EX627 ES628:EX633 GP537:GQ537 ES616:EX616 ES576:EX578 ES579:EX580 ES574:EX574 ES575:EX575 ES613:EX613 ES614:EX614 ES582:EX582 ES583:EX589 ES506:EX506 ES507:EX513 GS805 GQ566:GV566 ES566:EX566 GN758 GP492:GQ492 GP866:GQ867 GP868:GQ903 GP862:GQ864 GP865:GQ865 GP853:GQ856 GP857:GQ857 GP816:GQ817 GP818:GQ818 GP812:GQ813 GP808:GQ809 GP858:GQ858 GP859:GQ861 GP850:GQ850 GP842:GQ847 GP819:GQ830 GP783:GQ795 GS492 GX492:GZ492 GP749:GQ749 GP735:GS735 ES734:EX735 GP680:GQ680 GQ675 GX489:GZ489 GP489:GS489 GX469:GZ469 GS469 GP469:GQ469 GP471:GQ472 GQ578:GV578 GP586:GQ589 GX480:GZ480 GX474:GZ474 GP480:GS480 GP481:GS481 GP474:GS474 GP475:GQ477 GX462:GZ462 GP462:GS462 GP463:GQ463 GX449:GZ449 GP449:GS449 GP450:GS450 GX454:GZ454 GP454:GS454 GP457:GS457 GX464:GZ464 GP464:GS464 GP465:GQ468 GP478:GS478 GP484:GQ488 ES483:EX484 GP445:GQ445 ES445:EX477 ES567:EX573 ES591:EX598 GP514:GQ514 ES493:EX493 GP610:GQ614 ES610:EX612 ES766:EX795 GN678 ES677:EX679 ES680:EX680 GP684:GS686 ES681:EX689 ES690:EX690 GP747:GQ748 ES747:EX748 GP691:GQ691 ES691:EX733 ES736:EX736 GP616:GQ616 ES617:EX621 GP755:GS755 ES750:EX756 GS796:GS797 GS798:GS804 GP798:GQ804 GP796:GQ797 GP851:GQ851 ES851:EX851 ES852:EX859 GP515:GQ515 ES546:EX562 ES563:EX565 GS537 GX537:GY537 GP516:GQ517 ES516:EX517 ES514:EX514 ES515:EX515 ES479:EX479 ES490:EX490 ES740:EX740 ES422:EX444 ES491:EX491 ES492:EX492 GP519:GS520 ES518:EX518 ES537:EX537 ES540:EX540 GP805:GQ805 ES796:EX805 ES807:EX812 GS609 ES609:EX609 ES615:EX615 ES746:EX746 ES749:EX749 ES757:EX757 ES758:EX758 ES737:EX737 ES741:EX742 GZ737:HB739 GZ757:HB757 GZ746:HB746 GR609 EY796:GL805 GZ539:HB540 EY518:GO528 GZ491:HB491 EY412:GM421 GJ740 GH478:GH482 GF478:GF482 GZ514 GM516:GM517 GZ537 GV537 GT537 GR537 GM546:GM562 GM515:GN515 GZ518:HB528 GM851:GN851 GM852:GM903 GM806:GM850 GM796:GN797 GR796:GR804 GM750:GM756 GM616:GM674 GM691:GM733 GM747:GM748 GM681:GM689 GM676:GM679 GM759:GM795 GM610:GM614 GM493:GM514 GM567:GM589 GM445:GM489 GV464 GT464 GV454 GV449 GV462 GT454 GT449 GT462 GT474 GT480 GV474 GV480 GO578 GR469 GT469 GV469 GV489 GT489 GM675:GN675 GM680:GN680 GM734:GN735 HI635:HM638 GM749:GN749 GV492 GT492 GR492 GO783:GO797 GO819:GO830 GO842:GO847 GO850:GO851 GO858 GO808:GO809 GO812:GO813 GO816:GO817 GO853:GO856 GO862:GO864 GO866:GO867 GN412:GO421 GL492:GN492 GJ492 GL758:GM758 GL566:GN566 GJ566 FB566 FB492 GR805 FB506 FB582 FR613 GF574 FV478:FV482 GF576:GF578 FR616 GJ537 GL537:GN537 FB627 FR625 GB743 GL690:GM690 FR622 GD806 FB817 FD820:GD821 FT846 FX850:GD850 GV676 GT676 GV494 FD627 FF627 FH627 FJ627 FL627 FN627 FP627 FR627 FT627 FV627 FX627 FZ627 GB627 GD627 GF627 GH627 FT616 FV616 FX616 FZ616 GB616 GD616 FD819 FF819 FH819 FJ819 FL819 FN819 FP819 FR819 FT819 FV819 FX819 FZ819 GB819 GD819 GF819 GH819 FD822 FF822 FH822 FJ822 FL822 FN822 FP822 FR822 FT822 FV822 FX822 FZ822 GB822 GD822 GF822 GH822 GD478:GD482 GB478:GB482 FZ478:FZ482 FX478:FX482 FD492 FF492 FH492 FJ492 FL492 FN492 FP492 FR492 FT492 FV492 FX492 FZ492 GB492 GD492 GF492 GH492 FD505:FD506 FF505:FF506 FH505:FH506 FJ505:FJ506 FL505:FL506 FN505:FN506 FP505:FP506 FR505:FR506 FT505:FT506 FV505:FV506 FX505:FX506 FZ505:FZ506 GB505:GB506 GD505:GD506 GF505:GF506 GH505:GH506 GF566 GD566 GB566 FZ566 FX566 FV566 FT566 FR566 FP566 FN566 FL566 FJ566 FH566 FF566 FD566 FD581:FD582 FF581:FF582 FH581:FH582 FJ581:FJ582 FL581:FL582 FN581:FN582 FP581:FP582 FR581:FR582 FT581:FT582 FV581:FV582 FX581:FX582 FZ581:FZ582 GB581:GB582 GD581:GD582 GF581:GF582 GH581:GH582 GF622 GD622 FZ622 FX622 FV622 FT622 FZ613 FX613 FV613 FT613 FX625 FV625 FT625 GF806 GH806 FD813 FF813 FH813 FJ813 FL813 FN813 FP813 FR813 FT813 FV813 FX813 FZ813 GB813 GD813 GI813 GD817 GB817 FZ817 FX817 FV817 FT817 FR817 FP817 FN817 FL817 FJ817 FH817 FF817 FD817 FC824:GD825 FA843:FB843 GD843 GB843 FZ843 FX843 FV843 FT843 FR843 FP843 FN843 FL843 FJ843 FH843 FF843 FD843 GD846 GB846 FZ846 FX846 FV846 FA860:FF860 FZ860 FX860 FV860 FT860 FR860 FP860 FN860 FL860 FJ860 FH860 GH576:GH578 GH574 GH566 GH622 GN618:GN626 GN628 GM590:GO590 GK590:GL598 GM591:GN608 GJ590:GJ598 GO591:GO602 GL606:GL608 GU590:GU598 GV590:GV598 GT590:GT598 GR590:GR598 GM736 GM740:GM745 GN689 GN692 GR676 EY563:GO565 GZ564:HB565 GW563:GW565 GR518 GR615 GR491 GR746 GR540 GR757 GR738 EY737:GO739 EY757:GO757 EY746:GO746 EY422:GO444 EY615:GO615 EY540:GO540 EY490:GO491 GM798:GO805 EY609:GO609 GR412:GR414 GR418:GR419 GT415:GW417 GR422:GR423 GT420:GW421 GR425:GR429 GT424:GW424 GR431:GR437 GT430:GW430 GR440:GR442 GT438:GW439 GR444 GT443:GW443 GT490:GW490 GR523:GR525 GT519:GW520 GT526:GW527 GT536:GW536 GT737:GW737 GT739:GW739 GT609:GV609 GT796:GV804 GT805:GW805 GT518:GW518 GT615:GW615 GT491:GW491 GT746:GW746 GT540:GW540 GT757:GW757 GT738:GW738 GT412:GW414 GT418:GW419 GT422:GW423 GT425:GW429 GT431:GW437 GT440:GW442 GT444:GW444 GT523:GW525 GZ413:HB413 HA412:HB412 GZ417:HB419 HA414:HB414 HA415:HB415 HA416:HB416 GZ427:HB427 HA420:HB420 HA421:HB421 HA422:HB422 HA423:HB423 HA424:HB424 HA425:HB425 HA426:HB426 GZ429:HB429 HA428:HB428 GZ433:HB433 HA430:HB430 HA431:HB431 HA432:HB432 GZ435:HB437 HA434:HB434 GZ442:HB442 HA438:HB438 HA439:HB439 HA440:HB440 HA441:HB441 HA444:HB444 HA443:HB443 HA490:HB490 HA563:HB563 HA615:HB615 GZ805:HB805 GW796:GW797 GW609 GU675 GO692 GO689 GN741:GO741 GN736:GO736 GU604 GW597 GW595:GW596 GW593 GO604:GO605 GO606:GO608 GO603 GK606:GK608 GO628 GO626 GI622:GL622 GI566 GI574:GL574 GI578:GL578 GI576:GL577 FI860 FK860 FM860 FO860 FQ860 FS860 FU860 FW860 FY860 GA860:GL860 FG860 FW846 FY846 GA846 GC846 GE846:GL846 FE843 FG843 FI843 FK843 FM843 FO843 FQ843 FS843 FU843 FW843 FY843 GA843 GC843 GE843:GL843 FC843 GE824:GL825 FE817 FG817 FI817 FK817 FM817 FO817 FQ817 FS817 FU817 FW817 FY817 GA817 GC817 GE817:GL817 GJ813:GL813 GE813:GH813 GC813 GA813 FY813 FW813 FU813 FS813 FQ813 FO813 FM813 FK813 FI813 FG813 FE813 GI806:GL806 GG806 FU625 FW625 FY625:GL625 FU613 FW613 FY613 GA613:GL613 FU622 FW622 FY622 GA622:GC622 GE622 GG622 GI581:GL582 GG581:GG582 GE581:GE582 GC581:GC582 GA581:GA582 FY581:FY582 FW581:FW582 FU581:FU582 FS581:FS582 FQ581:FQ582 FO581:FO582 FM581:FM582 FK581:FK582 FI581:FI582 FG581:FG582 FE581:FE582 FE566 FG566 FI566 FK566 FM566 FO566 FQ566 FS566 FU566 FW566 FY566 GA566 GC566 GE566 GG566 GI505:GL506 GG505:GG506 GE505:GE506 GC505:GC506 GA505:GA506 FY505:FY506 FW505:FW506 FU505:FU506 FS505:FS506 FQ505:FQ506 FO505:FO506 FM505:FM506 FK505:FK506 FI505:FI506 FG505:FG506 FE505:FE506 GI492 GG492 GE492 GC492 GA492 FY492 FW492 FU492 FS492 FQ492 FO492 FM492 FK492 FI492 FG492 FE492 FY480:FY482 FY478:FY479 GA480:GA482 GA478:GA479 GC480:GC482 GC478:GC479 GE481:GE482 GE478:GE479 GI822:GL822 GG822 GE822 GC822 GA822 FY822 FW822 FU822 FS822 FQ822 FO822 FM822 FK822 FI822 FG822 FE822 GI819:GL819 GG819 GE819 GC819 GA819 FY819 FW819 FU819 FS819 FQ819 FO819 FM819 FK819 FI819 FG819 FE819 GE616:GL616 GC616 GA616 FY616 FW616 FU616 GI627:GL627 GG627 GE627 GC627 GA627 FY627 FW627 FU627 FS627 FQ627 FO627 FM627 FK627 FI627 FG627 FE627 GW494 GU494 GU676 GW676 GE850:GL850 FU846 GE820:GL821 FC817 GE806 FS622 GO690 GC743:GL743 FS625 FC627 GO537 GK537 FS616 GG578 GG576:GG577 FW478:FW479 FW480:FW482 GG574 FS613 FC582 FC506 FC492 FC566 GK566 GO566 GO758 GK492 GO492 GR866:GR867 GR862:GR864 GR853:GR856 GR817 GR816 GR812 GR813 GR808:GR809 GR858 GR851 GR850 GR847 GR846 GR844:GR845 GR843 GR842 GR826:GR830 GR824:GR825 GR823 GR822 GR819 GR820:GR821 GR783:GR795 GU492 GW492 HI600:KJ600 GO749 HN638:KJ638 HN636:KJ637 HN635:KJ635 GO734 GO680 GO675 GU489 GW489 GW469 GU469 GW578 GE480 GW480 GW474 GU480 GU474 GU462 GU449 GU454 GW462 GW449 GW454 GU464 GW464 GN445:GO445 GN446:GO446 GN454:GO454 GN459:GO459 GN489:GO489 GN474:GO474 GN469:GO469 GN449:GO449 GN455:GO456 GN451:GO452 GN460:GO461 GN475:GO477 GN470:GO470 GN483:GO483 GN482:GO482 GN478:GO479 GN480:GO480 GN463:GO463 GN462:GO462 GN465:GO468 GN464:GO464 GN579:GO580 GN567:GO567 GN575:GO575 GN574:GO574 GN578 GN576:GO577 GN583:GO585 GN581:GO582 GN493:GO493 GN498:GO501 GN494:GO494 GN507:GO509 GN505:GO506 GN610:GO612 GN614:GO614 GN613:GO613 GN759:GO782 GN783:GN795 GN676:GO676 GN677:GO677 GN681:GO681 GN747:GO748 GN719:GO719 GN701:GO701 GN724:GO724 GN715:GO715 GN714:GO714 GN717:GO717 GN729:GO729 GN731:GO731 GN721:GO723 GN704:GO704 GN702:GO702 GN705:GO713 GN725:GO727 GN733:GO733 GN732:GO732 GN693:GO698 GN691:GO691 GN663:GO663 GN668:GO668 GN669:GO673 GN665:GO667 GN646:GO662 GN617:GO617 GN633:GO633 GN645:GO645 GN634:GO634 GN629:GO632 GN616:GO616 GN627:GO627 GN750:GO754 GN807:GO807 GN848:GO849 GN846 GN844:GN845 GN843 GN831:GO841 GN824:GN825 GN818:GO818 GN817 GN814:GO815 GN813 GN806:GO806 GN823 GN822 GN819 GN850 GN820:GN821 GN816 GN812 GN810:GO811 GN808:GN809 GN847 GN842 GN826:GN830 GN861:GO861 GN860:GO860 GN852:GO852 GN868:GO903 GN866:GN867 GN865:GO865 GN862:GN864 GN857:GO857 GN853:GN856 GN859:GO859 GN858 GO515 GN546:GO549 GU537 GW537 HA537:HB537 GN516:GO517 GN514:GO514 HA514:HB514 GG481:GG482 GG478:GG479 GG480 GI481:GL482 GI478:GL479 GI480:GL480 GK740:GL740 EY741:GL742 EY758:GK758 EY749:GL749 EY807:GL807 EY812:GL812 EY810:GL811 EY808:GL809 EY537:GI537 EY492:FA492 EY740:GI740 EY478:FU479 EY480:FU482 EY515:GL515 EY514:GL514 EY516:GL517 GR516:GR517 EY546:GL562 GR515 EY852:GL852 EY857:GL857 EY853:GL856 EY859:GL859 EY858:GL858 EY851:GL851 EY750:GL756 GN756:GO756 GN755:GO755 GT755:GW755 EY675:GL675 EY617:GL617 EY618:GL621 GR616 EY736:GL736 EY719:GL719 EY699:GL701 EY724:GL724 EY715:GL715 EY714:GL714 EY716:GL718 EY728:GL729 EY730:GL731 EY720:GL723 EY704:GL704 EY702:GL703 EY705:GL713 EY725:GL727 EY733:GL733 EY732:GL732 EY693:GL698 EY692:GL692 EY691:GL691 GR691 EY747:GL748 GR747:GR748 EY690:GK690 EY689:GL689 EY681:GL688 GN688:GO688 GN684:GO686 GT684:GW684 EY680:GL680 EY676:GL676 EY677:GL679 GN679:GO679 GO678 EY759:GL782 EY783:GL795 EY610:GL612 GR610:GR612 GR614 GR613 EY493:GL493 EY495:GL504 EY494:GL494 GR514 EY597:GI598 EY594:GI596 EY591:GI593 EY567:GL573 EY445:GL445 EY446:GL448 EY454:GL454 EY459:GL459 EY474:GL474 EY469:GL469 EY449:GL449 EY455:GL458 EY450:GL453 EY460:GL461 EY475:GL477 EY470:GL473 EY463:GL463 EY462:GL462 EY465:GL468 EY464:GL464 GR445 EY489:GL489 EY483:GL488 GN484:GO488 GR484:GR488 GT478:GW478 GR465 HA464:HB464 GN458:GO458 GN457:GO457 GT457:GW457 HA454:HB454 GN450:GO450 GT450:GW450 HA449:HB449 GR463 HA462:HB462 GR475 GN481:GO481 GT481:GW481 HA474:HB474 HA480:HB480 GN586:GO589 GR586:GR589 GN473:GO473 GN471:GO472 GR471:GR472 HA469:HB469 HA541:HB541 HA489:HB489 GR680 EY734:GL735 GO735 GT735:GW735 GR749 EY606:GI608 HA492:HB492 GR861 GR860 GR859 GR818 GR857 GR865 GR868:GR903 EY566:FA566 GW566 EY507:GL513 EY506:FA506 EY583:GL589 EY582:FA582 EY614:GL614 EY613:FQ613 EY575:GL575 EY574:GE574 EY579:GL580 EY578:GE578 EY576:GE577 EY616:FQ616 EY633:GL633 EY629:GL632 EY628:GL628 EY627:FA627 EY626:GK626 EY625:FQ625 EY744:GL745 EY743:GA743 EY623:GL624 EY622:FQ622 EY806:GC806 EY818:GL818 EY817:FA817 EY823:GL823 EY820:FC821 EY848:GL849 EY847:GL847 EY846:FS846 EY850:FW850 HA676:HB676 GN510:GO513 GR510:GR513 HA494:HB494 EY819:FC819 EY822:FC822 EY505:FC505 EY581:FC581 EY814:GL815 EY816:GL816 EY813:FC813 EY831:GL841 EY842:GL842 EY826:GL830 EY824:FB825 EY844:GL845 EY843:EZ843 EY861:GL861 EY868:GL903 EY866:GL867 EY865:GL865 EY862:GL864 EY860:EZ860 GR627 GO618:GO625 GR618:GR625 GR633 GR634 GR629:GR630 GR628 EY590:GI590 GW590 HA590:HB590 GW594 HA594:HB594 HA602:HB602 HA600:HB600 HA608:HB608 GR736 GN743:GO743 GN742:GO742 GR742 GN740:GO740 GR740 GN745:GO745 GN744:GO744 GR744 GR743 GR689 GN703:GO703 GT703:GW703 GR692 GZ609:HB609 GW798:GW804 GZ798:HB804 GZ796:HB797 GT647:GW647 GT645:GW645 HA459:HB459 GR455:GR456 GT456:GW456 GR470 HA470:HB470 GT470:GW470 GN448:GO448 GT448:GW448 HA448:HB448 GR473 GT473:GW473 HA473:HB473 GR483 GZ483:HB483 GT479:GW479 HA479:HB479 GR477 GR476 HA476:HB476 HA482:HB482 GR467:GR468 GR466 HA466:HB466 GN453:GO453 HA453:HB453 HA463:HB463 GT471:GW471 GT453:GW453 GR451:GR452 GT451:GW452 GT463:GW463 GR482 GT482:GW482 GT483:GW483 GT465:GW465 GT467:GW468 GT466:GW466 GT475:GW475 GT477:GW477 GT476:GW476 GN495:GO496 GT495:GW495 GN497:GO497 HA497:HB497 GT496:GW496 HA496:HB496 GN550:GO562 GW556 GR546:GR549 GN568:GO573 GW570 GW575 GW574 GW576 GZ493:HB493 GT493:GW493 GR759 GR758 GR617 GN699:GO699 GT699:GW699 GR741 GZ691:HB691 GN683:GO683 GO682 HA682:HB682 HA678:HB678 GZ680:HB680 HA690:HB690 HA689:HB689 HA699:HB699 HA692:HB692 GR677 GT677:GW677 HA627:HB627 GR626 HA626:HB626 GR632 GR631 HA631:HB631 HA628:HB628 GT627:GW627 GT633:GW633 GT634:GW634 GT630:GW630 GT632:GW632 GT631:GW631 GT628:GW628 GT626:GW626 HA640:HB640 HA637:HB637 HA675:HB675 HA644:HB644 HA635:HB635 GT649:GW649 GT648:GW648 HA648:HB648 HA638:HB638 GT783:GW795 GR760:GR782 GT765:GW765 GT758:GW758 GR493 GR495:GR496 GT497:GW497 GO664 GT666:GW667 GT664:GW664 GT759:GW759 GR852 GR814:GR815 GR810:GR811 GR807 GR806 GR848:GR849 GR831:GR841 GN447:GO447 GR447 GR446 GT546:GW549 GZ603:HB603 GT616:GW616 GT624:GW624 GT617:GW617 GN716:GO716 GT716:GW716 GR704 GR705:GR713 GT704:GW704 GT706:GW706 HA642:HB642 GZ641:HB641 GR745 GT742:GW742 GT740:GW740 GT744:GW744 GT743:GW743 GT741:GW741 GT745:GW745 GW567 GW675 EY663:GL663 EY668:GL668 EY644:GL644 EY669:GL674 EY664:GL667 EY646:GL662 EY645:GL645 EY639:GL641 EY636:GL637 EY638:GL638 EY634 EY635 FA634:GL634 FA635:GL635 GW580 GW584 GW581 GW582 HA582:HB582 HA578:HB578 HA566:HB566 GW568 HA568:HB568 GZ567:HB567 GR750:GR754 GT753:GW753 GT747:GW748 GT749:GW749 GT610:GW612 GT614:GW614 GT613:GW613 GT487:GW487 GT586:GW589 GT445:GW445 GT447:GW447 GT446:GW446 GT851:GW851 GT826:GW830 GT824:GW825 GT823:GW823 GT822:GW822 GT819:GW819 GT820:GW821 GT847:GW847 GT846:GW846 GT844:GW845 GT843:GW843 GT842:GW842 GT850:GW850 GT861:GW861 GT860:GW860 GT859:GW859 GT858:GW858 GT808:GW809 GT812:GW812 GT813:GW813 GT818:GW818 GT817:GW817 GT816:GW816 GT857:GW857 GT853:GW856 GT865:GW865 GT862:GW864 GT868:GW903 GT866:GW867 GT852:GW852 GT814:GW815 GT810:GW811 GT807:GW807 GT806:GW806 GT848:GW849 GT831:GW841 GW560 GW557 HA557:HB557 HA545:HB545 GZ546:HB549 GT516:GW517 GT515:GW515 GT514:GW514 GT510:GW512 GT678:GW678 GR690 GT663:GW663 GR646:GR662 GR645 GT668:GW668 GR665:GR667 GR664 GR459 GR460:GR461 GR458 GT459:GW459 GT460:GW460 GT458:GW458 GN503:GO504 GN502:GO502 GT502:GW502 GR498:GR501 GT501:GW501 GR507:GR509 GR505:GR506 GR503:GR504 GT508:GW508 GT505:GW505 GT504:GW504 GN674:GO674 GT674:GW674 GR669:GR673 GT670:GW670 GR681 GR683 GR682 GT681:GW681 GT683:GW683 GT682:GW682 GT680:GW680 GT679:GW679 GT691:GW691 GR687:GR688 GT688:GW688 GT689:GW689 GT692:GW692 GR693:GR698 GT693:GW698 GT690:GW690 GN700:GO700 GT700:GW700 HA700:HB700 GT701:GW701 HA701:HB701 GT702:GW702 HA702:HB702 HA703:HB703 GN718:GO718 GT718:GW718 GR717 GT717:GW717 GT714:GW714 HA714:HB714 GT715:GW715 HA715:HB715 HA716:HB716 GN720:GO720 GT720:GW720 GR719 GT719:GW719 HA718:HB718 GN730:GO730 GT730:GW730 GR724 GR721:GR723 GR725:GR727 GT724:GW724 GT723:GW723 GT725:GW726 HA720:HB720 GT732:GW732 GR731 GT731:GW731 GN728:GO728 GT728:GW728 HA728:HB728 GT729:GW729 HA729:HB729 HA730:HB730 GR733 GT733:GW733 HA732:HB732 GT736:GW736 GT734:GW734 HA734:HB734 HA735:HB735 GR756 GT756:GW756 HA755:HB755 GT472:GW472 HA472:HB472 GZ783:HB795 GT767:GW782 GT766:GW766 HA766:HB766 GZ758:HB758 GZ759:HB759 HA616:HB616 GT625:GW625 HA625:HB625 GZ617:HB617 GT708:GW713 GT707:GW707 HA707:HB707 HA742:HB742 GZ740:HB740 HA744:HB744 HA743:HB743 GZ741:HB741 HA745:HB745 GT754:GW754 HA754:HB754 GZ747:HB748 HA749:HB749 HA613:HB613 GT488:GW488 HA488:HB488 GZ586:HB589 HA445:HB445 HA447:HB447 GZ446:HB446 GZ851:HB851 GZ826:HB830 GZ824:HB825 GZ823:HB823 GZ822:HB822 GZ819:HB819 GZ820:HB821 GZ847:HB847 GZ846:HB846 GZ844:HB845 GZ843:HB843 GZ842:HB842 GZ850:HB850 GZ861:HB861 GZ860:HB860 GZ859:HB859 GZ858:HB858 GZ808:HB809 GZ812:HB812 GZ813:HB813 GZ818:HB818 GZ817:HB817 GZ816:HB816 GZ857:HB857 GZ853:HB856 GZ865:HB865 GZ862:HB864 GZ868:HB903 GZ866:HB867 GZ852:HB852 GZ814:HB815 GZ810:HB811 GZ807:HB807 GZ806:HB806 GZ848:HB849 GZ831:HB841 GZ516:HB517 GZ515:HB515 GT513:GW513 HA513:HB513 HA717:HB717 HA719:HB719 HA724:HB724 HA731:HB731 HA733:HB733 HA736:HB736 HA756:HB756 GZ450:HB450 GZ451:HB452 GT461:GW461 HA461:HB461 GZ460:HB460 GT455:GW455 HA455:HB455 HA456:HB456 HA457:HB457 HA458:HB458 GZ465:HB465 GZ467:HB468 GZ477:HB477 HA471:HB471 HA475:HB475 GT484:GW486 GZ484:HB486 HA478:HB478 HA481:HB481 HA487:HB487 GZ495:HB495 GT506:GW506 HA506:HB506 GT498:GW499 GZ498:HB499 GT509:GW509 HA509:HB509 GT507:GW507 GZ507:HB507 GT500:GW500 HA500:HB500 HA501:HB501 HA502:HB502 GT503:GW503 HA503:HB503 HA504:HB504 HA505:HB505 GZ510:HB512 HA508:HB508 HA542:HB542 HA543:HB543 HA544:HB544 GW562 GW561 HA561:HB561 GW558:GW559 GZ558:HB559 GW550 HA550:HB550 GW551 HA551:HB551 GW552 HA552:HB552 GW553 HA553:HB553 GW554 HA554:HB554 GW555 HA555:HB555 HA556:HB556 HA562:HB562 HA560:HB560 GW572:GW573 GW571 HA571:HB571 GW569 GZ569:HB569 GW577 HA577:HB577 GZ572:HB573 HA570:HB570 GW585 HA585:HB585 GW583 GZ583:HB583 HA574:HB574 HA575:HB575 HA576:HB576 GW579 HA579:HB579 HA580:HB580 HA581:HB581 HA584:HB584 GW598 HA598:HB598 GZ595:HB596 GW591 HA591:HB591 GW592 HA592:HB592 HA593:HB593 HA599:HB599 HA597:HB597 HA601:HB601 GZ610:HB612 GW604 HA604:HB604 HA605:HB605 HA606:HB606 HA607:HB607 HA614:HB614 GT629:GW629 GZ629:HB629 GT618:GW618 HA618:HB618 GT619:GW619 HA619:HB619 GT620:GW620 HA620:HB620 GT621:GW621 HA621:HB621 GT622:GW622 HA622:HB622 GT623:GW623 HA623:HB623 HA624:HB624 GZ633:HB633 GZ634:HB634 GZ632:HB632 HA630:HB630 HA636:HB636 HA639:HB639 GZ643:HB643 GT646:GW646 GZ646:HB646 GZ645:HB645 GT656:GW656 GT650:GW650 HA650:HB650 GZ649:HB649 HA647:HB647 GT658:GW662 GT657:GW657 HA657:HB657 GT651:GW651 GZ651:HB651 GT665:GW665 HA665:HB665 GZ658:HB662 GT652:GW652 HA652:HB652 GT653:GW653 HA653:HB653 GT654:GW654 HA654:HB654 GT655:GW655 HA655:HB655 HA656:HB656 GT673:GW673 GT671:GW671 HA671:HB671 GZ666:HB667 HA663:HB663 HA664:HB664 HA674:HB674 GT672:GW672 GZ672:HB672 HA668:HB668 GT669:GW669 HA669:HB669 HA670:HB670 GZ677:HB677 HA673:HB673 GZ679:HB679 GT686:GW686 GT685:GW685 HA685:HB685 GZ683:HB683 HA681:HB681 GT687:GW687 HA687:HB687 GZ686:HB686 HA684:HB684 GZ688:HB688 GZ693:HB698 GZ708:HB713 HA704:HB704 GT705:GW705 HA705:HB705 HA706:HB706 GT727:GW727 HA727:HB727 GZ725:HB726 GT721:GW721 HA721:HB721 GT722:GW722 HA722:HB722 HA723:HB723 GT750:GW750 HA750:HB750 GT751:GW751 HA751:HB751 GT752:GW752 HA752:HB752 HA753:HB753 GZ767:HB782 GT760:GW760 HA760:HB760 GT761:GW761 HA761:HB761 GT762:GW762 HA762:HB762 GT763:GW763 HA763:HB763 GT764:GW764 HA764:HB764 HA765:HB765 GQ503 ES525:EX525 ES524:EX524 ED635 EB635 EN638 EJ638 EL638 EN636:EN637 EL636:EL637 EJ636:EJ637 EG691:EG698 EO412 EQ733 HI529:KJ536 HI737:KJ739 HI757:KJ757 HI746:KJ746 HI539:KJ540 HI491:KJ491 HI518:KJ528 HI564:KJ565 HI413:KJ413 HI412:KJ412 HI417:KJ419 HI414:KJ414 HI415:KJ415 HI416:KJ416 HI427:KJ427 HI420:KJ420 HI421:KJ421 HI422:KJ422 HI423:KJ423 HI424:KJ424 HI425:KJ425 HI426:KJ426 HI429:KJ429 HI428:KJ428 HI433:KJ433 HI430:KJ430 HI431:KJ431 HI432:KJ432 HI435:KJ437 HI434:KJ434 HI442:KJ442 HI438:KJ438 HI439:KJ439 HI440:KJ440 HI441:KJ441 HI444:KJ444 HI443:KJ443 HI490:KJ490 HI563:KJ563 HI615:KJ615 HI805:KJ805 HI537:KJ537 HI514:KJ514 HI464:KJ464 HI454:KJ454 HI449:KJ449 HI462:KJ462 HI474:KJ474 HI480:KJ480 HI469:KJ469 HI541:KJ541 HI489:KJ489 HI492:KJ492 HI676:KJ676 HI494:KJ494 HI590:KJ590 HI594:KJ594 HI602:KJ602 HI608:KJ608 HI609:KJ609 HI798:KJ804 HI796:KJ797 HI459:KJ459 HI470:KJ470 HI448:KJ448 HI473:KJ473 HI483:KJ483 HI479:KJ479 HI476:KJ476 HI482:KJ482 HI466:KJ466 HI453:KJ453 HI463:KJ463 HI497:KJ497 HI496:KJ496 HI493:KJ493 HI691:KJ691 HI682:KJ682 HI678:KJ678 HI680:KJ680 HI690:KJ690 HI689:KJ689 HI699:KJ699 HI692:KJ692 HI627:KJ627 HI626:KJ626 HI631:KJ631 HI628:KJ628 HI640:KJ640 HI675:KJ675 HI644:KJ644 HI648:KJ648 HI603:KJ603 HI642:KJ642 HI641:KJ641 HI582:KJ582 HI578:KJ578 HI566:KJ566 HI568:KJ568 HI567:KJ567 HI557:KJ557 HI545:KJ545 HI546:KJ549 HI700:KJ700 HI701:KJ701 HI702:KJ702 HI703:KJ703 HI714:KJ714 HI715:KJ715 HI716:KJ716 HI718:KJ718 HI720:KJ720 HI728:KJ728 HI729:KJ729 HI730:KJ730 HI732:KJ732 HI734:KJ734 HI735:KJ735 HI755:KJ755 HI472:KJ472 HI783:KJ795 HI766:KJ766 HI758:KJ758 HI759:KJ759 HI616:KJ616 HI625:KJ625 HI617:KJ617 HI707:KJ707 HI742:KJ742 HI740:KJ740 HI744:KJ744 HI743:KJ743 HI741:KJ741 HI745:KJ745 HI754:KJ754 HI747:KJ748 HI749:KJ749 HI613:KJ613 HI488:KJ488 HI586:KJ589 HI445:KJ445 HI447:KJ447 HI446:KJ446 HI851:KJ851 HI826:KJ830 HI824:KJ825 HI823:KJ823 HI822:KJ822 HI819:KJ819 HI820:KJ821 HI847:KJ847 HI846:KJ846 HI844:KJ845 HI843:KJ843 HI842:KJ842 HI850:KJ850 HI861:KJ861 HI860:KJ860 HI859:KJ859 HI858:KJ858 HI808:KJ809 HI812:KJ812 HI813:KJ813 HI818:KJ818 HI817:KJ817 HI816:KJ816 HI857:KJ857 HI853:KJ856 HI865:KJ865 HI862:KJ864 HI868:KJ903 HI866:KJ867 HI852:KJ852 HI814:KJ815 HI810:KJ811 HI807:KJ807 HI806:KJ806 HI848:KJ849 HI831:KJ841 HI516:KJ517 HI515:KJ515 HI513:KJ513 HI717:KJ717 HI719:KJ719 HI724:KJ724 HI731:KJ731 HI733:KJ733 HI736:KJ736 HI756:KJ756 HI450:KJ450 HI451:KJ452 HI461:KJ461 HI460:KJ460 HI455:KJ455 HI456:KJ456 HI457:KJ457 HI458:KJ458 HI465:KJ465 HI467:KJ468 HI477:KJ477 HI471:KJ471 HI475:KJ475 HI484:KJ486 HI478:KJ478 HI481:KJ481 HI487:KJ487 HI495:KJ495 HI506:KJ506 HI498:KJ499 HI509:KJ509 HI507:KJ507 HI500:KJ500 HI501:KJ501 HI502:KJ502 HI503:KJ503 HI504:KJ504 HI505:KJ505 HI510:KJ512 HI508:KJ508 HI542:KJ542 HI543:KJ543 HI544:KJ544 HI561:KJ561 HI558:KJ559 HI550:KJ550 HI551:KJ551 HI552:KJ552 HI553:KJ553 HI554:KJ554 HI555:KJ555 HI556:KJ556 HI562:KJ562 HI560:KJ560 HI571:KJ571 HI569:KJ569 HI577:KJ577 HI572:KJ573 HI570:KJ570 HI585:KJ585 HI583:KJ583 HI574:KJ574 HI575:KJ575 HI576:KJ576 HI579:KJ579 HI580:KJ580 HI581:KJ581 HI584:KJ584 HI598:KJ598 HI595:KJ596 HI591:KJ591 HI592:KJ592 HI593:KJ593 HI599:KJ599 HI597:KJ597 HI601:KJ601 HI610:KJ612 HI604:KJ604 HI605:KJ605 HI606:KJ606 HI607:KJ607 HI614:KJ614 HI629:KJ629 HI618:KJ618 HI619:KJ619 HI620:KJ620 HI621:KJ621 HI622:KJ622 HI623:KJ623 HI624:KJ624 HI633:KJ633 HI634:KJ634 HI632:KJ632 HI630:KJ630 HI639:KJ639 HI643:KJ643 HI646:KJ646 HI645:KJ645 HI650:KJ650 HI649:KJ649 HI647:KJ647 HI657:KJ657 HI651:KJ651 HI665:KJ665 HI658:KJ662 HI652:KJ652 HI653:KJ653 HI654:KJ654 HI655:KJ655 HI656:KJ656 HI671:KJ671 HI666:KJ667 HI663:KJ663 HI664:KJ664 HI674:KJ674 HI672:KJ672 HI668:KJ668 HI669:KJ669 HI670:KJ670 HI677:KJ677 HI673:KJ673 HI679:KJ679 HI685:KJ685 HI683:KJ683 HI681:KJ681 HI687:KJ687 HI686:KJ686 HI684:KJ684 HI688:KJ688 HI693:KJ698 HI708:KJ713 HI704:KJ704 HI705:KJ705 HI706:KJ706 HI727:KJ727 HI725:KJ726 HI721:KJ721 HI722:KJ722 HI723:KJ723 HI750:KJ750 HI751:KJ751 HI752:KJ752 HI753:KJ753 HI767:KJ782 HI760:KJ760 HI761:KJ761 HI762:KJ762 HI763:KJ763 HI764:KJ764 HI765:KJ765" formula="1" formulaRange="1"/>
  </ignoredErrors>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Z99"/>
  <sheetViews>
    <sheetView showGridLines="0" zoomScaleNormal="100" zoomScaleSheetLayoutView="100" workbookViewId="0">
      <pane xSplit="1" ySplit="5" topLeftCell="R69" activePane="bottomRight" state="frozen"/>
      <selection pane="topRight" activeCell="B1" sqref="B1"/>
      <selection pane="bottomLeft" activeCell="A7" sqref="A7"/>
      <selection pane="bottomRight" activeCell="AQ98" sqref="AQ98"/>
    </sheetView>
  </sheetViews>
  <sheetFormatPr defaultRowHeight="12.75" customHeight="1" outlineLevelRow="1" outlineLevelCol="1" x14ac:dyDescent="0.2"/>
  <cols>
    <col min="1" max="1" width="30.7109375" style="2" customWidth="1"/>
    <col min="2" max="2" width="7.42578125" style="2" hidden="1" customWidth="1"/>
    <col min="3" max="3" width="7.42578125" style="7" hidden="1" customWidth="1" outlineLevel="1"/>
    <col min="4" max="4" width="7.42578125" style="2" hidden="1" customWidth="1" outlineLevel="1"/>
    <col min="5" max="5" width="7.42578125" style="7" hidden="1" customWidth="1" outlineLevel="1"/>
    <col min="6" max="6" width="7.42578125" style="2" hidden="1" customWidth="1" outlineLevel="1"/>
    <col min="7" max="7" width="7.42578125" style="7" hidden="1" customWidth="1" outlineLevel="1"/>
    <col min="8" max="8" width="7.42578125" style="2" hidden="1" customWidth="1" outlineLevel="1"/>
    <col min="9" max="9" width="7.42578125" style="7" hidden="1" customWidth="1" outlineLevel="1"/>
    <col min="10" max="10" width="7.42578125" style="2" hidden="1" customWidth="1" outlineLevel="1"/>
    <col min="11" max="11" width="7.42578125" style="7" hidden="1" customWidth="1" outlineLevel="1"/>
    <col min="12" max="12" width="7.42578125" style="2" hidden="1" customWidth="1" outlineLevel="1"/>
    <col min="13" max="13" width="7.42578125" style="7" hidden="1" customWidth="1" outlineLevel="1"/>
    <col min="14" max="14" width="7.42578125" style="2" hidden="1" customWidth="1" outlineLevel="1"/>
    <col min="15" max="15" width="7.42578125" style="7" hidden="1" customWidth="1" outlineLevel="1"/>
    <col min="16" max="16" width="7.42578125" style="2" hidden="1" customWidth="1" outlineLevel="1"/>
    <col min="17" max="17" width="7.42578125" style="7" hidden="1" customWidth="1" outlineLevel="1"/>
    <col min="18" max="18" width="7.42578125" style="2" customWidth="1" collapsed="1"/>
    <col min="19" max="19" width="7.42578125" style="7" hidden="1" customWidth="1" outlineLevel="1"/>
    <col min="20" max="20" width="7.42578125" style="2" customWidth="1" collapsed="1"/>
    <col min="21" max="21" width="7.42578125" style="7" hidden="1" customWidth="1" outlineLevel="1"/>
    <col min="22" max="22" width="7.42578125" style="2" customWidth="1" collapsed="1"/>
    <col min="23" max="23" width="7.42578125" style="7" hidden="1" customWidth="1" outlineLevel="1"/>
    <col min="24" max="24" width="7.42578125" style="2" customWidth="1" collapsed="1"/>
    <col min="25" max="25" width="7.42578125" style="7" hidden="1" customWidth="1" outlineLevel="1"/>
    <col min="26" max="26" width="7.42578125" style="2" customWidth="1" collapsed="1"/>
    <col min="27" max="27" width="7.42578125" style="7" customWidth="1" outlineLevel="1"/>
    <col min="28" max="28" width="7.42578125" style="2" customWidth="1"/>
    <col min="29" max="29" width="7.42578125" style="7" hidden="1" customWidth="1" outlineLevel="1"/>
    <col min="30" max="30" width="7.42578125" style="2" customWidth="1" collapsed="1"/>
    <col min="31" max="31" width="7.42578125" style="7" hidden="1" customWidth="1" outlineLevel="1"/>
    <col min="32" max="32" width="7.42578125" style="2" customWidth="1" collapsed="1"/>
    <col min="33" max="33" width="7.42578125" style="7" hidden="1" customWidth="1" outlineLevel="1"/>
    <col min="34" max="34" width="1.42578125" style="2" customWidth="1" collapsed="1"/>
    <col min="35" max="35" width="7.42578125" style="2" customWidth="1"/>
    <col min="36" max="36" width="7.42578125" style="7" hidden="1" customWidth="1" outlineLevel="1"/>
    <col min="37" max="37" width="7.42578125" style="2" customWidth="1" collapsed="1"/>
    <col min="38" max="38" width="7.42578125" style="7" hidden="1" customWidth="1" outlineLevel="1"/>
    <col min="39" max="39" width="7.42578125" style="2" customWidth="1" collapsed="1"/>
    <col min="40" max="40" width="7.42578125" style="7" customWidth="1" outlineLevel="1"/>
    <col min="41" max="41" width="7.42578125" style="2" customWidth="1"/>
    <col min="42" max="42" width="7.42578125" style="7" customWidth="1" outlineLevel="1"/>
    <col min="43" max="43" width="7.42578125" style="2" customWidth="1"/>
    <col min="44" max="44" width="7.42578125" style="7" hidden="1" customWidth="1" outlineLevel="1"/>
    <col min="45" max="45" width="7.42578125" style="2" customWidth="1" collapsed="1"/>
    <col min="46" max="46" width="7.42578125" style="7" hidden="1" customWidth="1" outlineLevel="1"/>
    <col min="47" max="47" width="7.42578125" style="2" customWidth="1" collapsed="1"/>
    <col min="48" max="48" width="7.42578125" style="7" hidden="1" customWidth="1" outlineLevel="1"/>
    <col min="49" max="49" width="7.42578125" style="2" customWidth="1" collapsed="1"/>
    <col min="50" max="50" width="7.42578125" style="7" hidden="1" customWidth="1" outlineLevel="1"/>
    <col min="51" max="51" width="7.42578125" style="2" customWidth="1" collapsed="1"/>
    <col min="52" max="16384" width="9.140625" style="2"/>
  </cols>
  <sheetData>
    <row r="1" spans="1:52" s="772" customFormat="1" ht="21.95" customHeight="1" x14ac:dyDescent="0.25">
      <c r="A1" s="766" t="str">
        <f>Input!B4</f>
        <v>MetLife</v>
      </c>
      <c r="B1" s="767"/>
      <c r="C1" s="768"/>
      <c r="D1" s="767"/>
      <c r="E1" s="768"/>
      <c r="F1" s="767"/>
      <c r="G1" s="768"/>
      <c r="H1" s="767"/>
      <c r="I1" s="768"/>
      <c r="J1" s="767"/>
      <c r="K1" s="768"/>
      <c r="L1" s="767"/>
      <c r="M1" s="768"/>
      <c r="N1" s="767"/>
      <c r="O1" s="768"/>
      <c r="P1" s="767"/>
      <c r="Q1" s="768"/>
      <c r="R1" s="767"/>
      <c r="S1" s="768"/>
      <c r="T1" s="767"/>
      <c r="U1" s="768"/>
      <c r="V1" s="767"/>
      <c r="W1" s="768"/>
      <c r="X1" s="767"/>
      <c r="Y1" s="768"/>
      <c r="Z1" s="767"/>
      <c r="AA1" s="768"/>
      <c r="AB1" s="767"/>
      <c r="AC1" s="768"/>
      <c r="AD1" s="767"/>
      <c r="AE1" s="768"/>
      <c r="AF1" s="767"/>
      <c r="AG1" s="768"/>
      <c r="AH1" s="769"/>
      <c r="AI1" s="767"/>
      <c r="AJ1" s="768"/>
      <c r="AK1" s="767"/>
      <c r="AL1" s="768"/>
      <c r="AM1" s="767"/>
      <c r="AN1" s="768"/>
      <c r="AO1" s="767"/>
      <c r="AP1" s="768"/>
      <c r="AQ1" s="767"/>
      <c r="AR1" s="768"/>
      <c r="AS1" s="767"/>
      <c r="AT1" s="768"/>
      <c r="AU1" s="767"/>
      <c r="AV1" s="768"/>
      <c r="AW1" s="767"/>
      <c r="AX1" s="768"/>
      <c r="AY1" s="771"/>
    </row>
    <row r="2" spans="1:52" s="772" customFormat="1" ht="12.75" customHeight="1" x14ac:dyDescent="0.2">
      <c r="A2" s="773" t="s">
        <v>573</v>
      </c>
      <c r="B2" s="774"/>
      <c r="C2" s="775"/>
      <c r="D2" s="774"/>
      <c r="E2" s="775"/>
      <c r="F2" s="774"/>
      <c r="G2" s="775"/>
      <c r="H2" s="774"/>
      <c r="I2" s="775"/>
      <c r="J2" s="774"/>
      <c r="K2" s="775"/>
      <c r="L2" s="774"/>
      <c r="M2" s="775"/>
      <c r="N2" s="774"/>
      <c r="O2" s="775"/>
      <c r="P2" s="774"/>
      <c r="Q2" s="775"/>
      <c r="R2" s="774"/>
      <c r="S2" s="775"/>
      <c r="T2" s="774"/>
      <c r="U2" s="775"/>
      <c r="V2" s="774"/>
      <c r="W2" s="775"/>
      <c r="X2" s="774"/>
      <c r="Y2" s="775"/>
      <c r="Z2" s="774"/>
      <c r="AA2" s="775"/>
      <c r="AB2" s="774"/>
      <c r="AC2" s="775"/>
      <c r="AD2" s="774"/>
      <c r="AE2" s="775"/>
      <c r="AF2" s="774"/>
      <c r="AG2" s="775"/>
      <c r="AH2" s="776"/>
      <c r="AI2" s="774"/>
      <c r="AJ2" s="775"/>
      <c r="AK2" s="774"/>
      <c r="AL2" s="775"/>
      <c r="AM2" s="774"/>
      <c r="AN2" s="775"/>
      <c r="AO2" s="774"/>
      <c r="AP2" s="775"/>
      <c r="AQ2" s="774"/>
      <c r="AR2" s="775"/>
      <c r="AS2" s="774"/>
      <c r="AT2" s="775"/>
      <c r="AU2" s="774"/>
      <c r="AV2" s="775"/>
      <c r="AW2" s="774"/>
      <c r="AX2" s="775"/>
      <c r="AY2" s="777"/>
    </row>
    <row r="3" spans="1:52" s="772" customFormat="1" ht="12.75" customHeight="1" x14ac:dyDescent="0.2">
      <c r="A3" s="895" t="s">
        <v>192</v>
      </c>
      <c r="B3" s="896"/>
      <c r="C3" s="897"/>
      <c r="D3" s="896"/>
      <c r="E3" s="897"/>
      <c r="F3" s="896"/>
      <c r="G3" s="897"/>
      <c r="H3" s="896"/>
      <c r="I3" s="897"/>
      <c r="J3" s="896"/>
      <c r="K3" s="897" t="str">
        <f>Input!EB4</f>
        <v>1Q16/</v>
      </c>
      <c r="L3" s="896"/>
      <c r="M3" s="897" t="str">
        <f>Input!ED4</f>
        <v>2Q16/</v>
      </c>
      <c r="N3" s="896"/>
      <c r="O3" s="897" t="str">
        <f>Input!EF4</f>
        <v>3Q16/</v>
      </c>
      <c r="P3" s="896"/>
      <c r="Q3" s="897" t="str">
        <f>Input!EH4</f>
        <v>4Q16/</v>
      </c>
      <c r="R3" s="896"/>
      <c r="S3" s="897" t="str">
        <f>Input!EJ4</f>
        <v>1Q17/</v>
      </c>
      <c r="T3" s="896"/>
      <c r="U3" s="897" t="str">
        <f>Input!EL4</f>
        <v>2Q17/</v>
      </c>
      <c r="V3" s="896"/>
      <c r="W3" s="897" t="str">
        <f>Input!EN4</f>
        <v>3Q17/</v>
      </c>
      <c r="X3" s="896"/>
      <c r="Y3" s="897" t="str">
        <f>Input!EP4</f>
        <v>4Q17/</v>
      </c>
      <c r="Z3" s="896"/>
      <c r="AA3" s="897" t="str">
        <f>Input!ER4</f>
        <v>1Q18E/</v>
      </c>
      <c r="AB3" s="896"/>
      <c r="AC3" s="897" t="str">
        <f>Input!ET4</f>
        <v>2Q18E/</v>
      </c>
      <c r="AD3" s="896"/>
      <c r="AE3" s="897" t="str">
        <f>Input!EV4</f>
        <v>3Q18E/</v>
      </c>
      <c r="AF3" s="896"/>
      <c r="AG3" s="897" t="str">
        <f>Input!EX4</f>
        <v>4Q18E/</v>
      </c>
      <c r="AH3" s="898"/>
      <c r="AI3" s="896"/>
      <c r="AJ3" s="897"/>
      <c r="AK3" s="896"/>
      <c r="AL3" s="897" t="str">
        <f>Input!GM4</f>
        <v>2016/</v>
      </c>
      <c r="AM3" s="896"/>
      <c r="AN3" s="897" t="str">
        <f>Input!GO4</f>
        <v>2017/</v>
      </c>
      <c r="AO3" s="896"/>
      <c r="AP3" s="897" t="str">
        <f>Input!GQ4</f>
        <v>2018E/</v>
      </c>
      <c r="AQ3" s="896"/>
      <c r="AR3" s="897" t="str">
        <f>Input!GS4</f>
        <v>2019E/</v>
      </c>
      <c r="AS3" s="896"/>
      <c r="AT3" s="897" t="str">
        <f>Input!GU4</f>
        <v>2020E/</v>
      </c>
      <c r="AU3" s="896"/>
      <c r="AV3" s="897" t="str">
        <f>Input!GW4</f>
        <v>2021E/</v>
      </c>
      <c r="AW3" s="896"/>
      <c r="AX3" s="897" t="str">
        <f>Input!GY4</f>
        <v>2022E/</v>
      </c>
      <c r="AY3" s="899" t="str">
        <f>Input!GZ4</f>
        <v>5-Yr</v>
      </c>
      <c r="AZ3" s="781"/>
    </row>
    <row r="4" spans="1:52" s="772" customFormat="1" ht="12.75" customHeight="1" x14ac:dyDescent="0.2">
      <c r="A4" s="900"/>
      <c r="B4" s="778"/>
      <c r="C4" s="775"/>
      <c r="D4" s="778"/>
      <c r="E4" s="775"/>
      <c r="F4" s="778"/>
      <c r="G4" s="775"/>
      <c r="H4" s="778"/>
      <c r="I4" s="775"/>
      <c r="J4" s="778"/>
      <c r="K4" s="775" t="str">
        <f>Input!EB5</f>
        <v>1Q15</v>
      </c>
      <c r="L4" s="778"/>
      <c r="M4" s="775" t="str">
        <f>Input!ED5</f>
        <v>2Q15</v>
      </c>
      <c r="N4" s="778"/>
      <c r="O4" s="775" t="str">
        <f>Input!EF5</f>
        <v>3Q15</v>
      </c>
      <c r="P4" s="778"/>
      <c r="Q4" s="775" t="str">
        <f>Input!EH5</f>
        <v>4Q15</v>
      </c>
      <c r="R4" s="778"/>
      <c r="S4" s="775" t="str">
        <f>Input!EJ5</f>
        <v>1Q16</v>
      </c>
      <c r="T4" s="778"/>
      <c r="U4" s="775" t="str">
        <f>Input!EL5</f>
        <v>2Q16</v>
      </c>
      <c r="V4" s="778"/>
      <c r="W4" s="775" t="str">
        <f>Input!EN5</f>
        <v>3Q16</v>
      </c>
      <c r="X4" s="778"/>
      <c r="Y4" s="775" t="str">
        <f>Input!EP5</f>
        <v>4Q16</v>
      </c>
      <c r="Z4" s="778"/>
      <c r="AA4" s="775" t="str">
        <f>Input!ER5</f>
        <v>1Q17</v>
      </c>
      <c r="AB4" s="778"/>
      <c r="AC4" s="775" t="str">
        <f>Input!ET5</f>
        <v>2Q17</v>
      </c>
      <c r="AD4" s="778"/>
      <c r="AE4" s="775" t="str">
        <f>Input!EV5</f>
        <v>3Q17</v>
      </c>
      <c r="AF4" s="778"/>
      <c r="AG4" s="775" t="str">
        <f>Input!EX5</f>
        <v>4Q17</v>
      </c>
      <c r="AH4" s="780"/>
      <c r="AI4" s="778"/>
      <c r="AJ4" s="775"/>
      <c r="AK4" s="778"/>
      <c r="AL4" s="775" t="str">
        <f>Input!GM5</f>
        <v>2015</v>
      </c>
      <c r="AM4" s="778"/>
      <c r="AN4" s="775" t="str">
        <f>Input!GO5</f>
        <v>2016</v>
      </c>
      <c r="AO4" s="778"/>
      <c r="AP4" s="775">
        <f>Input!GQ5</f>
        <v>2017</v>
      </c>
      <c r="AQ4" s="778"/>
      <c r="AR4" s="775" t="str">
        <f>Input!GS5</f>
        <v>2018E</v>
      </c>
      <c r="AS4" s="778"/>
      <c r="AT4" s="775" t="str">
        <f>Input!GU5</f>
        <v>2019E</v>
      </c>
      <c r="AU4" s="778"/>
      <c r="AV4" s="775" t="str">
        <f>Input!GW5</f>
        <v>2020E</v>
      </c>
      <c r="AW4" s="778"/>
      <c r="AX4" s="775" t="str">
        <f>Input!GY5</f>
        <v>2021E</v>
      </c>
      <c r="AY4" s="901" t="str">
        <f>Input!GZ5</f>
        <v>CAGR</v>
      </c>
      <c r="AZ4" s="781"/>
    </row>
    <row r="5" spans="1:52" s="772" customFormat="1" ht="12.75" customHeight="1" x14ac:dyDescent="0.2">
      <c r="A5" s="902"/>
      <c r="B5" s="784" t="str">
        <f>Input!DS6</f>
        <v>1Q15</v>
      </c>
      <c r="C5" s="785"/>
      <c r="D5" s="784" t="str">
        <f>Input!DU6</f>
        <v>2Q15</v>
      </c>
      <c r="E5" s="785"/>
      <c r="F5" s="784" t="str">
        <f>Input!DW6</f>
        <v>3Q15</v>
      </c>
      <c r="G5" s="785"/>
      <c r="H5" s="784" t="str">
        <f>Input!DY6</f>
        <v>4Q15</v>
      </c>
      <c r="I5" s="785"/>
      <c r="J5" s="784" t="str">
        <f>Input!EA6</f>
        <v>1Q16</v>
      </c>
      <c r="K5" s="785" t="str">
        <f>Input!EB6</f>
        <v>% Chg</v>
      </c>
      <c r="L5" s="784" t="str">
        <f>Input!EC6</f>
        <v>2Q16</v>
      </c>
      <c r="M5" s="785" t="str">
        <f>Input!ED6</f>
        <v>% Chg</v>
      </c>
      <c r="N5" s="784" t="str">
        <f>Input!EE6</f>
        <v>3Q16</v>
      </c>
      <c r="O5" s="785" t="str">
        <f>Input!EF6</f>
        <v>% Chg</v>
      </c>
      <c r="P5" s="784" t="str">
        <f>Input!EG6</f>
        <v>4Q16</v>
      </c>
      <c r="Q5" s="785" t="str">
        <f>Input!EH6</f>
        <v>% Chg</v>
      </c>
      <c r="R5" s="784" t="str">
        <f>Input!EI6</f>
        <v>1Q17</v>
      </c>
      <c r="S5" s="785" t="str">
        <f>Input!EJ6</f>
        <v>% Chg</v>
      </c>
      <c r="T5" s="784" t="str">
        <f>Input!EK6</f>
        <v>2Q17</v>
      </c>
      <c r="U5" s="785" t="str">
        <f>Input!EL6</f>
        <v>% Chg</v>
      </c>
      <c r="V5" s="784" t="str">
        <f>Input!EM6</f>
        <v>3Q17</v>
      </c>
      <c r="W5" s="785" t="str">
        <f>Input!EN6</f>
        <v>% Chg</v>
      </c>
      <c r="X5" s="784" t="str">
        <f>Input!EO6</f>
        <v>4Q17</v>
      </c>
      <c r="Y5" s="785" t="str">
        <f>Input!EP6</f>
        <v>% Chg</v>
      </c>
      <c r="Z5" s="784" t="str">
        <f>Input!EQ6</f>
        <v>1Q18E</v>
      </c>
      <c r="AA5" s="785" t="str">
        <f>Input!ER6</f>
        <v>% Chg</v>
      </c>
      <c r="AB5" s="784" t="str">
        <f>Input!ES6</f>
        <v>2Q18E</v>
      </c>
      <c r="AC5" s="785" t="str">
        <f>Input!ET6</f>
        <v>% Chg</v>
      </c>
      <c r="AD5" s="784" t="str">
        <f>Input!EU6</f>
        <v>3Q18E</v>
      </c>
      <c r="AE5" s="785" t="str">
        <f>Input!EV6</f>
        <v>% Chg</v>
      </c>
      <c r="AF5" s="784" t="str">
        <f>Input!EW6</f>
        <v>4Q18E</v>
      </c>
      <c r="AG5" s="785" t="str">
        <f>Input!EX6</f>
        <v>% Chg</v>
      </c>
      <c r="AH5" s="786"/>
      <c r="AI5" s="784" t="str">
        <f>Input!GJ6</f>
        <v>2015</v>
      </c>
      <c r="AJ5" s="785"/>
      <c r="AK5" s="784" t="str">
        <f>Input!GL6</f>
        <v>2016</v>
      </c>
      <c r="AL5" s="785" t="str">
        <f>Input!GM6</f>
        <v>% Chg</v>
      </c>
      <c r="AM5" s="1169">
        <f>Input!GN6</f>
        <v>2017</v>
      </c>
      <c r="AN5" s="785" t="str">
        <f>Input!GO6</f>
        <v>% Chg</v>
      </c>
      <c r="AO5" s="784" t="str">
        <f>Input!GP6</f>
        <v>2018E</v>
      </c>
      <c r="AP5" s="785" t="str">
        <f>Input!GQ6</f>
        <v>% Chg</v>
      </c>
      <c r="AQ5" s="784" t="str">
        <f>Input!GR6</f>
        <v>2019E</v>
      </c>
      <c r="AR5" s="785" t="str">
        <f>Input!GS6</f>
        <v>% Chg</v>
      </c>
      <c r="AS5" s="784" t="str">
        <f>Input!GT6</f>
        <v>2020E</v>
      </c>
      <c r="AT5" s="785" t="str">
        <f>Input!GU6</f>
        <v>% Chg</v>
      </c>
      <c r="AU5" s="784" t="str">
        <f>Input!GV6</f>
        <v>2021E</v>
      </c>
      <c r="AV5" s="785" t="str">
        <f>Input!GW6</f>
        <v>% Chg</v>
      </c>
      <c r="AW5" s="784" t="str">
        <f>Input!GX6</f>
        <v>2022E</v>
      </c>
      <c r="AX5" s="785" t="str">
        <f>Input!GY6</f>
        <v>% Chg</v>
      </c>
      <c r="AY5" s="903" t="str">
        <f>Input!GZ6</f>
        <v>(%)</v>
      </c>
      <c r="AZ5" s="781"/>
    </row>
    <row r="6" spans="1:52" s="772" customFormat="1" ht="4.5" customHeight="1" x14ac:dyDescent="0.2">
      <c r="A6" s="900"/>
      <c r="B6" s="778"/>
      <c r="C6" s="775"/>
      <c r="D6" s="778"/>
      <c r="E6" s="775"/>
      <c r="F6" s="778"/>
      <c r="G6" s="775"/>
      <c r="H6" s="778"/>
      <c r="I6" s="775"/>
      <c r="J6" s="778"/>
      <c r="K6" s="775"/>
      <c r="L6" s="778"/>
      <c r="M6" s="775"/>
      <c r="N6" s="778"/>
      <c r="O6" s="775"/>
      <c r="P6" s="778"/>
      <c r="Q6" s="775"/>
      <c r="R6" s="778"/>
      <c r="S6" s="775"/>
      <c r="T6" s="778"/>
      <c r="U6" s="775"/>
      <c r="V6" s="778"/>
      <c r="W6" s="775"/>
      <c r="X6" s="778"/>
      <c r="Y6" s="775"/>
      <c r="Z6" s="778"/>
      <c r="AA6" s="775"/>
      <c r="AB6" s="778"/>
      <c r="AC6" s="775"/>
      <c r="AD6" s="778"/>
      <c r="AE6" s="775"/>
      <c r="AF6" s="778"/>
      <c r="AG6" s="775"/>
      <c r="AH6" s="780"/>
      <c r="AI6" s="778"/>
      <c r="AJ6" s="775"/>
      <c r="AK6" s="778"/>
      <c r="AL6" s="775"/>
      <c r="AM6" s="778"/>
      <c r="AN6" s="775"/>
      <c r="AO6" s="778"/>
      <c r="AP6" s="775"/>
      <c r="AQ6" s="778"/>
      <c r="AR6" s="775"/>
      <c r="AS6" s="778"/>
      <c r="AT6" s="775"/>
      <c r="AU6" s="778"/>
      <c r="AV6" s="775"/>
      <c r="AW6" s="778"/>
      <c r="AX6" s="775"/>
      <c r="AY6" s="901"/>
      <c r="AZ6" s="781"/>
    </row>
    <row r="7" spans="1:52" s="772" customFormat="1" ht="12.75" customHeight="1" x14ac:dyDescent="0.2">
      <c r="A7" s="904" t="s">
        <v>114</v>
      </c>
      <c r="B7" s="789"/>
      <c r="C7" s="790"/>
      <c r="D7" s="789"/>
      <c r="E7" s="790"/>
      <c r="F7" s="789"/>
      <c r="G7" s="790"/>
      <c r="H7" s="789"/>
      <c r="I7" s="790"/>
      <c r="J7" s="789"/>
      <c r="K7" s="790"/>
      <c r="L7" s="789"/>
      <c r="M7" s="790"/>
      <c r="N7" s="789"/>
      <c r="O7" s="790"/>
      <c r="P7" s="789"/>
      <c r="Q7" s="790"/>
      <c r="R7" s="789"/>
      <c r="S7" s="790"/>
      <c r="T7" s="789"/>
      <c r="U7" s="790"/>
      <c r="V7" s="789"/>
      <c r="W7" s="790"/>
      <c r="X7" s="789"/>
      <c r="Y7" s="790"/>
      <c r="Z7" s="789"/>
      <c r="AA7" s="790"/>
      <c r="AB7" s="789"/>
      <c r="AC7" s="790"/>
      <c r="AD7" s="789"/>
      <c r="AE7" s="790"/>
      <c r="AF7" s="789"/>
      <c r="AG7" s="790"/>
      <c r="AH7" s="791"/>
      <c r="AI7" s="789"/>
      <c r="AJ7" s="790"/>
      <c r="AK7" s="789"/>
      <c r="AL7" s="790"/>
      <c r="AM7" s="789"/>
      <c r="AN7" s="790"/>
      <c r="AO7" s="789"/>
      <c r="AP7" s="790"/>
      <c r="AQ7" s="789"/>
      <c r="AR7" s="790"/>
      <c r="AS7" s="789"/>
      <c r="AT7" s="790"/>
      <c r="AU7" s="789"/>
      <c r="AV7" s="790"/>
      <c r="AW7" s="789"/>
      <c r="AX7" s="790"/>
      <c r="AY7" s="905"/>
    </row>
    <row r="8" spans="1:52" s="772" customFormat="1" ht="12.75" customHeight="1" x14ac:dyDescent="0.2">
      <c r="A8" s="907" t="str">
        <f>Input!B613</f>
        <v>Group Benefits</v>
      </c>
      <c r="B8" s="792">
        <f>Input!DS117</f>
        <v>138</v>
      </c>
      <c r="C8" s="796"/>
      <c r="D8" s="792">
        <f>Input!DU117</f>
        <v>166</v>
      </c>
      <c r="E8" s="796"/>
      <c r="F8" s="792">
        <f>Input!DW117</f>
        <v>170</v>
      </c>
      <c r="G8" s="796"/>
      <c r="H8" s="792">
        <f>Input!DY117</f>
        <v>159</v>
      </c>
      <c r="I8" s="796"/>
      <c r="J8" s="792">
        <f>Input!EA117</f>
        <v>143</v>
      </c>
      <c r="K8" s="796">
        <f>Input!EB117</f>
        <v>3.6231884057970953</v>
      </c>
      <c r="L8" s="792">
        <f>Input!EC117</f>
        <v>187</v>
      </c>
      <c r="M8" s="796">
        <f>Input!ED117</f>
        <v>12.650602409638555</v>
      </c>
      <c r="N8" s="792">
        <f>Input!EE117</f>
        <v>173.6</v>
      </c>
      <c r="O8" s="796">
        <f>Input!EF117</f>
        <v>2.1176470588235352</v>
      </c>
      <c r="P8" s="792">
        <f>Input!EG117</f>
        <v>174</v>
      </c>
      <c r="Q8" s="796">
        <f>Input!EH117</f>
        <v>9.4339622641509422</v>
      </c>
      <c r="R8" s="792">
        <f>Input!EI117</f>
        <v>191</v>
      </c>
      <c r="S8" s="796">
        <f>Input!EJ117</f>
        <v>33.56643356643356</v>
      </c>
      <c r="T8" s="792">
        <f>Input!EK117</f>
        <v>203</v>
      </c>
      <c r="U8" s="796">
        <f>Input!EL117</f>
        <v>8.5561497326203106</v>
      </c>
      <c r="V8" s="792">
        <f>Input!EM117</f>
        <v>241</v>
      </c>
      <c r="W8" s="796">
        <f>Input!EN117</f>
        <v>38.824884792626733</v>
      </c>
      <c r="X8" s="792">
        <f>Input!EO117</f>
        <v>230</v>
      </c>
      <c r="Y8" s="796">
        <f>Input!EP117</f>
        <v>32.18390804597702</v>
      </c>
      <c r="Z8" s="792">
        <f>Input!EQ117</f>
        <v>269.4829126818604</v>
      </c>
      <c r="AA8" s="796">
        <f>Input!ER117</f>
        <v>41.090530199926903</v>
      </c>
      <c r="AB8" s="792">
        <f>Input!ES117</f>
        <v>279.21890097846847</v>
      </c>
      <c r="AC8" s="796">
        <f>Input!ET117</f>
        <v>37.546256639639644</v>
      </c>
      <c r="AD8" s="792">
        <f>Input!EU117</f>
        <v>288.74141177748498</v>
      </c>
      <c r="AE8" s="796">
        <f>Input!EV117</f>
        <v>19.809714430491688</v>
      </c>
      <c r="AF8" s="792">
        <f>Input!EW117</f>
        <v>298.57441754230206</v>
      </c>
      <c r="AG8" s="796">
        <f>Input!EX117</f>
        <v>29.814964148826984</v>
      </c>
      <c r="AH8" s="794"/>
      <c r="AI8" s="792">
        <f>Input!GJ117</f>
        <v>633</v>
      </c>
      <c r="AJ8" s="796"/>
      <c r="AK8" s="792">
        <f>Input!GL117</f>
        <v>677.6</v>
      </c>
      <c r="AL8" s="796">
        <f>Input!GM117</f>
        <v>7.0458135860979487</v>
      </c>
      <c r="AM8" s="792">
        <f>Input!GN117</f>
        <v>865</v>
      </c>
      <c r="AN8" s="796">
        <f>Input!GO117</f>
        <v>27.656434474616297</v>
      </c>
      <c r="AO8" s="792">
        <f>Input!GP117</f>
        <v>1136.0176429801172</v>
      </c>
      <c r="AP8" s="796">
        <f>Input!GQ117</f>
        <v>31.331519419666719</v>
      </c>
      <c r="AQ8" s="792">
        <f>Input!GR117</f>
        <v>1189.243718302029</v>
      </c>
      <c r="AR8" s="796">
        <f>Input!GS117</f>
        <v>4.6853211876431544</v>
      </c>
      <c r="AS8" s="792">
        <f>Input!GT117</f>
        <v>1208.1936316817391</v>
      </c>
      <c r="AT8" s="796">
        <f>Input!GU117</f>
        <v>1.5934423775444628</v>
      </c>
      <c r="AU8" s="792">
        <f>Input!GV117</f>
        <v>1229.5493105467267</v>
      </c>
      <c r="AV8" s="796">
        <f>Input!GW117</f>
        <v>1.7675708847481264</v>
      </c>
      <c r="AW8" s="792">
        <f>Input!GX117</f>
        <v>1253.1023517910103</v>
      </c>
      <c r="AX8" s="796">
        <f>Input!GY117</f>
        <v>1.9155832988764443</v>
      </c>
      <c r="AY8" s="906">
        <f>Input!GZ117</f>
        <v>7.6946396705763975</v>
      </c>
    </row>
    <row r="9" spans="1:52" s="772" customFormat="1" ht="12.75" customHeight="1" x14ac:dyDescent="0.2">
      <c r="A9" s="907" t="str">
        <f>Input!B614</f>
        <v>Retirement &amp; Income Solutions</v>
      </c>
      <c r="B9" s="792">
        <f>+Input!DS192</f>
        <v>307</v>
      </c>
      <c r="C9" s="793"/>
      <c r="D9" s="792">
        <f>+Input!DU192</f>
        <v>338</v>
      </c>
      <c r="E9" s="793"/>
      <c r="F9" s="792">
        <f>+Input!DW192</f>
        <v>257</v>
      </c>
      <c r="G9" s="793"/>
      <c r="H9" s="792">
        <f>+Input!DY192</f>
        <v>234</v>
      </c>
      <c r="I9" s="793"/>
      <c r="J9" s="792">
        <f>+Input!EA192</f>
        <v>267</v>
      </c>
      <c r="K9" s="793">
        <f>+Input!EB192</f>
        <v>-13.029315960912047</v>
      </c>
      <c r="L9" s="792">
        <f>+Input!EC192</f>
        <v>283</v>
      </c>
      <c r="M9" s="793">
        <f>+Input!ED192</f>
        <v>-16.272189349112431</v>
      </c>
      <c r="N9" s="792">
        <f>+Input!EE192</f>
        <v>318.5</v>
      </c>
      <c r="O9" s="793">
        <f>+Input!EF192</f>
        <v>23.929961089494167</v>
      </c>
      <c r="P9" s="792">
        <f>+Input!EG192</f>
        <v>294</v>
      </c>
      <c r="Q9" s="793">
        <f>+Input!EH192</f>
        <v>25.641025641025639</v>
      </c>
      <c r="R9" s="792">
        <f>+Input!EI192</f>
        <v>257</v>
      </c>
      <c r="S9" s="793">
        <f>+Input!EJ192</f>
        <v>-3.7453183520599231</v>
      </c>
      <c r="T9" s="792">
        <f>+Input!EK192</f>
        <v>262</v>
      </c>
      <c r="U9" s="793">
        <f>+Input!EL192</f>
        <v>-7.4204946996466408</v>
      </c>
      <c r="V9" s="792">
        <f>+Input!EM192</f>
        <v>247</v>
      </c>
      <c r="W9" s="793">
        <f>+Input!EN192</f>
        <v>-22.448979591836739</v>
      </c>
      <c r="X9" s="792">
        <f>+Input!EO192</f>
        <v>235</v>
      </c>
      <c r="Y9" s="793">
        <f>+Input!EP192</f>
        <v>-20.068027210884352</v>
      </c>
      <c r="Z9" s="792">
        <f>+Input!EQ192</f>
        <v>292.37849486517337</v>
      </c>
      <c r="AA9" s="793">
        <f>+Input!ER192</f>
        <v>13.765951309405988</v>
      </c>
      <c r="AB9" s="792">
        <f>+Input!ES192</f>
        <v>279.15752943126427</v>
      </c>
      <c r="AC9" s="793">
        <f>+Input!ET192</f>
        <v>6.5486753554443666</v>
      </c>
      <c r="AD9" s="792">
        <f>+Input!EU192</f>
        <v>266.38797130291749</v>
      </c>
      <c r="AE9" s="793">
        <f>+Input!EV192</f>
        <v>7.8493810942985798</v>
      </c>
      <c r="AF9" s="792">
        <f>+Input!EW192</f>
        <v>253.51588914517234</v>
      </c>
      <c r="AG9" s="793">
        <f>+Input!EX192</f>
        <v>7.879101763903118</v>
      </c>
      <c r="AH9" s="794"/>
      <c r="AI9" s="792">
        <f>+Input!GJ192</f>
        <v>1136</v>
      </c>
      <c r="AJ9" s="793"/>
      <c r="AK9" s="792">
        <f>+Input!GL192</f>
        <v>1162.5</v>
      </c>
      <c r="AL9" s="793">
        <f>+Input!GM192</f>
        <v>2.3327464788732488</v>
      </c>
      <c r="AM9" s="792">
        <f>+Input!GN192</f>
        <v>1001</v>
      </c>
      <c r="AN9" s="793">
        <f>+Input!GO192</f>
        <v>-13.892473118279568</v>
      </c>
      <c r="AO9" s="792">
        <f>+Input!GP192</f>
        <v>1091.4398847445261</v>
      </c>
      <c r="AP9" s="793">
        <f>+Input!GQ192</f>
        <v>9.0349535209316869</v>
      </c>
      <c r="AQ9" s="792">
        <f>+Input!GR192</f>
        <v>1089.1686832500591</v>
      </c>
      <c r="AR9" s="793">
        <f>+Input!GS192</f>
        <v>-0.2080922207638336</v>
      </c>
      <c r="AS9" s="792">
        <f>+Input!GT192</f>
        <v>1107.3301829045593</v>
      </c>
      <c r="AT9" s="793">
        <f>+Input!GU192</f>
        <v>1.6674643637665465</v>
      </c>
      <c r="AU9" s="792">
        <f>+Input!GV192</f>
        <v>1126.4400037600963</v>
      </c>
      <c r="AV9" s="793">
        <f>+Input!GW192</f>
        <v>1.7257563417454547</v>
      </c>
      <c r="AW9" s="792">
        <f>+Input!GX192</f>
        <v>1152.9255001176859</v>
      </c>
      <c r="AX9" s="793">
        <f>+Input!GY192</f>
        <v>2.351256726428419</v>
      </c>
      <c r="AY9" s="906">
        <f>+Input!GZ192</f>
        <v>2.8663744959937842</v>
      </c>
    </row>
    <row r="10" spans="1:52" s="772" customFormat="1" ht="12.75" customHeight="1" x14ac:dyDescent="0.2">
      <c r="A10" s="907" t="s">
        <v>708</v>
      </c>
      <c r="B10" s="792">
        <f>+Input!DS271</f>
        <v>81</v>
      </c>
      <c r="C10" s="793"/>
      <c r="D10" s="792">
        <f>+Input!DU271</f>
        <v>47</v>
      </c>
      <c r="E10" s="793"/>
      <c r="F10" s="792">
        <f>+Input!DW271</f>
        <v>48</v>
      </c>
      <c r="G10" s="793"/>
      <c r="H10" s="792">
        <f>+Input!DY271</f>
        <v>56</v>
      </c>
      <c r="I10" s="793"/>
      <c r="J10" s="792">
        <f>+Input!EA271</f>
        <v>74</v>
      </c>
      <c r="K10" s="793">
        <f>+Input!EB271</f>
        <v>-8.6419753086419799</v>
      </c>
      <c r="L10" s="792">
        <f>+Input!EC271</f>
        <v>13</v>
      </c>
      <c r="M10" s="793" t="str">
        <f>+Input!ED271</f>
        <v>NM</v>
      </c>
      <c r="N10" s="792">
        <f>+Input!EE271</f>
        <v>41.6</v>
      </c>
      <c r="O10" s="793">
        <f>+Input!EF271</f>
        <v>-13.33333333333333</v>
      </c>
      <c r="P10" s="792">
        <f>+Input!EG271</f>
        <v>43</v>
      </c>
      <c r="Q10" s="793">
        <f>+Input!EH271</f>
        <v>-23.214285714285708</v>
      </c>
      <c r="R10" s="792">
        <f>+Input!EI271</f>
        <v>72</v>
      </c>
      <c r="S10" s="793">
        <f>+Input!EJ271</f>
        <v>-2.7027027027026973</v>
      </c>
      <c r="T10" s="792">
        <f>+Input!EK271</f>
        <v>28</v>
      </c>
      <c r="U10" s="793" t="str">
        <f>+Input!EL271</f>
        <v>NM</v>
      </c>
      <c r="V10" s="792">
        <f>+Input!EM271</f>
        <v>51</v>
      </c>
      <c r="W10" s="793">
        <f>+Input!EN271</f>
        <v>22.596153846153832</v>
      </c>
      <c r="X10" s="792">
        <f>+Input!EO271</f>
        <v>95</v>
      </c>
      <c r="Y10" s="793" t="str">
        <f>+Input!EP271</f>
        <v>NM</v>
      </c>
      <c r="Z10" s="792">
        <f>+Input!EQ271</f>
        <v>55.516450700000007</v>
      </c>
      <c r="AA10" s="793">
        <f>+Input!ER271</f>
        <v>-22.893818472222215</v>
      </c>
      <c r="AB10" s="792">
        <f>+Input!ES271</f>
        <v>51.577121032325117</v>
      </c>
      <c r="AC10" s="793">
        <f>+Input!ET271</f>
        <v>84.20400368687541</v>
      </c>
      <c r="AD10" s="792">
        <f>+Input!EU271</f>
        <v>55.969680318939638</v>
      </c>
      <c r="AE10" s="793">
        <f>+Input!EV271</f>
        <v>9.744471213607131</v>
      </c>
      <c r="AF10" s="792">
        <f>+Input!EW271</f>
        <v>101.56161385684511</v>
      </c>
      <c r="AG10" s="793">
        <f>+Input!EX271</f>
        <v>6.9069619545738092</v>
      </c>
      <c r="AH10" s="794"/>
      <c r="AI10" s="792">
        <f>+Input!GJ271</f>
        <v>232</v>
      </c>
      <c r="AJ10" s="793"/>
      <c r="AK10" s="792">
        <f>+Input!GL271</f>
        <v>171.6</v>
      </c>
      <c r="AL10" s="793">
        <f>+Input!GM271</f>
        <v>-26.03448275862069</v>
      </c>
      <c r="AM10" s="792">
        <f>+Input!GN271</f>
        <v>246</v>
      </c>
      <c r="AN10" s="793">
        <f>+Input!GO271</f>
        <v>43.356643356643353</v>
      </c>
      <c r="AO10" s="792">
        <f>+Input!GP271</f>
        <v>264.62486590810988</v>
      </c>
      <c r="AP10" s="793">
        <f>+Input!GQ271</f>
        <v>7.5710837024836941</v>
      </c>
      <c r="AQ10" s="792">
        <f>+Input!GR271</f>
        <v>301.1523759579602</v>
      </c>
      <c r="AR10" s="793">
        <f>+Input!GS271</f>
        <v>13.803506304858892</v>
      </c>
      <c r="AS10" s="792">
        <f>+Input!GT271</f>
        <v>323.85011480374055</v>
      </c>
      <c r="AT10" s="793">
        <f>+Input!GU271</f>
        <v>7.5369615708922311</v>
      </c>
      <c r="AU10" s="792">
        <f>+Input!GV271</f>
        <v>345.37315680898166</v>
      </c>
      <c r="AV10" s="793">
        <f>+Input!GW271</f>
        <v>6.6459886908746268</v>
      </c>
      <c r="AW10" s="792">
        <f>+Input!GX271</f>
        <v>362.37725109919432</v>
      </c>
      <c r="AX10" s="793">
        <f>+Input!GY271</f>
        <v>4.9233977670179119</v>
      </c>
      <c r="AY10" s="906">
        <f>+Input!GZ271</f>
        <v>8.0550736833038918</v>
      </c>
    </row>
    <row r="11" spans="1:52" s="772" customFormat="1" ht="12.75" customHeight="1" x14ac:dyDescent="0.2">
      <c r="A11" s="904" t="str">
        <f>Input!B616</f>
        <v>Total US</v>
      </c>
      <c r="B11" s="792">
        <f>B9+B8+B10</f>
        <v>526</v>
      </c>
      <c r="C11" s="793"/>
      <c r="D11" s="792">
        <f>D9+D8+D10</f>
        <v>551</v>
      </c>
      <c r="E11" s="793"/>
      <c r="F11" s="792">
        <f>F9+F8+F10</f>
        <v>475</v>
      </c>
      <c r="G11" s="793"/>
      <c r="H11" s="792">
        <f>H9+H8+H10</f>
        <v>449</v>
      </c>
      <c r="I11" s="793"/>
      <c r="J11" s="792">
        <f>J9+J8+J10</f>
        <v>484</v>
      </c>
      <c r="K11" s="793">
        <f>+Input!EB821</f>
        <v>0</v>
      </c>
      <c r="L11" s="792">
        <f>L9+L8+L10</f>
        <v>483</v>
      </c>
      <c r="M11" s="793">
        <f>+Input!ED821</f>
        <v>0</v>
      </c>
      <c r="N11" s="792">
        <f>N9+N8+N10</f>
        <v>533.70000000000005</v>
      </c>
      <c r="O11" s="793">
        <f>+Input!EF821</f>
        <v>0</v>
      </c>
      <c r="P11" s="792">
        <f>P9+P8+P10</f>
        <v>511</v>
      </c>
      <c r="Q11" s="793">
        <f>+Input!EH821</f>
        <v>0</v>
      </c>
      <c r="R11" s="792">
        <f>R9+R8+R10</f>
        <v>520</v>
      </c>
      <c r="S11" s="793">
        <f>+Input!EJ821</f>
        <v>0</v>
      </c>
      <c r="T11" s="792">
        <f>T9+T8+T10</f>
        <v>493</v>
      </c>
      <c r="U11" s="793">
        <f>+Input!EL821</f>
        <v>0</v>
      </c>
      <c r="V11" s="792">
        <f>V9+V8+V10</f>
        <v>539</v>
      </c>
      <c r="W11" s="793">
        <f>+Input!EN821</f>
        <v>0</v>
      </c>
      <c r="X11" s="792">
        <f>X9+X8+X10</f>
        <v>560</v>
      </c>
      <c r="Y11" s="793">
        <f>+Input!EP821</f>
        <v>0</v>
      </c>
      <c r="Z11" s="792">
        <f>Z9+Z8+Z10</f>
        <v>617.37785824703383</v>
      </c>
      <c r="AA11" s="793">
        <f>+Input!ER821</f>
        <v>0</v>
      </c>
      <c r="AB11" s="792">
        <f>AB9+AB8+AB10</f>
        <v>609.9535514420578</v>
      </c>
      <c r="AC11" s="793">
        <f>+Input!ET821</f>
        <v>0</v>
      </c>
      <c r="AD11" s="792">
        <f>AD9+AD8+AD10</f>
        <v>611.09906339934207</v>
      </c>
      <c r="AE11" s="793">
        <f>+Input!EV821</f>
        <v>0</v>
      </c>
      <c r="AF11" s="792">
        <f>AF9+AF8+AF10</f>
        <v>653.65192054431952</v>
      </c>
      <c r="AG11" s="793">
        <f>+Input!EX821</f>
        <v>0</v>
      </c>
      <c r="AH11" s="794"/>
      <c r="AI11" s="792">
        <f>AI9+AI8+AI10</f>
        <v>2001</v>
      </c>
      <c r="AJ11" s="793"/>
      <c r="AK11" s="792">
        <f>AK9+AK8+AK10</f>
        <v>2011.6999999999998</v>
      </c>
      <c r="AL11" s="793">
        <f>(AK11-AI11)/AI11*100</f>
        <v>0.53473263368314938</v>
      </c>
      <c r="AM11" s="792">
        <f>AM9+AM8+AM10</f>
        <v>2112</v>
      </c>
      <c r="AN11" s="793">
        <f>(AM11-AK11)/AK11*100</f>
        <v>4.9858328776656657</v>
      </c>
      <c r="AO11" s="792">
        <f>AO9+AO8+AO10</f>
        <v>2492.0823936327529</v>
      </c>
      <c r="AP11" s="793">
        <f>(AO11-AM11)/AM11*100</f>
        <v>17.996325456096255</v>
      </c>
      <c r="AQ11" s="792">
        <f>AQ9+AQ8+AQ10</f>
        <v>2579.5647775100488</v>
      </c>
      <c r="AR11" s="793">
        <f>+Input!GS821</f>
        <v>-8.1161083013525648E-2</v>
      </c>
      <c r="AS11" s="792">
        <f>AS9+AS8+AS10</f>
        <v>2639.3739293900389</v>
      </c>
      <c r="AT11" s="793">
        <f>+Input!GU821</f>
        <v>0</v>
      </c>
      <c r="AU11" s="792">
        <f>AU9+AU8+AU10</f>
        <v>2701.3624711158045</v>
      </c>
      <c r="AV11" s="793">
        <f>+Input!GW821</f>
        <v>0</v>
      </c>
      <c r="AW11" s="792">
        <f>AW9+AW8+AW10</f>
        <v>2768.4051030078904</v>
      </c>
      <c r="AX11" s="793">
        <f>+Input!GY821</f>
        <v>0</v>
      </c>
      <c r="AY11" s="906">
        <f>+Input!GZ821</f>
        <v>0</v>
      </c>
    </row>
    <row r="12" spans="1:52" s="772" customFormat="1" ht="12.75" customHeight="1" x14ac:dyDescent="0.2">
      <c r="A12" s="907" t="str">
        <f>Input!B618</f>
        <v>Asia</v>
      </c>
      <c r="B12" s="792">
        <f>+Input!DS304</f>
        <v>327</v>
      </c>
      <c r="C12" s="793"/>
      <c r="D12" s="792">
        <f>+Input!DU304</f>
        <v>364</v>
      </c>
      <c r="E12" s="793"/>
      <c r="F12" s="792">
        <f>+Input!DW304</f>
        <v>339</v>
      </c>
      <c r="G12" s="793"/>
      <c r="H12" s="792">
        <f>+Input!DY304</f>
        <v>314</v>
      </c>
      <c r="I12" s="793"/>
      <c r="J12" s="792">
        <f>+Input!EA304</f>
        <v>305</v>
      </c>
      <c r="K12" s="793">
        <f>+Input!EB304</f>
        <v>-6.7278287461773667</v>
      </c>
      <c r="L12" s="792">
        <f>+Input!EC304</f>
        <v>313</v>
      </c>
      <c r="M12" s="793">
        <f>+Input!ED304</f>
        <v>-14.010989010989006</v>
      </c>
      <c r="N12" s="792">
        <f>+Input!EE304</f>
        <v>348.5</v>
      </c>
      <c r="O12" s="793">
        <f>+Input!EF304</f>
        <v>2.8023598820059004</v>
      </c>
      <c r="P12" s="792">
        <f>+Input!EG304</f>
        <v>354</v>
      </c>
      <c r="Q12" s="793">
        <f>+Input!EH304</f>
        <v>12.738853503184711</v>
      </c>
      <c r="R12" s="792">
        <f>+Input!EI304</f>
        <v>298</v>
      </c>
      <c r="S12" s="793">
        <f>+Input!EJ304</f>
        <v>-2.2950819672131195</v>
      </c>
      <c r="T12" s="792">
        <f>+Input!EK304</f>
        <v>298</v>
      </c>
      <c r="U12" s="793">
        <f>+Input!EL304</f>
        <v>-4.7923322683706022</v>
      </c>
      <c r="V12" s="792">
        <f>+Input!EM304</f>
        <v>318</v>
      </c>
      <c r="W12" s="793">
        <f>+Input!EN304</f>
        <v>-8.7517934002869442</v>
      </c>
      <c r="X12" s="792">
        <f>+Input!EO304</f>
        <v>310</v>
      </c>
      <c r="Y12" s="793">
        <f>+Input!EP304</f>
        <v>-12.429378531073443</v>
      </c>
      <c r="Z12" s="792">
        <f>+Input!EQ304</f>
        <v>325.86588020000011</v>
      </c>
      <c r="AA12" s="793">
        <f>+Input!ER304</f>
        <v>9.3509665100671491</v>
      </c>
      <c r="AB12" s="792">
        <f>+Input!ES304</f>
        <v>331.57710791275031</v>
      </c>
      <c r="AC12" s="793">
        <f>+Input!ET304</f>
        <v>11.267485876761851</v>
      </c>
      <c r="AD12" s="792">
        <f>+Input!EU304</f>
        <v>337.39672629335769</v>
      </c>
      <c r="AE12" s="793">
        <f>+Input!EV304</f>
        <v>6.0995994633200379</v>
      </c>
      <c r="AF12" s="792">
        <f>+Input!EW304</f>
        <v>340.34124317248745</v>
      </c>
      <c r="AG12" s="793">
        <f>+Input!EX304</f>
        <v>9.7874977975765951</v>
      </c>
      <c r="AH12" s="794"/>
      <c r="AI12" s="792">
        <f>+Input!GJ304</f>
        <v>1344</v>
      </c>
      <c r="AJ12" s="793"/>
      <c r="AK12" s="792">
        <f>+Input!GL304</f>
        <v>1320.5</v>
      </c>
      <c r="AL12" s="793">
        <f>+Input!GM304</f>
        <v>-1.7485119047619069</v>
      </c>
      <c r="AM12" s="792">
        <f>+Input!GN304</f>
        <v>1224</v>
      </c>
      <c r="AN12" s="793">
        <f>+Input!GO304</f>
        <v>-7.3078379401741778</v>
      </c>
      <c r="AO12" s="792">
        <f>+Input!GP304</f>
        <v>1335.1809575785969</v>
      </c>
      <c r="AP12" s="793">
        <f>+Input!GQ304</f>
        <v>9.0834115668788407</v>
      </c>
      <c r="AQ12" s="792">
        <f>+Input!GR304</f>
        <v>1423.1892655553743</v>
      </c>
      <c r="AR12" s="793">
        <f>+Input!GS304</f>
        <v>6.5914891518812357</v>
      </c>
      <c r="AS12" s="792">
        <f>+Input!GT304</f>
        <v>1494.3487288331453</v>
      </c>
      <c r="AT12" s="793">
        <f>+Input!GU304</f>
        <v>5.0000000000001599</v>
      </c>
      <c r="AU12" s="792">
        <f>+Input!GV304</f>
        <v>1578.0766688355261</v>
      </c>
      <c r="AV12" s="793">
        <f>+Input!GW304</f>
        <v>5.6029719426843094</v>
      </c>
      <c r="AW12" s="792">
        <f>+Input!GX304</f>
        <v>1649.4048214793954</v>
      </c>
      <c r="AX12" s="793">
        <f>+Input!GY304</f>
        <v>4.5199421582287735</v>
      </c>
      <c r="AY12" s="906">
        <f>+Input!GZ304</f>
        <v>6.1473529426129936</v>
      </c>
    </row>
    <row r="13" spans="1:52" s="772" customFormat="1" ht="12.75" customHeight="1" x14ac:dyDescent="0.2">
      <c r="A13" s="907" t="str">
        <f>Input!B619</f>
        <v>Latin Americas</v>
      </c>
      <c r="B13" s="792">
        <f>+Input!DS337</f>
        <v>149</v>
      </c>
      <c r="C13" s="793"/>
      <c r="D13" s="792">
        <f>+Input!DU337</f>
        <v>136</v>
      </c>
      <c r="E13" s="793"/>
      <c r="F13" s="792">
        <f>+Input!DW337</f>
        <v>125</v>
      </c>
      <c r="G13" s="793"/>
      <c r="H13" s="792">
        <f>+Input!DY337</f>
        <v>129</v>
      </c>
      <c r="I13" s="793"/>
      <c r="J13" s="792">
        <f>+Input!EA337</f>
        <v>164</v>
      </c>
      <c r="K13" s="793">
        <f>+Input!EB337</f>
        <v>10.067114093959727</v>
      </c>
      <c r="L13" s="792">
        <f>+Input!EC337</f>
        <v>139</v>
      </c>
      <c r="M13" s="793">
        <f>+Input!ED337</f>
        <v>2.2058823529411686</v>
      </c>
      <c r="N13" s="792">
        <f>+Input!EE337</f>
        <v>126</v>
      </c>
      <c r="O13" s="793">
        <f>+Input!EF337</f>
        <v>0.80000000000000071</v>
      </c>
      <c r="P13" s="792">
        <f>+Input!EG337</f>
        <v>122</v>
      </c>
      <c r="Q13" s="793">
        <f>+Input!EH337</f>
        <v>-5.4263565891472858</v>
      </c>
      <c r="R13" s="792">
        <f>+Input!EI337</f>
        <v>144</v>
      </c>
      <c r="S13" s="793">
        <f>+Input!EJ337</f>
        <v>-12.195121951219512</v>
      </c>
      <c r="T13" s="792">
        <f>+Input!EK337</f>
        <v>154</v>
      </c>
      <c r="U13" s="793">
        <f>+Input!EL337</f>
        <v>10.791366906474821</v>
      </c>
      <c r="V13" s="792">
        <f>+Input!EM337</f>
        <v>148</v>
      </c>
      <c r="W13" s="793">
        <f>+Input!EN337</f>
        <v>17.460317460317466</v>
      </c>
      <c r="X13" s="792">
        <f>+Input!EO337</f>
        <v>125</v>
      </c>
      <c r="Y13" s="793">
        <f>+Input!EP337</f>
        <v>2.4590163934426146</v>
      </c>
      <c r="Z13" s="792">
        <f>+Input!EQ337</f>
        <v>159.10263766067317</v>
      </c>
      <c r="AA13" s="793">
        <f>+Input!ER337</f>
        <v>10.487942819911922</v>
      </c>
      <c r="AB13" s="792">
        <f>+Input!ES337</f>
        <v>164.13026821766746</v>
      </c>
      <c r="AC13" s="793">
        <f>+Input!ET337</f>
        <v>6.5780962452386182</v>
      </c>
      <c r="AD13" s="792">
        <f>+Input!EU337</f>
        <v>173.16550235113667</v>
      </c>
      <c r="AE13" s="793">
        <f>+Input!EV337</f>
        <v>17.003717804822081</v>
      </c>
      <c r="AF13" s="792">
        <f>+Input!EW337</f>
        <v>142.64583127978617</v>
      </c>
      <c r="AG13" s="793">
        <f>+Input!EX337</f>
        <v>14.116665023828933</v>
      </c>
      <c r="AH13" s="794"/>
      <c r="AI13" s="792">
        <f>+Input!GJ337</f>
        <v>539</v>
      </c>
      <c r="AJ13" s="793"/>
      <c r="AK13" s="792">
        <f>+Input!GL337</f>
        <v>551</v>
      </c>
      <c r="AL13" s="793">
        <f>+Input!GM337</f>
        <v>2.226345083487935</v>
      </c>
      <c r="AM13" s="792">
        <f>+Input!GN337</f>
        <v>571</v>
      </c>
      <c r="AN13" s="793">
        <f>+Input!GO337</f>
        <v>3.6297640653357499</v>
      </c>
      <c r="AO13" s="792">
        <f>+Input!GP337</f>
        <v>639.04423950926457</v>
      </c>
      <c r="AP13" s="793">
        <f>+Input!GQ337</f>
        <v>11.916679423689057</v>
      </c>
      <c r="AQ13" s="792">
        <f>+Input!GR337</f>
        <v>690.08185539965496</v>
      </c>
      <c r="AR13" s="793">
        <f>+Input!GS337</f>
        <v>7.9865544096889396</v>
      </c>
      <c r="AS13" s="792">
        <f>+Input!GT337</f>
        <v>731.48676672363342</v>
      </c>
      <c r="AT13" s="793">
        <f>+Input!GU337</f>
        <v>5.9999999999998721</v>
      </c>
      <c r="AU13" s="792">
        <f>+Input!GV337</f>
        <v>775.37597272705182</v>
      </c>
      <c r="AV13" s="793">
        <f>+Input!GW337</f>
        <v>6.0000000000000497</v>
      </c>
      <c r="AW13" s="792">
        <f>+Input!GX337</f>
        <v>807.38310811694055</v>
      </c>
      <c r="AX13" s="793">
        <f>+Input!GY337</f>
        <v>4.1279503770689896</v>
      </c>
      <c r="AY13" s="906">
        <f>+Input!GZ337</f>
        <v>7.1738198968429812</v>
      </c>
    </row>
    <row r="14" spans="1:52" s="772" customFormat="1" ht="12.75" customHeight="1" x14ac:dyDescent="0.2">
      <c r="A14" s="907" t="str">
        <f>Input!B620</f>
        <v>EMEA</v>
      </c>
      <c r="B14" s="792">
        <f>+Input!DS372</f>
        <v>70</v>
      </c>
      <c r="C14" s="793"/>
      <c r="D14" s="792">
        <f>+Input!DU372</f>
        <v>50</v>
      </c>
      <c r="E14" s="793"/>
      <c r="F14" s="792">
        <f>+Input!DW372</f>
        <v>60</v>
      </c>
      <c r="G14" s="793"/>
      <c r="H14" s="792">
        <f>+Input!DY372</f>
        <v>54</v>
      </c>
      <c r="I14" s="793"/>
      <c r="J14" s="792">
        <f>+Input!EA372</f>
        <v>63</v>
      </c>
      <c r="K14" s="793">
        <f>+Input!EB372</f>
        <v>-9.9999999999999982</v>
      </c>
      <c r="L14" s="792">
        <f>+Input!EC372</f>
        <v>64</v>
      </c>
      <c r="M14" s="793">
        <f>+Input!ED372</f>
        <v>28.000000000000004</v>
      </c>
      <c r="N14" s="792">
        <f>+Input!EE372</f>
        <v>89.5</v>
      </c>
      <c r="O14" s="793">
        <f>+Input!EF372</f>
        <v>49.166666666666671</v>
      </c>
      <c r="P14" s="792">
        <f>+Input!EG372</f>
        <v>72</v>
      </c>
      <c r="Q14" s="793">
        <f>+Input!EH372</f>
        <v>33.333333333333329</v>
      </c>
      <c r="R14" s="792">
        <f>+Input!EI372</f>
        <v>75</v>
      </c>
      <c r="S14" s="793">
        <f>+Input!EJ372</f>
        <v>19.047619047619047</v>
      </c>
      <c r="T14" s="792">
        <f>+Input!EK372</f>
        <v>72</v>
      </c>
      <c r="U14" s="793">
        <f>+Input!EL372</f>
        <v>12.5</v>
      </c>
      <c r="V14" s="792">
        <f>+Input!EM372</f>
        <v>79</v>
      </c>
      <c r="W14" s="793">
        <f>+Input!EN372</f>
        <v>-11.731843575418999</v>
      </c>
      <c r="X14" s="792">
        <f>+Input!EO372</f>
        <v>79</v>
      </c>
      <c r="Y14" s="793">
        <f>+Input!EP372</f>
        <v>9.7222222222222321</v>
      </c>
      <c r="Z14" s="792">
        <f>+Input!EQ372</f>
        <v>77.266012000000003</v>
      </c>
      <c r="AA14" s="793">
        <f>+Input!ER372</f>
        <v>3.0213493333333341</v>
      </c>
      <c r="AB14" s="792">
        <f>+Input!ES372</f>
        <v>78.475265740000012</v>
      </c>
      <c r="AC14" s="793">
        <f>+Input!ET372</f>
        <v>8.9934246388889036</v>
      </c>
      <c r="AD14" s="792">
        <f>+Input!EU372</f>
        <v>79.703663557300032</v>
      </c>
      <c r="AE14" s="793">
        <f>+Input!EV372</f>
        <v>0.89071336367092524</v>
      </c>
      <c r="AF14" s="792">
        <f>+Input!EW372</f>
        <v>80.951512718483372</v>
      </c>
      <c r="AG14" s="793">
        <f>+Input!EX372</f>
        <v>2.4702692639029911</v>
      </c>
      <c r="AH14" s="794"/>
      <c r="AI14" s="792">
        <f>+Input!GJ372</f>
        <v>234</v>
      </c>
      <c r="AJ14" s="793"/>
      <c r="AK14" s="792">
        <f>+Input!GL372</f>
        <v>288.5</v>
      </c>
      <c r="AL14" s="793">
        <f>+Input!GM372</f>
        <v>23.290598290598297</v>
      </c>
      <c r="AM14" s="792">
        <f>+Input!GN372</f>
        <v>305</v>
      </c>
      <c r="AN14" s="793">
        <f>+Input!GO372</f>
        <v>5.7192374350086617</v>
      </c>
      <c r="AO14" s="792">
        <f>+Input!GP372</f>
        <v>316.39645401578309</v>
      </c>
      <c r="AP14" s="793">
        <f>+Input!GQ372</f>
        <v>3.736542300256751</v>
      </c>
      <c r="AQ14" s="792">
        <f>+Input!GR372</f>
        <v>369.42719461907711</v>
      </c>
      <c r="AR14" s="793">
        <f>+Input!GS372</f>
        <v>16.760851751090943</v>
      </c>
      <c r="AS14" s="792">
        <f>+Input!GT372</f>
        <v>402.67564213479449</v>
      </c>
      <c r="AT14" s="793">
        <f>+Input!GU372</f>
        <v>9.000000000000119</v>
      </c>
      <c r="AU14" s="792">
        <f>+Input!GV372</f>
        <v>438.91644992692551</v>
      </c>
      <c r="AV14" s="793">
        <f>+Input!GW372</f>
        <v>8.9999999999998757</v>
      </c>
      <c r="AW14" s="792">
        <f>+Input!GX372</f>
        <v>451.52328848730298</v>
      </c>
      <c r="AX14" s="793">
        <f>+Input!GY372</f>
        <v>2.8722638585262361</v>
      </c>
      <c r="AY14" s="906">
        <f>+Input!GZ372</f>
        <v>8.1623372254112212</v>
      </c>
    </row>
    <row r="15" spans="1:52" s="772" customFormat="1" ht="12.75" customHeight="1" x14ac:dyDescent="0.2">
      <c r="A15" s="904" t="str">
        <f>Input!B621</f>
        <v>Total International</v>
      </c>
      <c r="B15" s="792">
        <f>B13+B12+B14</f>
        <v>546</v>
      </c>
      <c r="C15" s="796"/>
      <c r="D15" s="792">
        <f>D13+D12+D14</f>
        <v>550</v>
      </c>
      <c r="E15" s="796"/>
      <c r="F15" s="792">
        <f>F13+F12+F14</f>
        <v>524</v>
      </c>
      <c r="G15" s="796"/>
      <c r="H15" s="792">
        <f>H13+H12+H14</f>
        <v>497</v>
      </c>
      <c r="I15" s="796"/>
      <c r="J15" s="792">
        <f>J13+J12+J14</f>
        <v>532</v>
      </c>
      <c r="K15" s="796">
        <f t="shared" ref="K15:Y16" si="0">IF(ISERROR((J15/B15-1)*100),"NA",IF(((J15/B15-1)*100)&gt;100,"NM",IF(((J15/B15-1)*100)&lt;-50,"NM",(J15/B15-1)*100)))</f>
        <v>-2.5641025641025661</v>
      </c>
      <c r="L15" s="792">
        <f>L13+L12+L14</f>
        <v>516</v>
      </c>
      <c r="M15" s="796">
        <f t="shared" ref="M15" si="1">IF(ISERROR((L15/D15-1)*100),"NA",IF(((L15/D15-1)*100)&gt;100,"NM",IF(((L15/D15-1)*100)&lt;-50,"NM",(L15/D15-1)*100)))</f>
        <v>-6.1818181818181772</v>
      </c>
      <c r="N15" s="792">
        <f>N13+N12+N14</f>
        <v>564</v>
      </c>
      <c r="O15" s="796">
        <f t="shared" ref="O15" si="2">IF(ISERROR((N15/F15-1)*100),"NA",IF(((N15/F15-1)*100)&gt;100,"NM",IF(((N15/F15-1)*100)&lt;-50,"NM",(N15/F15-1)*100)))</f>
        <v>7.6335877862595325</v>
      </c>
      <c r="P15" s="792">
        <f>P13+P12+P14</f>
        <v>548</v>
      </c>
      <c r="Q15" s="796">
        <f t="shared" ref="Q15" si="3">IF(ISERROR((P15/H15-1)*100),"NA",IF(((P15/H15-1)*100)&gt;100,"NM",IF(((P15/H15-1)*100)&lt;-50,"NM",(P15/H15-1)*100)))</f>
        <v>10.261569416498983</v>
      </c>
      <c r="R15" s="792">
        <f>R13+R12+R14</f>
        <v>517</v>
      </c>
      <c r="S15" s="796">
        <f t="shared" ref="S15" si="4">IF(ISERROR((R15/J15-1)*100),"NA",IF(((R15/J15-1)*100)&gt;100,"NM",IF(((R15/J15-1)*100)&lt;-50,"NM",(R15/J15-1)*100)))</f>
        <v>-2.8195488721804551</v>
      </c>
      <c r="T15" s="792">
        <f>T13+T12+T14</f>
        <v>524</v>
      </c>
      <c r="U15" s="796">
        <f t="shared" ref="U15" si="5">IF(ISERROR((T15/L15-1)*100),"NA",IF(((T15/L15-1)*100)&gt;100,"NM",IF(((T15/L15-1)*100)&lt;-50,"NM",(T15/L15-1)*100)))</f>
        <v>1.5503875968992276</v>
      </c>
      <c r="V15" s="792">
        <f>V13+V12+V14</f>
        <v>545</v>
      </c>
      <c r="W15" s="796">
        <f t="shared" ref="W15" si="6">IF(ISERROR((V15/N15-1)*100),"NA",IF(((V15/N15-1)*100)&gt;100,"NM",IF(((V15/N15-1)*100)&lt;-50,"NM",(V15/N15-1)*100)))</f>
        <v>-3.3687943262411313</v>
      </c>
      <c r="X15" s="792">
        <f>X13+X12+X14</f>
        <v>514</v>
      </c>
      <c r="Y15" s="796">
        <f t="shared" ref="Y15" si="7">IF(ISERROR((X15/P15-1)*100),"NA",IF(((X15/P15-1)*100)&gt;100,"NM",IF(((X15/P15-1)*100)&lt;-50,"NM",(X15/P15-1)*100)))</f>
        <v>-6.204379562043794</v>
      </c>
      <c r="Z15" s="792">
        <f>Z13+Z12+Z14</f>
        <v>562.23452986067332</v>
      </c>
      <c r="AA15" s="796">
        <f t="shared" ref="AA15:AA16" si="8">IF(ISERROR((Z15/R15-1)*100),"NA",IF(((Z15/R15-1)*100)&gt;100,"NM",IF(((Z15/R15-1)*100)&lt;-50,"NM",(Z15/R15-1)*100)))</f>
        <v>8.7494255049658243</v>
      </c>
      <c r="AB15" s="792">
        <f>AB13+AB12+AB14</f>
        <v>574.1826418704178</v>
      </c>
      <c r="AC15" s="796">
        <f t="shared" ref="AC15:AC16" si="9">IF(ISERROR((AB15/T15-1)*100),"NA",IF(((AB15/T15-1)*100)&gt;100,"NM",IF(((AB15/T15-1)*100)&lt;-50,"NM",(AB15/T15-1)*100)))</f>
        <v>9.5768400516064389</v>
      </c>
      <c r="AD15" s="792">
        <f>AD13+AD12+AD14</f>
        <v>590.26589220179437</v>
      </c>
      <c r="AE15" s="796">
        <f t="shared" ref="AE15:AE16" si="10">IF(ISERROR((AD15/V15-1)*100),"NA",IF(((AD15/V15-1)*100)&gt;100,"NM",IF(((AD15/V15-1)*100)&lt;-50,"NM",(AD15/V15-1)*100)))</f>
        <v>8.3056682939072211</v>
      </c>
      <c r="AF15" s="792">
        <f>AF13+AF12+AF14</f>
        <v>563.93858717075705</v>
      </c>
      <c r="AG15" s="796">
        <f t="shared" ref="AG15:AG16" si="11">IF(ISERROR((AF15/X15-1)*100),"NA",IF(((AF15/X15-1)*100)&gt;100,"NM",IF(((AF15/X15-1)*100)&lt;-50,"NM",(AF15/X15-1)*100)))</f>
        <v>9.7156784378904746</v>
      </c>
      <c r="AH15" s="794"/>
      <c r="AI15" s="792">
        <f>AI13+AI12+AI14</f>
        <v>2117</v>
      </c>
      <c r="AJ15" s="796"/>
      <c r="AK15" s="792">
        <f>AK13+AK12+AK14</f>
        <v>2160</v>
      </c>
      <c r="AL15" s="796">
        <f>IF(ISERROR((AK15/AI15-1)*100),"NA",IF(((AK15/AI15-1)*100)&gt;100,"NM",IF(((AK15/AI15-1)*100)&lt;-50,"NM",(AK15/AI15-1)*100)))</f>
        <v>2.0311761927255478</v>
      </c>
      <c r="AM15" s="792">
        <f>AM13+AM12+AM14</f>
        <v>2100</v>
      </c>
      <c r="AN15" s="796">
        <f>IF(ISERROR((AM15/AK15-1)*100),"NA",IF(((AM15/AK15-1)*100)&gt;100,"NM",IF(((AM15/AK15-1)*100)&lt;-50,"NM",(AM15/AK15-1)*100)))</f>
        <v>-2.777777777777779</v>
      </c>
      <c r="AO15" s="792">
        <f>AO13+AO12+AO14</f>
        <v>2290.6216511036446</v>
      </c>
      <c r="AP15" s="796">
        <f>IF(ISERROR((AO15/AM15-1)*100),"NA",IF(((AO15/AM15-1)*100)&gt;100,"NM",IF(((AO15/AM15-1)*100)&lt;-50,"NM",(AO15/AM15-1)*100)))</f>
        <v>9.07722148112593</v>
      </c>
      <c r="AQ15" s="792">
        <f>AQ13+AQ12+AQ14</f>
        <v>2482.6983155741063</v>
      </c>
      <c r="AR15" s="796">
        <f>IF(ISERROR((AQ15/AO15-1)*100),"NA",IF(((AQ15/AO15-1)*100)&gt;100,"NM",IF(((AQ15/AO15-1)*100)&lt;-50,"NM",(AQ15/AO15-1)*100)))</f>
        <v>8.3853509538739157</v>
      </c>
      <c r="AS15" s="792">
        <f>AS13+AS12+AS14</f>
        <v>2628.5111376915734</v>
      </c>
      <c r="AT15" s="796">
        <f>IF(ISERROR((AS15/AQ15-1)*100),"NA",IF(((AS15/AQ15-1)*100)&gt;100,"NM",IF(((AS15/AQ15-1)*100)&lt;-50,"NM",(AS15/AQ15-1)*100)))</f>
        <v>5.8731591028509111</v>
      </c>
      <c r="AU15" s="792">
        <f>AU13+AU12+AU14</f>
        <v>2792.3690914895033</v>
      </c>
      <c r="AV15" s="796">
        <f>IF(ISERROR((AU15/AS15-1)*100),"NA",IF(((AU15/AS15-1)*100)&gt;100,"NM",IF(((AU15/AS15-1)*100)&lt;-50,"NM",(AU15/AS15-1)*100)))</f>
        <v>6.2338694878741885</v>
      </c>
      <c r="AW15" s="792">
        <f>AW13+AW12+AW14</f>
        <v>2908.3112180836388</v>
      </c>
      <c r="AX15" s="796">
        <f>IF(ISERROR((AW15/AU15-1)*100),"NA",IF(((AW15/AU15-1)*100)&gt;100,"NM",IF(((AW15/AU15-1)*100)&lt;-50,"NM",(AW15/AU15-1)*100)))</f>
        <v>4.1521060717761182</v>
      </c>
      <c r="AY15" s="906">
        <f t="shared" ref="AY15" si="12">IF(ISERROR(((AU15/AK15)^0.2-1)*100),"NA",IF((((AU15/AK15)^0.2-1)*100)&gt;100,"NM",IF((((AU15/AK15)^0.2-1)*100)&lt;-50,"NM",((AU15/AK15)^0.2-1)*100)))</f>
        <v>5.2698039702506083</v>
      </c>
    </row>
    <row r="16" spans="1:52" s="772" customFormat="1" ht="12.75" customHeight="1" x14ac:dyDescent="0.2">
      <c r="A16" s="907" t="str">
        <f>Input!B622</f>
        <v>MetLife Holdings</v>
      </c>
      <c r="B16" s="792">
        <f>+Input!DS505</f>
        <v>361</v>
      </c>
      <c r="C16" s="793"/>
      <c r="D16" s="792">
        <f>+Input!DU505</f>
        <v>373</v>
      </c>
      <c r="E16" s="793"/>
      <c r="F16" s="792">
        <f>+Input!DW505</f>
        <v>295</v>
      </c>
      <c r="G16" s="793"/>
      <c r="H16" s="792">
        <f>+Input!DY505</f>
        <v>298</v>
      </c>
      <c r="I16" s="793"/>
      <c r="J16" s="792">
        <f>+Input!EA505</f>
        <v>275</v>
      </c>
      <c r="K16" s="796">
        <f t="shared" si="0"/>
        <v>-23.822714681440438</v>
      </c>
      <c r="L16" s="792">
        <f>+Input!EC505</f>
        <v>271</v>
      </c>
      <c r="M16" s="796">
        <f t="shared" si="0"/>
        <v>-27.345844504021443</v>
      </c>
      <c r="N16" s="792">
        <f>+Input!EE505</f>
        <v>295.5</v>
      </c>
      <c r="O16" s="796">
        <f t="shared" si="0"/>
        <v>0.16949152542373724</v>
      </c>
      <c r="P16" s="792">
        <f>+Input!EG505</f>
        <v>292</v>
      </c>
      <c r="Q16" s="796">
        <f t="shared" si="0"/>
        <v>-2.0134228187919434</v>
      </c>
      <c r="R16" s="792">
        <f>+Input!EI505</f>
        <v>310</v>
      </c>
      <c r="S16" s="796">
        <f t="shared" si="0"/>
        <v>12.72727272727272</v>
      </c>
      <c r="T16" s="792">
        <f>+Input!EK505</f>
        <v>277</v>
      </c>
      <c r="U16" s="796">
        <f t="shared" si="0"/>
        <v>2.2140221402213944</v>
      </c>
      <c r="V16" s="792">
        <f>+Input!EM505</f>
        <v>214</v>
      </c>
      <c r="W16" s="796">
        <f t="shared" si="0"/>
        <v>-27.580372250423014</v>
      </c>
      <c r="X16" s="792">
        <f>+Input!EO505</f>
        <v>242</v>
      </c>
      <c r="Y16" s="796">
        <f t="shared" si="0"/>
        <v>-17.12328767123288</v>
      </c>
      <c r="Z16" s="792">
        <f>+Input!EQ505</f>
        <v>250.87201721991224</v>
      </c>
      <c r="AA16" s="796">
        <f t="shared" si="8"/>
        <v>-19.073542832286371</v>
      </c>
      <c r="AB16" s="792">
        <f>+Input!ES505</f>
        <v>246.55755393923096</v>
      </c>
      <c r="AC16" s="796">
        <f t="shared" si="9"/>
        <v>-10.990052729519507</v>
      </c>
      <c r="AD16" s="792">
        <f>+Input!EU505</f>
        <v>243.99584278790275</v>
      </c>
      <c r="AE16" s="796">
        <f t="shared" si="10"/>
        <v>14.016748966309688</v>
      </c>
      <c r="AF16" s="792">
        <f>+Input!EW505</f>
        <v>240.85998423366195</v>
      </c>
      <c r="AG16" s="796">
        <f t="shared" si="11"/>
        <v>-0.4710808951810086</v>
      </c>
      <c r="AH16" s="794"/>
      <c r="AI16" s="792">
        <f>+Input!GJ505</f>
        <v>1327</v>
      </c>
      <c r="AJ16" s="793"/>
      <c r="AK16" s="792">
        <f>+Input!GL505</f>
        <v>1133.5</v>
      </c>
      <c r="AL16" s="796">
        <f>IF(ISERROR((AK16/AI16-1)*100),"NA",IF(((AK16/AI16-1)*100)&gt;100,"NM",IF(((AK16/AI16-1)*100)&lt;-50,"NM",(AK16/AI16-1)*100)))</f>
        <v>-14.581763376036172</v>
      </c>
      <c r="AM16" s="792">
        <f>+Input!GN505</f>
        <v>1043</v>
      </c>
      <c r="AN16" s="796">
        <f>IF(ISERROR((AM16/AK16-1)*100),"NA",IF(((AM16/AK16-1)*100)&gt;100,"NM",IF(((AM16/AK16-1)*100)&lt;-50,"NM",(AM16/AK16-1)*100)))</f>
        <v>-7.9841199823555309</v>
      </c>
      <c r="AO16" s="792">
        <f>+Input!GP505</f>
        <v>982.28539818070885</v>
      </c>
      <c r="AP16" s="796">
        <f>IF(ISERROR((AO16/AM16-1)*100),"NA",IF(((AO16/AM16-1)*100)&gt;100,"NM",IF(((AO16/AM16-1)*100)&lt;-50,"NM",(AO16/AM16-1)*100)))</f>
        <v>-5.8211507017537079</v>
      </c>
      <c r="AQ16" s="792">
        <f>+Input!GR505</f>
        <v>891.9831797757048</v>
      </c>
      <c r="AR16" s="796">
        <f>IF(ISERROR((AQ16/AO16-1)*100),"NA",IF(((AQ16/AO16-1)*100)&gt;100,"NM",IF(((AQ16/AO16-1)*100)&lt;-50,"NM",(AQ16/AO16-1)*100)))</f>
        <v>-9.1930734766344724</v>
      </c>
      <c r="AS16" s="792">
        <f>+Input!GT505</f>
        <v>803.76256455266844</v>
      </c>
      <c r="AT16" s="796">
        <f>IF(ISERROR((AS16/AQ16-1)*100),"NA",IF(((AS16/AQ16-1)*100)&gt;100,"NM",IF(((AS16/AQ16-1)*100)&lt;-50,"NM",(AS16/AQ16-1)*100)))</f>
        <v>-9.8903900009885923</v>
      </c>
      <c r="AU16" s="792">
        <f>+Input!GV505</f>
        <v>722.75003292063093</v>
      </c>
      <c r="AV16" s="796">
        <f>IF(ISERROR((AU16/AS16-1)*100),"NA",IF(((AU16/AS16-1)*100)&gt;100,"NM",IF(((AU16/AS16-1)*100)&lt;-50,"NM",(AU16/AS16-1)*100)))</f>
        <v>-10.079162081543913</v>
      </c>
      <c r="AW16" s="792">
        <f>+Input!GX505</f>
        <v>637.06022112696644</v>
      </c>
      <c r="AX16" s="796">
        <f>IF(ISERROR((AW16/AU16-1)*100),"NA",IF(((AW16/AU16-1)*100)&gt;100,"NM",IF(((AW16/AU16-1)*100)&lt;-50,"NM",(AW16/AU16-1)*100)))</f>
        <v>-11.856078573582652</v>
      </c>
      <c r="AY16" s="906">
        <f>+Input!GZ505</f>
        <v>-9.3893520721337271</v>
      </c>
    </row>
    <row r="17" spans="1:52" s="772" customFormat="1" ht="12.75" customHeight="1" x14ac:dyDescent="0.2">
      <c r="A17" s="907" t="str">
        <f>Input!B623</f>
        <v>Corporate &amp; Other</v>
      </c>
      <c r="B17" s="792">
        <f>+Input!DS544</f>
        <v>-151</v>
      </c>
      <c r="C17" s="793"/>
      <c r="D17" s="792">
        <f>+Input!DU544</f>
        <v>-176</v>
      </c>
      <c r="E17" s="793"/>
      <c r="F17" s="792">
        <f>+Input!DW544</f>
        <v>-142</v>
      </c>
      <c r="G17" s="793"/>
      <c r="H17" s="792">
        <f>+Input!DY544</f>
        <v>-187</v>
      </c>
      <c r="I17" s="793"/>
      <c r="J17" s="792">
        <f>+Input!EA544</f>
        <v>-186</v>
      </c>
      <c r="K17" s="793">
        <f>+Input!EB544</f>
        <v>23.178807947019877</v>
      </c>
      <c r="L17" s="792">
        <f>+Input!EC544</f>
        <v>-245</v>
      </c>
      <c r="M17" s="793">
        <f>+Input!ED544</f>
        <v>39.20454545454546</v>
      </c>
      <c r="N17" s="792">
        <f>+Input!EE544</f>
        <v>12</v>
      </c>
      <c r="O17" s="793" t="str">
        <f>+Input!EF544</f>
        <v>NM</v>
      </c>
      <c r="P17" s="792">
        <f>+Input!EG544</f>
        <v>-203</v>
      </c>
      <c r="Q17" s="793">
        <f>+Input!EH544</f>
        <v>8.5561497326203106</v>
      </c>
      <c r="R17" s="792">
        <f>+Input!EI544</f>
        <v>-65</v>
      </c>
      <c r="S17" s="793" t="str">
        <f>+Input!EJ544</f>
        <v>NM</v>
      </c>
      <c r="T17" s="792">
        <f>+Input!EK544</f>
        <v>-136</v>
      </c>
      <c r="U17" s="793">
        <f>+Input!EL544</f>
        <v>-44.489795918367349</v>
      </c>
      <c r="V17" s="792">
        <f>+Input!EM544</f>
        <v>-169</v>
      </c>
      <c r="W17" s="793" t="str">
        <f>+Input!EN544</f>
        <v>NM</v>
      </c>
      <c r="X17" s="792">
        <f>+Input!EO544</f>
        <v>-175</v>
      </c>
      <c r="Y17" s="793">
        <f>+Input!EP544</f>
        <v>-13.793103448275868</v>
      </c>
      <c r="Z17" s="792">
        <f>+Input!EQ544</f>
        <v>-202.60850000000002</v>
      </c>
      <c r="AA17" s="793" t="str">
        <f>+Input!ER544</f>
        <v>NM</v>
      </c>
      <c r="AB17" s="792">
        <f>+Input!ES544</f>
        <v>-203.641785</v>
      </c>
      <c r="AC17" s="793">
        <f>+Input!ET544</f>
        <v>49.736606617647048</v>
      </c>
      <c r="AD17" s="792">
        <f>+Input!EU544</f>
        <v>-204.68540284999997</v>
      </c>
      <c r="AE17" s="793">
        <f>+Input!EV544</f>
        <v>21.115622988165672</v>
      </c>
      <c r="AF17" s="792">
        <f>+Input!EW544</f>
        <v>-205.73945687849999</v>
      </c>
      <c r="AG17" s="793">
        <f>+Input!EX544</f>
        <v>17.565403930571421</v>
      </c>
      <c r="AH17" s="797"/>
      <c r="AI17" s="792">
        <f>+Input!GJ544</f>
        <v>-656</v>
      </c>
      <c r="AJ17" s="793"/>
      <c r="AK17" s="792">
        <f>+Input!GL544</f>
        <v>-622</v>
      </c>
      <c r="AL17" s="793">
        <f>+Input!GM544</f>
        <v>-5.1829268292682968</v>
      </c>
      <c r="AM17" s="792">
        <f>+Input!GN544</f>
        <v>-545</v>
      </c>
      <c r="AN17" s="793">
        <f>+Input!GO544</f>
        <v>-12.37942122186495</v>
      </c>
      <c r="AO17" s="792">
        <f>+Input!GP544</f>
        <v>-816.67514472850007</v>
      </c>
      <c r="AP17" s="793">
        <f>+Input!GQ544</f>
        <v>49.848650408899097</v>
      </c>
      <c r="AQ17" s="792">
        <f>+Input!GR544</f>
        <v>-817.4698606120719</v>
      </c>
      <c r="AR17" s="793">
        <f>+Input!GS544</f>
        <v>9.7311138792655072E-2</v>
      </c>
      <c r="AS17" s="792">
        <f>+Input!GT544</f>
        <v>-733.9362878157126</v>
      </c>
      <c r="AT17" s="793">
        <f>+Input!GU544</f>
        <v>-10.218550777372315</v>
      </c>
      <c r="AU17" s="792">
        <f>+Input!GV544</f>
        <v>-720.48130331143943</v>
      </c>
      <c r="AV17" s="793">
        <f>+Input!GW544</f>
        <v>-1.8332632856071118</v>
      </c>
      <c r="AW17" s="792">
        <f>+Input!GX544</f>
        <v>-707.09954279361193</v>
      </c>
      <c r="AX17" s="793">
        <f>+Input!GY544</f>
        <v>-1.8573362634565216</v>
      </c>
      <c r="AY17" s="906">
        <f>+Input!GZ544</f>
        <v>5.345699406697868</v>
      </c>
    </row>
    <row r="18" spans="1:52" s="772" customFormat="1" ht="12.75" customHeight="1" x14ac:dyDescent="0.2">
      <c r="A18" s="907" t="str">
        <f>Input!B625</f>
        <v>Brighthouse Financial</v>
      </c>
      <c r="B18" s="792">
        <f>+Input!DS581</f>
        <v>0</v>
      </c>
      <c r="C18" s="793"/>
      <c r="D18" s="792">
        <f>+Input!DU581</f>
        <v>0</v>
      </c>
      <c r="E18" s="793"/>
      <c r="F18" s="792">
        <f>+Input!DW581</f>
        <v>0</v>
      </c>
      <c r="G18" s="793"/>
      <c r="H18" s="792">
        <f>+Input!DY581</f>
        <v>0</v>
      </c>
      <c r="I18" s="793"/>
      <c r="J18" s="792">
        <f>+Input!EA581</f>
        <v>0</v>
      </c>
      <c r="K18" s="793">
        <f>+Input!EB581</f>
        <v>0</v>
      </c>
      <c r="L18" s="792">
        <f>+Input!EC581</f>
        <v>0</v>
      </c>
      <c r="M18" s="793">
        <f>+Input!ED581</f>
        <v>0</v>
      </c>
      <c r="N18" s="792">
        <f>+Input!EE581</f>
        <v>0</v>
      </c>
      <c r="O18" s="793">
        <f>+Input!EF581</f>
        <v>0</v>
      </c>
      <c r="P18" s="792">
        <f>+Input!EG581</f>
        <v>0</v>
      </c>
      <c r="Q18" s="793">
        <f>+Input!EH581</f>
        <v>0</v>
      </c>
      <c r="R18" s="792">
        <f>+Input!EI581</f>
        <v>0</v>
      </c>
      <c r="S18" s="793">
        <f>+Input!EJ581</f>
        <v>0</v>
      </c>
      <c r="T18" s="792">
        <f>+Input!EK581</f>
        <v>0</v>
      </c>
      <c r="U18" s="793" t="str">
        <f>+Input!EL581</f>
        <v>NA</v>
      </c>
      <c r="V18" s="792">
        <f>+Input!EM581</f>
        <v>0</v>
      </c>
      <c r="W18" s="793">
        <f>+Input!EN581</f>
        <v>0</v>
      </c>
      <c r="X18" s="792">
        <f>+Input!EO581</f>
        <v>0</v>
      </c>
      <c r="Y18" s="793" t="str">
        <f>+Input!EP581</f>
        <v>NA</v>
      </c>
      <c r="Z18" s="792">
        <f>+Input!EQ581</f>
        <v>0</v>
      </c>
      <c r="AA18" s="793" t="str">
        <f>+Input!ER581</f>
        <v>NA</v>
      </c>
      <c r="AB18" s="792">
        <f>+Input!ES581</f>
        <v>0</v>
      </c>
      <c r="AC18" s="793" t="str">
        <f>+Input!ET581</f>
        <v>NA</v>
      </c>
      <c r="AD18" s="792">
        <f>+Input!EU581</f>
        <v>0</v>
      </c>
      <c r="AE18" s="793" t="str">
        <f>+Input!EV581</f>
        <v>NA</v>
      </c>
      <c r="AF18" s="792">
        <f>+Input!EW581</f>
        <v>0</v>
      </c>
      <c r="AG18" s="793" t="str">
        <f>+Input!EX581</f>
        <v>NA</v>
      </c>
      <c r="AH18" s="794"/>
      <c r="AI18" s="792">
        <f>+Input!GJ581</f>
        <v>0</v>
      </c>
      <c r="AJ18" s="793"/>
      <c r="AK18" s="792">
        <f>+Input!GL581</f>
        <v>0</v>
      </c>
      <c r="AL18" s="793" t="str">
        <f>+Input!GM581</f>
        <v>NA</v>
      </c>
      <c r="AM18" s="792">
        <f>+Input!GN581</f>
        <v>0</v>
      </c>
      <c r="AN18" s="793" t="str">
        <f>+Input!GO581</f>
        <v>NA</v>
      </c>
      <c r="AO18" s="792">
        <f>+Input!GP581</f>
        <v>0</v>
      </c>
      <c r="AP18" s="793" t="str">
        <f>+Input!GQ581</f>
        <v>NA</v>
      </c>
      <c r="AQ18" s="792">
        <f>+Input!GR581</f>
        <v>0</v>
      </c>
      <c r="AR18" s="793" t="str">
        <f>+Input!GS581</f>
        <v>NA</v>
      </c>
      <c r="AS18" s="792">
        <f>+Input!GT581</f>
        <v>0</v>
      </c>
      <c r="AT18" s="793">
        <f>+Input!GU581</f>
        <v>0</v>
      </c>
      <c r="AU18" s="792">
        <f>+Input!GV581</f>
        <v>0</v>
      </c>
      <c r="AV18" s="793" t="str">
        <f>+Input!GW581</f>
        <v>NA</v>
      </c>
      <c r="AW18" s="792">
        <f>+Input!GX581</f>
        <v>0</v>
      </c>
      <c r="AX18" s="793" t="str">
        <f>+Input!GY581</f>
        <v>NA</v>
      </c>
      <c r="AY18" s="906" t="str">
        <f>+Input!GZ581</f>
        <v>NA</v>
      </c>
    </row>
    <row r="19" spans="1:52" s="772" customFormat="1" ht="4.5" customHeight="1" x14ac:dyDescent="0.2">
      <c r="A19" s="907"/>
      <c r="B19" s="792"/>
      <c r="C19" s="793"/>
      <c r="D19" s="792"/>
      <c r="E19" s="793"/>
      <c r="F19" s="792"/>
      <c r="G19" s="793"/>
      <c r="H19" s="792"/>
      <c r="I19" s="793"/>
      <c r="J19" s="792"/>
      <c r="K19" s="793"/>
      <c r="L19" s="792"/>
      <c r="M19" s="793"/>
      <c r="N19" s="792"/>
      <c r="O19" s="793"/>
      <c r="P19" s="792"/>
      <c r="Q19" s="793"/>
      <c r="R19" s="792"/>
      <c r="S19" s="793"/>
      <c r="T19" s="792"/>
      <c r="U19" s="793"/>
      <c r="V19" s="792"/>
      <c r="W19" s="793"/>
      <c r="X19" s="792"/>
      <c r="Y19" s="793"/>
      <c r="Z19" s="792"/>
      <c r="AA19" s="793"/>
      <c r="AB19" s="792"/>
      <c r="AC19" s="793"/>
      <c r="AD19" s="792"/>
      <c r="AE19" s="793"/>
      <c r="AF19" s="792"/>
      <c r="AG19" s="793"/>
      <c r="AH19" s="797"/>
      <c r="AI19" s="792"/>
      <c r="AJ19" s="793"/>
      <c r="AK19" s="792"/>
      <c r="AL19" s="793"/>
      <c r="AM19" s="792"/>
      <c r="AN19" s="793"/>
      <c r="AO19" s="792"/>
      <c r="AP19" s="793"/>
      <c r="AQ19" s="792"/>
      <c r="AR19" s="793"/>
      <c r="AS19" s="792"/>
      <c r="AT19" s="793"/>
      <c r="AU19" s="792"/>
      <c r="AV19" s="793"/>
      <c r="AW19" s="792"/>
      <c r="AX19" s="793"/>
      <c r="AY19" s="906"/>
    </row>
    <row r="20" spans="1:52" s="772" customFormat="1" ht="12.75" customHeight="1" x14ac:dyDescent="0.2">
      <c r="A20" s="904" t="s">
        <v>253</v>
      </c>
      <c r="B20" s="795">
        <f>+Input!DS628</f>
        <v>1282</v>
      </c>
      <c r="C20" s="793"/>
      <c r="D20" s="795">
        <f>+Input!DU628</f>
        <v>1298</v>
      </c>
      <c r="E20" s="793"/>
      <c r="F20" s="795">
        <f>+Input!DW628</f>
        <v>1152</v>
      </c>
      <c r="G20" s="793"/>
      <c r="H20" s="795">
        <f>+Input!DY628</f>
        <v>1057</v>
      </c>
      <c r="I20" s="793"/>
      <c r="J20" s="795">
        <f>+Input!EA628</f>
        <v>1105</v>
      </c>
      <c r="K20" s="793">
        <f>+Input!EB628</f>
        <v>-13.806552262090488</v>
      </c>
      <c r="L20" s="795">
        <f>+Input!EC628</f>
        <v>1025</v>
      </c>
      <c r="M20" s="793">
        <f>+Input!ED628</f>
        <v>-21.032357473035436</v>
      </c>
      <c r="N20" s="795">
        <f>+Input!EE628</f>
        <v>1405.2</v>
      </c>
      <c r="O20" s="793">
        <f>+Input!EF628</f>
        <v>21.979166666666661</v>
      </c>
      <c r="P20" s="795">
        <f>+Input!EG628</f>
        <v>1148</v>
      </c>
      <c r="Q20" s="793">
        <f>+Input!EH628</f>
        <v>8.6092715231788084</v>
      </c>
      <c r="R20" s="795">
        <f>+Input!EI628</f>
        <v>1282</v>
      </c>
      <c r="S20" s="793">
        <f>+Input!EJ628</f>
        <v>16.018099547511323</v>
      </c>
      <c r="T20" s="795">
        <f>+Input!EK628</f>
        <v>1158</v>
      </c>
      <c r="U20" s="793">
        <f>+Input!EL628</f>
        <v>12.975609756097551</v>
      </c>
      <c r="V20" s="795">
        <f>+Input!EM628</f>
        <v>1129</v>
      </c>
      <c r="W20" s="793">
        <f>+Input!EN628</f>
        <v>-19.655565044121836</v>
      </c>
      <c r="X20" s="795">
        <f>+Input!EO628</f>
        <v>1141</v>
      </c>
      <c r="Y20" s="793">
        <f>+Input!EP628</f>
        <v>-0.60975609756097615</v>
      </c>
      <c r="Z20" s="795">
        <f>+Input!EQ628</f>
        <v>1227.8759053276194</v>
      </c>
      <c r="AA20" s="793">
        <f>+Input!ER628</f>
        <v>-4.2218482583760153</v>
      </c>
      <c r="AB20" s="795">
        <f>+Input!ES628</f>
        <v>1227.0519622517065</v>
      </c>
      <c r="AC20" s="793">
        <f>+Input!ET628</f>
        <v>5.9630364638779465</v>
      </c>
      <c r="AD20" s="795">
        <f>+Input!EU628</f>
        <v>1240.6753955390393</v>
      </c>
      <c r="AE20" s="793">
        <f>+Input!EV628</f>
        <v>9.8915319343701782</v>
      </c>
      <c r="AF20" s="795">
        <f>+Input!EW628</f>
        <v>1252.7110350702385</v>
      </c>
      <c r="AG20" s="793">
        <f>+Input!EX628</f>
        <v>9.7906253348149406</v>
      </c>
      <c r="AH20" s="797"/>
      <c r="AI20" s="795">
        <f>+Input!GJ628</f>
        <v>4789</v>
      </c>
      <c r="AJ20" s="793"/>
      <c r="AK20" s="795">
        <f>+Input!GL628</f>
        <v>4683.2</v>
      </c>
      <c r="AL20" s="793">
        <f>+Input!GM628</f>
        <v>-2.2092294842347093</v>
      </c>
      <c r="AM20" s="795">
        <f>+Input!GN628</f>
        <v>4710</v>
      </c>
      <c r="AN20" s="793">
        <f>+Input!GO628</f>
        <v>0.57225828493339126</v>
      </c>
      <c r="AO20" s="795">
        <f>+Input!GP628</f>
        <v>4948.314298188604</v>
      </c>
      <c r="AP20" s="793">
        <f>+Input!GQ628</f>
        <v>5.059751553898173</v>
      </c>
      <c r="AQ20" s="795">
        <f>+Input!GR628</f>
        <v>5136.7764122477884</v>
      </c>
      <c r="AR20" s="793">
        <f>+Input!GS628</f>
        <v>3.808612442588255</v>
      </c>
      <c r="AS20" s="795">
        <f>+Input!GT628</f>
        <v>5337.7113438185688</v>
      </c>
      <c r="AT20" s="793">
        <f>+Input!GU628</f>
        <v>3.911693160163332</v>
      </c>
      <c r="AU20" s="795">
        <f>+Input!GV628</f>
        <v>5496.0002922144995</v>
      </c>
      <c r="AV20" s="793">
        <f>+Input!GW628</f>
        <v>2.9654834853375833</v>
      </c>
      <c r="AW20" s="795">
        <f>+Input!GX628</f>
        <v>5606.6769994248834</v>
      </c>
      <c r="AX20" s="793">
        <f>+Input!GY628</f>
        <v>2.0137682191750494</v>
      </c>
      <c r="AY20" s="906">
        <f>+Input!GZ628</f>
        <v>3.5468581650556885</v>
      </c>
    </row>
    <row r="21" spans="1:52" s="801" customFormat="1" ht="12.75" hidden="1" customHeight="1" outlineLevel="1" x14ac:dyDescent="0.2">
      <c r="A21" s="908" t="s">
        <v>254</v>
      </c>
      <c r="B21" s="798">
        <f>(B8+B9+B10+B13+B12+B14+B16+B17+B18)-B20</f>
        <v>0</v>
      </c>
      <c r="C21" s="798"/>
      <c r="D21" s="798">
        <f>(D8+D9+D10+D13+D12+D14+D16+D17+D18)-D20</f>
        <v>0</v>
      </c>
      <c r="E21" s="799"/>
      <c r="F21" s="798">
        <f>(F8+F9+F10+F13+F12+F14+F16+F17+F18)-F20</f>
        <v>0</v>
      </c>
      <c r="G21" s="799"/>
      <c r="H21" s="798">
        <f>(H8+H9+H10+H13+H12+H14+H16+H17+H18)-H20</f>
        <v>0</v>
      </c>
      <c r="I21" s="799"/>
      <c r="J21" s="798">
        <f>(J8+J9+J10+J13+J12+J14+J16+J17+J18)-J20</f>
        <v>0</v>
      </c>
      <c r="K21" s="799"/>
      <c r="L21" s="798">
        <f>(L8+L9+L10+L13+L12+L14+L16+L17+L18)-L20</f>
        <v>0</v>
      </c>
      <c r="M21" s="799"/>
      <c r="N21" s="798">
        <f>(N8+N9+N10+N13+N12+N14+N16+N17+N18)-N20</f>
        <v>0</v>
      </c>
      <c r="O21" s="799"/>
      <c r="P21" s="798">
        <f>(P8+P9+P10+P13+P12+P14+P16+P17+P18)-P20</f>
        <v>0</v>
      </c>
      <c r="Q21" s="799"/>
      <c r="R21" s="798">
        <f>(R8+R9+R10+R13+R12+R14+R16+R17+R18)-R20</f>
        <v>0</v>
      </c>
      <c r="S21" s="799"/>
      <c r="T21" s="798">
        <f>(T8+T9+T10+T13+T12+T14+T16+T17+T18)-T20</f>
        <v>0</v>
      </c>
      <c r="U21" s="799"/>
      <c r="V21" s="798">
        <f>(V8+V9+V10+V13+V12+V14+V16+V17+V18)-V20</f>
        <v>0</v>
      </c>
      <c r="W21" s="799"/>
      <c r="X21" s="798">
        <f>(X8+X9+X10+X13+X12+X14+X16+X17+X18)-X20</f>
        <v>0</v>
      </c>
      <c r="Y21" s="799"/>
      <c r="Z21" s="798">
        <f>(Z8+Z9+Z10+Z13+Z12+Z14+Z16+Z17+Z18)-Z20</f>
        <v>0</v>
      </c>
      <c r="AA21" s="799"/>
      <c r="AB21" s="798">
        <f>(AB8+AB9+AB10+AB13+AB12+AB14+AB16+AB17+AB18)-AB20</f>
        <v>0</v>
      </c>
      <c r="AC21" s="799"/>
      <c r="AD21" s="798">
        <f>(AD8+AD9+AD10+AD13+AD12+AD14+AD16+AD17+AD18)-AD20</f>
        <v>0</v>
      </c>
      <c r="AE21" s="799"/>
      <c r="AF21" s="798">
        <f>(AF8+AF9+AF10+AF13+AF12+AF14+AF16+AF17+AF18)-AF20</f>
        <v>0</v>
      </c>
      <c r="AG21" s="799"/>
      <c r="AH21" s="800"/>
      <c r="AI21" s="798">
        <f>(AI8+AI9+AI10+AI13+AI12+AI14+AI16+AI17+AI18)-AI20</f>
        <v>0</v>
      </c>
      <c r="AJ21" s="799"/>
      <c r="AK21" s="798">
        <f>(AK8+AK9+AK10+AK13+AK12+AK14+AK16+AK17+AK18)-AK20</f>
        <v>0</v>
      </c>
      <c r="AL21" s="799"/>
      <c r="AM21" s="798">
        <f>(AM8+AM9+AM10+AM13+AM12+AM14+AM16+AM17+AM18)-AM20</f>
        <v>0</v>
      </c>
      <c r="AN21" s="799"/>
      <c r="AO21" s="798">
        <f>(AO8+AO9+AO10+AO13+AO12+AO14+AO16+AO17+AO18)-AO20</f>
        <v>0</v>
      </c>
      <c r="AP21" s="799"/>
      <c r="AQ21" s="798">
        <f>(AQ8+AQ9+AQ10+AQ13+AQ12+AQ14+AQ16+AQ17+AQ18)-AQ20</f>
        <v>0</v>
      </c>
      <c r="AR21" s="799"/>
      <c r="AS21" s="798">
        <f>(AS8+AS9+AS10+AS13+AS12+AS14+AS16+AS17+AS18)-AS20</f>
        <v>0</v>
      </c>
      <c r="AT21" s="799"/>
      <c r="AU21" s="798">
        <f>(AU8+AU9+AU10+AU13+AU12+AU14+AU16+AU17+AU18)-AU20</f>
        <v>0</v>
      </c>
      <c r="AV21" s="799"/>
      <c r="AW21" s="798">
        <f>(AW8+AW9+AW10+AW13+AW12+AW14+AW16+AW17+AW18)-AW20</f>
        <v>0</v>
      </c>
      <c r="AX21" s="799"/>
      <c r="AY21" s="909"/>
    </row>
    <row r="22" spans="1:52" s="772" customFormat="1" ht="4.5" customHeight="1" collapsed="1" x14ac:dyDescent="0.2">
      <c r="A22" s="904"/>
      <c r="B22" s="795"/>
      <c r="C22" s="793"/>
      <c r="D22" s="795"/>
      <c r="E22" s="793"/>
      <c r="F22" s="795"/>
      <c r="G22" s="793"/>
      <c r="H22" s="795"/>
      <c r="I22" s="793"/>
      <c r="J22" s="795"/>
      <c r="K22" s="793"/>
      <c r="L22" s="795"/>
      <c r="M22" s="793"/>
      <c r="N22" s="795"/>
      <c r="O22" s="793"/>
      <c r="P22" s="795"/>
      <c r="Q22" s="793"/>
      <c r="R22" s="795"/>
      <c r="S22" s="793"/>
      <c r="T22" s="795"/>
      <c r="U22" s="793"/>
      <c r="V22" s="795"/>
      <c r="W22" s="793"/>
      <c r="X22" s="795"/>
      <c r="Y22" s="793"/>
      <c r="Z22" s="795"/>
      <c r="AA22" s="793"/>
      <c r="AB22" s="795"/>
      <c r="AC22" s="793"/>
      <c r="AD22" s="795"/>
      <c r="AE22" s="793"/>
      <c r="AF22" s="795"/>
      <c r="AG22" s="793"/>
      <c r="AH22" s="797"/>
      <c r="AI22" s="795"/>
      <c r="AJ22" s="793"/>
      <c r="AK22" s="795"/>
      <c r="AL22" s="793"/>
      <c r="AM22" s="795"/>
      <c r="AN22" s="793"/>
      <c r="AO22" s="795"/>
      <c r="AP22" s="793"/>
      <c r="AQ22" s="795"/>
      <c r="AR22" s="793"/>
      <c r="AS22" s="795"/>
      <c r="AT22" s="793"/>
      <c r="AU22" s="795"/>
      <c r="AV22" s="793"/>
      <c r="AW22" s="795"/>
      <c r="AX22" s="793"/>
      <c r="AY22" s="906"/>
    </row>
    <row r="23" spans="1:52" s="772" customFormat="1" ht="12.75" customHeight="1" x14ac:dyDescent="0.2">
      <c r="A23" s="907" t="s">
        <v>514</v>
      </c>
      <c r="B23" s="792">
        <f>+Input!DS627</f>
        <v>-16</v>
      </c>
      <c r="C23" s="793"/>
      <c r="D23" s="792">
        <f>+Input!DU627</f>
        <v>61</v>
      </c>
      <c r="E23" s="793"/>
      <c r="F23" s="792">
        <f>+Input!DW627</f>
        <v>-794</v>
      </c>
      <c r="G23" s="793"/>
      <c r="H23" s="792">
        <f>+Input!DY627</f>
        <v>-69</v>
      </c>
      <c r="I23" s="793"/>
      <c r="J23" s="792">
        <f>+Input!EA627</f>
        <v>-103</v>
      </c>
      <c r="K23" s="793" t="str">
        <f>+Input!EB627</f>
        <v>NM</v>
      </c>
      <c r="L23" s="792">
        <f>+Input!EC627</f>
        <v>-399</v>
      </c>
      <c r="M23" s="793" t="str">
        <f>+Input!ED627</f>
        <v>NM</v>
      </c>
      <c r="N23" s="792">
        <f>+Input!EE627</f>
        <v>-50.199999999999996</v>
      </c>
      <c r="O23" s="793" t="str">
        <f>+Input!EF627</f>
        <v>NM</v>
      </c>
      <c r="P23" s="792">
        <f>+Input!EG627</f>
        <v>-91</v>
      </c>
      <c r="Q23" s="793">
        <f>+Input!EH627</f>
        <v>31.884057971014499</v>
      </c>
      <c r="R23" s="792">
        <f>+Input!EI627</f>
        <v>39</v>
      </c>
      <c r="S23" s="793" t="str">
        <f>+Input!EJ627</f>
        <v>NM</v>
      </c>
      <c r="T23" s="792">
        <f>+Input!EK627</f>
        <v>-37</v>
      </c>
      <c r="U23" s="793" t="str">
        <f>+Input!EL627</f>
        <v>NM</v>
      </c>
      <c r="V23" s="792">
        <f>+Input!EM627</f>
        <v>-14</v>
      </c>
      <c r="W23" s="793" t="str">
        <f>+Input!EN627</f>
        <v>NM</v>
      </c>
      <c r="X23" s="792">
        <f>+Input!EO627</f>
        <v>-463</v>
      </c>
      <c r="Y23" s="793" t="str">
        <f>+Input!EP627</f>
        <v>NM</v>
      </c>
      <c r="Z23" s="792">
        <f>+Input!EQ627</f>
        <v>0</v>
      </c>
      <c r="AA23" s="793" t="str">
        <f>+Input!ER627</f>
        <v>NM</v>
      </c>
      <c r="AB23" s="792">
        <f>+Input!ES627</f>
        <v>0</v>
      </c>
      <c r="AC23" s="793" t="str">
        <f>+Input!ET627</f>
        <v>NM</v>
      </c>
      <c r="AD23" s="792">
        <f>+Input!EU627</f>
        <v>0</v>
      </c>
      <c r="AE23" s="793" t="str">
        <f>+Input!EV627</f>
        <v>NM</v>
      </c>
      <c r="AF23" s="792">
        <f>+Input!EW627</f>
        <v>0</v>
      </c>
      <c r="AG23" s="793" t="str">
        <f>+Input!EX627</f>
        <v>NM</v>
      </c>
      <c r="AH23" s="797"/>
      <c r="AI23" s="792">
        <f>+Input!GJ627</f>
        <v>-818</v>
      </c>
      <c r="AJ23" s="793"/>
      <c r="AK23" s="792">
        <f>+Input!GL627</f>
        <v>-643.20000000000005</v>
      </c>
      <c r="AL23" s="793">
        <f>+Input!GM627</f>
        <v>-21.369193154034228</v>
      </c>
      <c r="AM23" s="792">
        <f>+Input!GN627</f>
        <v>-475</v>
      </c>
      <c r="AN23" s="793">
        <f>+Input!GO627</f>
        <v>-26.15049751243782</v>
      </c>
      <c r="AO23" s="792">
        <f>+Input!GP627</f>
        <v>0</v>
      </c>
      <c r="AP23" s="793" t="str">
        <f>+Input!GQ627</f>
        <v>NM</v>
      </c>
      <c r="AQ23" s="792">
        <f>+Input!GR627</f>
        <v>0</v>
      </c>
      <c r="AR23" s="793" t="str">
        <f>+Input!GS627</f>
        <v>NA</v>
      </c>
      <c r="AS23" s="792">
        <f>+Input!GT627</f>
        <v>0</v>
      </c>
      <c r="AT23" s="793" t="str">
        <f>+Input!GU627</f>
        <v>NA</v>
      </c>
      <c r="AU23" s="792">
        <f>+Input!GV627</f>
        <v>0</v>
      </c>
      <c r="AV23" s="793" t="str">
        <f>+Input!GW627</f>
        <v>NA</v>
      </c>
      <c r="AW23" s="792">
        <f>+Input!GX627</f>
        <v>0</v>
      </c>
      <c r="AX23" s="793" t="str">
        <f>+Input!GY627</f>
        <v>NA</v>
      </c>
      <c r="AY23" s="906" t="str">
        <f>+Input!GZ627</f>
        <v>NM</v>
      </c>
    </row>
    <row r="24" spans="1:52" s="772" customFormat="1" ht="12.75" customHeight="1" x14ac:dyDescent="0.2">
      <c r="A24" s="904" t="s">
        <v>297</v>
      </c>
      <c r="B24" s="795">
        <f>Input!DS626</f>
        <v>1266</v>
      </c>
      <c r="C24" s="793"/>
      <c r="D24" s="795">
        <f>Input!DU626</f>
        <v>1359</v>
      </c>
      <c r="E24" s="793"/>
      <c r="F24" s="795">
        <f>Input!DW626</f>
        <v>358</v>
      </c>
      <c r="G24" s="793"/>
      <c r="H24" s="795">
        <f>Input!DY626</f>
        <v>988</v>
      </c>
      <c r="I24" s="793"/>
      <c r="J24" s="795">
        <f>Input!EA626</f>
        <v>1002</v>
      </c>
      <c r="K24" s="793">
        <f>Input!EB626</f>
        <v>-20.853080568720383</v>
      </c>
      <c r="L24" s="795">
        <f>Input!EC626</f>
        <v>626</v>
      </c>
      <c r="M24" s="793" t="str">
        <f>Input!ED626</f>
        <v>NM</v>
      </c>
      <c r="N24" s="795">
        <f>Input!EE626</f>
        <v>1355</v>
      </c>
      <c r="O24" s="793" t="str">
        <f>Input!EF626</f>
        <v>NM</v>
      </c>
      <c r="P24" s="795">
        <f>Input!EG626</f>
        <v>1057</v>
      </c>
      <c r="Q24" s="793">
        <f>Input!EH626</f>
        <v>6.9838056680161964</v>
      </c>
      <c r="R24" s="795">
        <f>Input!EI626</f>
        <v>1321</v>
      </c>
      <c r="S24" s="793">
        <f>Input!EJ626</f>
        <v>31.836327345309389</v>
      </c>
      <c r="T24" s="795">
        <f>Input!EK626</f>
        <v>1121</v>
      </c>
      <c r="U24" s="793">
        <f>Input!EL626</f>
        <v>79.073482428115</v>
      </c>
      <c r="V24" s="795">
        <f>Input!EM626</f>
        <v>1115</v>
      </c>
      <c r="W24" s="793">
        <f>Input!EN626</f>
        <v>-17.712177121771223</v>
      </c>
      <c r="X24" s="795">
        <f>Input!EO626</f>
        <v>678</v>
      </c>
      <c r="Y24" s="793">
        <f>Input!EP626</f>
        <v>-35.856196783349105</v>
      </c>
      <c r="Z24" s="795">
        <f>Input!EQ626</f>
        <v>1227.8759053276194</v>
      </c>
      <c r="AA24" s="793">
        <f>Input!ER626</f>
        <v>-7.049515115244553</v>
      </c>
      <c r="AB24" s="795">
        <f>Input!ES626</f>
        <v>1227.0519622517065</v>
      </c>
      <c r="AC24" s="793">
        <f>Input!ET626</f>
        <v>9.460478345379709</v>
      </c>
      <c r="AD24" s="795">
        <f>Input!EU626</f>
        <v>1240.6753955390393</v>
      </c>
      <c r="AE24" s="793">
        <f>Input!EV626</f>
        <v>11.271335922783798</v>
      </c>
      <c r="AF24" s="795">
        <f>Input!EW626</f>
        <v>1252.7110350702385</v>
      </c>
      <c r="AG24" s="793">
        <f>Input!EX626</f>
        <v>84.765639390890641</v>
      </c>
      <c r="AH24" s="802"/>
      <c r="AI24" s="795">
        <f>Input!GJ626</f>
        <v>3971</v>
      </c>
      <c r="AJ24" s="793"/>
      <c r="AK24" s="795">
        <f>Input!GL626</f>
        <v>4040</v>
      </c>
      <c r="AL24" s="793">
        <f>Input!GM626</f>
        <v>1.7375975824729384</v>
      </c>
      <c r="AM24" s="795">
        <f>Input!GN626</f>
        <v>4235</v>
      </c>
      <c r="AN24" s="793">
        <f>Input!GO626</f>
        <v>4.8267326732673199</v>
      </c>
      <c r="AO24" s="795">
        <f>Input!GP626</f>
        <v>4948.314298188604</v>
      </c>
      <c r="AP24" s="793">
        <f>Input!GQ626</f>
        <v>16.843312826177193</v>
      </c>
      <c r="AQ24" s="795">
        <f>Input!GR626</f>
        <v>5136.7764122477884</v>
      </c>
      <c r="AR24" s="793">
        <f>Input!GS626</f>
        <v>3.808612442588255</v>
      </c>
      <c r="AS24" s="795">
        <f>Input!GT626</f>
        <v>5337.7113438185688</v>
      </c>
      <c r="AT24" s="793">
        <f>Input!GU626</f>
        <v>3.911693160163332</v>
      </c>
      <c r="AU24" s="795">
        <f>Input!GV626</f>
        <v>5496.0002922144995</v>
      </c>
      <c r="AV24" s="793">
        <f>Input!GW626</f>
        <v>2.9654834853375833</v>
      </c>
      <c r="AW24" s="795">
        <f>Input!GX626</f>
        <v>5606.6769994248834</v>
      </c>
      <c r="AX24" s="793">
        <f>Input!GY626</f>
        <v>2.0137682191750494</v>
      </c>
      <c r="AY24" s="906">
        <f>Input!GZ626</f>
        <v>5.7719289229313242</v>
      </c>
    </row>
    <row r="25" spans="1:52" s="801" customFormat="1" ht="12.75" hidden="1" customHeight="1" outlineLevel="1" x14ac:dyDescent="0.2">
      <c r="A25" s="908" t="s">
        <v>254</v>
      </c>
      <c r="B25" s="798">
        <f>(B20+B23)-B24</f>
        <v>0</v>
      </c>
      <c r="C25" s="799"/>
      <c r="D25" s="798">
        <f>(D20+D23)-D24</f>
        <v>0</v>
      </c>
      <c r="E25" s="799"/>
      <c r="F25" s="798">
        <f>(F20+F23)-F24</f>
        <v>0</v>
      </c>
      <c r="G25" s="799"/>
      <c r="H25" s="798">
        <f>(H20+H23)-H24</f>
        <v>0</v>
      </c>
      <c r="I25" s="799"/>
      <c r="J25" s="798">
        <f>(J20+J23)-J24</f>
        <v>0</v>
      </c>
      <c r="K25" s="799"/>
      <c r="L25" s="798">
        <f>(L20+L23)-L24</f>
        <v>0</v>
      </c>
      <c r="M25" s="799"/>
      <c r="N25" s="798">
        <f>(N20+N23)-N24</f>
        <v>0</v>
      </c>
      <c r="O25" s="799"/>
      <c r="P25" s="798">
        <f>(P20+P23)-P24</f>
        <v>0</v>
      </c>
      <c r="Q25" s="799"/>
      <c r="R25" s="798">
        <f t="shared" ref="R25" si="13">(R20+R23)-R24</f>
        <v>0</v>
      </c>
      <c r="S25" s="799"/>
      <c r="T25" s="798">
        <f t="shared" ref="T25" si="14">(T20+T23)-T24</f>
        <v>0</v>
      </c>
      <c r="U25" s="799"/>
      <c r="V25" s="798">
        <f t="shared" ref="V25" si="15">(V20+V23)-V24</f>
        <v>0</v>
      </c>
      <c r="W25" s="799"/>
      <c r="X25" s="798">
        <f t="shared" ref="X25" si="16">(X20+X23)-X24</f>
        <v>0</v>
      </c>
      <c r="Y25" s="799"/>
      <c r="Z25" s="798">
        <f t="shared" ref="Z25" si="17">(Z20+Z23)-Z24</f>
        <v>0</v>
      </c>
      <c r="AA25" s="799"/>
      <c r="AB25" s="798">
        <f t="shared" ref="AB25" si="18">(AB20+AB23)-AB24</f>
        <v>0</v>
      </c>
      <c r="AC25" s="799"/>
      <c r="AD25" s="798">
        <f t="shared" ref="AD25" si="19">(AD20+AD23)-AD24</f>
        <v>0</v>
      </c>
      <c r="AE25" s="799"/>
      <c r="AF25" s="798">
        <f t="shared" ref="AF25" si="20">(AF20+AF23)-AF24</f>
        <v>0</v>
      </c>
      <c r="AG25" s="799"/>
      <c r="AH25" s="800"/>
      <c r="AI25" s="798">
        <f>(AI20+AI23)-AI24</f>
        <v>0</v>
      </c>
      <c r="AJ25" s="799"/>
      <c r="AK25" s="798">
        <f>(AK20+AK23)-AK24</f>
        <v>0</v>
      </c>
      <c r="AL25" s="799"/>
      <c r="AM25" s="798">
        <f>(AM20+AM23)-AM24</f>
        <v>0</v>
      </c>
      <c r="AN25" s="799"/>
      <c r="AO25" s="798">
        <f>(AO20+AO23)-AO24</f>
        <v>0</v>
      </c>
      <c r="AP25" s="799"/>
      <c r="AQ25" s="798">
        <f>(AQ20+AQ23)-AQ24</f>
        <v>0</v>
      </c>
      <c r="AR25" s="799"/>
      <c r="AS25" s="798">
        <f>(AS20+AS23)-AS24</f>
        <v>0</v>
      </c>
      <c r="AT25" s="799"/>
      <c r="AU25" s="798">
        <f>(AU20+AU23)-AU24</f>
        <v>0</v>
      </c>
      <c r="AV25" s="799"/>
      <c r="AW25" s="798">
        <f>(AW20+AW23)-AW24</f>
        <v>0</v>
      </c>
      <c r="AX25" s="799"/>
      <c r="AY25" s="909"/>
    </row>
    <row r="26" spans="1:52" s="772" customFormat="1" ht="4.5" customHeight="1" collapsed="1" x14ac:dyDescent="0.2">
      <c r="A26" s="910"/>
      <c r="B26" s="803"/>
      <c r="C26" s="790"/>
      <c r="D26" s="803"/>
      <c r="E26" s="790"/>
      <c r="F26" s="803"/>
      <c r="G26" s="790"/>
      <c r="H26" s="803"/>
      <c r="I26" s="790"/>
      <c r="J26" s="803"/>
      <c r="K26" s="790"/>
      <c r="L26" s="803"/>
      <c r="M26" s="790"/>
      <c r="N26" s="803"/>
      <c r="O26" s="790"/>
      <c r="P26" s="803"/>
      <c r="Q26" s="790"/>
      <c r="R26" s="803"/>
      <c r="S26" s="790"/>
      <c r="T26" s="803"/>
      <c r="U26" s="790"/>
      <c r="V26" s="803"/>
      <c r="W26" s="790"/>
      <c r="X26" s="803"/>
      <c r="Y26" s="790"/>
      <c r="Z26" s="803"/>
      <c r="AA26" s="790"/>
      <c r="AB26" s="803"/>
      <c r="AC26" s="790"/>
      <c r="AD26" s="803"/>
      <c r="AE26" s="790"/>
      <c r="AF26" s="803"/>
      <c r="AG26" s="790"/>
      <c r="AH26" s="802"/>
      <c r="AI26" s="803"/>
      <c r="AJ26" s="790"/>
      <c r="AK26" s="803"/>
      <c r="AL26" s="790"/>
      <c r="AM26" s="803"/>
      <c r="AN26" s="790"/>
      <c r="AO26" s="803"/>
      <c r="AP26" s="790"/>
      <c r="AQ26" s="803"/>
      <c r="AR26" s="790"/>
      <c r="AS26" s="803"/>
      <c r="AT26" s="790"/>
      <c r="AU26" s="803"/>
      <c r="AV26" s="790"/>
      <c r="AW26" s="803"/>
      <c r="AX26" s="790"/>
      <c r="AY26" s="911"/>
    </row>
    <row r="27" spans="1:52" s="772" customFormat="1" ht="12.75" customHeight="1" x14ac:dyDescent="0.2">
      <c r="A27" s="907" t="str">
        <f>Input!B687</f>
        <v>Average Shares (FD)</v>
      </c>
      <c r="B27" s="792">
        <f>+Input!DS687</f>
        <v>1135.8</v>
      </c>
      <c r="C27" s="793"/>
      <c r="D27" s="792">
        <f>+Input!DU687</f>
        <v>1128.3999999999999</v>
      </c>
      <c r="E27" s="793"/>
      <c r="F27" s="792">
        <f>+Input!DW687</f>
        <v>1129.9000000000001</v>
      </c>
      <c r="G27" s="793"/>
      <c r="H27" s="792">
        <f>+Input!DY687</f>
        <v>1121.4000000000001</v>
      </c>
      <c r="I27" s="793"/>
      <c r="J27" s="792">
        <f>+Input!EA687</f>
        <v>1108.5999999999999</v>
      </c>
      <c r="K27" s="793">
        <f>+Input!EB687</f>
        <v>-2.3947878147561275</v>
      </c>
      <c r="L27" s="792">
        <f>+Input!EC687</f>
        <v>1109.0999999999999</v>
      </c>
      <c r="M27" s="793">
        <f>+Input!ED687</f>
        <v>-1.7103863878057401</v>
      </c>
      <c r="N27" s="792">
        <f>+Input!EE687</f>
        <v>1109.3</v>
      </c>
      <c r="O27" s="793">
        <f>+Input!EF687</f>
        <v>-1.8231701920524035</v>
      </c>
      <c r="P27" s="792">
        <f>+Input!EG687</f>
        <v>1108.8</v>
      </c>
      <c r="Q27" s="793">
        <f>+Input!EH687</f>
        <v>-1.1235955056179914</v>
      </c>
      <c r="R27" s="792">
        <f>+Input!EI687</f>
        <v>1098.7</v>
      </c>
      <c r="S27" s="793">
        <f>+Input!EJ687</f>
        <v>-0.89301822117985319</v>
      </c>
      <c r="T27" s="792">
        <f>+Input!EK687</f>
        <v>1082.0999999999999</v>
      </c>
      <c r="U27" s="793">
        <f>+Input!EL687</f>
        <v>-2.4344062753584028</v>
      </c>
      <c r="V27" s="792">
        <f>+Input!EM687</f>
        <v>1071.5</v>
      </c>
      <c r="W27" s="793">
        <f>+Input!EN687</f>
        <v>-3.4075543135310471</v>
      </c>
      <c r="X27" s="792">
        <f>+Input!EO687</f>
        <v>1062.0999999999999</v>
      </c>
      <c r="Y27" s="793">
        <f>+Input!EP687</f>
        <v>-4.2117604617604609</v>
      </c>
      <c r="Z27" s="792">
        <f>+Input!EQ687</f>
        <v>1044.4256934896982</v>
      </c>
      <c r="AA27" s="793">
        <f>+Input!ER687</f>
        <v>-4.9398658878949453</v>
      </c>
      <c r="AB27" s="792">
        <f>+Input!ES687</f>
        <v>1026.9848439257951</v>
      </c>
      <c r="AC27" s="793">
        <f>+Input!ET687</f>
        <v>-5.0933514531193875</v>
      </c>
      <c r="AD27" s="792">
        <f>+Input!EU687</f>
        <v>1010.7657016995474</v>
      </c>
      <c r="AE27" s="793">
        <f>+Input!EV687</f>
        <v>-5.6681566309335079</v>
      </c>
      <c r="AF27" s="792">
        <f>+Input!EW687</f>
        <v>995.75082311949257</v>
      </c>
      <c r="AG27" s="793">
        <f>+Input!EX687</f>
        <v>-6.2469802165998845</v>
      </c>
      <c r="AH27" s="794"/>
      <c r="AI27" s="792">
        <f>+Input!GJ687</f>
        <v>1128.875</v>
      </c>
      <c r="AJ27" s="793"/>
      <c r="AK27" s="792">
        <f>+Input!GL687</f>
        <v>1108.9499999999998</v>
      </c>
      <c r="AL27" s="793">
        <f>+Input!GM687</f>
        <v>-1.7650315579670228</v>
      </c>
      <c r="AM27" s="792">
        <f>+Input!GN687</f>
        <v>1078.5999999999999</v>
      </c>
      <c r="AN27" s="793">
        <f>+Input!GO687</f>
        <v>-2.7368231209702776</v>
      </c>
      <c r="AO27" s="792">
        <f>+Input!GP687</f>
        <v>1019.4817655586335</v>
      </c>
      <c r="AP27" s="793">
        <f>+Input!GQ687</f>
        <v>-5.4810156166666513</v>
      </c>
      <c r="AQ27" s="792">
        <f>+Input!GR687</f>
        <v>960.04930814073145</v>
      </c>
      <c r="AR27" s="793">
        <f>+Input!GS687</f>
        <v>-5.8296734111115249</v>
      </c>
      <c r="AS27" s="792">
        <f>+Input!GT687</f>
        <v>912.66471844627222</v>
      </c>
      <c r="AT27" s="793">
        <f>+Input!GU687</f>
        <v>-4.9356412522421405</v>
      </c>
      <c r="AU27" s="792">
        <f>+Input!GV687</f>
        <v>858.50436396360521</v>
      </c>
      <c r="AV27" s="793">
        <f>+Input!GW687</f>
        <v>-5.9343100908809117</v>
      </c>
      <c r="AW27" s="792">
        <f>+Input!GX687</f>
        <v>812.3337840138347</v>
      </c>
      <c r="AX27" s="793">
        <f>+Input!GY687</f>
        <v>-5.3780250733504564</v>
      </c>
      <c r="AY27" s="906">
        <f>+Input!GZ687</f>
        <v>-5.5123995842953022</v>
      </c>
    </row>
    <row r="28" spans="1:52" s="754" customFormat="1" ht="12.75" customHeight="1" x14ac:dyDescent="0.2">
      <c r="A28" s="912" t="str">
        <f>Input!B692</f>
        <v>Core Operating EPS</v>
      </c>
      <c r="B28" s="751">
        <f>+Input!DS692</f>
        <v>1.1269589716499384</v>
      </c>
      <c r="C28" s="752"/>
      <c r="D28" s="751">
        <f>+Input!DU692</f>
        <v>1.1503013115916343</v>
      </c>
      <c r="E28" s="752"/>
      <c r="F28" s="751">
        <f>+Input!DW692</f>
        <v>1.0195592530312416</v>
      </c>
      <c r="G28" s="752"/>
      <c r="H28" s="751">
        <f>+Input!DY692</f>
        <v>0.94257178526841445</v>
      </c>
      <c r="I28" s="752"/>
      <c r="J28" s="751">
        <f>+Input!EA692</f>
        <v>0.99675266101389148</v>
      </c>
      <c r="K28" s="752">
        <f>+Input!EB692</f>
        <v>-11.553775595345472</v>
      </c>
      <c r="L28" s="751">
        <f>+Input!EC692</f>
        <v>0.9241727526823551</v>
      </c>
      <c r="M28" s="752">
        <f>+Input!ED692</f>
        <v>-19.658202301481552</v>
      </c>
      <c r="N28" s="751">
        <f>+Input!EE692</f>
        <v>1.2667447940142433</v>
      </c>
      <c r="O28" s="752">
        <f>+Input!EF692</f>
        <v>24.244352669851878</v>
      </c>
      <c r="P28" s="751">
        <f>+Input!EG692</f>
        <v>1.0353535353535355</v>
      </c>
      <c r="Q28" s="752">
        <f>+Input!EH692</f>
        <v>9.8434677904876811</v>
      </c>
      <c r="R28" s="751">
        <f>+Input!EI692</f>
        <v>1.166833530536088</v>
      </c>
      <c r="S28" s="752">
        <f>+Input!EJ692</f>
        <v>17.063497914235938</v>
      </c>
      <c r="T28" s="751">
        <f>+Input!EK692</f>
        <v>1.0701413917382867</v>
      </c>
      <c r="U28" s="752">
        <f>+Input!EL692</f>
        <v>15.794518787993539</v>
      </c>
      <c r="V28" s="751">
        <f>+Input!EM692</f>
        <v>1.0536630891273915</v>
      </c>
      <c r="W28" s="752">
        <f>+Input!EN692</f>
        <v>-16.821202336392304</v>
      </c>
      <c r="X28" s="751">
        <f>+Input!EO692</f>
        <v>1.0742867903210622</v>
      </c>
      <c r="Y28" s="752">
        <f>+Input!EP692</f>
        <v>3.7603826749123437</v>
      </c>
      <c r="Z28" s="751">
        <f>+Input!EQ692</f>
        <v>1.175646973242267</v>
      </c>
      <c r="AA28" s="752">
        <f>+Input!ER692</f>
        <v>0.75532991429632101</v>
      </c>
      <c r="AB28" s="751">
        <f>+Input!ES692</f>
        <v>1.1948101956024264</v>
      </c>
      <c r="AC28" s="752">
        <f>+Input!ET692</f>
        <v>11.649750661604962</v>
      </c>
      <c r="AD28" s="751">
        <f>+Input!EU692</f>
        <v>1.227460917453878</v>
      </c>
      <c r="AE28" s="752">
        <f>+Input!EV692</f>
        <v>16.494630031163005</v>
      </c>
      <c r="AF28" s="751">
        <f>+Input!EW692</f>
        <v>1.2580567406871328</v>
      </c>
      <c r="AG28" s="752">
        <f>+Input!EX692</f>
        <v>17.106228245732112</v>
      </c>
      <c r="AH28" s="753"/>
      <c r="AI28" s="751">
        <f>+Input!GJ692</f>
        <v>4.2422766028125345</v>
      </c>
      <c r="AJ28" s="752"/>
      <c r="AK28" s="751">
        <f>+Input!GL692</f>
        <v>4.2230939176698685</v>
      </c>
      <c r="AL28" s="752">
        <f>+Input!GM692</f>
        <v>-0.45217902882495054</v>
      </c>
      <c r="AM28" s="751">
        <f>+Input!GN692</f>
        <v>4.3667717411459304</v>
      </c>
      <c r="AN28" s="752">
        <f>+Input!GO692</f>
        <v>3.4021934220998196</v>
      </c>
      <c r="AO28" s="751">
        <f>+Input!GP692</f>
        <v>4.8537545892026177</v>
      </c>
      <c r="AP28" s="752">
        <f>+Input!GQ692</f>
        <v>11.152010613884134</v>
      </c>
      <c r="AQ28" s="751">
        <f>+Input!GR692</f>
        <v>5.3505339451739911</v>
      </c>
      <c r="AR28" s="752">
        <f>+Input!GS692</f>
        <v>10.234950013263555</v>
      </c>
      <c r="AS28" s="751">
        <f>+Input!GT692</f>
        <v>5.8484909473717046</v>
      </c>
      <c r="AT28" s="752">
        <f>+Input!GU692</f>
        <v>9.3066786847853642</v>
      </c>
      <c r="AU28" s="751">
        <f>+Input!GV692</f>
        <v>6.4018315140999009</v>
      </c>
      <c r="AV28" s="752">
        <f>+Input!GW692</f>
        <v>9.4612537098457175</v>
      </c>
      <c r="AW28" s="751">
        <f>+Input!GX692</f>
        <v>6.9019374914110392</v>
      </c>
      <c r="AX28" s="752">
        <f>+Input!GY692</f>
        <v>7.8119203263888659</v>
      </c>
      <c r="AY28" s="913">
        <f>+Input!GZ692</f>
        <v>9.5877741730069808</v>
      </c>
    </row>
    <row r="29" spans="1:52" s="750" customFormat="1" ht="12.75" hidden="1" customHeight="1" outlineLevel="1" x14ac:dyDescent="0.2">
      <c r="A29" s="914" t="s">
        <v>254</v>
      </c>
      <c r="B29" s="756">
        <f>(B20/B63)-B28</f>
        <v>1.7608733932030773E-3</v>
      </c>
      <c r="C29" s="749"/>
      <c r="D29" s="756">
        <f>(D20/D63)-D28</f>
        <v>0</v>
      </c>
      <c r="E29" s="749"/>
      <c r="F29" s="756">
        <f>(F20/F63)-F28</f>
        <v>0</v>
      </c>
      <c r="G29" s="749"/>
      <c r="H29" s="756">
        <f>(H20/H63)-H28</f>
        <v>0</v>
      </c>
      <c r="I29" s="749"/>
      <c r="J29" s="756">
        <f>(J20/J63)-J28</f>
        <v>0</v>
      </c>
      <c r="K29" s="749"/>
      <c r="L29" s="756">
        <f>(L20/L63)-L28</f>
        <v>0</v>
      </c>
      <c r="M29" s="749"/>
      <c r="N29" s="756">
        <f>(N20/N63)-N28</f>
        <v>0</v>
      </c>
      <c r="O29" s="749"/>
      <c r="P29" s="756">
        <f>(P20/P63)-P28</f>
        <v>0</v>
      </c>
      <c r="Q29" s="749"/>
      <c r="R29" s="756">
        <f t="shared" ref="R29" si="21">(R20/R63)-R28</f>
        <v>0</v>
      </c>
      <c r="S29" s="749"/>
      <c r="T29" s="756">
        <f t="shared" ref="T29" si="22">(T20/T63)-T28</f>
        <v>0</v>
      </c>
      <c r="U29" s="749"/>
      <c r="V29" s="756">
        <f t="shared" ref="V29" si="23">(V20/V63)-V28</f>
        <v>0</v>
      </c>
      <c r="W29" s="749"/>
      <c r="X29" s="756">
        <f t="shared" ref="X29" si="24">(X20/X63)-X28</f>
        <v>0</v>
      </c>
      <c r="Y29" s="749"/>
      <c r="Z29" s="756">
        <f t="shared" ref="Z29" si="25">(Z20/Z63)-Z28</f>
        <v>0</v>
      </c>
      <c r="AA29" s="749"/>
      <c r="AB29" s="756">
        <f t="shared" ref="AB29" si="26">(AB20/AB63)-AB28</f>
        <v>0</v>
      </c>
      <c r="AC29" s="749"/>
      <c r="AD29" s="756">
        <f t="shared" ref="AD29" si="27">(AD20/AD63)-AD28</f>
        <v>0</v>
      </c>
      <c r="AE29" s="749"/>
      <c r="AF29" s="756">
        <f t="shared" ref="AF29" si="28">(AF20/AF63)-AF28</f>
        <v>0</v>
      </c>
      <c r="AG29" s="749"/>
      <c r="AH29" s="755"/>
      <c r="AI29" s="756">
        <f>(AI20/AI63)-AI28</f>
        <v>0</v>
      </c>
      <c r="AJ29" s="749"/>
      <c r="AK29" s="756">
        <f>(AK20/AK63)-AK28</f>
        <v>0</v>
      </c>
      <c r="AL29" s="749"/>
      <c r="AM29" s="756">
        <f>(AM20/AM63)-AM28</f>
        <v>0</v>
      </c>
      <c r="AN29" s="749"/>
      <c r="AO29" s="756">
        <f>(AO20/AO63)-AO28</f>
        <v>0</v>
      </c>
      <c r="AP29" s="749"/>
      <c r="AQ29" s="756">
        <f>(AQ20/AQ63)-AQ28</f>
        <v>0</v>
      </c>
      <c r="AR29" s="749"/>
      <c r="AS29" s="756">
        <f>(AS20/AS63)-AS28</f>
        <v>0</v>
      </c>
      <c r="AT29" s="749"/>
      <c r="AU29" s="756">
        <f>(AU20/AU63)-AU28</f>
        <v>0</v>
      </c>
      <c r="AV29" s="749"/>
      <c r="AW29" s="756">
        <f>(AW20/AW63)-AW28</f>
        <v>0</v>
      </c>
      <c r="AX29" s="749"/>
      <c r="AY29" s="915"/>
      <c r="AZ29" s="721"/>
    </row>
    <row r="30" spans="1:52" s="772" customFormat="1" ht="4.5" customHeight="1" collapsed="1" x14ac:dyDescent="0.2">
      <c r="A30" s="916"/>
      <c r="B30" s="804"/>
      <c r="C30" s="790"/>
      <c r="D30" s="804"/>
      <c r="E30" s="790"/>
      <c r="F30" s="804"/>
      <c r="G30" s="790"/>
      <c r="H30" s="804"/>
      <c r="I30" s="790"/>
      <c r="J30" s="804"/>
      <c r="K30" s="790"/>
      <c r="L30" s="804"/>
      <c r="M30" s="790"/>
      <c r="N30" s="804"/>
      <c r="O30" s="790"/>
      <c r="P30" s="804"/>
      <c r="Q30" s="790"/>
      <c r="R30" s="804"/>
      <c r="S30" s="790"/>
      <c r="T30" s="804"/>
      <c r="U30" s="790"/>
      <c r="V30" s="804"/>
      <c r="W30" s="790"/>
      <c r="X30" s="804"/>
      <c r="Y30" s="790"/>
      <c r="Z30" s="804"/>
      <c r="AA30" s="790"/>
      <c r="AB30" s="804"/>
      <c r="AC30" s="790"/>
      <c r="AD30" s="804"/>
      <c r="AE30" s="790"/>
      <c r="AF30" s="804"/>
      <c r="AG30" s="790"/>
      <c r="AH30" s="805"/>
      <c r="AI30" s="804"/>
      <c r="AJ30" s="790"/>
      <c r="AK30" s="804"/>
      <c r="AL30" s="790"/>
      <c r="AM30" s="804"/>
      <c r="AN30" s="790"/>
      <c r="AO30" s="804"/>
      <c r="AP30" s="790"/>
      <c r="AQ30" s="804"/>
      <c r="AR30" s="790"/>
      <c r="AS30" s="804"/>
      <c r="AT30" s="790"/>
      <c r="AU30" s="804"/>
      <c r="AV30" s="790"/>
      <c r="AW30" s="804"/>
      <c r="AX30" s="790"/>
      <c r="AY30" s="911"/>
    </row>
    <row r="31" spans="1:52" s="772" customFormat="1" ht="12.75" customHeight="1" x14ac:dyDescent="0.2">
      <c r="A31" s="907" t="s">
        <v>178</v>
      </c>
      <c r="B31" s="806">
        <f>B33-B28</f>
        <v>-1.2326113752421097E-2</v>
      </c>
      <c r="C31" s="775"/>
      <c r="D31" s="806">
        <f>D33-D28</f>
        <v>5.4058844381425164E-2</v>
      </c>
      <c r="E31" s="775"/>
      <c r="F31" s="806">
        <f>F33-F28</f>
        <v>-0.70271705460660228</v>
      </c>
      <c r="G31" s="775"/>
      <c r="H31" s="806">
        <f>H33-H28</f>
        <v>-6.1530230069555936E-2</v>
      </c>
      <c r="I31" s="775"/>
      <c r="J31" s="806">
        <f>J33-J28</f>
        <v>-9.2909976546996176E-2</v>
      </c>
      <c r="K31" s="775"/>
      <c r="L31" s="806">
        <f>L33-L28</f>
        <v>-0.35975114958074117</v>
      </c>
      <c r="M31" s="775"/>
      <c r="N31" s="806">
        <f>N33-N28</f>
        <v>-4.5253763634724775E-2</v>
      </c>
      <c r="O31" s="775"/>
      <c r="P31" s="806">
        <f>P33-P28</f>
        <v>-8.2070707070707183E-2</v>
      </c>
      <c r="Q31" s="775"/>
      <c r="R31" s="806">
        <f t="shared" ref="R31" si="29">R33-R28</f>
        <v>3.5496495858742261E-2</v>
      </c>
      <c r="S31" s="775"/>
      <c r="T31" s="806">
        <f t="shared" ref="T31" si="30">T33-T28</f>
        <v>-3.4192773311154223E-2</v>
      </c>
      <c r="U31" s="775"/>
      <c r="V31" s="806">
        <f t="shared" ref="V31" si="31">V33-V28</f>
        <v>-1.3065795613625752E-2</v>
      </c>
      <c r="W31" s="775"/>
      <c r="X31" s="806">
        <f t="shared" ref="X31" si="32">X33-X28</f>
        <v>-0.43592882026174573</v>
      </c>
      <c r="Y31" s="775"/>
      <c r="Z31" s="806">
        <f t="shared" ref="Z31" si="33">Z33-Z28</f>
        <v>0</v>
      </c>
      <c r="AA31" s="775"/>
      <c r="AB31" s="806">
        <f t="shared" ref="AB31" si="34">AB33-AB28</f>
        <v>0</v>
      </c>
      <c r="AC31" s="775"/>
      <c r="AD31" s="806">
        <f t="shared" ref="AD31" si="35">AD33-AD28</f>
        <v>0</v>
      </c>
      <c r="AE31" s="775"/>
      <c r="AF31" s="806">
        <f t="shared" ref="AF31" si="36">AF33-AF28</f>
        <v>0</v>
      </c>
      <c r="AG31" s="775"/>
      <c r="AH31" s="807"/>
      <c r="AI31" s="806">
        <f>AI33-AI28</f>
        <v>-0.72461521426198638</v>
      </c>
      <c r="AJ31" s="793"/>
      <c r="AK31" s="806">
        <f>AK33-AK28</f>
        <v>-0.58000811578520217</v>
      </c>
      <c r="AL31" s="793"/>
      <c r="AM31" s="806">
        <f>AM33-AM28</f>
        <v>-0.4403856851474135</v>
      </c>
      <c r="AN31" s="793"/>
      <c r="AO31" s="806">
        <f>AO33-AO28</f>
        <v>0</v>
      </c>
      <c r="AP31" s="793"/>
      <c r="AQ31" s="806">
        <f>AQ33-AQ28</f>
        <v>0</v>
      </c>
      <c r="AR31" s="775"/>
      <c r="AS31" s="806">
        <f>AS33-AS28</f>
        <v>0</v>
      </c>
      <c r="AT31" s="775"/>
      <c r="AU31" s="806">
        <f>AU33-AU28</f>
        <v>0</v>
      </c>
      <c r="AV31" s="775"/>
      <c r="AW31" s="806">
        <f>AW33-AW28</f>
        <v>0</v>
      </c>
      <c r="AX31" s="775"/>
      <c r="AY31" s="906"/>
    </row>
    <row r="32" spans="1:52" s="772" customFormat="1" ht="4.5" customHeight="1" x14ac:dyDescent="0.2">
      <c r="A32" s="916"/>
      <c r="B32" s="804"/>
      <c r="C32" s="790"/>
      <c r="D32" s="804"/>
      <c r="E32" s="790"/>
      <c r="F32" s="804"/>
      <c r="G32" s="790"/>
      <c r="H32" s="804"/>
      <c r="I32" s="790"/>
      <c r="J32" s="804"/>
      <c r="K32" s="790"/>
      <c r="L32" s="804"/>
      <c r="M32" s="790"/>
      <c r="N32" s="804"/>
      <c r="O32" s="790"/>
      <c r="P32" s="804"/>
      <c r="Q32" s="790"/>
      <c r="R32" s="804"/>
      <c r="S32" s="790"/>
      <c r="T32" s="804"/>
      <c r="U32" s="790"/>
      <c r="V32" s="804"/>
      <c r="W32" s="790"/>
      <c r="X32" s="804"/>
      <c r="Y32" s="790"/>
      <c r="Z32" s="804"/>
      <c r="AA32" s="790"/>
      <c r="AB32" s="804"/>
      <c r="AC32" s="790"/>
      <c r="AD32" s="804"/>
      <c r="AE32" s="790"/>
      <c r="AF32" s="804"/>
      <c r="AG32" s="790"/>
      <c r="AH32" s="805"/>
      <c r="AI32" s="804"/>
      <c r="AJ32" s="790"/>
      <c r="AK32" s="804"/>
      <c r="AL32" s="790"/>
      <c r="AM32" s="804"/>
      <c r="AN32" s="790"/>
      <c r="AO32" s="804"/>
      <c r="AP32" s="790"/>
      <c r="AQ32" s="804"/>
      <c r="AR32" s="790"/>
      <c r="AS32" s="804"/>
      <c r="AT32" s="790"/>
      <c r="AU32" s="804"/>
      <c r="AV32" s="790"/>
      <c r="AW32" s="804"/>
      <c r="AX32" s="790"/>
      <c r="AY32" s="911"/>
    </row>
    <row r="33" spans="1:52" s="761" customFormat="1" ht="12.75" customHeight="1" x14ac:dyDescent="0.2">
      <c r="A33" s="917" t="str">
        <f>Input!B689</f>
        <v>Operating EPS</v>
      </c>
      <c r="B33" s="758">
        <f>+Input!DS689</f>
        <v>1.1146328578975173</v>
      </c>
      <c r="C33" s="759"/>
      <c r="D33" s="758">
        <f>+Input!DU689</f>
        <v>1.2043601559730595</v>
      </c>
      <c r="E33" s="759"/>
      <c r="F33" s="758">
        <f>+Input!DW689</f>
        <v>0.31684219842463934</v>
      </c>
      <c r="G33" s="759"/>
      <c r="H33" s="758">
        <f>+Input!DY689</f>
        <v>0.88104155519885852</v>
      </c>
      <c r="I33" s="759"/>
      <c r="J33" s="758">
        <f>+Input!EA689</f>
        <v>0.90384268446689531</v>
      </c>
      <c r="K33" s="759">
        <f>+Input!EB689</f>
        <v>-18.911175275079028</v>
      </c>
      <c r="L33" s="758">
        <f>+Input!EC689</f>
        <v>0.56442160310161393</v>
      </c>
      <c r="M33" s="759" t="str">
        <f>+Input!ED689</f>
        <v>NM</v>
      </c>
      <c r="N33" s="758">
        <f>+Input!EE689</f>
        <v>1.2214910303795186</v>
      </c>
      <c r="O33" s="759" t="str">
        <f>+Input!EF689</f>
        <v>NM</v>
      </c>
      <c r="P33" s="758">
        <f>+Input!EG689</f>
        <v>0.95328282828282829</v>
      </c>
      <c r="Q33" s="759">
        <f>+Input!EH689</f>
        <v>8.199530732425476</v>
      </c>
      <c r="R33" s="758">
        <f>+Input!EI689</f>
        <v>1.2023300263948302</v>
      </c>
      <c r="S33" s="759">
        <f>+Input!EJ689</f>
        <v>33.024258209711441</v>
      </c>
      <c r="T33" s="758">
        <f>+Input!EK689</f>
        <v>1.0359486184271325</v>
      </c>
      <c r="U33" s="759">
        <f>+Input!EL689</f>
        <v>83.54163142133109</v>
      </c>
      <c r="V33" s="758">
        <f>+Input!EM689</f>
        <v>1.0405972935137657</v>
      </c>
      <c r="W33" s="759">
        <f>+Input!EN689</f>
        <v>-14.809256258684844</v>
      </c>
      <c r="X33" s="758">
        <f>+Input!EO689</f>
        <v>0.63835797005931649</v>
      </c>
      <c r="Y33" s="759">
        <f>+Input!EP689</f>
        <v>-33.035826187155152</v>
      </c>
      <c r="Z33" s="758">
        <f>+Input!EQ689</f>
        <v>1.175646973242267</v>
      </c>
      <c r="AA33" s="759">
        <f>+Input!ER689</f>
        <v>-2.2192786145890375</v>
      </c>
      <c r="AB33" s="758">
        <f>+Input!ES689</f>
        <v>1.1948101956024264</v>
      </c>
      <c r="AC33" s="759">
        <f>+Input!ET689</f>
        <v>15.334889621889868</v>
      </c>
      <c r="AD33" s="758">
        <f>+Input!EU689</f>
        <v>1.227460917453878</v>
      </c>
      <c r="AE33" s="759">
        <f>+Input!EV689</f>
        <v>17.957342874603622</v>
      </c>
      <c r="AF33" s="758">
        <f>+Input!EW689</f>
        <v>1.2580567406871328</v>
      </c>
      <c r="AG33" s="759">
        <f>+Input!EX689</f>
        <v>97.077000631829449</v>
      </c>
      <c r="AH33" s="760"/>
      <c r="AI33" s="758">
        <f>+Input!GJ689</f>
        <v>3.5176613885505481</v>
      </c>
      <c r="AJ33" s="759"/>
      <c r="AK33" s="758">
        <f>+Input!GL689</f>
        <v>3.6430858018846664</v>
      </c>
      <c r="AL33" s="759">
        <f>+Input!GM689</f>
        <v>3.5655624427739285</v>
      </c>
      <c r="AM33" s="758">
        <f>+Input!GN689</f>
        <v>3.9263860559985169</v>
      </c>
      <c r="AN33" s="759">
        <f>+Input!GO689</f>
        <v>7.7763816039493783</v>
      </c>
      <c r="AO33" s="758">
        <f>+Input!GP689</f>
        <v>4.8537545892026177</v>
      </c>
      <c r="AP33" s="759">
        <f>+Input!GQ689</f>
        <v>23.618883114851073</v>
      </c>
      <c r="AQ33" s="758">
        <f>+Input!GR689</f>
        <v>5.3505339451739911</v>
      </c>
      <c r="AR33" s="759">
        <f>+Input!GS689</f>
        <v>10.234950013263555</v>
      </c>
      <c r="AS33" s="758">
        <f>+Input!GT689</f>
        <v>5.8484909473717046</v>
      </c>
      <c r="AT33" s="759">
        <f>+Input!GU689</f>
        <v>9.3066786847853642</v>
      </c>
      <c r="AU33" s="758">
        <f>+Input!GV689</f>
        <v>6.4018315140999009</v>
      </c>
      <c r="AV33" s="759">
        <f>+Input!GW689</f>
        <v>9.4612537098457175</v>
      </c>
      <c r="AW33" s="758">
        <f>+Input!GX689</f>
        <v>6.9019374914110392</v>
      </c>
      <c r="AX33" s="759">
        <f>+Input!GY689</f>
        <v>7.8119203263888659</v>
      </c>
      <c r="AY33" s="918">
        <f>+Input!GZ689</f>
        <v>11.942655393491242</v>
      </c>
    </row>
    <row r="34" spans="1:52" s="750" customFormat="1" ht="12.75" hidden="1" customHeight="1" outlineLevel="1" x14ac:dyDescent="0.2">
      <c r="A34" s="914" t="s">
        <v>254</v>
      </c>
      <c r="B34" s="756">
        <f>(B24/B63)-B33</f>
        <v>0</v>
      </c>
      <c r="C34" s="749"/>
      <c r="D34" s="756">
        <f>(D24/D63)-D33</f>
        <v>0</v>
      </c>
      <c r="E34" s="749"/>
      <c r="F34" s="756">
        <f>(F24/F63)-F33</f>
        <v>0</v>
      </c>
      <c r="G34" s="749"/>
      <c r="H34" s="756">
        <f>(H24/H63)-H33</f>
        <v>0</v>
      </c>
      <c r="I34" s="749"/>
      <c r="J34" s="756">
        <f>(J24/J63)-J33</f>
        <v>0</v>
      </c>
      <c r="K34" s="749"/>
      <c r="L34" s="756">
        <f>(L24/L63)-L33</f>
        <v>0</v>
      </c>
      <c r="M34" s="749"/>
      <c r="N34" s="756">
        <f>(N24/N63)-N33</f>
        <v>0</v>
      </c>
      <c r="O34" s="749"/>
      <c r="P34" s="756">
        <f>(P24/P63)-P33</f>
        <v>0</v>
      </c>
      <c r="Q34" s="749"/>
      <c r="R34" s="756">
        <f t="shared" ref="R34" si="37">(R24/R63)-R33</f>
        <v>0</v>
      </c>
      <c r="S34" s="749"/>
      <c r="T34" s="756">
        <f t="shared" ref="T34" si="38">(T24/T63)-T33</f>
        <v>0</v>
      </c>
      <c r="U34" s="749"/>
      <c r="V34" s="756">
        <f t="shared" ref="V34" si="39">(V24/V63)-V33</f>
        <v>0</v>
      </c>
      <c r="W34" s="749"/>
      <c r="X34" s="756">
        <f t="shared" ref="X34" si="40">(X24/X63)-X33</f>
        <v>0</v>
      </c>
      <c r="Y34" s="749"/>
      <c r="Z34" s="756">
        <f t="shared" ref="Z34" si="41">(Z24/Z63)-Z33</f>
        <v>0</v>
      </c>
      <c r="AA34" s="749"/>
      <c r="AB34" s="756">
        <f t="shared" ref="AB34" si="42">(AB24/AB63)-AB33</f>
        <v>0</v>
      </c>
      <c r="AC34" s="749"/>
      <c r="AD34" s="756">
        <f t="shared" ref="AD34" si="43">(AD24/AD63)-AD33</f>
        <v>0</v>
      </c>
      <c r="AE34" s="749"/>
      <c r="AF34" s="756">
        <f t="shared" ref="AF34" si="44">(AF24/AF63)-AF33</f>
        <v>0</v>
      </c>
      <c r="AG34" s="749"/>
      <c r="AH34" s="755"/>
      <c r="AI34" s="756">
        <f>(AI24/AI63)-AI33</f>
        <v>0</v>
      </c>
      <c r="AJ34" s="749"/>
      <c r="AK34" s="756">
        <f>(AK24/AK63)-AK33</f>
        <v>0</v>
      </c>
      <c r="AL34" s="749"/>
      <c r="AM34" s="756">
        <f>(AM24/AM63)-AM33</f>
        <v>0</v>
      </c>
      <c r="AN34" s="749"/>
      <c r="AO34" s="756">
        <f>(AO24/AO63)-AO33</f>
        <v>0</v>
      </c>
      <c r="AP34" s="749"/>
      <c r="AQ34" s="756">
        <f>(AQ24/AQ63)-AQ33</f>
        <v>0</v>
      </c>
      <c r="AR34" s="749"/>
      <c r="AS34" s="756">
        <f>(AS24/AS63)-AS33</f>
        <v>0</v>
      </c>
      <c r="AT34" s="749"/>
      <c r="AU34" s="756">
        <f>(AU24/AU63)-AU33</f>
        <v>0</v>
      </c>
      <c r="AV34" s="749"/>
      <c r="AW34" s="756">
        <f>(AW24/AW63)-AW33</f>
        <v>0</v>
      </c>
      <c r="AX34" s="749"/>
      <c r="AY34" s="915"/>
      <c r="AZ34" s="721"/>
    </row>
    <row r="35" spans="1:52" s="811" customFormat="1" ht="4.5" customHeight="1" collapsed="1" x14ac:dyDescent="0.2">
      <c r="A35" s="919"/>
      <c r="B35" s="808"/>
      <c r="C35" s="809"/>
      <c r="D35" s="808"/>
      <c r="E35" s="809"/>
      <c r="F35" s="808"/>
      <c r="G35" s="809"/>
      <c r="H35" s="808"/>
      <c r="I35" s="809"/>
      <c r="J35" s="808"/>
      <c r="K35" s="809"/>
      <c r="L35" s="808"/>
      <c r="M35" s="809"/>
      <c r="N35" s="808"/>
      <c r="O35" s="809"/>
      <c r="P35" s="808"/>
      <c r="Q35" s="809"/>
      <c r="R35" s="808"/>
      <c r="S35" s="809"/>
      <c r="T35" s="808"/>
      <c r="U35" s="809"/>
      <c r="V35" s="808"/>
      <c r="W35" s="809"/>
      <c r="X35" s="808"/>
      <c r="Y35" s="809"/>
      <c r="Z35" s="808"/>
      <c r="AA35" s="809"/>
      <c r="AB35" s="808"/>
      <c r="AC35" s="809"/>
      <c r="AD35" s="808"/>
      <c r="AE35" s="809"/>
      <c r="AF35" s="808"/>
      <c r="AG35" s="809"/>
      <c r="AH35" s="810"/>
      <c r="AI35" s="808"/>
      <c r="AJ35" s="809"/>
      <c r="AK35" s="808"/>
      <c r="AL35" s="809"/>
      <c r="AM35" s="808"/>
      <c r="AN35" s="809"/>
      <c r="AO35" s="808"/>
      <c r="AP35" s="809"/>
      <c r="AQ35" s="808"/>
      <c r="AR35" s="809"/>
      <c r="AS35" s="808"/>
      <c r="AT35" s="809"/>
      <c r="AU35" s="808"/>
      <c r="AV35" s="809"/>
      <c r="AW35" s="808"/>
      <c r="AX35" s="809"/>
      <c r="AY35" s="920"/>
    </row>
    <row r="36" spans="1:52" s="772" customFormat="1" ht="12.75" customHeight="1" x14ac:dyDescent="0.2">
      <c r="A36" s="907" t="s">
        <v>196</v>
      </c>
      <c r="B36" s="792">
        <f>+Input!DS639</f>
        <v>490</v>
      </c>
      <c r="C36" s="793"/>
      <c r="D36" s="792">
        <f>+Input!DU639</f>
        <v>-723</v>
      </c>
      <c r="E36" s="793"/>
      <c r="F36" s="792">
        <f>+Input!DW639</f>
        <v>492</v>
      </c>
      <c r="G36" s="793"/>
      <c r="H36" s="792">
        <f>+Input!DY639</f>
        <v>-591</v>
      </c>
      <c r="I36" s="793"/>
      <c r="J36" s="792">
        <f>+Input!EA639</f>
        <v>1322</v>
      </c>
      <c r="K36" s="793" t="str">
        <f>+Input!EB639</f>
        <v>NM</v>
      </c>
      <c r="L36" s="792">
        <f>+Input!EC639</f>
        <v>-351</v>
      </c>
      <c r="M36" s="793" t="str">
        <f>+Input!ED639</f>
        <v>NM</v>
      </c>
      <c r="N36" s="792">
        <f>+Input!EE639</f>
        <v>-819</v>
      </c>
      <c r="O36" s="793" t="str">
        <f>+Input!EF639</f>
        <v>NM</v>
      </c>
      <c r="P36" s="792">
        <f>+Input!EG639</f>
        <v>-3445</v>
      </c>
      <c r="Q36" s="793" t="str">
        <f>+Input!EH639</f>
        <v>NM</v>
      </c>
      <c r="R36" s="792">
        <f>+Input!EI639</f>
        <v>-454</v>
      </c>
      <c r="S36" s="793" t="str">
        <f>+Input!EJ639</f>
        <v>NM</v>
      </c>
      <c r="T36" s="792">
        <f>+Input!EK639</f>
        <v>-256</v>
      </c>
      <c r="U36" s="793">
        <f>+Input!EL639</f>
        <v>-27.065527065527061</v>
      </c>
      <c r="V36" s="792">
        <f>+Input!EM639</f>
        <v>-1212</v>
      </c>
      <c r="W36" s="793">
        <f>+Input!EN639</f>
        <v>47.985347985347993</v>
      </c>
      <c r="X36" s="792">
        <f>+Input!EO639</f>
        <v>1594</v>
      </c>
      <c r="Y36" s="793" t="str">
        <f>+Input!EP639</f>
        <v>NM</v>
      </c>
      <c r="Z36" s="792">
        <f>+Input!EQ639</f>
        <v>-911.17716639000002</v>
      </c>
      <c r="AA36" s="793" t="str">
        <f>+Input!ER639</f>
        <v>NM</v>
      </c>
      <c r="AB36" s="792">
        <f>+Input!ES639</f>
        <v>-11.253171121451999</v>
      </c>
      <c r="AC36" s="793" t="str">
        <f>+Input!ET639</f>
        <v>NM</v>
      </c>
      <c r="AD36" s="792">
        <f>+Input!EU639</f>
        <v>-11.329692685077871</v>
      </c>
      <c r="AE36" s="793" t="str">
        <f>+Input!EV639</f>
        <v>NM</v>
      </c>
      <c r="AF36" s="792">
        <f>+Input!EW639</f>
        <v>-11.406734595336399</v>
      </c>
      <c r="AG36" s="793" t="str">
        <f>+Input!EX639</f>
        <v>NM</v>
      </c>
      <c r="AH36" s="794"/>
      <c r="AI36" s="792">
        <f>+Input!GJ639</f>
        <v>-332</v>
      </c>
      <c r="AJ36" s="793"/>
      <c r="AK36" s="792">
        <f>+Input!GL639</f>
        <v>-3293</v>
      </c>
      <c r="AL36" s="793" t="str">
        <f>+Input!GM639</f>
        <v>NM</v>
      </c>
      <c r="AM36" s="792">
        <f>+Input!GN639</f>
        <v>-328</v>
      </c>
      <c r="AN36" s="793" t="str">
        <f>+Input!GO639</f>
        <v>NM</v>
      </c>
      <c r="AO36" s="792">
        <f>+Input!GP639</f>
        <v>-945.16676479186629</v>
      </c>
      <c r="AP36" s="793" t="str">
        <f>+Input!GQ639</f>
        <v>NM</v>
      </c>
      <c r="AQ36" s="792">
        <f>+Input!GR639</f>
        <v>-46.295933911662935</v>
      </c>
      <c r="AR36" s="793" t="str">
        <f>+Input!GS639</f>
        <v>NM</v>
      </c>
      <c r="AS36" s="792">
        <f>+Input!GT639</f>
        <v>-47.453332259454498</v>
      </c>
      <c r="AT36" s="793">
        <f>+Input!GU639</f>
        <v>2.4999999999999689</v>
      </c>
      <c r="AU36" s="792">
        <f>+Input!GV639</f>
        <v>-48.639665565940859</v>
      </c>
      <c r="AV36" s="793">
        <f>+Input!GW639</f>
        <v>2.4999999999999911</v>
      </c>
      <c r="AW36" s="792">
        <f>+Input!GX639</f>
        <v>-49.855657205089372</v>
      </c>
      <c r="AX36" s="793">
        <f>+Input!GY639</f>
        <v>2.4999999999999911</v>
      </c>
      <c r="AY36" s="906">
        <f>+Input!GZ639</f>
        <v>-31.393048788218557</v>
      </c>
    </row>
    <row r="37" spans="1:52" s="772" customFormat="1" ht="12.75" customHeight="1" x14ac:dyDescent="0.2">
      <c r="A37" s="904" t="str">
        <f>Input!B640</f>
        <v>Reported Earnings</v>
      </c>
      <c r="B37" s="795">
        <f>+Input!DS640</f>
        <v>1756</v>
      </c>
      <c r="C37" s="793"/>
      <c r="D37" s="795">
        <f>+Input!DU640</f>
        <v>636</v>
      </c>
      <c r="E37" s="793"/>
      <c r="F37" s="795">
        <f>+Input!DW640</f>
        <v>850</v>
      </c>
      <c r="G37" s="793"/>
      <c r="H37" s="795">
        <f>+Input!DY640</f>
        <v>397</v>
      </c>
      <c r="I37" s="793"/>
      <c r="J37" s="795">
        <f>+Input!EA640</f>
        <v>2324</v>
      </c>
      <c r="K37" s="793">
        <f>+Input!EB640</f>
        <v>32.34624145785876</v>
      </c>
      <c r="L37" s="795">
        <f>+Input!EC640</f>
        <v>275</v>
      </c>
      <c r="M37" s="793" t="str">
        <f>+Input!ED640</f>
        <v>NM</v>
      </c>
      <c r="N37" s="795">
        <f>+Input!EE640</f>
        <v>536</v>
      </c>
      <c r="O37" s="793">
        <f>+Input!EF640</f>
        <v>-36.941176470588232</v>
      </c>
      <c r="P37" s="795">
        <f>+Input!EG640</f>
        <v>-2388</v>
      </c>
      <c r="Q37" s="793" t="str">
        <f>+Input!EH640</f>
        <v>NM</v>
      </c>
      <c r="R37" s="795">
        <f>+Input!EI640</f>
        <v>867</v>
      </c>
      <c r="S37" s="793" t="str">
        <f>+Input!EJ640</f>
        <v>NM</v>
      </c>
      <c r="T37" s="795">
        <f>+Input!EK640</f>
        <v>865</v>
      </c>
      <c r="U37" s="793" t="str">
        <f>+Input!EL640</f>
        <v>NM</v>
      </c>
      <c r="V37" s="795">
        <f>+Input!EM640</f>
        <v>-97</v>
      </c>
      <c r="W37" s="793" t="str">
        <f>+Input!EN640</f>
        <v>NM</v>
      </c>
      <c r="X37" s="795">
        <f>+Input!EO640</f>
        <v>2272</v>
      </c>
      <c r="Y37" s="793" t="str">
        <f>+Input!EP640</f>
        <v>NM</v>
      </c>
      <c r="Z37" s="795">
        <f>+Input!EQ640</f>
        <v>316.6987389376194</v>
      </c>
      <c r="AA37" s="793" t="str">
        <f>+Input!ER640</f>
        <v>NM</v>
      </c>
      <c r="AB37" s="795">
        <f>+Input!ES640</f>
        <v>1215.7987911302546</v>
      </c>
      <c r="AC37" s="793">
        <f>+Input!ET640</f>
        <v>40.554773541069892</v>
      </c>
      <c r="AD37" s="795">
        <f>+Input!EU640</f>
        <v>1229.3457028539615</v>
      </c>
      <c r="AE37" s="793" t="str">
        <f>+Input!EV640</f>
        <v>NM</v>
      </c>
      <c r="AF37" s="795">
        <f>+Input!EW640</f>
        <v>1241.304300474902</v>
      </c>
      <c r="AG37" s="793">
        <f>+Input!EX640</f>
        <v>-45.36512761994269</v>
      </c>
      <c r="AH37" s="802"/>
      <c r="AI37" s="795">
        <f>+Input!GJ640</f>
        <v>3639</v>
      </c>
      <c r="AJ37" s="793"/>
      <c r="AK37" s="795">
        <f>+Input!GL640</f>
        <v>747</v>
      </c>
      <c r="AL37" s="793" t="str">
        <f>+Input!GM640</f>
        <v>NM</v>
      </c>
      <c r="AM37" s="795">
        <f>+Input!GN640</f>
        <v>3907</v>
      </c>
      <c r="AN37" s="793" t="str">
        <f>+Input!GO640</f>
        <v>NM</v>
      </c>
      <c r="AO37" s="795">
        <f>+Input!GP640</f>
        <v>4003.1475333967378</v>
      </c>
      <c r="AP37" s="793">
        <f>+Input!GQ640</f>
        <v>2.4609043613191162</v>
      </c>
      <c r="AQ37" s="795">
        <f>+Input!GR640</f>
        <v>5090.4804783361251</v>
      </c>
      <c r="AR37" s="793">
        <f>+Input!GS640</f>
        <v>27.161950337033105</v>
      </c>
      <c r="AS37" s="795">
        <f>+Input!GT640</f>
        <v>5290.2580115591145</v>
      </c>
      <c r="AT37" s="793">
        <f>+Input!GU640</f>
        <v>3.924531958686317</v>
      </c>
      <c r="AU37" s="795">
        <f>+Input!GV640</f>
        <v>5447.3606266485585</v>
      </c>
      <c r="AV37" s="793">
        <f>+Input!GW640</f>
        <v>2.9696588473790531</v>
      </c>
      <c r="AW37" s="795">
        <f>+Input!GX640</f>
        <v>5556.8213422197941</v>
      </c>
      <c r="AX37" s="793">
        <f>+Input!GY640</f>
        <v>2.0094266393113847</v>
      </c>
      <c r="AY37" s="906">
        <f>+Input!GZ640</f>
        <v>7.299229790998929</v>
      </c>
    </row>
    <row r="38" spans="1:52" s="801" customFormat="1" ht="12.75" hidden="1" customHeight="1" outlineLevel="1" x14ac:dyDescent="0.2">
      <c r="A38" s="908" t="s">
        <v>254</v>
      </c>
      <c r="B38" s="813">
        <f>(B24+B36)-B37</f>
        <v>0</v>
      </c>
      <c r="C38" s="799"/>
      <c r="D38" s="813">
        <f>(D24+D36)-D37</f>
        <v>0</v>
      </c>
      <c r="E38" s="799"/>
      <c r="F38" s="813">
        <f>(F24+F36)-F37</f>
        <v>0</v>
      </c>
      <c r="G38" s="799"/>
      <c r="H38" s="813">
        <f>(H24+H36)-H37</f>
        <v>0</v>
      </c>
      <c r="I38" s="799"/>
      <c r="J38" s="813">
        <f>(J24+J36)-J37</f>
        <v>0</v>
      </c>
      <c r="K38" s="799"/>
      <c r="L38" s="813">
        <f>(L24+L36)-L37</f>
        <v>0</v>
      </c>
      <c r="M38" s="799"/>
      <c r="N38" s="813">
        <f>(N24+N36)-N37</f>
        <v>0</v>
      </c>
      <c r="O38" s="799"/>
      <c r="P38" s="813">
        <f>(P24+P36)-P37</f>
        <v>0</v>
      </c>
      <c r="Q38" s="799"/>
      <c r="R38" s="813">
        <f t="shared" ref="R38" si="45">(R24+R36)-R37</f>
        <v>0</v>
      </c>
      <c r="S38" s="799"/>
      <c r="T38" s="813">
        <f t="shared" ref="T38" si="46">(T24+T36)-T37</f>
        <v>0</v>
      </c>
      <c r="U38" s="799"/>
      <c r="V38" s="813">
        <f t="shared" ref="V38" si="47">(V24+V36)-V37</f>
        <v>0</v>
      </c>
      <c r="W38" s="799"/>
      <c r="X38" s="813">
        <f t="shared" ref="X38" si="48">(X24+X36)-X37</f>
        <v>0</v>
      </c>
      <c r="Y38" s="799"/>
      <c r="Z38" s="813">
        <f t="shared" ref="Z38" si="49">(Z24+Z36)-Z37</f>
        <v>0</v>
      </c>
      <c r="AA38" s="799"/>
      <c r="AB38" s="813">
        <f t="shared" ref="AB38" si="50">(AB24+AB36)-AB37</f>
        <v>0</v>
      </c>
      <c r="AC38" s="799"/>
      <c r="AD38" s="813">
        <f t="shared" ref="AD38" si="51">(AD24+AD36)-AD37</f>
        <v>0</v>
      </c>
      <c r="AE38" s="799"/>
      <c r="AF38" s="813">
        <f t="shared" ref="AF38" si="52">(AF24+AF36)-AF37</f>
        <v>0</v>
      </c>
      <c r="AG38" s="799"/>
      <c r="AH38" s="812"/>
      <c r="AI38" s="813">
        <f>(AI24+AI36)-AI37</f>
        <v>0</v>
      </c>
      <c r="AJ38" s="799"/>
      <c r="AK38" s="813">
        <f>(AK24+AK36)-AK37</f>
        <v>0</v>
      </c>
      <c r="AL38" s="799"/>
      <c r="AM38" s="813">
        <f>(AM24+AM36)-AM37</f>
        <v>0</v>
      </c>
      <c r="AN38" s="799"/>
      <c r="AO38" s="813">
        <f>(AO24+AO36)-AO37</f>
        <v>0</v>
      </c>
      <c r="AP38" s="799"/>
      <c r="AQ38" s="813">
        <f>(AQ24+AQ36)-AQ37</f>
        <v>0</v>
      </c>
      <c r="AR38" s="799"/>
      <c r="AS38" s="813">
        <f>(AS24+AS36)-AS37</f>
        <v>0</v>
      </c>
      <c r="AT38" s="799"/>
      <c r="AU38" s="813">
        <f>(AU24+AU36)-AU37</f>
        <v>0</v>
      </c>
      <c r="AV38" s="799"/>
      <c r="AW38" s="813">
        <f>(AW24+AW36)-AW37</f>
        <v>0</v>
      </c>
      <c r="AX38" s="799"/>
      <c r="AY38" s="909"/>
    </row>
    <row r="39" spans="1:52" s="811" customFormat="1" ht="4.5" customHeight="1" collapsed="1" x14ac:dyDescent="0.2">
      <c r="A39" s="921"/>
      <c r="B39" s="814"/>
      <c r="C39" s="815"/>
      <c r="D39" s="814"/>
      <c r="E39" s="815"/>
      <c r="F39" s="814"/>
      <c r="G39" s="815"/>
      <c r="H39" s="814"/>
      <c r="I39" s="815"/>
      <c r="J39" s="814"/>
      <c r="K39" s="815"/>
      <c r="L39" s="814"/>
      <c r="M39" s="815"/>
      <c r="N39" s="814"/>
      <c r="O39" s="815"/>
      <c r="P39" s="814"/>
      <c r="Q39" s="815"/>
      <c r="R39" s="814"/>
      <c r="S39" s="815"/>
      <c r="T39" s="814"/>
      <c r="U39" s="815"/>
      <c r="V39" s="814"/>
      <c r="W39" s="815"/>
      <c r="X39" s="814"/>
      <c r="Y39" s="815"/>
      <c r="Z39" s="814"/>
      <c r="AA39" s="815"/>
      <c r="AB39" s="814"/>
      <c r="AC39" s="815"/>
      <c r="AD39" s="814"/>
      <c r="AE39" s="815"/>
      <c r="AF39" s="814"/>
      <c r="AG39" s="815"/>
      <c r="AH39" s="816"/>
      <c r="AI39" s="814"/>
      <c r="AJ39" s="815"/>
      <c r="AK39" s="814"/>
      <c r="AL39" s="815"/>
      <c r="AM39" s="814"/>
      <c r="AN39" s="815"/>
      <c r="AO39" s="814"/>
      <c r="AP39" s="815"/>
      <c r="AQ39" s="814"/>
      <c r="AR39" s="815"/>
      <c r="AS39" s="814"/>
      <c r="AT39" s="815"/>
      <c r="AU39" s="814"/>
      <c r="AV39" s="815"/>
      <c r="AW39" s="814"/>
      <c r="AX39" s="815"/>
      <c r="AY39" s="922"/>
    </row>
    <row r="40" spans="1:52" s="588" customFormat="1" ht="12.75" customHeight="1" x14ac:dyDescent="0.2">
      <c r="A40" s="923" t="str">
        <f>Input!B690</f>
        <v xml:space="preserve">Reported EPS </v>
      </c>
      <c r="B40" s="762">
        <f>+Input!DS690</f>
        <v>1.55</v>
      </c>
      <c r="C40" s="763"/>
      <c r="D40" s="762">
        <f>+Input!DU690</f>
        <v>0.56000000000000005</v>
      </c>
      <c r="E40" s="763"/>
      <c r="F40" s="762">
        <f>+Input!DW690</f>
        <v>0.75</v>
      </c>
      <c r="G40" s="763"/>
      <c r="H40" s="762">
        <f>+Input!DY690</f>
        <v>0.35</v>
      </c>
      <c r="I40" s="763"/>
      <c r="J40" s="762">
        <f>+Input!EA690</f>
        <v>2.1</v>
      </c>
      <c r="K40" s="763">
        <f>+Input!EB690</f>
        <v>35.48387096774195</v>
      </c>
      <c r="L40" s="762">
        <f>+Input!EC690</f>
        <v>0.25</v>
      </c>
      <c r="M40" s="763" t="str">
        <f>+Input!ED690</f>
        <v>NM</v>
      </c>
      <c r="N40" s="762">
        <f>+Input!EE690</f>
        <v>0.48</v>
      </c>
      <c r="O40" s="763">
        <f>+Input!EF690</f>
        <v>-36</v>
      </c>
      <c r="P40" s="762">
        <f>+Input!EG690</f>
        <v>-2.17</v>
      </c>
      <c r="Q40" s="763" t="str">
        <f>+Input!EH690</f>
        <v>NM</v>
      </c>
      <c r="R40" s="762">
        <f>+Input!EI690</f>
        <v>0.79</v>
      </c>
      <c r="S40" s="763" t="str">
        <f>+Input!EJ690</f>
        <v>NM</v>
      </c>
      <c r="T40" s="762">
        <f>+Input!EK690</f>
        <v>0.8</v>
      </c>
      <c r="U40" s="763" t="str">
        <f>+Input!EL690</f>
        <v>NM</v>
      </c>
      <c r="V40" s="762">
        <f>+Input!EM690</f>
        <v>-0.09</v>
      </c>
      <c r="W40" s="763" t="str">
        <f>+Input!EN690</f>
        <v>NM</v>
      </c>
      <c r="X40" s="762">
        <f>+Input!EO690</f>
        <v>2.14</v>
      </c>
      <c r="Y40" s="763" t="str">
        <f>+Input!EP690</f>
        <v>NM</v>
      </c>
      <c r="Z40" s="762">
        <f>+Input!EQ690</f>
        <v>0.3</v>
      </c>
      <c r="AA40" s="763" t="str">
        <f>+Input!ER690</f>
        <v>NM</v>
      </c>
      <c r="AB40" s="762">
        <f>+Input!ES690</f>
        <v>1.18</v>
      </c>
      <c r="AC40" s="763">
        <f>+Input!ET690</f>
        <v>47.499999999999986</v>
      </c>
      <c r="AD40" s="762">
        <f>+Input!EU690</f>
        <v>1.22</v>
      </c>
      <c r="AE40" s="763" t="str">
        <f>+Input!EV690</f>
        <v>NM</v>
      </c>
      <c r="AF40" s="762">
        <f>+Input!EW690</f>
        <v>1.25</v>
      </c>
      <c r="AG40" s="763">
        <f>+Input!EX690</f>
        <v>-41.588785046728972</v>
      </c>
      <c r="AH40" s="764"/>
      <c r="AI40" s="762">
        <f>+Input!GJ690</f>
        <v>3.22</v>
      </c>
      <c r="AJ40" s="763"/>
      <c r="AK40" s="762">
        <f>+Input!GL690</f>
        <v>0.67</v>
      </c>
      <c r="AL40" s="763" t="str">
        <f>+Input!GM690</f>
        <v>NM</v>
      </c>
      <c r="AM40" s="762">
        <f>+Input!GN690</f>
        <v>3.62</v>
      </c>
      <c r="AN40" s="763" t="str">
        <f>+Input!GO690</f>
        <v>NM</v>
      </c>
      <c r="AO40" s="762">
        <f>+Input!GP690</f>
        <v>3.93</v>
      </c>
      <c r="AP40" s="763">
        <f>+Input!GQ690</f>
        <v>8.5635359116022158</v>
      </c>
      <c r="AQ40" s="762">
        <f>+Input!GR690</f>
        <v>5.3</v>
      </c>
      <c r="AR40" s="763">
        <f>+Input!GS690</f>
        <v>34.860050890585235</v>
      </c>
      <c r="AS40" s="762">
        <f>+Input!GT690</f>
        <v>5.8</v>
      </c>
      <c r="AT40" s="763">
        <f>+Input!GU690</f>
        <v>9.4339622641509422</v>
      </c>
      <c r="AU40" s="762">
        <f>+Input!GV690</f>
        <v>6.35</v>
      </c>
      <c r="AV40" s="763">
        <f>+Input!GW690</f>
        <v>9.4827586206896584</v>
      </c>
      <c r="AW40" s="762">
        <f>+Input!GX690</f>
        <v>6.84</v>
      </c>
      <c r="AX40" s="763">
        <f>+Input!GY690</f>
        <v>7.7165354330708702</v>
      </c>
      <c r="AY40" s="924">
        <f>+Input!GZ690</f>
        <v>13.571537775909759</v>
      </c>
    </row>
    <row r="41" spans="1:52" s="750" customFormat="1" ht="12.75" hidden="1" customHeight="1" outlineLevel="1" x14ac:dyDescent="0.2">
      <c r="A41" s="914" t="s">
        <v>254</v>
      </c>
      <c r="B41" s="756">
        <f>(B37/B63)-B40</f>
        <v>-3.953160767740771E-3</v>
      </c>
      <c r="C41" s="749"/>
      <c r="D41" s="756">
        <f>(D37/D63)-D40</f>
        <v>3.629918468628146E-3</v>
      </c>
      <c r="E41" s="749"/>
      <c r="F41" s="756">
        <f>(F37/F63)-F40</f>
        <v>2.2789627400654489E-3</v>
      </c>
      <c r="G41" s="749"/>
      <c r="H41" s="756">
        <f>(H37/H63)-H40</f>
        <v>4.0217585161405056E-3</v>
      </c>
      <c r="I41" s="749"/>
      <c r="J41" s="756">
        <f>(J37/J63)-J40</f>
        <v>-3.6622767454446148E-3</v>
      </c>
      <c r="K41" s="749"/>
      <c r="L41" s="756">
        <f>(L37/L63)-L40</f>
        <v>-2.0512126949778775E-3</v>
      </c>
      <c r="M41" s="749"/>
      <c r="N41" s="756">
        <f>(N37/N63)-N40</f>
        <v>3.1875957811232647E-3</v>
      </c>
      <c r="O41" s="749"/>
      <c r="P41" s="756">
        <f>(P37/P63)-P40</f>
        <v>1.6320346320346069E-2</v>
      </c>
      <c r="Q41" s="749"/>
      <c r="R41" s="756">
        <f t="shared" ref="R41" si="53">(R37/R63)-R40</f>
        <v>-8.8559206334770657E-4</v>
      </c>
      <c r="S41" s="749"/>
      <c r="T41" s="756">
        <f t="shared" ref="T41" si="54">(T37/T63)-T40</f>
        <v>-6.284077257184828E-4</v>
      </c>
      <c r="U41" s="749"/>
      <c r="V41" s="756">
        <f t="shared" ref="V41" si="55">(V37/V63)-V40</f>
        <v>-5.2729818012133001E-4</v>
      </c>
      <c r="W41" s="749"/>
      <c r="X41" s="756">
        <f t="shared" ref="X41" si="56">(X37/X63)-X40</f>
        <v>-8.4172865078624426E-4</v>
      </c>
      <c r="Y41" s="749"/>
      <c r="Z41" s="756">
        <f t="shared" ref="Z41" si="57">(Z37/Z63)-Z40</f>
        <v>3.2276407136695995E-3</v>
      </c>
      <c r="AA41" s="749"/>
      <c r="AB41" s="756">
        <f t="shared" ref="AB41" si="58">(AB37/AB63)-AB40</f>
        <v>3.8527105061176847E-3</v>
      </c>
      <c r="AC41" s="749"/>
      <c r="AD41" s="756">
        <f t="shared" ref="AD41" si="59">(AD37/AD63)-AD40</f>
        <v>-3.7481022685239562E-3</v>
      </c>
      <c r="AE41" s="749"/>
      <c r="AF41" s="756">
        <f t="shared" ref="AF41" si="60">(AF37/AF63)-AF40</f>
        <v>-3.398669974343127E-3</v>
      </c>
      <c r="AG41" s="749"/>
      <c r="AH41" s="755"/>
      <c r="AI41" s="756">
        <f>(AI37/AI63)-AI40</f>
        <v>3.5632820285682598E-3</v>
      </c>
      <c r="AJ41" s="749"/>
      <c r="AK41" s="756">
        <f>(AK37/AK63)-AK40</f>
        <v>3.610171784120153E-3</v>
      </c>
      <c r="AL41" s="749"/>
      <c r="AM41" s="756">
        <f>(AM37/AM63)-AM40</f>
        <v>2.2881513072503523E-3</v>
      </c>
      <c r="AN41" s="749"/>
      <c r="AO41" s="756">
        <f>(AO37/AO63)-AO40</f>
        <v>-3.3505309894583668E-3</v>
      </c>
      <c r="AP41" s="749"/>
      <c r="AQ41" s="756">
        <f>(AQ37/AQ63)-AQ40</f>
        <v>2.3114908488883756E-3</v>
      </c>
      <c r="AR41" s="749"/>
      <c r="AS41" s="756">
        <f>(AS37/AS63)-AS40</f>
        <v>-3.5033187594972759E-3</v>
      </c>
      <c r="AT41" s="749"/>
      <c r="AU41" s="756">
        <f>(AU37/AU63)-AU40</f>
        <v>-4.8247681598390102E-3</v>
      </c>
      <c r="AV41" s="749"/>
      <c r="AW41" s="756">
        <f>(AW37/AW63)-AW40</f>
        <v>5.641271779941448E-4</v>
      </c>
      <c r="AX41" s="749"/>
      <c r="AY41" s="915"/>
      <c r="AZ41" s="721"/>
    </row>
    <row r="42" spans="1:52" s="772" customFormat="1" ht="4.5" customHeight="1" collapsed="1" x14ac:dyDescent="0.2">
      <c r="A42" s="925"/>
      <c r="B42" s="789"/>
      <c r="C42" s="793"/>
      <c r="D42" s="789"/>
      <c r="E42" s="793"/>
      <c r="F42" s="789"/>
      <c r="G42" s="793"/>
      <c r="H42" s="789"/>
      <c r="I42" s="793"/>
      <c r="J42" s="789"/>
      <c r="K42" s="793"/>
      <c r="L42" s="789"/>
      <c r="M42" s="793"/>
      <c r="N42" s="789"/>
      <c r="O42" s="793"/>
      <c r="P42" s="789"/>
      <c r="Q42" s="793"/>
      <c r="R42" s="789"/>
      <c r="S42" s="793"/>
      <c r="T42" s="789"/>
      <c r="U42" s="793"/>
      <c r="V42" s="789"/>
      <c r="W42" s="793"/>
      <c r="X42" s="789"/>
      <c r="Y42" s="793"/>
      <c r="Z42" s="789"/>
      <c r="AA42" s="793"/>
      <c r="AB42" s="789"/>
      <c r="AC42" s="793"/>
      <c r="AD42" s="789"/>
      <c r="AE42" s="793"/>
      <c r="AF42" s="789"/>
      <c r="AG42" s="793"/>
      <c r="AH42" s="791"/>
      <c r="AI42" s="789"/>
      <c r="AJ42" s="793"/>
      <c r="AK42" s="789"/>
      <c r="AL42" s="793"/>
      <c r="AM42" s="789"/>
      <c r="AN42" s="793"/>
      <c r="AO42" s="789"/>
      <c r="AP42" s="793"/>
      <c r="AQ42" s="789"/>
      <c r="AR42" s="793"/>
      <c r="AS42" s="789"/>
      <c r="AT42" s="793"/>
      <c r="AU42" s="789"/>
      <c r="AV42" s="793"/>
      <c r="AW42" s="789"/>
      <c r="AX42" s="793"/>
      <c r="AY42" s="906"/>
    </row>
    <row r="43" spans="1:52" s="772" customFormat="1" ht="12.75" customHeight="1" x14ac:dyDescent="0.2">
      <c r="A43" s="904" t="s">
        <v>599</v>
      </c>
      <c r="B43" s="804"/>
      <c r="C43" s="793"/>
      <c r="D43" s="804"/>
      <c r="E43" s="793"/>
      <c r="F43" s="804"/>
      <c r="G43" s="793"/>
      <c r="H43" s="804"/>
      <c r="I43" s="793"/>
      <c r="J43" s="804"/>
      <c r="K43" s="793"/>
      <c r="L43" s="804"/>
      <c r="M43" s="793"/>
      <c r="N43" s="804"/>
      <c r="O43" s="793"/>
      <c r="P43" s="804"/>
      <c r="Q43" s="793"/>
      <c r="R43" s="804"/>
      <c r="S43" s="793"/>
      <c r="T43" s="804"/>
      <c r="U43" s="793"/>
      <c r="V43" s="804"/>
      <c r="W43" s="793"/>
      <c r="X43" s="804"/>
      <c r="Y43" s="793"/>
      <c r="Z43" s="804"/>
      <c r="AA43" s="793"/>
      <c r="AB43" s="804"/>
      <c r="AC43" s="793"/>
      <c r="AD43" s="804"/>
      <c r="AE43" s="793"/>
      <c r="AF43" s="804"/>
      <c r="AG43" s="793"/>
      <c r="AH43" s="791"/>
      <c r="AI43" s="804"/>
      <c r="AJ43" s="793"/>
      <c r="AK43" s="804"/>
      <c r="AL43" s="793"/>
      <c r="AM43" s="804"/>
      <c r="AN43" s="793"/>
      <c r="AO43" s="804"/>
      <c r="AP43" s="793"/>
      <c r="AQ43" s="804"/>
      <c r="AR43" s="793"/>
      <c r="AS43" s="804"/>
      <c r="AT43" s="793"/>
      <c r="AU43" s="804"/>
      <c r="AV43" s="793"/>
      <c r="AW43" s="804"/>
      <c r="AX43" s="793"/>
      <c r="AY43" s="906"/>
    </row>
    <row r="44" spans="1:52" s="772" customFormat="1" ht="12.75" customHeight="1" x14ac:dyDescent="0.2">
      <c r="A44" s="926" t="str">
        <f>Input!B742</f>
        <v>Operating ROE (Excl FAS 115 other than FCTA)(%)</v>
      </c>
      <c r="B44" s="818">
        <f>+Input!DS742</f>
        <v>9.02110982453015</v>
      </c>
      <c r="C44" s="793"/>
      <c r="D44" s="818">
        <f>+Input!DU742</f>
        <v>9.6326617404710007</v>
      </c>
      <c r="E44" s="793"/>
      <c r="F44" s="818">
        <f>+Input!DW742</f>
        <v>2.5205498741485224</v>
      </c>
      <c r="G44" s="793"/>
      <c r="H44" s="818">
        <f>+Input!DY742</f>
        <v>6.9864055014407693</v>
      </c>
      <c r="I44" s="793"/>
      <c r="J44" s="818">
        <f>+Input!EA742</f>
        <v>6.9872040723824131</v>
      </c>
      <c r="K44" s="793">
        <f>+Input!EB742</f>
        <v>-22.546070181045263</v>
      </c>
      <c r="L44" s="818">
        <f>+Input!EC742</f>
        <v>4.2795006109910014</v>
      </c>
      <c r="M44" s="793" t="str">
        <f>+Input!ED742</f>
        <v>NM</v>
      </c>
      <c r="N44" s="818">
        <f>+Input!EE742</f>
        <v>9.2534892654402672</v>
      </c>
      <c r="O44" s="793" t="str">
        <f>+Input!EF742</f>
        <v>NM</v>
      </c>
      <c r="P44" s="818">
        <f>+Input!EG742</f>
        <v>7.4508767292272449</v>
      </c>
      <c r="Q44" s="793">
        <f>+Input!EH742</f>
        <v>6.6482145602726694</v>
      </c>
      <c r="R44" s="818">
        <f>+Input!EI742</f>
        <v>9.6751748635880919</v>
      </c>
      <c r="S44" s="793">
        <f>+Input!EJ742</f>
        <v>38.469905320643761</v>
      </c>
      <c r="T44" s="818">
        <f>+Input!EK742</f>
        <v>8.2662758436339168</v>
      </c>
      <c r="U44" s="793">
        <f>+Input!EL742</f>
        <v>93.159823891687694</v>
      </c>
      <c r="V44" s="818">
        <f>+Input!EM742</f>
        <v>9.1968244148881322</v>
      </c>
      <c r="W44" s="793">
        <f>+Input!EN742</f>
        <v>-0.61236198504888151</v>
      </c>
      <c r="X44" s="818">
        <f>+Input!EO742</f>
        <v>6.1835925030781151</v>
      </c>
      <c r="Y44" s="793">
        <f>+Input!EP742</f>
        <v>-17.00852493207956</v>
      </c>
      <c r="Z44" s="818">
        <f>+Input!EQ742</f>
        <v>11.083329297889364</v>
      </c>
      <c r="AA44" s="793">
        <f>+Input!ER742</f>
        <v>14.554304745444679</v>
      </c>
      <c r="AB44" s="818">
        <f>+Input!ES742</f>
        <v>11.203336269753274</v>
      </c>
      <c r="AC44" s="793">
        <f>+Input!ET742</f>
        <v>35.530636548758146</v>
      </c>
      <c r="AD44" s="818">
        <f>+Input!EU742</f>
        <v>11.325358614025246</v>
      </c>
      <c r="AE44" s="793">
        <f>+Input!EV742</f>
        <v>23.144230041962864</v>
      </c>
      <c r="AF44" s="818">
        <f>+Input!EW742</f>
        <v>11.418638158899501</v>
      </c>
      <c r="AG44" s="793">
        <f>+Input!EX742</f>
        <v>84.660262674415335</v>
      </c>
      <c r="AH44" s="819"/>
      <c r="AI44" s="818">
        <f>+Input!GJ742</f>
        <v>7.0771698449474245</v>
      </c>
      <c r="AJ44" s="793"/>
      <c r="AK44" s="818">
        <f>+Input!GL742</f>
        <v>7.2813784153990344</v>
      </c>
      <c r="AL44" s="793">
        <f>+Input!GM742</f>
        <v>2.8854552727373139</v>
      </c>
      <c r="AM44" s="818">
        <f>+Input!GN742</f>
        <v>8.9845496507746923</v>
      </c>
      <c r="AN44" s="793">
        <f>+Input!GO742</f>
        <v>23.390780401876988</v>
      </c>
      <c r="AO44" s="818">
        <f>+Input!GP742</f>
        <v>12.131092549372671</v>
      </c>
      <c r="AP44" s="793">
        <f>+Input!GQ742</f>
        <v>35.021709722831432</v>
      </c>
      <c r="AQ44" s="818">
        <f>+Input!GR742</f>
        <v>11.618149817394736</v>
      </c>
      <c r="AR44" s="793">
        <f>+Input!GS742</f>
        <v>-4.2283308769617829</v>
      </c>
      <c r="AS44" s="818">
        <f>+Input!GT742</f>
        <v>11.891281854613879</v>
      </c>
      <c r="AT44" s="793">
        <f>+Input!GU742</f>
        <v>2.350908204077462</v>
      </c>
      <c r="AU44" s="818">
        <f>+Input!GV742</f>
        <v>12.030625558132082</v>
      </c>
      <c r="AV44" s="793">
        <f>+Input!GW742</f>
        <v>1.1718139828982066</v>
      </c>
      <c r="AW44" s="818">
        <f>+Input!GX742</f>
        <v>12.043122178546385</v>
      </c>
      <c r="AX44" s="793">
        <f>+Input!GY742</f>
        <v>0.10387340503550391</v>
      </c>
      <c r="AY44" s="906">
        <f>+Input!GZ742</f>
        <v>6.0348327885528574</v>
      </c>
    </row>
    <row r="45" spans="1:52" s="772" customFormat="1" ht="12.75" customHeight="1" x14ac:dyDescent="0.2">
      <c r="A45" s="926" t="str">
        <f>Input!B744</f>
        <v>Reported ROE (Excl FAS 115 other than FCTA)(%)</v>
      </c>
      <c r="B45" s="818">
        <f>+Input!DS744</f>
        <v>12.512692616014965</v>
      </c>
      <c r="C45" s="793"/>
      <c r="D45" s="818">
        <f>+Input!DU744</f>
        <v>4.5080006379246189</v>
      </c>
      <c r="E45" s="793"/>
      <c r="F45" s="818">
        <f>+Input!DW744</f>
        <v>5.9845457905761004</v>
      </c>
      <c r="G45" s="793"/>
      <c r="H45" s="818">
        <f>+Input!DY744</f>
        <v>2.8072904697084873</v>
      </c>
      <c r="I45" s="793"/>
      <c r="J45" s="818">
        <f>+Input!EA744</f>
        <v>16.20585056309055</v>
      </c>
      <c r="K45" s="793">
        <f>+Input!EB744</f>
        <v>29.515293473674255</v>
      </c>
      <c r="L45" s="818">
        <f>+Input!EC744</f>
        <v>1.8799723131350248</v>
      </c>
      <c r="M45" s="793" t="str">
        <f>+Input!ED744</f>
        <v>NM</v>
      </c>
      <c r="N45" s="818">
        <f>+Input!EE744</f>
        <v>3.6604208459601351</v>
      </c>
      <c r="O45" s="793">
        <f>+Input!EF744</f>
        <v>-38.835444258372597</v>
      </c>
      <c r="P45" s="818">
        <f>+Input!EG744</f>
        <v>-16.833201163098071</v>
      </c>
      <c r="Q45" s="793" t="str">
        <f>+Input!EH744</f>
        <v>NM</v>
      </c>
      <c r="R45" s="818">
        <f>+Input!EI744</f>
        <v>6.3500201413556958</v>
      </c>
      <c r="S45" s="793" t="str">
        <f>+Input!EJ744</f>
        <v>NM</v>
      </c>
      <c r="T45" s="818">
        <f>+Input!EK744</f>
        <v>6.3785268552572143</v>
      </c>
      <c r="U45" s="793" t="str">
        <f>+Input!EL744</f>
        <v>NM</v>
      </c>
      <c r="V45" s="818">
        <f>+Input!EM744</f>
        <v>-0.80008248273017846</v>
      </c>
      <c r="W45" s="793" t="str">
        <f>+Input!EN744</f>
        <v>NM</v>
      </c>
      <c r="X45" s="818">
        <f>+Input!EO744</f>
        <v>20.721419125359112</v>
      </c>
      <c r="Y45" s="793" t="str">
        <f>+Input!EP744</f>
        <v>NM</v>
      </c>
      <c r="Z45" s="818">
        <f>+Input!EQ744</f>
        <v>2.8586572931695251</v>
      </c>
      <c r="AA45" s="793" t="str">
        <f>+Input!ER744</f>
        <v>NM</v>
      </c>
      <c r="AB45" s="818">
        <f>+Input!ES744</f>
        <v>11.100591590592863</v>
      </c>
      <c r="AC45" s="793">
        <f>+Input!ET744</f>
        <v>74.030647553732535</v>
      </c>
      <c r="AD45" s="818">
        <f>+Input!EU744</f>
        <v>11.221936854307463</v>
      </c>
      <c r="AE45" s="793" t="str">
        <f>+Input!EV744</f>
        <v>NM</v>
      </c>
      <c r="AF45" s="818">
        <f>+Input!EW744</f>
        <v>11.314664160688935</v>
      </c>
      <c r="AG45" s="793">
        <f>+Input!EX744</f>
        <v>-45.396287328400597</v>
      </c>
      <c r="AH45" s="819"/>
      <c r="AI45" s="818">
        <f>+Input!GJ744</f>
        <v>6.4854749599001966</v>
      </c>
      <c r="AJ45" s="793"/>
      <c r="AK45" s="818">
        <f>+Input!GL744</f>
        <v>1.3463340782928412</v>
      </c>
      <c r="AL45" s="793" t="str">
        <f>+Input!GM744</f>
        <v>NM</v>
      </c>
      <c r="AM45" s="818">
        <f>+Input!GN744</f>
        <v>8.2886978714466881</v>
      </c>
      <c r="AN45" s="793" t="str">
        <f>+Input!GO744</f>
        <v>NM</v>
      </c>
      <c r="AO45" s="818">
        <f>+Input!GP744</f>
        <v>9.8139589140903443</v>
      </c>
      <c r="AP45" s="793">
        <f>+Input!GQ744</f>
        <v>18.401696699525626</v>
      </c>
      <c r="AQ45" s="818">
        <f>+Input!GR744</f>
        <v>11.513439576388443</v>
      </c>
      <c r="AR45" s="793">
        <f>+Input!GS744</f>
        <v>17.316973478033184</v>
      </c>
      <c r="AS45" s="818">
        <f>+Input!GT744</f>
        <v>11.785565956452528</v>
      </c>
      <c r="AT45" s="793">
        <f>+Input!GU744</f>
        <v>2.3635541599762888</v>
      </c>
      <c r="AU45" s="818">
        <f>+Input!GV744</f>
        <v>11.924154384081103</v>
      </c>
      <c r="AV45" s="793">
        <f>+Input!GW744</f>
        <v>1.1759166096957596</v>
      </c>
      <c r="AW45" s="818">
        <f>+Input!GX744</f>
        <v>11.93603240485794</v>
      </c>
      <c r="AX45" s="793">
        <f>+Input!GY744</f>
        <v>9.9613107934048983E-2</v>
      </c>
      <c r="AY45" s="906">
        <f>+Input!GZ744</f>
        <v>7.5659298746366677</v>
      </c>
    </row>
    <row r="46" spans="1:52" s="772" customFormat="1" ht="12.75" customHeight="1" x14ac:dyDescent="0.2">
      <c r="A46" s="926" t="str">
        <f>Input!B745</f>
        <v>Reported ROE (Incl FAS 115)(%)</v>
      </c>
      <c r="B46" s="818">
        <f>+Input!DS745</f>
        <v>9.9113146179191034</v>
      </c>
      <c r="C46" s="793"/>
      <c r="D46" s="818">
        <f>+Input!DU745</f>
        <v>3.659431234626505</v>
      </c>
      <c r="E46" s="793"/>
      <c r="F46" s="818">
        <f>+Input!DW745</f>
        <v>5.0092819047057784</v>
      </c>
      <c r="G46" s="793"/>
      <c r="H46" s="818">
        <f>+Input!DY745</f>
        <v>2.3645026801667659</v>
      </c>
      <c r="I46" s="793"/>
      <c r="J46" s="818">
        <f>+Input!EA745</f>
        <v>13.318814831795519</v>
      </c>
      <c r="K46" s="793">
        <f>+Input!EB745</f>
        <v>34.379901609780859</v>
      </c>
      <c r="L46" s="818">
        <f>+Input!EC745</f>
        <v>1.4586731378711328</v>
      </c>
      <c r="M46" s="793" t="str">
        <f>+Input!ED745</f>
        <v>NM</v>
      </c>
      <c r="N46" s="818">
        <f>+Input!EE745</f>
        <v>2.7965278185387357</v>
      </c>
      <c r="O46" s="793">
        <f>+Input!EF745</f>
        <v>-44.173079660147607</v>
      </c>
      <c r="P46" s="818">
        <f>+Input!EG745</f>
        <v>-13.483431555916292</v>
      </c>
      <c r="Q46" s="793" t="str">
        <f>+Input!EH745</f>
        <v>NM</v>
      </c>
      <c r="R46" s="818">
        <f>+Input!EI745</f>
        <v>5.2896091515729262</v>
      </c>
      <c r="S46" s="793" t="str">
        <f>+Input!EJ745</f>
        <v>NM</v>
      </c>
      <c r="T46" s="818">
        <f>+Input!EK745</f>
        <v>5.2091958868430162</v>
      </c>
      <c r="U46" s="793" t="str">
        <f>+Input!EL745</f>
        <v>NM</v>
      </c>
      <c r="V46" s="818">
        <f>+Input!EM745</f>
        <v>-0.63831537385868231</v>
      </c>
      <c r="W46" s="793" t="str">
        <f>+Input!EN745</f>
        <v>NM</v>
      </c>
      <c r="X46" s="818">
        <f>+Input!EO745</f>
        <v>16.375069821077854</v>
      </c>
      <c r="Y46" s="793" t="str">
        <f>+Input!EP745</f>
        <v>NM</v>
      </c>
      <c r="Z46" s="818">
        <f>+Input!EQ745</f>
        <v>2.2568409722023133</v>
      </c>
      <c r="AA46" s="793" t="str">
        <f>+Input!ER745</f>
        <v>NM</v>
      </c>
      <c r="AB46" s="818">
        <f>+Input!ES745</f>
        <v>8.7424716354725938</v>
      </c>
      <c r="AC46" s="793">
        <f>+Input!ET745</f>
        <v>67.827661416105542</v>
      </c>
      <c r="AD46" s="818">
        <f>+Input!EU745</f>
        <v>8.8384310425677732</v>
      </c>
      <c r="AE46" s="793" t="str">
        <f>+Input!EV745</f>
        <v>NM</v>
      </c>
      <c r="AF46" s="818">
        <f>+Input!EW745</f>
        <v>8.9142095822439238</v>
      </c>
      <c r="AG46" s="793">
        <f>+Input!EX745</f>
        <v>-45.562311002975832</v>
      </c>
      <c r="AH46" s="819"/>
      <c r="AI46" s="818">
        <f>+Input!GJ745</f>
        <v>5.3556842515802874</v>
      </c>
      <c r="AJ46" s="793"/>
      <c r="AK46" s="818">
        <f>+Input!GL745</f>
        <v>1.1374364284191611</v>
      </c>
      <c r="AL46" s="793" t="str">
        <f>+Input!GM745</f>
        <v>NM</v>
      </c>
      <c r="AM46" s="818">
        <f>+Input!GN745</f>
        <v>6.6930396755751591</v>
      </c>
      <c r="AN46" s="793" t="str">
        <f>+Input!GO745</f>
        <v>NM</v>
      </c>
      <c r="AO46" s="818">
        <f>+Input!GP745</f>
        <v>7.6863959808484648</v>
      </c>
      <c r="AP46" s="793">
        <f>+Input!GQ745</f>
        <v>14.841631805924461</v>
      </c>
      <c r="AQ46" s="818">
        <f>+Input!GR745</f>
        <v>9.0852154224932047</v>
      </c>
      <c r="AR46" s="793">
        <f>+Input!GS745</f>
        <v>18.198638804584853</v>
      </c>
      <c r="AS46" s="818">
        <f>+Input!GT745</f>
        <v>9.3295037233427891</v>
      </c>
      <c r="AT46" s="793">
        <f>+Input!GU745</f>
        <v>2.6888553489306855</v>
      </c>
      <c r="AU46" s="818">
        <f>+Input!GV745</f>
        <v>9.4736027029722276</v>
      </c>
      <c r="AV46" s="793">
        <f>+Input!GW745</f>
        <v>1.5445513920413267</v>
      </c>
      <c r="AW46" s="818">
        <f>+Input!GX745</f>
        <v>9.5196672734640995</v>
      </c>
      <c r="AX46" s="793">
        <f>+Input!GY745</f>
        <v>0.48624131638346224</v>
      </c>
      <c r="AY46" s="906">
        <f>+Input!GZ745</f>
        <v>7.2999881468141847</v>
      </c>
    </row>
    <row r="47" spans="1:52" s="772" customFormat="1" ht="4.5" customHeight="1" x14ac:dyDescent="0.2">
      <c r="A47" s="907"/>
      <c r="B47" s="789"/>
      <c r="C47" s="793"/>
      <c r="D47" s="789"/>
      <c r="E47" s="793"/>
      <c r="F47" s="789"/>
      <c r="G47" s="793"/>
      <c r="H47" s="789"/>
      <c r="I47" s="793"/>
      <c r="J47" s="789"/>
      <c r="K47" s="793"/>
      <c r="L47" s="789"/>
      <c r="M47" s="793"/>
      <c r="N47" s="789"/>
      <c r="O47" s="793"/>
      <c r="P47" s="789"/>
      <c r="Q47" s="793"/>
      <c r="R47" s="789"/>
      <c r="S47" s="793"/>
      <c r="T47" s="789"/>
      <c r="U47" s="793"/>
      <c r="V47" s="789"/>
      <c r="W47" s="793"/>
      <c r="X47" s="789"/>
      <c r="Y47" s="793"/>
      <c r="Z47" s="789"/>
      <c r="AA47" s="793"/>
      <c r="AB47" s="789"/>
      <c r="AC47" s="793"/>
      <c r="AD47" s="789"/>
      <c r="AE47" s="793"/>
      <c r="AF47" s="789"/>
      <c r="AG47" s="793"/>
      <c r="AH47" s="791"/>
      <c r="AI47" s="789"/>
      <c r="AJ47" s="793"/>
      <c r="AK47" s="789"/>
      <c r="AL47" s="793"/>
      <c r="AM47" s="789"/>
      <c r="AN47" s="793"/>
      <c r="AO47" s="789"/>
      <c r="AP47" s="793"/>
      <c r="AQ47" s="789"/>
      <c r="AR47" s="793"/>
      <c r="AS47" s="789"/>
      <c r="AT47" s="793"/>
      <c r="AU47" s="789"/>
      <c r="AV47" s="793"/>
      <c r="AW47" s="789"/>
      <c r="AX47" s="793"/>
      <c r="AY47" s="906"/>
    </row>
    <row r="48" spans="1:52" s="772" customFormat="1" ht="12.75" customHeight="1" x14ac:dyDescent="0.2">
      <c r="A48" s="904" t="s">
        <v>246</v>
      </c>
      <c r="B48" s="789"/>
      <c r="C48" s="793"/>
      <c r="D48" s="789"/>
      <c r="E48" s="793"/>
      <c r="F48" s="789"/>
      <c r="G48" s="793"/>
      <c r="H48" s="789"/>
      <c r="I48" s="793"/>
      <c r="J48" s="789"/>
      <c r="K48" s="793"/>
      <c r="L48" s="789"/>
      <c r="M48" s="793"/>
      <c r="N48" s="789"/>
      <c r="O48" s="793"/>
      <c r="P48" s="789"/>
      <c r="Q48" s="793"/>
      <c r="R48" s="789"/>
      <c r="S48" s="793"/>
      <c r="T48" s="789"/>
      <c r="U48" s="793"/>
      <c r="V48" s="789"/>
      <c r="W48" s="793"/>
      <c r="X48" s="789"/>
      <c r="Y48" s="793"/>
      <c r="Z48" s="789"/>
      <c r="AA48" s="793"/>
      <c r="AB48" s="789"/>
      <c r="AC48" s="793"/>
      <c r="AD48" s="789"/>
      <c r="AE48" s="793"/>
      <c r="AF48" s="789"/>
      <c r="AG48" s="793"/>
      <c r="AH48" s="791"/>
      <c r="AI48" s="789"/>
      <c r="AJ48" s="793"/>
      <c r="AK48" s="789"/>
      <c r="AL48" s="793"/>
      <c r="AM48" s="789"/>
      <c r="AN48" s="793"/>
      <c r="AO48" s="789"/>
      <c r="AP48" s="793"/>
      <c r="AQ48" s="789"/>
      <c r="AR48" s="793"/>
      <c r="AS48" s="789"/>
      <c r="AT48" s="793"/>
      <c r="AU48" s="789"/>
      <c r="AV48" s="793"/>
      <c r="AW48" s="789"/>
      <c r="AX48" s="793"/>
      <c r="AY48" s="906"/>
    </row>
    <row r="49" spans="1:52" s="772" customFormat="1" ht="12.75" customHeight="1" x14ac:dyDescent="0.2">
      <c r="A49" s="907" t="str">
        <f>Input!B663</f>
        <v>Dividends Per Share</v>
      </c>
      <c r="B49" s="820">
        <f>+Input!DS663</f>
        <v>0.375</v>
      </c>
      <c r="C49" s="793"/>
      <c r="D49" s="820">
        <f>+Input!DU663</f>
        <v>0.375</v>
      </c>
      <c r="E49" s="793"/>
      <c r="F49" s="820">
        <f>+Input!DW663</f>
        <v>0.375</v>
      </c>
      <c r="G49" s="793"/>
      <c r="H49" s="820">
        <f>+Input!DY663</f>
        <v>0.375</v>
      </c>
      <c r="I49" s="793"/>
      <c r="J49" s="820">
        <f>+Input!EA663</f>
        <v>0.375</v>
      </c>
      <c r="K49" s="793">
        <f>+Input!EB663</f>
        <v>0</v>
      </c>
      <c r="L49" s="820">
        <f>+Input!EC663</f>
        <v>0.375</v>
      </c>
      <c r="M49" s="793">
        <f>+Input!ED663</f>
        <v>0</v>
      </c>
      <c r="N49" s="820">
        <f>+Input!EE663</f>
        <v>0.375</v>
      </c>
      <c r="O49" s="793">
        <f>+Input!EF663</f>
        <v>0</v>
      </c>
      <c r="P49" s="820">
        <f>+Input!EG663</f>
        <v>0.4</v>
      </c>
      <c r="Q49" s="793">
        <f>+Input!EH663</f>
        <v>6.6666666666666652</v>
      </c>
      <c r="R49" s="820">
        <f>+Input!EI663</f>
        <v>0.4</v>
      </c>
      <c r="S49" s="793">
        <f>+Input!EJ663</f>
        <v>6.6666666666666652</v>
      </c>
      <c r="T49" s="820">
        <f>+Input!EK663</f>
        <v>0.4</v>
      </c>
      <c r="U49" s="793">
        <f>+Input!EL663</f>
        <v>6.6666666666666652</v>
      </c>
      <c r="V49" s="820">
        <f>+Input!EM663</f>
        <v>0.4</v>
      </c>
      <c r="W49" s="793">
        <f>+Input!EN663</f>
        <v>6.6666666666666652</v>
      </c>
      <c r="X49" s="820">
        <f>+Input!EO663</f>
        <v>0.4</v>
      </c>
      <c r="Y49" s="793">
        <f>+Input!EP663</f>
        <v>0</v>
      </c>
      <c r="Z49" s="820">
        <f>+Input!EQ663</f>
        <v>0.4</v>
      </c>
      <c r="AA49" s="793">
        <f>+Input!ER663</f>
        <v>0</v>
      </c>
      <c r="AB49" s="820">
        <f>+Input!ES663</f>
        <v>0.4</v>
      </c>
      <c r="AC49" s="793">
        <f>+Input!ET663</f>
        <v>0</v>
      </c>
      <c r="AD49" s="820">
        <f>+Input!EU663</f>
        <v>0.4</v>
      </c>
      <c r="AE49" s="793">
        <f>+Input!EV663</f>
        <v>0</v>
      </c>
      <c r="AF49" s="820">
        <f>+Input!EW663</f>
        <v>0.43</v>
      </c>
      <c r="AG49" s="793">
        <f>+Input!EX663</f>
        <v>7.4999999999999956</v>
      </c>
      <c r="AH49" s="821"/>
      <c r="AI49" s="820">
        <f>+Input!GJ663</f>
        <v>1.5</v>
      </c>
      <c r="AJ49" s="793"/>
      <c r="AK49" s="820">
        <f>+Input!GL663</f>
        <v>1.5249999999999999</v>
      </c>
      <c r="AL49" s="793">
        <f>+Input!GM663</f>
        <v>1.6666666666666607</v>
      </c>
      <c r="AM49" s="820">
        <f>+Input!GN663</f>
        <v>1.6</v>
      </c>
      <c r="AN49" s="793">
        <f>+Input!GO663</f>
        <v>4.9180327868852514</v>
      </c>
      <c r="AO49" s="820">
        <f>+Input!GP663</f>
        <v>1.6300000000000001</v>
      </c>
      <c r="AP49" s="793">
        <f>+Input!GQ663</f>
        <v>1.8750000000000044</v>
      </c>
      <c r="AQ49" s="820">
        <f>+Input!GR663</f>
        <v>1.7767000000000002</v>
      </c>
      <c r="AR49" s="793">
        <f>+Input!GS663</f>
        <v>9.0000000000000071</v>
      </c>
      <c r="AS49" s="820">
        <f>+Input!GT663</f>
        <v>1.9543700000000004</v>
      </c>
      <c r="AT49" s="793">
        <f>+Input!GU663</f>
        <v>10.000000000000009</v>
      </c>
      <c r="AU49" s="820">
        <f>+Input!GV663</f>
        <v>2.1498070000000005</v>
      </c>
      <c r="AV49" s="793">
        <f>+Input!GW663</f>
        <v>10.000000000000009</v>
      </c>
      <c r="AW49" s="820">
        <f>+Input!GX663</f>
        <v>2.3647877000000008</v>
      </c>
      <c r="AX49" s="793">
        <f>+Input!GY663</f>
        <v>10.000000000000009</v>
      </c>
      <c r="AY49" s="906">
        <f>+Input!GZ663</f>
        <v>8.1270700709339181</v>
      </c>
    </row>
    <row r="50" spans="1:52" s="772" customFormat="1" ht="12.75" customHeight="1" x14ac:dyDescent="0.2">
      <c r="A50" s="927" t="str">
        <f>Input!B664</f>
        <v>Dividend Payout Ratio (%)</v>
      </c>
      <c r="B50" s="928">
        <f>+Input!DS664</f>
        <v>24.193548387096772</v>
      </c>
      <c r="C50" s="929"/>
      <c r="D50" s="928">
        <f>+Input!DU664</f>
        <v>66.964285714285708</v>
      </c>
      <c r="E50" s="929"/>
      <c r="F50" s="928">
        <f>+Input!DW664</f>
        <v>50</v>
      </c>
      <c r="G50" s="929"/>
      <c r="H50" s="928">
        <f>+Input!DY664</f>
        <v>107.14285714285714</v>
      </c>
      <c r="I50" s="929"/>
      <c r="J50" s="928">
        <f>+Input!EA664</f>
        <v>17.857142857142858</v>
      </c>
      <c r="K50" s="929">
        <f>+Input!EB664</f>
        <v>-26.190476190476186</v>
      </c>
      <c r="L50" s="928">
        <f>+Input!EC664</f>
        <v>150</v>
      </c>
      <c r="M50" s="929" t="str">
        <f>+Input!ED664</f>
        <v>NM</v>
      </c>
      <c r="N50" s="928">
        <f>+Input!EE664</f>
        <v>78.125</v>
      </c>
      <c r="O50" s="929">
        <f>+Input!EF664</f>
        <v>56.25</v>
      </c>
      <c r="P50" s="928">
        <f>+Input!EG664</f>
        <v>-18.433179723502306</v>
      </c>
      <c r="Q50" s="929" t="str">
        <f>+Input!EH664</f>
        <v>NM</v>
      </c>
      <c r="R50" s="928">
        <f>+Input!EI664</f>
        <v>50.632911392405063</v>
      </c>
      <c r="S50" s="929" t="str">
        <f>+Input!EJ664</f>
        <v>NM</v>
      </c>
      <c r="T50" s="928">
        <f>+Input!EK664</f>
        <v>50</v>
      </c>
      <c r="U50" s="929" t="str">
        <f>+Input!EL664</f>
        <v>NM</v>
      </c>
      <c r="V50" s="928">
        <f>+Input!EM664</f>
        <v>-444.44444444444446</v>
      </c>
      <c r="W50" s="929" t="str">
        <f>+Input!EN664</f>
        <v>NM</v>
      </c>
      <c r="X50" s="928">
        <f>+Input!EO664</f>
        <v>18.691588785046729</v>
      </c>
      <c r="Y50" s="929" t="str">
        <f>+Input!EP664</f>
        <v>NM</v>
      </c>
      <c r="Z50" s="928">
        <f>+Input!EQ664</f>
        <v>133.33333333333334</v>
      </c>
      <c r="AA50" s="929" t="str">
        <f>+Input!ER664</f>
        <v>NM</v>
      </c>
      <c r="AB50" s="928">
        <f>+Input!ES664</f>
        <v>33.898305084745765</v>
      </c>
      <c r="AC50" s="929">
        <f>+Input!ET664</f>
        <v>-32.203389830508463</v>
      </c>
      <c r="AD50" s="928">
        <f>+Input!EU664</f>
        <v>32.786885245901644</v>
      </c>
      <c r="AE50" s="929" t="str">
        <f>+Input!EV664</f>
        <v>NM</v>
      </c>
      <c r="AF50" s="928">
        <f>+Input!EW664</f>
        <v>34.4</v>
      </c>
      <c r="AG50" s="929">
        <f>+Input!EX664</f>
        <v>84.039999999999978</v>
      </c>
      <c r="AH50" s="930"/>
      <c r="AI50" s="928">
        <f>+Input!GJ664</f>
        <v>46.58385093167702</v>
      </c>
      <c r="AJ50" s="929"/>
      <c r="AK50" s="928">
        <f>+Input!GL664</f>
        <v>227.61194029850742</v>
      </c>
      <c r="AL50" s="929" t="str">
        <f>+Input!GM664</f>
        <v>NM</v>
      </c>
      <c r="AM50" s="928">
        <f>+Input!GN664</f>
        <v>44.19889502762431</v>
      </c>
      <c r="AN50" s="929" t="str">
        <f>+Input!GO664</f>
        <v>NM</v>
      </c>
      <c r="AO50" s="928">
        <f>+Input!GP664</f>
        <v>41.475826972010175</v>
      </c>
      <c r="AP50" s="929">
        <f>+Input!GQ664</f>
        <v>-6.1609414758269754</v>
      </c>
      <c r="AQ50" s="928">
        <f>+Input!GR664</f>
        <v>33.522641509433967</v>
      </c>
      <c r="AR50" s="929">
        <f>+Input!GS664</f>
        <v>-19.175471698113189</v>
      </c>
      <c r="AS50" s="928">
        <f>+Input!GT664</f>
        <v>33.696034482758627</v>
      </c>
      <c r="AT50" s="929">
        <f>+Input!GU664</f>
        <v>0.51724137931035141</v>
      </c>
      <c r="AU50" s="928">
        <f>+Input!GV664</f>
        <v>33.855228346456698</v>
      </c>
      <c r="AV50" s="929">
        <f>+Input!GW664</f>
        <v>0.47244094488188004</v>
      </c>
      <c r="AW50" s="928">
        <f>+Input!GX664</f>
        <v>34.572919590643288</v>
      </c>
      <c r="AX50" s="929">
        <f>+Input!GY664</f>
        <v>2.1198830409356884</v>
      </c>
      <c r="AY50" s="931">
        <f>+Input!GZ664</f>
        <v>-4.793866325662</v>
      </c>
    </row>
    <row r="51" spans="1:52" s="772" customFormat="1" ht="12.75" customHeight="1" x14ac:dyDescent="0.2">
      <c r="A51" s="907"/>
      <c r="B51" s="789"/>
      <c r="C51" s="793"/>
      <c r="D51" s="789"/>
      <c r="E51" s="793"/>
      <c r="F51" s="789"/>
      <c r="G51" s="793"/>
      <c r="H51" s="789"/>
      <c r="I51" s="793"/>
      <c r="J51" s="789"/>
      <c r="K51" s="793"/>
      <c r="L51" s="789"/>
      <c r="M51" s="793"/>
      <c r="N51" s="789"/>
      <c r="O51" s="793"/>
      <c r="P51" s="789"/>
      <c r="Q51" s="793"/>
      <c r="R51" s="789"/>
      <c r="S51" s="793"/>
      <c r="T51" s="789"/>
      <c r="U51" s="793"/>
      <c r="V51" s="789"/>
      <c r="W51" s="793"/>
      <c r="X51" s="789"/>
      <c r="Y51" s="793"/>
      <c r="Z51" s="789"/>
      <c r="AA51" s="793"/>
      <c r="AB51" s="789"/>
      <c r="AC51" s="793"/>
      <c r="AD51" s="789"/>
      <c r="AE51" s="793"/>
      <c r="AF51" s="789"/>
      <c r="AG51" s="793"/>
      <c r="AH51" s="791"/>
      <c r="AI51" s="789"/>
      <c r="AJ51" s="793"/>
      <c r="AK51" s="789"/>
      <c r="AL51" s="793"/>
      <c r="AM51" s="789"/>
      <c r="AN51" s="793"/>
      <c r="AO51" s="789"/>
      <c r="AP51" s="793"/>
      <c r="AQ51" s="789"/>
      <c r="AR51" s="793"/>
      <c r="AS51" s="789"/>
      <c r="AT51" s="793"/>
      <c r="AU51" s="789"/>
      <c r="AV51" s="793"/>
      <c r="AW51" s="789"/>
      <c r="AX51" s="793"/>
      <c r="AY51" s="906"/>
    </row>
    <row r="52" spans="1:52" s="772" customFormat="1" ht="12.75" customHeight="1" x14ac:dyDescent="0.2">
      <c r="A52" s="932" t="s">
        <v>21</v>
      </c>
      <c r="B52" s="789"/>
      <c r="C52" s="790"/>
      <c r="D52" s="789"/>
      <c r="E52" s="790"/>
      <c r="F52" s="789"/>
      <c r="G52" s="790"/>
      <c r="H52" s="789"/>
      <c r="I52" s="790"/>
      <c r="J52" s="789"/>
      <c r="K52" s="790"/>
      <c r="L52" s="789"/>
      <c r="M52" s="790"/>
      <c r="N52" s="789"/>
      <c r="O52" s="790"/>
      <c r="P52" s="789"/>
      <c r="Q52" s="790"/>
      <c r="R52" s="789"/>
      <c r="S52" s="790"/>
      <c r="T52" s="789"/>
      <c r="U52" s="790"/>
      <c r="V52" s="789"/>
      <c r="W52" s="790"/>
      <c r="X52" s="789"/>
      <c r="Y52" s="790"/>
      <c r="Z52" s="789"/>
      <c r="AA52" s="790"/>
      <c r="AB52" s="789"/>
      <c r="AC52" s="790"/>
      <c r="AD52" s="789"/>
      <c r="AE52" s="790"/>
      <c r="AF52" s="789"/>
      <c r="AG52" s="790"/>
      <c r="AH52" s="791"/>
      <c r="AI52" s="789"/>
      <c r="AJ52" s="790"/>
      <c r="AK52" s="789"/>
      <c r="AL52" s="790"/>
      <c r="AM52" s="789"/>
      <c r="AN52" s="790"/>
      <c r="AO52" s="789"/>
      <c r="AP52" s="790"/>
      <c r="AQ52" s="789"/>
      <c r="AR52" s="790"/>
      <c r="AS52" s="789"/>
      <c r="AT52" s="790"/>
      <c r="AU52" s="789"/>
      <c r="AV52" s="790"/>
      <c r="AW52" s="789"/>
      <c r="AX52" s="790"/>
      <c r="AY52" s="933"/>
    </row>
    <row r="53" spans="1:52" s="772" customFormat="1" ht="12.75" customHeight="1" x14ac:dyDescent="0.2">
      <c r="A53" s="932" t="s">
        <v>626</v>
      </c>
      <c r="B53" s="789"/>
      <c r="C53" s="790"/>
      <c r="D53" s="789"/>
      <c r="E53" s="790"/>
      <c r="F53" s="789"/>
      <c r="G53" s="790"/>
      <c r="H53" s="789"/>
      <c r="I53" s="790"/>
      <c r="J53" s="789"/>
      <c r="K53" s="790"/>
      <c r="L53" s="789"/>
      <c r="M53" s="790"/>
      <c r="N53" s="789"/>
      <c r="O53" s="790"/>
      <c r="P53" s="789"/>
      <c r="Q53" s="790"/>
      <c r="R53" s="789"/>
      <c r="S53" s="790"/>
      <c r="T53" s="789"/>
      <c r="U53" s="790"/>
      <c r="V53" s="789"/>
      <c r="W53" s="790"/>
      <c r="X53" s="789"/>
      <c r="Y53" s="790"/>
      <c r="Z53" s="789"/>
      <c r="AA53" s="790"/>
      <c r="AB53" s="789"/>
      <c r="AC53" s="790"/>
      <c r="AD53" s="789"/>
      <c r="AE53" s="790"/>
      <c r="AF53" s="789"/>
      <c r="AG53" s="790"/>
      <c r="AH53" s="791"/>
      <c r="AI53" s="789"/>
      <c r="AJ53" s="790"/>
      <c r="AK53" s="789"/>
      <c r="AL53" s="790"/>
      <c r="AM53" s="789"/>
      <c r="AN53" s="790"/>
      <c r="AO53" s="789"/>
      <c r="AP53" s="790"/>
      <c r="AQ53" s="789"/>
      <c r="AR53" s="790"/>
      <c r="AS53" s="789"/>
      <c r="AT53" s="790"/>
      <c r="AU53" s="789"/>
      <c r="AV53" s="790"/>
      <c r="AW53" s="789"/>
      <c r="AX53" s="790"/>
      <c r="AY53" s="933"/>
    </row>
    <row r="54" spans="1:52" s="772" customFormat="1" ht="12.75" customHeight="1" x14ac:dyDescent="0.2">
      <c r="A54" s="934"/>
      <c r="B54" s="935"/>
      <c r="C54" s="936"/>
      <c r="D54" s="935"/>
      <c r="E54" s="936"/>
      <c r="F54" s="935"/>
      <c r="G54" s="936"/>
      <c r="H54" s="935"/>
      <c r="I54" s="936"/>
      <c r="J54" s="935"/>
      <c r="K54" s="936"/>
      <c r="L54" s="935"/>
      <c r="M54" s="936"/>
      <c r="N54" s="935"/>
      <c r="O54" s="936"/>
      <c r="P54" s="935"/>
      <c r="Q54" s="936"/>
      <c r="R54" s="935"/>
      <c r="S54" s="936"/>
      <c r="T54" s="935"/>
      <c r="U54" s="936"/>
      <c r="V54" s="935"/>
      <c r="W54" s="936"/>
      <c r="X54" s="935"/>
      <c r="Y54" s="936"/>
      <c r="Z54" s="935"/>
      <c r="AA54" s="936"/>
      <c r="AB54" s="935"/>
      <c r="AC54" s="936"/>
      <c r="AD54" s="935"/>
      <c r="AE54" s="936"/>
      <c r="AF54" s="935"/>
      <c r="AG54" s="936"/>
      <c r="AH54" s="935"/>
      <c r="AI54" s="935"/>
      <c r="AJ54" s="936"/>
      <c r="AK54" s="935"/>
      <c r="AL54" s="936"/>
      <c r="AM54" s="935"/>
      <c r="AN54" s="936"/>
      <c r="AO54" s="935"/>
      <c r="AP54" s="936"/>
      <c r="AQ54" s="935"/>
      <c r="AR54" s="936"/>
      <c r="AS54" s="935"/>
      <c r="AT54" s="936"/>
      <c r="AU54" s="935"/>
      <c r="AV54" s="936"/>
      <c r="AW54" s="935"/>
      <c r="AX54" s="936"/>
      <c r="AY54" s="937"/>
      <c r="AZ54" s="811"/>
    </row>
    <row r="55" spans="1:52" s="772" customFormat="1" ht="21.95" customHeight="1" x14ac:dyDescent="0.25">
      <c r="A55" s="938" t="str">
        <f>A$1</f>
        <v>MetLife</v>
      </c>
      <c r="B55" s="939"/>
      <c r="C55" s="775"/>
      <c r="D55" s="939"/>
      <c r="E55" s="775"/>
      <c r="F55" s="939"/>
      <c r="G55" s="775"/>
      <c r="H55" s="939"/>
      <c r="I55" s="775"/>
      <c r="J55" s="939"/>
      <c r="K55" s="775"/>
      <c r="L55" s="939"/>
      <c r="M55" s="775"/>
      <c r="N55" s="939"/>
      <c r="O55" s="775"/>
      <c r="P55" s="939"/>
      <c r="Q55" s="775"/>
      <c r="R55" s="939"/>
      <c r="S55" s="775"/>
      <c r="T55" s="939"/>
      <c r="U55" s="775"/>
      <c r="V55" s="939"/>
      <c r="W55" s="775"/>
      <c r="X55" s="939"/>
      <c r="Y55" s="775"/>
      <c r="Z55" s="939"/>
      <c r="AA55" s="775"/>
      <c r="AB55" s="939"/>
      <c r="AC55" s="775"/>
      <c r="AD55" s="939"/>
      <c r="AE55" s="775"/>
      <c r="AF55" s="939"/>
      <c r="AG55" s="775"/>
      <c r="AH55" s="776"/>
      <c r="AI55" s="939"/>
      <c r="AJ55" s="775"/>
      <c r="AK55" s="939"/>
      <c r="AL55" s="775"/>
      <c r="AM55" s="939"/>
      <c r="AN55" s="775"/>
      <c r="AO55" s="939"/>
      <c r="AP55" s="775"/>
      <c r="AQ55" s="939"/>
      <c r="AR55" s="775"/>
      <c r="AS55" s="939"/>
      <c r="AT55" s="775"/>
      <c r="AU55" s="939"/>
      <c r="AV55" s="775"/>
      <c r="AW55" s="939"/>
      <c r="AX55" s="775"/>
      <c r="AY55" s="901"/>
    </row>
    <row r="56" spans="1:52" s="772" customFormat="1" ht="12.75" customHeight="1" x14ac:dyDescent="0.2">
      <c r="A56" s="916" t="s">
        <v>572</v>
      </c>
      <c r="B56" s="774"/>
      <c r="C56" s="775"/>
      <c r="D56" s="774"/>
      <c r="E56" s="775"/>
      <c r="F56" s="774"/>
      <c r="G56" s="775"/>
      <c r="H56" s="774"/>
      <c r="I56" s="775"/>
      <c r="J56" s="774"/>
      <c r="K56" s="775"/>
      <c r="L56" s="774"/>
      <c r="M56" s="775"/>
      <c r="N56" s="774"/>
      <c r="O56" s="775"/>
      <c r="P56" s="774"/>
      <c r="Q56" s="775"/>
      <c r="R56" s="774"/>
      <c r="S56" s="775"/>
      <c r="T56" s="774"/>
      <c r="U56" s="775"/>
      <c r="V56" s="774"/>
      <c r="W56" s="775"/>
      <c r="X56" s="774"/>
      <c r="Y56" s="775"/>
      <c r="Z56" s="774"/>
      <c r="AA56" s="775"/>
      <c r="AB56" s="774"/>
      <c r="AC56" s="775"/>
      <c r="AD56" s="774"/>
      <c r="AE56" s="775"/>
      <c r="AF56" s="774"/>
      <c r="AG56" s="775"/>
      <c r="AH56" s="776"/>
      <c r="AI56" s="774"/>
      <c r="AJ56" s="775"/>
      <c r="AK56" s="774"/>
      <c r="AL56" s="775"/>
      <c r="AM56" s="774"/>
      <c r="AN56" s="775"/>
      <c r="AO56" s="774"/>
      <c r="AP56" s="775"/>
      <c r="AQ56" s="774"/>
      <c r="AR56" s="775"/>
      <c r="AS56" s="774"/>
      <c r="AT56" s="775"/>
      <c r="AU56" s="774"/>
      <c r="AV56" s="775"/>
      <c r="AW56" s="774"/>
      <c r="AX56" s="775"/>
      <c r="AY56" s="901"/>
    </row>
    <row r="57" spans="1:52" s="772" customFormat="1" ht="12.75" customHeight="1" x14ac:dyDescent="0.2">
      <c r="A57" s="895" t="str">
        <f>A$3</f>
        <v>($Millions Except Per Share Data)</v>
      </c>
      <c r="B57" s="896"/>
      <c r="C57" s="897"/>
      <c r="D57" s="896"/>
      <c r="E57" s="897"/>
      <c r="F57" s="896"/>
      <c r="G57" s="897"/>
      <c r="H57" s="896"/>
      <c r="I57" s="897"/>
      <c r="J57" s="896"/>
      <c r="K57" s="897" t="str">
        <f>K$3</f>
        <v>1Q16/</v>
      </c>
      <c r="L57" s="896"/>
      <c r="M57" s="897" t="str">
        <f>M$3</f>
        <v>2Q16/</v>
      </c>
      <c r="N57" s="896"/>
      <c r="O57" s="897" t="str">
        <f>O$3</f>
        <v>3Q16/</v>
      </c>
      <c r="P57" s="896"/>
      <c r="Q57" s="897" t="str">
        <f>Q$3</f>
        <v>4Q16/</v>
      </c>
      <c r="R57" s="896"/>
      <c r="S57" s="897" t="str">
        <f t="shared" ref="S57" si="61">S$3</f>
        <v>1Q17/</v>
      </c>
      <c r="T57" s="896"/>
      <c r="U57" s="897" t="str">
        <f t="shared" ref="U57" si="62">U$3</f>
        <v>2Q17/</v>
      </c>
      <c r="V57" s="896"/>
      <c r="W57" s="897" t="str">
        <f t="shared" ref="W57" si="63">W$3</f>
        <v>3Q17/</v>
      </c>
      <c r="X57" s="896"/>
      <c r="Y57" s="897" t="str">
        <f t="shared" ref="Y57" si="64">Y$3</f>
        <v>4Q17/</v>
      </c>
      <c r="Z57" s="896"/>
      <c r="AA57" s="897" t="str">
        <f t="shared" ref="AA57" si="65">AA$3</f>
        <v>1Q18E/</v>
      </c>
      <c r="AB57" s="896"/>
      <c r="AC57" s="897" t="str">
        <f t="shared" ref="AC57" si="66">AC$3</f>
        <v>2Q18E/</v>
      </c>
      <c r="AD57" s="896"/>
      <c r="AE57" s="897" t="str">
        <f t="shared" ref="AE57" si="67">AE$3</f>
        <v>3Q18E/</v>
      </c>
      <c r="AF57" s="896"/>
      <c r="AG57" s="897" t="str">
        <f t="shared" ref="AG57" si="68">AG$3</f>
        <v>4Q18E/</v>
      </c>
      <c r="AH57" s="898"/>
      <c r="AI57" s="896"/>
      <c r="AJ57" s="897"/>
      <c r="AK57" s="896"/>
      <c r="AL57" s="897" t="str">
        <f>AL$3</f>
        <v>2016/</v>
      </c>
      <c r="AM57" s="896"/>
      <c r="AN57" s="897" t="str">
        <f>AN$3</f>
        <v>2017/</v>
      </c>
      <c r="AO57" s="896"/>
      <c r="AP57" s="897" t="str">
        <f>AP$3</f>
        <v>2018E/</v>
      </c>
      <c r="AQ57" s="896"/>
      <c r="AR57" s="897" t="str">
        <f>AR$3</f>
        <v>2019E/</v>
      </c>
      <c r="AS57" s="896"/>
      <c r="AT57" s="897" t="str">
        <f>AT$3</f>
        <v>2020E/</v>
      </c>
      <c r="AU57" s="896"/>
      <c r="AV57" s="897" t="str">
        <f>AV$3</f>
        <v>2021E/</v>
      </c>
      <c r="AW57" s="896"/>
      <c r="AX57" s="897" t="str">
        <f>AX$3</f>
        <v>2022E/</v>
      </c>
      <c r="AY57" s="899" t="str">
        <f>AY$3</f>
        <v>5-Yr</v>
      </c>
      <c r="AZ57" s="781"/>
    </row>
    <row r="58" spans="1:52" s="772" customFormat="1" ht="12.75" customHeight="1" x14ac:dyDescent="0.2">
      <c r="A58" s="900"/>
      <c r="B58" s="778"/>
      <c r="C58" s="775"/>
      <c r="D58" s="778"/>
      <c r="E58" s="775"/>
      <c r="F58" s="778"/>
      <c r="G58" s="775"/>
      <c r="H58" s="778"/>
      <c r="I58" s="775"/>
      <c r="J58" s="778"/>
      <c r="K58" s="775" t="str">
        <f>K$4</f>
        <v>1Q15</v>
      </c>
      <c r="L58" s="778"/>
      <c r="M58" s="775" t="str">
        <f>M$4</f>
        <v>2Q15</v>
      </c>
      <c r="N58" s="778"/>
      <c r="O58" s="775" t="str">
        <f>O$4</f>
        <v>3Q15</v>
      </c>
      <c r="P58" s="778"/>
      <c r="Q58" s="775" t="str">
        <f>Q$4</f>
        <v>4Q15</v>
      </c>
      <c r="R58" s="778"/>
      <c r="S58" s="775" t="str">
        <f t="shared" ref="S58" si="69">S$4</f>
        <v>1Q16</v>
      </c>
      <c r="T58" s="778"/>
      <c r="U58" s="775" t="str">
        <f t="shared" ref="U58" si="70">U$4</f>
        <v>2Q16</v>
      </c>
      <c r="V58" s="778"/>
      <c r="W58" s="775" t="str">
        <f t="shared" ref="W58" si="71">W$4</f>
        <v>3Q16</v>
      </c>
      <c r="X58" s="778"/>
      <c r="Y58" s="775" t="str">
        <f t="shared" ref="Y58" si="72">Y$4</f>
        <v>4Q16</v>
      </c>
      <c r="Z58" s="778"/>
      <c r="AA58" s="775" t="str">
        <f t="shared" ref="AA58" si="73">AA$4</f>
        <v>1Q17</v>
      </c>
      <c r="AB58" s="778"/>
      <c r="AC58" s="775" t="str">
        <f t="shared" ref="AC58" si="74">AC$4</f>
        <v>2Q17</v>
      </c>
      <c r="AD58" s="778"/>
      <c r="AE58" s="775" t="str">
        <f t="shared" ref="AE58" si="75">AE$4</f>
        <v>3Q17</v>
      </c>
      <c r="AF58" s="778"/>
      <c r="AG58" s="775" t="str">
        <f t="shared" ref="AG58" si="76">AG$4</f>
        <v>4Q17</v>
      </c>
      <c r="AH58" s="780"/>
      <c r="AI58" s="778"/>
      <c r="AJ58" s="775"/>
      <c r="AK58" s="778"/>
      <c r="AL58" s="775" t="str">
        <f>AL$4</f>
        <v>2015</v>
      </c>
      <c r="AM58" s="778"/>
      <c r="AN58" s="775" t="str">
        <f>AN$4</f>
        <v>2016</v>
      </c>
      <c r="AO58" s="778"/>
      <c r="AP58" s="775">
        <f>AP$4</f>
        <v>2017</v>
      </c>
      <c r="AQ58" s="778"/>
      <c r="AR58" s="775" t="str">
        <f>AR$4</f>
        <v>2018E</v>
      </c>
      <c r="AS58" s="778"/>
      <c r="AT58" s="775" t="str">
        <f>AT$4</f>
        <v>2019E</v>
      </c>
      <c r="AU58" s="778"/>
      <c r="AV58" s="775" t="str">
        <f>AV$4</f>
        <v>2020E</v>
      </c>
      <c r="AW58" s="778"/>
      <c r="AX58" s="775" t="str">
        <f>AX$4</f>
        <v>2021E</v>
      </c>
      <c r="AY58" s="901" t="str">
        <f>AY$4</f>
        <v>CAGR</v>
      </c>
      <c r="AZ58" s="781"/>
    </row>
    <row r="59" spans="1:52" s="772" customFormat="1" ht="12.75" customHeight="1" x14ac:dyDescent="0.2">
      <c r="A59" s="902"/>
      <c r="B59" s="784" t="str">
        <f>B$5</f>
        <v>1Q15</v>
      </c>
      <c r="C59" s="785"/>
      <c r="D59" s="784" t="str">
        <f>D$5</f>
        <v>2Q15</v>
      </c>
      <c r="E59" s="785"/>
      <c r="F59" s="784" t="str">
        <f>F$5</f>
        <v>3Q15</v>
      </c>
      <c r="G59" s="785"/>
      <c r="H59" s="784" t="str">
        <f>H$5</f>
        <v>4Q15</v>
      </c>
      <c r="I59" s="785"/>
      <c r="J59" s="784" t="str">
        <f>J$5</f>
        <v>1Q16</v>
      </c>
      <c r="K59" s="785" t="str">
        <f t="shared" ref="K59:S59" si="77">K$5</f>
        <v>% Chg</v>
      </c>
      <c r="L59" s="784" t="str">
        <f>L$5</f>
        <v>2Q16</v>
      </c>
      <c r="M59" s="785" t="str">
        <f t="shared" si="77"/>
        <v>% Chg</v>
      </c>
      <c r="N59" s="784" t="str">
        <f>N$5</f>
        <v>3Q16</v>
      </c>
      <c r="O59" s="785" t="str">
        <f t="shared" si="77"/>
        <v>% Chg</v>
      </c>
      <c r="P59" s="784" t="str">
        <f>P$5</f>
        <v>4Q16</v>
      </c>
      <c r="Q59" s="785" t="str">
        <f t="shared" si="77"/>
        <v>% Chg</v>
      </c>
      <c r="R59" s="784" t="str">
        <f t="shared" ref="R59" si="78">R$5</f>
        <v>1Q17</v>
      </c>
      <c r="S59" s="785" t="str">
        <f t="shared" si="77"/>
        <v>% Chg</v>
      </c>
      <c r="T59" s="784" t="str">
        <f t="shared" ref="T59:AG59" si="79">T$5</f>
        <v>2Q17</v>
      </c>
      <c r="U59" s="785" t="str">
        <f t="shared" si="79"/>
        <v>% Chg</v>
      </c>
      <c r="V59" s="784" t="str">
        <f t="shared" si="79"/>
        <v>3Q17</v>
      </c>
      <c r="W59" s="785" t="str">
        <f t="shared" si="79"/>
        <v>% Chg</v>
      </c>
      <c r="X59" s="784" t="str">
        <f t="shared" si="79"/>
        <v>4Q17</v>
      </c>
      <c r="Y59" s="785" t="str">
        <f t="shared" si="79"/>
        <v>% Chg</v>
      </c>
      <c r="Z59" s="784" t="str">
        <f t="shared" si="79"/>
        <v>1Q18E</v>
      </c>
      <c r="AA59" s="785" t="str">
        <f t="shared" si="79"/>
        <v>% Chg</v>
      </c>
      <c r="AB59" s="784" t="str">
        <f t="shared" si="79"/>
        <v>2Q18E</v>
      </c>
      <c r="AC59" s="785" t="str">
        <f t="shared" si="79"/>
        <v>% Chg</v>
      </c>
      <c r="AD59" s="784" t="str">
        <f t="shared" si="79"/>
        <v>3Q18E</v>
      </c>
      <c r="AE59" s="785" t="str">
        <f t="shared" si="79"/>
        <v>% Chg</v>
      </c>
      <c r="AF59" s="784" t="str">
        <f t="shared" si="79"/>
        <v>4Q18E</v>
      </c>
      <c r="AG59" s="785" t="str">
        <f t="shared" si="79"/>
        <v>% Chg</v>
      </c>
      <c r="AH59" s="786"/>
      <c r="AI59" s="784" t="str">
        <f t="shared" ref="AI59:AY59" si="80">AI$5</f>
        <v>2015</v>
      </c>
      <c r="AJ59" s="785"/>
      <c r="AK59" s="784" t="str">
        <f t="shared" si="80"/>
        <v>2016</v>
      </c>
      <c r="AL59" s="785" t="str">
        <f t="shared" si="80"/>
        <v>% Chg</v>
      </c>
      <c r="AM59" s="784">
        <f t="shared" si="80"/>
        <v>2017</v>
      </c>
      <c r="AN59" s="785" t="str">
        <f t="shared" si="80"/>
        <v>% Chg</v>
      </c>
      <c r="AO59" s="784" t="str">
        <f t="shared" si="80"/>
        <v>2018E</v>
      </c>
      <c r="AP59" s="785" t="str">
        <f t="shared" si="80"/>
        <v>% Chg</v>
      </c>
      <c r="AQ59" s="784" t="str">
        <f t="shared" si="80"/>
        <v>2019E</v>
      </c>
      <c r="AR59" s="785" t="str">
        <f t="shared" si="80"/>
        <v>% Chg</v>
      </c>
      <c r="AS59" s="784" t="str">
        <f t="shared" si="80"/>
        <v>2020E</v>
      </c>
      <c r="AT59" s="785" t="str">
        <f t="shared" si="80"/>
        <v>% Chg</v>
      </c>
      <c r="AU59" s="784" t="str">
        <f t="shared" si="80"/>
        <v>2021E</v>
      </c>
      <c r="AV59" s="785" t="str">
        <f t="shared" si="80"/>
        <v>% Chg</v>
      </c>
      <c r="AW59" s="784" t="str">
        <f t="shared" si="80"/>
        <v>2022E</v>
      </c>
      <c r="AX59" s="785" t="str">
        <f t="shared" si="80"/>
        <v>% Chg</v>
      </c>
      <c r="AY59" s="903" t="str">
        <f t="shared" si="80"/>
        <v>(%)</v>
      </c>
      <c r="AZ59" s="781"/>
    </row>
    <row r="60" spans="1:52" s="772" customFormat="1" ht="4.5" customHeight="1" x14ac:dyDescent="0.2">
      <c r="A60" s="904"/>
      <c r="B60" s="789"/>
      <c r="C60" s="790"/>
      <c r="D60" s="789"/>
      <c r="E60" s="790"/>
      <c r="F60" s="789"/>
      <c r="G60" s="790"/>
      <c r="H60" s="789"/>
      <c r="I60" s="790"/>
      <c r="J60" s="789"/>
      <c r="K60" s="790"/>
      <c r="L60" s="789"/>
      <c r="M60" s="790"/>
      <c r="N60" s="789"/>
      <c r="O60" s="790"/>
      <c r="P60" s="789"/>
      <c r="Q60" s="790"/>
      <c r="R60" s="789"/>
      <c r="S60" s="790"/>
      <c r="T60" s="789"/>
      <c r="U60" s="790"/>
      <c r="V60" s="789"/>
      <c r="W60" s="790"/>
      <c r="X60" s="789"/>
      <c r="Y60" s="790"/>
      <c r="Z60" s="789"/>
      <c r="AA60" s="790"/>
      <c r="AB60" s="789"/>
      <c r="AC60" s="790"/>
      <c r="AD60" s="789"/>
      <c r="AE60" s="790"/>
      <c r="AF60" s="789"/>
      <c r="AG60" s="790"/>
      <c r="AH60" s="791"/>
      <c r="AI60" s="789"/>
      <c r="AJ60" s="790"/>
      <c r="AK60" s="789"/>
      <c r="AL60" s="790"/>
      <c r="AM60" s="789"/>
      <c r="AN60" s="790"/>
      <c r="AO60" s="789"/>
      <c r="AP60" s="790"/>
      <c r="AQ60" s="789"/>
      <c r="AR60" s="790"/>
      <c r="AS60" s="789"/>
      <c r="AT60" s="790"/>
      <c r="AU60" s="789"/>
      <c r="AV60" s="790"/>
      <c r="AW60" s="789"/>
      <c r="AX60" s="790"/>
      <c r="AY60" s="933"/>
    </row>
    <row r="61" spans="1:52" s="772" customFormat="1" ht="12.75" customHeight="1" x14ac:dyDescent="0.2">
      <c r="A61" s="904" t="s">
        <v>197</v>
      </c>
      <c r="B61" s="789"/>
      <c r="C61" s="793"/>
      <c r="D61" s="789"/>
      <c r="E61" s="793"/>
      <c r="F61" s="789"/>
      <c r="G61" s="793"/>
      <c r="H61" s="789"/>
      <c r="I61" s="793"/>
      <c r="J61" s="789"/>
      <c r="K61" s="793"/>
      <c r="L61" s="789"/>
      <c r="M61" s="793"/>
      <c r="N61" s="789"/>
      <c r="O61" s="793"/>
      <c r="P61" s="789"/>
      <c r="Q61" s="793"/>
      <c r="R61" s="789"/>
      <c r="S61" s="793"/>
      <c r="T61" s="789"/>
      <c r="U61" s="793"/>
      <c r="V61" s="789"/>
      <c r="W61" s="793"/>
      <c r="X61" s="789"/>
      <c r="Y61" s="793"/>
      <c r="Z61" s="789"/>
      <c r="AA61" s="793"/>
      <c r="AB61" s="789"/>
      <c r="AC61" s="793"/>
      <c r="AD61" s="789"/>
      <c r="AE61" s="793"/>
      <c r="AF61" s="789"/>
      <c r="AG61" s="793"/>
      <c r="AH61" s="791"/>
      <c r="AI61" s="789"/>
      <c r="AJ61" s="793"/>
      <c r="AK61" s="789"/>
      <c r="AL61" s="793"/>
      <c r="AM61" s="789"/>
      <c r="AN61" s="793"/>
      <c r="AO61" s="789"/>
      <c r="AP61" s="793"/>
      <c r="AQ61" s="789"/>
      <c r="AR61" s="793"/>
      <c r="AS61" s="789"/>
      <c r="AT61" s="793"/>
      <c r="AU61" s="789"/>
      <c r="AV61" s="793"/>
      <c r="AW61" s="789"/>
      <c r="AX61" s="793"/>
      <c r="AY61" s="906"/>
    </row>
    <row r="62" spans="1:52" s="772" customFormat="1" ht="12.75" customHeight="1" x14ac:dyDescent="0.2">
      <c r="A62" s="907" t="str">
        <f>Input!B684</f>
        <v>Outstanding Shares (EOP)</v>
      </c>
      <c r="B62" s="792">
        <f>+Input!DS684</f>
        <v>1114.2999999999997</v>
      </c>
      <c r="C62" s="793"/>
      <c r="D62" s="792">
        <f>+Input!DU684</f>
        <v>1116.7999999999997</v>
      </c>
      <c r="E62" s="793"/>
      <c r="F62" s="792">
        <f>+Input!DW684</f>
        <v>1114.7999999999997</v>
      </c>
      <c r="G62" s="793"/>
      <c r="H62" s="792">
        <f>+Input!DY684</f>
        <v>1097.9999999999998</v>
      </c>
      <c r="I62" s="793"/>
      <c r="J62" s="792">
        <f>+Input!EA684</f>
        <v>1098.4999999999998</v>
      </c>
      <c r="K62" s="793">
        <f>+Input!EB684</f>
        <v>-1.4179305393520525</v>
      </c>
      <c r="L62" s="792">
        <f>+Input!EC684</f>
        <v>1098.7999999999997</v>
      </c>
      <c r="M62" s="793">
        <f>+Input!ED684</f>
        <v>-1.6117478510028649</v>
      </c>
      <c r="N62" s="792">
        <f>+Input!EE684</f>
        <v>1098.9999999999998</v>
      </c>
      <c r="O62" s="793">
        <f>+Input!EF684</f>
        <v>-1.4172945819877936</v>
      </c>
      <c r="P62" s="792">
        <f>+Input!EG684</f>
        <v>1095.4999999999998</v>
      </c>
      <c r="Q62" s="793">
        <f>+Input!EH684</f>
        <v>-0.22768670309654127</v>
      </c>
      <c r="R62" s="792">
        <f>+Input!EI684</f>
        <v>1081.2999999999997</v>
      </c>
      <c r="S62" s="793">
        <f>+Input!EJ684</f>
        <v>-1.5657715065999112</v>
      </c>
      <c r="T62" s="792">
        <f>+Input!EK684</f>
        <v>1063.4999999999998</v>
      </c>
      <c r="U62" s="793">
        <f>+Input!EL684</f>
        <v>-3.212595558791409</v>
      </c>
      <c r="V62" s="792">
        <f>+Input!EM684</f>
        <v>1054.2999999999997</v>
      </c>
      <c r="W62" s="793">
        <f>+Input!EN684</f>
        <v>-4.0673339399454056</v>
      </c>
      <c r="X62" s="792">
        <f>+Input!EO684</f>
        <v>1043.5999999999997</v>
      </c>
      <c r="Y62" s="793">
        <f>+Input!EP684</f>
        <v>-4.7375627567320944</v>
      </c>
      <c r="Z62" s="792">
        <f>+Input!EQ684</f>
        <v>1026.051386979397</v>
      </c>
      <c r="AA62" s="793">
        <f>+Input!ER684</f>
        <v>-5.1094620383429934</v>
      </c>
      <c r="AB62" s="792">
        <f>+Input!ES684</f>
        <v>1008.7183008721934</v>
      </c>
      <c r="AC62" s="793">
        <f>+Input!ET684</f>
        <v>-5.1510765517448487</v>
      </c>
      <c r="AD62" s="792">
        <f>+Input!EU684</f>
        <v>993.61310252690146</v>
      </c>
      <c r="AE62" s="793">
        <f>+Input!EV684</f>
        <v>-5.7561317910555188</v>
      </c>
      <c r="AF62" s="792">
        <f>+Input!EW684</f>
        <v>978.68854371208363</v>
      </c>
      <c r="AG62" s="793">
        <f>+Input!EX684</f>
        <v>-6.2199555661092472</v>
      </c>
      <c r="AH62" s="794"/>
      <c r="AI62" s="792">
        <f>+Input!GJ684</f>
        <v>1098.02</v>
      </c>
      <c r="AJ62" s="793"/>
      <c r="AK62" s="792">
        <f>+Input!GL684</f>
        <v>1095.52</v>
      </c>
      <c r="AL62" s="793">
        <f>+Input!GM684</f>
        <v>-0.22768255587329866</v>
      </c>
      <c r="AM62" s="792">
        <f>+Input!GN684</f>
        <v>1043.6200000000001</v>
      </c>
      <c r="AN62" s="793">
        <f>+Input!GO684</f>
        <v>-4.7374762669782244</v>
      </c>
      <c r="AO62" s="792">
        <f>+Input!GP684</f>
        <v>978.70854371208407</v>
      </c>
      <c r="AP62" s="793">
        <f>+Input!GQ684</f>
        <v>-6.2198363664855094</v>
      </c>
      <c r="AQ62" s="792">
        <f>+Input!GR684</f>
        <v>924.51770607486731</v>
      </c>
      <c r="AR62" s="793">
        <f>+Input!GS684</f>
        <v>-5.5369740036885329</v>
      </c>
      <c r="AS62" s="792">
        <f>+Input!GT684</f>
        <v>872.67725934011685</v>
      </c>
      <c r="AT62" s="793">
        <f>+Input!GU684</f>
        <v>-5.6072962577260128</v>
      </c>
      <c r="AU62" s="792">
        <f>+Input!GV684</f>
        <v>822.98372730571737</v>
      </c>
      <c r="AV62" s="793">
        <f>+Input!GW684</f>
        <v>-5.6943768732985784</v>
      </c>
      <c r="AW62" s="792">
        <f>+Input!GX684</f>
        <v>775.23967313854814</v>
      </c>
      <c r="AX62" s="793">
        <f>+Input!GY684</f>
        <v>-5.8013363549086927</v>
      </c>
      <c r="AY62" s="906">
        <f>+Input!GZ684</f>
        <v>-5.7722720738130224</v>
      </c>
    </row>
    <row r="63" spans="1:52" s="772" customFormat="1" ht="12.75" customHeight="1" x14ac:dyDescent="0.2">
      <c r="A63" s="907" t="str">
        <f>Input!B687</f>
        <v>Average Shares (FD)</v>
      </c>
      <c r="B63" s="792">
        <f>+Input!DS687</f>
        <v>1135.8</v>
      </c>
      <c r="C63" s="793"/>
      <c r="D63" s="792">
        <f>+Input!DU687</f>
        <v>1128.3999999999999</v>
      </c>
      <c r="E63" s="793"/>
      <c r="F63" s="792">
        <f>+Input!DW687</f>
        <v>1129.9000000000001</v>
      </c>
      <c r="G63" s="793"/>
      <c r="H63" s="792">
        <f>+Input!DY687</f>
        <v>1121.4000000000001</v>
      </c>
      <c r="I63" s="793"/>
      <c r="J63" s="792">
        <f>+Input!EA687</f>
        <v>1108.5999999999999</v>
      </c>
      <c r="K63" s="793">
        <f>+Input!EB687</f>
        <v>-2.3947878147561275</v>
      </c>
      <c r="L63" s="792">
        <f>+Input!EC687</f>
        <v>1109.0999999999999</v>
      </c>
      <c r="M63" s="793">
        <f>+Input!ED687</f>
        <v>-1.7103863878057401</v>
      </c>
      <c r="N63" s="792">
        <f>+Input!EE687</f>
        <v>1109.3</v>
      </c>
      <c r="O63" s="793">
        <f>+Input!EF687</f>
        <v>-1.8231701920524035</v>
      </c>
      <c r="P63" s="792">
        <f>+Input!EG687</f>
        <v>1108.8</v>
      </c>
      <c r="Q63" s="793">
        <f>+Input!EH687</f>
        <v>-1.1235955056179914</v>
      </c>
      <c r="R63" s="792">
        <f>+Input!EI687</f>
        <v>1098.7</v>
      </c>
      <c r="S63" s="793">
        <f>+Input!EJ687</f>
        <v>-0.89301822117985319</v>
      </c>
      <c r="T63" s="792">
        <f>+Input!EK687</f>
        <v>1082.0999999999999</v>
      </c>
      <c r="U63" s="793">
        <f>+Input!EL687</f>
        <v>-2.4344062753584028</v>
      </c>
      <c r="V63" s="792">
        <f>+Input!EM687</f>
        <v>1071.5</v>
      </c>
      <c r="W63" s="793">
        <f>+Input!EN687</f>
        <v>-3.4075543135310471</v>
      </c>
      <c r="X63" s="792">
        <f>+Input!EO687</f>
        <v>1062.0999999999999</v>
      </c>
      <c r="Y63" s="793">
        <f>+Input!EP687</f>
        <v>-4.2117604617604609</v>
      </c>
      <c r="Z63" s="792">
        <f>+Input!EQ687</f>
        <v>1044.4256934896982</v>
      </c>
      <c r="AA63" s="793">
        <f>+Input!ER687</f>
        <v>-4.9398658878949453</v>
      </c>
      <c r="AB63" s="792">
        <f>+Input!ES687</f>
        <v>1026.9848439257951</v>
      </c>
      <c r="AC63" s="793">
        <f>+Input!ET687</f>
        <v>-5.0933514531193875</v>
      </c>
      <c r="AD63" s="792">
        <f>+Input!EU687</f>
        <v>1010.7657016995474</v>
      </c>
      <c r="AE63" s="793">
        <f>+Input!EV687</f>
        <v>-5.6681566309335079</v>
      </c>
      <c r="AF63" s="792">
        <f>+Input!EW687</f>
        <v>995.75082311949257</v>
      </c>
      <c r="AG63" s="793">
        <f>+Input!EX687</f>
        <v>-6.2469802165998845</v>
      </c>
      <c r="AH63" s="794"/>
      <c r="AI63" s="792">
        <f>+Input!GJ687</f>
        <v>1128.875</v>
      </c>
      <c r="AJ63" s="793"/>
      <c r="AK63" s="792">
        <f>+Input!GL687</f>
        <v>1108.9499999999998</v>
      </c>
      <c r="AL63" s="793">
        <f>+Input!GM687</f>
        <v>-1.7650315579670228</v>
      </c>
      <c r="AM63" s="792">
        <f>+Input!GN687</f>
        <v>1078.5999999999999</v>
      </c>
      <c r="AN63" s="793">
        <f>+Input!GO687</f>
        <v>-2.7368231209702776</v>
      </c>
      <c r="AO63" s="792">
        <f>+Input!GP687</f>
        <v>1019.4817655586335</v>
      </c>
      <c r="AP63" s="793">
        <f>+Input!GQ687</f>
        <v>-5.4810156166666513</v>
      </c>
      <c r="AQ63" s="792">
        <f>+Input!GR687</f>
        <v>960.04930814073145</v>
      </c>
      <c r="AR63" s="793">
        <f>+Input!GS687</f>
        <v>-5.8296734111115249</v>
      </c>
      <c r="AS63" s="792">
        <f>+Input!GT687</f>
        <v>912.66471844627222</v>
      </c>
      <c r="AT63" s="793">
        <f>+Input!GU687</f>
        <v>-4.9356412522421405</v>
      </c>
      <c r="AU63" s="792">
        <f>+Input!GV687</f>
        <v>858.50436396360521</v>
      </c>
      <c r="AV63" s="793">
        <f>+Input!GW687</f>
        <v>-5.9343100908809117</v>
      </c>
      <c r="AW63" s="792">
        <f>+Input!GX687</f>
        <v>812.3337840138347</v>
      </c>
      <c r="AX63" s="793">
        <f>+Input!GY687</f>
        <v>-5.3780250733504564</v>
      </c>
      <c r="AY63" s="906">
        <f>+Input!GZ687</f>
        <v>-5.5123995842953022</v>
      </c>
    </row>
    <row r="64" spans="1:52" s="772" customFormat="1" ht="4.5" customHeight="1" x14ac:dyDescent="0.2">
      <c r="A64" s="925"/>
      <c r="B64" s="789"/>
      <c r="C64" s="791"/>
      <c r="D64" s="789"/>
      <c r="E64" s="791"/>
      <c r="F64" s="789"/>
      <c r="G64" s="791"/>
      <c r="H64" s="789"/>
      <c r="I64" s="791"/>
      <c r="J64" s="789"/>
      <c r="K64" s="791"/>
      <c r="L64" s="789"/>
      <c r="M64" s="791"/>
      <c r="N64" s="789"/>
      <c r="O64" s="791"/>
      <c r="P64" s="789"/>
      <c r="Q64" s="791"/>
      <c r="R64" s="789"/>
      <c r="S64" s="791"/>
      <c r="T64" s="789"/>
      <c r="U64" s="791"/>
      <c r="V64" s="789"/>
      <c r="W64" s="791"/>
      <c r="X64" s="789"/>
      <c r="Y64" s="791"/>
      <c r="Z64" s="789"/>
      <c r="AA64" s="791"/>
      <c r="AB64" s="789"/>
      <c r="AC64" s="791"/>
      <c r="AD64" s="789"/>
      <c r="AE64" s="791"/>
      <c r="AF64" s="789"/>
      <c r="AG64" s="791"/>
      <c r="AH64" s="791"/>
      <c r="AI64" s="789"/>
      <c r="AJ64" s="791"/>
      <c r="AK64" s="789"/>
      <c r="AL64" s="791"/>
      <c r="AM64" s="789"/>
      <c r="AN64" s="791"/>
      <c r="AO64" s="789"/>
      <c r="AP64" s="791"/>
      <c r="AQ64" s="789"/>
      <c r="AR64" s="791"/>
      <c r="AS64" s="789"/>
      <c r="AT64" s="791"/>
      <c r="AU64" s="789"/>
      <c r="AV64" s="791"/>
      <c r="AW64" s="789"/>
      <c r="AX64" s="791"/>
      <c r="AY64" s="933"/>
    </row>
    <row r="65" spans="1:51" s="772" customFormat="1" ht="12.75" hidden="1" customHeight="1" outlineLevel="1" x14ac:dyDescent="0.2">
      <c r="A65" s="940" t="s">
        <v>47</v>
      </c>
      <c r="B65" s="789"/>
      <c r="C65" s="791"/>
      <c r="D65" s="789"/>
      <c r="E65" s="791"/>
      <c r="F65" s="789"/>
      <c r="G65" s="791"/>
      <c r="H65" s="789"/>
      <c r="I65" s="791"/>
      <c r="J65" s="789"/>
      <c r="K65" s="791"/>
      <c r="L65" s="789"/>
      <c r="M65" s="791"/>
      <c r="N65" s="789"/>
      <c r="O65" s="791"/>
      <c r="P65" s="789"/>
      <c r="Q65" s="791"/>
      <c r="R65" s="789"/>
      <c r="S65" s="791"/>
      <c r="T65" s="789"/>
      <c r="U65" s="791"/>
      <c r="V65" s="789"/>
      <c r="W65" s="791"/>
      <c r="X65" s="789"/>
      <c r="Y65" s="791"/>
      <c r="Z65" s="789"/>
      <c r="AA65" s="791"/>
      <c r="AB65" s="789"/>
      <c r="AC65" s="791"/>
      <c r="AD65" s="789"/>
      <c r="AE65" s="791"/>
      <c r="AF65" s="789"/>
      <c r="AG65" s="791"/>
      <c r="AH65" s="791"/>
      <c r="AI65" s="789"/>
      <c r="AJ65" s="791"/>
      <c r="AK65" s="789"/>
      <c r="AL65" s="791"/>
      <c r="AM65" s="789"/>
      <c r="AN65" s="791"/>
      <c r="AO65" s="789"/>
      <c r="AP65" s="791"/>
      <c r="AQ65" s="789"/>
      <c r="AR65" s="791"/>
      <c r="AS65" s="789"/>
      <c r="AT65" s="791"/>
      <c r="AU65" s="789"/>
      <c r="AV65" s="791"/>
      <c r="AW65" s="789"/>
      <c r="AX65" s="791"/>
      <c r="AY65" s="933"/>
    </row>
    <row r="66" spans="1:51" s="772" customFormat="1" ht="12.75" customHeight="1" collapsed="1" x14ac:dyDescent="0.2">
      <c r="A66" s="904" t="s">
        <v>48</v>
      </c>
      <c r="B66" s="789"/>
      <c r="C66" s="790"/>
      <c r="D66" s="789"/>
      <c r="E66" s="790"/>
      <c r="F66" s="789"/>
      <c r="G66" s="790"/>
      <c r="H66" s="789"/>
      <c r="I66" s="790"/>
      <c r="J66" s="789"/>
      <c r="K66" s="790"/>
      <c r="L66" s="789"/>
      <c r="M66" s="790"/>
      <c r="N66" s="789"/>
      <c r="O66" s="790"/>
      <c r="P66" s="789"/>
      <c r="Q66" s="790"/>
      <c r="R66" s="789"/>
      <c r="S66" s="790"/>
      <c r="T66" s="789"/>
      <c r="U66" s="790"/>
      <c r="V66" s="789"/>
      <c r="W66" s="790"/>
      <c r="X66" s="789"/>
      <c r="Y66" s="790"/>
      <c r="Z66" s="789"/>
      <c r="AA66" s="790"/>
      <c r="AB66" s="789"/>
      <c r="AC66" s="790"/>
      <c r="AD66" s="789"/>
      <c r="AE66" s="790"/>
      <c r="AF66" s="789"/>
      <c r="AG66" s="790"/>
      <c r="AH66" s="791"/>
      <c r="AI66" s="789"/>
      <c r="AJ66" s="790"/>
      <c r="AK66" s="789"/>
      <c r="AL66" s="790"/>
      <c r="AM66" s="789"/>
      <c r="AN66" s="790"/>
      <c r="AO66" s="789"/>
      <c r="AP66" s="790"/>
      <c r="AQ66" s="789"/>
      <c r="AR66" s="790"/>
      <c r="AS66" s="789"/>
      <c r="AT66" s="790"/>
      <c r="AU66" s="789"/>
      <c r="AV66" s="790"/>
      <c r="AW66" s="789"/>
      <c r="AX66" s="790"/>
      <c r="AY66" s="933"/>
    </row>
    <row r="67" spans="1:51" s="772" customFormat="1" ht="12.75" customHeight="1" x14ac:dyDescent="0.2">
      <c r="A67" s="926" t="str">
        <f t="shared" ref="A67:A75" si="81">A8</f>
        <v>Group Benefits</v>
      </c>
      <c r="B67" s="818">
        <f t="shared" ref="B67:B77" si="82">B8/B$20*100</f>
        <v>10.764430577223088</v>
      </c>
      <c r="C67" s="793"/>
      <c r="D67" s="818">
        <f t="shared" ref="D67:D77" si="83">D8/D$20*100</f>
        <v>12.788906009244993</v>
      </c>
      <c r="E67" s="793"/>
      <c r="F67" s="818">
        <f t="shared" ref="F67:F77" si="84">F8/F$20*100</f>
        <v>14.756944444444445</v>
      </c>
      <c r="G67" s="793"/>
      <c r="H67" s="818">
        <f t="shared" ref="H67:H77" si="85">H8/H$20*100</f>
        <v>15.042573320719017</v>
      </c>
      <c r="I67" s="793"/>
      <c r="J67" s="818">
        <f t="shared" ref="J67:J77" si="86">J8/J$20*100</f>
        <v>12.941176470588237</v>
      </c>
      <c r="K67" s="793">
        <f t="shared" ref="K67:K74" si="87">IF(ISERROR((J67/B67-1)*100),"NA",IF(((J67/B67-1)*100)&gt;100,"NM",IF(((J67/B67-1)*100)&lt;-50,"NM",(J67/B67-1)*100)))</f>
        <v>20.221653878942902</v>
      </c>
      <c r="L67" s="818">
        <f t="shared" ref="L67:L77" si="88">L8/L$20*100</f>
        <v>18.243902439024389</v>
      </c>
      <c r="M67" s="793">
        <f t="shared" ref="M67:M74" si="89">IF(ISERROR((L67/D67-1)*100),"NA",IF(((L67/D67-1)*100)&gt;100,"NM",IF(((L67/D67-1)*100)&lt;-50,"NM",(L67/D67-1)*100)))</f>
        <v>42.654128709961768</v>
      </c>
      <c r="N67" s="818">
        <f t="shared" ref="N67:N77" si="90">N8/N$20*100</f>
        <v>12.354113293481355</v>
      </c>
      <c r="O67" s="793">
        <f t="shared" ref="O67:O74" si="91">IF(ISERROR((N67/F67-1)*100),"NA",IF(((N67/F67-1)*100)&gt;100,"NM",IF(((N67/F67-1)*100)&lt;-50,"NM",(N67/F67-1)*100)))</f>
        <v>-16.282714622996942</v>
      </c>
      <c r="P67" s="818">
        <f t="shared" ref="P67:P77" si="92">P8/P$20*100</f>
        <v>15.156794425087108</v>
      </c>
      <c r="Q67" s="793">
        <f t="shared" ref="Q67:Q74" si="93">IF(ISERROR((P67/H67-1)*100),"NA",IF(((P67/H67-1)*100)&gt;100,"NM",IF(((P67/H67-1)*100)&lt;-50,"NM",(P67/H67-1)*100)))</f>
        <v>0.75931891394385165</v>
      </c>
      <c r="R67" s="818">
        <f t="shared" ref="R67:R77" si="94">R8/R$20*100</f>
        <v>14.898595943837753</v>
      </c>
      <c r="S67" s="793">
        <f t="shared" ref="S67:S74" si="95">IF(ISERROR((R67/J67-1)*100),"NA",IF(((R67/J67-1)*100)&gt;100,"NM",IF(((R67/J67-1)*100)&lt;-50,"NM",(R67/J67-1)*100)))</f>
        <v>15.125514111473537</v>
      </c>
      <c r="T67" s="818">
        <f t="shared" ref="T67:T77" si="96">T8/T$20*100</f>
        <v>17.530224525043177</v>
      </c>
      <c r="U67" s="793">
        <f t="shared" ref="U67:U74" si="97">IF(ISERROR((T67/L67-1)*100),"NA",IF(((T67/L67-1)*100)&gt;100,"NM",IF(((T67/L67-1)*100)&lt;-50,"NM",(T67/L67-1)*100)))</f>
        <v>-3.9118709188809664</v>
      </c>
      <c r="V67" s="818">
        <f t="shared" ref="V67:V77" si="98">V8/V$20*100</f>
        <v>21.346324180690875</v>
      </c>
      <c r="W67" s="793">
        <f t="shared" ref="W67:W74" si="99">IF(ISERROR((V67/N67-1)*100),"NA",IF(((V67/N67-1)*100)&gt;100,"NM",IF(((V67/N67-1)*100)&lt;-50,"NM",(V67/N67-1)*100)))</f>
        <v>72.787181674578449</v>
      </c>
      <c r="X67" s="818">
        <f t="shared" ref="X67:X77" si="100">X8/X$20*100</f>
        <v>20.157756354075374</v>
      </c>
      <c r="Y67" s="793">
        <f t="shared" ref="Y67:Y74" si="101">IF(ISERROR((X67/P67-1)*100),"NA",IF(((X67/P67-1)*100)&gt;100,"NM",IF(((X67/P67-1)*100)&lt;-50,"NM",(X67/P67-1)*100)))</f>
        <v>32.994852267117977</v>
      </c>
      <c r="Z67" s="818">
        <f t="shared" ref="Z67:Z77" si="102">Z8/Z$20*100</f>
        <v>21.947080442950583</v>
      </c>
      <c r="AA67" s="793">
        <f t="shared" ref="AA67:AA71" si="103">IF(ISERROR((Z67/R67-1)*100),"NA",IF(((Z67/R67-1)*100)&gt;100,"NM",IF(((Z67/R67-1)*100)&lt;-50,"NM",(Z67/R67-1)*100)))</f>
        <v>47.309723182526952</v>
      </c>
      <c r="AB67" s="818">
        <f t="shared" ref="AB67:AB77" si="104">AB8/AB$20*100</f>
        <v>22.755262985447391</v>
      </c>
      <c r="AC67" s="793">
        <f t="shared" ref="AC67:AC71" si="105">IF(ISERROR((AB67/T67-1)*100),"NA",IF(((AB67/T67-1)*100)&gt;100,"NM",IF(((AB67/T67-1)*100)&lt;-50,"NM",(AB67/T67-1)*100)))</f>
        <v>29.80588441944867</v>
      </c>
      <c r="AD67" s="818">
        <f t="shared" ref="AD67:AD77" si="106">AD8/AD$20*100</f>
        <v>23.272921572853051</v>
      </c>
      <c r="AE67" s="793">
        <f t="shared" ref="AE67:AE71" si="107">IF(ISERROR((AD67/V67-1)*100),"NA",IF(((AD67/V67-1)*100)&gt;100,"NM",IF(((AD67/V67-1)*100)&lt;-50,"NM",(AD67/V67-1)*100)))</f>
        <v>9.025429276975494</v>
      </c>
      <c r="AF67" s="818">
        <f t="shared" ref="AF67:AF77" si="108">AF8/AF$20*100</f>
        <v>23.834260989451668</v>
      </c>
      <c r="AG67" s="793">
        <f t="shared" ref="AG67:AG71" si="109">IF(ISERROR((AF67/X67-1)*100),"NA",IF(((AF67/X67-1)*100)&gt;100,"NM",IF(((AF67/X67-1)*100)&lt;-50,"NM",(AF67/X67-1)*100)))</f>
        <v>18.238659952018921</v>
      </c>
      <c r="AH67" s="819"/>
      <c r="AI67" s="818">
        <f t="shared" ref="AI67:AI77" si="110">AI8/AI$20*100</f>
        <v>13.217790770515766</v>
      </c>
      <c r="AJ67" s="793"/>
      <c r="AK67" s="818">
        <f t="shared" ref="AK67:AK77" si="111">AK8/AK$20*100</f>
        <v>14.468739323539461</v>
      </c>
      <c r="AL67" s="793">
        <f t="shared" ref="AL67:AL74" si="112">IF(ISERROR((AK67/AI67-1)*100),"NA",IF(((AK67/AI67-1)*100)&gt;100,"NM",IF(((AK67/AI67-1)*100)&lt;-50,"NM",(AK67/AI67-1)*100)))</f>
        <v>9.464127362449414</v>
      </c>
      <c r="AM67" s="818">
        <f t="shared" ref="AM67:AO77" si="113">AM8/AM$20*100</f>
        <v>18.365180467091292</v>
      </c>
      <c r="AN67" s="793">
        <f t="shared" ref="AN67:AN74" si="114">IF(ISERROR((AM67/AK67-1)*100),"NA",IF(((AM67/AK67-1)*100)&gt;100,"NM",IF(((AM67/AK67-1)*100)&lt;-50,"NM",(AM67/AK67-1)*100)))</f>
        <v>26.930066652128005</v>
      </c>
      <c r="AO67" s="818">
        <f t="shared" si="113"/>
        <v>22.957669511735975</v>
      </c>
      <c r="AP67" s="793">
        <f t="shared" ref="AP67:AP71" si="115">IF(ISERROR((AO67/AM67-1)*100),"NA",IF(((AO67/AM67-1)*100)&gt;100,"NM",IF(((AO67/AM67-1)*100)&lt;-50,"NM",(AO67/AM67-1)*100)))</f>
        <v>25.006501040782037</v>
      </c>
      <c r="AQ67" s="818">
        <f t="shared" ref="AQ67:AQ77" si="116">AQ8/AQ$20*100</f>
        <v>23.151556985553729</v>
      </c>
      <c r="AR67" s="793">
        <f t="shared" ref="AR67:AR74" si="117">IF(ISERROR((AQ67/AO67-1)*100),"NA",IF(((AQ67/AO67-1)*100)&gt;100,"NM",IF(((AQ67/AO67-1)*100)&lt;-50,"NM",(AQ67/AO67-1)*100)))</f>
        <v>0.84454336150556752</v>
      </c>
      <c r="AS67" s="818">
        <f t="shared" ref="AS67:AS77" si="118">AS8/AS$20*100</f>
        <v>22.635050002861419</v>
      </c>
      <c r="AT67" s="793">
        <f t="shared" ref="AT67:AT74" si="119">IF(ISERROR((AS67/AQ67-1)*100),"NA",IF(((AS67/AQ67-1)*100)&gt;100,"NM",IF(((AS67/AQ67-1)*100)&lt;-50,"NM",(AS67/AQ67-1)*100)))</f>
        <v>-2.2309816269143523</v>
      </c>
      <c r="AU67" s="818">
        <f t="shared" ref="AU67:AW77" si="120">AU8/AU$20*100</f>
        <v>22.371711156720213</v>
      </c>
      <c r="AV67" s="793">
        <f t="shared" ref="AV67:AV74" si="121">IF(ISERROR((AU67/AS67-1)*100),"NA",IF(((AU67/AS67-1)*100)&gt;100,"NM",IF(((AU67/AS67-1)*100)&lt;-50,"NM",(AU67/AS67-1)*100)))</f>
        <v>-1.1634118153391104</v>
      </c>
      <c r="AW67" s="818">
        <f t="shared" si="120"/>
        <v>22.350179115357456</v>
      </c>
      <c r="AX67" s="793">
        <f t="shared" ref="AX67:AX71" si="122">IF(ISERROR((AW67/AU67-1)*100),"NA",IF(((AW67/AU67-1)*100)&gt;100,"NM",IF(((AW67/AU67-1)*100)&lt;-50,"NM",(AW67/AU67-1)*100)))</f>
        <v>-9.624673415421503E-2</v>
      </c>
      <c r="AY67" s="906">
        <f t="shared" ref="AY67:AY78" si="123">IF(ISERROR(((AU67/AK67)^0.2-1)*100),"NA",IF((((AU67/AK67)^0.2-1)*100)&gt;100,"NM",IF((((AU67/AK67)^0.2-1)*100)&lt;-50,"NM",((AU67/AK67)^0.2-1)*100)))</f>
        <v>9.1072732478447058</v>
      </c>
    </row>
    <row r="68" spans="1:51" s="772" customFormat="1" ht="12.75" customHeight="1" x14ac:dyDescent="0.2">
      <c r="A68" s="926" t="str">
        <f t="shared" si="81"/>
        <v>Retirement &amp; Income Solutions</v>
      </c>
      <c r="B68" s="818">
        <f t="shared" si="82"/>
        <v>23.946957878315132</v>
      </c>
      <c r="C68" s="793"/>
      <c r="D68" s="818">
        <f t="shared" si="83"/>
        <v>26.040061633281976</v>
      </c>
      <c r="E68" s="793"/>
      <c r="F68" s="818">
        <f t="shared" si="84"/>
        <v>22.309027777777779</v>
      </c>
      <c r="G68" s="793"/>
      <c r="H68" s="818">
        <f t="shared" si="85"/>
        <v>22.138126773888363</v>
      </c>
      <c r="I68" s="793"/>
      <c r="J68" s="818">
        <f t="shared" si="86"/>
        <v>24.162895927601809</v>
      </c>
      <c r="K68" s="793">
        <f t="shared" si="87"/>
        <v>0.90173478562058929</v>
      </c>
      <c r="L68" s="818">
        <f t="shared" si="88"/>
        <v>27.609756097560979</v>
      </c>
      <c r="M68" s="793">
        <f t="shared" si="89"/>
        <v>6.027998268148349</v>
      </c>
      <c r="N68" s="818">
        <f t="shared" si="90"/>
        <v>22.665812695701678</v>
      </c>
      <c r="O68" s="793">
        <f t="shared" si="91"/>
        <v>1.5992849239234719</v>
      </c>
      <c r="P68" s="818">
        <f t="shared" si="92"/>
        <v>25.609756097560975</v>
      </c>
      <c r="Q68" s="793">
        <f t="shared" si="93"/>
        <v>15.681676047529702</v>
      </c>
      <c r="R68" s="818">
        <f t="shared" si="94"/>
        <v>20.04680187207488</v>
      </c>
      <c r="S68" s="793">
        <f t="shared" si="95"/>
        <v>-17.034771278491601</v>
      </c>
      <c r="T68" s="818">
        <f t="shared" si="96"/>
        <v>22.625215889464595</v>
      </c>
      <c r="U68" s="793">
        <f t="shared" si="97"/>
        <v>-18.05354669010174</v>
      </c>
      <c r="V68" s="818">
        <f t="shared" si="98"/>
        <v>21.87776793622675</v>
      </c>
      <c r="W68" s="793">
        <f t="shared" si="99"/>
        <v>-3.476799045570389</v>
      </c>
      <c r="X68" s="818">
        <f t="shared" si="100"/>
        <v>20.595968448729185</v>
      </c>
      <c r="Y68" s="793">
        <f t="shared" si="101"/>
        <v>-19.577647009724132</v>
      </c>
      <c r="Z68" s="818">
        <f t="shared" si="102"/>
        <v>23.8117299636368</v>
      </c>
      <c r="AA68" s="793">
        <f t="shared" si="103"/>
        <v>18.780691880865309</v>
      </c>
      <c r="AB68" s="818">
        <f t="shared" si="104"/>
        <v>22.750261441169545</v>
      </c>
      <c r="AC68" s="793">
        <f t="shared" si="105"/>
        <v>0.5526822476119575</v>
      </c>
      <c r="AD68" s="818">
        <f t="shared" si="106"/>
        <v>21.471206107636178</v>
      </c>
      <c r="AE68" s="793">
        <f t="shared" si="107"/>
        <v>-1.8583332165131861</v>
      </c>
      <c r="AF68" s="818">
        <f t="shared" si="108"/>
        <v>20.237379734661467</v>
      </c>
      <c r="AG68" s="793">
        <f t="shared" si="109"/>
        <v>-1.7410626500053872</v>
      </c>
      <c r="AH68" s="819"/>
      <c r="AI68" s="818">
        <f t="shared" si="110"/>
        <v>23.721027354353726</v>
      </c>
      <c r="AJ68" s="793"/>
      <c r="AK68" s="818">
        <f t="shared" si="111"/>
        <v>24.82277075503929</v>
      </c>
      <c r="AL68" s="793">
        <f t="shared" si="112"/>
        <v>4.6445855157422278</v>
      </c>
      <c r="AM68" s="818">
        <f t="shared" si="113"/>
        <v>21.252653927813164</v>
      </c>
      <c r="AN68" s="793">
        <f t="shared" si="114"/>
        <v>-14.382426774421841</v>
      </c>
      <c r="AO68" s="818">
        <f t="shared" si="113"/>
        <v>22.056801952617729</v>
      </c>
      <c r="AP68" s="793">
        <f t="shared" si="115"/>
        <v>3.7837534433861064</v>
      </c>
      <c r="AQ68" s="818">
        <f t="shared" si="116"/>
        <v>21.203350035892505</v>
      </c>
      <c r="AR68" s="793">
        <f t="shared" si="117"/>
        <v>-3.8693366271257412</v>
      </c>
      <c r="AS68" s="818">
        <f t="shared" si="118"/>
        <v>20.745411499011137</v>
      </c>
      <c r="AT68" s="793">
        <f t="shared" si="119"/>
        <v>-2.1597461538208851</v>
      </c>
      <c r="AU68" s="818">
        <f t="shared" si="120"/>
        <v>20.495632166464471</v>
      </c>
      <c r="AV68" s="793">
        <f t="shared" si="121"/>
        <v>-1.2040220680056057</v>
      </c>
      <c r="AW68" s="818">
        <f t="shared" si="120"/>
        <v>20.563437134615562</v>
      </c>
      <c r="AX68" s="793">
        <f t="shared" si="122"/>
        <v>0.33082642975039711</v>
      </c>
      <c r="AY68" s="906">
        <f t="shared" si="123"/>
        <v>-3.7585378629122257</v>
      </c>
    </row>
    <row r="69" spans="1:51" s="772" customFormat="1" ht="12.75" customHeight="1" x14ac:dyDescent="0.2">
      <c r="A69" s="926" t="str">
        <f t="shared" si="81"/>
        <v>Property &amp; Casualty</v>
      </c>
      <c r="B69" s="818">
        <f t="shared" si="82"/>
        <v>6.3182527301092044</v>
      </c>
      <c r="C69" s="793"/>
      <c r="D69" s="818">
        <f t="shared" si="83"/>
        <v>3.6209553158705701</v>
      </c>
      <c r="E69" s="793"/>
      <c r="F69" s="818">
        <f t="shared" si="84"/>
        <v>4.1666666666666661</v>
      </c>
      <c r="G69" s="793"/>
      <c r="H69" s="818">
        <f t="shared" si="85"/>
        <v>5.298013245033113</v>
      </c>
      <c r="I69" s="793"/>
      <c r="J69" s="818">
        <f t="shared" si="86"/>
        <v>6.6968325791855206</v>
      </c>
      <c r="K69" s="793">
        <f t="shared" ref="K69" si="124">IF(ISERROR((J69/B69-1)*100),"NA",IF(((J69/B69-1)*100)&gt;100,"NM",IF(((J69/B69-1)*100)&lt;-50,"NM",(J69/B69-1)*100)))</f>
        <v>5.9918440310597232</v>
      </c>
      <c r="L69" s="818">
        <f t="shared" si="88"/>
        <v>1.2682926829268293</v>
      </c>
      <c r="M69" s="793" t="str">
        <f t="shared" ref="M69" si="125">IF(ISERROR((L69/D69-1)*100),"NA",IF(((L69/D69-1)*100)&gt;100,"NM",IF(((L69/D69-1)*100)&lt;-50,"NM",(L69/D69-1)*100)))</f>
        <v>NM</v>
      </c>
      <c r="N69" s="818">
        <f t="shared" si="90"/>
        <v>2.9604326786222601</v>
      </c>
      <c r="O69" s="793">
        <f t="shared" ref="O69" si="126">IF(ISERROR((N69/F69-1)*100),"NA",IF(((N69/F69-1)*100)&gt;100,"NM",IF(((N69/F69-1)*100)&lt;-50,"NM",(N69/F69-1)*100)))</f>
        <v>-28.949615713065747</v>
      </c>
      <c r="P69" s="818">
        <f t="shared" si="92"/>
        <v>3.7456445993031355</v>
      </c>
      <c r="Q69" s="793">
        <f t="shared" ref="Q69" si="127">IF(ISERROR((P69/H69-1)*100),"NA",IF(((P69/H69-1)*100)&gt;100,"NM",IF(((P69/H69-1)*100)&lt;-50,"NM",(P69/H69-1)*100)))</f>
        <v>-29.300958188153324</v>
      </c>
      <c r="R69" s="818">
        <f t="shared" si="94"/>
        <v>5.61622464898596</v>
      </c>
      <c r="S69" s="793">
        <f t="shared" ref="S69" si="128">IF(ISERROR((R69/J69-1)*100),"NA",IF(((R69/J69-1)*100)&gt;100,"NM",IF(((R69/J69-1)*100)&lt;-50,"NM",(R69/J69-1)*100)))</f>
        <v>-16.1361049036556</v>
      </c>
      <c r="T69" s="818">
        <f t="shared" si="96"/>
        <v>2.4179620034542317</v>
      </c>
      <c r="U69" s="793">
        <f t="shared" ref="U69" si="129">IF(ISERROR((T69/L69-1)*100),"NA",IF(((T69/L69-1)*100)&gt;100,"NM",IF(((T69/L69-1)*100)&lt;-50,"NM",(T69/L69-1)*100)))</f>
        <v>90.647004118506729</v>
      </c>
      <c r="V69" s="818">
        <f t="shared" si="98"/>
        <v>4.5172719220549151</v>
      </c>
      <c r="W69" s="793">
        <f t="shared" ref="W69" si="130">IF(ISERROR((V69/N69-1)*100),"NA",IF(((V69/N69-1)*100)&gt;100,"NM",IF(((V69/N69-1)*100)&lt;-50,"NM",(V69/N69-1)*100)))</f>
        <v>52.588233290181897</v>
      </c>
      <c r="X69" s="818">
        <f t="shared" si="100"/>
        <v>8.3260297984224358</v>
      </c>
      <c r="Y69" s="793" t="str">
        <f t="shared" ref="Y69" si="131">IF(ISERROR((X69/P69-1)*100),"NA",IF(((X69/P69-1)*100)&gt;100,"NM",IF(((X69/P69-1)*100)&lt;-50,"NM",(X69/P69-1)*100)))</f>
        <v>NM</v>
      </c>
      <c r="Z69" s="818">
        <f t="shared" si="102"/>
        <v>4.5213405083624645</v>
      </c>
      <c r="AA69" s="793">
        <f t="shared" si="103"/>
        <v>-19.495020392768346</v>
      </c>
      <c r="AB69" s="818">
        <f t="shared" si="104"/>
        <v>4.2033363393737879</v>
      </c>
      <c r="AC69" s="793">
        <f t="shared" si="105"/>
        <v>73.837981464101631</v>
      </c>
      <c r="AD69" s="818">
        <f t="shared" si="106"/>
        <v>4.5112267495739573</v>
      </c>
      <c r="AE69" s="793">
        <f t="shared" si="107"/>
        <v>-0.13382352413727761</v>
      </c>
      <c r="AF69" s="818">
        <f t="shared" si="108"/>
        <v>8.1073456697977146</v>
      </c>
      <c r="AG69" s="793">
        <f t="shared" si="109"/>
        <v>-2.626511481692706</v>
      </c>
      <c r="AH69" s="819"/>
      <c r="AI69" s="818">
        <f t="shared" si="110"/>
        <v>4.8444351639173107</v>
      </c>
      <c r="AJ69" s="793"/>
      <c r="AK69" s="818">
        <f t="shared" si="111"/>
        <v>3.6641612572599929</v>
      </c>
      <c r="AL69" s="793">
        <f t="shared" ref="AL69" si="132">IF(ISERROR((AK69/AI69-1)*100),"NA",IF(((AK69/AI69-1)*100)&gt;100,"NM",IF(((AK69/AI69-1)*100)&lt;-50,"NM",(AK69/AI69-1)*100)))</f>
        <v>-24.363498874921962</v>
      </c>
      <c r="AM69" s="818">
        <f t="shared" si="113"/>
        <v>5.2229299363057331</v>
      </c>
      <c r="AN69" s="793">
        <f t="shared" ref="AN69" si="133">IF(ISERROR((AM69/AK69-1)*100),"NA",IF(((AM69/AK69-1)*100)&gt;100,"NM",IF(((AM69/AK69-1)*100)&lt;-50,"NM",(AM69/AK69-1)*100)))</f>
        <v>42.540941012278608</v>
      </c>
      <c r="AO69" s="818">
        <f t="shared" si="113"/>
        <v>5.3477780504964958</v>
      </c>
      <c r="AP69" s="793">
        <f t="shared" si="115"/>
        <v>2.3903846253597205</v>
      </c>
      <c r="AQ69" s="818">
        <f t="shared" si="116"/>
        <v>5.8626724581570748</v>
      </c>
      <c r="AR69" s="793">
        <f t="shared" ref="AR69" si="134">IF(ISERROR((AQ69/AO69-1)*100),"NA",IF(((AQ69/AO69-1)*100)&gt;100,"NM",IF(((AQ69/AO69-1)*100)&lt;-50,"NM",(AQ69/AO69-1)*100)))</f>
        <v>9.6281932944613402</v>
      </c>
      <c r="AS69" s="818">
        <f t="shared" si="118"/>
        <v>6.0672092202734218</v>
      </c>
      <c r="AT69" s="793">
        <f t="shared" ref="AT69" si="135">IF(ISERROR((AS69/AQ69-1)*100),"NA",IF(((AS69/AQ69-1)*100)&gt;100,"NM",IF(((AS69/AQ69-1)*100)&lt;-50,"NM",(AS69/AQ69-1)*100)))</f>
        <v>3.4887973629119218</v>
      </c>
      <c r="AU69" s="818">
        <f t="shared" si="120"/>
        <v>6.2840818494538455</v>
      </c>
      <c r="AV69" s="793">
        <f t="shared" ref="AV69" si="136">IF(ISERROR((AU69/AS69-1)*100),"NA",IF(((AU69/AS69-1)*100)&gt;100,"NM",IF(((AU69/AS69-1)*100)&lt;-50,"NM",(AU69/AS69-1)*100)))</f>
        <v>3.5745038831980436</v>
      </c>
      <c r="AW69" s="818">
        <f t="shared" si="120"/>
        <v>6.4633159915644498</v>
      </c>
      <c r="AX69" s="793">
        <f t="shared" si="122"/>
        <v>2.8521929918239541</v>
      </c>
      <c r="AY69" s="906">
        <f t="shared" si="123"/>
        <v>11.391858756277596</v>
      </c>
    </row>
    <row r="70" spans="1:51" s="772" customFormat="1" ht="12.75" customHeight="1" x14ac:dyDescent="0.2">
      <c r="A70" s="941" t="str">
        <f t="shared" si="81"/>
        <v>Total US</v>
      </c>
      <c r="B70" s="818">
        <f t="shared" si="82"/>
        <v>41.029641185647428</v>
      </c>
      <c r="C70" s="793"/>
      <c r="D70" s="818">
        <f t="shared" si="83"/>
        <v>42.449922958397536</v>
      </c>
      <c r="E70" s="793"/>
      <c r="F70" s="818">
        <f t="shared" si="84"/>
        <v>41.232638888888893</v>
      </c>
      <c r="G70" s="793"/>
      <c r="H70" s="818">
        <f t="shared" si="85"/>
        <v>42.478713339640493</v>
      </c>
      <c r="I70" s="793"/>
      <c r="J70" s="818">
        <f t="shared" si="86"/>
        <v>43.800904977375566</v>
      </c>
      <c r="K70" s="793">
        <f t="shared" si="87"/>
        <v>6.7542969220446336</v>
      </c>
      <c r="L70" s="818">
        <f t="shared" si="88"/>
        <v>47.121951219512191</v>
      </c>
      <c r="M70" s="793">
        <f t="shared" si="89"/>
        <v>11.005975831083159</v>
      </c>
      <c r="N70" s="818">
        <f t="shared" si="90"/>
        <v>37.980358667805298</v>
      </c>
      <c r="O70" s="793">
        <f t="shared" si="91"/>
        <v>-7.8876353993437949</v>
      </c>
      <c r="P70" s="818">
        <f t="shared" si="92"/>
        <v>44.512195121951223</v>
      </c>
      <c r="Q70" s="793">
        <f t="shared" si="93"/>
        <v>4.787060676842847</v>
      </c>
      <c r="R70" s="818">
        <f t="shared" si="94"/>
        <v>40.561622464898598</v>
      </c>
      <c r="S70" s="793">
        <f t="shared" si="95"/>
        <v>-7.3954693724939009</v>
      </c>
      <c r="T70" s="818">
        <f t="shared" si="96"/>
        <v>42.573402417962001</v>
      </c>
      <c r="U70" s="793">
        <f t="shared" si="97"/>
        <v>-9.6527174360019572</v>
      </c>
      <c r="V70" s="818">
        <f t="shared" si="98"/>
        <v>47.741364038972542</v>
      </c>
      <c r="W70" s="793">
        <f t="shared" si="99"/>
        <v>25.700140055394805</v>
      </c>
      <c r="X70" s="818">
        <f t="shared" si="100"/>
        <v>49.079754601226995</v>
      </c>
      <c r="Y70" s="793">
        <f t="shared" si="101"/>
        <v>10.261366501386672</v>
      </c>
      <c r="Z70" s="818">
        <f t="shared" si="102"/>
        <v>50.28015091494985</v>
      </c>
      <c r="AA70" s="793">
        <f t="shared" si="103"/>
        <v>23.959910524934045</v>
      </c>
      <c r="AB70" s="818">
        <f t="shared" si="104"/>
        <v>49.708860765990721</v>
      </c>
      <c r="AC70" s="793">
        <f t="shared" si="105"/>
        <v>16.760366667377813</v>
      </c>
      <c r="AD70" s="818">
        <f t="shared" si="106"/>
        <v>49.255354430063178</v>
      </c>
      <c r="AE70" s="793">
        <f t="shared" si="107"/>
        <v>3.1712340473865064</v>
      </c>
      <c r="AF70" s="818">
        <f t="shared" si="108"/>
        <v>52.178986393910854</v>
      </c>
      <c r="AG70" s="793">
        <f t="shared" si="109"/>
        <v>6.3146847775933601</v>
      </c>
      <c r="AH70" s="819"/>
      <c r="AI70" s="818">
        <f t="shared" si="110"/>
        <v>41.783253288786803</v>
      </c>
      <c r="AJ70" s="793"/>
      <c r="AK70" s="818">
        <f t="shared" si="111"/>
        <v>42.955671335838744</v>
      </c>
      <c r="AL70" s="793">
        <f t="shared" si="112"/>
        <v>2.8059520376470415</v>
      </c>
      <c r="AM70" s="818">
        <f t="shared" si="113"/>
        <v>44.840764331210195</v>
      </c>
      <c r="AN70" s="793">
        <f t="shared" si="114"/>
        <v>4.3884612595931793</v>
      </c>
      <c r="AO70" s="818">
        <f t="shared" si="113"/>
        <v>50.362249514850191</v>
      </c>
      <c r="AP70" s="793">
        <f t="shared" si="115"/>
        <v>12.313539401015339</v>
      </c>
      <c r="AQ70" s="818">
        <f t="shared" si="116"/>
        <v>50.217579479603316</v>
      </c>
      <c r="AR70" s="793">
        <f t="shared" si="117"/>
        <v>-0.28725888267603361</v>
      </c>
      <c r="AS70" s="818">
        <f t="shared" si="118"/>
        <v>49.447670722145972</v>
      </c>
      <c r="AT70" s="793">
        <f t="shared" si="119"/>
        <v>-1.5331458932027031</v>
      </c>
      <c r="AU70" s="818">
        <f t="shared" si="120"/>
        <v>49.151425172638525</v>
      </c>
      <c r="AV70" s="793">
        <f t="shared" si="121"/>
        <v>-0.59910921016299579</v>
      </c>
      <c r="AW70" s="818">
        <f t="shared" si="120"/>
        <v>49.37693224153746</v>
      </c>
      <c r="AX70" s="793">
        <f t="shared" si="122"/>
        <v>0.45880067181545137</v>
      </c>
      <c r="AY70" s="906">
        <f t="shared" si="123"/>
        <v>2.7313797056031985</v>
      </c>
    </row>
    <row r="71" spans="1:51" s="772" customFormat="1" ht="12.75" customHeight="1" x14ac:dyDescent="0.2">
      <c r="A71" s="926" t="str">
        <f t="shared" si="81"/>
        <v>Asia</v>
      </c>
      <c r="B71" s="818">
        <f t="shared" si="82"/>
        <v>25.507020280811233</v>
      </c>
      <c r="C71" s="793"/>
      <c r="D71" s="818">
        <f t="shared" si="83"/>
        <v>28.043143297380585</v>
      </c>
      <c r="E71" s="793"/>
      <c r="F71" s="818">
        <f t="shared" si="84"/>
        <v>29.427083333333332</v>
      </c>
      <c r="G71" s="793"/>
      <c r="H71" s="818">
        <f t="shared" si="85"/>
        <v>29.706717123935668</v>
      </c>
      <c r="I71" s="793"/>
      <c r="J71" s="818">
        <f t="shared" si="86"/>
        <v>27.601809954751133</v>
      </c>
      <c r="K71" s="793">
        <f t="shared" si="87"/>
        <v>8.2126004953851695</v>
      </c>
      <c r="L71" s="818">
        <f t="shared" si="88"/>
        <v>30.536585365853657</v>
      </c>
      <c r="M71" s="793">
        <f t="shared" si="89"/>
        <v>8.8914500134012364</v>
      </c>
      <c r="N71" s="818">
        <f t="shared" si="90"/>
        <v>24.800740108169656</v>
      </c>
      <c r="O71" s="793">
        <f t="shared" si="91"/>
        <v>-15.72137874745887</v>
      </c>
      <c r="P71" s="818">
        <f t="shared" si="92"/>
        <v>30.836236933797913</v>
      </c>
      <c r="Q71" s="793">
        <f t="shared" si="93"/>
        <v>3.8022370669566596</v>
      </c>
      <c r="R71" s="818">
        <f t="shared" si="94"/>
        <v>23.244929797191887</v>
      </c>
      <c r="S71" s="793">
        <f t="shared" si="95"/>
        <v>-15.784762538042518</v>
      </c>
      <c r="T71" s="818">
        <f t="shared" si="96"/>
        <v>25.734024179620036</v>
      </c>
      <c r="U71" s="793">
        <f t="shared" si="97"/>
        <v>-15.727237111467929</v>
      </c>
      <c r="V71" s="818">
        <f t="shared" si="98"/>
        <v>28.166519043401237</v>
      </c>
      <c r="W71" s="793">
        <f t="shared" si="99"/>
        <v>13.571284246161897</v>
      </c>
      <c r="X71" s="818">
        <f t="shared" si="100"/>
        <v>27.169149868536373</v>
      </c>
      <c r="Y71" s="793">
        <f t="shared" si="101"/>
        <v>-11.89213545457697</v>
      </c>
      <c r="Z71" s="818">
        <f t="shared" si="102"/>
        <v>26.538991341560141</v>
      </c>
      <c r="AA71" s="793">
        <f t="shared" si="103"/>
        <v>14.171096979463439</v>
      </c>
      <c r="AB71" s="818">
        <f t="shared" si="104"/>
        <v>27.022254811792028</v>
      </c>
      <c r="AC71" s="793">
        <f t="shared" si="105"/>
        <v>5.0059431948159983</v>
      </c>
      <c r="AD71" s="818">
        <f t="shared" si="106"/>
        <v>27.194601223373834</v>
      </c>
      <c r="AE71" s="793">
        <f t="shared" si="107"/>
        <v>-3.4506138956318821</v>
      </c>
      <c r="AF71" s="818">
        <f t="shared" si="108"/>
        <v>27.168375917867188</v>
      </c>
      <c r="AG71" s="793">
        <f t="shared" si="109"/>
        <v>-2.8486377856129508E-3</v>
      </c>
      <c r="AH71" s="819"/>
      <c r="AI71" s="818">
        <f t="shared" si="110"/>
        <v>28.064314053038213</v>
      </c>
      <c r="AJ71" s="793"/>
      <c r="AK71" s="818">
        <f t="shared" si="111"/>
        <v>28.196532285616669</v>
      </c>
      <c r="AL71" s="793">
        <f t="shared" si="112"/>
        <v>0.4711258302218857</v>
      </c>
      <c r="AM71" s="818">
        <f t="shared" si="113"/>
        <v>25.987261146496817</v>
      </c>
      <c r="AN71" s="793">
        <f t="shared" si="114"/>
        <v>-7.8352583102810236</v>
      </c>
      <c r="AO71" s="818">
        <f t="shared" si="113"/>
        <v>26.98254147007917</v>
      </c>
      <c r="AP71" s="793">
        <f t="shared" si="115"/>
        <v>3.8298777157458108</v>
      </c>
      <c r="AQ71" s="818">
        <f t="shared" si="116"/>
        <v>27.705883054633574</v>
      </c>
      <c r="AR71" s="793">
        <f t="shared" si="117"/>
        <v>2.6807763284882435</v>
      </c>
      <c r="AS71" s="818">
        <f t="shared" si="118"/>
        <v>27.996057347007014</v>
      </c>
      <c r="AT71" s="793">
        <f t="shared" si="119"/>
        <v>1.0473381837396767</v>
      </c>
      <c r="AU71" s="818">
        <f t="shared" si="120"/>
        <v>28.713183859742351</v>
      </c>
      <c r="AV71" s="793">
        <f t="shared" si="121"/>
        <v>2.5615268030303673</v>
      </c>
      <c r="AW71" s="818">
        <f t="shared" si="120"/>
        <v>29.418581124765819</v>
      </c>
      <c r="AX71" s="793">
        <f t="shared" si="122"/>
        <v>2.4567016617494497</v>
      </c>
      <c r="AY71" s="906">
        <f t="shared" si="123"/>
        <v>0.36380784876826056</v>
      </c>
    </row>
    <row r="72" spans="1:51" s="772" customFormat="1" ht="12.75" customHeight="1" x14ac:dyDescent="0.2">
      <c r="A72" s="926" t="str">
        <f t="shared" si="81"/>
        <v>Latin Americas</v>
      </c>
      <c r="B72" s="818">
        <f t="shared" si="82"/>
        <v>11.622464898595943</v>
      </c>
      <c r="C72" s="793"/>
      <c r="D72" s="818">
        <f t="shared" si="83"/>
        <v>10.477657935285054</v>
      </c>
      <c r="E72" s="793"/>
      <c r="F72" s="818">
        <f t="shared" si="84"/>
        <v>10.850694444444445</v>
      </c>
      <c r="G72" s="793"/>
      <c r="H72" s="818">
        <f t="shared" si="85"/>
        <v>12.204351939451277</v>
      </c>
      <c r="I72" s="793"/>
      <c r="J72" s="818">
        <f t="shared" si="86"/>
        <v>14.841628959276019</v>
      </c>
      <c r="K72" s="793">
        <f>IF(ISERROR((J72/B72-1)*100),"NA",IF(((J72/B72-1)*100)&gt;100,"NM",IF(((J72/B72-1)*100)&lt;-50,"NM",(J72/B72-1)*100)))</f>
        <v>27.697773998603068</v>
      </c>
      <c r="L72" s="818">
        <f t="shared" si="88"/>
        <v>13.560975609756099</v>
      </c>
      <c r="M72" s="793">
        <f>IF(ISERROR((L72/D72-1)*100),"NA",IF(((L72/D72-1)*100)&gt;100,"NM",IF(((L72/D72-1)*100)&lt;-50,"NM",(L72/D72-1)*100)))</f>
        <v>29.427546628407477</v>
      </c>
      <c r="N72" s="818">
        <f t="shared" si="90"/>
        <v>8.9666951323654978</v>
      </c>
      <c r="O72" s="793">
        <f>IF(ISERROR((N72/F72-1)*100),"NA",IF(((N72/F72-1)*100)&gt;100,"NM",IF(((N72/F72-1)*100)&lt;-50,"NM",(N72/F72-1)*100)))</f>
        <v>-17.36293766011957</v>
      </c>
      <c r="P72" s="818">
        <f t="shared" si="92"/>
        <v>10.627177700348431</v>
      </c>
      <c r="Q72" s="793">
        <f>IF(ISERROR((P72/H72-1)*100),"NA",IF(((P72/H72-1)*100)&gt;100,"NM",IF(((P72/H72-1)*100)&lt;-50,"NM",(P72/H72-1)*100)))</f>
        <v>-12.92304783512952</v>
      </c>
      <c r="R72" s="818">
        <f t="shared" si="94"/>
        <v>11.23244929797192</v>
      </c>
      <c r="S72" s="793">
        <f>IF(ISERROR((R72/J72-1)*100),"NA",IF(((R72/J72-1)*100)&gt;100,"NM",IF(((R72/J72-1)*100)&lt;-50,"NM",(R72/J72-1)*100)))</f>
        <v>-24.317948327689198</v>
      </c>
      <c r="T72" s="818">
        <f t="shared" si="96"/>
        <v>13.298791018998275</v>
      </c>
      <c r="U72" s="793">
        <f>IF(ISERROR((T72/L72-1)*100),"NA",IF(((T72/L72-1)*100)&gt;100,"NM",IF(((T72/L72-1)*100)&lt;-50,"NM",(T72/L72-1)*100)))</f>
        <v>-1.9333755793292773</v>
      </c>
      <c r="V72" s="818">
        <f t="shared" si="98"/>
        <v>13.108945969884852</v>
      </c>
      <c r="W72" s="793">
        <f>IF(ISERROR((V72/N72-1)*100),"NA",IF(((V72/N72-1)*100)&gt;100,"NM",IF(((V72/N72-1)*100)&lt;-50,"NM",(V72/N72-1)*100)))</f>
        <v>46.195959340334895</v>
      </c>
      <c r="X72" s="818">
        <f t="shared" si="100"/>
        <v>10.955302366345311</v>
      </c>
      <c r="Y72" s="793">
        <f>IF(ISERROR((X72/P72-1)*100),"NA",IF(((X72/P72-1)*100)&gt;100,"NM",IF(((X72/P72-1)*100)&lt;-50,"NM",(X72/P72-1)*100)))</f>
        <v>3.0875993161017856</v>
      </c>
      <c r="Z72" s="818">
        <f t="shared" si="102"/>
        <v>12.957550267933771</v>
      </c>
      <c r="AA72" s="793">
        <f>IF(ISERROR((Z72/R72-1)*100),"NA",IF(((Z72/R72-1)*100)&gt;100,"NM",IF(((Z72/R72-1)*100)&lt;-50,"NM",(Z72/R72-1)*100)))</f>
        <v>15.358190579799258</v>
      </c>
      <c r="AB72" s="818">
        <f t="shared" si="104"/>
        <v>13.375983517151106</v>
      </c>
      <c r="AC72" s="793">
        <f>IF(ISERROR((AB72/T72-1)*100),"NA",IF(((AB72/T72-1)*100)&gt;100,"NM",IF(((AB72/T72-1)*100)&lt;-50,"NM",(AB72/T72-1)*100)))</f>
        <v>0.5804474861102582</v>
      </c>
      <c r="AD72" s="818">
        <f t="shared" si="106"/>
        <v>13.957357659688336</v>
      </c>
      <c r="AE72" s="793">
        <f>IF(ISERROR((AD72/V72-1)*100),"NA",IF(((AD72/V72-1)*100)&gt;100,"NM",IF(((AD72/V72-1)*100)&lt;-50,"NM",(AD72/V72-1)*100)))</f>
        <v>6.4720053904603558</v>
      </c>
      <c r="AF72" s="818">
        <f t="shared" si="108"/>
        <v>11.38697012210706</v>
      </c>
      <c r="AG72" s="793">
        <f>IF(ISERROR((AF72/X72-1)*100),"NA",IF(((AF72/X72-1)*100)&gt;100,"NM",IF(((AF72/X72-1)*100)&lt;-50,"NM",(AF72/X72-1)*100)))</f>
        <v>3.9402632745932475</v>
      </c>
      <c r="AH72" s="819"/>
      <c r="AI72" s="818">
        <f t="shared" si="110"/>
        <v>11.254959281687201</v>
      </c>
      <c r="AJ72" s="793"/>
      <c r="AK72" s="818">
        <f t="shared" si="111"/>
        <v>11.765459514861634</v>
      </c>
      <c r="AL72" s="793">
        <f>IF(ISERROR((AK72/AI72-1)*100),"NA",IF(((AK72/AI72-1)*100)&gt;100,"NM",IF(((AK72/AI72-1)*100)&lt;-50,"NM",(AK72/AI72-1)*100)))</f>
        <v>4.5357803648837791</v>
      </c>
      <c r="AM72" s="818">
        <f t="shared" si="113"/>
        <v>12.123142250530785</v>
      </c>
      <c r="AN72" s="793">
        <f>IF(ISERROR((AM72/AK72-1)*100),"NA",IF(((AM72/AK72-1)*100)&gt;100,"NM",IF(((AM72/AK72-1)*100)&lt;-50,"NM",(AM72/AK72-1)*100)))</f>
        <v>3.0401085075966838</v>
      </c>
      <c r="AO72" s="818">
        <f t="shared" si="113"/>
        <v>12.91438257556104</v>
      </c>
      <c r="AP72" s="793">
        <f>IF(ISERROR((AO72/AM72-1)*100),"NA",IF(((AO72/AM72-1)*100)&gt;100,"NM",IF(((AO72/AM72-1)*100)&lt;-50,"NM",(AO72/AM72-1)*100)))</f>
        <v>6.5266933991112053</v>
      </c>
      <c r="AQ72" s="818">
        <f t="shared" si="116"/>
        <v>13.434142349553499</v>
      </c>
      <c r="AR72" s="793">
        <f>IF(ISERROR((AQ72/AO72-1)*100),"NA",IF(((AQ72/AO72-1)*100)&gt;100,"NM",IF(((AQ72/AO72-1)*100)&lt;-50,"NM",(AQ72/AO72-1)*100)))</f>
        <v>4.0246583292030014</v>
      </c>
      <c r="AS72" s="818">
        <f t="shared" si="118"/>
        <v>13.704127473486267</v>
      </c>
      <c r="AT72" s="793">
        <f>IF(ISERROR((AS72/AQ72-1)*100),"NA",IF(((AS72/AQ72-1)*100)&gt;100,"NM",IF(((AS72/AQ72-1)*100)&lt;-50,"NM",(AS72/AQ72-1)*100)))</f>
        <v>2.0096937854893415</v>
      </c>
      <c r="AU72" s="818">
        <f t="shared" si="120"/>
        <v>14.108004576081093</v>
      </c>
      <c r="AV72" s="793">
        <f>IF(ISERROR((AU72/AS72-1)*100),"NA",IF(((AU72/AS72-1)*100)&gt;100,"NM",IF(((AU72/AS72-1)*100)&lt;-50,"NM",(AU72/AS72-1)*100)))</f>
        <v>2.9471201532254909</v>
      </c>
      <c r="AW72" s="818">
        <f t="shared" si="120"/>
        <v>14.40038561521842</v>
      </c>
      <c r="AX72" s="793">
        <f>IF(ISERROR((AW72/AU72-1)*100),"NA",IF(((AW72/AU72-1)*100)&gt;100,"NM",IF(((AW72/AU72-1)*100)&lt;-50,"NM",(AW72/AU72-1)*100)))</f>
        <v>2.072447861500093</v>
      </c>
      <c r="AY72" s="906">
        <f t="shared" si="123"/>
        <v>3.6982290533624118</v>
      </c>
    </row>
    <row r="73" spans="1:51" s="772" customFormat="1" ht="12.75" customHeight="1" x14ac:dyDescent="0.2">
      <c r="A73" s="926" t="str">
        <f t="shared" si="81"/>
        <v>EMEA</v>
      </c>
      <c r="B73" s="818">
        <f t="shared" si="82"/>
        <v>5.4602184087363499</v>
      </c>
      <c r="C73" s="793"/>
      <c r="D73" s="818">
        <f t="shared" si="83"/>
        <v>3.8520801232665636</v>
      </c>
      <c r="E73" s="793"/>
      <c r="F73" s="818">
        <f t="shared" si="84"/>
        <v>5.2083333333333339</v>
      </c>
      <c r="G73" s="793"/>
      <c r="H73" s="818">
        <f t="shared" si="85"/>
        <v>5.1087984862819296</v>
      </c>
      <c r="I73" s="793"/>
      <c r="J73" s="818">
        <f t="shared" si="86"/>
        <v>5.7013574660633486</v>
      </c>
      <c r="K73" s="793">
        <f t="shared" si="87"/>
        <v>4.4162895927601697</v>
      </c>
      <c r="L73" s="818">
        <f t="shared" si="88"/>
        <v>6.2439024390243905</v>
      </c>
      <c r="M73" s="793">
        <f t="shared" si="89"/>
        <v>62.091707317073187</v>
      </c>
      <c r="N73" s="818">
        <f t="shared" si="90"/>
        <v>6.3692001138627958</v>
      </c>
      <c r="O73" s="793">
        <f t="shared" si="91"/>
        <v>22.288642186165664</v>
      </c>
      <c r="P73" s="818">
        <f t="shared" si="92"/>
        <v>6.2717770034843205</v>
      </c>
      <c r="Q73" s="793">
        <f t="shared" si="93"/>
        <v>22.764227642276435</v>
      </c>
      <c r="R73" s="818">
        <f t="shared" si="94"/>
        <v>5.8502340093603742</v>
      </c>
      <c r="S73" s="793">
        <f t="shared" si="95"/>
        <v>2.611247307035125</v>
      </c>
      <c r="T73" s="818">
        <f t="shared" si="96"/>
        <v>6.2176165803108807</v>
      </c>
      <c r="U73" s="793">
        <f t="shared" si="97"/>
        <v>-0.42098445595855072</v>
      </c>
      <c r="V73" s="818">
        <f t="shared" si="98"/>
        <v>6.9973427812223212</v>
      </c>
      <c r="W73" s="793">
        <f t="shared" si="99"/>
        <v>9.8621907952358043</v>
      </c>
      <c r="X73" s="818">
        <f t="shared" si="100"/>
        <v>6.9237510955302364</v>
      </c>
      <c r="Y73" s="793">
        <f t="shared" si="101"/>
        <v>10.395364689843213</v>
      </c>
      <c r="Z73" s="818">
        <f t="shared" si="102"/>
        <v>6.2926564211213218</v>
      </c>
      <c r="AA73" s="793">
        <f t="shared" ref="AA73:AA78" si="137">IF(ISERROR((Z73/R73-1)*100),"NA",IF(((Z73/R73-1)*100)&gt;100,"NM",IF(((Z73/R73-1)*100)&lt;-50,"NM",(Z73/R73-1)*100)))</f>
        <v>7.5624737583671386</v>
      </c>
      <c r="AB73" s="818">
        <f t="shared" si="104"/>
        <v>6.3954313390277022</v>
      </c>
      <c r="AC73" s="793">
        <f t="shared" ref="AC73:AC78" si="138">IF(ISERROR((AB73/T73-1)*100),"NA",IF(((AB73/T73-1)*100)&gt;100,"NM",IF(((AB73/T73-1)*100)&lt;-50,"NM",(AB73/T73-1)*100)))</f>
        <v>2.859854036028886</v>
      </c>
      <c r="AD73" s="818">
        <f t="shared" si="106"/>
        <v>6.4242157008901586</v>
      </c>
      <c r="AE73" s="793">
        <f t="shared" ref="AE73:AE78" si="139">IF(ISERROR((AD73/V73-1)*100),"NA",IF(((AD73/V73-1)*100)&gt;100,"NM",IF(((AD73/V73-1)*100)&lt;-50,"NM",(AD73/V73-1)*100)))</f>
        <v>-8.1906389075317882</v>
      </c>
      <c r="AF73" s="818">
        <f t="shared" si="108"/>
        <v>6.4621058210718552</v>
      </c>
      <c r="AG73" s="793">
        <f t="shared" ref="AG73:AG78" si="140">IF(ISERROR((AF73/X73-1)*100),"NA",IF(((AF73/X73-1)*100)&gt;100,"NM",IF(((AF73/X73-1)*100)&lt;-50,"NM",(AF73/X73-1)*100)))</f>
        <v>-6.6675602298356118</v>
      </c>
      <c r="AH73" s="819"/>
      <c r="AI73" s="818">
        <f t="shared" si="110"/>
        <v>4.8861975360200463</v>
      </c>
      <c r="AJ73" s="793"/>
      <c r="AK73" s="818">
        <f t="shared" si="111"/>
        <v>6.160317731465665</v>
      </c>
      <c r="AL73" s="793">
        <f t="shared" si="112"/>
        <v>26.07590434183362</v>
      </c>
      <c r="AM73" s="818">
        <f t="shared" si="113"/>
        <v>6.4755838641188959</v>
      </c>
      <c r="AN73" s="793">
        <f t="shared" si="114"/>
        <v>5.1176927294336538</v>
      </c>
      <c r="AO73" s="818">
        <f t="shared" si="113"/>
        <v>6.3940250143691202</v>
      </c>
      <c r="AP73" s="793">
        <f t="shared" ref="AP73:AP75" si="141">IF(ISERROR((AO73/AM73-1)*100),"NA",IF(((AO73/AM73-1)*100)&gt;100,"NM",IF(((AO73/AM73-1)*100)&lt;-50,"NM",(AO73/AM73-1)*100)))</f>
        <v>-1.2594825649883346</v>
      </c>
      <c r="AQ73" s="818">
        <f t="shared" si="116"/>
        <v>7.1918099012104069</v>
      </c>
      <c r="AR73" s="793">
        <f t="shared" si="117"/>
        <v>12.477037312935835</v>
      </c>
      <c r="AS73" s="818">
        <f t="shared" si="118"/>
        <v>7.5439756142137622</v>
      </c>
      <c r="AT73" s="793">
        <f t="shared" si="119"/>
        <v>4.8967605907392686</v>
      </c>
      <c r="AU73" s="818">
        <f t="shared" si="120"/>
        <v>7.9861067429105468</v>
      </c>
      <c r="AV73" s="793">
        <f t="shared" si="121"/>
        <v>5.8607178934109605</v>
      </c>
      <c r="AW73" s="818">
        <f t="shared" si="120"/>
        <v>8.0533137281426921</v>
      </c>
      <c r="AX73" s="793">
        <f t="shared" ref="AX73:AX75" si="142">IF(ISERROR((AW73/AU73-1)*100),"NA",IF(((AW73/AU73-1)*100)&gt;100,"NM",IF(((AW73/AU73-1)*100)&lt;-50,"NM",(AW73/AU73-1)*100)))</f>
        <v>0.84154879712579067</v>
      </c>
      <c r="AY73" s="906">
        <f t="shared" si="123"/>
        <v>5.3286213342471189</v>
      </c>
    </row>
    <row r="74" spans="1:51" s="772" customFormat="1" ht="12.75" customHeight="1" x14ac:dyDescent="0.2">
      <c r="A74" s="941" t="str">
        <f t="shared" si="81"/>
        <v>Total International</v>
      </c>
      <c r="B74" s="818">
        <f t="shared" si="82"/>
        <v>42.589703588143522</v>
      </c>
      <c r="C74" s="793"/>
      <c r="D74" s="818">
        <f t="shared" si="83"/>
        <v>42.372881355932201</v>
      </c>
      <c r="E74" s="793"/>
      <c r="F74" s="818">
        <f t="shared" si="84"/>
        <v>45.486111111111107</v>
      </c>
      <c r="G74" s="793"/>
      <c r="H74" s="818">
        <f t="shared" si="85"/>
        <v>47.019867549668874</v>
      </c>
      <c r="I74" s="793"/>
      <c r="J74" s="818">
        <f t="shared" si="86"/>
        <v>48.144796380090497</v>
      </c>
      <c r="K74" s="793">
        <f t="shared" si="87"/>
        <v>13.043276482190524</v>
      </c>
      <c r="L74" s="818">
        <f t="shared" si="88"/>
        <v>50.341463414634148</v>
      </c>
      <c r="M74" s="793">
        <f t="shared" si="89"/>
        <v>18.805853658536599</v>
      </c>
      <c r="N74" s="818">
        <f t="shared" si="90"/>
        <v>40.136635354397946</v>
      </c>
      <c r="O74" s="793">
        <f t="shared" si="91"/>
        <v>-11.760679526209083</v>
      </c>
      <c r="P74" s="818">
        <f t="shared" si="92"/>
        <v>47.735191637630663</v>
      </c>
      <c r="Q74" s="793">
        <f t="shared" si="93"/>
        <v>1.5213230603130956</v>
      </c>
      <c r="R74" s="818">
        <f t="shared" si="94"/>
        <v>40.327613104524183</v>
      </c>
      <c r="S74" s="793">
        <f t="shared" si="95"/>
        <v>-16.236818645678152</v>
      </c>
      <c r="T74" s="818">
        <f t="shared" si="96"/>
        <v>45.25043177892919</v>
      </c>
      <c r="U74" s="793">
        <f t="shared" si="97"/>
        <v>-10.112998888754998</v>
      </c>
      <c r="V74" s="818">
        <f t="shared" si="98"/>
        <v>48.272807794508417</v>
      </c>
      <c r="W74" s="793">
        <f t="shared" si="99"/>
        <v>20.271187079509279</v>
      </c>
      <c r="X74" s="818">
        <f t="shared" si="100"/>
        <v>45.048203330411916</v>
      </c>
      <c r="Y74" s="793">
        <f t="shared" si="101"/>
        <v>-5.6289463078232131</v>
      </c>
      <c r="Z74" s="818">
        <f t="shared" si="102"/>
        <v>45.789198030615239</v>
      </c>
      <c r="AA74" s="793">
        <f t="shared" si="137"/>
        <v>13.543040377657123</v>
      </c>
      <c r="AB74" s="818">
        <f t="shared" si="104"/>
        <v>46.793669667970839</v>
      </c>
      <c r="AC74" s="793">
        <f t="shared" si="138"/>
        <v>3.4104379303630417</v>
      </c>
      <c r="AD74" s="818">
        <f t="shared" si="106"/>
        <v>47.576174583952323</v>
      </c>
      <c r="AE74" s="793">
        <f t="shared" si="139"/>
        <v>-1.4431172380143686</v>
      </c>
      <c r="AF74" s="818">
        <f t="shared" si="108"/>
        <v>45.017451861046112</v>
      </c>
      <c r="AG74" s="793">
        <f t="shared" si="140"/>
        <v>-6.8263475771168647E-2</v>
      </c>
      <c r="AH74" s="819"/>
      <c r="AI74" s="818">
        <f t="shared" si="110"/>
        <v>44.205470870745458</v>
      </c>
      <c r="AJ74" s="793"/>
      <c r="AK74" s="818">
        <f t="shared" si="111"/>
        <v>46.122309531943969</v>
      </c>
      <c r="AL74" s="793">
        <f t="shared" si="112"/>
        <v>4.3362023374962977</v>
      </c>
      <c r="AM74" s="818">
        <f t="shared" si="113"/>
        <v>44.585987261146499</v>
      </c>
      <c r="AN74" s="793">
        <f t="shared" si="114"/>
        <v>-3.3309742863882885</v>
      </c>
      <c r="AO74" s="818">
        <f t="shared" si="113"/>
        <v>46.290949060009325</v>
      </c>
      <c r="AP74" s="793">
        <f t="shared" si="141"/>
        <v>3.823985748878056</v>
      </c>
      <c r="AQ74" s="818">
        <f t="shared" si="116"/>
        <v>48.331835305397476</v>
      </c>
      <c r="AR74" s="793">
        <f t="shared" si="117"/>
        <v>4.4088235104932538</v>
      </c>
      <c r="AS74" s="818">
        <f t="shared" si="118"/>
        <v>49.244160434707048</v>
      </c>
      <c r="AT74" s="793">
        <f t="shared" si="119"/>
        <v>1.8876277375870387</v>
      </c>
      <c r="AU74" s="818">
        <f t="shared" si="120"/>
        <v>50.807295178733995</v>
      </c>
      <c r="AV74" s="793">
        <f t="shared" si="121"/>
        <v>3.1742540236816774</v>
      </c>
      <c r="AW74" s="818">
        <f t="shared" si="120"/>
        <v>51.872280468126931</v>
      </c>
      <c r="AX74" s="793">
        <f t="shared" si="142"/>
        <v>2.0961267189021582</v>
      </c>
      <c r="AY74" s="906">
        <f t="shared" si="123"/>
        <v>1.9537033860079767</v>
      </c>
    </row>
    <row r="75" spans="1:51" s="772" customFormat="1" ht="12.75" customHeight="1" x14ac:dyDescent="0.2">
      <c r="A75" s="926" t="str">
        <f t="shared" si="81"/>
        <v>MetLife Holdings</v>
      </c>
      <c r="B75" s="818">
        <f t="shared" si="82"/>
        <v>28.159126365054604</v>
      </c>
      <c r="C75" s="793"/>
      <c r="D75" s="818">
        <f t="shared" si="83"/>
        <v>28.736517719568567</v>
      </c>
      <c r="E75" s="793"/>
      <c r="F75" s="818">
        <f t="shared" si="84"/>
        <v>25.607638888888889</v>
      </c>
      <c r="G75" s="793"/>
      <c r="H75" s="818">
        <f t="shared" si="85"/>
        <v>28.192999053926204</v>
      </c>
      <c r="I75" s="793"/>
      <c r="J75" s="818">
        <f t="shared" si="86"/>
        <v>24.886877828054299</v>
      </c>
      <c r="K75" s="793">
        <f t="shared" ref="K75" si="143">IF(ISERROR((J75/B75-1)*100),"NA",IF(((J75/B75-1)*100)&gt;100,"NM",IF(((J75/B75-1)*100)&lt;-50,"NM",(J75/B75-1)*100)))</f>
        <v>-11.620561286521857</v>
      </c>
      <c r="L75" s="818">
        <f t="shared" si="88"/>
        <v>26.439024390243905</v>
      </c>
      <c r="M75" s="793">
        <f t="shared" ref="M75" si="144">IF(ISERROR((L75/D75-1)*100),"NA",IF(((L75/D75-1)*100)&gt;100,"NM",IF(((L75/D75-1)*100)&lt;-50,"NM",(L75/D75-1)*100)))</f>
        <v>-7.9950304060681265</v>
      </c>
      <c r="N75" s="818">
        <f t="shared" si="90"/>
        <v>21.029035012809562</v>
      </c>
      <c r="O75" s="793">
        <f t="shared" ref="O75" si="145">IF(ISERROR((N75/F75-1)*100),"NA",IF(((N75/F75-1)*100)&gt;100,"NM",IF(((N75/F75-1)*100)&lt;-50,"NM",(N75/F75-1)*100)))</f>
        <v>-17.879836153367414</v>
      </c>
      <c r="P75" s="818">
        <f t="shared" si="92"/>
        <v>25.435540069686414</v>
      </c>
      <c r="Q75" s="793">
        <f t="shared" ref="Q75" si="146">IF(ISERROR((P75/H75-1)*100),"NA",IF(((P75/H75-1)*100)&gt;100,"NM",IF(((P75/H75-1)*100)&lt;-50,"NM",(P75/H75-1)*100)))</f>
        <v>-9.780651497790128</v>
      </c>
      <c r="R75" s="818">
        <f t="shared" si="94"/>
        <v>24.180967238689547</v>
      </c>
      <c r="S75" s="793">
        <f t="shared" ref="S75" si="147">IF(ISERROR((R75/J75-1)*100),"NA",IF(((R75/J75-1)*100)&gt;100,"NM",IF(((R75/J75-1)*100)&lt;-50,"NM",(R75/J75-1)*100)))</f>
        <v>-2.8364770954474539</v>
      </c>
      <c r="T75" s="818">
        <f t="shared" si="96"/>
        <v>23.92055267702936</v>
      </c>
      <c r="U75" s="793">
        <f t="shared" ref="U75" si="148">IF(ISERROR((T75/L75-1)*100),"NA",IF(((T75/L75-1)*100)&gt;100,"NM",IF(((T75/L75-1)*100)&lt;-50,"NM",(T75/L75-1)*100)))</f>
        <v>-9.5255848931546474</v>
      </c>
      <c r="V75" s="818">
        <f t="shared" si="98"/>
        <v>18.954827280779451</v>
      </c>
      <c r="W75" s="793">
        <f t="shared" ref="W75" si="149">IF(ISERROR((V75/N75-1)*100),"NA",IF(((V75/N75-1)*100)&gt;100,"NM",IF(((V75/N75-1)*100)&lt;-50,"NM",(V75/N75-1)*100)))</f>
        <v>-9.8635421490650188</v>
      </c>
      <c r="X75" s="818">
        <f t="shared" si="100"/>
        <v>21.20946538124452</v>
      </c>
      <c r="Y75" s="793">
        <f t="shared" ref="Y75" si="150">IF(ISERROR((X75/P75-1)*100),"NA",IF(((X75/P75-1)*100)&gt;100,"NM",IF(((X75/P75-1)*100)&lt;-50,"NM",(X75/P75-1)*100)))</f>
        <v>-16.614841583326346</v>
      </c>
      <c r="Z75" s="818">
        <f t="shared" si="102"/>
        <v>20.431382042061902</v>
      </c>
      <c r="AA75" s="793">
        <f t="shared" si="137"/>
        <v>-15.506349103473038</v>
      </c>
      <c r="AB75" s="818">
        <f t="shared" si="104"/>
        <v>20.093489234700748</v>
      </c>
      <c r="AC75" s="793">
        <f t="shared" si="138"/>
        <v>-15.999059444825026</v>
      </c>
      <c r="AD75" s="818">
        <f t="shared" si="106"/>
        <v>19.666372337616423</v>
      </c>
      <c r="AE75" s="793">
        <f t="shared" si="139"/>
        <v>3.753898921350185</v>
      </c>
      <c r="AF75" s="818">
        <f t="shared" si="108"/>
        <v>19.227098468096209</v>
      </c>
      <c r="AG75" s="793">
        <f t="shared" si="140"/>
        <v>-9.3466142475298497</v>
      </c>
      <c r="AH75" s="819"/>
      <c r="AI75" s="818">
        <f t="shared" si="110"/>
        <v>27.70933389016496</v>
      </c>
      <c r="AJ75" s="793"/>
      <c r="AK75" s="818">
        <f t="shared" si="111"/>
        <v>24.203536043730782</v>
      </c>
      <c r="AL75" s="793">
        <f t="shared" ref="AL75" si="151">IF(ISERROR((AK75/AI75-1)*100),"NA",IF(((AK75/AI75-1)*100)&gt;100,"NM",IF(((AK75/AI75-1)*100)&lt;-50,"NM",(AK75/AI75-1)*100)))</f>
        <v>-12.652046636453107</v>
      </c>
      <c r="AM75" s="818">
        <f t="shared" si="113"/>
        <v>22.144373673036092</v>
      </c>
      <c r="AN75" s="793">
        <f t="shared" ref="AN75" si="152">IF(ISERROR((AM75/AK75-1)*100),"NA",IF(((AM75/AK75-1)*100)&gt;100,"NM",IF(((AM75/AK75-1)*100)&lt;-50,"NM",(AM75/AK75-1)*100)))</f>
        <v>-8.5076922932839629</v>
      </c>
      <c r="AO75" s="818">
        <f t="shared" si="113"/>
        <v>19.850909602494074</v>
      </c>
      <c r="AP75" s="793">
        <f t="shared" si="141"/>
        <v>-10.356870347318225</v>
      </c>
      <c r="AQ75" s="818">
        <f t="shared" si="116"/>
        <v>17.364648725004255</v>
      </c>
      <c r="AR75" s="793">
        <f t="shared" ref="AR75" si="153">IF(ISERROR((AQ75/AO75-1)*100),"NA",IF(((AQ75/AO75-1)*100)&gt;100,"NM",IF(((AQ75/AO75-1)*100)&lt;-50,"NM",(AQ75/AO75-1)*100)))</f>
        <v>-12.524669787310128</v>
      </c>
      <c r="AS75" s="818">
        <f t="shared" si="118"/>
        <v>15.058187166368221</v>
      </c>
      <c r="AT75" s="793">
        <f t="shared" ref="AT75" si="154">IF(ISERROR((AS75/AQ75-1)*100),"NA",IF(((AS75/AQ75-1)*100)&gt;100,"NM",IF(((AS75/AQ75-1)*100)&lt;-50,"NM",(AS75/AQ75-1)*100)))</f>
        <v>-13.282512045952544</v>
      </c>
      <c r="AU75" s="818">
        <f t="shared" si="120"/>
        <v>13.150472971125222</v>
      </c>
      <c r="AV75" s="793">
        <f t="shared" ref="AV75" si="155">IF(ISERROR((AU75/AS75-1)*100),"NA",IF(((AU75/AS75-1)*100)&gt;100,"NM",IF(((AU75/AS75-1)*100)&lt;-50,"NM",(AU75/AS75-1)*100)))</f>
        <v>-12.668949948396124</v>
      </c>
      <c r="AW75" s="818">
        <f t="shared" si="120"/>
        <v>11.362527593301955</v>
      </c>
      <c r="AX75" s="793">
        <f t="shared" si="142"/>
        <v>-13.596053782621331</v>
      </c>
      <c r="AY75" s="906">
        <f t="shared" si="123"/>
        <v>-11.485889227506929</v>
      </c>
    </row>
    <row r="76" spans="1:51" s="772" customFormat="1" ht="12.75" customHeight="1" x14ac:dyDescent="0.2">
      <c r="A76" s="926" t="str">
        <f>Input!B658</f>
        <v>Corporate &amp; Other (%)</v>
      </c>
      <c r="B76" s="818">
        <f t="shared" si="82"/>
        <v>-11.778471138845553</v>
      </c>
      <c r="C76" s="793"/>
      <c r="D76" s="818">
        <f t="shared" si="83"/>
        <v>-13.559322033898304</v>
      </c>
      <c r="E76" s="793"/>
      <c r="F76" s="818">
        <f t="shared" si="84"/>
        <v>-12.326388888888889</v>
      </c>
      <c r="G76" s="793"/>
      <c r="H76" s="818">
        <f t="shared" si="85"/>
        <v>-17.69157994323557</v>
      </c>
      <c r="I76" s="793"/>
      <c r="J76" s="818">
        <f t="shared" si="86"/>
        <v>-16.832579185520363</v>
      </c>
      <c r="K76" s="793">
        <f>IF(ISERROR((J76/B76-1)*100),"NA",IF(((J76/B76-1)*100)&gt;100,"NM",IF(((J76/B76-1)*100)&lt;-50,"NM",(J76/B76-1)*100)))</f>
        <v>42.909712025411295</v>
      </c>
      <c r="L76" s="818">
        <f t="shared" si="88"/>
        <v>-23.902439024390244</v>
      </c>
      <c r="M76" s="793">
        <f>IF(ISERROR((L76/D76-1)*100),"NA",IF(((L76/D76-1)*100)&gt;100,"NM",IF(((L76/D76-1)*100)&lt;-50,"NM",(L76/D76-1)*100)))</f>
        <v>76.280487804878064</v>
      </c>
      <c r="N76" s="818">
        <f t="shared" si="90"/>
        <v>0.85397096498719038</v>
      </c>
      <c r="O76" s="793" t="str">
        <f>IF(ISERROR((N76/F76-1)*100),"NA",IF(((N76/F76-1)*100)&gt;100,"NM",IF(((N76/F76-1)*100)&lt;-50,"NM",(N76/F76-1)*100)))</f>
        <v>NM</v>
      </c>
      <c r="P76" s="818">
        <f t="shared" si="92"/>
        <v>-17.682926829268293</v>
      </c>
      <c r="Q76" s="793">
        <f>IF(ISERROR((P76/H76-1)*100),"NA",IF(((P76/H76-1)*100)&gt;100,"NM",IF(((P76/H76-1)*100)&lt;-50,"NM",(P76/H76-1)*100)))</f>
        <v>-4.891091691664462E-2</v>
      </c>
      <c r="R76" s="818">
        <f t="shared" si="94"/>
        <v>-5.0702028081123247</v>
      </c>
      <c r="S76" s="793" t="str">
        <f t="shared" ref="S76:S78" si="156">IF(ISERROR((R76/J76-1)*100),"NA",IF(((R76/J76-1)*100)&gt;100,"NM",IF(((R76/J76-1)*100)&lt;-50,"NM",(R76/J76-1)*100)))</f>
        <v>NM</v>
      </c>
      <c r="T76" s="818">
        <f t="shared" si="96"/>
        <v>-11.744386873920552</v>
      </c>
      <c r="U76" s="793" t="str">
        <f t="shared" ref="U76:U78" si="157">IF(ISERROR((T76/L76-1)*100),"NA",IF(((T76/L76-1)*100)&gt;100,"NM",IF(((T76/L76-1)*100)&lt;-50,"NM",(T76/L76-1)*100)))</f>
        <v>NM</v>
      </c>
      <c r="V76" s="818">
        <f t="shared" si="98"/>
        <v>-14.968999114260406</v>
      </c>
      <c r="W76" s="793" t="str">
        <f t="shared" ref="W76:W78" si="158">IF(ISERROR((V76/N76-1)*100),"NA",IF(((V76/N76-1)*100)&gt;100,"NM",IF(((V76/N76-1)*100)&lt;-50,"NM",(V76/N76-1)*100)))</f>
        <v>NM</v>
      </c>
      <c r="X76" s="818">
        <f t="shared" si="100"/>
        <v>-15.337423312883436</v>
      </c>
      <c r="Y76" s="793">
        <f t="shared" ref="Y76:Y78" si="159">IF(ISERROR((X76/P76-1)*100),"NA",IF(((X76/P76-1)*100)&gt;100,"NM",IF(((X76/P76-1)*100)&lt;-50,"NM",(X76/P76-1)*100)))</f>
        <v>-13.26422678231437</v>
      </c>
      <c r="Z76" s="818">
        <f t="shared" si="102"/>
        <v>-16.500730987626998</v>
      </c>
      <c r="AA76" s="793" t="str">
        <f t="shared" si="137"/>
        <v>NM</v>
      </c>
      <c r="AB76" s="818">
        <f t="shared" si="104"/>
        <v>-16.596019668662308</v>
      </c>
      <c r="AC76" s="793">
        <f t="shared" si="138"/>
        <v>41.310226296404061</v>
      </c>
      <c r="AD76" s="818">
        <f t="shared" si="106"/>
        <v>-16.497901351631931</v>
      </c>
      <c r="AE76" s="793">
        <f t="shared" si="139"/>
        <v>10.21379068634587</v>
      </c>
      <c r="AF76" s="818">
        <f t="shared" si="108"/>
        <v>-16.423536723053161</v>
      </c>
      <c r="AG76" s="793">
        <f t="shared" si="140"/>
        <v>7.0814594343066029</v>
      </c>
      <c r="AH76" s="819"/>
      <c r="AI76" s="818">
        <f t="shared" si="110"/>
        <v>-13.698058049697224</v>
      </c>
      <c r="AJ76" s="793"/>
      <c r="AK76" s="818">
        <f t="shared" si="111"/>
        <v>-13.281516911513497</v>
      </c>
      <c r="AL76" s="793">
        <f>IF(ISERROR((AK76/AI76-1)*100),"NA",IF(((AK76/AI76-1)*100)&gt;100,"NM",IF(((AK76/AI76-1)*100)&lt;-50,"NM",(AK76/AI76-1)*100)))</f>
        <v>-3.0408773029906522</v>
      </c>
      <c r="AM76" s="818">
        <f t="shared" si="113"/>
        <v>-11.571125265392782</v>
      </c>
      <c r="AN76" s="793">
        <f>IF(ISERROR((AM76/AK76-1)*100),"NA",IF(((AM76/AK76-1)*100)&gt;100,"NM",IF(((AM76/AK76-1)*100)&lt;-50,"NM",(AM76/AK76-1)*100)))</f>
        <v>-12.877984175422075</v>
      </c>
      <c r="AO76" s="818">
        <f t="shared" si="113"/>
        <v>-16.504108177353547</v>
      </c>
      <c r="AP76" s="793">
        <f>IF(ISERROR((AO76/AM76-1)*100),"NA",IF(((AO76/AM76-1)*100)&gt;100,"NM",IF(((AO76/AM76-1)*100)&lt;-50,"NM",(AO76/AM76-1)*100)))</f>
        <v>42.631833973092114</v>
      </c>
      <c r="AQ76" s="818">
        <f t="shared" si="116"/>
        <v>-15.91406351000505</v>
      </c>
      <c r="AR76" s="793">
        <f>IF(ISERROR((AQ76/AO76-1)*100),"NA",IF(((AQ76/AO76-1)*100)&gt;100,"NM",IF(((AQ76/AO76-1)*100)&lt;-50,"NM",(AQ76/AO76-1)*100)))</f>
        <v>-3.5751381474713018</v>
      </c>
      <c r="AS76" s="818">
        <f t="shared" si="118"/>
        <v>-13.750018323221253</v>
      </c>
      <c r="AT76" s="793">
        <f>IF(ISERROR((AS76/AQ76-1)*100),"NA",IF(((AS76/AQ76-1)*100)&gt;100,"NM",IF(((AS76/AQ76-1)*100)&lt;-50,"NM",(AS76/AQ76-1)*100)))</f>
        <v>-13.598319407380011</v>
      </c>
      <c r="AU76" s="818">
        <f t="shared" si="120"/>
        <v>-13.10919332249774</v>
      </c>
      <c r="AV76" s="793">
        <f>IF(ISERROR((AU76/AS76-1)*100),"NA",IF(((AU76/AS76-1)*100)&gt;100,"NM",IF(((AU76/AS76-1)*100)&lt;-50,"NM",(AU76/AS76-1)*100)))</f>
        <v>-4.6605392491825048</v>
      </c>
      <c r="AW76" s="818">
        <f t="shared" si="120"/>
        <v>-12.611740302966339</v>
      </c>
      <c r="AX76" s="793">
        <f>IF(ISERROR((AW76/AU76-1)*100),"NA",IF(((AW76/AU76-1)*100)&gt;100,"NM",IF(((AW76/AU76-1)*100)&lt;-50,"NM",(AW76/AU76-1)*100)))</f>
        <v>-3.7946882565053186</v>
      </c>
      <c r="AY76" s="906">
        <f t="shared" si="123"/>
        <v>-0.2608511580052375</v>
      </c>
    </row>
    <row r="77" spans="1:51" s="772" customFormat="1" ht="12.75" customHeight="1" x14ac:dyDescent="0.2">
      <c r="A77" s="926" t="str">
        <f>A18</f>
        <v>Brighthouse Financial</v>
      </c>
      <c r="B77" s="818">
        <f t="shared" si="82"/>
        <v>0</v>
      </c>
      <c r="C77" s="793"/>
      <c r="D77" s="818">
        <f t="shared" si="83"/>
        <v>0</v>
      </c>
      <c r="E77" s="793"/>
      <c r="F77" s="818">
        <f t="shared" si="84"/>
        <v>0</v>
      </c>
      <c r="G77" s="793"/>
      <c r="H77" s="818">
        <f t="shared" si="85"/>
        <v>0</v>
      </c>
      <c r="I77" s="793"/>
      <c r="J77" s="818">
        <f t="shared" si="86"/>
        <v>0</v>
      </c>
      <c r="K77" s="793" t="str">
        <f t="shared" ref="K77" si="160">IF(ISERROR((J77/B77-1)*100),"NA",IF(((J77/B77-1)*100)&gt;100,"NM",IF(((J77/B77-1)*100)&lt;-50,"NM",(J77/B77-1)*100)))</f>
        <v>NA</v>
      </c>
      <c r="L77" s="818">
        <f t="shared" si="88"/>
        <v>0</v>
      </c>
      <c r="M77" s="793" t="str">
        <f t="shared" ref="M77" si="161">IF(ISERROR((L77/D77-1)*100),"NA",IF(((L77/D77-1)*100)&gt;100,"NM",IF(((L77/D77-1)*100)&lt;-50,"NM",(L77/D77-1)*100)))</f>
        <v>NA</v>
      </c>
      <c r="N77" s="818">
        <f t="shared" si="90"/>
        <v>0</v>
      </c>
      <c r="O77" s="793" t="str">
        <f t="shared" ref="O77" si="162">IF(ISERROR((N77/F77-1)*100),"NA",IF(((N77/F77-1)*100)&gt;100,"NM",IF(((N77/F77-1)*100)&lt;-50,"NM",(N77/F77-1)*100)))</f>
        <v>NA</v>
      </c>
      <c r="P77" s="818">
        <f t="shared" si="92"/>
        <v>0</v>
      </c>
      <c r="Q77" s="793" t="str">
        <f t="shared" ref="Q77" si="163">IF(ISERROR((P77/H77-1)*100),"NA",IF(((P77/H77-1)*100)&gt;100,"NM",IF(((P77/H77-1)*100)&lt;-50,"NM",(P77/H77-1)*100)))</f>
        <v>NA</v>
      </c>
      <c r="R77" s="818">
        <f t="shared" si="94"/>
        <v>0</v>
      </c>
      <c r="S77" s="793" t="str">
        <f t="shared" ref="S77" si="164">IF(ISERROR((R77/J77-1)*100),"NA",IF(((R77/J77-1)*100)&gt;100,"NM",IF(((R77/J77-1)*100)&lt;-50,"NM",(R77/J77-1)*100)))</f>
        <v>NA</v>
      </c>
      <c r="T77" s="818">
        <f t="shared" si="96"/>
        <v>0</v>
      </c>
      <c r="U77" s="793" t="str">
        <f t="shared" ref="U77" si="165">IF(ISERROR((T77/L77-1)*100),"NA",IF(((T77/L77-1)*100)&gt;100,"NM",IF(((T77/L77-1)*100)&lt;-50,"NM",(T77/L77-1)*100)))</f>
        <v>NA</v>
      </c>
      <c r="V77" s="818">
        <f t="shared" si="98"/>
        <v>0</v>
      </c>
      <c r="W77" s="793" t="str">
        <f t="shared" ref="W77" si="166">IF(ISERROR((V77/N77-1)*100),"NA",IF(((V77/N77-1)*100)&gt;100,"NM",IF(((V77/N77-1)*100)&lt;-50,"NM",(V77/N77-1)*100)))</f>
        <v>NA</v>
      </c>
      <c r="X77" s="818">
        <f t="shared" si="100"/>
        <v>0</v>
      </c>
      <c r="Y77" s="793" t="str">
        <f t="shared" ref="Y77" si="167">IF(ISERROR((X77/P77-1)*100),"NA",IF(((X77/P77-1)*100)&gt;100,"NM",IF(((X77/P77-1)*100)&lt;-50,"NM",(X77/P77-1)*100)))</f>
        <v>NA</v>
      </c>
      <c r="Z77" s="818">
        <f t="shared" si="102"/>
        <v>0</v>
      </c>
      <c r="AA77" s="793" t="str">
        <f t="shared" si="137"/>
        <v>NA</v>
      </c>
      <c r="AB77" s="818">
        <f t="shared" si="104"/>
        <v>0</v>
      </c>
      <c r="AC77" s="793" t="str">
        <f t="shared" si="138"/>
        <v>NA</v>
      </c>
      <c r="AD77" s="818">
        <f t="shared" si="106"/>
        <v>0</v>
      </c>
      <c r="AE77" s="793" t="str">
        <f t="shared" si="139"/>
        <v>NA</v>
      </c>
      <c r="AF77" s="818">
        <f t="shared" si="108"/>
        <v>0</v>
      </c>
      <c r="AG77" s="793" t="str">
        <f t="shared" si="140"/>
        <v>NA</v>
      </c>
      <c r="AH77" s="819"/>
      <c r="AI77" s="818">
        <f t="shared" si="110"/>
        <v>0</v>
      </c>
      <c r="AJ77" s="793"/>
      <c r="AK77" s="818">
        <f t="shared" si="111"/>
        <v>0</v>
      </c>
      <c r="AL77" s="793" t="str">
        <f t="shared" ref="AL77" si="168">IF(ISERROR((AK77/AI77-1)*100),"NA",IF(((AK77/AI77-1)*100)&gt;100,"NM",IF(((AK77/AI77-1)*100)&lt;-50,"NM",(AK77/AI77-1)*100)))</f>
        <v>NA</v>
      </c>
      <c r="AM77" s="818">
        <f t="shared" si="113"/>
        <v>0</v>
      </c>
      <c r="AN77" s="793" t="str">
        <f t="shared" ref="AN77" si="169">IF(ISERROR((AM77/AK77-1)*100),"NA",IF(((AM77/AK77-1)*100)&gt;100,"NM",IF(((AM77/AK77-1)*100)&lt;-50,"NM",(AM77/AK77-1)*100)))</f>
        <v>NA</v>
      </c>
      <c r="AO77" s="818">
        <f t="shared" si="113"/>
        <v>0</v>
      </c>
      <c r="AP77" s="793" t="str">
        <f t="shared" ref="AP77" si="170">IF(ISERROR((AO77/AM77-1)*100),"NA",IF(((AO77/AM77-1)*100)&gt;100,"NM",IF(((AO77/AM77-1)*100)&lt;-50,"NM",(AO77/AM77-1)*100)))</f>
        <v>NA</v>
      </c>
      <c r="AQ77" s="818">
        <f t="shared" si="116"/>
        <v>0</v>
      </c>
      <c r="AR77" s="793" t="str">
        <f t="shared" ref="AR77" si="171">IF(ISERROR((AQ77/AO77-1)*100),"NA",IF(((AQ77/AO77-1)*100)&gt;100,"NM",IF(((AQ77/AO77-1)*100)&lt;-50,"NM",(AQ77/AO77-1)*100)))</f>
        <v>NA</v>
      </c>
      <c r="AS77" s="818">
        <f t="shared" si="118"/>
        <v>0</v>
      </c>
      <c r="AT77" s="793" t="str">
        <f t="shared" ref="AT77" si="172">IF(ISERROR((AS77/AQ77-1)*100),"NA",IF(((AS77/AQ77-1)*100)&gt;100,"NM",IF(((AS77/AQ77-1)*100)&lt;-50,"NM",(AS77/AQ77-1)*100)))</f>
        <v>NA</v>
      </c>
      <c r="AU77" s="818">
        <f t="shared" si="120"/>
        <v>0</v>
      </c>
      <c r="AV77" s="793" t="str">
        <f t="shared" ref="AV77" si="173">IF(ISERROR((AU77/AS77-1)*100),"NA",IF(((AU77/AS77-1)*100)&gt;100,"NM",IF(((AU77/AS77-1)*100)&lt;-50,"NM",(AU77/AS77-1)*100)))</f>
        <v>NA</v>
      </c>
      <c r="AW77" s="818">
        <f t="shared" si="120"/>
        <v>0</v>
      </c>
      <c r="AX77" s="793" t="str">
        <f t="shared" ref="AX77" si="174">IF(ISERROR((AW77/AU77-1)*100),"NA",IF(((AW77/AU77-1)*100)&gt;100,"NM",IF(((AW77/AU77-1)*100)&lt;-50,"NM",(AW77/AU77-1)*100)))</f>
        <v>NA</v>
      </c>
      <c r="AY77" s="906" t="str">
        <f t="shared" si="123"/>
        <v>NA</v>
      </c>
    </row>
    <row r="78" spans="1:51" s="772" customFormat="1" ht="12.75" customHeight="1" x14ac:dyDescent="0.2">
      <c r="A78" s="941" t="str">
        <f>Input!B659</f>
        <v>Total (%)</v>
      </c>
      <c r="B78" s="818">
        <f>B20/B$20*100</f>
        <v>100</v>
      </c>
      <c r="C78" s="793"/>
      <c r="D78" s="818">
        <f>D20/D$20*100</f>
        <v>100</v>
      </c>
      <c r="E78" s="793"/>
      <c r="F78" s="818">
        <f>F20/F$20*100</f>
        <v>100</v>
      </c>
      <c r="G78" s="793"/>
      <c r="H78" s="818">
        <f>H20/H$20*100</f>
        <v>100</v>
      </c>
      <c r="I78" s="793"/>
      <c r="J78" s="818">
        <f>J20/J$20*100</f>
        <v>100</v>
      </c>
      <c r="K78" s="793">
        <f>IF(ISERROR((J78/B78-1)*100),"NA",IF(((J78/B78-1)*100)&gt;100,"NM",IF(((J78/B78-1)*100)&lt;-50,"NM",(J78/B78-1)*100)))</f>
        <v>0</v>
      </c>
      <c r="L78" s="818">
        <f>L20/L$20*100</f>
        <v>100</v>
      </c>
      <c r="M78" s="793">
        <f>IF(ISERROR((L78/D78-1)*100),"NA",IF(((L78/D78-1)*100)&gt;100,"NM",IF(((L78/D78-1)*100)&lt;-50,"NM",(L78/D78-1)*100)))</f>
        <v>0</v>
      </c>
      <c r="N78" s="818">
        <f>N20/N$20*100</f>
        <v>100</v>
      </c>
      <c r="O78" s="793">
        <f>IF(ISERROR((N78/F78-1)*100),"NA",IF(((N78/F78-1)*100)&gt;100,"NM",IF(((N78/F78-1)*100)&lt;-50,"NM",(N78/F78-1)*100)))</f>
        <v>0</v>
      </c>
      <c r="P78" s="818">
        <f>P20/P$20*100</f>
        <v>100</v>
      </c>
      <c r="Q78" s="793">
        <f>IF(ISERROR((P78/H78-1)*100),"NA",IF(((P78/H78-1)*100)&gt;100,"NM",IF(((P78/H78-1)*100)&lt;-50,"NM",(P78/H78-1)*100)))</f>
        <v>0</v>
      </c>
      <c r="R78" s="818">
        <f>R20/R$20*100</f>
        <v>100</v>
      </c>
      <c r="S78" s="793">
        <f t="shared" si="156"/>
        <v>0</v>
      </c>
      <c r="T78" s="818">
        <f>T20/T$20*100</f>
        <v>100</v>
      </c>
      <c r="U78" s="793">
        <f t="shared" si="157"/>
        <v>0</v>
      </c>
      <c r="V78" s="818">
        <f>V20/V$20*100</f>
        <v>100</v>
      </c>
      <c r="W78" s="793">
        <f t="shared" si="158"/>
        <v>0</v>
      </c>
      <c r="X78" s="818">
        <f>X20/X$20*100</f>
        <v>100</v>
      </c>
      <c r="Y78" s="793">
        <f t="shared" si="159"/>
        <v>0</v>
      </c>
      <c r="Z78" s="818">
        <f>Z20/Z$20*100</f>
        <v>100</v>
      </c>
      <c r="AA78" s="793">
        <f t="shared" si="137"/>
        <v>0</v>
      </c>
      <c r="AB78" s="818">
        <f>AB20/AB$20*100</f>
        <v>100</v>
      </c>
      <c r="AC78" s="793">
        <f t="shared" si="138"/>
        <v>0</v>
      </c>
      <c r="AD78" s="818">
        <f>AD20/AD$20*100</f>
        <v>100</v>
      </c>
      <c r="AE78" s="793">
        <f t="shared" si="139"/>
        <v>0</v>
      </c>
      <c r="AF78" s="818">
        <f>AF20/AF$20*100</f>
        <v>100</v>
      </c>
      <c r="AG78" s="793">
        <f t="shared" si="140"/>
        <v>0</v>
      </c>
      <c r="AH78" s="819"/>
      <c r="AI78" s="818">
        <f>AI20/AI$20*100</f>
        <v>100</v>
      </c>
      <c r="AJ78" s="793"/>
      <c r="AK78" s="818">
        <f>AK20/AK$20*100</f>
        <v>100</v>
      </c>
      <c r="AL78" s="793">
        <f>IF(ISERROR((AK78/AI78-1)*100),"NA",IF(((AK78/AI78-1)*100)&gt;100,"NM",IF(((AK78/AI78-1)*100)&lt;-50,"NM",(AK78/AI78-1)*100)))</f>
        <v>0</v>
      </c>
      <c r="AM78" s="818">
        <f>AM20/AM$20*100</f>
        <v>100</v>
      </c>
      <c r="AN78" s="793">
        <f>IF(ISERROR((AM78/AK78-1)*100),"NA",IF(((AM78/AK78-1)*100)&gt;100,"NM",IF(((AM78/AK78-1)*100)&lt;-50,"NM",(AM78/AK78-1)*100)))</f>
        <v>0</v>
      </c>
      <c r="AO78" s="818">
        <f>AO20/AO$20*100</f>
        <v>100</v>
      </c>
      <c r="AP78" s="793">
        <f>IF(ISERROR((AO78/AM78-1)*100),"NA",IF(((AO78/AM78-1)*100)&gt;100,"NM",IF(((AO78/AM78-1)*100)&lt;-50,"NM",(AO78/AM78-1)*100)))</f>
        <v>0</v>
      </c>
      <c r="AQ78" s="818">
        <f>AQ20/AQ$20*100</f>
        <v>100</v>
      </c>
      <c r="AR78" s="793">
        <f>IF(ISERROR((AQ78/AO78-1)*100),"NA",IF(((AQ78/AO78-1)*100)&gt;100,"NM",IF(((AQ78/AO78-1)*100)&lt;-50,"NM",(AQ78/AO78-1)*100)))</f>
        <v>0</v>
      </c>
      <c r="AS78" s="818">
        <f>AS20/AS$20*100</f>
        <v>100</v>
      </c>
      <c r="AT78" s="793">
        <f>IF(ISERROR((AS78/AQ78-1)*100),"NA",IF(((AS78/AQ78-1)*100)&gt;100,"NM",IF(((AS78/AQ78-1)*100)&lt;-50,"NM",(AS78/AQ78-1)*100)))</f>
        <v>0</v>
      </c>
      <c r="AU78" s="818">
        <f>AU20/AU$20*100</f>
        <v>100</v>
      </c>
      <c r="AV78" s="793">
        <f>IF(ISERROR((AU78/AS78-1)*100),"NA",IF(((AU78/AS78-1)*100)&gt;100,"NM",IF(((AU78/AS78-1)*100)&lt;-50,"NM",(AU78/AS78-1)*100)))</f>
        <v>0</v>
      </c>
      <c r="AW78" s="818">
        <f>AW20/AW$20*100</f>
        <v>100</v>
      </c>
      <c r="AX78" s="793">
        <f>IF(ISERROR((AW78/AU78-1)*100),"NA",IF(((AW78/AU78-1)*100)&gt;100,"NM",IF(((AW78/AU78-1)*100)&lt;-50,"NM",(AW78/AU78-1)*100)))</f>
        <v>0</v>
      </c>
      <c r="AY78" s="906">
        <f t="shared" si="123"/>
        <v>0</v>
      </c>
    </row>
    <row r="79" spans="1:51" s="801" customFormat="1" ht="12.75" hidden="1" customHeight="1" outlineLevel="1" x14ac:dyDescent="0.2">
      <c r="A79" s="908" t="s">
        <v>254</v>
      </c>
      <c r="B79" s="798">
        <f>(B69+B67+B68+B71+B73+B72+B77+B75+B76)-B78</f>
        <v>0</v>
      </c>
      <c r="C79" s="799"/>
      <c r="D79" s="798">
        <f>(D69+D67+D68+D71+D73+D72+D77+D75+D76)-D78</f>
        <v>0</v>
      </c>
      <c r="E79" s="799"/>
      <c r="F79" s="798">
        <f>(F69+F67+F68+F71+F73+F72+F77+F75+F76)-F78</f>
        <v>0</v>
      </c>
      <c r="G79" s="799"/>
      <c r="H79" s="798">
        <f>(H69+H67+H68+H71+H73+H72+H77+H75+H76)-H78</f>
        <v>0</v>
      </c>
      <c r="I79" s="799"/>
      <c r="J79" s="798">
        <f>(J69+J67+J68+J71+J73+J72+J77+J75+J76)-J78</f>
        <v>0</v>
      </c>
      <c r="K79" s="799"/>
      <c r="L79" s="798">
        <f>(L69+L67+L68+L71+L73+L72+L77+L75+L76)-L78</f>
        <v>0</v>
      </c>
      <c r="M79" s="799"/>
      <c r="N79" s="798">
        <f>(N69+N67+N68+N71+N73+N72+N77+N75+N76)-N78</f>
        <v>0</v>
      </c>
      <c r="O79" s="799"/>
      <c r="P79" s="798">
        <f>(P69+P67+P68+P71+P73+P72+P77+P75+P76)-P78</f>
        <v>0</v>
      </c>
      <c r="Q79" s="799"/>
      <c r="R79" s="798">
        <f>(R69+R67+R68+R71+R73+R72+R77+R75+R76)-R78</f>
        <v>0</v>
      </c>
      <c r="S79" s="799"/>
      <c r="T79" s="798">
        <f>(T69+T67+T68+T71+T73+T72+T77+T75+T76)-T78</f>
        <v>0</v>
      </c>
      <c r="U79" s="799"/>
      <c r="V79" s="798">
        <f>(V69+V67+V68+V71+V73+V72+V77+V75+V76)-V78</f>
        <v>0</v>
      </c>
      <c r="W79" s="799"/>
      <c r="X79" s="798">
        <f>(X69+X67+X68+X71+X73+X72+X77+X75+X76)-X78</f>
        <v>0</v>
      </c>
      <c r="Y79" s="799"/>
      <c r="Z79" s="798">
        <f>(Z69+Z67+Z68+Z71+Z73+Z72+Z77+Z75+Z76)-Z78</f>
        <v>0</v>
      </c>
      <c r="AA79" s="799"/>
      <c r="AB79" s="798">
        <f>(AB69+AB67+AB68+AB71+AB73+AB72+AB77+AB75+AB76)-AB78</f>
        <v>0</v>
      </c>
      <c r="AC79" s="799"/>
      <c r="AD79" s="798">
        <f>(AD69+AD67+AD68+AD71+AD73+AD72+AD77+AD75+AD76)-AD78</f>
        <v>0</v>
      </c>
      <c r="AE79" s="799"/>
      <c r="AF79" s="798">
        <f>(AF69+AF67+AF68+AF71+AF73+AF72+AF77+AF75+AF76)-AF78</f>
        <v>0</v>
      </c>
      <c r="AG79" s="799"/>
      <c r="AH79" s="798"/>
      <c r="AI79" s="798">
        <f>(AI69+AI67+AI68+AI71+AI73+AI72+AI77+AI75+AI76)-AI78</f>
        <v>0</v>
      </c>
      <c r="AJ79" s="799"/>
      <c r="AK79" s="798">
        <f>(AK69+AK67+AK68+AK71+AK73+AK72+AK77+AK75+AK76)-AK78</f>
        <v>0</v>
      </c>
      <c r="AL79" s="799"/>
      <c r="AM79" s="798">
        <f>(AM69+AM67+AM68+AM71+AM73+AM72+AM77+AM75+AM76)-AM78</f>
        <v>0</v>
      </c>
      <c r="AN79" s="799"/>
      <c r="AO79" s="798">
        <f>(AO69+AO67+AO68+AO71+AO73+AO72+AO77+AO75+AO76)-AO78</f>
        <v>0</v>
      </c>
      <c r="AP79" s="799"/>
      <c r="AQ79" s="798">
        <f>(AQ69+AQ67+AQ68+AQ71+AQ73+AQ72+AQ77+AQ75+AQ76)-AQ78</f>
        <v>0</v>
      </c>
      <c r="AR79" s="799"/>
      <c r="AS79" s="798">
        <f>(AS69+AS67+AS68+AS71+AS73+AS72+AS77+AS75+AS76)-AS78</f>
        <v>0</v>
      </c>
      <c r="AT79" s="799"/>
      <c r="AU79" s="798">
        <f>(AU69+AU67+AU68+AU71+AU73+AU72+AU77+AU75+AU76)-AU78</f>
        <v>0</v>
      </c>
      <c r="AV79" s="799"/>
      <c r="AW79" s="798">
        <f>(AW69+AW67+AW68+AW71+AW73+AW72+AW77+AW75+AW76)-AW78</f>
        <v>0</v>
      </c>
      <c r="AX79" s="799"/>
      <c r="AY79" s="909"/>
    </row>
    <row r="80" spans="1:51" s="772" customFormat="1" ht="4.5" customHeight="1" collapsed="1" x14ac:dyDescent="0.2">
      <c r="A80" s="907"/>
      <c r="B80" s="792"/>
      <c r="C80" s="793"/>
      <c r="D80" s="792"/>
      <c r="E80" s="793"/>
      <c r="F80" s="792"/>
      <c r="G80" s="793"/>
      <c r="H80" s="792"/>
      <c r="I80" s="793"/>
      <c r="J80" s="792"/>
      <c r="K80" s="793"/>
      <c r="L80" s="792"/>
      <c r="M80" s="793"/>
      <c r="N80" s="792"/>
      <c r="O80" s="793"/>
      <c r="P80" s="792"/>
      <c r="Q80" s="793"/>
      <c r="R80" s="792"/>
      <c r="S80" s="793"/>
      <c r="T80" s="792"/>
      <c r="U80" s="793"/>
      <c r="V80" s="792"/>
      <c r="W80" s="793"/>
      <c r="X80" s="792"/>
      <c r="Y80" s="793"/>
      <c r="Z80" s="792"/>
      <c r="AA80" s="793"/>
      <c r="AB80" s="792"/>
      <c r="AC80" s="793"/>
      <c r="AD80" s="792"/>
      <c r="AE80" s="793"/>
      <c r="AF80" s="792"/>
      <c r="AG80" s="793"/>
      <c r="AH80" s="829"/>
      <c r="AI80" s="818"/>
      <c r="AJ80" s="793"/>
      <c r="AK80" s="818"/>
      <c r="AL80" s="793"/>
      <c r="AM80" s="818"/>
      <c r="AN80" s="793"/>
      <c r="AO80" s="818"/>
      <c r="AP80" s="793"/>
      <c r="AQ80" s="818"/>
      <c r="AR80" s="793"/>
      <c r="AS80" s="818"/>
      <c r="AT80" s="793"/>
      <c r="AU80" s="818"/>
      <c r="AV80" s="793"/>
      <c r="AW80" s="818"/>
      <c r="AX80" s="793"/>
      <c r="AY80" s="906"/>
    </row>
    <row r="81" spans="1:51" s="772" customFormat="1" ht="12.75" customHeight="1" x14ac:dyDescent="0.2">
      <c r="A81" s="904" t="str">
        <f>Input!B748</f>
        <v>Capital Structure Excl FAS 115 Other than FCTA</v>
      </c>
      <c r="B81" s="789"/>
      <c r="C81" s="793"/>
      <c r="D81" s="789"/>
      <c r="E81" s="793"/>
      <c r="F81" s="789"/>
      <c r="G81" s="793"/>
      <c r="H81" s="789"/>
      <c r="I81" s="793"/>
      <c r="J81" s="789"/>
      <c r="K81" s="793"/>
      <c r="L81" s="789"/>
      <c r="M81" s="793"/>
      <c r="N81" s="789"/>
      <c r="O81" s="793"/>
      <c r="P81" s="789"/>
      <c r="Q81" s="793"/>
      <c r="R81" s="789"/>
      <c r="S81" s="793"/>
      <c r="T81" s="789"/>
      <c r="U81" s="793"/>
      <c r="V81" s="789"/>
      <c r="W81" s="793"/>
      <c r="X81" s="789"/>
      <c r="Y81" s="793"/>
      <c r="Z81" s="789"/>
      <c r="AA81" s="793"/>
      <c r="AB81" s="789"/>
      <c r="AC81" s="793"/>
      <c r="AD81" s="789"/>
      <c r="AE81" s="793"/>
      <c r="AF81" s="789"/>
      <c r="AG81" s="793"/>
      <c r="AH81" s="791"/>
      <c r="AI81" s="789"/>
      <c r="AJ81" s="793"/>
      <c r="AK81" s="789"/>
      <c r="AL81" s="793"/>
      <c r="AM81" s="789"/>
      <c r="AN81" s="793"/>
      <c r="AO81" s="789"/>
      <c r="AP81" s="793"/>
      <c r="AQ81" s="789"/>
      <c r="AR81" s="793"/>
      <c r="AS81" s="789"/>
      <c r="AT81" s="793"/>
      <c r="AU81" s="789"/>
      <c r="AV81" s="793"/>
      <c r="AW81" s="789"/>
      <c r="AX81" s="793"/>
      <c r="AY81" s="942"/>
    </row>
    <row r="82" spans="1:51" s="772" customFormat="1" ht="12.75" customHeight="1" x14ac:dyDescent="0.2">
      <c r="A82" s="943" t="str">
        <f>Input!B750</f>
        <v>LT Debt to LT Capital (%)</v>
      </c>
      <c r="B82" s="818">
        <f>+Input!DS750</f>
        <v>26.35745893269122</v>
      </c>
      <c r="C82" s="793"/>
      <c r="D82" s="818">
        <f>+Input!DU750</f>
        <v>25.320260774713987</v>
      </c>
      <c r="E82" s="793"/>
      <c r="F82" s="818">
        <f>+Input!DW750</f>
        <v>25.205316756374295</v>
      </c>
      <c r="G82" s="793"/>
      <c r="H82" s="818">
        <f>+Input!DY750</f>
        <v>26.653183257122759</v>
      </c>
      <c r="I82" s="793"/>
      <c r="J82" s="818">
        <f>+Input!EA750</f>
        <v>25.677360982051155</v>
      </c>
      <c r="K82" s="793">
        <f>+Input!EB750</f>
        <v>-2.5802864850394847</v>
      </c>
      <c r="L82" s="818">
        <f>+Input!EC750</f>
        <v>24.488907138502121</v>
      </c>
      <c r="M82" s="793">
        <f>+Input!ED750</f>
        <v>-3.2833533730509346</v>
      </c>
      <c r="N82" s="818">
        <f>+Input!EE750</f>
        <v>24.397691305157327</v>
      </c>
      <c r="O82" s="793">
        <f>+Input!EF750</f>
        <v>-3.2041868746312208</v>
      </c>
      <c r="P82" s="818">
        <f>+Input!EG750</f>
        <v>25.586826894221108</v>
      </c>
      <c r="Q82" s="793">
        <f>+Input!EH750</f>
        <v>-4.0008593068022291</v>
      </c>
      <c r="R82" s="818">
        <f>+Input!EI750</f>
        <v>25.729307338306828</v>
      </c>
      <c r="S82" s="793">
        <f>+Input!EJ750</f>
        <v>0.20230410863477655</v>
      </c>
      <c r="T82" s="818">
        <f>+Input!EK750</f>
        <v>25.885745131857856</v>
      </c>
      <c r="U82" s="793">
        <f>+Input!EL750</f>
        <v>5.7039621468431667</v>
      </c>
      <c r="V82" s="818">
        <f>+Input!EM750</f>
        <v>30.52016004924592</v>
      </c>
      <c r="W82" s="793">
        <f>+Input!EN750</f>
        <v>25.094459420405848</v>
      </c>
      <c r="X82" s="818">
        <f>+Input!EO750</f>
        <v>28.596160855303122</v>
      </c>
      <c r="Y82" s="793">
        <f>+Input!EP750</f>
        <v>11.761262830764242</v>
      </c>
      <c r="Z82" s="818">
        <f>+Input!EQ750</f>
        <v>29.018039537966562</v>
      </c>
      <c r="AA82" s="793">
        <f>+Input!ER750</f>
        <v>12.782047166747223</v>
      </c>
      <c r="AB82" s="818">
        <f>+Input!ES750</f>
        <v>29.0408055453108</v>
      </c>
      <c r="AC82" s="793">
        <f>+Input!ET750</f>
        <v>12.188408706728616</v>
      </c>
      <c r="AD82" s="818">
        <f>+Input!EU750</f>
        <v>29.00986479398227</v>
      </c>
      <c r="AE82" s="793">
        <f>+Input!EV750</f>
        <v>-4.9485168256873768</v>
      </c>
      <c r="AF82" s="818">
        <f>+Input!EW750</f>
        <v>28.983900820057674</v>
      </c>
      <c r="AG82" s="793">
        <f>+Input!EX750</f>
        <v>1.3559161550269705</v>
      </c>
      <c r="AH82" s="819"/>
      <c r="AI82" s="818">
        <f>+Input!GJ750</f>
        <v>26.653183257122759</v>
      </c>
      <c r="AJ82" s="793"/>
      <c r="AK82" s="818">
        <f>+Input!GL750</f>
        <v>25.586826894221108</v>
      </c>
      <c r="AL82" s="793">
        <f>+Input!GM750</f>
        <v>-4.0008593068022291</v>
      </c>
      <c r="AM82" s="818">
        <f>+Input!GN750</f>
        <v>28.596160855303122</v>
      </c>
      <c r="AN82" s="793">
        <f>+Input!GO750</f>
        <v>11.761262830764242</v>
      </c>
      <c r="AO82" s="818">
        <f>+Input!GP750</f>
        <v>28.983900820057674</v>
      </c>
      <c r="AP82" s="793">
        <f>+Input!GQ750</f>
        <v>1.3559161550269705</v>
      </c>
      <c r="AQ82" s="818">
        <f>+Input!GR750</f>
        <v>26.474896347436889</v>
      </c>
      <c r="AR82" s="793">
        <f>+Input!GS750</f>
        <v>-8.6565451910616602</v>
      </c>
      <c r="AS82" s="818">
        <f>+Input!GT750</f>
        <v>23.798232875258527</v>
      </c>
      <c r="AT82" s="793">
        <f>+Input!GU750</f>
        <v>-10.110194340524759</v>
      </c>
      <c r="AU82" s="818">
        <f>+Input!GV750</f>
        <v>20.977326398188001</v>
      </c>
      <c r="AV82" s="793">
        <f>+Input!GW750</f>
        <v>-11.853428327458882</v>
      </c>
      <c r="AW82" s="818">
        <f>+Input!GX750</f>
        <v>18.032343101517377</v>
      </c>
      <c r="AX82" s="793">
        <f>+Input!GY750</f>
        <v>-14.038887705561031</v>
      </c>
      <c r="AY82" s="906">
        <f>+Input!GZ750</f>
        <v>-8.8096492513774045</v>
      </c>
    </row>
    <row r="83" spans="1:51" s="772" customFormat="1" ht="12.75" customHeight="1" x14ac:dyDescent="0.2">
      <c r="A83" s="943" t="str">
        <f>+Input!B751</f>
        <v>LTD + Pref Equity to LT Capital (%)</v>
      </c>
      <c r="B83" s="818">
        <f>+Input!DS751</f>
        <v>26.557910263360267</v>
      </c>
      <c r="C83" s="793"/>
      <c r="D83" s="818">
        <f>+Input!DU751</f>
        <v>25.521929935821007</v>
      </c>
      <c r="E83" s="793"/>
      <c r="F83" s="818">
        <f>+Input!DW751</f>
        <v>25.40621130568822</v>
      </c>
      <c r="G83" s="793"/>
      <c r="H83" s="818">
        <f>+Input!DY751</f>
        <v>26.852921963720416</v>
      </c>
      <c r="I83" s="793"/>
      <c r="J83" s="818">
        <f>+Input!EA751</f>
        <v>25.871766029246345</v>
      </c>
      <c r="K83" s="793">
        <f>+Input!EB751</f>
        <v>-2.5835776509138153</v>
      </c>
      <c r="L83" s="818">
        <f>+Input!EC751</f>
        <v>24.686749536501303</v>
      </c>
      <c r="M83" s="793">
        <f>+Input!ED751</f>
        <v>-3.2724029938954402</v>
      </c>
      <c r="N83" s="818">
        <f>+Input!EE751</f>
        <v>24.595047477192331</v>
      </c>
      <c r="O83" s="793">
        <f>+Input!EF751</f>
        <v>-3.1927776193622304</v>
      </c>
      <c r="P83" s="818">
        <f>+Input!EG751</f>
        <v>25.794287652822902</v>
      </c>
      <c r="Q83" s="793">
        <f>+Input!EH751</f>
        <v>-3.9423430803090187</v>
      </c>
      <c r="R83" s="818">
        <f>+Input!EI751</f>
        <v>25.937774514559926</v>
      </c>
      <c r="S83" s="793">
        <f>+Input!EJ751</f>
        <v>0.25513714540770227</v>
      </c>
      <c r="T83" s="818">
        <f>+Input!EK751</f>
        <v>26.0950851184285</v>
      </c>
      <c r="U83" s="793">
        <f>+Input!EL751</f>
        <v>5.7048238766503445</v>
      </c>
      <c r="V83" s="818">
        <f>+Input!EM751</f>
        <v>30.764850723299475</v>
      </c>
      <c r="W83" s="793">
        <f>+Input!EN751</f>
        <v>25.08555127542882</v>
      </c>
      <c r="X83" s="818">
        <f>+Input!EO751</f>
        <v>28.837626047867815</v>
      </c>
      <c r="Y83" s="793">
        <f>+Input!EP751</f>
        <v>11.798497543357644</v>
      </c>
      <c r="Z83" s="818">
        <f>+Input!EQ751</f>
        <v>29.263067062477276</v>
      </c>
      <c r="AA83" s="793">
        <f>+Input!ER751</f>
        <v>12.820269318212807</v>
      </c>
      <c r="AB83" s="818">
        <f>+Input!ES751</f>
        <v>29.286025305358827</v>
      </c>
      <c r="AC83" s="793">
        <f>+Input!ET751</f>
        <v>12.228127145202784</v>
      </c>
      <c r="AD83" s="818">
        <f>+Input!EU751</f>
        <v>29.254823291180525</v>
      </c>
      <c r="AE83" s="793">
        <f>+Input!EV751</f>
        <v>-4.9082878564898902</v>
      </c>
      <c r="AF83" s="818">
        <f>+Input!EW751</f>
        <v>29.228640078177122</v>
      </c>
      <c r="AG83" s="793">
        <f>+Input!EX751</f>
        <v>1.3559161550269705</v>
      </c>
      <c r="AH83" s="819"/>
      <c r="AI83" s="818">
        <f>+Input!GJ751</f>
        <v>26.852921963720416</v>
      </c>
      <c r="AJ83" s="793"/>
      <c r="AK83" s="818">
        <f>+Input!GL751</f>
        <v>25.794287652822902</v>
      </c>
      <c r="AL83" s="793">
        <f>+Input!GM751</f>
        <v>-3.9423430803090187</v>
      </c>
      <c r="AM83" s="818">
        <f>+Input!GN751</f>
        <v>28.837626047867815</v>
      </c>
      <c r="AN83" s="793">
        <f>+Input!GO751</f>
        <v>11.798497543357644</v>
      </c>
      <c r="AO83" s="818">
        <f>+Input!GP751</f>
        <v>29.228640078177122</v>
      </c>
      <c r="AP83" s="793">
        <f>+Input!GQ751</f>
        <v>1.3559161550269705</v>
      </c>
      <c r="AQ83" s="818">
        <f>+Input!GR751</f>
        <v>26.725015689043691</v>
      </c>
      <c r="AR83" s="793">
        <f>+Input!GS751</f>
        <v>-8.5656547223444175</v>
      </c>
      <c r="AS83" s="818">
        <f>+Input!GT751</f>
        <v>24.053385877764672</v>
      </c>
      <c r="AT83" s="793">
        <f>+Input!GU751</f>
        <v>-9.9967380463476871</v>
      </c>
      <c r="AU83" s="818">
        <f>+Input!GV751</f>
        <v>21.237294823543564</v>
      </c>
      <c r="AV83" s="793">
        <f>+Input!GW751</f>
        <v>-11.707670049164875</v>
      </c>
      <c r="AW83" s="818">
        <f>+Input!GX751</f>
        <v>18.297083872813893</v>
      </c>
      <c r="AX83" s="793">
        <f>+Input!GY751</f>
        <v>-13.844564362642686</v>
      </c>
      <c r="AY83" s="906">
        <f>+Input!GZ751</f>
        <v>-8.6971204728873985</v>
      </c>
    </row>
    <row r="84" spans="1:51" s="772" customFormat="1" ht="12.75" customHeight="1" x14ac:dyDescent="0.2">
      <c r="A84" s="943" t="str">
        <f>Input!B752</f>
        <v>LTD + Pref Equity to Common Equity (%)</v>
      </c>
      <c r="B84" s="792">
        <f>+Input!DS752</f>
        <v>37.475983775706254</v>
      </c>
      <c r="C84" s="793"/>
      <c r="D84" s="792">
        <f>+Input!DU752</f>
        <v>35.517350937268333</v>
      </c>
      <c r="E84" s="793"/>
      <c r="F84" s="792">
        <f>+Input!DW752</f>
        <v>35.294530646633433</v>
      </c>
      <c r="G84" s="793"/>
      <c r="H84" s="792">
        <f>+Input!DY752</f>
        <v>38.061322602471421</v>
      </c>
      <c r="I84" s="793"/>
      <c r="J84" s="792">
        <f>+Input!EA752</f>
        <v>36.13264574297326</v>
      </c>
      <c r="K84" s="793">
        <f>+Input!EB752</f>
        <v>-3.5845304042526838</v>
      </c>
      <c r="L84" s="792">
        <f>+Input!EC752</f>
        <v>33.937154684319459</v>
      </c>
      <c r="M84" s="793">
        <f>+Input!ED752</f>
        <v>-4.4490825223419854</v>
      </c>
      <c r="N84" s="792">
        <f>+Input!EE752</f>
        <v>33.765591984186486</v>
      </c>
      <c r="O84" s="793">
        <f>+Input!EF752</f>
        <v>-4.3319421860417489</v>
      </c>
      <c r="P84" s="792">
        <f>+Input!EG752</f>
        <v>36.070868153121921</v>
      </c>
      <c r="Q84" s="793">
        <f>+Input!EH752</f>
        <v>-5.2295987455261317</v>
      </c>
      <c r="R84" s="792">
        <f>+Input!EI752</f>
        <v>36.35110800779097</v>
      </c>
      <c r="S84" s="793">
        <f>+Input!EJ752</f>
        <v>0.60461186919917864</v>
      </c>
      <c r="T84" s="792">
        <f>+Input!EK752</f>
        <v>36.658220356224689</v>
      </c>
      <c r="U84" s="793">
        <f>+Input!EL752</f>
        <v>8.0179546494582468</v>
      </c>
      <c r="V84" s="792">
        <f>+Input!EM752</f>
        <v>46.574097803042655</v>
      </c>
      <c r="W84" s="793">
        <f>+Input!EN752</f>
        <v>37.933603607053023</v>
      </c>
      <c r="X84" s="792">
        <f>+Input!EO752</f>
        <v>42.392784586877411</v>
      </c>
      <c r="Y84" s="793">
        <f>+Input!EP752</f>
        <v>17.526377260782212</v>
      </c>
      <c r="Z84" s="792">
        <f>+Input!EQ752</f>
        <v>43.318604263575473</v>
      </c>
      <c r="AA84" s="793">
        <f>+Input!ER752</f>
        <v>19.167218381049601</v>
      </c>
      <c r="AB84" s="792">
        <f>+Input!ES752</f>
        <v>43.368932482056707</v>
      </c>
      <c r="AC84" s="793">
        <f>+Input!ET752</f>
        <v>18.306159056879913</v>
      </c>
      <c r="AD84" s="792">
        <f>+Input!EU752</f>
        <v>43.300541824345672</v>
      </c>
      <c r="AE84" s="793">
        <f>+Input!EV752</f>
        <v>-7.0287050809669687</v>
      </c>
      <c r="AF84" s="792">
        <f>+Input!EW752</f>
        <v>43.243205735705516</v>
      </c>
      <c r="AG84" s="793">
        <f>+Input!EX752</f>
        <v>2.0060516361818603</v>
      </c>
      <c r="AH84" s="819"/>
      <c r="AI84" s="792">
        <f>+Input!GJ752</f>
        <v>38.061322602471421</v>
      </c>
      <c r="AJ84" s="793"/>
      <c r="AK84" s="792">
        <f>+Input!GL752</f>
        <v>36.070868153121921</v>
      </c>
      <c r="AL84" s="793">
        <f>+Input!GM752</f>
        <v>-5.2295987455261317</v>
      </c>
      <c r="AM84" s="792">
        <f>+Input!GN752</f>
        <v>42.392784586877411</v>
      </c>
      <c r="AN84" s="793">
        <f>+Input!GO752</f>
        <v>17.526377260782212</v>
      </c>
      <c r="AO84" s="792">
        <f>+Input!GP752</f>
        <v>43.243205735705516</v>
      </c>
      <c r="AP84" s="793">
        <f>+Input!GQ752</f>
        <v>2.0060516361818603</v>
      </c>
      <c r="AQ84" s="818">
        <f>+Input!GR752</f>
        <v>38.164960255781374</v>
      </c>
      <c r="AR84" s="793">
        <f>+Input!GS752</f>
        <v>-11.743452858147108</v>
      </c>
      <c r="AS84" s="818">
        <f>+Input!GT752</f>
        <v>33.117139742156873</v>
      </c>
      <c r="AT84" s="793">
        <f>+Input!GU752</f>
        <v>-13.226321945035535</v>
      </c>
      <c r="AU84" s="818">
        <f>+Input!GV752</f>
        <v>28.171871148009643</v>
      </c>
      <c r="AV84" s="793">
        <f>+Input!GW752</f>
        <v>-14.932656119006825</v>
      </c>
      <c r="AW84" s="818">
        <f>+Input!GX752</f>
        <v>23.378985339910646</v>
      </c>
      <c r="AX84" s="793">
        <f>+Input!GY752</f>
        <v>-17.013019060459587</v>
      </c>
      <c r="AY84" s="906">
        <f>+Input!GZ752</f>
        <v>-11.221716696350637</v>
      </c>
    </row>
    <row r="85" spans="1:51" s="772" customFormat="1" ht="12.75" customHeight="1" x14ac:dyDescent="0.2">
      <c r="A85" s="943" t="str">
        <f>Input!B753</f>
        <v>Equity to Assets (Excl SAA)(%)</v>
      </c>
      <c r="B85" s="792">
        <f>+Input!DS753</f>
        <v>9.6992326818519849</v>
      </c>
      <c r="C85" s="793"/>
      <c r="D85" s="792">
        <f>+Input!DU753</f>
        <v>9.9694690070828393</v>
      </c>
      <c r="E85" s="793"/>
      <c r="F85" s="792">
        <f>+Input!DW753</f>
        <v>9.9645646843178621</v>
      </c>
      <c r="G85" s="793"/>
      <c r="H85" s="792">
        <f>+Input!DY753</f>
        <v>9.9118623966227446</v>
      </c>
      <c r="I85" s="793"/>
      <c r="J85" s="792">
        <f>+Input!EA753</f>
        <v>8.2521207338725588</v>
      </c>
      <c r="K85" s="793">
        <f>+Input!EB753</f>
        <v>-14.91986011106925</v>
      </c>
      <c r="L85" s="792">
        <f>+Input!EC753</f>
        <v>8.0335904423071369</v>
      </c>
      <c r="M85" s="793">
        <f>+Input!ED753</f>
        <v>-19.418070946410005</v>
      </c>
      <c r="N85" s="792">
        <f>+Input!EE753</f>
        <v>7.9848803778272748</v>
      </c>
      <c r="O85" s="793">
        <f>+Input!EF753</f>
        <v>-19.867243268601541</v>
      </c>
      <c r="P85" s="792">
        <f>+Input!EG753</f>
        <v>7.9139152697295563</v>
      </c>
      <c r="Q85" s="793">
        <f>+Input!EH753</f>
        <v>-20.157131394135842</v>
      </c>
      <c r="R85" s="792">
        <f>+Input!EI753</f>
        <v>7.7602371619280381</v>
      </c>
      <c r="S85" s="793">
        <f>+Input!EJ753</f>
        <v>-5.9606928668103691</v>
      </c>
      <c r="T85" s="792">
        <f>+Input!EK753</f>
        <v>7.6452746413648285</v>
      </c>
      <c r="U85" s="793">
        <f>+Input!EL753</f>
        <v>-4.8336519484155964</v>
      </c>
      <c r="V85" s="792">
        <f>+Input!EM753</f>
        <v>8.4886611516638943</v>
      </c>
      <c r="W85" s="793">
        <f>+Input!EN753</f>
        <v>6.3091837322389654</v>
      </c>
      <c r="X85" s="792">
        <f>+Input!EO753</f>
        <v>8.9038590744105228</v>
      </c>
      <c r="Y85" s="793">
        <f>+Input!EP753</f>
        <v>12.508900726641169</v>
      </c>
      <c r="Z85" s="792">
        <f>+Input!EQ753</f>
        <v>8.6511052614125088</v>
      </c>
      <c r="AA85" s="793">
        <f>+Input!ER753</f>
        <v>11.479908163826448</v>
      </c>
      <c r="AB85" s="792">
        <f>+Input!ES753</f>
        <v>8.5791207019897175</v>
      </c>
      <c r="AC85" s="793">
        <f>+Input!ET753</f>
        <v>12.2146829830325</v>
      </c>
      <c r="AD85" s="792">
        <f>+Input!EU753</f>
        <v>8.5310652966789018</v>
      </c>
      <c r="AE85" s="793">
        <f>+Input!EV753</f>
        <v>0.49953866996677032</v>
      </c>
      <c r="AF85" s="792">
        <f>+Input!EW753</f>
        <v>8.4811242802048383</v>
      </c>
      <c r="AG85" s="793">
        <f>+Input!EX753</f>
        <v>-4.7477704967345495</v>
      </c>
      <c r="AH85" s="819"/>
      <c r="AI85" s="792">
        <f>+Input!GJ753</f>
        <v>9.9118623966227446</v>
      </c>
      <c r="AJ85" s="793"/>
      <c r="AK85" s="792">
        <f>+Input!GL753</f>
        <v>7.9139152697295563</v>
      </c>
      <c r="AL85" s="793">
        <f>+Input!GM753</f>
        <v>-20.157131394135842</v>
      </c>
      <c r="AM85" s="792">
        <f>+Input!GN753</f>
        <v>8.9038590744105228</v>
      </c>
      <c r="AN85" s="793">
        <f>+Input!GO753</f>
        <v>12.508900726641169</v>
      </c>
      <c r="AO85" s="792">
        <f>+Input!GP753</f>
        <v>8.4811242802048383</v>
      </c>
      <c r="AP85" s="793">
        <f>+Input!GQ753</f>
        <v>-4.7477704967345495</v>
      </c>
      <c r="AQ85" s="818">
        <f>+Input!GR753</f>
        <v>8.3618287996302136</v>
      </c>
      <c r="AR85" s="793">
        <f>+Input!GS753</f>
        <v>-1.4065998402247648</v>
      </c>
      <c r="AS85" s="818">
        <f>+Input!GT753</f>
        <v>8.2683877595873501</v>
      </c>
      <c r="AT85" s="793">
        <f>+Input!GU753</f>
        <v>-1.1174713364975331</v>
      </c>
      <c r="AU85" s="818">
        <f>+Input!GV753</f>
        <v>8.1909992405228138</v>
      </c>
      <c r="AV85" s="793">
        <f>+Input!GW753</f>
        <v>-0.93595657720336733</v>
      </c>
      <c r="AW85" s="818">
        <f>+Input!GX753</f>
        <v>8.1200339388462499</v>
      </c>
      <c r="AX85" s="793">
        <f>+Input!GY753</f>
        <v>-0.86638149501323536</v>
      </c>
      <c r="AY85" s="906">
        <f>+Input!GZ753</f>
        <v>-1.8261295004048161</v>
      </c>
    </row>
    <row r="86" spans="1:51" s="772" customFormat="1" ht="12.75" customHeight="1" x14ac:dyDescent="0.2">
      <c r="A86" s="943" t="str">
        <f>Input!B754</f>
        <v>Equity to Total Assets (%)</v>
      </c>
      <c r="B86" s="792">
        <f>+Input!DS754</f>
        <v>6.1113949923352067</v>
      </c>
      <c r="C86" s="793"/>
      <c r="D86" s="792">
        <f>+Input!DU754</f>
        <v>6.3060365601858388</v>
      </c>
      <c r="E86" s="793"/>
      <c r="F86" s="792">
        <f>+Input!DW754</f>
        <v>6.4560433334088803</v>
      </c>
      <c r="G86" s="793"/>
      <c r="H86" s="792">
        <f>+Input!DY754</f>
        <v>6.3970713027076105</v>
      </c>
      <c r="I86" s="793"/>
      <c r="J86" s="792">
        <f>+Input!EA754</f>
        <v>6.3832802138151443</v>
      </c>
      <c r="K86" s="793">
        <f>+Input!EB754</f>
        <v>4.4488242344167039</v>
      </c>
      <c r="L86" s="792">
        <f>+Input!EC754</f>
        <v>6.202317713223569</v>
      </c>
      <c r="M86" s="793">
        <f>+Input!ED754</f>
        <v>-1.6447549260515726</v>
      </c>
      <c r="N86" s="792">
        <f>+Input!EE754</f>
        <v>6.158437785967946</v>
      </c>
      <c r="O86" s="793">
        <f>+Input!EF754</f>
        <v>-4.6097204134439185</v>
      </c>
      <c r="P86" s="792">
        <f>+Input!EG754</f>
        <v>6.0979300461522712</v>
      </c>
      <c r="Q86" s="793">
        <f>+Input!EH754</f>
        <v>-4.6762220147323568</v>
      </c>
      <c r="R86" s="792">
        <f>+Input!EI754</f>
        <v>5.949794847855058</v>
      </c>
      <c r="S86" s="793">
        <f>+Input!EJ754</f>
        <v>-6.7909499730547163</v>
      </c>
      <c r="T86" s="792">
        <f>+Input!EK754</f>
        <v>5.8438238692432654</v>
      </c>
      <c r="U86" s="793">
        <f>+Input!EL754</f>
        <v>-5.7799980677542777</v>
      </c>
      <c r="V86" s="792">
        <f>+Input!EM754</f>
        <v>5.9572666773072038</v>
      </c>
      <c r="W86" s="793">
        <f>+Input!EN754</f>
        <v>-3.2665931791843739</v>
      </c>
      <c r="X86" s="792">
        <f>+Input!EO754</f>
        <v>6.2221833274991249</v>
      </c>
      <c r="Y86" s="793">
        <f>+Input!EP754</f>
        <v>2.0376304812689039</v>
      </c>
      <c r="Z86" s="792">
        <f>+Input!EQ754</f>
        <v>6.0750502474491004</v>
      </c>
      <c r="AA86" s="793">
        <f>+Input!ER754</f>
        <v>2.1052053524029946</v>
      </c>
      <c r="AB86" s="792">
        <f>+Input!ES754</f>
        <v>6.0956240572740743</v>
      </c>
      <c r="AC86" s="793">
        <f>+Input!ET754</f>
        <v>4.308825756300827</v>
      </c>
      <c r="AD86" s="792">
        <f>+Input!EU754</f>
        <v>6.1126243416598012</v>
      </c>
      <c r="AE86" s="793">
        <f>+Input!EV754</f>
        <v>2.6078682182282709</v>
      </c>
      <c r="AF86" s="792">
        <f>+Input!EW754</f>
        <v>6.1259138373857054</v>
      </c>
      <c r="AG86" s="793">
        <f>+Input!EX754</f>
        <v>-1.5471979054032969</v>
      </c>
      <c r="AH86" s="819"/>
      <c r="AI86" s="792">
        <f>+Input!GJ754</f>
        <v>6.3970713027076105</v>
      </c>
      <c r="AJ86" s="793"/>
      <c r="AK86" s="792">
        <f>+Input!GL754</f>
        <v>6.0979300461522712</v>
      </c>
      <c r="AL86" s="793">
        <f>+Input!GM754</f>
        <v>-4.6762220147323568</v>
      </c>
      <c r="AM86" s="792">
        <f>+Input!GN754</f>
        <v>6.2221833274991249</v>
      </c>
      <c r="AN86" s="793">
        <f>+Input!GO754</f>
        <v>2.0376304812689039</v>
      </c>
      <c r="AO86" s="792">
        <f>+Input!GP754</f>
        <v>6.1259138373857054</v>
      </c>
      <c r="AP86" s="793">
        <f>+Input!GQ754</f>
        <v>-1.5471979054032969</v>
      </c>
      <c r="AQ86" s="818">
        <f>+Input!GR754</f>
        <v>6.2409088264736443</v>
      </c>
      <c r="AR86" s="793">
        <f>+Input!GS754</f>
        <v>1.8771891368458027</v>
      </c>
      <c r="AS86" s="818">
        <f>+Input!GT754</f>
        <v>6.3577490061843207</v>
      </c>
      <c r="AT86" s="793">
        <f>+Input!GU754</f>
        <v>1.8721661052801375</v>
      </c>
      <c r="AU86" s="818">
        <f>+Input!GV754</f>
        <v>6.4608311716043172</v>
      </c>
      <c r="AV86" s="793">
        <f>+Input!GW754</f>
        <v>1.6213626130840764</v>
      </c>
      <c r="AW86" s="818">
        <f>+Input!GX754</f>
        <v>6.5450270684715592</v>
      </c>
      <c r="AX86" s="793">
        <f>+Input!GY754</f>
        <v>1.303174384702821</v>
      </c>
      <c r="AY86" s="906">
        <f>+Input!GZ754</f>
        <v>1.0168283733514194</v>
      </c>
    </row>
    <row r="87" spans="1:51" s="772" customFormat="1" ht="12.75" customHeight="1" x14ac:dyDescent="0.2">
      <c r="A87" s="943" t="str">
        <f>Input!B756</f>
        <v>Book Value per Share</v>
      </c>
      <c r="B87" s="820">
        <f>+Input!DS756</f>
        <v>50.446019922821513</v>
      </c>
      <c r="C87" s="793"/>
      <c r="D87" s="820">
        <f>+Input!DU756</f>
        <v>50.72886819484242</v>
      </c>
      <c r="E87" s="793"/>
      <c r="F87" s="820">
        <f>+Input!DW756</f>
        <v>51.105130965195563</v>
      </c>
      <c r="G87" s="793"/>
      <c r="H87" s="820">
        <f>+Input!DY756</f>
        <v>51.149362477231342</v>
      </c>
      <c r="I87" s="793"/>
      <c r="J87" s="820">
        <f>+Input!EA756</f>
        <v>53.310878470641796</v>
      </c>
      <c r="K87" s="793">
        <f>+Input!EB756</f>
        <v>5.6790576386468006</v>
      </c>
      <c r="L87" s="820">
        <f>+Input!EC756</f>
        <v>53.204404805242099</v>
      </c>
      <c r="M87" s="793">
        <f>+Input!ED756</f>
        <v>4.8799366090556129</v>
      </c>
      <c r="N87" s="820">
        <f>+Input!EE756</f>
        <v>53.397634212920849</v>
      </c>
      <c r="O87" s="793">
        <f>+Input!EF756</f>
        <v>4.4858572993122126</v>
      </c>
      <c r="P87" s="820">
        <f>+Input!EG756</f>
        <v>50.028297581013248</v>
      </c>
      <c r="Q87" s="793">
        <f>+Input!EH756</f>
        <v>-2.1917475446876278</v>
      </c>
      <c r="R87" s="820">
        <f>+Input!EI756</f>
        <v>50.33015814297606</v>
      </c>
      <c r="S87" s="793">
        <f>+Input!EJ756</f>
        <v>-5.5912046718705088</v>
      </c>
      <c r="T87" s="820">
        <f>+Input!EK756</f>
        <v>50.838740009402926</v>
      </c>
      <c r="U87" s="793">
        <f>+Input!EL756</f>
        <v>-4.4463701915261167</v>
      </c>
      <c r="V87" s="820">
        <f>+Input!EM756</f>
        <v>40.71232097126056</v>
      </c>
      <c r="W87" s="793">
        <f>+Input!EN756</f>
        <v>-23.756320722146839</v>
      </c>
      <c r="X87" s="820">
        <f>+Input!EO756</f>
        <v>42.921617477960915</v>
      </c>
      <c r="Y87" s="793">
        <f>+Input!EP756</f>
        <v>-14.205320681848388</v>
      </c>
      <c r="Z87" s="820">
        <f>+Input!EQ756</f>
        <v>42.722683874822778</v>
      </c>
      <c r="AA87" s="793">
        <f>+Input!ER756</f>
        <v>-15.115140799959836</v>
      </c>
      <c r="AB87" s="820">
        <f>+Input!ES756</f>
        <v>43.406369406094036</v>
      </c>
      <c r="AC87" s="793">
        <f>+Input!ET756</f>
        <v>-14.619501982020456</v>
      </c>
      <c r="AD87" s="820">
        <f>+Input!EU756</f>
        <v>44.135845830282371</v>
      </c>
      <c r="AE87" s="793">
        <f>+Input!EV756</f>
        <v>8.4090633433513418</v>
      </c>
      <c r="AF87" s="820">
        <f>+Input!EW756</f>
        <v>44.868309606572204</v>
      </c>
      <c r="AG87" s="793">
        <f>+Input!EX756</f>
        <v>4.5354584542645959</v>
      </c>
      <c r="AH87" s="830"/>
      <c r="AI87" s="820">
        <f>+Input!GJ756</f>
        <v>51.149362477231342</v>
      </c>
      <c r="AJ87" s="793"/>
      <c r="AK87" s="820">
        <f>+Input!GL756</f>
        <v>50.028297581013248</v>
      </c>
      <c r="AL87" s="793">
        <f>+Input!GM756</f>
        <v>-2.1917475446876278</v>
      </c>
      <c r="AM87" s="820">
        <f>+Input!GN756</f>
        <v>42.921617477960915</v>
      </c>
      <c r="AN87" s="793">
        <f>+Input!GO756</f>
        <v>-14.205320681848388</v>
      </c>
      <c r="AO87" s="820">
        <f>+Input!GP756</f>
        <v>44.868309606572204</v>
      </c>
      <c r="AP87" s="793">
        <f>+Input!GQ756</f>
        <v>4.5354584542645959</v>
      </c>
      <c r="AQ87" s="820">
        <f>+Input!GR756</f>
        <v>48.149055111547476</v>
      </c>
      <c r="AR87" s="793">
        <f>+Input!GS756</f>
        <v>7.3119436273451965</v>
      </c>
      <c r="AS87" s="820">
        <f>+Input!GT756</f>
        <v>51.864020459885424</v>
      </c>
      <c r="AT87" s="793">
        <f>+Input!GU756</f>
        <v>7.7155519246046467</v>
      </c>
      <c r="AU87" s="820">
        <f>+Input!GV756</f>
        <v>56.023311405389691</v>
      </c>
      <c r="AV87" s="793">
        <f>+Input!GW756</f>
        <v>8.0196076367070379</v>
      </c>
      <c r="AW87" s="820">
        <f>+Input!GX756</f>
        <v>60.631250426492407</v>
      </c>
      <c r="AX87" s="793">
        <f>+Input!GY756</f>
        <v>8.2250386589240563</v>
      </c>
      <c r="AY87" s="906">
        <f>+Input!GZ756</f>
        <v>7.15293940423265</v>
      </c>
    </row>
    <row r="88" spans="1:51" s="772" customFormat="1" ht="4.5" customHeight="1" x14ac:dyDescent="0.2">
      <c r="A88" s="907"/>
      <c r="B88" s="831"/>
      <c r="C88" s="793"/>
      <c r="D88" s="831"/>
      <c r="E88" s="793"/>
      <c r="F88" s="831"/>
      <c r="G88" s="793"/>
      <c r="H88" s="831"/>
      <c r="I88" s="793"/>
      <c r="J88" s="831"/>
      <c r="K88" s="793"/>
      <c r="L88" s="831"/>
      <c r="M88" s="793"/>
      <c r="N88" s="831"/>
      <c r="O88" s="793"/>
      <c r="P88" s="831"/>
      <c r="Q88" s="793"/>
      <c r="R88" s="831"/>
      <c r="S88" s="793"/>
      <c r="T88" s="831"/>
      <c r="U88" s="793"/>
      <c r="V88" s="831"/>
      <c r="W88" s="793"/>
      <c r="X88" s="831"/>
      <c r="Y88" s="793"/>
      <c r="Z88" s="831"/>
      <c r="AA88" s="793"/>
      <c r="AB88" s="831"/>
      <c r="AC88" s="793"/>
      <c r="AD88" s="831"/>
      <c r="AE88" s="793"/>
      <c r="AF88" s="831"/>
      <c r="AG88" s="793"/>
      <c r="AH88" s="791"/>
      <c r="AI88" s="831"/>
      <c r="AJ88" s="793"/>
      <c r="AK88" s="831"/>
      <c r="AL88" s="793"/>
      <c r="AM88" s="831"/>
      <c r="AN88" s="793"/>
      <c r="AO88" s="831"/>
      <c r="AP88" s="793"/>
      <c r="AQ88" s="831"/>
      <c r="AR88" s="793"/>
      <c r="AS88" s="831"/>
      <c r="AT88" s="793"/>
      <c r="AU88" s="831"/>
      <c r="AV88" s="793"/>
      <c r="AW88" s="831"/>
      <c r="AX88" s="793"/>
      <c r="AY88" s="942"/>
    </row>
    <row r="89" spans="1:51" s="772" customFormat="1" ht="12.75" customHeight="1" x14ac:dyDescent="0.2">
      <c r="A89" s="904" t="str">
        <f>Input!B759</f>
        <v>Capital Structure Incl FAS 115</v>
      </c>
      <c r="B89" s="789"/>
      <c r="C89" s="793"/>
      <c r="D89" s="789"/>
      <c r="E89" s="793"/>
      <c r="F89" s="789"/>
      <c r="G89" s="793"/>
      <c r="H89" s="789"/>
      <c r="I89" s="793"/>
      <c r="J89" s="789"/>
      <c r="K89" s="793"/>
      <c r="L89" s="789"/>
      <c r="M89" s="793"/>
      <c r="N89" s="789"/>
      <c r="O89" s="793"/>
      <c r="P89" s="789"/>
      <c r="Q89" s="793"/>
      <c r="R89" s="789"/>
      <c r="S89" s="793"/>
      <c r="T89" s="789"/>
      <c r="U89" s="793"/>
      <c r="V89" s="789"/>
      <c r="W89" s="793"/>
      <c r="X89" s="789"/>
      <c r="Y89" s="793"/>
      <c r="Z89" s="789"/>
      <c r="AA89" s="793"/>
      <c r="AB89" s="789"/>
      <c r="AC89" s="793"/>
      <c r="AD89" s="789"/>
      <c r="AE89" s="793"/>
      <c r="AF89" s="789"/>
      <c r="AG89" s="793"/>
      <c r="AH89" s="791"/>
      <c r="AI89" s="789"/>
      <c r="AJ89" s="793"/>
      <c r="AK89" s="804"/>
      <c r="AL89" s="793"/>
      <c r="AM89" s="789"/>
      <c r="AN89" s="793"/>
      <c r="AO89" s="804"/>
      <c r="AP89" s="793"/>
      <c r="AQ89" s="789"/>
      <c r="AR89" s="793"/>
      <c r="AS89" s="789"/>
      <c r="AT89" s="793"/>
      <c r="AU89" s="789"/>
      <c r="AV89" s="793"/>
      <c r="AW89" s="789"/>
      <c r="AX89" s="793"/>
      <c r="AY89" s="942"/>
    </row>
    <row r="90" spans="1:51" s="772" customFormat="1" ht="12.75" customHeight="1" x14ac:dyDescent="0.2">
      <c r="A90" s="943" t="str">
        <f>Input!B761</f>
        <v>LT Debt to LT Capital (%)</v>
      </c>
      <c r="B90" s="818">
        <f>+Input!DS761</f>
        <v>21.580528287864244</v>
      </c>
      <c r="C90" s="793"/>
      <c r="D90" s="818">
        <f>+Input!DU761</f>
        <v>21.801998580243541</v>
      </c>
      <c r="E90" s="793"/>
      <c r="F90" s="818">
        <f>+Input!DW761</f>
        <v>21.525297538763663</v>
      </c>
      <c r="G90" s="793"/>
      <c r="H90" s="818">
        <f>+Input!DY761</f>
        <v>23.215633924565875</v>
      </c>
      <c r="I90" s="793"/>
      <c r="J90" s="818">
        <f>+Input!EA761</f>
        <v>21.212917041242008</v>
      </c>
      <c r="K90" s="793">
        <f>+Input!EB761</f>
        <v>-1.7034395160240856</v>
      </c>
      <c r="L90" s="818">
        <f>+Input!EC761</f>
        <v>19.469753178018497</v>
      </c>
      <c r="M90" s="793">
        <f>+Input!ED761</f>
        <v>-10.697392689211849</v>
      </c>
      <c r="N90" s="818">
        <f>+Input!EE761</f>
        <v>19.623229207223936</v>
      </c>
      <c r="O90" s="793">
        <f>+Input!EF761</f>
        <v>-8.836432240318171</v>
      </c>
      <c r="P90" s="818">
        <f>+Input!EG761</f>
        <v>21.943468433184879</v>
      </c>
      <c r="Q90" s="793">
        <f>+Input!EH761</f>
        <v>-5.4797792535608458</v>
      </c>
      <c r="R90" s="818">
        <f>+Input!EI761</f>
        <v>21.907898409154338</v>
      </c>
      <c r="S90" s="793">
        <f>+Input!EJ761</f>
        <v>3.2762178184224</v>
      </c>
      <c r="T90" s="818">
        <f>+Input!EK761</f>
        <v>21.573726600390632</v>
      </c>
      <c r="U90" s="793">
        <f>+Input!EL761</f>
        <v>10.806369259716853</v>
      </c>
      <c r="V90" s="818">
        <f>+Input!EM761</f>
        <v>25.260154628013908</v>
      </c>
      <c r="W90" s="793">
        <f>+Input!EN761</f>
        <v>28.725778827038507</v>
      </c>
      <c r="X90" s="818">
        <f>+Input!EO761</f>
        <v>23.616911866149927</v>
      </c>
      <c r="Y90" s="793">
        <f>+Input!EP761</f>
        <v>7.6261573600384658</v>
      </c>
      <c r="Z90" s="818">
        <f>+Input!EQ761</f>
        <v>23.903926563563839</v>
      </c>
      <c r="AA90" s="793">
        <f>+Input!ER761</f>
        <v>9.1109978562592175</v>
      </c>
      <c r="AB90" s="818">
        <f>+Input!ES761</f>
        <v>23.919373031329425</v>
      </c>
      <c r="AC90" s="793">
        <f>+Input!ET761</f>
        <v>10.872699345769599</v>
      </c>
      <c r="AD90" s="818">
        <f>+Input!EU761</f>
        <v>23.898379053756354</v>
      </c>
      <c r="AE90" s="793">
        <f>+Input!EV761</f>
        <v>-5.3910025267514534</v>
      </c>
      <c r="AF90" s="818">
        <f>+Input!EW761</f>
        <v>23.880755838810352</v>
      </c>
      <c r="AG90" s="793">
        <f>+Input!EX761</f>
        <v>1.1171823570997441</v>
      </c>
      <c r="AH90" s="819"/>
      <c r="AI90" s="818">
        <f>+Input!GJ761</f>
        <v>23.215633924565875</v>
      </c>
      <c r="AJ90" s="793"/>
      <c r="AK90" s="818">
        <f>+Input!GL761</f>
        <v>21.943468433184879</v>
      </c>
      <c r="AL90" s="793">
        <f>+Input!GM761</f>
        <v>-5.4797792535608458</v>
      </c>
      <c r="AM90" s="818">
        <f>+Input!GN761</f>
        <v>23.616911866149927</v>
      </c>
      <c r="AN90" s="793">
        <f>+Input!GO761</f>
        <v>7.6261573600384658</v>
      </c>
      <c r="AO90" s="818">
        <f>+Input!GP761</f>
        <v>23.880755838810352</v>
      </c>
      <c r="AP90" s="793">
        <f>+Input!GQ761</f>
        <v>1.1171823570997441</v>
      </c>
      <c r="AQ90" s="818">
        <f>+Input!GR761</f>
        <v>21.729403880778076</v>
      </c>
      <c r="AR90" s="793">
        <f>+Input!GS761</f>
        <v>-9.0087264094713344</v>
      </c>
      <c r="AS90" s="818">
        <f>+Input!GT761</f>
        <v>19.462312288058961</v>
      </c>
      <c r="AT90" s="793">
        <f>+Input!GU761</f>
        <v>-10.433289404338398</v>
      </c>
      <c r="AU90" s="818">
        <f>+Input!GV761</f>
        <v>17.096574299806434</v>
      </c>
      <c r="AV90" s="793">
        <f>+Input!GW761</f>
        <v>-12.155482623223646</v>
      </c>
      <c r="AW90" s="818">
        <f>+Input!GX761</f>
        <v>14.646664284118616</v>
      </c>
      <c r="AX90" s="793">
        <f>+Input!GY761</f>
        <v>-14.329829898821057</v>
      </c>
      <c r="AY90" s="942">
        <f>+Input!GZ761</f>
        <v>-9.1127163885450173</v>
      </c>
    </row>
    <row r="91" spans="1:51" s="772" customFormat="1" ht="12.75" customHeight="1" x14ac:dyDescent="0.2">
      <c r="A91" s="943" t="str">
        <f>+Input!B762</f>
        <v>LTD + Pref Equity to LT Capital (%)</v>
      </c>
      <c r="B91" s="818">
        <f>+Input!DS762</f>
        <v>21.744650543461429</v>
      </c>
      <c r="C91" s="793"/>
      <c r="D91" s="818">
        <f>+Input!DU762</f>
        <v>21.975645716157921</v>
      </c>
      <c r="E91" s="793"/>
      <c r="F91" s="818">
        <f>+Input!DW762</f>
        <v>21.696861141383515</v>
      </c>
      <c r="G91" s="793"/>
      <c r="H91" s="818">
        <f>+Input!DY762</f>
        <v>23.389611668545044</v>
      </c>
      <c r="I91" s="793"/>
      <c r="J91" s="818">
        <f>+Input!EA762</f>
        <v>21.373521479581015</v>
      </c>
      <c r="K91" s="793">
        <f>+Input!EB762</f>
        <v>-1.7067603047408397</v>
      </c>
      <c r="L91" s="818">
        <f>+Input!EC762</f>
        <v>19.627046544986893</v>
      </c>
      <c r="M91" s="793">
        <f>+Input!ED762</f>
        <v>-10.687281736819166</v>
      </c>
      <c r="N91" s="818">
        <f>+Input!EE762</f>
        <v>19.781964119919735</v>
      </c>
      <c r="O91" s="793">
        <f>+Input!EF762</f>
        <v>-8.8256868538988833</v>
      </c>
      <c r="P91" s="818">
        <f>+Input!EG762</f>
        <v>22.121388447508</v>
      </c>
      <c r="Q91" s="793">
        <f>+Input!EH762</f>
        <v>-5.4221645019552955</v>
      </c>
      <c r="R91" s="818">
        <f>+Input!EI762</f>
        <v>22.085403293329612</v>
      </c>
      <c r="S91" s="793">
        <f>+Input!EJ762</f>
        <v>3.3306716182856855</v>
      </c>
      <c r="T91" s="818">
        <f>+Input!EK762</f>
        <v>21.748194965654967</v>
      </c>
      <c r="U91" s="793">
        <f>+Input!EL762</f>
        <v>10.807272585848393</v>
      </c>
      <c r="V91" s="818">
        <f>+Input!EM762</f>
        <v>25.462674020200993</v>
      </c>
      <c r="W91" s="793">
        <f>+Input!EN762</f>
        <v>28.716612090914605</v>
      </c>
      <c r="X91" s="818">
        <f>+Input!EO762</f>
        <v>23.816332417754701</v>
      </c>
      <c r="Y91" s="793">
        <f>+Input!EP762</f>
        <v>7.662014408673512</v>
      </c>
      <c r="Z91" s="818">
        <f>+Input!EQ762</f>
        <v>24.105770659347517</v>
      </c>
      <c r="AA91" s="793">
        <f>+Input!ER762</f>
        <v>9.1479758788380892</v>
      </c>
      <c r="AB91" s="818">
        <f>+Input!ES762</f>
        <v>24.121347556660353</v>
      </c>
      <c r="AC91" s="793">
        <f>+Input!ET762</f>
        <v>10.91195197924748</v>
      </c>
      <c r="AD91" s="818">
        <f>+Input!EU762</f>
        <v>24.100176306520417</v>
      </c>
      <c r="AE91" s="793">
        <f>+Input!EV762</f>
        <v>-5.3509608323133229</v>
      </c>
      <c r="AF91" s="818">
        <f>+Input!EW762</f>
        <v>24.082404281634084</v>
      </c>
      <c r="AG91" s="793">
        <f>+Input!EX762</f>
        <v>1.1171823570997441</v>
      </c>
      <c r="AH91" s="819"/>
      <c r="AI91" s="818">
        <f>+Input!GJ762</f>
        <v>23.389611668545044</v>
      </c>
      <c r="AJ91" s="793"/>
      <c r="AK91" s="818">
        <f>+Input!GL762</f>
        <v>22.121388447508</v>
      </c>
      <c r="AL91" s="793">
        <f>+Input!GM762</f>
        <v>-5.4221645019552955</v>
      </c>
      <c r="AM91" s="818">
        <f>+Input!GN762</f>
        <v>23.816332417754701</v>
      </c>
      <c r="AN91" s="793">
        <f>+Input!GO762</f>
        <v>7.662014408673512</v>
      </c>
      <c r="AO91" s="818">
        <f>+Input!GP762</f>
        <v>24.082404281634084</v>
      </c>
      <c r="AP91" s="793">
        <f>+Input!GQ762</f>
        <v>1.1171823570997441</v>
      </c>
      <c r="AQ91" s="818">
        <f>+Input!GR762</f>
        <v>21.934690584108065</v>
      </c>
      <c r="AR91" s="793">
        <f>+Input!GS762</f>
        <v>-8.9181863754522421</v>
      </c>
      <c r="AS91" s="818">
        <f>+Input!GT762</f>
        <v>19.670977672671324</v>
      </c>
      <c r="AT91" s="793">
        <f>+Input!GU762</f>
        <v>-10.320240911338985</v>
      </c>
      <c r="AU91" s="818">
        <f>+Input!GV762</f>
        <v>17.308449226826635</v>
      </c>
      <c r="AV91" s="793">
        <f>+Input!GW762</f>
        <v>-12.010223818854326</v>
      </c>
      <c r="AW91" s="818">
        <f>+Input!GX762</f>
        <v>14.861698413497642</v>
      </c>
      <c r="AX91" s="793">
        <f>+Input!GY762</f>
        <v>-14.13616425864852</v>
      </c>
      <c r="AY91" s="942">
        <f>+Input!GZ762</f>
        <v>-9.0005615945222939</v>
      </c>
    </row>
    <row r="92" spans="1:51" s="772" customFormat="1" ht="12.75" customHeight="1" x14ac:dyDescent="0.2">
      <c r="A92" s="943" t="str">
        <f>Input!B763</f>
        <v>LTD + Pref Equity to Common Equity (%)</v>
      </c>
      <c r="B92" s="792">
        <f>+Input!DS763</f>
        <v>28.556323708824728</v>
      </c>
      <c r="C92" s="793"/>
      <c r="D92" s="792">
        <f>+Input!DU763</f>
        <v>29.003848537699817</v>
      </c>
      <c r="E92" s="793"/>
      <c r="F92" s="792">
        <f>+Input!DW763</f>
        <v>28.520772165723447</v>
      </c>
      <c r="G92" s="793"/>
      <c r="H92" s="792">
        <f>+Input!DY763</f>
        <v>31.458888283859952</v>
      </c>
      <c r="I92" s="793"/>
      <c r="J92" s="792">
        <f>+Input!EA763</f>
        <v>27.924777301220722</v>
      </c>
      <c r="K92" s="793">
        <f>+Input!EB763</f>
        <v>-2.2115816238938324</v>
      </c>
      <c r="L92" s="792">
        <f>+Input!EC763</f>
        <v>25.05714899152553</v>
      </c>
      <c r="M92" s="793">
        <f>+Input!ED763</f>
        <v>-13.607502952734995</v>
      </c>
      <c r="N92" s="792">
        <f>+Input!EE763</f>
        <v>25.311039010806528</v>
      </c>
      <c r="O92" s="793">
        <f>+Input!EF763</f>
        <v>-11.254019127765435</v>
      </c>
      <c r="P92" s="792">
        <f>+Input!EG763</f>
        <v>29.27396306881284</v>
      </c>
      <c r="Q92" s="793">
        <f>+Input!EH763</f>
        <v>-6.9453351158886729</v>
      </c>
      <c r="R92" s="792">
        <f>+Input!EI763</f>
        <v>29.210347577001443</v>
      </c>
      <c r="S92" s="793">
        <f>+Input!EJ763</f>
        <v>4.6036903424992559</v>
      </c>
      <c r="T92" s="792">
        <f>+Input!EK763</f>
        <v>28.621765249537894</v>
      </c>
      <c r="U92" s="793">
        <f>+Input!EL763</f>
        <v>14.225945095421434</v>
      </c>
      <c r="V92" s="792">
        <f>+Input!EM763</f>
        <v>35.411131186452685</v>
      </c>
      <c r="W92" s="793">
        <f>+Input!EN763</f>
        <v>39.903901895666685</v>
      </c>
      <c r="X92" s="792">
        <f>+Input!EO763</f>
        <v>32.362465062376437</v>
      </c>
      <c r="Y92" s="793">
        <f>+Input!EP763</f>
        <v>10.550337808050148</v>
      </c>
      <c r="Z92" s="792">
        <f>+Input!EQ763</f>
        <v>32.899234015799976</v>
      </c>
      <c r="AA92" s="793">
        <f>+Input!ER763</f>
        <v>12.628697515749355</v>
      </c>
      <c r="AB92" s="792">
        <f>+Input!ES763</f>
        <v>32.928255049243816</v>
      </c>
      <c r="AC92" s="793">
        <f>+Input!ET763</f>
        <v>15.046206137741457</v>
      </c>
      <c r="AD92" s="792">
        <f>+Input!EU763</f>
        <v>32.888814617969345</v>
      </c>
      <c r="AE92" s="793">
        <f>+Input!EV763</f>
        <v>-7.1229483045949893</v>
      </c>
      <c r="AF92" s="792">
        <f>+Input!EW763</f>
        <v>32.855726189441285</v>
      </c>
      <c r="AG92" s="793">
        <f>+Input!EX763</f>
        <v>1.524176622868878</v>
      </c>
      <c r="AH92" s="819"/>
      <c r="AI92" s="792">
        <f>+Input!GJ763</f>
        <v>31.458888283859952</v>
      </c>
      <c r="AJ92" s="793"/>
      <c r="AK92" s="792">
        <f>+Input!GL763</f>
        <v>29.27396306881284</v>
      </c>
      <c r="AL92" s="793">
        <f>+Input!GM763</f>
        <v>-6.9453351158886729</v>
      </c>
      <c r="AM92" s="792">
        <f>+Input!GN763</f>
        <v>32.362465062376437</v>
      </c>
      <c r="AN92" s="793">
        <f>+Input!GO763</f>
        <v>10.550337808050148</v>
      </c>
      <c r="AO92" s="792">
        <f>+Input!GP763</f>
        <v>32.855726189441285</v>
      </c>
      <c r="AP92" s="793">
        <f>+Input!GQ763</f>
        <v>1.524176622868878</v>
      </c>
      <c r="AQ92" s="818">
        <f>+Input!GR763</f>
        <v>29.091922092300194</v>
      </c>
      <c r="AR92" s="793">
        <f>+Input!GS763</f>
        <v>-11.455549865005421</v>
      </c>
      <c r="AS92" s="818">
        <f>+Input!GT763</f>
        <v>25.343422380701629</v>
      </c>
      <c r="AT92" s="793">
        <f>+Input!GU763</f>
        <v>-12.88501907748023</v>
      </c>
      <c r="AU92" s="818">
        <f>+Input!GV763</f>
        <v>21.652204156902847</v>
      </c>
      <c r="AV92" s="793">
        <f>+Input!GW763</f>
        <v>-14.564797793882612</v>
      </c>
      <c r="AW92" s="818">
        <f>+Input!GX763</f>
        <v>18.048261505764675</v>
      </c>
      <c r="AX92" s="793">
        <f>+Input!GY763</f>
        <v>-16.644691806072842</v>
      </c>
      <c r="AY92" s="942">
        <f>+Input!GZ763</f>
        <v>-11.022795668257324</v>
      </c>
    </row>
    <row r="93" spans="1:51" s="772" customFormat="1" ht="12.75" customHeight="1" x14ac:dyDescent="0.2">
      <c r="A93" s="943" t="str">
        <f>Input!B764</f>
        <v>Equity to Assets (Excl SAA)(%)</v>
      </c>
      <c r="B93" s="792">
        <f>+Input!DS764</f>
        <v>12.396944204508408</v>
      </c>
      <c r="C93" s="793"/>
      <c r="D93" s="792">
        <f>+Input!DU764</f>
        <v>11.983618110589845</v>
      </c>
      <c r="E93" s="793"/>
      <c r="F93" s="792">
        <f>+Input!DW764</f>
        <v>12.088763757885225</v>
      </c>
      <c r="G93" s="793"/>
      <c r="H93" s="792">
        <f>+Input!DY764</f>
        <v>11.789844448107438</v>
      </c>
      <c r="I93" s="793"/>
      <c r="J93" s="792">
        <f>+Input!EA764</f>
        <v>10.454507199847683</v>
      </c>
      <c r="K93" s="793">
        <f>+Input!EB764</f>
        <v>-15.668675865737281</v>
      </c>
      <c r="L93" s="792">
        <f>+Input!EC764</f>
        <v>10.608701710570918</v>
      </c>
      <c r="M93" s="793">
        <f>+Input!ED764</f>
        <v>-11.473299527159686</v>
      </c>
      <c r="N93" s="792">
        <f>+Input!EE764</f>
        <v>10.403800790723944</v>
      </c>
      <c r="O93" s="793">
        <f>+Input!EF764</f>
        <v>-13.93825705347429</v>
      </c>
      <c r="P93" s="792">
        <f>+Input!EG764</f>
        <v>9.6035757253415177</v>
      </c>
      <c r="Q93" s="793">
        <f>+Input!EH764</f>
        <v>-18.543660456155298</v>
      </c>
      <c r="R93" s="792">
        <f>+Input!EI764</f>
        <v>9.5049899583316382</v>
      </c>
      <c r="S93" s="793">
        <f>+Input!EJ764</f>
        <v>-9.0823720656089684</v>
      </c>
      <c r="T93" s="792">
        <f>+Input!EK764</f>
        <v>9.6136385722813777</v>
      </c>
      <c r="U93" s="793">
        <f>+Input!EL764</f>
        <v>-9.3796881601263316</v>
      </c>
      <c r="V93" s="792">
        <f>+Input!EM764</f>
        <v>10.917086301719536</v>
      </c>
      <c r="W93" s="793">
        <f>+Input!EN764</f>
        <v>4.9336345564520823</v>
      </c>
      <c r="X93" s="792">
        <f>+Input!EO764</f>
        <v>11.395809986968116</v>
      </c>
      <c r="Y93" s="793">
        <f>+Input!EP764</f>
        <v>18.662155772847445</v>
      </c>
      <c r="Z93" s="792">
        <f>+Input!EQ764</f>
        <v>11.131361489273212</v>
      </c>
      <c r="AA93" s="793">
        <f>+Input!ER764</f>
        <v>17.110712773725467</v>
      </c>
      <c r="AB93" s="792">
        <f>+Input!ES764</f>
        <v>11.043628091243175</v>
      </c>
      <c r="AC93" s="793">
        <f>+Input!ET764</f>
        <v>14.874592051804703</v>
      </c>
      <c r="AD93" s="792">
        <f>+Input!EU764</f>
        <v>10.979380198556886</v>
      </c>
      <c r="AE93" s="793">
        <f>+Input!EV764</f>
        <v>0.57060918193472254</v>
      </c>
      <c r="AF93" s="792">
        <f>+Input!EW764</f>
        <v>10.91338987118619</v>
      </c>
      <c r="AG93" s="793">
        <f>+Input!EX764</f>
        <v>-4.2333113340219386</v>
      </c>
      <c r="AH93" s="819"/>
      <c r="AI93" s="792">
        <f>+Input!GJ764</f>
        <v>11.789844448107438</v>
      </c>
      <c r="AJ93" s="793"/>
      <c r="AK93" s="792">
        <f>+Input!GL764</f>
        <v>9.6035757253415177</v>
      </c>
      <c r="AL93" s="793">
        <f>+Input!GM764</f>
        <v>-18.543660456155298</v>
      </c>
      <c r="AM93" s="792">
        <f>+Input!GN764</f>
        <v>11.395809986968116</v>
      </c>
      <c r="AN93" s="793">
        <f>+Input!GO764</f>
        <v>18.662155772847445</v>
      </c>
      <c r="AO93" s="792">
        <f>+Input!GP764</f>
        <v>10.91338987118619</v>
      </c>
      <c r="AP93" s="793">
        <f>+Input!GQ764</f>
        <v>-4.2333113340219386</v>
      </c>
      <c r="AQ93" s="818">
        <f>+Input!GR764</f>
        <v>10.731460327402617</v>
      </c>
      <c r="AR93" s="793">
        <f>+Input!GS764</f>
        <v>-1.6670305554088882</v>
      </c>
      <c r="AS93" s="818">
        <f>+Input!GT764</f>
        <v>10.576274148961183</v>
      </c>
      <c r="AT93" s="793">
        <f>+Input!GU764</f>
        <v>-1.4460863079852171</v>
      </c>
      <c r="AU93" s="818">
        <f>+Input!GV764</f>
        <v>10.438245426760838</v>
      </c>
      <c r="AV93" s="793">
        <f>+Input!GW764</f>
        <v>-1.3050788988284823</v>
      </c>
      <c r="AW93" s="818">
        <f>+Input!GX764</f>
        <v>10.307934032336529</v>
      </c>
      <c r="AX93" s="793">
        <f>+Input!GY764</f>
        <v>-1.2484032430414627</v>
      </c>
      <c r="AY93" s="942">
        <f>+Input!GZ764</f>
        <v>-1.9866380266202688</v>
      </c>
    </row>
    <row r="94" spans="1:51" s="772" customFormat="1" ht="12.75" customHeight="1" x14ac:dyDescent="0.2">
      <c r="A94" s="943" t="str">
        <f>Input!B765</f>
        <v>Equity to Total Assets (%)</v>
      </c>
      <c r="B94" s="792">
        <f>+Input!DS765</f>
        <v>8.0203089835723365</v>
      </c>
      <c r="C94" s="793"/>
      <c r="D94" s="792">
        <f>+Input!DU765</f>
        <v>7.7222067009569146</v>
      </c>
      <c r="E94" s="793"/>
      <c r="F94" s="792">
        <f>+Input!DW765</f>
        <v>7.9893706230310721</v>
      </c>
      <c r="G94" s="793"/>
      <c r="H94" s="792">
        <f>+Input!DY765</f>
        <v>7.7396566708393468</v>
      </c>
      <c r="I94" s="793"/>
      <c r="J94" s="792">
        <f>+Input!EA765</f>
        <v>8.2595037430730258</v>
      </c>
      <c r="K94" s="793">
        <f>+Input!EB765</f>
        <v>2.9823633976025388</v>
      </c>
      <c r="L94" s="792">
        <f>+Input!EC765</f>
        <v>8.4003577464519772</v>
      </c>
      <c r="M94" s="793">
        <f>+Input!ED765</f>
        <v>8.7818297509574261</v>
      </c>
      <c r="N94" s="792">
        <f>+Input!EE765</f>
        <v>8.2155180374938084</v>
      </c>
      <c r="O94" s="793">
        <f>+Input!EF765</f>
        <v>2.8306036249065469</v>
      </c>
      <c r="P94" s="792">
        <f>+Input!EG765</f>
        <v>7.5137633461064306</v>
      </c>
      <c r="Q94" s="793">
        <f>+Input!EH765</f>
        <v>-2.9186478721209053</v>
      </c>
      <c r="R94" s="792">
        <f>+Input!EI765</f>
        <v>7.4042814645884327</v>
      </c>
      <c r="S94" s="793">
        <f>+Input!EJ765</f>
        <v>-10.354402698852693</v>
      </c>
      <c r="T94" s="792">
        <f>+Input!EK765</f>
        <v>7.4846600569174848</v>
      </c>
      <c r="U94" s="793">
        <f>+Input!EL765</f>
        <v>-10.900698722280634</v>
      </c>
      <c r="V94" s="792">
        <f>+Input!EM765</f>
        <v>7.835228968168602</v>
      </c>
      <c r="W94" s="793">
        <f>+Input!EN765</f>
        <v>-4.6289116229755845</v>
      </c>
      <c r="X94" s="792">
        <f>+Input!EO765</f>
        <v>8.1506670445011196</v>
      </c>
      <c r="Y94" s="793">
        <f>+Input!EP765</f>
        <v>8.4764939891902138</v>
      </c>
      <c r="Z94" s="792">
        <f>+Input!EQ765</f>
        <v>7.9990524224423893</v>
      </c>
      <c r="AA94" s="793">
        <f>+Input!ER765</f>
        <v>8.0327977900150884</v>
      </c>
      <c r="AB94" s="792">
        <f>+Input!ES765</f>
        <v>8.0283849775996821</v>
      </c>
      <c r="AC94" s="793">
        <f>+Input!ET765</f>
        <v>7.2645239269039985</v>
      </c>
      <c r="AD94" s="792">
        <f>+Input!EU765</f>
        <v>8.047719233332943</v>
      </c>
      <c r="AE94" s="793">
        <f>+Input!EV765</f>
        <v>2.7119853935041904</v>
      </c>
      <c r="AF94" s="792">
        <f>+Input!EW765</f>
        <v>8.0626479190226057</v>
      </c>
      <c r="AG94" s="793">
        <f>+Input!EX765</f>
        <v>-1.079900884160101</v>
      </c>
      <c r="AH94" s="819"/>
      <c r="AI94" s="792">
        <f>+Input!GJ765</f>
        <v>7.7396566708393468</v>
      </c>
      <c r="AJ94" s="793"/>
      <c r="AK94" s="792">
        <f>+Input!GL765</f>
        <v>7.5137633461064306</v>
      </c>
      <c r="AL94" s="793">
        <f>+Input!GM765</f>
        <v>-2.9186478721209053</v>
      </c>
      <c r="AM94" s="792">
        <f>+Input!GN765</f>
        <v>8.1506670445011196</v>
      </c>
      <c r="AN94" s="793">
        <f>+Input!GO765</f>
        <v>8.4764939891902138</v>
      </c>
      <c r="AO94" s="792">
        <f>+Input!GP765</f>
        <v>8.0626479190226057</v>
      </c>
      <c r="AP94" s="793">
        <f>+Input!GQ765</f>
        <v>-1.079900884160101</v>
      </c>
      <c r="AQ94" s="818">
        <f>+Input!GR765</f>
        <v>8.1872911857330433</v>
      </c>
      <c r="AR94" s="793">
        <f>+Input!GS765</f>
        <v>1.5459346353988712</v>
      </c>
      <c r="AS94" s="818">
        <f>+Input!GT765</f>
        <v>8.3078938243042462</v>
      </c>
      <c r="AT94" s="793">
        <f>+Input!GU765</f>
        <v>1.473046894696517</v>
      </c>
      <c r="AU94" s="818">
        <f>+Input!GV765</f>
        <v>8.4062436302797376</v>
      </c>
      <c r="AV94" s="793">
        <f>+Input!GW765</f>
        <v>1.1838115418347561</v>
      </c>
      <c r="AW94" s="818">
        <f>+Input!GX765</f>
        <v>8.4781623888949671</v>
      </c>
      <c r="AX94" s="793">
        <f>+Input!GY765</f>
        <v>0.85553978421675225</v>
      </c>
      <c r="AY94" s="942">
        <f>+Input!GZ765</f>
        <v>0.7909910759709371</v>
      </c>
    </row>
    <row r="95" spans="1:51" s="772" customFormat="1" ht="12.75" customHeight="1" x14ac:dyDescent="0.2">
      <c r="A95" s="944" t="str">
        <f>Input!B766</f>
        <v>Book Value per Share</v>
      </c>
      <c r="B95" s="945">
        <f>+Input!DS766</f>
        <v>64.369559364623541</v>
      </c>
      <c r="C95" s="929"/>
      <c r="D95" s="945">
        <f>+Input!DU766</f>
        <v>60.271310888252167</v>
      </c>
      <c r="E95" s="929"/>
      <c r="F95" s="945">
        <f>+Input!DW766</f>
        <v>61.38948690348046</v>
      </c>
      <c r="G95" s="929"/>
      <c r="H95" s="945">
        <f>+Input!DY766</f>
        <v>60.002732240437169</v>
      </c>
      <c r="I95" s="929"/>
      <c r="J95" s="945">
        <f>+Input!EA766</f>
        <v>67.099681383705061</v>
      </c>
      <c r="K95" s="929">
        <f>+Input!EB766</f>
        <v>4.2413246976208852</v>
      </c>
      <c r="L95" s="945">
        <f>+Input!EC766</f>
        <v>70.179286494357498</v>
      </c>
      <c r="M95" s="929">
        <f>+Input!ED766</f>
        <v>16.438958204303056</v>
      </c>
      <c r="N95" s="945">
        <f>+Input!EE766</f>
        <v>69.353958143767073</v>
      </c>
      <c r="O95" s="929">
        <f>+Input!EF766</f>
        <v>12.973672923523116</v>
      </c>
      <c r="P95" s="945">
        <f>+Input!EG766</f>
        <v>59.758101323596541</v>
      </c>
      <c r="Q95" s="929">
        <f>+Input!EH766</f>
        <v>-0.40769962917749369</v>
      </c>
      <c r="R95" s="945">
        <f>+Input!EI766</f>
        <v>60.723203551280882</v>
      </c>
      <c r="S95" s="929">
        <f>+Input!EJ766</f>
        <v>-9.5029927131258916</v>
      </c>
      <c r="T95" s="945">
        <f>+Input!EK766</f>
        <v>63.17066290550072</v>
      </c>
      <c r="U95" s="929">
        <f>+Input!EL766</f>
        <v>-9.9867410156988186</v>
      </c>
      <c r="V95" s="945">
        <f>+Input!EM766</f>
        <v>51.58683486673624</v>
      </c>
      <c r="W95" s="929">
        <f>+Input!EN766</f>
        <v>-25.618037892228919</v>
      </c>
      <c r="X95" s="945">
        <f>+Input!EO766</f>
        <v>54.244921425833667</v>
      </c>
      <c r="Y95" s="929">
        <f>+Input!EP766</f>
        <v>-9.2258284243477142</v>
      </c>
      <c r="Z95" s="945">
        <f>+Input!EQ766</f>
        <v>54.239650909766496</v>
      </c>
      <c r="AA95" s="929">
        <f>+Input!ER766</f>
        <v>-10.677224293739728</v>
      </c>
      <c r="AB95" s="945">
        <f>+Input!ES766</f>
        <v>55.121235677264465</v>
      </c>
      <c r="AC95" s="929">
        <f>+Input!ET766</f>
        <v>-12.742350417119553</v>
      </c>
      <c r="AD95" s="945">
        <f>+Input!EU766</f>
        <v>56.028804940772822</v>
      </c>
      <c r="AE95" s="929">
        <f>+Input!EV766</f>
        <v>8.6106660459233098</v>
      </c>
      <c r="AF95" s="945">
        <f>+Input!EW766</f>
        <v>56.942630978700571</v>
      </c>
      <c r="AG95" s="929">
        <f>+Input!EX766</f>
        <v>4.9732020656631404</v>
      </c>
      <c r="AH95" s="946"/>
      <c r="AI95" s="945">
        <f>+Input!GJ766</f>
        <v>60.002732240437169</v>
      </c>
      <c r="AJ95" s="929"/>
      <c r="AK95" s="945">
        <f>+Input!GL766</f>
        <v>59.758101323596541</v>
      </c>
      <c r="AL95" s="929">
        <f>+Input!GM766</f>
        <v>-0.40769962917749369</v>
      </c>
      <c r="AM95" s="945">
        <f>+Input!GN766</f>
        <v>54.244921425833667</v>
      </c>
      <c r="AN95" s="929">
        <f>+Input!GO766</f>
        <v>-9.2258284243477142</v>
      </c>
      <c r="AO95" s="945">
        <f>+Input!GP766</f>
        <v>56.942630978700571</v>
      </c>
      <c r="AP95" s="929">
        <f>+Input!GQ766</f>
        <v>4.9732020656631404</v>
      </c>
      <c r="AQ95" s="945">
        <f>+Input!GR766</f>
        <v>60.930854662115593</v>
      </c>
      <c r="AR95" s="929">
        <f>+Input!GS766</f>
        <v>7.0039329319132149</v>
      </c>
      <c r="AS95" s="945">
        <f>+Input!GT766</f>
        <v>65.405108959126864</v>
      </c>
      <c r="AT95" s="929">
        <f>+Input!GU766</f>
        <v>7.3431668106785697</v>
      </c>
      <c r="AU95" s="945">
        <f>+Input!GV766</f>
        <v>70.382040026533247</v>
      </c>
      <c r="AV95" s="929">
        <f>+Input!GW766</f>
        <v>7.609391906244789</v>
      </c>
      <c r="AW95" s="945">
        <f>+Input!GX766</f>
        <v>75.874278369269149</v>
      </c>
      <c r="AX95" s="929">
        <f>+Input!GY766</f>
        <v>7.8034656862253415</v>
      </c>
      <c r="AY95" s="947">
        <f>+Input!GZ766</f>
        <v>6.9417035061682952</v>
      </c>
    </row>
    <row r="96" spans="1:51" s="772" customFormat="1" ht="12.75" customHeight="1" x14ac:dyDescent="0.2">
      <c r="A96" s="822"/>
      <c r="B96" s="832"/>
      <c r="C96" s="827"/>
      <c r="D96" s="832"/>
      <c r="E96" s="827"/>
      <c r="F96" s="832"/>
      <c r="G96" s="827"/>
      <c r="H96" s="832"/>
      <c r="I96" s="827"/>
      <c r="J96" s="832"/>
      <c r="K96" s="827"/>
      <c r="L96" s="832"/>
      <c r="M96" s="827"/>
      <c r="N96" s="832"/>
      <c r="O96" s="827"/>
      <c r="P96" s="832"/>
      <c r="Q96" s="827"/>
      <c r="R96" s="832"/>
      <c r="S96" s="827"/>
      <c r="T96" s="832"/>
      <c r="U96" s="827"/>
      <c r="V96" s="832"/>
      <c r="W96" s="827"/>
      <c r="X96" s="832"/>
      <c r="Y96" s="827"/>
      <c r="Z96" s="832"/>
      <c r="AA96" s="827"/>
      <c r="AB96" s="832"/>
      <c r="AC96" s="827"/>
      <c r="AD96" s="832"/>
      <c r="AE96" s="827"/>
      <c r="AF96" s="832"/>
      <c r="AG96" s="827"/>
      <c r="AH96" s="825"/>
      <c r="AI96" s="832"/>
      <c r="AJ96" s="827"/>
      <c r="AK96" s="832"/>
      <c r="AL96" s="827"/>
      <c r="AM96" s="832"/>
      <c r="AN96" s="827"/>
      <c r="AO96" s="832"/>
      <c r="AP96" s="827"/>
      <c r="AQ96" s="832"/>
      <c r="AR96" s="827"/>
      <c r="AS96" s="832"/>
      <c r="AT96" s="827"/>
      <c r="AU96" s="832"/>
      <c r="AV96" s="827"/>
      <c r="AW96" s="832"/>
      <c r="AX96" s="827"/>
      <c r="AY96" s="825"/>
    </row>
    <row r="97" spans="1:51" s="772" customFormat="1" ht="12.75" customHeight="1" x14ac:dyDescent="0.2">
      <c r="A97" s="833" t="str">
        <f>+A52</f>
        <v xml:space="preserve">Quarterly income statement ratios are annualized where appropriate      E = Morgan Stanley Research Estimates     NM = Not Meaningful      NA = Not Applicable       CAGR = Cumulative Average Growth Rate       </v>
      </c>
      <c r="B97" s="823"/>
      <c r="C97" s="827"/>
      <c r="D97" s="823"/>
      <c r="E97" s="827"/>
      <c r="F97" s="823"/>
      <c r="G97" s="827"/>
      <c r="H97" s="823"/>
      <c r="I97" s="827"/>
      <c r="J97" s="823"/>
      <c r="K97" s="827"/>
      <c r="L97" s="823"/>
      <c r="M97" s="827"/>
      <c r="N97" s="823"/>
      <c r="O97" s="827"/>
      <c r="P97" s="823"/>
      <c r="Q97" s="827"/>
      <c r="R97" s="823"/>
      <c r="S97" s="827"/>
      <c r="T97" s="823"/>
      <c r="U97" s="827"/>
      <c r="V97" s="823"/>
      <c r="W97" s="827"/>
      <c r="X97" s="823"/>
      <c r="Y97" s="827"/>
      <c r="Z97" s="823"/>
      <c r="AA97" s="827"/>
      <c r="AB97" s="823"/>
      <c r="AC97" s="827"/>
      <c r="AD97" s="823"/>
      <c r="AE97" s="827"/>
      <c r="AF97" s="823"/>
      <c r="AG97" s="827"/>
      <c r="AH97" s="825"/>
      <c r="AI97" s="823"/>
      <c r="AJ97" s="827"/>
      <c r="AK97" s="823"/>
      <c r="AL97" s="827"/>
      <c r="AM97" s="823"/>
      <c r="AN97" s="827"/>
      <c r="AO97" s="823"/>
      <c r="AP97" s="827"/>
      <c r="AQ97" s="823"/>
      <c r="AR97" s="827"/>
      <c r="AS97" s="823"/>
      <c r="AT97" s="827"/>
      <c r="AU97" s="823"/>
      <c r="AV97" s="827"/>
      <c r="AW97" s="823"/>
      <c r="AX97" s="827"/>
      <c r="AY97" s="825"/>
    </row>
    <row r="98" spans="1:51" s="772" customFormat="1" ht="12.75" customHeight="1" x14ac:dyDescent="0.2">
      <c r="A98" s="826" t="s">
        <v>375</v>
      </c>
      <c r="B98" s="823"/>
      <c r="C98" s="827"/>
      <c r="D98" s="823"/>
      <c r="E98" s="827"/>
      <c r="F98" s="823"/>
      <c r="G98" s="827"/>
      <c r="H98" s="823"/>
      <c r="I98" s="827"/>
      <c r="J98" s="823"/>
      <c r="K98" s="827"/>
      <c r="L98" s="823"/>
      <c r="M98" s="827"/>
      <c r="N98" s="823"/>
      <c r="O98" s="827"/>
      <c r="P98" s="823"/>
      <c r="Q98" s="827"/>
      <c r="R98" s="823"/>
      <c r="S98" s="827"/>
      <c r="T98" s="823"/>
      <c r="U98" s="827"/>
      <c r="V98" s="823"/>
      <c r="W98" s="827"/>
      <c r="X98" s="823"/>
      <c r="Y98" s="827"/>
      <c r="Z98" s="823"/>
      <c r="AA98" s="827"/>
      <c r="AB98" s="823"/>
      <c r="AC98" s="827"/>
      <c r="AD98" s="823"/>
      <c r="AE98" s="827"/>
      <c r="AF98" s="823"/>
      <c r="AG98" s="827"/>
      <c r="AH98" s="825"/>
      <c r="AI98" s="823"/>
      <c r="AJ98" s="827"/>
      <c r="AK98" s="823"/>
      <c r="AL98" s="827"/>
      <c r="AM98" s="823"/>
      <c r="AN98" s="827"/>
      <c r="AO98" s="823"/>
      <c r="AP98" s="827"/>
      <c r="AQ98" s="1170">
        <f>56/AO87</f>
        <v>1.2480969417175738</v>
      </c>
      <c r="AR98" s="827"/>
      <c r="AS98" s="823"/>
      <c r="AT98" s="827"/>
      <c r="AU98" s="823"/>
      <c r="AV98" s="827"/>
      <c r="AW98" s="823"/>
      <c r="AX98" s="827"/>
      <c r="AY98" s="825"/>
    </row>
    <row r="99" spans="1:51" s="772" customFormat="1" ht="12.75" customHeight="1" x14ac:dyDescent="0.2">
      <c r="A99" s="826"/>
      <c r="B99" s="823"/>
      <c r="C99" s="827"/>
      <c r="D99" s="823"/>
      <c r="E99" s="827"/>
      <c r="F99" s="823"/>
      <c r="G99" s="827"/>
      <c r="H99" s="823"/>
      <c r="I99" s="827"/>
      <c r="J99" s="823"/>
      <c r="K99" s="827"/>
      <c r="L99" s="823"/>
      <c r="M99" s="827"/>
      <c r="N99" s="823"/>
      <c r="O99" s="827"/>
      <c r="P99" s="823"/>
      <c r="Q99" s="827"/>
      <c r="R99" s="823"/>
      <c r="S99" s="827"/>
      <c r="T99" s="823"/>
      <c r="U99" s="827"/>
      <c r="V99" s="823"/>
      <c r="W99" s="827"/>
      <c r="X99" s="823"/>
      <c r="Y99" s="827"/>
      <c r="Z99" s="823"/>
      <c r="AA99" s="827"/>
      <c r="AB99" s="823"/>
      <c r="AC99" s="827"/>
      <c r="AD99" s="823"/>
      <c r="AE99" s="827"/>
      <c r="AF99" s="823"/>
      <c r="AG99" s="827"/>
      <c r="AH99" s="825"/>
      <c r="AI99" s="823"/>
      <c r="AJ99" s="827"/>
      <c r="AK99" s="823"/>
      <c r="AL99" s="827"/>
      <c r="AM99" s="823"/>
      <c r="AN99" s="827"/>
      <c r="AO99" s="823"/>
      <c r="AP99" s="827"/>
      <c r="AQ99" s="823"/>
      <c r="AR99" s="827"/>
      <c r="AS99" s="823"/>
      <c r="AT99" s="827"/>
      <c r="AU99" s="823"/>
      <c r="AV99" s="827"/>
      <c r="AW99" s="823"/>
      <c r="AX99" s="827"/>
      <c r="AY99" s="825"/>
    </row>
  </sheetData>
  <phoneticPr fontId="4" type="noConversion"/>
  <pageMargins left="0" right="0" top="0" bottom="0" header="0" footer="0"/>
  <pageSetup paperSize="5" scale="56" orientation="landscape" horizontalDpi="300" r:id="rId1"/>
  <headerFooter alignWithMargins="0"/>
  <rowBreaks count="1" manualBreakCount="1">
    <brk id="54" max="16383" man="1"/>
  </rowBreaks>
  <ignoredErrors>
    <ignoredError sqref="AZ14 AH14:AH15 AQ8:AT9 B8:B9 B12 AZ11:AZ12 K11 M11 O11 Q11 AH12 AY8:AZ9 T16 V16 X16 AH11:AI11 A76 B70:B78 J16 L16 N16 P16 R15:R16 AH8:AI9 AI12:AI15 AK16 AM16 K21 M21 O21 Q21 S21 U21 W21 AH21 AL21 AN21 B14:B20 B22:B68 D8:D9 D12 D14:D20 D22:D78 F8:F9 F12 F14:F20 F22:F78 H8:H9 H12 H14:H20 H22:H78 AH22:AI66 J14:Q15 J8:Q9 J12:Q12 AH16:AI20 J22:Y78 B80:B101 D80:D101 F80:F101 H80:H101 J80:Q101 K79 M79 O79 Q79 S79 U79 W79 Y79 AH81:AI106 AK8:AL9 AK11:AN15 AK22:AN42 AK17:AN20 AK81:AN88 AZ15 AZ67:AZ78 W11 V15:X15 S11:U15 AK90:AN106 AL89:AN89 AK44:AN66 AK43:AL43 AN43 R80:Y106 Y21 J17:Y20 AY79:AZ106 AY28:AZ66 AQ81:AV97 AQ28:AV66 AZ16:AZ27 AV21 AQ17:AV20 AQ22:AV27 AY16:AY27 AQ12:AU15 AT21 AR21 AU16 AS16 AQ16 AT11 AR11 AY11:AY12 AY14 AO13:AP13 AO15:AP15 AO14:AP14 AO12:AP12 AO11:AQ11 AS11 AU11:AX11 AO17:AP20 AO16:AP16 AR16 AT16 AV16:AX16 AO22:AP27 AO21:AQ21 AS21 AU21 AV13:AY13 AV15:AY15 AV14:AX14 AV12:AX12 AW22:AX27 AW17:AX20 AW21:AX21 Z15:AF27 AV79 AQ67:AV78 AQ80:AV80 AK67:AN78 AK80:AN80 AT79 AR79 AN79 AL79 AH80:AI80 AH67:AI78 Z79:AK79 Z67:AG78 AJ67:AJ78 Z80:AG80 AJ80 AM79 AO79:AQ79 AS79 AU79 AO80:AP80 AO67:AP78 AW80 AW67:AW78 AW79 Y11:Y16 AQ99:AV106 AR98:AV98"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BE91"/>
  <sheetViews>
    <sheetView showGridLines="0" zoomScaleNormal="100" workbookViewId="0">
      <pane xSplit="1" ySplit="5" topLeftCell="B6" activePane="bottomRight" state="frozen"/>
      <selection pane="topRight" activeCell="B1" sqref="B1"/>
      <selection pane="bottomLeft" activeCell="A7" sqref="A7"/>
      <selection pane="bottomRight"/>
    </sheetView>
  </sheetViews>
  <sheetFormatPr defaultRowHeight="12.75" customHeight="1" outlineLevelRow="1" outlineLevelCol="1" x14ac:dyDescent="0.2"/>
  <cols>
    <col min="1" max="1" width="30.7109375" style="2" customWidth="1"/>
    <col min="2" max="2" width="7.42578125" style="2" hidden="1" customWidth="1" outlineLevel="1"/>
    <col min="3" max="3" width="7.42578125" style="7" hidden="1" customWidth="1" outlineLevel="1"/>
    <col min="4" max="4" width="7.42578125" style="2" hidden="1" customWidth="1" outlineLevel="1" collapsed="1"/>
    <col min="5" max="5" width="7.42578125" style="7" hidden="1" customWidth="1" outlineLevel="1"/>
    <col min="6" max="6" width="7.42578125" style="2" hidden="1" customWidth="1" outlineLevel="1" collapsed="1"/>
    <col min="7" max="7" width="7.42578125" style="7" hidden="1" customWidth="1" outlineLevel="1"/>
    <col min="8" max="8" width="7.42578125" style="2" hidden="1" customWidth="1" outlineLevel="1" collapsed="1"/>
    <col min="9" max="9" width="7.42578125" style="7" hidden="1" customWidth="1" outlineLevel="1"/>
    <col min="10" max="10" width="7.42578125" style="2" hidden="1" customWidth="1" outlineLevel="1" collapsed="1"/>
    <col min="11" max="11" width="7.42578125" style="7" hidden="1" customWidth="1" outlineLevel="1"/>
    <col min="12" max="12" width="7.42578125" style="2" hidden="1" customWidth="1" outlineLevel="1" collapsed="1"/>
    <col min="13" max="13" width="7.42578125" style="7" hidden="1" customWidth="1" outlineLevel="1"/>
    <col min="14" max="14" width="7.42578125" style="2" hidden="1" customWidth="1" outlineLevel="1" collapsed="1"/>
    <col min="15" max="15" width="7.42578125" style="7" hidden="1" customWidth="1" outlineLevel="1"/>
    <col min="16" max="16" width="7.42578125" style="2" hidden="1" customWidth="1" outlineLevel="1" collapsed="1"/>
    <col min="17" max="17" width="7.42578125" style="7" hidden="1" customWidth="1" outlineLevel="1"/>
    <col min="18" max="18" width="7.42578125" style="2" customWidth="1" collapsed="1"/>
    <col min="19" max="19" width="7.42578125" style="7" hidden="1" customWidth="1" outlineLevel="1"/>
    <col min="20" max="20" width="7.42578125" style="2" customWidth="1" collapsed="1"/>
    <col min="21" max="21" width="7.42578125" style="7" hidden="1" customWidth="1" outlineLevel="1"/>
    <col min="22" max="22" width="7.42578125" style="2" customWidth="1" collapsed="1"/>
    <col min="23" max="23" width="7.42578125" style="7" hidden="1" customWidth="1" outlineLevel="1"/>
    <col min="24" max="24" width="7.42578125" style="2" customWidth="1" collapsed="1"/>
    <col min="25" max="25" width="7.42578125" style="7" hidden="1" customWidth="1" outlineLevel="1"/>
    <col min="26" max="26" width="7.42578125" style="2" customWidth="1" collapsed="1"/>
    <col min="27" max="27" width="7.42578125" style="7" hidden="1" customWidth="1" outlineLevel="1"/>
    <col min="28" max="28" width="7.42578125" style="2" customWidth="1" collapsed="1"/>
    <col min="29" max="29" width="7.42578125" style="7" hidden="1" customWidth="1" outlineLevel="1"/>
    <col min="30" max="30" width="7.42578125" style="2" customWidth="1" collapsed="1"/>
    <col min="31" max="31" width="7.42578125" style="7" hidden="1" customWidth="1" outlineLevel="1"/>
    <col min="32" max="32" width="7.42578125" style="2" customWidth="1" collapsed="1"/>
    <col min="33" max="33" width="7.42578125" style="7" hidden="1" customWidth="1" outlineLevel="1"/>
    <col min="34" max="34" width="0.85546875" style="2" customWidth="1" collapsed="1"/>
    <col min="35" max="35" width="7.42578125" style="2" customWidth="1"/>
    <col min="36" max="36" width="7.42578125" style="7" hidden="1" customWidth="1" outlineLevel="1"/>
    <col min="37" max="37" width="7.42578125" style="2" customWidth="1" collapsed="1"/>
    <col min="38" max="38" width="7.42578125" style="7" hidden="1" customWidth="1" outlineLevel="1"/>
    <col min="39" max="39" width="7.42578125" style="2" customWidth="1" collapsed="1"/>
    <col min="40" max="40" width="7.42578125" style="7" hidden="1" customWidth="1" outlineLevel="1"/>
    <col min="41" max="41" width="7.42578125" style="2" customWidth="1" collapsed="1"/>
    <col min="42" max="42" width="7.42578125" style="7" hidden="1" customWidth="1" outlineLevel="1"/>
    <col min="43" max="43" width="7.42578125" style="2" customWidth="1" collapsed="1"/>
    <col min="44" max="44" width="7.42578125" style="7" hidden="1" customWidth="1" outlineLevel="1"/>
    <col min="45" max="45" width="7.42578125" style="2" customWidth="1" collapsed="1"/>
    <col min="46" max="46" width="7.42578125" style="7" hidden="1" customWidth="1" outlineLevel="1"/>
    <col min="47" max="47" width="7.42578125" style="2" customWidth="1" collapsed="1"/>
    <col min="48" max="48" width="7.42578125" style="7" hidden="1" customWidth="1" outlineLevel="1"/>
    <col min="49" max="49" width="7.42578125" style="2" customWidth="1" collapsed="1"/>
    <col min="50" max="50" width="7.42578125" style="7" hidden="1" customWidth="1" outlineLevel="1"/>
    <col min="51" max="51" width="7.42578125" style="7" customWidth="1" collapsed="1"/>
    <col min="52" max="54" width="9.140625" style="2"/>
    <col min="55" max="16384" width="9.140625" style="10"/>
  </cols>
  <sheetData>
    <row r="1" spans="1:57" s="772" customFormat="1" ht="21.95" customHeight="1" x14ac:dyDescent="0.25">
      <c r="A1" s="766" t="str">
        <f>Input!B4</f>
        <v>MetLife</v>
      </c>
      <c r="B1" s="767"/>
      <c r="C1" s="768"/>
      <c r="D1" s="767"/>
      <c r="E1" s="768"/>
      <c r="F1" s="767"/>
      <c r="G1" s="768"/>
      <c r="H1" s="767"/>
      <c r="I1" s="768"/>
      <c r="J1" s="767"/>
      <c r="K1" s="768"/>
      <c r="L1" s="767"/>
      <c r="M1" s="768"/>
      <c r="N1" s="767"/>
      <c r="O1" s="768"/>
      <c r="P1" s="767"/>
      <c r="Q1" s="768"/>
      <c r="R1" s="767"/>
      <c r="S1" s="768"/>
      <c r="T1" s="767"/>
      <c r="U1" s="768"/>
      <c r="V1" s="767"/>
      <c r="W1" s="768"/>
      <c r="X1" s="767"/>
      <c r="Y1" s="768"/>
      <c r="Z1" s="767"/>
      <c r="AA1" s="768"/>
      <c r="AB1" s="767"/>
      <c r="AC1" s="768"/>
      <c r="AD1" s="767"/>
      <c r="AE1" s="768"/>
      <c r="AF1" s="767"/>
      <c r="AG1" s="768"/>
      <c r="AH1" s="769"/>
      <c r="AI1" s="770"/>
      <c r="AJ1" s="768"/>
      <c r="AK1" s="770"/>
      <c r="AL1" s="768"/>
      <c r="AM1" s="770"/>
      <c r="AN1" s="768"/>
      <c r="AO1" s="770"/>
      <c r="AP1" s="768"/>
      <c r="AQ1" s="770"/>
      <c r="AR1" s="768"/>
      <c r="AS1" s="770"/>
      <c r="AT1" s="768"/>
      <c r="AU1" s="770"/>
      <c r="AV1" s="768"/>
      <c r="AW1" s="770"/>
      <c r="AX1" s="768"/>
      <c r="AY1" s="771"/>
      <c r="AZ1" s="858"/>
      <c r="BA1" s="858"/>
      <c r="BB1" s="858"/>
      <c r="BC1" s="858"/>
      <c r="BD1" s="858"/>
      <c r="BE1" s="858"/>
    </row>
    <row r="2" spans="1:57" s="772" customFormat="1" ht="12.75" customHeight="1" x14ac:dyDescent="0.2">
      <c r="A2" s="773" t="s">
        <v>573</v>
      </c>
      <c r="B2" s="774"/>
      <c r="C2" s="775"/>
      <c r="D2" s="774"/>
      <c r="E2" s="775"/>
      <c r="F2" s="774"/>
      <c r="G2" s="775"/>
      <c r="H2" s="774"/>
      <c r="I2" s="775"/>
      <c r="J2" s="774"/>
      <c r="K2" s="775"/>
      <c r="L2" s="774"/>
      <c r="M2" s="775"/>
      <c r="N2" s="774"/>
      <c r="O2" s="775"/>
      <c r="P2" s="774"/>
      <c r="Q2" s="775"/>
      <c r="R2" s="774"/>
      <c r="S2" s="775"/>
      <c r="T2" s="774"/>
      <c r="U2" s="775"/>
      <c r="V2" s="774"/>
      <c r="W2" s="775"/>
      <c r="X2" s="774"/>
      <c r="Y2" s="775"/>
      <c r="Z2" s="774"/>
      <c r="AA2" s="775"/>
      <c r="AB2" s="774"/>
      <c r="AC2" s="775"/>
      <c r="AD2" s="774"/>
      <c r="AE2" s="775"/>
      <c r="AF2" s="774"/>
      <c r="AG2" s="775"/>
      <c r="AH2" s="776"/>
      <c r="AI2" s="774"/>
      <c r="AJ2" s="775"/>
      <c r="AK2" s="774"/>
      <c r="AL2" s="775"/>
      <c r="AM2" s="774"/>
      <c r="AN2" s="775"/>
      <c r="AO2" s="774"/>
      <c r="AP2" s="775"/>
      <c r="AQ2" s="774"/>
      <c r="AR2" s="775"/>
      <c r="AS2" s="774"/>
      <c r="AT2" s="775"/>
      <c r="AU2" s="774"/>
      <c r="AV2" s="775"/>
      <c r="AW2" s="774"/>
      <c r="AX2" s="775"/>
      <c r="AY2" s="777"/>
      <c r="AZ2" s="858"/>
      <c r="BA2" s="858"/>
      <c r="BB2" s="858"/>
      <c r="BC2" s="858"/>
      <c r="BD2" s="858"/>
      <c r="BE2" s="858"/>
    </row>
    <row r="3" spans="1:57" s="781" customFormat="1" ht="12.75" customHeight="1" x14ac:dyDescent="0.2">
      <c r="A3" s="834" t="s">
        <v>192</v>
      </c>
      <c r="B3" s="835"/>
      <c r="C3" s="836"/>
      <c r="D3" s="835"/>
      <c r="E3" s="836"/>
      <c r="F3" s="835"/>
      <c r="G3" s="836"/>
      <c r="H3" s="835"/>
      <c r="I3" s="836"/>
      <c r="J3" s="835"/>
      <c r="K3" s="836" t="str">
        <f>Input!EB4</f>
        <v>1Q16/</v>
      </c>
      <c r="L3" s="835"/>
      <c r="M3" s="836" t="str">
        <f>Input!ED4</f>
        <v>2Q16/</v>
      </c>
      <c r="N3" s="835"/>
      <c r="O3" s="836" t="str">
        <f>Input!EF4</f>
        <v>3Q16/</v>
      </c>
      <c r="P3" s="835"/>
      <c r="Q3" s="836" t="str">
        <f>Input!EH4</f>
        <v>4Q16/</v>
      </c>
      <c r="R3" s="835"/>
      <c r="S3" s="836" t="str">
        <f>Input!EJ4</f>
        <v>1Q17/</v>
      </c>
      <c r="T3" s="835"/>
      <c r="U3" s="836" t="str">
        <f>Input!EL4</f>
        <v>2Q17/</v>
      </c>
      <c r="V3" s="835"/>
      <c r="W3" s="836" t="str">
        <f>Input!EN4</f>
        <v>3Q17/</v>
      </c>
      <c r="X3" s="835"/>
      <c r="Y3" s="836" t="str">
        <f>Input!EP4</f>
        <v>4Q17/</v>
      </c>
      <c r="Z3" s="835"/>
      <c r="AA3" s="836" t="str">
        <f>Input!ER4</f>
        <v>1Q18E/</v>
      </c>
      <c r="AB3" s="835"/>
      <c r="AC3" s="836" t="str">
        <f>Input!ET4</f>
        <v>2Q18E/</v>
      </c>
      <c r="AD3" s="835"/>
      <c r="AE3" s="836" t="str">
        <f>Input!EV4</f>
        <v>3Q18E/</v>
      </c>
      <c r="AF3" s="835"/>
      <c r="AG3" s="836" t="str">
        <f>Input!EX4</f>
        <v>4Q18E/</v>
      </c>
      <c r="AH3" s="837"/>
      <c r="AI3" s="835"/>
      <c r="AJ3" s="836"/>
      <c r="AK3" s="835"/>
      <c r="AL3" s="836" t="str">
        <f>Input!GM4</f>
        <v>2016/</v>
      </c>
      <c r="AM3" s="835"/>
      <c r="AN3" s="836" t="str">
        <f>Input!GO4</f>
        <v>2017/</v>
      </c>
      <c r="AO3" s="835"/>
      <c r="AP3" s="836" t="str">
        <f>Input!GQ4</f>
        <v>2018E/</v>
      </c>
      <c r="AQ3" s="835"/>
      <c r="AR3" s="836" t="str">
        <f>Input!GS4</f>
        <v>2019E/</v>
      </c>
      <c r="AS3" s="835"/>
      <c r="AT3" s="836" t="str">
        <f>Input!GU4</f>
        <v>2020E/</v>
      </c>
      <c r="AU3" s="835"/>
      <c r="AV3" s="836" t="str">
        <f>Input!GW4</f>
        <v>2021E/</v>
      </c>
      <c r="AW3" s="835"/>
      <c r="AX3" s="836" t="str">
        <f>Input!GY4</f>
        <v>2022E/</v>
      </c>
      <c r="AY3" s="838" t="str">
        <f>Input!GZ4</f>
        <v>5-Yr</v>
      </c>
      <c r="AZ3" s="858"/>
      <c r="BA3" s="858"/>
      <c r="BB3" s="858"/>
      <c r="BC3" s="858"/>
      <c r="BD3" s="858"/>
      <c r="BE3" s="858"/>
    </row>
    <row r="4" spans="1:57" s="781" customFormat="1" ht="12.75" customHeight="1" x14ac:dyDescent="0.2">
      <c r="A4" s="782"/>
      <c r="B4" s="778"/>
      <c r="C4" s="775"/>
      <c r="D4" s="778"/>
      <c r="E4" s="775"/>
      <c r="F4" s="778"/>
      <c r="G4" s="775"/>
      <c r="H4" s="778"/>
      <c r="I4" s="775"/>
      <c r="J4" s="778"/>
      <c r="K4" s="775" t="str">
        <f>Input!EB5</f>
        <v>1Q15</v>
      </c>
      <c r="L4" s="778"/>
      <c r="M4" s="775" t="str">
        <f>Input!ED5</f>
        <v>2Q15</v>
      </c>
      <c r="N4" s="778"/>
      <c r="O4" s="775" t="str">
        <f>Input!EF5</f>
        <v>3Q15</v>
      </c>
      <c r="P4" s="778"/>
      <c r="Q4" s="775" t="str">
        <f>Input!EH5</f>
        <v>4Q15</v>
      </c>
      <c r="R4" s="778"/>
      <c r="S4" s="775" t="str">
        <f>Input!EJ5</f>
        <v>1Q16</v>
      </c>
      <c r="T4" s="778"/>
      <c r="U4" s="775" t="str">
        <f>Input!EL5</f>
        <v>2Q16</v>
      </c>
      <c r="V4" s="778"/>
      <c r="W4" s="775" t="str">
        <f>Input!EN5</f>
        <v>3Q16</v>
      </c>
      <c r="X4" s="778"/>
      <c r="Y4" s="775" t="str">
        <f>Input!EP5</f>
        <v>4Q16</v>
      </c>
      <c r="Z4" s="778"/>
      <c r="AA4" s="775" t="str">
        <f>Input!ER5</f>
        <v>1Q17</v>
      </c>
      <c r="AB4" s="778"/>
      <c r="AC4" s="775" t="str">
        <f>Input!ET5</f>
        <v>2Q17</v>
      </c>
      <c r="AD4" s="778"/>
      <c r="AE4" s="775" t="str">
        <f>Input!EV5</f>
        <v>3Q17</v>
      </c>
      <c r="AF4" s="778"/>
      <c r="AG4" s="775" t="str">
        <f>Input!EX5</f>
        <v>4Q17</v>
      </c>
      <c r="AH4" s="780"/>
      <c r="AI4" s="778"/>
      <c r="AJ4" s="775"/>
      <c r="AK4" s="778"/>
      <c r="AL4" s="775" t="str">
        <f>Input!GM5</f>
        <v>2015</v>
      </c>
      <c r="AM4" s="778"/>
      <c r="AN4" s="775" t="str">
        <f>Input!GO5</f>
        <v>2016</v>
      </c>
      <c r="AO4" s="778"/>
      <c r="AP4" s="775">
        <f>Input!GQ5</f>
        <v>2017</v>
      </c>
      <c r="AQ4" s="778"/>
      <c r="AR4" s="775" t="str">
        <f>Input!GS5</f>
        <v>2018E</v>
      </c>
      <c r="AS4" s="778"/>
      <c r="AT4" s="775" t="str">
        <f>Input!GU5</f>
        <v>2019E</v>
      </c>
      <c r="AU4" s="778"/>
      <c r="AV4" s="775" t="str">
        <f>Input!GW5</f>
        <v>2020E</v>
      </c>
      <c r="AW4" s="778"/>
      <c r="AX4" s="775" t="str">
        <f>Input!GY5</f>
        <v>2021E</v>
      </c>
      <c r="AY4" s="777" t="str">
        <f>Input!GZ5</f>
        <v>CAGR</v>
      </c>
      <c r="AZ4" s="858"/>
      <c r="BA4" s="858"/>
      <c r="BB4" s="858"/>
      <c r="BC4" s="858"/>
      <c r="BD4" s="858"/>
      <c r="BE4" s="858"/>
    </row>
    <row r="5" spans="1:57" s="781" customFormat="1" ht="12.75" customHeight="1" x14ac:dyDescent="0.2">
      <c r="A5" s="783"/>
      <c r="B5" s="784" t="str">
        <f>Input!DS6</f>
        <v>1Q15</v>
      </c>
      <c r="C5" s="785"/>
      <c r="D5" s="784" t="str">
        <f>Input!DU6</f>
        <v>2Q15</v>
      </c>
      <c r="E5" s="785"/>
      <c r="F5" s="784" t="str">
        <f>Input!DW6</f>
        <v>3Q15</v>
      </c>
      <c r="G5" s="785"/>
      <c r="H5" s="784" t="str">
        <f>Input!DY6</f>
        <v>4Q15</v>
      </c>
      <c r="I5" s="785"/>
      <c r="J5" s="784" t="str">
        <f>Input!EA6</f>
        <v>1Q16</v>
      </c>
      <c r="K5" s="785" t="str">
        <f>Input!EB6</f>
        <v>% Chg</v>
      </c>
      <c r="L5" s="784" t="str">
        <f>Input!EC6</f>
        <v>2Q16</v>
      </c>
      <c r="M5" s="785" t="str">
        <f>Input!ED6</f>
        <v>% Chg</v>
      </c>
      <c r="N5" s="784" t="str">
        <f>Input!EE6</f>
        <v>3Q16</v>
      </c>
      <c r="O5" s="785" t="str">
        <f>Input!EF6</f>
        <v>% Chg</v>
      </c>
      <c r="P5" s="784" t="str">
        <f>Input!EG6</f>
        <v>4Q16</v>
      </c>
      <c r="Q5" s="785" t="str">
        <f>Input!EH6</f>
        <v>% Chg</v>
      </c>
      <c r="R5" s="784" t="str">
        <f>Input!EI6</f>
        <v>1Q17</v>
      </c>
      <c r="S5" s="785" t="str">
        <f>Input!EJ6</f>
        <v>% Chg</v>
      </c>
      <c r="T5" s="784" t="str">
        <f>Input!EK6</f>
        <v>2Q17</v>
      </c>
      <c r="U5" s="785" t="str">
        <f>Input!EL6</f>
        <v>% Chg</v>
      </c>
      <c r="V5" s="784" t="str">
        <f>Input!EM6</f>
        <v>3Q17</v>
      </c>
      <c r="W5" s="785" t="str">
        <f>Input!EN6</f>
        <v>% Chg</v>
      </c>
      <c r="X5" s="784" t="str">
        <f>Input!EO6</f>
        <v>4Q17</v>
      </c>
      <c r="Y5" s="785" t="str">
        <f>Input!EP6</f>
        <v>% Chg</v>
      </c>
      <c r="Z5" s="784" t="str">
        <f>Input!EQ6</f>
        <v>1Q18E</v>
      </c>
      <c r="AA5" s="785" t="str">
        <f>Input!ER6</f>
        <v>% Chg</v>
      </c>
      <c r="AB5" s="784" t="str">
        <f>Input!ES6</f>
        <v>2Q18E</v>
      </c>
      <c r="AC5" s="785" t="str">
        <f>Input!ET6</f>
        <v>% Chg</v>
      </c>
      <c r="AD5" s="784" t="str">
        <f>Input!EU6</f>
        <v>3Q18E</v>
      </c>
      <c r="AE5" s="785" t="str">
        <f>Input!EV6</f>
        <v>% Chg</v>
      </c>
      <c r="AF5" s="784" t="str">
        <f>Input!EW6</f>
        <v>4Q18E</v>
      </c>
      <c r="AG5" s="785" t="str">
        <f>Input!EX6</f>
        <v>% Chg</v>
      </c>
      <c r="AH5" s="786"/>
      <c r="AI5" s="784" t="str">
        <f>Input!GJ6</f>
        <v>2015</v>
      </c>
      <c r="AJ5" s="785"/>
      <c r="AK5" s="784" t="str">
        <f>Input!GL6</f>
        <v>2016</v>
      </c>
      <c r="AL5" s="785" t="str">
        <f>Input!GM6</f>
        <v>% Chg</v>
      </c>
      <c r="AM5" s="784">
        <f>Input!GN6</f>
        <v>2017</v>
      </c>
      <c r="AN5" s="785" t="str">
        <f>Input!GO6</f>
        <v>% Chg</v>
      </c>
      <c r="AO5" s="784" t="str">
        <f>Input!GP6</f>
        <v>2018E</v>
      </c>
      <c r="AP5" s="785" t="str">
        <f>Input!GQ6</f>
        <v>% Chg</v>
      </c>
      <c r="AQ5" s="784" t="str">
        <f>Input!GR6</f>
        <v>2019E</v>
      </c>
      <c r="AR5" s="785" t="str">
        <f>Input!GS6</f>
        <v>% Chg</v>
      </c>
      <c r="AS5" s="784" t="str">
        <f>Input!GT6</f>
        <v>2020E</v>
      </c>
      <c r="AT5" s="785" t="str">
        <f>Input!GU6</f>
        <v>% Chg</v>
      </c>
      <c r="AU5" s="784" t="str">
        <f>Input!GV6</f>
        <v>2021E</v>
      </c>
      <c r="AV5" s="785" t="str">
        <f>Input!GW6</f>
        <v>% Chg</v>
      </c>
      <c r="AW5" s="784" t="str">
        <f>Input!GX6</f>
        <v>2022E</v>
      </c>
      <c r="AX5" s="785" t="str">
        <f>Input!GY6</f>
        <v>% Chg</v>
      </c>
      <c r="AY5" s="787" t="str">
        <f>Input!GZ6</f>
        <v>(%)</v>
      </c>
      <c r="AZ5" s="858"/>
      <c r="BA5" s="858"/>
      <c r="BB5" s="858"/>
      <c r="BC5" s="858"/>
      <c r="BD5" s="858"/>
      <c r="BE5" s="858"/>
    </row>
    <row r="6" spans="1:57" s="781" customFormat="1" ht="4.5" customHeight="1" x14ac:dyDescent="0.2">
      <c r="A6" s="782"/>
      <c r="B6" s="778"/>
      <c r="C6" s="775"/>
      <c r="D6" s="778"/>
      <c r="E6" s="775"/>
      <c r="F6" s="778"/>
      <c r="G6" s="775"/>
      <c r="H6" s="778"/>
      <c r="I6" s="775"/>
      <c r="J6" s="778"/>
      <c r="K6" s="775"/>
      <c r="L6" s="778"/>
      <c r="M6" s="775"/>
      <c r="N6" s="778"/>
      <c r="O6" s="775"/>
      <c r="P6" s="778"/>
      <c r="Q6" s="775"/>
      <c r="R6" s="778"/>
      <c r="S6" s="775"/>
      <c r="T6" s="778"/>
      <c r="U6" s="775"/>
      <c r="V6" s="778"/>
      <c r="W6" s="775"/>
      <c r="X6" s="778"/>
      <c r="Y6" s="775"/>
      <c r="Z6" s="778"/>
      <c r="AA6" s="775"/>
      <c r="AB6" s="778"/>
      <c r="AC6" s="775"/>
      <c r="AD6" s="778"/>
      <c r="AE6" s="775"/>
      <c r="AF6" s="778"/>
      <c r="AG6" s="775"/>
      <c r="AH6" s="780"/>
      <c r="AI6" s="778"/>
      <c r="AJ6" s="775"/>
      <c r="AK6" s="778"/>
      <c r="AL6" s="775"/>
      <c r="AM6" s="778"/>
      <c r="AN6" s="775"/>
      <c r="AO6" s="778"/>
      <c r="AP6" s="775"/>
      <c r="AQ6" s="778"/>
      <c r="AR6" s="775"/>
      <c r="AS6" s="778"/>
      <c r="AT6" s="775"/>
      <c r="AU6" s="778"/>
      <c r="AV6" s="775"/>
      <c r="AW6" s="778"/>
      <c r="AX6" s="775"/>
      <c r="AY6" s="777"/>
      <c r="AZ6" s="858"/>
      <c r="BA6" s="858"/>
      <c r="BB6" s="858"/>
      <c r="BC6" s="858"/>
      <c r="BD6" s="858"/>
      <c r="BE6" s="858"/>
    </row>
    <row r="7" spans="1:57" s="772" customFormat="1" ht="12.75" customHeight="1" x14ac:dyDescent="0.2">
      <c r="A7" s="839" t="s">
        <v>49</v>
      </c>
      <c r="B7" s="823"/>
      <c r="C7" s="827"/>
      <c r="D7" s="823"/>
      <c r="E7" s="827"/>
      <c r="F7" s="823"/>
      <c r="G7" s="827"/>
      <c r="H7" s="823"/>
      <c r="I7" s="827"/>
      <c r="J7" s="823"/>
      <c r="K7" s="827"/>
      <c r="L7" s="823"/>
      <c r="M7" s="827"/>
      <c r="N7" s="823"/>
      <c r="O7" s="827"/>
      <c r="P7" s="823"/>
      <c r="Q7" s="827"/>
      <c r="R7" s="823"/>
      <c r="S7" s="827"/>
      <c r="T7" s="823"/>
      <c r="U7" s="827"/>
      <c r="V7" s="823"/>
      <c r="W7" s="827"/>
      <c r="X7" s="823"/>
      <c r="Y7" s="827"/>
      <c r="Z7" s="823"/>
      <c r="AA7" s="827"/>
      <c r="AB7" s="823"/>
      <c r="AC7" s="827"/>
      <c r="AD7" s="823"/>
      <c r="AE7" s="827"/>
      <c r="AF7" s="823"/>
      <c r="AG7" s="827"/>
      <c r="AH7" s="825"/>
      <c r="AI7" s="823"/>
      <c r="AJ7" s="827"/>
      <c r="AK7" s="823"/>
      <c r="AL7" s="827"/>
      <c r="AM7" s="823"/>
      <c r="AN7" s="827"/>
      <c r="AO7" s="823"/>
      <c r="AP7" s="827"/>
      <c r="AQ7" s="823"/>
      <c r="AR7" s="827"/>
      <c r="AS7" s="823"/>
      <c r="AT7" s="827"/>
      <c r="AU7" s="823"/>
      <c r="AV7" s="827"/>
      <c r="AW7" s="823"/>
      <c r="AX7" s="827"/>
      <c r="AY7" s="859"/>
      <c r="AZ7" s="858"/>
      <c r="BA7" s="858"/>
      <c r="BB7" s="858"/>
      <c r="BC7" s="858"/>
      <c r="BD7" s="858"/>
      <c r="BE7" s="858"/>
    </row>
    <row r="8" spans="1:57" s="772" customFormat="1" ht="12.75" customHeight="1" x14ac:dyDescent="0.2">
      <c r="A8" s="822" t="str">
        <f>Input!B613</f>
        <v>Group Benefits</v>
      </c>
      <c r="B8" s="840">
        <f>+Input!DS613</f>
        <v>138</v>
      </c>
      <c r="C8" s="824"/>
      <c r="D8" s="840">
        <f>+Input!DU613</f>
        <v>166</v>
      </c>
      <c r="E8" s="824"/>
      <c r="F8" s="840">
        <f>+Input!DW613</f>
        <v>177</v>
      </c>
      <c r="G8" s="824"/>
      <c r="H8" s="840">
        <f>+Input!DY613</f>
        <v>153</v>
      </c>
      <c r="I8" s="824"/>
      <c r="J8" s="840">
        <f>+Input!EA613</f>
        <v>142</v>
      </c>
      <c r="K8" s="824">
        <f>+Input!EB613</f>
        <v>2.8985507246376718</v>
      </c>
      <c r="L8" s="840">
        <f>+Input!EC613</f>
        <v>185</v>
      </c>
      <c r="M8" s="824">
        <f>+Input!ED613</f>
        <v>11.44578313253013</v>
      </c>
      <c r="N8" s="840">
        <f>+Input!EE613</f>
        <v>186</v>
      </c>
      <c r="O8" s="824">
        <f>+Input!EF613</f>
        <v>5.0847457627118731</v>
      </c>
      <c r="P8" s="840">
        <f>+Input!EG613</f>
        <v>174</v>
      </c>
      <c r="Q8" s="824">
        <f>+Input!EH613</f>
        <v>13.725490196078427</v>
      </c>
      <c r="R8" s="840">
        <f>+Input!EI613</f>
        <v>194</v>
      </c>
      <c r="S8" s="824">
        <f>+Input!EJ613</f>
        <v>36.619718309859152</v>
      </c>
      <c r="T8" s="840">
        <f>+Input!EK613</f>
        <v>203</v>
      </c>
      <c r="U8" s="824">
        <f>+Input!EL613</f>
        <v>9.7297297297297192</v>
      </c>
      <c r="V8" s="840">
        <f>+Input!EM613</f>
        <v>241</v>
      </c>
      <c r="W8" s="824">
        <f>+Input!EN613</f>
        <v>29.569892473118276</v>
      </c>
      <c r="X8" s="840">
        <f>+Input!EO613</f>
        <v>230</v>
      </c>
      <c r="Y8" s="824">
        <f>+Input!EP613</f>
        <v>32.18390804597702</v>
      </c>
      <c r="Z8" s="840">
        <f>+Input!EQ613</f>
        <v>269.4829126818604</v>
      </c>
      <c r="AA8" s="824">
        <f>+Input!ER613</f>
        <v>38.908717877247632</v>
      </c>
      <c r="AB8" s="840">
        <f>+Input!ES613</f>
        <v>279.21890097846847</v>
      </c>
      <c r="AC8" s="824">
        <f>+Input!ET613</f>
        <v>37.546256639639644</v>
      </c>
      <c r="AD8" s="840">
        <f>+Input!EU613</f>
        <v>288.74141177748498</v>
      </c>
      <c r="AE8" s="824">
        <f>+Input!EV613</f>
        <v>19.809714430491688</v>
      </c>
      <c r="AF8" s="840">
        <f>+Input!EW613</f>
        <v>298.57441754230206</v>
      </c>
      <c r="AG8" s="824">
        <f>+Input!EX613</f>
        <v>29.814964148826984</v>
      </c>
      <c r="AH8" s="846"/>
      <c r="AI8" s="840">
        <f>+Input!GJ613</f>
        <v>634</v>
      </c>
      <c r="AJ8" s="824"/>
      <c r="AK8" s="840">
        <f>+Input!GL613</f>
        <v>687</v>
      </c>
      <c r="AL8" s="824">
        <f>+Input!GM613</f>
        <v>8.3596214511040934</v>
      </c>
      <c r="AM8" s="840">
        <f>+Input!GN613</f>
        <v>868</v>
      </c>
      <c r="AN8" s="824">
        <f>+Input!GO613</f>
        <v>26.346433770014556</v>
      </c>
      <c r="AO8" s="840">
        <f>+Input!GP613</f>
        <v>1136.0176429801172</v>
      </c>
      <c r="AP8" s="824">
        <f>+Input!GQ613</f>
        <v>30.877608638262345</v>
      </c>
      <c r="AQ8" s="840">
        <f>+Input!GR613</f>
        <v>1189.243718302029</v>
      </c>
      <c r="AR8" s="824">
        <f>+Input!GS613</f>
        <v>4.6853211876431544</v>
      </c>
      <c r="AS8" s="840">
        <f>+Input!GT613</f>
        <v>1208.1936316817391</v>
      </c>
      <c r="AT8" s="824">
        <f>+Input!GU613</f>
        <v>1.5934423775444628</v>
      </c>
      <c r="AU8" s="840">
        <f>+Input!GV613</f>
        <v>1229.5493105467267</v>
      </c>
      <c r="AV8" s="824">
        <f>+Input!GW613</f>
        <v>1.7675708847481264</v>
      </c>
      <c r="AW8" s="840">
        <f>+Input!GX613</f>
        <v>1253.1023517910103</v>
      </c>
      <c r="AX8" s="824">
        <f>+Input!GY613</f>
        <v>1.9155832988764443</v>
      </c>
      <c r="AY8" s="824">
        <f>+Input!GZ613</f>
        <v>7.620093240321224</v>
      </c>
      <c r="AZ8" s="858"/>
      <c r="BA8" s="858"/>
      <c r="BB8" s="858"/>
      <c r="BC8" s="858"/>
      <c r="BD8" s="858"/>
      <c r="BE8" s="858"/>
    </row>
    <row r="9" spans="1:57" s="772" customFormat="1" ht="12.75" customHeight="1" x14ac:dyDescent="0.2">
      <c r="A9" s="822" t="str">
        <f>Input!B614</f>
        <v>Retirement &amp; Income Solutions</v>
      </c>
      <c r="B9" s="840">
        <f>+Input!DS614</f>
        <v>307</v>
      </c>
      <c r="C9" s="824"/>
      <c r="D9" s="840">
        <f>+Input!DU614</f>
        <v>338</v>
      </c>
      <c r="E9" s="824"/>
      <c r="F9" s="840">
        <f>+Input!DW614</f>
        <v>267</v>
      </c>
      <c r="G9" s="824"/>
      <c r="H9" s="840">
        <f>+Input!DY614</f>
        <v>235</v>
      </c>
      <c r="I9" s="824"/>
      <c r="J9" s="840">
        <f>+Input!EA614</f>
        <v>242</v>
      </c>
      <c r="K9" s="824">
        <f>+Input!EB614</f>
        <v>-21.172638436482082</v>
      </c>
      <c r="L9" s="840">
        <f>+Input!EC614</f>
        <v>260</v>
      </c>
      <c r="M9" s="824">
        <f>+Input!ED614</f>
        <v>-23.076923076923073</v>
      </c>
      <c r="N9" s="840">
        <f>+Input!EE614</f>
        <v>308</v>
      </c>
      <c r="O9" s="824">
        <f>+Input!EF614</f>
        <v>15.355805243445687</v>
      </c>
      <c r="P9" s="840">
        <f>+Input!EG614</f>
        <v>294</v>
      </c>
      <c r="Q9" s="824">
        <f>+Input!EH614</f>
        <v>25.106382978723406</v>
      </c>
      <c r="R9" s="840">
        <f>+Input!EI614</f>
        <v>274</v>
      </c>
      <c r="S9" s="824">
        <f>+Input!EJ614</f>
        <v>13.223140495867769</v>
      </c>
      <c r="T9" s="840">
        <f>+Input!EK614</f>
        <v>262</v>
      </c>
      <c r="U9" s="824">
        <f>+Input!EL614</f>
        <v>0.7692307692307665</v>
      </c>
      <c r="V9" s="840">
        <f>+Input!EM614</f>
        <v>247</v>
      </c>
      <c r="W9" s="824">
        <f>+Input!EN614</f>
        <v>-19.805194805194802</v>
      </c>
      <c r="X9" s="840">
        <f>+Input!EO614</f>
        <v>173</v>
      </c>
      <c r="Y9" s="824">
        <f>+Input!EP614</f>
        <v>-41.156462585034014</v>
      </c>
      <c r="Z9" s="840">
        <f>+Input!EQ614</f>
        <v>292.37849486517337</v>
      </c>
      <c r="AA9" s="824">
        <f>+Input!ER614</f>
        <v>6.7074798778004929</v>
      </c>
      <c r="AB9" s="840">
        <f>+Input!ES614</f>
        <v>279.15752943126427</v>
      </c>
      <c r="AC9" s="824">
        <f>+Input!ET614</f>
        <v>6.5486753554443666</v>
      </c>
      <c r="AD9" s="840">
        <f>+Input!EU614</f>
        <v>266.38797130291749</v>
      </c>
      <c r="AE9" s="824">
        <f>+Input!EV614</f>
        <v>7.8493810942985798</v>
      </c>
      <c r="AF9" s="840">
        <f>+Input!EW614</f>
        <v>253.51588914517234</v>
      </c>
      <c r="AG9" s="824">
        <f>+Input!EX614</f>
        <v>46.54097638449268</v>
      </c>
      <c r="AH9" s="846"/>
      <c r="AI9" s="840">
        <f>+Input!GJ614</f>
        <v>1147</v>
      </c>
      <c r="AJ9" s="824"/>
      <c r="AK9" s="840">
        <f>+Input!GL614</f>
        <v>1104</v>
      </c>
      <c r="AL9" s="824">
        <f>+Input!GM614</f>
        <v>-3.7489102005231034</v>
      </c>
      <c r="AM9" s="840">
        <f>+Input!GN614</f>
        <v>956</v>
      </c>
      <c r="AN9" s="824">
        <f>+Input!GO614</f>
        <v>-13.405797101449279</v>
      </c>
      <c r="AO9" s="840">
        <f>+Input!GP614</f>
        <v>1091.4398847445261</v>
      </c>
      <c r="AP9" s="824">
        <f>+Input!GQ614</f>
        <v>14.167351960724496</v>
      </c>
      <c r="AQ9" s="840">
        <f>+Input!GR614</f>
        <v>1089.1686832500591</v>
      </c>
      <c r="AR9" s="824">
        <f>+Input!GS614</f>
        <v>-0.2080922207638336</v>
      </c>
      <c r="AS9" s="840">
        <f>+Input!GT614</f>
        <v>1107.3301829045593</v>
      </c>
      <c r="AT9" s="824">
        <f>+Input!GU614</f>
        <v>1.6674643637665465</v>
      </c>
      <c r="AU9" s="840">
        <f>+Input!GV614</f>
        <v>1126.4400037600963</v>
      </c>
      <c r="AV9" s="824">
        <f>+Input!GW614</f>
        <v>1.7257563417454547</v>
      </c>
      <c r="AW9" s="840">
        <f>+Input!GX614</f>
        <v>1152.9255001176859</v>
      </c>
      <c r="AX9" s="824">
        <f>+Input!GY614</f>
        <v>2.351256726428419</v>
      </c>
      <c r="AY9" s="824">
        <f>+Input!GZ614</f>
        <v>3.8170467601552183</v>
      </c>
      <c r="AZ9" s="858"/>
      <c r="BA9" s="858"/>
      <c r="BB9" s="858"/>
      <c r="BC9" s="858"/>
      <c r="BD9" s="858"/>
      <c r="BE9" s="858"/>
    </row>
    <row r="10" spans="1:57" s="772" customFormat="1" ht="12.75" customHeight="1" x14ac:dyDescent="0.2">
      <c r="A10" s="822" t="str">
        <f>Input!B615</f>
        <v>Property &amp; Casualty</v>
      </c>
      <c r="B10" s="840">
        <f>+Input!DS615</f>
        <v>65</v>
      </c>
      <c r="C10" s="824"/>
      <c r="D10" s="840">
        <f>+Input!DU615</f>
        <v>47</v>
      </c>
      <c r="E10" s="824"/>
      <c r="F10" s="840">
        <f>+Input!DW615</f>
        <v>67</v>
      </c>
      <c r="G10" s="824"/>
      <c r="H10" s="840">
        <f>+Input!DY615</f>
        <v>44</v>
      </c>
      <c r="I10" s="824"/>
      <c r="J10" s="840">
        <f>+Input!EA615</f>
        <v>22</v>
      </c>
      <c r="K10" s="824" t="str">
        <f>+Input!EB615</f>
        <v>NM</v>
      </c>
      <c r="L10" s="840">
        <f>+Input!EC615</f>
        <v>-2</v>
      </c>
      <c r="M10" s="824" t="str">
        <f>+Input!ED615</f>
        <v>NM</v>
      </c>
      <c r="N10" s="840">
        <f>+Input!EE615</f>
        <v>58</v>
      </c>
      <c r="O10" s="824">
        <f>+Input!EF615</f>
        <v>-13.432835820895528</v>
      </c>
      <c r="P10" s="840">
        <f>+Input!EG615</f>
        <v>43</v>
      </c>
      <c r="Q10" s="824">
        <f>+Input!EH615</f>
        <v>-2.2727272727272707</v>
      </c>
      <c r="R10" s="840">
        <f>+Input!EI615</f>
        <v>29</v>
      </c>
      <c r="S10" s="824">
        <f>+Input!EJ615</f>
        <v>31.818181818181813</v>
      </c>
      <c r="T10" s="840">
        <f>+Input!EK615</f>
        <v>28</v>
      </c>
      <c r="U10" s="824" t="str">
        <f>+Input!EL615</f>
        <v>NM</v>
      </c>
      <c r="V10" s="840">
        <f>+Input!EM615</f>
        <v>51</v>
      </c>
      <c r="W10" s="824">
        <f>+Input!EN615</f>
        <v>-12.068965517241381</v>
      </c>
      <c r="X10" s="840">
        <f>+Input!EO615</f>
        <v>95</v>
      </c>
      <c r="Y10" s="824" t="str">
        <f>+Input!EP615</f>
        <v>NM</v>
      </c>
      <c r="Z10" s="840">
        <f>+Input!EQ615</f>
        <v>55.516450700000007</v>
      </c>
      <c r="AA10" s="824">
        <f>+Input!ER615</f>
        <v>91.436036896551755</v>
      </c>
      <c r="AB10" s="840">
        <f>+Input!ES615</f>
        <v>51.577121032325117</v>
      </c>
      <c r="AC10" s="824">
        <f>+Input!ET615</f>
        <v>84.20400368687541</v>
      </c>
      <c r="AD10" s="840">
        <f>+Input!EU615</f>
        <v>55.969680318939638</v>
      </c>
      <c r="AE10" s="824">
        <f>+Input!EV615</f>
        <v>9.744471213607131</v>
      </c>
      <c r="AF10" s="840">
        <f>+Input!EW615</f>
        <v>101.56161385684511</v>
      </c>
      <c r="AG10" s="824">
        <f>+Input!EX615</f>
        <v>6.9069619545738092</v>
      </c>
      <c r="AH10" s="846"/>
      <c r="AI10" s="840">
        <f>+Input!GJ615</f>
        <v>223</v>
      </c>
      <c r="AJ10" s="824"/>
      <c r="AK10" s="840">
        <f>+Input!GL615</f>
        <v>121</v>
      </c>
      <c r="AL10" s="824">
        <f>+Input!GM615</f>
        <v>-45.739910313901348</v>
      </c>
      <c r="AM10" s="840">
        <f>+Input!GN615</f>
        <v>203</v>
      </c>
      <c r="AN10" s="824">
        <f>+Input!GO615</f>
        <v>67.768595041322314</v>
      </c>
      <c r="AO10" s="840">
        <f>+Input!GP615</f>
        <v>264.62486590810988</v>
      </c>
      <c r="AP10" s="824">
        <f>+Input!GQ615</f>
        <v>30.357076802024572</v>
      </c>
      <c r="AQ10" s="840">
        <f>+Input!GR615</f>
        <v>301.1523759579602</v>
      </c>
      <c r="AR10" s="824">
        <f>+Input!GS615</f>
        <v>13.803506304858892</v>
      </c>
      <c r="AS10" s="840">
        <f>+Input!GT615</f>
        <v>323.85011480374055</v>
      </c>
      <c r="AT10" s="824">
        <f>+Input!GU615</f>
        <v>7.5369615708922311</v>
      </c>
      <c r="AU10" s="840">
        <f>+Input!GV615</f>
        <v>345.37315680898166</v>
      </c>
      <c r="AV10" s="824">
        <f>+Input!GW615</f>
        <v>6.6459886908746268</v>
      </c>
      <c r="AW10" s="840">
        <f>+Input!GX615</f>
        <v>362.37725109919432</v>
      </c>
      <c r="AX10" s="824">
        <f>+Input!GY615</f>
        <v>4.9233977670179119</v>
      </c>
      <c r="AY10" s="824">
        <f>+Input!GZ615</f>
        <v>12.287904626837044</v>
      </c>
      <c r="AZ10" s="858"/>
      <c r="BA10" s="858"/>
      <c r="BB10" s="858"/>
      <c r="BC10" s="858"/>
      <c r="BD10" s="858"/>
      <c r="BE10" s="858"/>
    </row>
    <row r="11" spans="1:57" s="772" customFormat="1" ht="12.75" customHeight="1" x14ac:dyDescent="0.2">
      <c r="A11" s="839" t="str">
        <f>Input!B616</f>
        <v>Total US</v>
      </c>
      <c r="B11" s="840">
        <f>+Input!DS616</f>
        <v>510</v>
      </c>
      <c r="C11" s="824"/>
      <c r="D11" s="840">
        <f>+Input!DU616</f>
        <v>551</v>
      </c>
      <c r="E11" s="824"/>
      <c r="F11" s="840">
        <f>+Input!DW616</f>
        <v>511</v>
      </c>
      <c r="G11" s="824"/>
      <c r="H11" s="840">
        <f>+Input!DY616</f>
        <v>432</v>
      </c>
      <c r="I11" s="824"/>
      <c r="J11" s="840">
        <f>+Input!EA616</f>
        <v>406</v>
      </c>
      <c r="K11" s="824">
        <f>+Input!EB616</f>
        <v>-20.392156862745104</v>
      </c>
      <c r="L11" s="840">
        <f>+Input!EC616</f>
        <v>443</v>
      </c>
      <c r="M11" s="824">
        <f>+Input!ED616</f>
        <v>-19.600725952813068</v>
      </c>
      <c r="N11" s="840">
        <f>+Input!EE616</f>
        <v>552</v>
      </c>
      <c r="O11" s="824">
        <f>+Input!EF616</f>
        <v>8.0234833659491134</v>
      </c>
      <c r="P11" s="840">
        <f>+Input!EG616</f>
        <v>511</v>
      </c>
      <c r="Q11" s="824">
        <f>+Input!EH616</f>
        <v>18.287037037037045</v>
      </c>
      <c r="R11" s="840">
        <f>+Input!EI616</f>
        <v>497</v>
      </c>
      <c r="S11" s="824">
        <f>+Input!EJ616</f>
        <v>22.413793103448263</v>
      </c>
      <c r="T11" s="840">
        <f>+Input!EK616</f>
        <v>493</v>
      </c>
      <c r="U11" s="824">
        <f>+Input!EL616</f>
        <v>11.28668171557563</v>
      </c>
      <c r="V11" s="840">
        <f>+Input!EM616</f>
        <v>539</v>
      </c>
      <c r="W11" s="824">
        <f>+Input!EN616</f>
        <v>-2.3550724637681153</v>
      </c>
      <c r="X11" s="840">
        <f>+Input!EO616</f>
        <v>498</v>
      </c>
      <c r="Y11" s="824">
        <f>+Input!EP616</f>
        <v>-2.5440313111546042</v>
      </c>
      <c r="Z11" s="840">
        <f>+Input!EQ616</f>
        <v>617.37785824703383</v>
      </c>
      <c r="AA11" s="824">
        <f>+Input!ER616</f>
        <v>24.220897031596333</v>
      </c>
      <c r="AB11" s="840">
        <f>+Input!ES616</f>
        <v>609.9535514420578</v>
      </c>
      <c r="AC11" s="824">
        <f>+Input!ET616</f>
        <v>23.722829907111119</v>
      </c>
      <c r="AD11" s="840">
        <f>+Input!EU616</f>
        <v>611.09906339934207</v>
      </c>
      <c r="AE11" s="824">
        <f>+Input!EV616</f>
        <v>13.376449610267539</v>
      </c>
      <c r="AF11" s="840">
        <f>+Input!EW616</f>
        <v>653.65192054431952</v>
      </c>
      <c r="AG11" s="824">
        <f>+Input!EX616</f>
        <v>31.255405731791065</v>
      </c>
      <c r="AH11" s="846"/>
      <c r="AI11" s="840">
        <f>+Input!GJ616</f>
        <v>2004</v>
      </c>
      <c r="AJ11" s="824"/>
      <c r="AK11" s="840">
        <f>+Input!GL616</f>
        <v>1912</v>
      </c>
      <c r="AL11" s="824">
        <f>+Input!GM616</f>
        <v>-4.5908183632734527</v>
      </c>
      <c r="AM11" s="840">
        <f>+Input!GN616</f>
        <v>2027</v>
      </c>
      <c r="AN11" s="824">
        <f>+Input!GO616</f>
        <v>6.0146443514644377</v>
      </c>
      <c r="AO11" s="840">
        <f>+Input!GP616</f>
        <v>2492.0823936327529</v>
      </c>
      <c r="AP11" s="824">
        <f>+Input!GQ616</f>
        <v>22.944370677491509</v>
      </c>
      <c r="AQ11" s="840">
        <f>+Input!GR616</f>
        <v>2579.5647775100488</v>
      </c>
      <c r="AR11" s="824">
        <f>+Input!GS616</f>
        <v>3.5104129823641639</v>
      </c>
      <c r="AS11" s="840">
        <f>+Input!GT616</f>
        <v>2639.3739293900389</v>
      </c>
      <c r="AT11" s="824">
        <f>+Input!GU616</f>
        <v>2.3185753039209001</v>
      </c>
      <c r="AU11" s="840">
        <f>+Input!GV616</f>
        <v>2701.3624711158045</v>
      </c>
      <c r="AV11" s="824">
        <f>+Input!GW616</f>
        <v>2.3486077904880664</v>
      </c>
      <c r="AW11" s="840">
        <f>+Input!GX616</f>
        <v>2768.4051030078904</v>
      </c>
      <c r="AX11" s="824">
        <f>+Input!GY616</f>
        <v>2.4818080731088932</v>
      </c>
      <c r="AY11" s="98">
        <f t="shared" ref="AY11" si="0">IF(ISERROR(((AU11/AK11)^0.2-1)*100),"NA",IF((((AU11/AK11)^0.2-1)*100)&gt;100,"NM",IF((((AU11/AK11)^0.2-1)*100)&lt;-50,"NM",((AU11/AK11)^0.2-1)*100)))</f>
        <v>7.1566171535178746</v>
      </c>
      <c r="AZ11" s="858"/>
      <c r="BA11" s="858"/>
      <c r="BB11" s="858"/>
      <c r="BC11" s="858"/>
      <c r="BD11" s="858"/>
      <c r="BE11" s="858"/>
    </row>
    <row r="12" spans="1:57" s="772" customFormat="1" ht="12.75" customHeight="1" x14ac:dyDescent="0.2">
      <c r="A12" s="822" t="str">
        <f>Input!B618</f>
        <v>Asia</v>
      </c>
      <c r="B12" s="840">
        <f>+Input!DS618</f>
        <v>327</v>
      </c>
      <c r="C12" s="824"/>
      <c r="D12" s="840">
        <f>+Input!DU618</f>
        <v>425</v>
      </c>
      <c r="E12" s="824"/>
      <c r="F12" s="840">
        <f>+Input!DW618</f>
        <v>338</v>
      </c>
      <c r="G12" s="824"/>
      <c r="H12" s="840">
        <f>+Input!DY618</f>
        <v>290</v>
      </c>
      <c r="I12" s="824"/>
      <c r="J12" s="840">
        <f>+Input!EA618</f>
        <v>305</v>
      </c>
      <c r="K12" s="824">
        <f>+Input!EB618</f>
        <v>-6.7278287461773667</v>
      </c>
      <c r="L12" s="840">
        <f>+Input!EC618</f>
        <v>259</v>
      </c>
      <c r="M12" s="824">
        <f>+Input!ED618</f>
        <v>-39.058823529411768</v>
      </c>
      <c r="N12" s="840">
        <f>+Input!EE618</f>
        <v>324</v>
      </c>
      <c r="O12" s="824">
        <f>+Input!EF618</f>
        <v>-4.1420118343195256</v>
      </c>
      <c r="P12" s="840">
        <f>+Input!EG618</f>
        <v>354</v>
      </c>
      <c r="Q12" s="824">
        <f>+Input!EH618</f>
        <v>22.068965517241381</v>
      </c>
      <c r="R12" s="840">
        <f>+Input!EI618</f>
        <v>295</v>
      </c>
      <c r="S12" s="824">
        <f>+Input!EJ618</f>
        <v>-3.2786885245901676</v>
      </c>
      <c r="T12" s="840">
        <f>+Input!EK618</f>
        <v>310</v>
      </c>
      <c r="U12" s="824">
        <f>+Input!EL618</f>
        <v>19.691119691119695</v>
      </c>
      <c r="V12" s="840">
        <f>+Input!EM618</f>
        <v>314</v>
      </c>
      <c r="W12" s="824">
        <f>+Input!EN618</f>
        <v>-3.0864197530864224</v>
      </c>
      <c r="X12" s="840">
        <f>+Input!EO618</f>
        <v>310</v>
      </c>
      <c r="Y12" s="824">
        <f>+Input!EP618</f>
        <v>-12.429378531073443</v>
      </c>
      <c r="Z12" s="840">
        <f>+Input!EQ618</f>
        <v>325.86588020000011</v>
      </c>
      <c r="AA12" s="824">
        <f>+Input!ER618</f>
        <v>10.463010237288174</v>
      </c>
      <c r="AB12" s="840">
        <f>+Input!ES618</f>
        <v>331.57710791275031</v>
      </c>
      <c r="AC12" s="824">
        <f>+Input!ET618</f>
        <v>6.9603573912097705</v>
      </c>
      <c r="AD12" s="840">
        <f>+Input!EU618</f>
        <v>337.39672629335769</v>
      </c>
      <c r="AE12" s="824">
        <f>+Input!EV618</f>
        <v>7.4511867176298319</v>
      </c>
      <c r="AF12" s="840">
        <f>+Input!EW618</f>
        <v>340.34124317248745</v>
      </c>
      <c r="AG12" s="824">
        <f>+Input!EX618</f>
        <v>9.7874977975765951</v>
      </c>
      <c r="AH12" s="846"/>
      <c r="AI12" s="840">
        <f>+Input!GJ618</f>
        <v>1380</v>
      </c>
      <c r="AJ12" s="824"/>
      <c r="AK12" s="840">
        <f>+Input!GL618</f>
        <v>1242</v>
      </c>
      <c r="AL12" s="824">
        <f>+Input!GM618</f>
        <v>-9.9999999999999982</v>
      </c>
      <c r="AM12" s="840">
        <f>+Input!GN618</f>
        <v>1229</v>
      </c>
      <c r="AN12" s="824">
        <f>+Input!GO618</f>
        <v>-1.046698872785834</v>
      </c>
      <c r="AO12" s="840">
        <f>+Input!GP618</f>
        <v>1335.1809575785956</v>
      </c>
      <c r="AP12" s="824">
        <f>+Input!GQ618</f>
        <v>8.6396222602600048</v>
      </c>
      <c r="AQ12" s="840">
        <f>+Input!GR618</f>
        <v>1423.1892655553743</v>
      </c>
      <c r="AR12" s="824">
        <f>+Input!GS618</f>
        <v>6.5914891518813468</v>
      </c>
      <c r="AS12" s="840">
        <f>+Input!GT618</f>
        <v>1494.3487288331453</v>
      </c>
      <c r="AT12" s="824">
        <f>+Input!GU618</f>
        <v>5.0000000000001599</v>
      </c>
      <c r="AU12" s="840">
        <f>+Input!GV618</f>
        <v>1578.0766688355261</v>
      </c>
      <c r="AV12" s="824">
        <f>+Input!GW618</f>
        <v>5.6029719426843094</v>
      </c>
      <c r="AW12" s="840">
        <f>+Input!GX618</f>
        <v>1649.4048214793954</v>
      </c>
      <c r="AX12" s="824">
        <f>+Input!GY618</f>
        <v>4.5199421582287735</v>
      </c>
      <c r="AY12" s="824">
        <f>+Input!GZ618</f>
        <v>6.0608431675433172</v>
      </c>
      <c r="AZ12" s="858"/>
      <c r="BA12" s="858"/>
      <c r="BB12" s="858"/>
      <c r="BC12" s="858"/>
      <c r="BD12" s="858"/>
      <c r="BE12" s="858"/>
    </row>
    <row r="13" spans="1:57" s="772" customFormat="1" ht="12.75" customHeight="1" x14ac:dyDescent="0.2">
      <c r="A13" s="822" t="str">
        <f>Input!B619</f>
        <v>Latin Americas</v>
      </c>
      <c r="B13" s="840">
        <f>+Input!DS619</f>
        <v>149</v>
      </c>
      <c r="C13" s="824"/>
      <c r="D13" s="840">
        <f>+Input!DU619</f>
        <v>136</v>
      </c>
      <c r="E13" s="824"/>
      <c r="F13" s="840">
        <f>+Input!DW619</f>
        <v>183</v>
      </c>
      <c r="G13" s="824"/>
      <c r="H13" s="840">
        <f>+Input!DY619</f>
        <v>157</v>
      </c>
      <c r="I13" s="824"/>
      <c r="J13" s="840">
        <f>+Input!EA619</f>
        <v>151</v>
      </c>
      <c r="K13" s="824">
        <f>+Input!EB619</f>
        <v>1.3422818791946289</v>
      </c>
      <c r="L13" s="840">
        <f>+Input!EC619</f>
        <v>137</v>
      </c>
      <c r="M13" s="824">
        <f>+Input!ED619</f>
        <v>0.73529411764705621</v>
      </c>
      <c r="N13" s="840">
        <f>+Input!EE619</f>
        <v>133</v>
      </c>
      <c r="O13" s="824">
        <f>+Input!EF619</f>
        <v>-27.322404371584696</v>
      </c>
      <c r="P13" s="840">
        <f>+Input!EG619</f>
        <v>122</v>
      </c>
      <c r="Q13" s="824">
        <f>+Input!EH619</f>
        <v>-22.292993630573243</v>
      </c>
      <c r="R13" s="840">
        <f>+Input!EI619</f>
        <v>143</v>
      </c>
      <c r="S13" s="824">
        <f>+Input!EJ619</f>
        <v>-5.2980132450331174</v>
      </c>
      <c r="T13" s="840">
        <f>+Input!EK619</f>
        <v>154</v>
      </c>
      <c r="U13" s="824">
        <f>+Input!EL619</f>
        <v>12.408759124087588</v>
      </c>
      <c r="V13" s="840">
        <f>+Input!EM619</f>
        <v>163</v>
      </c>
      <c r="W13" s="824">
        <f>+Input!EN619</f>
        <v>22.55639097744362</v>
      </c>
      <c r="X13" s="840">
        <f>+Input!EO619</f>
        <v>125</v>
      </c>
      <c r="Y13" s="824">
        <f>+Input!EP619</f>
        <v>2.4590163934426146</v>
      </c>
      <c r="Z13" s="840">
        <f>+Input!EQ619</f>
        <v>159.10263766067317</v>
      </c>
      <c r="AA13" s="824">
        <f>+Input!ER619</f>
        <v>11.260585776694532</v>
      </c>
      <c r="AB13" s="840">
        <f>+Input!ES619</f>
        <v>164.13026821766746</v>
      </c>
      <c r="AC13" s="824">
        <f>+Input!ET619</f>
        <v>6.5780962452386182</v>
      </c>
      <c r="AD13" s="840">
        <f>+Input!EU619</f>
        <v>173.16550235113667</v>
      </c>
      <c r="AE13" s="824">
        <f>+Input!EV619</f>
        <v>6.2365045098997873</v>
      </c>
      <c r="AF13" s="840">
        <f>+Input!EW619</f>
        <v>142.64583127978617</v>
      </c>
      <c r="AG13" s="824">
        <f>+Input!EX619</f>
        <v>14.116665023828933</v>
      </c>
      <c r="AH13" s="846"/>
      <c r="AI13" s="840">
        <f>+Input!GJ619</f>
        <v>625</v>
      </c>
      <c r="AJ13" s="824"/>
      <c r="AK13" s="840">
        <f>+Input!GL619</f>
        <v>543</v>
      </c>
      <c r="AL13" s="824">
        <f>+Input!GM619</f>
        <v>-13.119999999999997</v>
      </c>
      <c r="AM13" s="840">
        <f>+Input!GN619</f>
        <v>585</v>
      </c>
      <c r="AN13" s="824">
        <f>+Input!GO619</f>
        <v>7.7348066298342566</v>
      </c>
      <c r="AO13" s="840">
        <f>+Input!GP619</f>
        <v>639.04423950926343</v>
      </c>
      <c r="AP13" s="824">
        <f>+Input!GQ619</f>
        <v>9.2383315400450314</v>
      </c>
      <c r="AQ13" s="840">
        <f>+Input!GR619</f>
        <v>690.08185539965496</v>
      </c>
      <c r="AR13" s="824">
        <f>+Input!GS619</f>
        <v>7.9865544096891394</v>
      </c>
      <c r="AS13" s="840">
        <f>+Input!GT619</f>
        <v>731.48676672363342</v>
      </c>
      <c r="AT13" s="824">
        <f>+Input!GU619</f>
        <v>5.9999999999998721</v>
      </c>
      <c r="AU13" s="840">
        <f>+Input!GV619</f>
        <v>775.37597272705182</v>
      </c>
      <c r="AV13" s="824">
        <f>+Input!GW619</f>
        <v>6.0000000000000497</v>
      </c>
      <c r="AW13" s="840">
        <f>+Input!GX619</f>
        <v>807.38310811694055</v>
      </c>
      <c r="AX13" s="824">
        <f>+Input!GY619</f>
        <v>4.1279503770689896</v>
      </c>
      <c r="AY13" s="824">
        <f>+Input!GZ619</f>
        <v>6.6558690041239155</v>
      </c>
      <c r="AZ13" s="858"/>
      <c r="BA13" s="858"/>
      <c r="BB13" s="858"/>
      <c r="BC13" s="858"/>
      <c r="BD13" s="858"/>
      <c r="BE13" s="858"/>
    </row>
    <row r="14" spans="1:57" s="772" customFormat="1" ht="12.75" customHeight="1" x14ac:dyDescent="0.2">
      <c r="A14" s="822" t="str">
        <f>Input!B620</f>
        <v>EMEA</v>
      </c>
      <c r="B14" s="840">
        <f>+Input!DS620</f>
        <v>70</v>
      </c>
      <c r="C14" s="824"/>
      <c r="D14" s="840">
        <f>+Input!DU620</f>
        <v>50</v>
      </c>
      <c r="E14" s="824"/>
      <c r="F14" s="840">
        <f>+Input!DW620</f>
        <v>66</v>
      </c>
      <c r="G14" s="824"/>
      <c r="H14" s="840">
        <f>+Input!DY620</f>
        <v>54</v>
      </c>
      <c r="I14" s="824"/>
      <c r="J14" s="840">
        <f>+Input!EA620</f>
        <v>63</v>
      </c>
      <c r="K14" s="824">
        <f>+Input!EB620</f>
        <v>-9.9999999999999982</v>
      </c>
      <c r="L14" s="840">
        <f>+Input!EC620</f>
        <v>64</v>
      </c>
      <c r="M14" s="824">
        <f>+Input!ED620</f>
        <v>28.000000000000004</v>
      </c>
      <c r="N14" s="840">
        <f>+Input!EE620</f>
        <v>74</v>
      </c>
      <c r="O14" s="824">
        <f>+Input!EF620</f>
        <v>12.12121212121211</v>
      </c>
      <c r="P14" s="840">
        <f>+Input!EG620</f>
        <v>72</v>
      </c>
      <c r="Q14" s="824">
        <f>+Input!EH620</f>
        <v>33.333333333333329</v>
      </c>
      <c r="R14" s="840">
        <f>+Input!EI620</f>
        <v>75</v>
      </c>
      <c r="S14" s="824">
        <f>+Input!EJ620</f>
        <v>19.047619047619047</v>
      </c>
      <c r="T14" s="840">
        <f>+Input!EK620</f>
        <v>72</v>
      </c>
      <c r="U14" s="824">
        <f>+Input!EL620</f>
        <v>12.5</v>
      </c>
      <c r="V14" s="840">
        <f>+Input!EM620</f>
        <v>71</v>
      </c>
      <c r="W14" s="824">
        <f>+Input!EN620</f>
        <v>-4.0540540540540571</v>
      </c>
      <c r="X14" s="840">
        <f>+Input!EO620</f>
        <v>79</v>
      </c>
      <c r="Y14" s="824">
        <f>+Input!EP620</f>
        <v>9.7222222222222321</v>
      </c>
      <c r="Z14" s="840">
        <f>+Input!EQ620</f>
        <v>77.266012000000003</v>
      </c>
      <c r="AA14" s="824">
        <f>+Input!ER620</f>
        <v>3.0213493333333341</v>
      </c>
      <c r="AB14" s="840">
        <f>+Input!ES620</f>
        <v>78.475265740000012</v>
      </c>
      <c r="AC14" s="824">
        <f>+Input!ET620</f>
        <v>8.9934246388889036</v>
      </c>
      <c r="AD14" s="840">
        <f>+Input!EU620</f>
        <v>79.703663557300032</v>
      </c>
      <c r="AE14" s="824">
        <f>+Input!EV620</f>
        <v>12.258681066619758</v>
      </c>
      <c r="AF14" s="840">
        <f>+Input!EW620</f>
        <v>80.951512718483372</v>
      </c>
      <c r="AG14" s="824">
        <f>+Input!EX620</f>
        <v>2.4702692639029911</v>
      </c>
      <c r="AH14" s="846"/>
      <c r="AI14" s="840">
        <f>+Input!GJ620</f>
        <v>240</v>
      </c>
      <c r="AJ14" s="824"/>
      <c r="AK14" s="840">
        <f>+Input!GL620</f>
        <v>273</v>
      </c>
      <c r="AL14" s="824">
        <f>+Input!GM620</f>
        <v>13.749999999999996</v>
      </c>
      <c r="AM14" s="840">
        <f>+Input!GN620</f>
        <v>297</v>
      </c>
      <c r="AN14" s="824">
        <f>+Input!GO620</f>
        <v>8.7912087912087813</v>
      </c>
      <c r="AO14" s="840">
        <f>+Input!GP620</f>
        <v>316.39645401578343</v>
      </c>
      <c r="AP14" s="824">
        <f>+Input!GQ620</f>
        <v>6.5307925979068759</v>
      </c>
      <c r="AQ14" s="840">
        <f>+Input!GR620</f>
        <v>369.42719461907711</v>
      </c>
      <c r="AR14" s="824">
        <f>+Input!GS620</f>
        <v>16.760851751090811</v>
      </c>
      <c r="AS14" s="840">
        <f>+Input!GT620</f>
        <v>402.67564213479449</v>
      </c>
      <c r="AT14" s="824">
        <f>+Input!GU620</f>
        <v>9.000000000000119</v>
      </c>
      <c r="AU14" s="840">
        <f>+Input!GV620</f>
        <v>438.91644992692551</v>
      </c>
      <c r="AV14" s="824">
        <f>+Input!GW620</f>
        <v>8.9999999999998757</v>
      </c>
      <c r="AW14" s="840">
        <f>+Input!GX620</f>
        <v>451.52328848730298</v>
      </c>
      <c r="AX14" s="824">
        <f>+Input!GY620</f>
        <v>2.8722638585262361</v>
      </c>
      <c r="AY14" s="824">
        <f>+Input!GZ620</f>
        <v>8.7388513709953699</v>
      </c>
      <c r="AZ14" s="858"/>
      <c r="BA14" s="858"/>
      <c r="BB14" s="858"/>
      <c r="BC14" s="858"/>
      <c r="BD14" s="858"/>
      <c r="BE14" s="858"/>
    </row>
    <row r="15" spans="1:57" s="772" customFormat="1" ht="12.75" customHeight="1" x14ac:dyDescent="0.2">
      <c r="A15" s="839" t="str">
        <f>Input!B621</f>
        <v>Total International</v>
      </c>
      <c r="B15" s="840">
        <f>+Input!DS621</f>
        <v>546</v>
      </c>
      <c r="C15" s="824"/>
      <c r="D15" s="840">
        <f>+Input!DU621</f>
        <v>611</v>
      </c>
      <c r="E15" s="824"/>
      <c r="F15" s="840">
        <f>+Input!DW621</f>
        <v>587</v>
      </c>
      <c r="G15" s="824"/>
      <c r="H15" s="840">
        <f>+Input!DY621</f>
        <v>501</v>
      </c>
      <c r="I15" s="824"/>
      <c r="J15" s="840">
        <f>+Input!EA621</f>
        <v>519</v>
      </c>
      <c r="K15" s="824">
        <f>+Input!EB621</f>
        <v>-4.9450549450549497</v>
      </c>
      <c r="L15" s="840">
        <f>+Input!EC621</f>
        <v>460</v>
      </c>
      <c r="M15" s="824">
        <f>+Input!ED621</f>
        <v>-24.71358428805237</v>
      </c>
      <c r="N15" s="840">
        <f>+Input!EE621</f>
        <v>531</v>
      </c>
      <c r="O15" s="824">
        <f>+Input!EF621</f>
        <v>-9.5400340715502523</v>
      </c>
      <c r="P15" s="840">
        <f>+Input!EG621</f>
        <v>548</v>
      </c>
      <c r="Q15" s="824">
        <f>+Input!EH621</f>
        <v>9.3812375249501034</v>
      </c>
      <c r="R15" s="840">
        <f>+Input!EI621</f>
        <v>513</v>
      </c>
      <c r="S15" s="824">
        <f>+Input!EJ621</f>
        <v>-1.1560693641618491</v>
      </c>
      <c r="T15" s="840">
        <f>+Input!EK621</f>
        <v>536</v>
      </c>
      <c r="U15" s="824">
        <f>+Input!EL621</f>
        <v>16.521739130434774</v>
      </c>
      <c r="V15" s="840">
        <f>+Input!EM621</f>
        <v>548</v>
      </c>
      <c r="W15" s="824">
        <f>+Input!EN621</f>
        <v>3.2015065913370888</v>
      </c>
      <c r="X15" s="840">
        <f>+Input!EO621</f>
        <v>514</v>
      </c>
      <c r="Y15" s="824">
        <f>+Input!EP621</f>
        <v>-6.204379562043794</v>
      </c>
      <c r="Z15" s="840">
        <f>+Input!EQ621</f>
        <v>562.23452986067332</v>
      </c>
      <c r="AA15" s="824">
        <f>+Input!ER621</f>
        <v>9.5973742418466568</v>
      </c>
      <c r="AB15" s="840">
        <f>+Input!ES621</f>
        <v>574.1826418704178</v>
      </c>
      <c r="AC15" s="824">
        <f>+Input!ET621</f>
        <v>7.1236272146301793</v>
      </c>
      <c r="AD15" s="840">
        <f>+Input!EU621</f>
        <v>590.26589220179437</v>
      </c>
      <c r="AE15" s="824">
        <f>+Input!EV621</f>
        <v>7.7127540514223325</v>
      </c>
      <c r="AF15" s="840">
        <f>+Input!EW621</f>
        <v>563.93858717075705</v>
      </c>
      <c r="AG15" s="824">
        <f>+Input!EX621</f>
        <v>9.7156784378904746</v>
      </c>
      <c r="AH15" s="846"/>
      <c r="AI15" s="840">
        <f>+Input!GJ621</f>
        <v>2245</v>
      </c>
      <c r="AJ15" s="824"/>
      <c r="AK15" s="840">
        <f>+Input!GL621</f>
        <v>2058</v>
      </c>
      <c r="AL15" s="824">
        <f>+Input!GM621</f>
        <v>-8.32962138084633</v>
      </c>
      <c r="AM15" s="840">
        <f>+Input!GN621</f>
        <v>2111</v>
      </c>
      <c r="AN15" s="824">
        <f>+Input!GO621</f>
        <v>2.5753158406219612</v>
      </c>
      <c r="AO15" s="840">
        <f>+Input!GP621</f>
        <v>2290.6216511036428</v>
      </c>
      <c r="AP15" s="824">
        <f>+Input!GQ621</f>
        <v>8.5088418334269491</v>
      </c>
      <c r="AQ15" s="840">
        <f>+Input!GR621</f>
        <v>2482.6983155741063</v>
      </c>
      <c r="AR15" s="824">
        <f>+Input!GS621</f>
        <v>8.3853509538740045</v>
      </c>
      <c r="AS15" s="840">
        <f>+Input!GT621</f>
        <v>2628.5111376915734</v>
      </c>
      <c r="AT15" s="824">
        <f>+Input!GU621</f>
        <v>5.8731591028509111</v>
      </c>
      <c r="AU15" s="840">
        <f>+Input!GV621</f>
        <v>2792.3690914895033</v>
      </c>
      <c r="AV15" s="824">
        <f>+Input!GW621</f>
        <v>6.2338694878741885</v>
      </c>
      <c r="AW15" s="840">
        <f>+Input!GX621</f>
        <v>2908.3112180836388</v>
      </c>
      <c r="AX15" s="824">
        <f>+Input!GY621</f>
        <v>4.1521060717761182</v>
      </c>
      <c r="AY15" s="824">
        <f>+Input!GZ621</f>
        <v>6.617999388196405</v>
      </c>
      <c r="AZ15" s="858"/>
      <c r="BA15" s="858"/>
      <c r="BB15" s="858"/>
      <c r="BC15" s="858"/>
      <c r="BD15" s="858"/>
      <c r="BE15" s="858"/>
    </row>
    <row r="16" spans="1:57" s="772" customFormat="1" ht="12.75" customHeight="1" x14ac:dyDescent="0.2">
      <c r="A16" s="822" t="str">
        <f>Input!B622</f>
        <v>MetLife Holdings</v>
      </c>
      <c r="B16" s="840">
        <f>+Input!DS622</f>
        <v>361</v>
      </c>
      <c r="C16" s="824"/>
      <c r="D16" s="840">
        <f>+Input!DU622</f>
        <v>373</v>
      </c>
      <c r="E16" s="824"/>
      <c r="F16" s="840">
        <f>+Input!DW622</f>
        <v>243</v>
      </c>
      <c r="G16" s="824"/>
      <c r="H16" s="840">
        <f>+Input!DY622</f>
        <v>265</v>
      </c>
      <c r="I16" s="824"/>
      <c r="J16" s="840">
        <f>+Input!EA622</f>
        <v>267</v>
      </c>
      <c r="K16" s="824">
        <f>+Input!EB622</f>
        <v>-26.038781163434898</v>
      </c>
      <c r="L16" s="840">
        <f>+Input!EC622</f>
        <v>-33</v>
      </c>
      <c r="M16" s="824" t="str">
        <f>+Input!ED622</f>
        <v>NM</v>
      </c>
      <c r="N16" s="840">
        <f>+Input!EE622</f>
        <v>266</v>
      </c>
      <c r="O16" s="824">
        <f>+Input!EF622</f>
        <v>9.4650205761316784</v>
      </c>
      <c r="P16" s="840">
        <f>+Input!EG622</f>
        <v>201</v>
      </c>
      <c r="Q16" s="824">
        <f>+Input!EH622</f>
        <v>-24.15094339622641</v>
      </c>
      <c r="R16" s="840">
        <f>+Input!EI622</f>
        <v>387</v>
      </c>
      <c r="S16" s="824">
        <f>+Input!EJ622</f>
        <v>44.943820224719097</v>
      </c>
      <c r="T16" s="840">
        <f>+Input!EK622</f>
        <v>237</v>
      </c>
      <c r="U16" s="824" t="str">
        <f>+Input!EL622</f>
        <v>NM</v>
      </c>
      <c r="V16" s="840">
        <f>+Input!EM622</f>
        <v>364</v>
      </c>
      <c r="W16" s="824">
        <f>+Input!EN622</f>
        <v>36.842105263157897</v>
      </c>
      <c r="X16" s="840">
        <f>+Input!EO622</f>
        <v>194</v>
      </c>
      <c r="Y16" s="824">
        <f>+Input!EP622</f>
        <v>-3.4825870646766122</v>
      </c>
      <c r="Z16" s="840">
        <f>+Input!EQ622</f>
        <v>250.87201721991224</v>
      </c>
      <c r="AA16" s="824">
        <f>+Input!ER622</f>
        <v>-35.175189348859895</v>
      </c>
      <c r="AB16" s="840">
        <f>+Input!ES622</f>
        <v>246.55755393923096</v>
      </c>
      <c r="AC16" s="824">
        <f>+Input!ET622</f>
        <v>4.0327231811100983</v>
      </c>
      <c r="AD16" s="840">
        <f>+Input!EU622</f>
        <v>243.99584278790275</v>
      </c>
      <c r="AE16" s="824">
        <f>+Input!EV622</f>
        <v>-32.968175058268478</v>
      </c>
      <c r="AF16" s="840">
        <f>+Input!EW622</f>
        <v>240.85998423366195</v>
      </c>
      <c r="AG16" s="824">
        <f>+Input!EX622</f>
        <v>24.154631048279352</v>
      </c>
      <c r="AH16" s="846"/>
      <c r="AI16" s="840">
        <f>+Input!GJ622</f>
        <v>1242</v>
      </c>
      <c r="AJ16" s="824"/>
      <c r="AK16" s="840">
        <f>+Input!GL622</f>
        <v>701</v>
      </c>
      <c r="AL16" s="824">
        <f>+Input!GM622</f>
        <v>-43.558776167471827</v>
      </c>
      <c r="AM16" s="840">
        <f>+Input!GN622</f>
        <v>1182</v>
      </c>
      <c r="AN16" s="824">
        <f>+Input!GO622</f>
        <v>68.616262482168324</v>
      </c>
      <c r="AO16" s="840">
        <f>+Input!GP622</f>
        <v>982.28539818070783</v>
      </c>
      <c r="AP16" s="824">
        <f>+Input!GQ622</f>
        <v>-16.896328411107632</v>
      </c>
      <c r="AQ16" s="840">
        <f>+Input!GR622</f>
        <v>891.9831797757048</v>
      </c>
      <c r="AR16" s="824">
        <f>+Input!GS622</f>
        <v>-9.1930734766343729</v>
      </c>
      <c r="AS16" s="840">
        <f>+Input!GT622</f>
        <v>803.76256455266844</v>
      </c>
      <c r="AT16" s="824">
        <f>+Input!GU622</f>
        <v>-9.8903900009885923</v>
      </c>
      <c r="AU16" s="840">
        <f>+Input!GV622</f>
        <v>722.75003292063093</v>
      </c>
      <c r="AV16" s="824">
        <f>+Input!GW622</f>
        <v>-10.079162081543913</v>
      </c>
      <c r="AW16" s="840">
        <f>+Input!GX622</f>
        <v>637.06022112696644</v>
      </c>
      <c r="AX16" s="824">
        <f>+Input!GY622</f>
        <v>-11.856078573582652</v>
      </c>
      <c r="AY16" s="824">
        <f>+Input!GZ622</f>
        <v>-11.628423569603664</v>
      </c>
      <c r="AZ16" s="858"/>
      <c r="BA16" s="858"/>
      <c r="BB16" s="858"/>
      <c r="BC16" s="858"/>
      <c r="BD16" s="858"/>
      <c r="BE16" s="858"/>
    </row>
    <row r="17" spans="1:57" s="772" customFormat="1" ht="12.75" customHeight="1" x14ac:dyDescent="0.2">
      <c r="A17" s="822" t="str">
        <f>Input!B624</f>
        <v>Corporate &amp; Other</v>
      </c>
      <c r="B17" s="840">
        <f>+Input!DS624</f>
        <v>-151</v>
      </c>
      <c r="C17" s="824"/>
      <c r="D17" s="840">
        <f>+Input!DU624</f>
        <v>-176</v>
      </c>
      <c r="E17" s="824"/>
      <c r="F17" s="840">
        <f>+Input!DW624</f>
        <v>-983</v>
      </c>
      <c r="G17" s="824"/>
      <c r="H17" s="840">
        <f>+Input!DY624</f>
        <v>-210</v>
      </c>
      <c r="I17" s="824"/>
      <c r="J17" s="840">
        <f>+Input!EA624</f>
        <v>-190</v>
      </c>
      <c r="K17" s="824">
        <f>+Input!EB624</f>
        <v>25.827814569536422</v>
      </c>
      <c r="L17" s="840">
        <f>+Input!EC624</f>
        <v>-244</v>
      </c>
      <c r="M17" s="824">
        <f>+Input!ED624</f>
        <v>38.636363636363647</v>
      </c>
      <c r="N17" s="840">
        <f>+Input!EE624</f>
        <v>6</v>
      </c>
      <c r="O17" s="824" t="str">
        <f>+Input!EF624</f>
        <v>NM</v>
      </c>
      <c r="P17" s="840">
        <f>+Input!EG624</f>
        <v>-203</v>
      </c>
      <c r="Q17" s="824">
        <f>+Input!EH624</f>
        <v>-3.3333333333333326</v>
      </c>
      <c r="R17" s="840">
        <f>+Input!EI624</f>
        <v>-76</v>
      </c>
      <c r="S17" s="824" t="str">
        <f>+Input!EJ624</f>
        <v>NM</v>
      </c>
      <c r="T17" s="840">
        <f>+Input!EK624</f>
        <v>-145</v>
      </c>
      <c r="U17" s="824">
        <f>+Input!EL624</f>
        <v>-40.573770491803273</v>
      </c>
      <c r="V17" s="840">
        <f>+Input!EM624</f>
        <v>-336</v>
      </c>
      <c r="W17" s="824" t="str">
        <f>+Input!EN624</f>
        <v>NM</v>
      </c>
      <c r="X17" s="840">
        <f>+Input!EO624</f>
        <v>-528</v>
      </c>
      <c r="Y17" s="824" t="str">
        <f>+Input!EP624</f>
        <v>NM</v>
      </c>
      <c r="Z17" s="840">
        <f>+Input!EQ624</f>
        <v>-202.60850000000002</v>
      </c>
      <c r="AA17" s="824" t="str">
        <f>+Input!ER624</f>
        <v>NM</v>
      </c>
      <c r="AB17" s="840">
        <f>+Input!ES624</f>
        <v>-203.641785</v>
      </c>
      <c r="AC17" s="824">
        <f>+Input!ET624</f>
        <v>40.442610344827592</v>
      </c>
      <c r="AD17" s="840">
        <f>+Input!EU624</f>
        <v>-204.68540284999997</v>
      </c>
      <c r="AE17" s="824">
        <f>+Input!EV624</f>
        <v>-39.081725342261905</v>
      </c>
      <c r="AF17" s="840">
        <f>+Input!EW624</f>
        <v>-205.73945687849999</v>
      </c>
      <c r="AG17" s="824" t="str">
        <f>+Input!EX624</f>
        <v>NM</v>
      </c>
      <c r="AH17" s="846"/>
      <c r="AI17" s="840">
        <f>+Input!GJ624</f>
        <v>-1520</v>
      </c>
      <c r="AJ17" s="824"/>
      <c r="AK17" s="840">
        <f>+Input!GL624</f>
        <v>-631</v>
      </c>
      <c r="AL17" s="824" t="str">
        <f>+Input!GM624</f>
        <v>NM</v>
      </c>
      <c r="AM17" s="840">
        <f>+Input!GN624</f>
        <v>-1085</v>
      </c>
      <c r="AN17" s="824">
        <f>+Input!GO624</f>
        <v>71.949286846275754</v>
      </c>
      <c r="AO17" s="840">
        <f>+Input!GP624</f>
        <v>-816.67514472850007</v>
      </c>
      <c r="AP17" s="824">
        <f>+Input!GQ624</f>
        <v>-24.730401407511515</v>
      </c>
      <c r="AQ17" s="840">
        <f>+Input!GR624</f>
        <v>-817.4698606120719</v>
      </c>
      <c r="AR17" s="824">
        <f>+Input!GS624</f>
        <v>9.7311138792655072E-2</v>
      </c>
      <c r="AS17" s="840">
        <f>+Input!GT624</f>
        <v>-733.9362878157126</v>
      </c>
      <c r="AT17" s="824">
        <f>+Input!GU624</f>
        <v>-10.218550777372315</v>
      </c>
      <c r="AU17" s="840">
        <f>+Input!GV624</f>
        <v>-720.48130331143943</v>
      </c>
      <c r="AV17" s="824">
        <f>+Input!GW624</f>
        <v>-1.8332632856071118</v>
      </c>
      <c r="AW17" s="840">
        <f>+Input!GX624</f>
        <v>-707.09954279361193</v>
      </c>
      <c r="AX17" s="824">
        <f>+Input!GY624</f>
        <v>-1.8573362634565216</v>
      </c>
      <c r="AY17" s="824">
        <f>+Input!GZ624</f>
        <v>-8.2068732153570583</v>
      </c>
      <c r="AZ17" s="858"/>
      <c r="BA17" s="858"/>
      <c r="BB17" s="858"/>
      <c r="BC17" s="858"/>
      <c r="BD17" s="858"/>
      <c r="BE17" s="858"/>
    </row>
    <row r="18" spans="1:57" s="772" customFormat="1" ht="12.75" customHeight="1" x14ac:dyDescent="0.2">
      <c r="A18" s="822" t="str">
        <f>Input!B625</f>
        <v>Brighthouse Financial</v>
      </c>
      <c r="B18" s="840">
        <f>+Input!DS625</f>
        <v>0</v>
      </c>
      <c r="C18" s="824"/>
      <c r="D18" s="840">
        <f>+Input!DU625</f>
        <v>0</v>
      </c>
      <c r="E18" s="824"/>
      <c r="F18" s="840">
        <f>+Input!DW625</f>
        <v>0</v>
      </c>
      <c r="G18" s="824"/>
      <c r="H18" s="840">
        <f>+Input!DY625</f>
        <v>0</v>
      </c>
      <c r="I18" s="824"/>
      <c r="J18" s="840">
        <f>+Input!EA625</f>
        <v>0</v>
      </c>
      <c r="K18" s="824" t="str">
        <f>+Input!EB625</f>
        <v>NA</v>
      </c>
      <c r="L18" s="840">
        <f>+Input!EC625</f>
        <v>0</v>
      </c>
      <c r="M18" s="824" t="str">
        <f>+Input!ED625</f>
        <v>NA</v>
      </c>
      <c r="N18" s="840">
        <f>+Input!EE625</f>
        <v>0</v>
      </c>
      <c r="O18" s="824" t="str">
        <f>+Input!EF625</f>
        <v>NA</v>
      </c>
      <c r="P18" s="840">
        <f>+Input!EG625</f>
        <v>0</v>
      </c>
      <c r="Q18" s="824" t="str">
        <f>+Input!EH625</f>
        <v>NA</v>
      </c>
      <c r="R18" s="840">
        <f>+Input!EI625</f>
        <v>0</v>
      </c>
      <c r="S18" s="824" t="str">
        <f>+Input!EJ625</f>
        <v>NA</v>
      </c>
      <c r="T18" s="840">
        <f>+Input!EK625</f>
        <v>0</v>
      </c>
      <c r="U18" s="824" t="str">
        <f>+Input!EL625</f>
        <v>NA</v>
      </c>
      <c r="V18" s="840">
        <f>+Input!EM625</f>
        <v>0</v>
      </c>
      <c r="W18" s="824" t="str">
        <f>+Input!EN625</f>
        <v>NA</v>
      </c>
      <c r="X18" s="840">
        <f>+Input!EO625</f>
        <v>0</v>
      </c>
      <c r="Y18" s="824" t="str">
        <f>+Input!EP625</f>
        <v>NA</v>
      </c>
      <c r="Z18" s="840">
        <f>+Input!EQ625</f>
        <v>0</v>
      </c>
      <c r="AA18" s="824" t="str">
        <f>+Input!ER625</f>
        <v>NA</v>
      </c>
      <c r="AB18" s="840">
        <f>+Input!ES625</f>
        <v>0</v>
      </c>
      <c r="AC18" s="824" t="str">
        <f>+Input!ET625</f>
        <v>NA</v>
      </c>
      <c r="AD18" s="840">
        <f>+Input!EU625</f>
        <v>0</v>
      </c>
      <c r="AE18" s="824" t="str">
        <f>+Input!EV625</f>
        <v>NA</v>
      </c>
      <c r="AF18" s="840">
        <f>+Input!EW625</f>
        <v>0</v>
      </c>
      <c r="AG18" s="824" t="str">
        <f>+Input!EX625</f>
        <v>NA</v>
      </c>
      <c r="AH18" s="846"/>
      <c r="AI18" s="840">
        <f>+Input!GJ625</f>
        <v>0</v>
      </c>
      <c r="AJ18" s="824"/>
      <c r="AK18" s="840">
        <f>+Input!GL625</f>
        <v>0</v>
      </c>
      <c r="AL18" s="824" t="str">
        <f>+Input!GM625</f>
        <v>NA</v>
      </c>
      <c r="AM18" s="840">
        <f>+Input!GN625</f>
        <v>0</v>
      </c>
      <c r="AN18" s="824" t="str">
        <f>+Input!GO625</f>
        <v>NA</v>
      </c>
      <c r="AO18" s="840">
        <f>+Input!GP625</f>
        <v>0</v>
      </c>
      <c r="AP18" s="824" t="str">
        <f>+Input!GQ625</f>
        <v>NA</v>
      </c>
      <c r="AQ18" s="840">
        <f>+Input!GR625</f>
        <v>0</v>
      </c>
      <c r="AR18" s="824" t="str">
        <f>+Input!GS625</f>
        <v>NA</v>
      </c>
      <c r="AS18" s="840">
        <f>+Input!GT625</f>
        <v>0</v>
      </c>
      <c r="AT18" s="824" t="str">
        <f>+Input!GU625</f>
        <v>NA</v>
      </c>
      <c r="AU18" s="840">
        <f>+Input!GV625</f>
        <v>0</v>
      </c>
      <c r="AV18" s="824" t="str">
        <f>+Input!GW625</f>
        <v>NA</v>
      </c>
      <c r="AW18" s="840">
        <f>+Input!GX625</f>
        <v>0</v>
      </c>
      <c r="AX18" s="824" t="str">
        <f>+Input!GY625</f>
        <v>NA</v>
      </c>
      <c r="AY18" s="824" t="str">
        <f>+Input!GZ625</f>
        <v>NA</v>
      </c>
      <c r="AZ18" s="858"/>
      <c r="BA18" s="858"/>
      <c r="BB18" s="858"/>
      <c r="BC18" s="858"/>
      <c r="BD18" s="858"/>
      <c r="BE18" s="858"/>
    </row>
    <row r="19" spans="1:57" s="772" customFormat="1" ht="4.5" customHeight="1" x14ac:dyDescent="0.2">
      <c r="A19" s="861"/>
      <c r="B19" s="862"/>
      <c r="C19" s="793"/>
      <c r="D19" s="862"/>
      <c r="E19" s="793"/>
      <c r="F19" s="862"/>
      <c r="G19" s="793"/>
      <c r="H19" s="862"/>
      <c r="I19" s="793"/>
      <c r="J19" s="862"/>
      <c r="K19" s="793"/>
      <c r="L19" s="862"/>
      <c r="M19" s="793"/>
      <c r="N19" s="862"/>
      <c r="O19" s="793"/>
      <c r="P19" s="862"/>
      <c r="Q19" s="793"/>
      <c r="R19" s="862"/>
      <c r="S19" s="793"/>
      <c r="T19" s="862"/>
      <c r="U19" s="793"/>
      <c r="V19" s="862"/>
      <c r="W19" s="793"/>
      <c r="X19" s="862"/>
      <c r="Y19" s="793"/>
      <c r="Z19" s="862"/>
      <c r="AA19" s="793"/>
      <c r="AB19" s="862"/>
      <c r="AC19" s="793"/>
      <c r="AD19" s="862"/>
      <c r="AE19" s="793"/>
      <c r="AF19" s="862"/>
      <c r="AG19" s="793"/>
      <c r="AH19" s="797"/>
      <c r="AI19" s="862"/>
      <c r="AJ19" s="793"/>
      <c r="AK19" s="862"/>
      <c r="AL19" s="793"/>
      <c r="AM19" s="862"/>
      <c r="AN19" s="793"/>
      <c r="AO19" s="862"/>
      <c r="AP19" s="793"/>
      <c r="AQ19" s="862"/>
      <c r="AR19" s="793"/>
      <c r="AS19" s="862"/>
      <c r="AT19" s="793"/>
      <c r="AU19" s="862"/>
      <c r="AV19" s="793"/>
      <c r="AW19" s="862"/>
      <c r="AX19" s="793"/>
      <c r="AY19" s="793"/>
      <c r="AZ19" s="858"/>
      <c r="BA19" s="858"/>
      <c r="BB19" s="858"/>
      <c r="BC19" s="858"/>
      <c r="BD19" s="858"/>
      <c r="BE19" s="858"/>
    </row>
    <row r="20" spans="1:57" s="772" customFormat="1" ht="12.75" customHeight="1" x14ac:dyDescent="0.2">
      <c r="A20" s="839" t="str">
        <f>Input!B626</f>
        <v>After-Tax Operating Earnings</v>
      </c>
      <c r="B20" s="841">
        <f>+Input!DS626</f>
        <v>1266</v>
      </c>
      <c r="C20" s="824"/>
      <c r="D20" s="841">
        <f>+Input!DU626</f>
        <v>1359</v>
      </c>
      <c r="E20" s="824"/>
      <c r="F20" s="841">
        <f>+Input!DW626</f>
        <v>358</v>
      </c>
      <c r="G20" s="824"/>
      <c r="H20" s="841">
        <f>+Input!DY626</f>
        <v>988</v>
      </c>
      <c r="I20" s="824"/>
      <c r="J20" s="841">
        <f>+Input!EA626</f>
        <v>1002</v>
      </c>
      <c r="K20" s="824">
        <f>+Input!EB626</f>
        <v>-20.853080568720383</v>
      </c>
      <c r="L20" s="841">
        <f>+Input!EC626</f>
        <v>626</v>
      </c>
      <c r="M20" s="824" t="str">
        <f>+Input!ED626</f>
        <v>NM</v>
      </c>
      <c r="N20" s="841">
        <f>+Input!EE626</f>
        <v>1355</v>
      </c>
      <c r="O20" s="824" t="str">
        <f>+Input!EF626</f>
        <v>NM</v>
      </c>
      <c r="P20" s="841">
        <f>+Input!EG626</f>
        <v>1057</v>
      </c>
      <c r="Q20" s="824">
        <f>+Input!EH626</f>
        <v>6.9838056680161964</v>
      </c>
      <c r="R20" s="841">
        <f>+Input!EI626</f>
        <v>1321</v>
      </c>
      <c r="S20" s="824">
        <f>+Input!EJ626</f>
        <v>31.836327345309389</v>
      </c>
      <c r="T20" s="841">
        <f>+Input!EK626</f>
        <v>1121</v>
      </c>
      <c r="U20" s="824">
        <f>+Input!EL626</f>
        <v>79.073482428115</v>
      </c>
      <c r="V20" s="841">
        <f>+Input!EM626</f>
        <v>1115</v>
      </c>
      <c r="W20" s="824">
        <f>+Input!EN626</f>
        <v>-17.712177121771223</v>
      </c>
      <c r="X20" s="841">
        <f>+Input!EO626</f>
        <v>678</v>
      </c>
      <c r="Y20" s="824">
        <f>+Input!EP626</f>
        <v>-35.856196783349105</v>
      </c>
      <c r="Z20" s="841">
        <f>+Input!EQ626</f>
        <v>1227.8759053276194</v>
      </c>
      <c r="AA20" s="824">
        <f>+Input!ER626</f>
        <v>-7.049515115244553</v>
      </c>
      <c r="AB20" s="841">
        <f>+Input!ES626</f>
        <v>1227.0519622517065</v>
      </c>
      <c r="AC20" s="824">
        <f>+Input!ET626</f>
        <v>9.460478345379709</v>
      </c>
      <c r="AD20" s="841">
        <f>+Input!EU626</f>
        <v>1240.6753955390393</v>
      </c>
      <c r="AE20" s="824">
        <f>+Input!EV626</f>
        <v>11.271335922783798</v>
      </c>
      <c r="AF20" s="841">
        <f>+Input!EW626</f>
        <v>1252.7110350702385</v>
      </c>
      <c r="AG20" s="824">
        <f>+Input!EX626</f>
        <v>84.765639390890641</v>
      </c>
      <c r="AH20" s="846"/>
      <c r="AI20" s="841">
        <f>+Input!GJ626</f>
        <v>3971</v>
      </c>
      <c r="AJ20" s="824"/>
      <c r="AK20" s="841">
        <f>+Input!GL626</f>
        <v>4040</v>
      </c>
      <c r="AL20" s="824">
        <f>+Input!GM626</f>
        <v>1.7375975824729384</v>
      </c>
      <c r="AM20" s="841">
        <f>+Input!GN626</f>
        <v>4235</v>
      </c>
      <c r="AN20" s="824">
        <f>+Input!GO626</f>
        <v>4.8267326732673199</v>
      </c>
      <c r="AO20" s="841">
        <f>+Input!GP626</f>
        <v>4948.314298188604</v>
      </c>
      <c r="AP20" s="824">
        <f>+Input!GQ626</f>
        <v>16.843312826177193</v>
      </c>
      <c r="AQ20" s="841">
        <f>+Input!GR626</f>
        <v>5136.7764122477884</v>
      </c>
      <c r="AR20" s="824">
        <f>+Input!GS626</f>
        <v>3.808612442588255</v>
      </c>
      <c r="AS20" s="841">
        <f>+Input!GT626</f>
        <v>5337.7113438185688</v>
      </c>
      <c r="AT20" s="824">
        <f>+Input!GU626</f>
        <v>3.911693160163332</v>
      </c>
      <c r="AU20" s="841">
        <f>+Input!GV626</f>
        <v>5496.0002922144995</v>
      </c>
      <c r="AV20" s="824">
        <f>+Input!GW626</f>
        <v>2.9654834853375833</v>
      </c>
      <c r="AW20" s="841">
        <f>+Input!GX626</f>
        <v>5606.6769994248834</v>
      </c>
      <c r="AX20" s="824">
        <f>+Input!GY626</f>
        <v>2.0137682191750494</v>
      </c>
      <c r="AY20" s="824">
        <f>+Input!GZ626</f>
        <v>5.7719289229313242</v>
      </c>
      <c r="AZ20" s="858"/>
      <c r="BA20" s="858"/>
      <c r="BB20" s="858"/>
      <c r="BC20" s="858"/>
      <c r="BD20" s="858"/>
      <c r="BE20" s="858"/>
    </row>
    <row r="21" spans="1:57" s="801" customFormat="1" ht="12.75" hidden="1" customHeight="1" outlineLevel="1" x14ac:dyDescent="0.2">
      <c r="A21" s="801" t="s">
        <v>254</v>
      </c>
      <c r="B21" s="798">
        <f>(+B8+B9+B10+B16+B13+B12+B14+B17+B18)-B20</f>
        <v>0</v>
      </c>
      <c r="C21" s="844"/>
      <c r="D21" s="798">
        <f>(+D8+D9+D10+D16+D13+D12+D14+D17+D18)-D20</f>
        <v>0</v>
      </c>
      <c r="E21" s="844"/>
      <c r="F21" s="798">
        <f>(+F8+F9+F10+F16+F13+F12+F14+F17+F18)-F20</f>
        <v>0</v>
      </c>
      <c r="G21" s="844"/>
      <c r="H21" s="798">
        <f>(+H8+H9+H10+H16+H13+H12+H14+H17+H18)-H20</f>
        <v>0</v>
      </c>
      <c r="I21" s="844"/>
      <c r="J21" s="798">
        <f>(+J8+J9+J10+J16+J13+J12+J14+J17+J18)-J20</f>
        <v>0</v>
      </c>
      <c r="K21" s="844"/>
      <c r="L21" s="798">
        <f>(+L8+L9+L10+L16+L13+L12+L14+L17+L18)-L20</f>
        <v>0</v>
      </c>
      <c r="M21" s="844"/>
      <c r="N21" s="798">
        <f>(+N8+N9+N10+N16+N13+N12+N14+N17+N18)-N20</f>
        <v>0</v>
      </c>
      <c r="O21" s="844"/>
      <c r="P21" s="798">
        <f>(+P8+P9+P10+P16+P13+P12+P14+P17+P18)-P20</f>
        <v>0</v>
      </c>
      <c r="Q21" s="844"/>
      <c r="R21" s="798">
        <f>(+R8+R9+R10+R16+R13+R12+R14+R17+R18)-R20</f>
        <v>0</v>
      </c>
      <c r="S21" s="844"/>
      <c r="T21" s="798">
        <f>(+T8+T9+T10+T16+T13+T12+T14+T17+T18)-T20</f>
        <v>0</v>
      </c>
      <c r="U21" s="844"/>
      <c r="V21" s="798">
        <f>(+V8+V9+V10+V16+V13+V12+V14+V17+V18)-V20</f>
        <v>0</v>
      </c>
      <c r="W21" s="844"/>
      <c r="X21" s="798">
        <f>(+X8+X9+X10+X16+X13+X12+X14+X17+X18)-X20</f>
        <v>0</v>
      </c>
      <c r="Y21" s="844"/>
      <c r="Z21" s="798">
        <f>(+Z8+Z9+Z10+Z16+Z13+Z12+Z14+Z17+Z18)-Z20</f>
        <v>0</v>
      </c>
      <c r="AA21" s="844"/>
      <c r="AB21" s="798">
        <f>(+AB8+AB9+AB10+AB16+AB13+AB12+AB14+AB17+AB18)-AB20</f>
        <v>0</v>
      </c>
      <c r="AC21" s="844"/>
      <c r="AD21" s="798">
        <f>(+AD8+AD9+AD10+AD16+AD13+AD12+AD14+AD17+AD18)-AD20</f>
        <v>0</v>
      </c>
      <c r="AE21" s="844"/>
      <c r="AF21" s="798">
        <f>(+AF8+AF9+AF10+AF16+AF13+AF12+AF14+AF17+AF18)-AF20</f>
        <v>0</v>
      </c>
      <c r="AG21" s="844"/>
      <c r="AH21" s="845"/>
      <c r="AI21" s="798">
        <f>(+AI8+AI9+AI10+AI16+AI13+AI12+AI14+AI17+AI18)-AI20</f>
        <v>0</v>
      </c>
      <c r="AJ21" s="844"/>
      <c r="AK21" s="798">
        <f>(+AK8+AK9+AK10+AK16+AK13+AK12+AK14+AK17+AK18)-AK20</f>
        <v>0</v>
      </c>
      <c r="AL21" s="844"/>
      <c r="AM21" s="798">
        <f>(+AM8+AM9+AM10+AM16+AM13+AM12+AM14+AM17+AM18)-AM20</f>
        <v>0</v>
      </c>
      <c r="AN21" s="844"/>
      <c r="AO21" s="798">
        <f>(+AO8+AO9+AO10+AO16+AO13+AO12+AO14+AO17+AO18)-AO20</f>
        <v>0</v>
      </c>
      <c r="AP21" s="844"/>
      <c r="AQ21" s="798">
        <f>(+AQ8+AQ9+AQ10+AQ16+AQ13+AQ12+AQ14+AQ17+AQ18)-AQ20</f>
        <v>0</v>
      </c>
      <c r="AR21" s="844"/>
      <c r="AS21" s="798">
        <f>(+AS8+AS9+AS10+AS16+AS13+AS12+AS14+AS17+AS18)-AS20</f>
        <v>0</v>
      </c>
      <c r="AT21" s="844"/>
      <c r="AU21" s="798">
        <f>(+AU8+AU9+AU10+AU16+AU13+AU12+AU14+AU17+AU18)-AU20</f>
        <v>0</v>
      </c>
      <c r="AV21" s="844"/>
      <c r="AW21" s="798">
        <f>(+AW8+AW9+AW10+AW16+AW13+AW12+AW14+AW17+AW18)-AW20</f>
        <v>0</v>
      </c>
      <c r="AX21" s="844"/>
      <c r="AY21" s="844"/>
      <c r="AZ21" s="858"/>
      <c r="BA21" s="858"/>
      <c r="BB21" s="858"/>
      <c r="BC21" s="858"/>
      <c r="BD21" s="858"/>
      <c r="BE21" s="858"/>
    </row>
    <row r="22" spans="1:57" s="772" customFormat="1" ht="4.5" customHeight="1" collapsed="1" x14ac:dyDescent="0.2">
      <c r="A22" s="839"/>
      <c r="B22" s="841"/>
      <c r="C22" s="824"/>
      <c r="D22" s="841"/>
      <c r="E22" s="824"/>
      <c r="F22" s="841"/>
      <c r="G22" s="824"/>
      <c r="H22" s="841"/>
      <c r="I22" s="824"/>
      <c r="J22" s="841"/>
      <c r="K22" s="824"/>
      <c r="L22" s="841"/>
      <c r="M22" s="824"/>
      <c r="N22" s="841"/>
      <c r="O22" s="824"/>
      <c r="P22" s="841"/>
      <c r="Q22" s="824"/>
      <c r="R22" s="841"/>
      <c r="S22" s="824"/>
      <c r="T22" s="841"/>
      <c r="U22" s="824"/>
      <c r="V22" s="841"/>
      <c r="W22" s="824"/>
      <c r="X22" s="841"/>
      <c r="Y22" s="824"/>
      <c r="Z22" s="841"/>
      <c r="AA22" s="824"/>
      <c r="AB22" s="841"/>
      <c r="AC22" s="824"/>
      <c r="AD22" s="841"/>
      <c r="AE22" s="824"/>
      <c r="AF22" s="841"/>
      <c r="AG22" s="824"/>
      <c r="AH22" s="846"/>
      <c r="AI22" s="841"/>
      <c r="AJ22" s="824"/>
      <c r="AK22" s="841"/>
      <c r="AL22" s="824"/>
      <c r="AM22" s="841"/>
      <c r="AN22" s="824"/>
      <c r="AO22" s="841"/>
      <c r="AP22" s="824"/>
      <c r="AQ22" s="841"/>
      <c r="AR22" s="824"/>
      <c r="AS22" s="841"/>
      <c r="AT22" s="824"/>
      <c r="AU22" s="841"/>
      <c r="AV22" s="824"/>
      <c r="AW22" s="841"/>
      <c r="AX22" s="824"/>
      <c r="AY22" s="824"/>
      <c r="AZ22" s="858"/>
      <c r="BA22" s="858"/>
      <c r="BB22" s="858"/>
      <c r="BC22" s="858"/>
      <c r="BD22" s="858"/>
      <c r="BE22" s="858"/>
    </row>
    <row r="23" spans="1:57" s="772" customFormat="1" ht="12.75" customHeight="1" x14ac:dyDescent="0.2">
      <c r="A23" s="822" t="str">
        <f>Input!B687</f>
        <v>Average Shares (FD)</v>
      </c>
      <c r="B23" s="840">
        <f>+Input!DS687</f>
        <v>1135.8</v>
      </c>
      <c r="C23" s="824"/>
      <c r="D23" s="840">
        <f>+Input!DU687</f>
        <v>1128.3999999999999</v>
      </c>
      <c r="E23" s="824"/>
      <c r="F23" s="840">
        <f>+Input!DW687</f>
        <v>1129.9000000000001</v>
      </c>
      <c r="G23" s="824"/>
      <c r="H23" s="840">
        <f>+Input!DY687</f>
        <v>1121.4000000000001</v>
      </c>
      <c r="I23" s="824"/>
      <c r="J23" s="840">
        <f>+Input!EA687</f>
        <v>1108.5999999999999</v>
      </c>
      <c r="K23" s="824">
        <f>+Input!EB687</f>
        <v>-2.3947878147561275</v>
      </c>
      <c r="L23" s="840">
        <f>+Input!EC687</f>
        <v>1109.0999999999999</v>
      </c>
      <c r="M23" s="824">
        <f>+Input!ED687</f>
        <v>-1.7103863878057401</v>
      </c>
      <c r="N23" s="840">
        <f>+Input!EE687</f>
        <v>1109.3</v>
      </c>
      <c r="O23" s="824">
        <f>+Input!EF687</f>
        <v>-1.8231701920524035</v>
      </c>
      <c r="P23" s="840">
        <f>+Input!EG687</f>
        <v>1108.8</v>
      </c>
      <c r="Q23" s="824">
        <f>+Input!EH687</f>
        <v>-1.1235955056179914</v>
      </c>
      <c r="R23" s="840">
        <f>+Input!EI687</f>
        <v>1098.7</v>
      </c>
      <c r="S23" s="824">
        <f>+Input!EJ687</f>
        <v>-0.89301822117985319</v>
      </c>
      <c r="T23" s="840">
        <f>+Input!EK687</f>
        <v>1082.0999999999999</v>
      </c>
      <c r="U23" s="824">
        <f>+Input!EL687</f>
        <v>-2.4344062753584028</v>
      </c>
      <c r="V23" s="840">
        <f>+Input!EM687</f>
        <v>1071.5</v>
      </c>
      <c r="W23" s="824">
        <f>+Input!EN687</f>
        <v>-3.4075543135310471</v>
      </c>
      <c r="X23" s="840">
        <f>+Input!EO687</f>
        <v>1062.0999999999999</v>
      </c>
      <c r="Y23" s="824">
        <f>+Input!EP687</f>
        <v>-4.2117604617604609</v>
      </c>
      <c r="Z23" s="840">
        <f>+Input!EQ687</f>
        <v>1044.4256934896982</v>
      </c>
      <c r="AA23" s="824">
        <f>+Input!ER687</f>
        <v>-4.9398658878949453</v>
      </c>
      <c r="AB23" s="840">
        <f>+Input!ES687</f>
        <v>1026.9848439257951</v>
      </c>
      <c r="AC23" s="824">
        <f>+Input!ET687</f>
        <v>-5.0933514531193875</v>
      </c>
      <c r="AD23" s="840">
        <f>+Input!EU687</f>
        <v>1010.7657016995474</v>
      </c>
      <c r="AE23" s="824">
        <f>+Input!EV687</f>
        <v>-5.6681566309335079</v>
      </c>
      <c r="AF23" s="840">
        <f>+Input!EW687</f>
        <v>995.75082311949257</v>
      </c>
      <c r="AG23" s="824">
        <f>+Input!EX687</f>
        <v>-6.2469802165998845</v>
      </c>
      <c r="AH23" s="846"/>
      <c r="AI23" s="840">
        <f>+Input!GJ687</f>
        <v>1128.875</v>
      </c>
      <c r="AJ23" s="824"/>
      <c r="AK23" s="840">
        <f>+Input!GL687</f>
        <v>1108.9499999999998</v>
      </c>
      <c r="AL23" s="824">
        <f>+Input!GM687</f>
        <v>-1.7650315579670228</v>
      </c>
      <c r="AM23" s="840">
        <f>+Input!GN687</f>
        <v>1078.5999999999999</v>
      </c>
      <c r="AN23" s="824">
        <f>+Input!GO687</f>
        <v>-2.7368231209702776</v>
      </c>
      <c r="AO23" s="840">
        <f>+Input!GP687</f>
        <v>1019.4817655586335</v>
      </c>
      <c r="AP23" s="824">
        <f>+Input!GQ687</f>
        <v>-5.4810156166666513</v>
      </c>
      <c r="AQ23" s="840">
        <f>+Input!GR687</f>
        <v>960.04930814073145</v>
      </c>
      <c r="AR23" s="824">
        <f>+Input!GS687</f>
        <v>-5.8296734111115249</v>
      </c>
      <c r="AS23" s="840">
        <f>+Input!GT687</f>
        <v>912.66471844627222</v>
      </c>
      <c r="AT23" s="824">
        <f>+Input!GU687</f>
        <v>-4.9356412522421405</v>
      </c>
      <c r="AU23" s="840">
        <f>+Input!GV687</f>
        <v>858.50436396360521</v>
      </c>
      <c r="AV23" s="824">
        <f>+Input!GW687</f>
        <v>-5.9343100908809117</v>
      </c>
      <c r="AW23" s="840">
        <f>+Input!GX687</f>
        <v>812.3337840138347</v>
      </c>
      <c r="AX23" s="824">
        <f>+Input!GY687</f>
        <v>-5.3780250733504564</v>
      </c>
      <c r="AY23" s="824">
        <f>+Input!GZ687</f>
        <v>-5.5123995842953022</v>
      </c>
      <c r="AZ23" s="858"/>
      <c r="BA23" s="858"/>
      <c r="BB23" s="858"/>
      <c r="BC23" s="858"/>
      <c r="BD23" s="858"/>
      <c r="BE23" s="858"/>
    </row>
    <row r="24" spans="1:57" s="722" customFormat="1" ht="12.75" customHeight="1" x14ac:dyDescent="0.2">
      <c r="A24" s="757" t="str">
        <f>Input!B689</f>
        <v>Operating EPS</v>
      </c>
      <c r="B24" s="758">
        <f>+Input!DS689</f>
        <v>1.1146328578975173</v>
      </c>
      <c r="C24" s="759"/>
      <c r="D24" s="758">
        <f>+Input!DU689</f>
        <v>1.2043601559730595</v>
      </c>
      <c r="E24" s="759"/>
      <c r="F24" s="758">
        <f>+Input!DW689</f>
        <v>0.31684219842463934</v>
      </c>
      <c r="G24" s="759"/>
      <c r="H24" s="758">
        <f>+Input!DY689</f>
        <v>0.88104155519885852</v>
      </c>
      <c r="I24" s="759"/>
      <c r="J24" s="758">
        <f>+Input!EA689</f>
        <v>0.90384268446689531</v>
      </c>
      <c r="K24" s="759">
        <f>+Input!EB689</f>
        <v>-18.911175275079028</v>
      </c>
      <c r="L24" s="758">
        <f>+Input!EC689</f>
        <v>0.56442160310161393</v>
      </c>
      <c r="M24" s="759" t="str">
        <f>+Input!ED689</f>
        <v>NM</v>
      </c>
      <c r="N24" s="758">
        <f>+Input!EE689</f>
        <v>1.2214910303795186</v>
      </c>
      <c r="O24" s="759" t="str">
        <f>+Input!EF689</f>
        <v>NM</v>
      </c>
      <c r="P24" s="758">
        <f>+Input!EG689</f>
        <v>0.95328282828282829</v>
      </c>
      <c r="Q24" s="759">
        <f>+Input!EH689</f>
        <v>8.199530732425476</v>
      </c>
      <c r="R24" s="758">
        <f>+Input!EI689</f>
        <v>1.2023300263948302</v>
      </c>
      <c r="S24" s="759">
        <f>+Input!EJ689</f>
        <v>33.024258209711441</v>
      </c>
      <c r="T24" s="758">
        <f>+Input!EK689</f>
        <v>1.0359486184271325</v>
      </c>
      <c r="U24" s="759">
        <f>+Input!EL689</f>
        <v>83.54163142133109</v>
      </c>
      <c r="V24" s="758">
        <f>+Input!EM689</f>
        <v>1.0405972935137657</v>
      </c>
      <c r="W24" s="759">
        <f>+Input!EN689</f>
        <v>-14.809256258684844</v>
      </c>
      <c r="X24" s="758">
        <f>+Input!EO689</f>
        <v>0.63835797005931649</v>
      </c>
      <c r="Y24" s="759">
        <f>+Input!EP689</f>
        <v>-33.035826187155152</v>
      </c>
      <c r="Z24" s="758">
        <f>+Input!EQ689</f>
        <v>1.175646973242267</v>
      </c>
      <c r="AA24" s="759">
        <f>+Input!ER689</f>
        <v>-2.2192786145890375</v>
      </c>
      <c r="AB24" s="758">
        <f>+Input!ES689</f>
        <v>1.1948101956024264</v>
      </c>
      <c r="AC24" s="759">
        <f>+Input!ET689</f>
        <v>15.334889621889868</v>
      </c>
      <c r="AD24" s="758">
        <f>+Input!EU689</f>
        <v>1.227460917453878</v>
      </c>
      <c r="AE24" s="759">
        <f>+Input!EV689</f>
        <v>17.957342874603622</v>
      </c>
      <c r="AF24" s="758">
        <f>+Input!EW689</f>
        <v>1.2580567406871328</v>
      </c>
      <c r="AG24" s="759">
        <f>+Input!EX689</f>
        <v>97.077000631829449</v>
      </c>
      <c r="AH24" s="760"/>
      <c r="AI24" s="758">
        <f>+Input!GJ689</f>
        <v>3.5176613885505481</v>
      </c>
      <c r="AJ24" s="759"/>
      <c r="AK24" s="758">
        <f>+Input!GL689</f>
        <v>3.6430858018846664</v>
      </c>
      <c r="AL24" s="759">
        <f>+Input!GM689</f>
        <v>3.5655624427739285</v>
      </c>
      <c r="AM24" s="758">
        <f>+Input!GN689</f>
        <v>3.9263860559985169</v>
      </c>
      <c r="AN24" s="759">
        <f>+Input!GO689</f>
        <v>7.7763816039493783</v>
      </c>
      <c r="AO24" s="758">
        <f>+Input!GP689</f>
        <v>4.8537545892026177</v>
      </c>
      <c r="AP24" s="759">
        <f>+Input!GQ689</f>
        <v>23.618883114851073</v>
      </c>
      <c r="AQ24" s="758">
        <f>+Input!GR689</f>
        <v>5.3505339451739911</v>
      </c>
      <c r="AR24" s="759">
        <f>+Input!GS689</f>
        <v>10.234950013263555</v>
      </c>
      <c r="AS24" s="758">
        <f>+Input!GT689</f>
        <v>5.8484909473717046</v>
      </c>
      <c r="AT24" s="759">
        <f>+Input!GU689</f>
        <v>9.3066786847853642</v>
      </c>
      <c r="AU24" s="758">
        <f>+Input!GV689</f>
        <v>6.4018315140999009</v>
      </c>
      <c r="AV24" s="759">
        <f>+Input!GW689</f>
        <v>9.4612537098457175</v>
      </c>
      <c r="AW24" s="758">
        <f>+Input!GX689</f>
        <v>6.9019374914110392</v>
      </c>
      <c r="AX24" s="759">
        <f>+Input!GY689</f>
        <v>7.8119203263888659</v>
      </c>
      <c r="AY24" s="759">
        <f>+Input!GZ689</f>
        <v>11.942655393491242</v>
      </c>
      <c r="AZ24" s="851"/>
      <c r="BA24" s="851"/>
      <c r="BB24" s="851"/>
      <c r="BC24" s="852"/>
      <c r="BD24" s="852"/>
      <c r="BE24" s="852"/>
    </row>
    <row r="25" spans="1:57" s="721" customFormat="1" ht="12.75" hidden="1" customHeight="1" outlineLevel="1" x14ac:dyDescent="0.2">
      <c r="A25" s="853" t="s">
        <v>254</v>
      </c>
      <c r="B25" s="756">
        <f>(B20/B54)-B24</f>
        <v>0</v>
      </c>
      <c r="C25" s="765"/>
      <c r="D25" s="756">
        <f>(D20/D54)-D24</f>
        <v>0</v>
      </c>
      <c r="E25" s="765"/>
      <c r="F25" s="756">
        <f>(F20/F54)-F24</f>
        <v>0</v>
      </c>
      <c r="G25" s="765"/>
      <c r="H25" s="756">
        <f>(H20/H54)-H24</f>
        <v>0</v>
      </c>
      <c r="I25" s="765"/>
      <c r="J25" s="756">
        <f>(J20/J54)-J24</f>
        <v>0</v>
      </c>
      <c r="K25" s="765"/>
      <c r="L25" s="756">
        <f>(L20/L54)-L24</f>
        <v>0</v>
      </c>
      <c r="M25" s="765"/>
      <c r="N25" s="756">
        <f>(N20/N54)-N24</f>
        <v>0</v>
      </c>
      <c r="O25" s="765"/>
      <c r="P25" s="756">
        <f>(P20/P54)-P24</f>
        <v>0</v>
      </c>
      <c r="Q25" s="765"/>
      <c r="R25" s="756">
        <f t="shared" ref="R25" si="1">(R20/R54)-R24</f>
        <v>0</v>
      </c>
      <c r="S25" s="765"/>
      <c r="T25" s="756">
        <f t="shared" ref="T25" si="2">(T20/T54)-T24</f>
        <v>0</v>
      </c>
      <c r="U25" s="765"/>
      <c r="V25" s="756">
        <f t="shared" ref="V25" si="3">(V20/V54)-V24</f>
        <v>0</v>
      </c>
      <c r="W25" s="765"/>
      <c r="X25" s="756">
        <f t="shared" ref="X25" si="4">(X20/X54)-X24</f>
        <v>0</v>
      </c>
      <c r="Y25" s="765"/>
      <c r="Z25" s="756">
        <f t="shared" ref="Z25" si="5">(Z20/Z54)-Z24</f>
        <v>0</v>
      </c>
      <c r="AA25" s="765"/>
      <c r="AB25" s="756">
        <f t="shared" ref="AB25" si="6">(AB20/AB54)-AB24</f>
        <v>0</v>
      </c>
      <c r="AC25" s="765"/>
      <c r="AD25" s="756">
        <f t="shared" ref="AD25" si="7">(AD20/AD54)-AD24</f>
        <v>0</v>
      </c>
      <c r="AE25" s="765"/>
      <c r="AF25" s="756">
        <f t="shared" ref="AF25" si="8">(AF20/AF54)-AF24</f>
        <v>0</v>
      </c>
      <c r="AG25" s="765"/>
      <c r="AH25" s="854"/>
      <c r="AI25" s="756">
        <f>(AI20/AI54)-AI24</f>
        <v>0</v>
      </c>
      <c r="AJ25" s="765"/>
      <c r="AK25" s="756">
        <f>(AK20/AK54)-AK24</f>
        <v>0</v>
      </c>
      <c r="AL25" s="765"/>
      <c r="AM25" s="756">
        <f>(AM20/AM54)-AM24</f>
        <v>0</v>
      </c>
      <c r="AN25" s="765"/>
      <c r="AO25" s="756">
        <f>(AO20/AO54)-AO24</f>
        <v>0</v>
      </c>
      <c r="AP25" s="765"/>
      <c r="AQ25" s="756">
        <f>(AQ20/AQ54)-AQ24</f>
        <v>0</v>
      </c>
      <c r="AR25" s="765"/>
      <c r="AS25" s="756">
        <f>(AS20/AS54)-AS24</f>
        <v>0</v>
      </c>
      <c r="AT25" s="765"/>
      <c r="AU25" s="756">
        <f>(AU20/AU54)-AU24</f>
        <v>0</v>
      </c>
      <c r="AV25" s="765"/>
      <c r="AW25" s="756">
        <f>(AW20/AW54)-AW24</f>
        <v>0</v>
      </c>
      <c r="AX25" s="765"/>
      <c r="AY25" s="765"/>
      <c r="AZ25" s="851"/>
      <c r="BA25" s="851"/>
      <c r="BB25" s="851"/>
      <c r="BC25" s="852"/>
      <c r="BD25" s="852"/>
      <c r="BE25" s="852"/>
    </row>
    <row r="26" spans="1:57" s="772" customFormat="1" ht="4.5" customHeight="1" collapsed="1" x14ac:dyDescent="0.2">
      <c r="A26" s="817"/>
      <c r="B26" s="789"/>
      <c r="C26" s="824"/>
      <c r="D26" s="789"/>
      <c r="E26" s="824"/>
      <c r="F26" s="789"/>
      <c r="G26" s="824"/>
      <c r="H26" s="789"/>
      <c r="I26" s="824"/>
      <c r="J26" s="789"/>
      <c r="K26" s="824"/>
      <c r="L26" s="789"/>
      <c r="M26" s="824"/>
      <c r="N26" s="789"/>
      <c r="O26" s="824"/>
      <c r="P26" s="789"/>
      <c r="Q26" s="824"/>
      <c r="R26" s="789"/>
      <c r="S26" s="824"/>
      <c r="T26" s="789"/>
      <c r="U26" s="824"/>
      <c r="V26" s="789"/>
      <c r="W26" s="824"/>
      <c r="X26" s="789"/>
      <c r="Y26" s="824"/>
      <c r="Z26" s="789"/>
      <c r="AA26" s="824"/>
      <c r="AB26" s="789"/>
      <c r="AC26" s="824"/>
      <c r="AD26" s="789"/>
      <c r="AE26" s="824"/>
      <c r="AF26" s="789"/>
      <c r="AG26" s="824"/>
      <c r="AH26" s="791"/>
      <c r="AI26" s="789"/>
      <c r="AJ26" s="824"/>
      <c r="AK26" s="789"/>
      <c r="AL26" s="824"/>
      <c r="AM26" s="789"/>
      <c r="AN26" s="824"/>
      <c r="AO26" s="789"/>
      <c r="AP26" s="824"/>
      <c r="AQ26" s="789"/>
      <c r="AR26" s="824"/>
      <c r="AS26" s="789"/>
      <c r="AT26" s="824"/>
      <c r="AU26" s="789"/>
      <c r="AV26" s="824"/>
      <c r="AW26" s="789"/>
      <c r="AX26" s="824"/>
      <c r="AY26" s="824"/>
      <c r="AZ26" s="858"/>
      <c r="BA26" s="858"/>
      <c r="BB26" s="858"/>
      <c r="BC26" s="858"/>
      <c r="BD26" s="858"/>
      <c r="BE26" s="858"/>
    </row>
    <row r="27" spans="1:57" s="772" customFormat="1" ht="12.75" customHeight="1" collapsed="1" x14ac:dyDescent="0.2">
      <c r="A27" s="822" t="s">
        <v>196</v>
      </c>
      <c r="B27" s="840">
        <f>+Input!DS639</f>
        <v>490</v>
      </c>
      <c r="C27" s="824"/>
      <c r="D27" s="840">
        <f>+Input!DU639</f>
        <v>-723</v>
      </c>
      <c r="E27" s="824"/>
      <c r="F27" s="840">
        <f>+Input!DW639</f>
        <v>492</v>
      </c>
      <c r="G27" s="824"/>
      <c r="H27" s="840">
        <f>+Input!DY639</f>
        <v>-591</v>
      </c>
      <c r="I27" s="824"/>
      <c r="J27" s="840">
        <f>+Input!EA639</f>
        <v>1322</v>
      </c>
      <c r="K27" s="824" t="str">
        <f>+Input!EB639</f>
        <v>NM</v>
      </c>
      <c r="L27" s="840">
        <f>+Input!EC639</f>
        <v>-351</v>
      </c>
      <c r="M27" s="824" t="str">
        <f>+Input!ED639</f>
        <v>NM</v>
      </c>
      <c r="N27" s="840">
        <f>+Input!EE639</f>
        <v>-819</v>
      </c>
      <c r="O27" s="824" t="str">
        <f>+Input!EF639</f>
        <v>NM</v>
      </c>
      <c r="P27" s="840">
        <f>+Input!EG639</f>
        <v>-3445</v>
      </c>
      <c r="Q27" s="824" t="str">
        <f>+Input!EH639</f>
        <v>NM</v>
      </c>
      <c r="R27" s="840">
        <f>+Input!EI639</f>
        <v>-454</v>
      </c>
      <c r="S27" s="824" t="str">
        <f>+Input!EJ639</f>
        <v>NM</v>
      </c>
      <c r="T27" s="840">
        <f>+Input!EK639</f>
        <v>-256</v>
      </c>
      <c r="U27" s="824">
        <f>+Input!EL639</f>
        <v>-27.065527065527061</v>
      </c>
      <c r="V27" s="840">
        <f>+Input!EM639</f>
        <v>-1212</v>
      </c>
      <c r="W27" s="824">
        <f>+Input!EN639</f>
        <v>47.985347985347993</v>
      </c>
      <c r="X27" s="840">
        <f>+Input!EO639</f>
        <v>1594</v>
      </c>
      <c r="Y27" s="824" t="str">
        <f>+Input!EP639</f>
        <v>NM</v>
      </c>
      <c r="Z27" s="840">
        <f>+Input!EQ639</f>
        <v>-911.17716639000002</v>
      </c>
      <c r="AA27" s="824" t="str">
        <f>+Input!ER639</f>
        <v>NM</v>
      </c>
      <c r="AB27" s="840">
        <f>+Input!ES639</f>
        <v>-11.253171121451999</v>
      </c>
      <c r="AC27" s="824" t="str">
        <f>+Input!ET639</f>
        <v>NM</v>
      </c>
      <c r="AD27" s="840">
        <f>+Input!EU639</f>
        <v>-11.329692685077871</v>
      </c>
      <c r="AE27" s="824" t="str">
        <f>+Input!EV639</f>
        <v>NM</v>
      </c>
      <c r="AF27" s="840">
        <f>+Input!EW639</f>
        <v>-11.406734595336399</v>
      </c>
      <c r="AG27" s="824" t="str">
        <f>+Input!EX639</f>
        <v>NM</v>
      </c>
      <c r="AH27" s="846"/>
      <c r="AI27" s="840">
        <f>+Input!GJ639</f>
        <v>-332</v>
      </c>
      <c r="AJ27" s="824"/>
      <c r="AK27" s="840">
        <f>+Input!GL639</f>
        <v>-3293</v>
      </c>
      <c r="AL27" s="824" t="str">
        <f>+Input!GM639</f>
        <v>NM</v>
      </c>
      <c r="AM27" s="840">
        <f>+Input!GN639</f>
        <v>-328</v>
      </c>
      <c r="AN27" s="824" t="str">
        <f>+Input!GO639</f>
        <v>NM</v>
      </c>
      <c r="AO27" s="840">
        <f>+Input!GP639</f>
        <v>-945.16676479186629</v>
      </c>
      <c r="AP27" s="824" t="str">
        <f>+Input!GQ639</f>
        <v>NM</v>
      </c>
      <c r="AQ27" s="840">
        <f>+Input!GR639</f>
        <v>-46.295933911662935</v>
      </c>
      <c r="AR27" s="824" t="str">
        <f>+Input!GS639</f>
        <v>NM</v>
      </c>
      <c r="AS27" s="840">
        <f>+Input!GT639</f>
        <v>-47.453332259454498</v>
      </c>
      <c r="AT27" s="824">
        <f>+Input!GU639</f>
        <v>2.4999999999999689</v>
      </c>
      <c r="AU27" s="840">
        <f>+Input!GV639</f>
        <v>-48.639665565940859</v>
      </c>
      <c r="AV27" s="824">
        <f>+Input!GW639</f>
        <v>2.4999999999999911</v>
      </c>
      <c r="AW27" s="840">
        <f>+Input!GX639</f>
        <v>-49.855657205089372</v>
      </c>
      <c r="AX27" s="824">
        <f>+Input!GY639</f>
        <v>2.4999999999999911</v>
      </c>
      <c r="AY27" s="824">
        <f>+Input!GZ639</f>
        <v>-31.393048788218557</v>
      </c>
      <c r="AZ27" s="858"/>
      <c r="BA27" s="858"/>
      <c r="BB27" s="858"/>
      <c r="BC27" s="858"/>
      <c r="BD27" s="858"/>
      <c r="BE27" s="858"/>
    </row>
    <row r="28" spans="1:57" s="772" customFormat="1" ht="12.75" customHeight="1" x14ac:dyDescent="0.2">
      <c r="A28" s="839" t="str">
        <f>Input!B640</f>
        <v>Reported Earnings</v>
      </c>
      <c r="B28" s="841">
        <f>+Input!DS640</f>
        <v>1756</v>
      </c>
      <c r="C28" s="824"/>
      <c r="D28" s="841">
        <f>+Input!DU640</f>
        <v>636</v>
      </c>
      <c r="E28" s="824"/>
      <c r="F28" s="841">
        <f>+Input!DW640</f>
        <v>850</v>
      </c>
      <c r="G28" s="824"/>
      <c r="H28" s="841">
        <f>+Input!DY640</f>
        <v>397</v>
      </c>
      <c r="I28" s="824"/>
      <c r="J28" s="841">
        <f>+Input!EA640</f>
        <v>2324</v>
      </c>
      <c r="K28" s="824">
        <f>+Input!EB640</f>
        <v>32.34624145785876</v>
      </c>
      <c r="L28" s="841">
        <f>+Input!EC640</f>
        <v>275</v>
      </c>
      <c r="M28" s="824" t="str">
        <f>+Input!ED640</f>
        <v>NM</v>
      </c>
      <c r="N28" s="841">
        <f>+Input!EE640</f>
        <v>536</v>
      </c>
      <c r="O28" s="824">
        <f>+Input!EF640</f>
        <v>-36.941176470588232</v>
      </c>
      <c r="P28" s="841">
        <f>+Input!EG640</f>
        <v>-2388</v>
      </c>
      <c r="Q28" s="824" t="str">
        <f>+Input!EH640</f>
        <v>NM</v>
      </c>
      <c r="R28" s="841">
        <f>+Input!EI640</f>
        <v>867</v>
      </c>
      <c r="S28" s="824" t="str">
        <f>+Input!EJ640</f>
        <v>NM</v>
      </c>
      <c r="T28" s="841">
        <f>+Input!EK640</f>
        <v>865</v>
      </c>
      <c r="U28" s="824" t="str">
        <f>+Input!EL640</f>
        <v>NM</v>
      </c>
      <c r="V28" s="841">
        <f>+Input!EM640</f>
        <v>-97</v>
      </c>
      <c r="W28" s="824" t="str">
        <f>+Input!EN640</f>
        <v>NM</v>
      </c>
      <c r="X28" s="841">
        <f>+Input!EO640</f>
        <v>2272</v>
      </c>
      <c r="Y28" s="824" t="str">
        <f>+Input!EP640</f>
        <v>NM</v>
      </c>
      <c r="Z28" s="841">
        <f>+Input!EQ640</f>
        <v>316.6987389376194</v>
      </c>
      <c r="AA28" s="824" t="str">
        <f>+Input!ER640</f>
        <v>NM</v>
      </c>
      <c r="AB28" s="841">
        <f>+Input!ES640</f>
        <v>1215.7987911302546</v>
      </c>
      <c r="AC28" s="824">
        <f>+Input!ET640</f>
        <v>40.554773541069892</v>
      </c>
      <c r="AD28" s="841">
        <f>+Input!EU640</f>
        <v>1229.3457028539615</v>
      </c>
      <c r="AE28" s="824" t="str">
        <f>+Input!EV640</f>
        <v>NM</v>
      </c>
      <c r="AF28" s="841">
        <f>+Input!EW640</f>
        <v>1241.304300474902</v>
      </c>
      <c r="AG28" s="824">
        <f>+Input!EX640</f>
        <v>-45.36512761994269</v>
      </c>
      <c r="AH28" s="846"/>
      <c r="AI28" s="841">
        <f>+Input!GJ640</f>
        <v>3639</v>
      </c>
      <c r="AJ28" s="824"/>
      <c r="AK28" s="841">
        <f>+Input!GL640</f>
        <v>747</v>
      </c>
      <c r="AL28" s="824" t="str">
        <f>+Input!GM640</f>
        <v>NM</v>
      </c>
      <c r="AM28" s="841">
        <f>+Input!GN640</f>
        <v>3907</v>
      </c>
      <c r="AN28" s="824" t="str">
        <f>+Input!GO640</f>
        <v>NM</v>
      </c>
      <c r="AO28" s="841">
        <f>+Input!GP640</f>
        <v>4003.1475333967378</v>
      </c>
      <c r="AP28" s="824">
        <f>+Input!GQ640</f>
        <v>2.4609043613191162</v>
      </c>
      <c r="AQ28" s="841">
        <f>+Input!GR640</f>
        <v>5090.4804783361251</v>
      </c>
      <c r="AR28" s="824">
        <f>+Input!GS640</f>
        <v>27.161950337033105</v>
      </c>
      <c r="AS28" s="841">
        <f>+Input!GT640</f>
        <v>5290.2580115591145</v>
      </c>
      <c r="AT28" s="824">
        <f>+Input!GU640</f>
        <v>3.924531958686317</v>
      </c>
      <c r="AU28" s="841">
        <f>+Input!GV640</f>
        <v>5447.3606266485585</v>
      </c>
      <c r="AV28" s="824">
        <f>+Input!GW640</f>
        <v>2.9696588473790531</v>
      </c>
      <c r="AW28" s="841">
        <f>+Input!GX640</f>
        <v>5556.8213422197941</v>
      </c>
      <c r="AX28" s="824">
        <f>+Input!GY640</f>
        <v>2.0094266393113847</v>
      </c>
      <c r="AY28" s="824">
        <f>+Input!GZ640</f>
        <v>7.299229790998929</v>
      </c>
      <c r="AZ28" s="858"/>
      <c r="BA28" s="858"/>
      <c r="BB28" s="858"/>
      <c r="BC28" s="858"/>
      <c r="BD28" s="858"/>
      <c r="BE28" s="858"/>
    </row>
    <row r="29" spans="1:57" s="801" customFormat="1" ht="12.75" hidden="1" customHeight="1" outlineLevel="1" x14ac:dyDescent="0.2">
      <c r="A29" s="801" t="s">
        <v>254</v>
      </c>
      <c r="B29" s="843">
        <f>(B20+B27)-B28</f>
        <v>0</v>
      </c>
      <c r="C29" s="844"/>
      <c r="D29" s="843">
        <f>(D20+D27)-D28</f>
        <v>0</v>
      </c>
      <c r="E29" s="844"/>
      <c r="F29" s="843">
        <f>(F20+F27)-F28</f>
        <v>0</v>
      </c>
      <c r="G29" s="844"/>
      <c r="H29" s="843">
        <f>(H20+H27)-H28</f>
        <v>0</v>
      </c>
      <c r="I29" s="844"/>
      <c r="J29" s="843">
        <f>(J20+J27)-J28</f>
        <v>0</v>
      </c>
      <c r="K29" s="844"/>
      <c r="L29" s="843">
        <f>(L20+L27)-L28</f>
        <v>0</v>
      </c>
      <c r="M29" s="844"/>
      <c r="N29" s="843">
        <f>(N20+N27)-N28</f>
        <v>0</v>
      </c>
      <c r="O29" s="844"/>
      <c r="P29" s="843">
        <f>(P20+P27)-P28</f>
        <v>0</v>
      </c>
      <c r="Q29" s="844"/>
      <c r="R29" s="843">
        <f t="shared" ref="R29" si="9">(R20+R27)-R28</f>
        <v>0</v>
      </c>
      <c r="S29" s="844"/>
      <c r="T29" s="843">
        <f t="shared" ref="T29" si="10">(T20+T27)-T28</f>
        <v>0</v>
      </c>
      <c r="U29" s="844"/>
      <c r="V29" s="843">
        <f t="shared" ref="V29" si="11">(V20+V27)-V28</f>
        <v>0</v>
      </c>
      <c r="W29" s="844"/>
      <c r="X29" s="843">
        <f t="shared" ref="X29" si="12">(X20+X27)-X28</f>
        <v>0</v>
      </c>
      <c r="Y29" s="844"/>
      <c r="Z29" s="843">
        <f t="shared" ref="Z29" si="13">(Z20+Z27)-Z28</f>
        <v>0</v>
      </c>
      <c r="AA29" s="844"/>
      <c r="AB29" s="843">
        <f t="shared" ref="AB29" si="14">(AB20+AB27)-AB28</f>
        <v>0</v>
      </c>
      <c r="AC29" s="844"/>
      <c r="AD29" s="843">
        <f t="shared" ref="AD29" si="15">(AD20+AD27)-AD28</f>
        <v>0</v>
      </c>
      <c r="AE29" s="844"/>
      <c r="AF29" s="843">
        <f t="shared" ref="AF29" si="16">(AF20+AF27)-AF28</f>
        <v>0</v>
      </c>
      <c r="AG29" s="844"/>
      <c r="AH29" s="845"/>
      <c r="AI29" s="843">
        <f>(AI20+AI27)-AI28</f>
        <v>0</v>
      </c>
      <c r="AJ29" s="844"/>
      <c r="AK29" s="843">
        <f>(AK20+AK27)-AK28</f>
        <v>0</v>
      </c>
      <c r="AL29" s="844"/>
      <c r="AM29" s="843">
        <f>(AM20+AM27)-AM28</f>
        <v>0</v>
      </c>
      <c r="AN29" s="844"/>
      <c r="AO29" s="843">
        <f>(AO20+AO27)-AO28</f>
        <v>0</v>
      </c>
      <c r="AP29" s="844"/>
      <c r="AQ29" s="843">
        <f>(AQ20+AQ27)-AQ28</f>
        <v>0</v>
      </c>
      <c r="AR29" s="844"/>
      <c r="AS29" s="843">
        <f>(AS20+AS27)-AS28</f>
        <v>0</v>
      </c>
      <c r="AT29" s="844"/>
      <c r="AU29" s="843">
        <f>(AU20+AU27)-AU28</f>
        <v>0</v>
      </c>
      <c r="AV29" s="844"/>
      <c r="AW29" s="843">
        <f>(AW20+AW27)-AW28</f>
        <v>0</v>
      </c>
      <c r="AX29" s="844"/>
      <c r="AY29" s="844"/>
      <c r="AZ29" s="858"/>
      <c r="BA29" s="858"/>
      <c r="BB29" s="858"/>
      <c r="BC29" s="858"/>
      <c r="BD29" s="858"/>
      <c r="BE29" s="858"/>
    </row>
    <row r="30" spans="1:57" s="811" customFormat="1" ht="4.5" customHeight="1" collapsed="1" x14ac:dyDescent="0.2">
      <c r="B30" s="863"/>
      <c r="C30" s="864"/>
      <c r="D30" s="863"/>
      <c r="E30" s="864"/>
      <c r="F30" s="863"/>
      <c r="G30" s="864"/>
      <c r="H30" s="863"/>
      <c r="I30" s="864"/>
      <c r="J30" s="863"/>
      <c r="K30" s="864"/>
      <c r="L30" s="863"/>
      <c r="M30" s="864"/>
      <c r="N30" s="863"/>
      <c r="O30" s="864"/>
      <c r="P30" s="863"/>
      <c r="Q30" s="864"/>
      <c r="R30" s="863"/>
      <c r="S30" s="864"/>
      <c r="T30" s="863"/>
      <c r="U30" s="864"/>
      <c r="V30" s="863"/>
      <c r="W30" s="864"/>
      <c r="X30" s="863"/>
      <c r="Y30" s="864"/>
      <c r="Z30" s="863"/>
      <c r="AA30" s="864"/>
      <c r="AB30" s="863"/>
      <c r="AC30" s="864"/>
      <c r="AD30" s="863"/>
      <c r="AE30" s="864"/>
      <c r="AF30" s="863"/>
      <c r="AG30" s="864"/>
      <c r="AH30" s="865"/>
      <c r="AI30" s="863"/>
      <c r="AJ30" s="864"/>
      <c r="AK30" s="863"/>
      <c r="AL30" s="864"/>
      <c r="AM30" s="863"/>
      <c r="AN30" s="864"/>
      <c r="AO30" s="863"/>
      <c r="AP30" s="864"/>
      <c r="AQ30" s="863"/>
      <c r="AR30" s="864"/>
      <c r="AS30" s="863"/>
      <c r="AT30" s="864"/>
      <c r="AU30" s="863"/>
      <c r="AV30" s="864"/>
      <c r="AW30" s="863"/>
      <c r="AX30" s="864"/>
      <c r="AY30" s="864"/>
      <c r="AZ30" s="858"/>
      <c r="BA30" s="858"/>
      <c r="BB30" s="858"/>
      <c r="BC30" s="858"/>
      <c r="BD30" s="858"/>
      <c r="BE30" s="858"/>
    </row>
    <row r="31" spans="1:57" ht="12.75" customHeight="1" x14ac:dyDescent="0.2">
      <c r="A31" s="855" t="str">
        <f>Input!B690</f>
        <v xml:space="preserve">Reported EPS </v>
      </c>
      <c r="B31" s="856">
        <f>+Input!DS690</f>
        <v>1.55</v>
      </c>
      <c r="C31" s="857"/>
      <c r="D31" s="856">
        <f>+Input!DU690</f>
        <v>0.56000000000000005</v>
      </c>
      <c r="E31" s="857"/>
      <c r="F31" s="856">
        <f>+Input!DW690</f>
        <v>0.75</v>
      </c>
      <c r="G31" s="857"/>
      <c r="H31" s="856">
        <f>+Input!DY690</f>
        <v>0.35</v>
      </c>
      <c r="I31" s="857"/>
      <c r="J31" s="856">
        <f>+Input!EA690</f>
        <v>2.1</v>
      </c>
      <c r="K31" s="857">
        <f>+Input!EB690</f>
        <v>35.48387096774195</v>
      </c>
      <c r="L31" s="856">
        <f>+Input!EC690</f>
        <v>0.25</v>
      </c>
      <c r="M31" s="857" t="str">
        <f>+Input!ED690</f>
        <v>NM</v>
      </c>
      <c r="N31" s="856">
        <f>+Input!EE690</f>
        <v>0.48</v>
      </c>
      <c r="O31" s="857">
        <f>+Input!EF690</f>
        <v>-36</v>
      </c>
      <c r="P31" s="856">
        <f>+Input!EG690</f>
        <v>-2.17</v>
      </c>
      <c r="Q31" s="857" t="str">
        <f>+Input!EH690</f>
        <v>NM</v>
      </c>
      <c r="R31" s="856">
        <f>+Input!EI690</f>
        <v>0.79</v>
      </c>
      <c r="S31" s="857" t="str">
        <f>+Input!EJ690</f>
        <v>NM</v>
      </c>
      <c r="T31" s="856">
        <f>+Input!EK690</f>
        <v>0.8</v>
      </c>
      <c r="U31" s="857" t="str">
        <f>+Input!EL690</f>
        <v>NM</v>
      </c>
      <c r="V31" s="856">
        <f>+Input!EM690</f>
        <v>-0.09</v>
      </c>
      <c r="W31" s="857" t="str">
        <f>+Input!EN690</f>
        <v>NM</v>
      </c>
      <c r="X31" s="856">
        <f>+Input!EO690</f>
        <v>2.14</v>
      </c>
      <c r="Y31" s="857" t="str">
        <f>+Input!EP690</f>
        <v>NM</v>
      </c>
      <c r="Z31" s="856">
        <f>+Input!EQ690</f>
        <v>0.3</v>
      </c>
      <c r="AA31" s="857" t="str">
        <f>+Input!ER690</f>
        <v>NM</v>
      </c>
      <c r="AB31" s="856">
        <f>+Input!ES690</f>
        <v>1.18</v>
      </c>
      <c r="AC31" s="857">
        <f>+Input!ET690</f>
        <v>47.499999999999986</v>
      </c>
      <c r="AD31" s="856">
        <f>+Input!EU690</f>
        <v>1.22</v>
      </c>
      <c r="AE31" s="857" t="str">
        <f>+Input!EV690</f>
        <v>NM</v>
      </c>
      <c r="AF31" s="856">
        <f>+Input!EW690</f>
        <v>1.25</v>
      </c>
      <c r="AG31" s="857">
        <f>+Input!EX690</f>
        <v>-41.588785046728972</v>
      </c>
      <c r="AH31" s="764"/>
      <c r="AI31" s="856">
        <f>+Input!GJ690</f>
        <v>3.22</v>
      </c>
      <c r="AJ31" s="857"/>
      <c r="AK31" s="856">
        <f>+Input!GL690</f>
        <v>0.67</v>
      </c>
      <c r="AL31" s="857" t="str">
        <f>+Input!GM690</f>
        <v>NM</v>
      </c>
      <c r="AM31" s="856">
        <f>+Input!GN690</f>
        <v>3.62</v>
      </c>
      <c r="AN31" s="857" t="str">
        <f>+Input!GO690</f>
        <v>NM</v>
      </c>
      <c r="AO31" s="856">
        <f>+Input!GP690</f>
        <v>3.93</v>
      </c>
      <c r="AP31" s="857">
        <f>+Input!GQ690</f>
        <v>8.5635359116022158</v>
      </c>
      <c r="AQ31" s="856">
        <f>+Input!GR690</f>
        <v>5.3</v>
      </c>
      <c r="AR31" s="857">
        <f>+Input!GS690</f>
        <v>34.860050890585235</v>
      </c>
      <c r="AS31" s="856">
        <f>+Input!GT690</f>
        <v>5.8</v>
      </c>
      <c r="AT31" s="857">
        <f>+Input!GU690</f>
        <v>9.4339622641509422</v>
      </c>
      <c r="AU31" s="856">
        <f>+Input!GV690</f>
        <v>6.35</v>
      </c>
      <c r="AV31" s="857">
        <f>+Input!GW690</f>
        <v>9.4827586206896584</v>
      </c>
      <c r="AW31" s="856">
        <f>+Input!GX690</f>
        <v>6.84</v>
      </c>
      <c r="AX31" s="857">
        <f>+Input!GY690</f>
        <v>7.7165354330708702</v>
      </c>
      <c r="AY31" s="857">
        <f>+Input!GZ690</f>
        <v>13.571537775909759</v>
      </c>
      <c r="AZ31" s="851"/>
      <c r="BA31" s="851"/>
      <c r="BB31" s="851"/>
      <c r="BC31" s="852"/>
      <c r="BD31" s="852"/>
      <c r="BE31" s="852"/>
    </row>
    <row r="32" spans="1:57" s="721" customFormat="1" ht="12.75" hidden="1" customHeight="1" outlineLevel="1" x14ac:dyDescent="0.2">
      <c r="A32" s="853" t="s">
        <v>254</v>
      </c>
      <c r="B32" s="756">
        <f>(B28/B54)-B31</f>
        <v>-3.953160767740771E-3</v>
      </c>
      <c r="C32" s="765"/>
      <c r="D32" s="756">
        <f>(D28/D54)-D31</f>
        <v>3.629918468628146E-3</v>
      </c>
      <c r="E32" s="765"/>
      <c r="F32" s="756">
        <f>(F28/F54)-F31</f>
        <v>2.2789627400654489E-3</v>
      </c>
      <c r="G32" s="765"/>
      <c r="H32" s="756">
        <f>(H28/H54)-H31</f>
        <v>4.0217585161405056E-3</v>
      </c>
      <c r="I32" s="765"/>
      <c r="J32" s="756">
        <f>(J28/J54)-J31</f>
        <v>-3.6622767454446148E-3</v>
      </c>
      <c r="K32" s="765"/>
      <c r="L32" s="756">
        <f>(L28/L54)-L31</f>
        <v>-2.0512126949778775E-3</v>
      </c>
      <c r="M32" s="765"/>
      <c r="N32" s="756">
        <f>(N28/N54)-N31</f>
        <v>3.1875957811232647E-3</v>
      </c>
      <c r="O32" s="765"/>
      <c r="P32" s="756">
        <f>(P28/P54)-P31</f>
        <v>1.6320346320346069E-2</v>
      </c>
      <c r="Q32" s="765"/>
      <c r="R32" s="756">
        <f t="shared" ref="R32" si="17">(R28/R54)-R31</f>
        <v>-8.8559206334770657E-4</v>
      </c>
      <c r="S32" s="765"/>
      <c r="T32" s="756">
        <f t="shared" ref="T32" si="18">(T28/T54)-T31</f>
        <v>-6.284077257184828E-4</v>
      </c>
      <c r="U32" s="765"/>
      <c r="V32" s="756">
        <f t="shared" ref="V32" si="19">(V28/V54)-V31</f>
        <v>-5.2729818012133001E-4</v>
      </c>
      <c r="W32" s="765"/>
      <c r="X32" s="756">
        <f t="shared" ref="X32" si="20">(X28/X54)-X31</f>
        <v>-8.4172865078624426E-4</v>
      </c>
      <c r="Y32" s="765"/>
      <c r="Z32" s="756">
        <f t="shared" ref="Z32" si="21">(Z28/Z54)-Z31</f>
        <v>3.2276407136695995E-3</v>
      </c>
      <c r="AA32" s="765"/>
      <c r="AB32" s="756">
        <f t="shared" ref="AB32" si="22">(AB28/AB54)-AB31</f>
        <v>3.8527105061176847E-3</v>
      </c>
      <c r="AC32" s="765"/>
      <c r="AD32" s="756">
        <f t="shared" ref="AD32" si="23">(AD28/AD54)-AD31</f>
        <v>-3.7481022685239562E-3</v>
      </c>
      <c r="AE32" s="765"/>
      <c r="AF32" s="756">
        <f t="shared" ref="AF32" si="24">(AF28/AF54)-AF31</f>
        <v>-3.398669974343127E-3</v>
      </c>
      <c r="AG32" s="765"/>
      <c r="AH32" s="854"/>
      <c r="AI32" s="756">
        <f>(AI28/AI54)-AI31</f>
        <v>3.5632820285682598E-3</v>
      </c>
      <c r="AJ32" s="765"/>
      <c r="AK32" s="756">
        <f>(AK28/AK54)-AK31</f>
        <v>3.610171784120153E-3</v>
      </c>
      <c r="AL32" s="765"/>
      <c r="AM32" s="756">
        <f>(AM28/AM54)-AM31</f>
        <v>2.2881513072503523E-3</v>
      </c>
      <c r="AN32" s="765"/>
      <c r="AO32" s="756">
        <f>(AO28/AO54)-AO31</f>
        <v>-3.3505309894583668E-3</v>
      </c>
      <c r="AP32" s="765"/>
      <c r="AQ32" s="756">
        <f>(AQ28/AQ54)-AQ31</f>
        <v>2.3114908488883756E-3</v>
      </c>
      <c r="AR32" s="765"/>
      <c r="AS32" s="756">
        <f>(AS28/AS54)-AS31</f>
        <v>-3.5033187594972759E-3</v>
      </c>
      <c r="AT32" s="765"/>
      <c r="AU32" s="756">
        <f>(AU28/AU54)-AU31</f>
        <v>-4.8247681598390102E-3</v>
      </c>
      <c r="AV32" s="765"/>
      <c r="AW32" s="756">
        <f>(AW28/AW54)-AW31</f>
        <v>5.641271779941448E-4</v>
      </c>
      <c r="AX32" s="765"/>
      <c r="AY32" s="765"/>
      <c r="AZ32" s="851"/>
      <c r="BA32" s="851"/>
      <c r="BB32" s="851"/>
      <c r="BC32" s="852"/>
      <c r="BD32" s="852"/>
      <c r="BE32" s="852"/>
    </row>
    <row r="33" spans="1:57" s="772" customFormat="1" ht="4.5" customHeight="1" collapsed="1" x14ac:dyDescent="0.2">
      <c r="A33" s="817"/>
      <c r="B33" s="866"/>
      <c r="C33" s="768"/>
      <c r="D33" s="866"/>
      <c r="E33" s="768"/>
      <c r="F33" s="866"/>
      <c r="G33" s="768"/>
      <c r="H33" s="866"/>
      <c r="I33" s="768"/>
      <c r="J33" s="866"/>
      <c r="K33" s="768"/>
      <c r="L33" s="866"/>
      <c r="M33" s="768"/>
      <c r="N33" s="866"/>
      <c r="O33" s="768"/>
      <c r="P33" s="866"/>
      <c r="Q33" s="768"/>
      <c r="R33" s="866"/>
      <c r="S33" s="768"/>
      <c r="T33" s="866"/>
      <c r="U33" s="768"/>
      <c r="V33" s="866"/>
      <c r="W33" s="768"/>
      <c r="X33" s="866"/>
      <c r="Y33" s="768"/>
      <c r="Z33" s="866"/>
      <c r="AA33" s="768"/>
      <c r="AB33" s="866"/>
      <c r="AC33" s="768"/>
      <c r="AD33" s="866"/>
      <c r="AE33" s="768"/>
      <c r="AF33" s="866"/>
      <c r="AG33" s="768"/>
      <c r="AH33" s="867"/>
      <c r="AI33" s="866"/>
      <c r="AJ33" s="768"/>
      <c r="AK33" s="866"/>
      <c r="AL33" s="768"/>
      <c r="AM33" s="866"/>
      <c r="AN33" s="768"/>
      <c r="AO33" s="866"/>
      <c r="AP33" s="768"/>
      <c r="AQ33" s="866"/>
      <c r="AR33" s="768"/>
      <c r="AS33" s="866"/>
      <c r="AT33" s="768"/>
      <c r="AU33" s="866"/>
      <c r="AV33" s="768"/>
      <c r="AW33" s="866"/>
      <c r="AX33" s="768"/>
      <c r="AY33" s="768"/>
      <c r="AZ33" s="858"/>
      <c r="BA33" s="858"/>
      <c r="BB33" s="858"/>
      <c r="BC33" s="858"/>
      <c r="BD33" s="858"/>
      <c r="BE33" s="858"/>
    </row>
    <row r="34" spans="1:57" s="772" customFormat="1" ht="12.75" customHeight="1" x14ac:dyDescent="0.2">
      <c r="A34" s="788" t="s">
        <v>599</v>
      </c>
      <c r="B34" s="804"/>
      <c r="C34" s="824"/>
      <c r="D34" s="804"/>
      <c r="E34" s="824"/>
      <c r="F34" s="804"/>
      <c r="G34" s="824"/>
      <c r="H34" s="804"/>
      <c r="I34" s="824"/>
      <c r="J34" s="804"/>
      <c r="K34" s="824"/>
      <c r="L34" s="804"/>
      <c r="M34" s="824"/>
      <c r="N34" s="804"/>
      <c r="O34" s="824"/>
      <c r="P34" s="804"/>
      <c r="Q34" s="824"/>
      <c r="R34" s="804"/>
      <c r="S34" s="824"/>
      <c r="T34" s="804"/>
      <c r="U34" s="824"/>
      <c r="V34" s="804"/>
      <c r="W34" s="824"/>
      <c r="X34" s="804"/>
      <c r="Y34" s="824"/>
      <c r="Z34" s="804"/>
      <c r="AA34" s="824"/>
      <c r="AB34" s="804"/>
      <c r="AC34" s="824"/>
      <c r="AD34" s="804"/>
      <c r="AE34" s="824"/>
      <c r="AF34" s="804"/>
      <c r="AG34" s="824"/>
      <c r="AH34" s="791"/>
      <c r="AI34" s="804"/>
      <c r="AJ34" s="824"/>
      <c r="AK34" s="804"/>
      <c r="AL34" s="824"/>
      <c r="AM34" s="804"/>
      <c r="AN34" s="824"/>
      <c r="AO34" s="804"/>
      <c r="AP34" s="824"/>
      <c r="AQ34" s="804"/>
      <c r="AR34" s="824"/>
      <c r="AS34" s="804"/>
      <c r="AT34" s="824"/>
      <c r="AU34" s="804"/>
      <c r="AV34" s="824"/>
      <c r="AW34" s="804"/>
      <c r="AX34" s="824"/>
      <c r="AY34" s="824"/>
      <c r="AZ34" s="858"/>
      <c r="BA34" s="858"/>
      <c r="BB34" s="858"/>
      <c r="BC34" s="858"/>
      <c r="BD34" s="858"/>
      <c r="BE34" s="858"/>
    </row>
    <row r="35" spans="1:57" s="772" customFormat="1" ht="12.75" customHeight="1" x14ac:dyDescent="0.2">
      <c r="A35" s="868" t="str">
        <f>Input!B742</f>
        <v>Operating ROE (Excl FAS 115 other than FCTA)(%)</v>
      </c>
      <c r="B35" s="842">
        <f>+Input!DS742</f>
        <v>9.02110982453015</v>
      </c>
      <c r="C35" s="824"/>
      <c r="D35" s="842">
        <f>+Input!DU742</f>
        <v>9.6326617404710007</v>
      </c>
      <c r="E35" s="824"/>
      <c r="F35" s="842">
        <f>+Input!DW742</f>
        <v>2.5205498741485224</v>
      </c>
      <c r="G35" s="824"/>
      <c r="H35" s="842">
        <f>+Input!DY742</f>
        <v>6.9864055014407693</v>
      </c>
      <c r="I35" s="824"/>
      <c r="J35" s="842">
        <f>+Input!EA742</f>
        <v>6.9872040723824131</v>
      </c>
      <c r="K35" s="824">
        <f>+Input!EB742</f>
        <v>-22.546070181045263</v>
      </c>
      <c r="L35" s="842">
        <f>+Input!EC742</f>
        <v>4.2795006109910014</v>
      </c>
      <c r="M35" s="824" t="str">
        <f>+Input!ED742</f>
        <v>NM</v>
      </c>
      <c r="N35" s="842">
        <f>+Input!EE742</f>
        <v>9.2534892654402672</v>
      </c>
      <c r="O35" s="824" t="str">
        <f>+Input!EF742</f>
        <v>NM</v>
      </c>
      <c r="P35" s="842">
        <f>+Input!EG742</f>
        <v>7.4508767292272449</v>
      </c>
      <c r="Q35" s="824">
        <f>+Input!EH742</f>
        <v>6.6482145602726694</v>
      </c>
      <c r="R35" s="842">
        <f>+Input!EI742</f>
        <v>9.6751748635880919</v>
      </c>
      <c r="S35" s="824">
        <f>+Input!EJ742</f>
        <v>38.469905320643761</v>
      </c>
      <c r="T35" s="842">
        <f>+Input!EK742</f>
        <v>8.2662758436339168</v>
      </c>
      <c r="U35" s="824">
        <f>+Input!EL742</f>
        <v>93.159823891687694</v>
      </c>
      <c r="V35" s="842">
        <f>+Input!EM742</f>
        <v>9.1968244148881322</v>
      </c>
      <c r="W35" s="824">
        <f>+Input!EN742</f>
        <v>-0.61236198504888151</v>
      </c>
      <c r="X35" s="842">
        <f>+Input!EO742</f>
        <v>6.1835925030781151</v>
      </c>
      <c r="Y35" s="824">
        <f>+Input!EP742</f>
        <v>-17.00852493207956</v>
      </c>
      <c r="Z35" s="842">
        <f>+Input!EQ742</f>
        <v>11.083329297889364</v>
      </c>
      <c r="AA35" s="824">
        <f>+Input!ER742</f>
        <v>14.554304745444679</v>
      </c>
      <c r="AB35" s="842">
        <f>+Input!ES742</f>
        <v>11.203336269753274</v>
      </c>
      <c r="AC35" s="824">
        <f>+Input!ET742</f>
        <v>35.530636548758146</v>
      </c>
      <c r="AD35" s="842">
        <f>+Input!EU742</f>
        <v>11.325358614025246</v>
      </c>
      <c r="AE35" s="824">
        <f>+Input!EV742</f>
        <v>23.144230041962864</v>
      </c>
      <c r="AF35" s="842">
        <f>+Input!EW742</f>
        <v>11.418638158899501</v>
      </c>
      <c r="AG35" s="824">
        <f>+Input!EX742</f>
        <v>84.660262674415335</v>
      </c>
      <c r="AH35" s="869"/>
      <c r="AI35" s="842">
        <f>+Input!GJ742</f>
        <v>7.0771698449474245</v>
      </c>
      <c r="AJ35" s="824"/>
      <c r="AK35" s="842">
        <f>+Input!GL742</f>
        <v>7.2813784153990344</v>
      </c>
      <c r="AL35" s="824">
        <f>+Input!GM742</f>
        <v>2.8854552727373139</v>
      </c>
      <c r="AM35" s="842">
        <f>+Input!GN742</f>
        <v>8.9845496507746923</v>
      </c>
      <c r="AN35" s="824">
        <f>+Input!GO742</f>
        <v>23.390780401876988</v>
      </c>
      <c r="AO35" s="842">
        <f>+Input!GP742</f>
        <v>12.131092549372671</v>
      </c>
      <c r="AP35" s="824">
        <f>+Input!GQ742</f>
        <v>35.021709722831432</v>
      </c>
      <c r="AQ35" s="842">
        <f>+Input!GR742</f>
        <v>11.618149817394736</v>
      </c>
      <c r="AR35" s="824">
        <f>+Input!GS742</f>
        <v>-4.2283308769617829</v>
      </c>
      <c r="AS35" s="842">
        <f>+Input!GT742</f>
        <v>11.891281854613879</v>
      </c>
      <c r="AT35" s="824">
        <f>+Input!GU742</f>
        <v>2.350908204077462</v>
      </c>
      <c r="AU35" s="842">
        <f>+Input!GV742</f>
        <v>12.030625558132082</v>
      </c>
      <c r="AV35" s="824">
        <f>+Input!GW742</f>
        <v>1.1718139828982066</v>
      </c>
      <c r="AW35" s="842">
        <f>+Input!GX742</f>
        <v>12.043122178546385</v>
      </c>
      <c r="AX35" s="824">
        <f>+Input!GY742</f>
        <v>0.10387340503550391</v>
      </c>
      <c r="AY35" s="824">
        <f>+Input!GZ742</f>
        <v>6.0348327885528574</v>
      </c>
      <c r="AZ35" s="858"/>
      <c r="BA35" s="858"/>
      <c r="BB35" s="858"/>
      <c r="BC35" s="858"/>
      <c r="BD35" s="858"/>
      <c r="BE35" s="858"/>
    </row>
    <row r="36" spans="1:57" s="772" customFormat="1" ht="12.75" customHeight="1" x14ac:dyDescent="0.2">
      <c r="A36" s="868" t="str">
        <f>Input!B744</f>
        <v>Reported ROE (Excl FAS 115 other than FCTA)(%)</v>
      </c>
      <c r="B36" s="842">
        <f>+Input!DS744</f>
        <v>12.512692616014965</v>
      </c>
      <c r="C36" s="824"/>
      <c r="D36" s="842">
        <f>+Input!DU744</f>
        <v>4.5080006379246189</v>
      </c>
      <c r="E36" s="824"/>
      <c r="F36" s="842">
        <f>+Input!DW744</f>
        <v>5.9845457905761004</v>
      </c>
      <c r="G36" s="824"/>
      <c r="H36" s="842">
        <f>+Input!DY744</f>
        <v>2.8072904697084873</v>
      </c>
      <c r="I36" s="824"/>
      <c r="J36" s="842">
        <f>+Input!EA744</f>
        <v>16.20585056309055</v>
      </c>
      <c r="K36" s="824">
        <f>+Input!EB744</f>
        <v>29.515293473674255</v>
      </c>
      <c r="L36" s="842">
        <f>+Input!EC744</f>
        <v>1.8799723131350248</v>
      </c>
      <c r="M36" s="824" t="str">
        <f>+Input!ED744</f>
        <v>NM</v>
      </c>
      <c r="N36" s="842">
        <f>+Input!EE744</f>
        <v>3.6604208459601351</v>
      </c>
      <c r="O36" s="824">
        <f>+Input!EF744</f>
        <v>-38.835444258372597</v>
      </c>
      <c r="P36" s="842">
        <f>+Input!EG744</f>
        <v>-16.833201163098071</v>
      </c>
      <c r="Q36" s="824" t="str">
        <f>+Input!EH744</f>
        <v>NM</v>
      </c>
      <c r="R36" s="842">
        <f>+Input!EI744</f>
        <v>6.3500201413556958</v>
      </c>
      <c r="S36" s="824" t="str">
        <f>+Input!EJ744</f>
        <v>NM</v>
      </c>
      <c r="T36" s="842">
        <f>+Input!EK744</f>
        <v>6.3785268552572143</v>
      </c>
      <c r="U36" s="824" t="str">
        <f>+Input!EL744</f>
        <v>NM</v>
      </c>
      <c r="V36" s="842">
        <f>+Input!EM744</f>
        <v>-0.80008248273017846</v>
      </c>
      <c r="W36" s="824" t="str">
        <f>+Input!EN744</f>
        <v>NM</v>
      </c>
      <c r="X36" s="842">
        <f>+Input!EO744</f>
        <v>20.721419125359112</v>
      </c>
      <c r="Y36" s="824" t="str">
        <f>+Input!EP744</f>
        <v>NM</v>
      </c>
      <c r="Z36" s="842">
        <f>+Input!EQ744</f>
        <v>2.8586572931695251</v>
      </c>
      <c r="AA36" s="824" t="str">
        <f>+Input!ER744</f>
        <v>NM</v>
      </c>
      <c r="AB36" s="842">
        <f>+Input!ES744</f>
        <v>11.100591590592863</v>
      </c>
      <c r="AC36" s="824">
        <f>+Input!ET744</f>
        <v>74.030647553732535</v>
      </c>
      <c r="AD36" s="842">
        <f>+Input!EU744</f>
        <v>11.221936854307463</v>
      </c>
      <c r="AE36" s="824" t="str">
        <f>+Input!EV744</f>
        <v>NM</v>
      </c>
      <c r="AF36" s="842">
        <f>+Input!EW744</f>
        <v>11.314664160688935</v>
      </c>
      <c r="AG36" s="824">
        <f>+Input!EX744</f>
        <v>-45.396287328400597</v>
      </c>
      <c r="AH36" s="869"/>
      <c r="AI36" s="842">
        <f>+Input!GJ744</f>
        <v>6.4854749599001966</v>
      </c>
      <c r="AJ36" s="824"/>
      <c r="AK36" s="842">
        <f>+Input!GL744</f>
        <v>1.3463340782928412</v>
      </c>
      <c r="AL36" s="824" t="str">
        <f>+Input!GM744</f>
        <v>NM</v>
      </c>
      <c r="AM36" s="842">
        <f>+Input!GN744</f>
        <v>8.2886978714466881</v>
      </c>
      <c r="AN36" s="824" t="str">
        <f>+Input!GO744</f>
        <v>NM</v>
      </c>
      <c r="AO36" s="842">
        <f>+Input!GP744</f>
        <v>9.8139589140903443</v>
      </c>
      <c r="AP36" s="824">
        <f>+Input!GQ744</f>
        <v>18.401696699525626</v>
      </c>
      <c r="AQ36" s="842">
        <f>+Input!GR744</f>
        <v>11.513439576388443</v>
      </c>
      <c r="AR36" s="824">
        <f>+Input!GS744</f>
        <v>17.316973478033184</v>
      </c>
      <c r="AS36" s="842">
        <f>+Input!GT744</f>
        <v>11.785565956452528</v>
      </c>
      <c r="AT36" s="824">
        <f>+Input!GU744</f>
        <v>2.3635541599762888</v>
      </c>
      <c r="AU36" s="842">
        <f>+Input!GV744</f>
        <v>11.924154384081103</v>
      </c>
      <c r="AV36" s="824">
        <f>+Input!GW744</f>
        <v>1.1759166096957596</v>
      </c>
      <c r="AW36" s="842">
        <f>+Input!GX744</f>
        <v>11.93603240485794</v>
      </c>
      <c r="AX36" s="824">
        <f>+Input!GY744</f>
        <v>9.9613107934048983E-2</v>
      </c>
      <c r="AY36" s="824">
        <f>+Input!GZ744</f>
        <v>7.5659298746366677</v>
      </c>
      <c r="AZ36" s="858"/>
      <c r="BA36" s="858"/>
      <c r="BB36" s="858"/>
      <c r="BC36" s="858"/>
      <c r="BD36" s="858"/>
      <c r="BE36" s="858"/>
    </row>
    <row r="37" spans="1:57" s="772" customFormat="1" ht="12.75" customHeight="1" x14ac:dyDescent="0.2">
      <c r="A37" s="868" t="str">
        <f>Input!B745</f>
        <v>Reported ROE (Incl FAS 115)(%)</v>
      </c>
      <c r="B37" s="842">
        <f>+Input!DS745</f>
        <v>9.9113146179191034</v>
      </c>
      <c r="C37" s="824"/>
      <c r="D37" s="842">
        <f>+Input!DU745</f>
        <v>3.659431234626505</v>
      </c>
      <c r="E37" s="824"/>
      <c r="F37" s="842">
        <f>+Input!DW745</f>
        <v>5.0092819047057784</v>
      </c>
      <c r="G37" s="824"/>
      <c r="H37" s="842">
        <f>+Input!DY745</f>
        <v>2.3645026801667659</v>
      </c>
      <c r="I37" s="824"/>
      <c r="J37" s="842">
        <f>+Input!EA745</f>
        <v>13.318814831795519</v>
      </c>
      <c r="K37" s="824">
        <f>+Input!EB745</f>
        <v>34.379901609780859</v>
      </c>
      <c r="L37" s="842">
        <f>+Input!EC745</f>
        <v>1.4586731378711328</v>
      </c>
      <c r="M37" s="824" t="str">
        <f>+Input!ED745</f>
        <v>NM</v>
      </c>
      <c r="N37" s="842">
        <f>+Input!EE745</f>
        <v>2.7965278185387357</v>
      </c>
      <c r="O37" s="824">
        <f>+Input!EF745</f>
        <v>-44.173079660147607</v>
      </c>
      <c r="P37" s="842">
        <f>+Input!EG745</f>
        <v>-13.483431555916292</v>
      </c>
      <c r="Q37" s="824" t="str">
        <f>+Input!EH745</f>
        <v>NM</v>
      </c>
      <c r="R37" s="842">
        <f>+Input!EI745</f>
        <v>5.2896091515729262</v>
      </c>
      <c r="S37" s="824" t="str">
        <f>+Input!EJ745</f>
        <v>NM</v>
      </c>
      <c r="T37" s="842">
        <f>+Input!EK745</f>
        <v>5.2091958868430162</v>
      </c>
      <c r="U37" s="824" t="str">
        <f>+Input!EL745</f>
        <v>NM</v>
      </c>
      <c r="V37" s="842">
        <f>+Input!EM745</f>
        <v>-0.63831537385868231</v>
      </c>
      <c r="W37" s="824" t="str">
        <f>+Input!EN745</f>
        <v>NM</v>
      </c>
      <c r="X37" s="842">
        <f>+Input!EO745</f>
        <v>16.375069821077854</v>
      </c>
      <c r="Y37" s="824" t="str">
        <f>+Input!EP745</f>
        <v>NM</v>
      </c>
      <c r="Z37" s="842">
        <f>+Input!EQ745</f>
        <v>2.2568409722023133</v>
      </c>
      <c r="AA37" s="824" t="str">
        <f>+Input!ER745</f>
        <v>NM</v>
      </c>
      <c r="AB37" s="842">
        <f>+Input!ES745</f>
        <v>8.7424716354725938</v>
      </c>
      <c r="AC37" s="824">
        <f>+Input!ET745</f>
        <v>67.827661416105542</v>
      </c>
      <c r="AD37" s="842">
        <f>+Input!EU745</f>
        <v>8.8384310425677732</v>
      </c>
      <c r="AE37" s="824" t="str">
        <f>+Input!EV745</f>
        <v>NM</v>
      </c>
      <c r="AF37" s="842">
        <f>+Input!EW745</f>
        <v>8.9142095822439238</v>
      </c>
      <c r="AG37" s="824">
        <f>+Input!EX745</f>
        <v>-45.562311002975832</v>
      </c>
      <c r="AH37" s="869"/>
      <c r="AI37" s="842">
        <f>+Input!GJ745</f>
        <v>5.3556842515802874</v>
      </c>
      <c r="AJ37" s="824"/>
      <c r="AK37" s="842">
        <f>+Input!GL745</f>
        <v>1.1374364284191611</v>
      </c>
      <c r="AL37" s="824" t="str">
        <f>+Input!GM745</f>
        <v>NM</v>
      </c>
      <c r="AM37" s="842">
        <f>+Input!GN745</f>
        <v>6.6930396755751591</v>
      </c>
      <c r="AN37" s="824" t="str">
        <f>+Input!GO745</f>
        <v>NM</v>
      </c>
      <c r="AO37" s="842">
        <f>+Input!GP745</f>
        <v>7.6863959808484648</v>
      </c>
      <c r="AP37" s="824">
        <f>+Input!GQ745</f>
        <v>14.841631805924461</v>
      </c>
      <c r="AQ37" s="842">
        <f>+Input!GR745</f>
        <v>9.0852154224932047</v>
      </c>
      <c r="AR37" s="824">
        <f>+Input!GS745</f>
        <v>18.198638804584853</v>
      </c>
      <c r="AS37" s="842">
        <f>+Input!GT745</f>
        <v>9.3295037233427891</v>
      </c>
      <c r="AT37" s="824">
        <f>+Input!GU745</f>
        <v>2.6888553489306855</v>
      </c>
      <c r="AU37" s="842">
        <f>+Input!GV745</f>
        <v>9.4736027029722276</v>
      </c>
      <c r="AV37" s="824">
        <f>+Input!GW745</f>
        <v>1.5445513920413267</v>
      </c>
      <c r="AW37" s="842">
        <f>+Input!GX745</f>
        <v>9.5196672734640995</v>
      </c>
      <c r="AX37" s="824">
        <f>+Input!GY745</f>
        <v>0.48624131638346224</v>
      </c>
      <c r="AY37" s="824">
        <f>+Input!GZ745</f>
        <v>7.2999881468141847</v>
      </c>
      <c r="AZ37" s="858"/>
      <c r="BA37" s="858"/>
      <c r="BB37" s="858"/>
      <c r="BC37" s="858"/>
      <c r="BD37" s="858"/>
      <c r="BE37" s="858"/>
    </row>
    <row r="38" spans="1:57" s="772" customFormat="1" ht="4.5" customHeight="1" x14ac:dyDescent="0.2">
      <c r="A38" s="822"/>
      <c r="B38" s="823"/>
      <c r="C38" s="824"/>
      <c r="D38" s="823"/>
      <c r="E38" s="824"/>
      <c r="F38" s="823"/>
      <c r="G38" s="824"/>
      <c r="H38" s="823"/>
      <c r="I38" s="824"/>
      <c r="J38" s="823"/>
      <c r="K38" s="824"/>
      <c r="L38" s="823"/>
      <c r="M38" s="824"/>
      <c r="N38" s="823"/>
      <c r="O38" s="824"/>
      <c r="P38" s="823"/>
      <c r="Q38" s="824"/>
      <c r="R38" s="823"/>
      <c r="S38" s="824"/>
      <c r="T38" s="823"/>
      <c r="U38" s="824"/>
      <c r="V38" s="823"/>
      <c r="W38" s="824"/>
      <c r="X38" s="823"/>
      <c r="Y38" s="824"/>
      <c r="Z38" s="823"/>
      <c r="AA38" s="824"/>
      <c r="AB38" s="823"/>
      <c r="AC38" s="824"/>
      <c r="AD38" s="823"/>
      <c r="AE38" s="824"/>
      <c r="AF38" s="823"/>
      <c r="AG38" s="824"/>
      <c r="AH38" s="825"/>
      <c r="AI38" s="823"/>
      <c r="AJ38" s="824"/>
      <c r="AK38" s="823"/>
      <c r="AL38" s="824"/>
      <c r="AM38" s="823"/>
      <c r="AN38" s="824"/>
      <c r="AO38" s="823"/>
      <c r="AP38" s="824"/>
      <c r="AQ38" s="823"/>
      <c r="AR38" s="824"/>
      <c r="AS38" s="823"/>
      <c r="AT38" s="824"/>
      <c r="AU38" s="823"/>
      <c r="AV38" s="824"/>
      <c r="AW38" s="823"/>
      <c r="AX38" s="824"/>
      <c r="AY38" s="824"/>
      <c r="AZ38" s="858"/>
      <c r="BA38" s="858"/>
      <c r="BB38" s="858"/>
      <c r="BC38" s="858"/>
      <c r="BD38" s="858"/>
      <c r="BE38" s="858"/>
    </row>
    <row r="39" spans="1:57" s="772" customFormat="1" ht="12.75" customHeight="1" x14ac:dyDescent="0.2">
      <c r="A39" s="839" t="s">
        <v>246</v>
      </c>
      <c r="B39" s="823"/>
      <c r="C39" s="824"/>
      <c r="D39" s="823"/>
      <c r="E39" s="824"/>
      <c r="F39" s="823"/>
      <c r="G39" s="824"/>
      <c r="H39" s="823"/>
      <c r="I39" s="824"/>
      <c r="J39" s="823"/>
      <c r="K39" s="824"/>
      <c r="L39" s="823"/>
      <c r="M39" s="824"/>
      <c r="N39" s="823"/>
      <c r="O39" s="824"/>
      <c r="P39" s="823"/>
      <c r="Q39" s="824"/>
      <c r="R39" s="823"/>
      <c r="S39" s="824"/>
      <c r="T39" s="823"/>
      <c r="U39" s="824"/>
      <c r="V39" s="823"/>
      <c r="W39" s="824"/>
      <c r="X39" s="823"/>
      <c r="Y39" s="824"/>
      <c r="Z39" s="823"/>
      <c r="AA39" s="824"/>
      <c r="AB39" s="823"/>
      <c r="AC39" s="824"/>
      <c r="AD39" s="823"/>
      <c r="AE39" s="824"/>
      <c r="AF39" s="823"/>
      <c r="AG39" s="824"/>
      <c r="AH39" s="825"/>
      <c r="AI39" s="823"/>
      <c r="AJ39" s="824"/>
      <c r="AK39" s="823"/>
      <c r="AL39" s="824"/>
      <c r="AM39" s="823"/>
      <c r="AN39" s="824"/>
      <c r="AO39" s="823"/>
      <c r="AP39" s="824"/>
      <c r="AQ39" s="823"/>
      <c r="AR39" s="824"/>
      <c r="AS39" s="823"/>
      <c r="AT39" s="824"/>
      <c r="AU39" s="823"/>
      <c r="AV39" s="824"/>
      <c r="AW39" s="823"/>
      <c r="AX39" s="824"/>
      <c r="AY39" s="824"/>
      <c r="AZ39" s="858"/>
      <c r="BA39" s="858"/>
      <c r="BB39" s="858"/>
      <c r="BC39" s="858"/>
      <c r="BD39" s="858"/>
      <c r="BE39" s="858"/>
    </row>
    <row r="40" spans="1:57" s="772" customFormat="1" ht="12.75" customHeight="1" x14ac:dyDescent="0.2">
      <c r="A40" s="822" t="str">
        <f>Input!B663</f>
        <v>Dividends Per Share</v>
      </c>
      <c r="B40" s="849">
        <f>+Input!DS663</f>
        <v>0.375</v>
      </c>
      <c r="C40" s="824"/>
      <c r="D40" s="849">
        <f>+Input!DU663</f>
        <v>0.375</v>
      </c>
      <c r="E40" s="824"/>
      <c r="F40" s="849">
        <f>+Input!DW663</f>
        <v>0.375</v>
      </c>
      <c r="G40" s="824"/>
      <c r="H40" s="849">
        <f>+Input!DY663</f>
        <v>0.375</v>
      </c>
      <c r="I40" s="824"/>
      <c r="J40" s="849">
        <f>+Input!EA663</f>
        <v>0.375</v>
      </c>
      <c r="K40" s="824">
        <f>+Input!EB663</f>
        <v>0</v>
      </c>
      <c r="L40" s="849">
        <f>+Input!EC663</f>
        <v>0.375</v>
      </c>
      <c r="M40" s="824">
        <f>+Input!ED663</f>
        <v>0</v>
      </c>
      <c r="N40" s="849">
        <f>+Input!EE663</f>
        <v>0.375</v>
      </c>
      <c r="O40" s="824">
        <f>+Input!EF663</f>
        <v>0</v>
      </c>
      <c r="P40" s="849">
        <f>+Input!EG663</f>
        <v>0.4</v>
      </c>
      <c r="Q40" s="824">
        <f>+Input!EH663</f>
        <v>6.6666666666666652</v>
      </c>
      <c r="R40" s="849">
        <f>+Input!EI663</f>
        <v>0.4</v>
      </c>
      <c r="S40" s="824">
        <f>+Input!EJ663</f>
        <v>6.6666666666666652</v>
      </c>
      <c r="T40" s="849">
        <f>+Input!EK663</f>
        <v>0.4</v>
      </c>
      <c r="U40" s="824">
        <f>+Input!EL663</f>
        <v>6.6666666666666652</v>
      </c>
      <c r="V40" s="849">
        <f>+Input!EM663</f>
        <v>0.4</v>
      </c>
      <c r="W40" s="824">
        <f>+Input!EN663</f>
        <v>6.6666666666666652</v>
      </c>
      <c r="X40" s="849">
        <f>+Input!EO663</f>
        <v>0.4</v>
      </c>
      <c r="Y40" s="824">
        <f>+Input!EP663</f>
        <v>0</v>
      </c>
      <c r="Z40" s="849">
        <f>+Input!EQ663</f>
        <v>0.4</v>
      </c>
      <c r="AA40" s="824">
        <f>+Input!ER663</f>
        <v>0</v>
      </c>
      <c r="AB40" s="849">
        <f>+Input!ES663</f>
        <v>0.4</v>
      </c>
      <c r="AC40" s="824">
        <f>+Input!ET663</f>
        <v>0</v>
      </c>
      <c r="AD40" s="849">
        <f>+Input!EU663</f>
        <v>0.4</v>
      </c>
      <c r="AE40" s="824">
        <f>+Input!EV663</f>
        <v>0</v>
      </c>
      <c r="AF40" s="849">
        <f>+Input!EW663</f>
        <v>0.43</v>
      </c>
      <c r="AG40" s="824">
        <f>+Input!EX663</f>
        <v>7.4999999999999956</v>
      </c>
      <c r="AH40" s="847"/>
      <c r="AI40" s="849">
        <f>+Input!GJ663</f>
        <v>1.5</v>
      </c>
      <c r="AJ40" s="824"/>
      <c r="AK40" s="849">
        <f>+Input!GL663</f>
        <v>1.5249999999999999</v>
      </c>
      <c r="AL40" s="824">
        <f>+Input!GM663</f>
        <v>1.6666666666666607</v>
      </c>
      <c r="AM40" s="849">
        <f>+Input!GN663</f>
        <v>1.6</v>
      </c>
      <c r="AN40" s="824">
        <f>+Input!GO663</f>
        <v>4.9180327868852514</v>
      </c>
      <c r="AO40" s="849">
        <f>+Input!GP663</f>
        <v>1.6300000000000001</v>
      </c>
      <c r="AP40" s="824">
        <f>+Input!GQ663</f>
        <v>1.8750000000000044</v>
      </c>
      <c r="AQ40" s="849">
        <f>+Input!GR663</f>
        <v>1.7767000000000002</v>
      </c>
      <c r="AR40" s="824">
        <f>+Input!GS663</f>
        <v>9.0000000000000071</v>
      </c>
      <c r="AS40" s="849">
        <f>+Input!GT663</f>
        <v>1.9543700000000004</v>
      </c>
      <c r="AT40" s="824">
        <f>+Input!GU663</f>
        <v>10.000000000000009</v>
      </c>
      <c r="AU40" s="849">
        <f>+Input!GV663</f>
        <v>2.1498070000000005</v>
      </c>
      <c r="AV40" s="824">
        <f>+Input!GW663</f>
        <v>10.000000000000009</v>
      </c>
      <c r="AW40" s="849">
        <f>+Input!GX663</f>
        <v>2.3647877000000008</v>
      </c>
      <c r="AX40" s="824">
        <f>+Input!GY663</f>
        <v>10.000000000000009</v>
      </c>
      <c r="AY40" s="824">
        <f>+Input!GZ663</f>
        <v>8.1270700709339181</v>
      </c>
      <c r="AZ40" s="858"/>
      <c r="BA40" s="858"/>
      <c r="BB40" s="858"/>
      <c r="BC40" s="858"/>
      <c r="BD40" s="858"/>
      <c r="BE40" s="858"/>
    </row>
    <row r="41" spans="1:57" s="772" customFormat="1" ht="12.75" customHeight="1" x14ac:dyDescent="0.2">
      <c r="A41" s="868" t="str">
        <f>Input!B664</f>
        <v>Dividend Payout Ratio (%)</v>
      </c>
      <c r="B41" s="842">
        <f>+Input!DS664</f>
        <v>24.193548387096772</v>
      </c>
      <c r="C41" s="824"/>
      <c r="D41" s="842">
        <f>+Input!DU664</f>
        <v>66.964285714285708</v>
      </c>
      <c r="E41" s="824"/>
      <c r="F41" s="842">
        <f>+Input!DW664</f>
        <v>50</v>
      </c>
      <c r="G41" s="824"/>
      <c r="H41" s="842">
        <f>+Input!DY664</f>
        <v>107.14285714285714</v>
      </c>
      <c r="I41" s="824"/>
      <c r="J41" s="842">
        <f>+Input!EA664</f>
        <v>17.857142857142858</v>
      </c>
      <c r="K41" s="824">
        <f>+Input!EB664</f>
        <v>-26.190476190476186</v>
      </c>
      <c r="L41" s="842">
        <f>+Input!EC664</f>
        <v>150</v>
      </c>
      <c r="M41" s="824" t="str">
        <f>+Input!ED664</f>
        <v>NM</v>
      </c>
      <c r="N41" s="842">
        <f>+Input!EE664</f>
        <v>78.125</v>
      </c>
      <c r="O41" s="824">
        <f>+Input!EF664</f>
        <v>56.25</v>
      </c>
      <c r="P41" s="842">
        <f>+Input!EG664</f>
        <v>-18.433179723502306</v>
      </c>
      <c r="Q41" s="824" t="str">
        <f>+Input!EH664</f>
        <v>NM</v>
      </c>
      <c r="R41" s="842">
        <f>+Input!EI664</f>
        <v>50.632911392405063</v>
      </c>
      <c r="S41" s="824" t="str">
        <f>+Input!EJ664</f>
        <v>NM</v>
      </c>
      <c r="T41" s="842">
        <f>+Input!EK664</f>
        <v>50</v>
      </c>
      <c r="U41" s="824" t="str">
        <f>+Input!EL664</f>
        <v>NM</v>
      </c>
      <c r="V41" s="842">
        <f>+Input!EM664</f>
        <v>-444.44444444444446</v>
      </c>
      <c r="W41" s="824" t="str">
        <f>+Input!EN664</f>
        <v>NM</v>
      </c>
      <c r="X41" s="842">
        <f>+Input!EO664</f>
        <v>18.691588785046729</v>
      </c>
      <c r="Y41" s="824" t="str">
        <f>+Input!EP664</f>
        <v>NM</v>
      </c>
      <c r="Z41" s="842">
        <f>+Input!EQ664</f>
        <v>133.33333333333334</v>
      </c>
      <c r="AA41" s="824" t="str">
        <f>+Input!ER664</f>
        <v>NM</v>
      </c>
      <c r="AB41" s="842">
        <f>+Input!ES664</f>
        <v>33.898305084745765</v>
      </c>
      <c r="AC41" s="824">
        <f>+Input!ET664</f>
        <v>-32.203389830508463</v>
      </c>
      <c r="AD41" s="842">
        <f>+Input!EU664</f>
        <v>32.786885245901644</v>
      </c>
      <c r="AE41" s="824" t="str">
        <f>+Input!EV664</f>
        <v>NM</v>
      </c>
      <c r="AF41" s="842">
        <f>+Input!EW664</f>
        <v>34.4</v>
      </c>
      <c r="AG41" s="824">
        <f>+Input!EX664</f>
        <v>84.039999999999978</v>
      </c>
      <c r="AH41" s="869"/>
      <c r="AI41" s="842">
        <f>+Input!GJ664</f>
        <v>46.58385093167702</v>
      </c>
      <c r="AJ41" s="824"/>
      <c r="AK41" s="842">
        <f>+Input!GL664</f>
        <v>227.61194029850742</v>
      </c>
      <c r="AL41" s="824" t="str">
        <f>+Input!GM664</f>
        <v>NM</v>
      </c>
      <c r="AM41" s="842">
        <f>+Input!GN664</f>
        <v>44.19889502762431</v>
      </c>
      <c r="AN41" s="824" t="str">
        <f>+Input!GO664</f>
        <v>NM</v>
      </c>
      <c r="AO41" s="842">
        <f>+Input!GP664</f>
        <v>41.475826972010175</v>
      </c>
      <c r="AP41" s="824">
        <f>+Input!GQ664</f>
        <v>-6.1609414758269754</v>
      </c>
      <c r="AQ41" s="842">
        <f>+Input!GR664</f>
        <v>33.522641509433967</v>
      </c>
      <c r="AR41" s="824">
        <f>+Input!GS664</f>
        <v>-19.175471698113189</v>
      </c>
      <c r="AS41" s="842">
        <f>+Input!GT664</f>
        <v>33.696034482758627</v>
      </c>
      <c r="AT41" s="824">
        <f>+Input!GU664</f>
        <v>0.51724137931035141</v>
      </c>
      <c r="AU41" s="842">
        <f>+Input!GV664</f>
        <v>33.855228346456698</v>
      </c>
      <c r="AV41" s="824">
        <f>+Input!GW664</f>
        <v>0.47244094488188004</v>
      </c>
      <c r="AW41" s="842">
        <f>+Input!GX664</f>
        <v>34.572919590643288</v>
      </c>
      <c r="AX41" s="824">
        <f>+Input!GY664</f>
        <v>2.1198830409356884</v>
      </c>
      <c r="AY41" s="824">
        <f>+Input!GZ664</f>
        <v>-4.793866325662</v>
      </c>
      <c r="AZ41" s="858"/>
      <c r="BA41" s="858"/>
      <c r="BB41" s="858"/>
      <c r="BC41" s="858"/>
      <c r="BD41" s="858"/>
      <c r="BE41" s="858"/>
    </row>
    <row r="42" spans="1:57" s="772" customFormat="1" ht="12.75" customHeight="1" x14ac:dyDescent="0.2">
      <c r="A42" s="822"/>
      <c r="B42" s="823"/>
      <c r="C42" s="824"/>
      <c r="D42" s="823"/>
      <c r="E42" s="824"/>
      <c r="F42" s="823"/>
      <c r="G42" s="824"/>
      <c r="H42" s="823"/>
      <c r="I42" s="824"/>
      <c r="J42" s="823"/>
      <c r="K42" s="824"/>
      <c r="L42" s="823"/>
      <c r="M42" s="824"/>
      <c r="N42" s="823"/>
      <c r="O42" s="824"/>
      <c r="P42" s="823"/>
      <c r="Q42" s="824"/>
      <c r="R42" s="823"/>
      <c r="S42" s="824"/>
      <c r="T42" s="823"/>
      <c r="U42" s="824"/>
      <c r="V42" s="823"/>
      <c r="W42" s="824"/>
      <c r="X42" s="823"/>
      <c r="Y42" s="824"/>
      <c r="Z42" s="823"/>
      <c r="AA42" s="824"/>
      <c r="AB42" s="823"/>
      <c r="AC42" s="824"/>
      <c r="AD42" s="823"/>
      <c r="AE42" s="824"/>
      <c r="AF42" s="823"/>
      <c r="AG42" s="824"/>
      <c r="AH42" s="825"/>
      <c r="AI42" s="823"/>
      <c r="AJ42" s="824"/>
      <c r="AK42" s="823"/>
      <c r="AL42" s="824"/>
      <c r="AM42" s="823"/>
      <c r="AN42" s="824"/>
      <c r="AO42" s="823"/>
      <c r="AP42" s="824"/>
      <c r="AQ42" s="823"/>
      <c r="AR42" s="824"/>
      <c r="AS42" s="823"/>
      <c r="AT42" s="824"/>
      <c r="AU42" s="823"/>
      <c r="AV42" s="824"/>
      <c r="AW42" s="823"/>
      <c r="AX42" s="824"/>
      <c r="AY42" s="824"/>
      <c r="AZ42" s="858"/>
      <c r="BA42" s="858"/>
      <c r="BB42" s="858"/>
      <c r="BC42" s="858"/>
      <c r="BD42" s="858"/>
      <c r="BE42" s="858"/>
    </row>
    <row r="43" spans="1:57" s="772" customFormat="1" ht="12.75" customHeight="1" x14ac:dyDescent="0.2">
      <c r="A43" s="826" t="s">
        <v>21</v>
      </c>
      <c r="B43" s="789"/>
      <c r="C43" s="790"/>
      <c r="D43" s="789"/>
      <c r="E43" s="790"/>
      <c r="F43" s="789"/>
      <c r="G43" s="790"/>
      <c r="H43" s="789"/>
      <c r="I43" s="790"/>
      <c r="J43" s="789"/>
      <c r="K43" s="790"/>
      <c r="L43" s="789"/>
      <c r="M43" s="790"/>
      <c r="N43" s="789"/>
      <c r="O43" s="790"/>
      <c r="P43" s="789"/>
      <c r="Q43" s="790"/>
      <c r="R43" s="789"/>
      <c r="S43" s="790"/>
      <c r="T43" s="789"/>
      <c r="U43" s="790"/>
      <c r="V43" s="789"/>
      <c r="W43" s="790"/>
      <c r="X43" s="789"/>
      <c r="Y43" s="790"/>
      <c r="Z43" s="789"/>
      <c r="AA43" s="790"/>
      <c r="AB43" s="789"/>
      <c r="AC43" s="790"/>
      <c r="AD43" s="789"/>
      <c r="AE43" s="790"/>
      <c r="AF43" s="789"/>
      <c r="AG43" s="790"/>
      <c r="AH43" s="791"/>
      <c r="AI43" s="789"/>
      <c r="AJ43" s="790"/>
      <c r="AK43" s="789"/>
      <c r="AL43" s="790"/>
      <c r="AM43" s="789"/>
      <c r="AN43" s="790"/>
      <c r="AO43" s="789"/>
      <c r="AP43" s="790"/>
      <c r="AQ43" s="789"/>
      <c r="AR43" s="790"/>
      <c r="AS43" s="789"/>
      <c r="AT43" s="790"/>
      <c r="AU43" s="789"/>
      <c r="AV43" s="790"/>
      <c r="AW43" s="789"/>
      <c r="AX43" s="790"/>
      <c r="AY43" s="791"/>
      <c r="AZ43" s="858"/>
      <c r="BA43" s="858"/>
      <c r="BB43" s="858"/>
      <c r="BC43" s="858"/>
      <c r="BD43" s="858"/>
      <c r="BE43" s="858"/>
    </row>
    <row r="44" spans="1:57" s="772" customFormat="1" ht="12.75" customHeight="1" x14ac:dyDescent="0.2">
      <c r="A44" s="826" t="s">
        <v>626</v>
      </c>
      <c r="B44" s="823"/>
      <c r="C44" s="827"/>
      <c r="D44" s="823"/>
      <c r="E44" s="827"/>
      <c r="F44" s="823"/>
      <c r="G44" s="827"/>
      <c r="H44" s="823"/>
      <c r="I44" s="827"/>
      <c r="J44" s="823"/>
      <c r="K44" s="827"/>
      <c r="L44" s="823"/>
      <c r="M44" s="827"/>
      <c r="N44" s="823"/>
      <c r="O44" s="827"/>
      <c r="P44" s="823"/>
      <c r="Q44" s="827"/>
      <c r="R44" s="823"/>
      <c r="S44" s="827"/>
      <c r="T44" s="823"/>
      <c r="U44" s="827"/>
      <c r="V44" s="823"/>
      <c r="W44" s="827"/>
      <c r="X44" s="823"/>
      <c r="Y44" s="827"/>
      <c r="Z44" s="823"/>
      <c r="AA44" s="827"/>
      <c r="AB44" s="823"/>
      <c r="AC44" s="827"/>
      <c r="AD44" s="823"/>
      <c r="AE44" s="827"/>
      <c r="AF44" s="823"/>
      <c r="AG44" s="827"/>
      <c r="AH44" s="825"/>
      <c r="AI44" s="823"/>
      <c r="AJ44" s="827"/>
      <c r="AK44" s="823"/>
      <c r="AL44" s="827"/>
      <c r="AM44" s="823"/>
      <c r="AN44" s="827"/>
      <c r="AO44" s="823"/>
      <c r="AP44" s="827"/>
      <c r="AQ44" s="823"/>
      <c r="AR44" s="827"/>
      <c r="AS44" s="823"/>
      <c r="AT44" s="827"/>
      <c r="AU44" s="823"/>
      <c r="AV44" s="827"/>
      <c r="AW44" s="823"/>
      <c r="AX44" s="827"/>
      <c r="AY44" s="825"/>
      <c r="AZ44" s="858"/>
      <c r="BA44" s="858"/>
      <c r="BB44" s="858"/>
      <c r="BC44" s="858"/>
      <c r="BD44" s="858"/>
      <c r="BE44" s="858"/>
    </row>
    <row r="45" spans="1:57" s="772" customFormat="1" ht="12.75" customHeight="1" x14ac:dyDescent="0.2">
      <c r="A45" s="826"/>
      <c r="B45" s="823"/>
      <c r="C45" s="827"/>
      <c r="D45" s="823"/>
      <c r="E45" s="827"/>
      <c r="F45" s="823"/>
      <c r="G45" s="827"/>
      <c r="H45" s="823"/>
      <c r="I45" s="827"/>
      <c r="J45" s="823"/>
      <c r="K45" s="827"/>
      <c r="L45" s="823"/>
      <c r="M45" s="827"/>
      <c r="N45" s="823"/>
      <c r="O45" s="827"/>
      <c r="P45" s="823"/>
      <c r="Q45" s="827"/>
      <c r="R45" s="823"/>
      <c r="S45" s="827"/>
      <c r="T45" s="823"/>
      <c r="U45" s="827"/>
      <c r="V45" s="823"/>
      <c r="W45" s="827"/>
      <c r="X45" s="823"/>
      <c r="Y45" s="827"/>
      <c r="Z45" s="823"/>
      <c r="AA45" s="827"/>
      <c r="AB45" s="823"/>
      <c r="AC45" s="827"/>
      <c r="AD45" s="823"/>
      <c r="AE45" s="827"/>
      <c r="AF45" s="823"/>
      <c r="AG45" s="827"/>
      <c r="AH45" s="825"/>
      <c r="AI45" s="823"/>
      <c r="AJ45" s="827"/>
      <c r="AK45" s="823"/>
      <c r="AL45" s="827"/>
      <c r="AM45" s="823"/>
      <c r="AN45" s="827"/>
      <c r="AO45" s="823"/>
      <c r="AP45" s="827"/>
      <c r="AQ45" s="823"/>
      <c r="AR45" s="827"/>
      <c r="AS45" s="823"/>
      <c r="AT45" s="827"/>
      <c r="AU45" s="823"/>
      <c r="AV45" s="827"/>
      <c r="AW45" s="823"/>
      <c r="AX45" s="827"/>
      <c r="AY45" s="825"/>
      <c r="AZ45" s="858"/>
      <c r="BA45" s="858"/>
      <c r="BB45" s="858"/>
      <c r="BC45" s="858"/>
      <c r="BD45" s="858"/>
      <c r="BE45" s="858"/>
    </row>
    <row r="46" spans="1:57" s="772" customFormat="1" ht="21.95" customHeight="1" x14ac:dyDescent="0.25">
      <c r="A46" s="766" t="str">
        <f>A$1</f>
        <v>MetLife</v>
      </c>
      <c r="B46" s="767"/>
      <c r="C46" s="768"/>
      <c r="D46" s="767"/>
      <c r="E46" s="768"/>
      <c r="F46" s="767"/>
      <c r="G46" s="768"/>
      <c r="H46" s="767"/>
      <c r="I46" s="768"/>
      <c r="J46" s="767"/>
      <c r="K46" s="768"/>
      <c r="L46" s="767"/>
      <c r="M46" s="768"/>
      <c r="N46" s="767"/>
      <c r="O46" s="768"/>
      <c r="P46" s="767"/>
      <c r="Q46" s="768"/>
      <c r="R46" s="767"/>
      <c r="S46" s="768"/>
      <c r="T46" s="767"/>
      <c r="U46" s="768"/>
      <c r="V46" s="767"/>
      <c r="W46" s="768"/>
      <c r="X46" s="767"/>
      <c r="Y46" s="768"/>
      <c r="Z46" s="767"/>
      <c r="AA46" s="768"/>
      <c r="AB46" s="767"/>
      <c r="AC46" s="768"/>
      <c r="AD46" s="767"/>
      <c r="AE46" s="768"/>
      <c r="AF46" s="767"/>
      <c r="AG46" s="768"/>
      <c r="AH46" s="769"/>
      <c r="AI46" s="770"/>
      <c r="AJ46" s="768"/>
      <c r="AK46" s="770"/>
      <c r="AL46" s="768"/>
      <c r="AM46" s="770"/>
      <c r="AN46" s="768"/>
      <c r="AO46" s="770"/>
      <c r="AP46" s="768"/>
      <c r="AQ46" s="770"/>
      <c r="AR46" s="768"/>
      <c r="AS46" s="770"/>
      <c r="AT46" s="768"/>
      <c r="AU46" s="770"/>
      <c r="AV46" s="768"/>
      <c r="AW46" s="770"/>
      <c r="AX46" s="768"/>
      <c r="AY46" s="771"/>
      <c r="AZ46" s="858"/>
      <c r="BA46" s="858"/>
      <c r="BB46" s="858"/>
      <c r="BC46" s="858"/>
      <c r="BD46" s="858"/>
      <c r="BE46" s="858"/>
    </row>
    <row r="47" spans="1:57" s="772" customFormat="1" ht="12.75" customHeight="1" x14ac:dyDescent="0.2">
      <c r="A47" s="773" t="s">
        <v>572</v>
      </c>
      <c r="B47" s="774"/>
      <c r="C47" s="775"/>
      <c r="D47" s="774"/>
      <c r="E47" s="775"/>
      <c r="F47" s="774"/>
      <c r="G47" s="775"/>
      <c r="H47" s="774"/>
      <c r="I47" s="775"/>
      <c r="J47" s="774"/>
      <c r="K47" s="775"/>
      <c r="L47" s="774"/>
      <c r="M47" s="775"/>
      <c r="N47" s="774"/>
      <c r="O47" s="775"/>
      <c r="P47" s="774"/>
      <c r="Q47" s="775"/>
      <c r="R47" s="774"/>
      <c r="S47" s="775"/>
      <c r="T47" s="774"/>
      <c r="U47" s="775"/>
      <c r="V47" s="774"/>
      <c r="W47" s="775"/>
      <c r="X47" s="774"/>
      <c r="Y47" s="775"/>
      <c r="Z47" s="774"/>
      <c r="AA47" s="775"/>
      <c r="AB47" s="774"/>
      <c r="AC47" s="775"/>
      <c r="AD47" s="774"/>
      <c r="AE47" s="775"/>
      <c r="AF47" s="774"/>
      <c r="AG47" s="775"/>
      <c r="AH47" s="776"/>
      <c r="AI47" s="774"/>
      <c r="AJ47" s="775"/>
      <c r="AK47" s="774"/>
      <c r="AL47" s="775"/>
      <c r="AM47" s="774"/>
      <c r="AN47" s="775"/>
      <c r="AO47" s="774"/>
      <c r="AP47" s="775"/>
      <c r="AQ47" s="774"/>
      <c r="AR47" s="775"/>
      <c r="AS47" s="774"/>
      <c r="AT47" s="775"/>
      <c r="AU47" s="774"/>
      <c r="AV47" s="775"/>
      <c r="AW47" s="774"/>
      <c r="AX47" s="775"/>
      <c r="AY47" s="777"/>
      <c r="AZ47" s="858"/>
      <c r="BA47" s="858"/>
      <c r="BB47" s="858"/>
      <c r="BC47" s="858"/>
      <c r="BD47" s="858"/>
      <c r="BE47" s="858"/>
    </row>
    <row r="48" spans="1:57" s="772" customFormat="1" ht="12.75" customHeight="1" x14ac:dyDescent="0.2">
      <c r="A48" s="834" t="str">
        <f>A$3</f>
        <v>($Millions Except Per Share Data)</v>
      </c>
      <c r="B48" s="835"/>
      <c r="C48" s="836"/>
      <c r="D48" s="835"/>
      <c r="E48" s="836"/>
      <c r="F48" s="835"/>
      <c r="G48" s="836"/>
      <c r="H48" s="835"/>
      <c r="I48" s="836"/>
      <c r="J48" s="835"/>
      <c r="K48" s="836" t="str">
        <f>K$3</f>
        <v>1Q16/</v>
      </c>
      <c r="L48" s="835"/>
      <c r="M48" s="836" t="str">
        <f>M$3</f>
        <v>2Q16/</v>
      </c>
      <c r="N48" s="835"/>
      <c r="O48" s="836" t="str">
        <f>O$3</f>
        <v>3Q16/</v>
      </c>
      <c r="P48" s="835"/>
      <c r="Q48" s="836" t="str">
        <f>Q$3</f>
        <v>4Q16/</v>
      </c>
      <c r="R48" s="835"/>
      <c r="S48" s="836" t="str">
        <f t="shared" ref="S48" si="25">S$3</f>
        <v>1Q17/</v>
      </c>
      <c r="T48" s="835"/>
      <c r="U48" s="836" t="str">
        <f t="shared" ref="U48" si="26">U$3</f>
        <v>2Q17/</v>
      </c>
      <c r="V48" s="835"/>
      <c r="W48" s="836" t="str">
        <f t="shared" ref="W48" si="27">W$3</f>
        <v>3Q17/</v>
      </c>
      <c r="X48" s="835"/>
      <c r="Y48" s="836" t="str">
        <f t="shared" ref="Y48" si="28">Y$3</f>
        <v>4Q17/</v>
      </c>
      <c r="Z48" s="835"/>
      <c r="AA48" s="836" t="str">
        <f t="shared" ref="AA48" si="29">AA$3</f>
        <v>1Q18E/</v>
      </c>
      <c r="AB48" s="835"/>
      <c r="AC48" s="836" t="str">
        <f t="shared" ref="AC48" si="30">AC$3</f>
        <v>2Q18E/</v>
      </c>
      <c r="AD48" s="835"/>
      <c r="AE48" s="836" t="str">
        <f t="shared" ref="AE48" si="31">AE$3</f>
        <v>3Q18E/</v>
      </c>
      <c r="AF48" s="835"/>
      <c r="AG48" s="836" t="str">
        <f t="shared" ref="AG48" si="32">AG$3</f>
        <v>4Q18E/</v>
      </c>
      <c r="AH48" s="837"/>
      <c r="AI48" s="835"/>
      <c r="AJ48" s="836"/>
      <c r="AK48" s="835"/>
      <c r="AL48" s="836" t="str">
        <f>AL$3</f>
        <v>2016/</v>
      </c>
      <c r="AM48" s="835"/>
      <c r="AN48" s="836" t="str">
        <f>AN$3</f>
        <v>2017/</v>
      </c>
      <c r="AO48" s="835"/>
      <c r="AP48" s="836" t="str">
        <f>AP$3</f>
        <v>2018E/</v>
      </c>
      <c r="AQ48" s="835"/>
      <c r="AR48" s="836" t="str">
        <f>AR$3</f>
        <v>2019E/</v>
      </c>
      <c r="AS48" s="835"/>
      <c r="AT48" s="836" t="str">
        <f>AT$3</f>
        <v>2020E/</v>
      </c>
      <c r="AU48" s="835"/>
      <c r="AV48" s="836" t="str">
        <f>AV$3</f>
        <v>2021E/</v>
      </c>
      <c r="AW48" s="835"/>
      <c r="AX48" s="836" t="str">
        <f>AX$3</f>
        <v>2022E/</v>
      </c>
      <c r="AY48" s="838" t="str">
        <f>AY$3</f>
        <v>5-Yr</v>
      </c>
      <c r="AZ48" s="858"/>
      <c r="BA48" s="858"/>
      <c r="BB48" s="858"/>
      <c r="BC48" s="858"/>
      <c r="BD48" s="858"/>
      <c r="BE48" s="858"/>
    </row>
    <row r="49" spans="1:57" s="772" customFormat="1" ht="12.75" customHeight="1" x14ac:dyDescent="0.2">
      <c r="A49" s="782"/>
      <c r="B49" s="778"/>
      <c r="C49" s="775"/>
      <c r="D49" s="778"/>
      <c r="E49" s="775"/>
      <c r="F49" s="778"/>
      <c r="G49" s="775"/>
      <c r="H49" s="778"/>
      <c r="I49" s="775"/>
      <c r="J49" s="778"/>
      <c r="K49" s="775" t="str">
        <f>K$4</f>
        <v>1Q15</v>
      </c>
      <c r="L49" s="778"/>
      <c r="M49" s="775" t="str">
        <f>M$4</f>
        <v>2Q15</v>
      </c>
      <c r="N49" s="778"/>
      <c r="O49" s="775" t="str">
        <f>O$4</f>
        <v>3Q15</v>
      </c>
      <c r="P49" s="778"/>
      <c r="Q49" s="775" t="str">
        <f>Q$4</f>
        <v>4Q15</v>
      </c>
      <c r="R49" s="778"/>
      <c r="S49" s="775" t="str">
        <f t="shared" ref="S49" si="33">S$4</f>
        <v>1Q16</v>
      </c>
      <c r="T49" s="778"/>
      <c r="U49" s="775" t="str">
        <f t="shared" ref="U49" si="34">U$4</f>
        <v>2Q16</v>
      </c>
      <c r="V49" s="778"/>
      <c r="W49" s="775" t="str">
        <f t="shared" ref="W49" si="35">W$4</f>
        <v>3Q16</v>
      </c>
      <c r="X49" s="778"/>
      <c r="Y49" s="775" t="str">
        <f t="shared" ref="Y49" si="36">Y$4</f>
        <v>4Q16</v>
      </c>
      <c r="Z49" s="778"/>
      <c r="AA49" s="775" t="str">
        <f t="shared" ref="AA49" si="37">AA$4</f>
        <v>1Q17</v>
      </c>
      <c r="AB49" s="778"/>
      <c r="AC49" s="775" t="str">
        <f t="shared" ref="AC49" si="38">AC$4</f>
        <v>2Q17</v>
      </c>
      <c r="AD49" s="778"/>
      <c r="AE49" s="775" t="str">
        <f t="shared" ref="AE49" si="39">AE$4</f>
        <v>3Q17</v>
      </c>
      <c r="AF49" s="778"/>
      <c r="AG49" s="775" t="str">
        <f t="shared" ref="AG49" si="40">AG$4</f>
        <v>4Q17</v>
      </c>
      <c r="AH49" s="780"/>
      <c r="AI49" s="778"/>
      <c r="AJ49" s="775"/>
      <c r="AK49" s="778"/>
      <c r="AL49" s="775" t="str">
        <f>AL$4</f>
        <v>2015</v>
      </c>
      <c r="AM49" s="778"/>
      <c r="AN49" s="775" t="str">
        <f>AN$4</f>
        <v>2016</v>
      </c>
      <c r="AO49" s="778"/>
      <c r="AP49" s="775">
        <f>AP$4</f>
        <v>2017</v>
      </c>
      <c r="AQ49" s="778"/>
      <c r="AR49" s="775" t="str">
        <f>AR$4</f>
        <v>2018E</v>
      </c>
      <c r="AS49" s="778"/>
      <c r="AT49" s="775" t="str">
        <f>AT$4</f>
        <v>2019E</v>
      </c>
      <c r="AU49" s="778"/>
      <c r="AV49" s="775" t="str">
        <f>AV$4</f>
        <v>2020E</v>
      </c>
      <c r="AW49" s="778"/>
      <c r="AX49" s="775" t="str">
        <f>AX$4</f>
        <v>2021E</v>
      </c>
      <c r="AY49" s="777" t="str">
        <f>AY$4</f>
        <v>CAGR</v>
      </c>
      <c r="AZ49" s="858"/>
      <c r="BA49" s="858"/>
      <c r="BB49" s="858"/>
      <c r="BC49" s="858"/>
      <c r="BD49" s="858"/>
      <c r="BE49" s="858"/>
    </row>
    <row r="50" spans="1:57" s="772" customFormat="1" ht="12.75" customHeight="1" x14ac:dyDescent="0.2">
      <c r="A50" s="783"/>
      <c r="B50" s="784" t="str">
        <f t="shared" ref="B50:R50" si="41">B$5</f>
        <v>1Q15</v>
      </c>
      <c r="C50" s="785"/>
      <c r="D50" s="784" t="str">
        <f t="shared" si="41"/>
        <v>2Q15</v>
      </c>
      <c r="E50" s="785"/>
      <c r="F50" s="784" t="str">
        <f t="shared" si="41"/>
        <v>3Q15</v>
      </c>
      <c r="G50" s="785"/>
      <c r="H50" s="784" t="str">
        <f t="shared" si="41"/>
        <v>4Q15</v>
      </c>
      <c r="I50" s="785"/>
      <c r="J50" s="784" t="str">
        <f t="shared" si="41"/>
        <v>1Q16</v>
      </c>
      <c r="K50" s="785" t="str">
        <f>K$5</f>
        <v>% Chg</v>
      </c>
      <c r="L50" s="784" t="str">
        <f t="shared" si="41"/>
        <v>2Q16</v>
      </c>
      <c r="M50" s="785" t="str">
        <f>M$5</f>
        <v>% Chg</v>
      </c>
      <c r="N50" s="784" t="str">
        <f t="shared" si="41"/>
        <v>3Q16</v>
      </c>
      <c r="O50" s="785" t="str">
        <f>O$5</f>
        <v>% Chg</v>
      </c>
      <c r="P50" s="784" t="str">
        <f t="shared" si="41"/>
        <v>4Q16</v>
      </c>
      <c r="Q50" s="785" t="str">
        <f>Q$5</f>
        <v>% Chg</v>
      </c>
      <c r="R50" s="784" t="str">
        <f t="shared" si="41"/>
        <v>1Q17</v>
      </c>
      <c r="S50" s="785" t="str">
        <f t="shared" ref="S50:AG50" si="42">S$5</f>
        <v>% Chg</v>
      </c>
      <c r="T50" s="784" t="str">
        <f t="shared" si="42"/>
        <v>2Q17</v>
      </c>
      <c r="U50" s="785" t="str">
        <f t="shared" si="42"/>
        <v>% Chg</v>
      </c>
      <c r="V50" s="784" t="str">
        <f t="shared" si="42"/>
        <v>3Q17</v>
      </c>
      <c r="W50" s="785" t="str">
        <f t="shared" si="42"/>
        <v>% Chg</v>
      </c>
      <c r="X50" s="784" t="str">
        <f t="shared" si="42"/>
        <v>4Q17</v>
      </c>
      <c r="Y50" s="785" t="str">
        <f t="shared" si="42"/>
        <v>% Chg</v>
      </c>
      <c r="Z50" s="784" t="str">
        <f t="shared" si="42"/>
        <v>1Q18E</v>
      </c>
      <c r="AA50" s="785" t="str">
        <f t="shared" si="42"/>
        <v>% Chg</v>
      </c>
      <c r="AB50" s="784" t="str">
        <f t="shared" si="42"/>
        <v>2Q18E</v>
      </c>
      <c r="AC50" s="785" t="str">
        <f t="shared" si="42"/>
        <v>% Chg</v>
      </c>
      <c r="AD50" s="784" t="str">
        <f t="shared" si="42"/>
        <v>3Q18E</v>
      </c>
      <c r="AE50" s="785" t="str">
        <f t="shared" si="42"/>
        <v>% Chg</v>
      </c>
      <c r="AF50" s="784" t="str">
        <f t="shared" si="42"/>
        <v>4Q18E</v>
      </c>
      <c r="AG50" s="785" t="str">
        <f t="shared" si="42"/>
        <v>% Chg</v>
      </c>
      <c r="AH50" s="786"/>
      <c r="AI50" s="784" t="str">
        <f t="shared" ref="AI50:AY50" si="43">AI$5</f>
        <v>2015</v>
      </c>
      <c r="AJ50" s="785"/>
      <c r="AK50" s="784" t="str">
        <f t="shared" si="43"/>
        <v>2016</v>
      </c>
      <c r="AL50" s="785" t="str">
        <f t="shared" si="43"/>
        <v>% Chg</v>
      </c>
      <c r="AM50" s="784">
        <f t="shared" si="43"/>
        <v>2017</v>
      </c>
      <c r="AN50" s="785" t="str">
        <f t="shared" si="43"/>
        <v>% Chg</v>
      </c>
      <c r="AO50" s="784" t="str">
        <f t="shared" si="43"/>
        <v>2018E</v>
      </c>
      <c r="AP50" s="785" t="str">
        <f t="shared" si="43"/>
        <v>% Chg</v>
      </c>
      <c r="AQ50" s="784" t="str">
        <f t="shared" si="43"/>
        <v>2019E</v>
      </c>
      <c r="AR50" s="785" t="str">
        <f t="shared" si="43"/>
        <v>% Chg</v>
      </c>
      <c r="AS50" s="784" t="str">
        <f t="shared" si="43"/>
        <v>2020E</v>
      </c>
      <c r="AT50" s="785" t="str">
        <f t="shared" si="43"/>
        <v>% Chg</v>
      </c>
      <c r="AU50" s="784" t="str">
        <f t="shared" si="43"/>
        <v>2021E</v>
      </c>
      <c r="AV50" s="785" t="str">
        <f t="shared" si="43"/>
        <v>% Chg</v>
      </c>
      <c r="AW50" s="784" t="str">
        <f t="shared" si="43"/>
        <v>2022E</v>
      </c>
      <c r="AX50" s="785" t="str">
        <f t="shared" si="43"/>
        <v>% Chg</v>
      </c>
      <c r="AY50" s="787" t="str">
        <f t="shared" si="43"/>
        <v>(%)</v>
      </c>
      <c r="AZ50" s="858"/>
      <c r="BA50" s="858"/>
      <c r="BB50" s="858"/>
      <c r="BC50" s="858"/>
      <c r="BD50" s="858"/>
      <c r="BE50" s="858"/>
    </row>
    <row r="51" spans="1:57" s="772" customFormat="1" ht="4.5" customHeight="1" x14ac:dyDescent="0.2">
      <c r="A51" s="839"/>
      <c r="B51" s="823"/>
      <c r="C51" s="827"/>
      <c r="D51" s="823"/>
      <c r="E51" s="827"/>
      <c r="F51" s="823"/>
      <c r="G51" s="827"/>
      <c r="H51" s="823"/>
      <c r="I51" s="827"/>
      <c r="J51" s="823"/>
      <c r="K51" s="827"/>
      <c r="L51" s="823"/>
      <c r="M51" s="827"/>
      <c r="N51" s="823"/>
      <c r="O51" s="827"/>
      <c r="P51" s="823"/>
      <c r="Q51" s="827"/>
      <c r="R51" s="823"/>
      <c r="S51" s="827"/>
      <c r="T51" s="823"/>
      <c r="U51" s="827"/>
      <c r="V51" s="823"/>
      <c r="W51" s="827"/>
      <c r="X51" s="823"/>
      <c r="Y51" s="827"/>
      <c r="Z51" s="823"/>
      <c r="AA51" s="827"/>
      <c r="AB51" s="823"/>
      <c r="AC51" s="827"/>
      <c r="AD51" s="823"/>
      <c r="AE51" s="827"/>
      <c r="AF51" s="823"/>
      <c r="AG51" s="827"/>
      <c r="AH51" s="825"/>
      <c r="AI51" s="823"/>
      <c r="AJ51" s="827"/>
      <c r="AK51" s="823"/>
      <c r="AL51" s="827"/>
      <c r="AM51" s="823"/>
      <c r="AN51" s="827"/>
      <c r="AO51" s="823"/>
      <c r="AP51" s="827"/>
      <c r="AQ51" s="823"/>
      <c r="AR51" s="827"/>
      <c r="AS51" s="823"/>
      <c r="AT51" s="827"/>
      <c r="AU51" s="823"/>
      <c r="AV51" s="827"/>
      <c r="AW51" s="823"/>
      <c r="AX51" s="827"/>
      <c r="AY51" s="825"/>
      <c r="AZ51" s="858"/>
      <c r="BA51" s="858"/>
      <c r="BB51" s="858"/>
      <c r="BC51" s="858"/>
      <c r="BD51" s="858"/>
      <c r="BE51" s="858"/>
    </row>
    <row r="52" spans="1:57" s="772" customFormat="1" ht="12.75" customHeight="1" x14ac:dyDescent="0.2">
      <c r="A52" s="839" t="s">
        <v>197</v>
      </c>
      <c r="B52" s="823"/>
      <c r="C52" s="824"/>
      <c r="D52" s="823"/>
      <c r="E52" s="824"/>
      <c r="F52" s="823"/>
      <c r="G52" s="824"/>
      <c r="H52" s="823"/>
      <c r="I52" s="824"/>
      <c r="J52" s="823"/>
      <c r="K52" s="824"/>
      <c r="L52" s="823"/>
      <c r="M52" s="824"/>
      <c r="N52" s="823"/>
      <c r="O52" s="824"/>
      <c r="P52" s="823"/>
      <c r="Q52" s="824"/>
      <c r="R52" s="823"/>
      <c r="S52" s="824"/>
      <c r="T52" s="823"/>
      <c r="U52" s="824"/>
      <c r="V52" s="823"/>
      <c r="W52" s="824"/>
      <c r="X52" s="823"/>
      <c r="Y52" s="824"/>
      <c r="Z52" s="823"/>
      <c r="AA52" s="824"/>
      <c r="AB52" s="823"/>
      <c r="AC52" s="824"/>
      <c r="AD52" s="823"/>
      <c r="AE52" s="824"/>
      <c r="AF52" s="823"/>
      <c r="AG52" s="824"/>
      <c r="AH52" s="825"/>
      <c r="AI52" s="823"/>
      <c r="AJ52" s="824"/>
      <c r="AK52" s="823"/>
      <c r="AL52" s="824"/>
      <c r="AM52" s="823"/>
      <c r="AN52" s="824"/>
      <c r="AO52" s="823"/>
      <c r="AP52" s="824"/>
      <c r="AQ52" s="823"/>
      <c r="AR52" s="824"/>
      <c r="AS52" s="823"/>
      <c r="AT52" s="824"/>
      <c r="AU52" s="823"/>
      <c r="AV52" s="824"/>
      <c r="AW52" s="823"/>
      <c r="AX52" s="824"/>
      <c r="AY52" s="824"/>
      <c r="AZ52" s="858"/>
      <c r="BA52" s="858"/>
      <c r="BB52" s="858"/>
      <c r="BC52" s="858"/>
      <c r="BD52" s="858"/>
      <c r="BE52" s="858"/>
    </row>
    <row r="53" spans="1:57" s="772" customFormat="1" ht="12.75" customHeight="1" x14ac:dyDescent="0.2">
      <c r="A53" s="822" t="str">
        <f>Input!B684</f>
        <v>Outstanding Shares (EOP)</v>
      </c>
      <c r="B53" s="840">
        <f>+Input!DS684</f>
        <v>1114.2999999999997</v>
      </c>
      <c r="C53" s="824"/>
      <c r="D53" s="840">
        <f>+Input!DU684</f>
        <v>1116.7999999999997</v>
      </c>
      <c r="E53" s="824"/>
      <c r="F53" s="840">
        <f>+Input!DW684</f>
        <v>1114.7999999999997</v>
      </c>
      <c r="G53" s="824"/>
      <c r="H53" s="840">
        <f>+Input!DY684</f>
        <v>1097.9999999999998</v>
      </c>
      <c r="I53" s="824"/>
      <c r="J53" s="840">
        <f>+Input!EA684</f>
        <v>1098.4999999999998</v>
      </c>
      <c r="K53" s="824">
        <f>+Input!EB684</f>
        <v>-1.4179305393520525</v>
      </c>
      <c r="L53" s="840">
        <f>+Input!EC684</f>
        <v>1098.7999999999997</v>
      </c>
      <c r="M53" s="824">
        <f>+Input!ED684</f>
        <v>-1.6117478510028649</v>
      </c>
      <c r="N53" s="840">
        <f>+Input!EE684</f>
        <v>1098.9999999999998</v>
      </c>
      <c r="O53" s="824">
        <f>+Input!EF684</f>
        <v>-1.4172945819877936</v>
      </c>
      <c r="P53" s="840">
        <f>+Input!EG684</f>
        <v>1095.4999999999998</v>
      </c>
      <c r="Q53" s="824">
        <f>+Input!EH684</f>
        <v>-0.22768670309654127</v>
      </c>
      <c r="R53" s="840">
        <f>+Input!EI684</f>
        <v>1081.2999999999997</v>
      </c>
      <c r="S53" s="824">
        <f>+Input!EJ684</f>
        <v>-1.5657715065999112</v>
      </c>
      <c r="T53" s="840">
        <f>+Input!EK684</f>
        <v>1063.4999999999998</v>
      </c>
      <c r="U53" s="824">
        <f>+Input!EL684</f>
        <v>-3.212595558791409</v>
      </c>
      <c r="V53" s="840">
        <f>+Input!EM684</f>
        <v>1054.2999999999997</v>
      </c>
      <c r="W53" s="824">
        <f>+Input!EN684</f>
        <v>-4.0673339399454056</v>
      </c>
      <c r="X53" s="840">
        <f>+Input!EO684</f>
        <v>1043.5999999999997</v>
      </c>
      <c r="Y53" s="824">
        <f>+Input!EP684</f>
        <v>-4.7375627567320944</v>
      </c>
      <c r="Z53" s="840">
        <f>+Input!EQ684</f>
        <v>1026.051386979397</v>
      </c>
      <c r="AA53" s="824">
        <f>+Input!ER684</f>
        <v>-5.1094620383429934</v>
      </c>
      <c r="AB53" s="840">
        <f>+Input!ES684</f>
        <v>1008.7183008721934</v>
      </c>
      <c r="AC53" s="824">
        <f>+Input!ET684</f>
        <v>-5.1510765517448487</v>
      </c>
      <c r="AD53" s="840">
        <f>+Input!EU684</f>
        <v>993.61310252690146</v>
      </c>
      <c r="AE53" s="824">
        <f>+Input!EV684</f>
        <v>-5.7561317910555188</v>
      </c>
      <c r="AF53" s="840">
        <f>+Input!EW684</f>
        <v>978.68854371208363</v>
      </c>
      <c r="AG53" s="824">
        <f>+Input!EX684</f>
        <v>-6.2199555661092472</v>
      </c>
      <c r="AH53" s="846"/>
      <c r="AI53" s="840">
        <f>+Input!GJ684</f>
        <v>1098.02</v>
      </c>
      <c r="AJ53" s="824"/>
      <c r="AK53" s="840">
        <f>+Input!GL684</f>
        <v>1095.52</v>
      </c>
      <c r="AL53" s="824">
        <f>+Input!GM684</f>
        <v>-0.22768255587329866</v>
      </c>
      <c r="AM53" s="840">
        <f>+Input!GN684</f>
        <v>1043.6200000000001</v>
      </c>
      <c r="AN53" s="824">
        <f>+Input!GO684</f>
        <v>-4.7374762669782244</v>
      </c>
      <c r="AO53" s="840">
        <f>+Input!GP684</f>
        <v>978.70854371208407</v>
      </c>
      <c r="AP53" s="824">
        <f>+Input!GQ684</f>
        <v>-6.2198363664855094</v>
      </c>
      <c r="AQ53" s="840">
        <f>+Input!GR684</f>
        <v>924.51770607486731</v>
      </c>
      <c r="AR53" s="824">
        <f>+Input!GS684</f>
        <v>-5.5369740036885329</v>
      </c>
      <c r="AS53" s="840">
        <f>+Input!GT684</f>
        <v>872.67725934011685</v>
      </c>
      <c r="AT53" s="824">
        <f>+Input!GU684</f>
        <v>-5.6072962577260128</v>
      </c>
      <c r="AU53" s="840">
        <f>+Input!GV684</f>
        <v>822.98372730571737</v>
      </c>
      <c r="AV53" s="824">
        <f>+Input!GW684</f>
        <v>-5.6943768732985784</v>
      </c>
      <c r="AW53" s="840">
        <f>+Input!GX684</f>
        <v>775.23967313854814</v>
      </c>
      <c r="AX53" s="824">
        <f>+Input!GY684</f>
        <v>-5.8013363549086927</v>
      </c>
      <c r="AY53" s="824">
        <f>+Input!GZ684</f>
        <v>-5.7722720738130224</v>
      </c>
      <c r="AZ53" s="858"/>
      <c r="BA53" s="858"/>
      <c r="BB53" s="858"/>
      <c r="BC53" s="858"/>
      <c r="BD53" s="858"/>
      <c r="BE53" s="858"/>
    </row>
    <row r="54" spans="1:57" s="772" customFormat="1" ht="12.75" customHeight="1" x14ac:dyDescent="0.2">
      <c r="A54" s="822" t="str">
        <f>Input!B687</f>
        <v>Average Shares (FD)</v>
      </c>
      <c r="B54" s="840">
        <f>+Input!DS687</f>
        <v>1135.8</v>
      </c>
      <c r="C54" s="824"/>
      <c r="D54" s="840">
        <f>+Input!DU687</f>
        <v>1128.3999999999999</v>
      </c>
      <c r="E54" s="824"/>
      <c r="F54" s="840">
        <f>+Input!DW687</f>
        <v>1129.9000000000001</v>
      </c>
      <c r="G54" s="824"/>
      <c r="H54" s="840">
        <f>+Input!DY687</f>
        <v>1121.4000000000001</v>
      </c>
      <c r="I54" s="824"/>
      <c r="J54" s="840">
        <f>+Input!EA687</f>
        <v>1108.5999999999999</v>
      </c>
      <c r="K54" s="824">
        <f>+Input!EB687</f>
        <v>-2.3947878147561275</v>
      </c>
      <c r="L54" s="840">
        <f>+Input!EC687</f>
        <v>1109.0999999999999</v>
      </c>
      <c r="M54" s="824">
        <f>+Input!ED687</f>
        <v>-1.7103863878057401</v>
      </c>
      <c r="N54" s="840">
        <f>+Input!EE687</f>
        <v>1109.3</v>
      </c>
      <c r="O54" s="824">
        <f>+Input!EF687</f>
        <v>-1.8231701920524035</v>
      </c>
      <c r="P54" s="840">
        <f>+Input!EG687</f>
        <v>1108.8</v>
      </c>
      <c r="Q54" s="824">
        <f>+Input!EH687</f>
        <v>-1.1235955056179914</v>
      </c>
      <c r="R54" s="840">
        <f>+Input!EI687</f>
        <v>1098.7</v>
      </c>
      <c r="S54" s="824">
        <f>+Input!EJ687</f>
        <v>-0.89301822117985319</v>
      </c>
      <c r="T54" s="840">
        <f>+Input!EK687</f>
        <v>1082.0999999999999</v>
      </c>
      <c r="U54" s="824">
        <f>+Input!EL687</f>
        <v>-2.4344062753584028</v>
      </c>
      <c r="V54" s="840">
        <f>+Input!EM687</f>
        <v>1071.5</v>
      </c>
      <c r="W54" s="824">
        <f>+Input!EN687</f>
        <v>-3.4075543135310471</v>
      </c>
      <c r="X54" s="840">
        <f>+Input!EO687</f>
        <v>1062.0999999999999</v>
      </c>
      <c r="Y54" s="824">
        <f>+Input!EP687</f>
        <v>-4.2117604617604609</v>
      </c>
      <c r="Z54" s="840">
        <f>+Input!EQ687</f>
        <v>1044.4256934896982</v>
      </c>
      <c r="AA54" s="824">
        <f>+Input!ER687</f>
        <v>-4.9398658878949453</v>
      </c>
      <c r="AB54" s="840">
        <f>+Input!ES687</f>
        <v>1026.9848439257951</v>
      </c>
      <c r="AC54" s="824">
        <f>+Input!ET687</f>
        <v>-5.0933514531193875</v>
      </c>
      <c r="AD54" s="840">
        <f>+Input!EU687</f>
        <v>1010.7657016995474</v>
      </c>
      <c r="AE54" s="824">
        <f>+Input!EV687</f>
        <v>-5.6681566309335079</v>
      </c>
      <c r="AF54" s="840">
        <f>+Input!EW687</f>
        <v>995.75082311949257</v>
      </c>
      <c r="AG54" s="824">
        <f>+Input!EX687</f>
        <v>-6.2469802165998845</v>
      </c>
      <c r="AH54" s="846"/>
      <c r="AI54" s="840">
        <f>+Input!GJ687</f>
        <v>1128.875</v>
      </c>
      <c r="AJ54" s="824"/>
      <c r="AK54" s="840">
        <f>+Input!GL687</f>
        <v>1108.9499999999998</v>
      </c>
      <c r="AL54" s="824">
        <f>+Input!GM687</f>
        <v>-1.7650315579670228</v>
      </c>
      <c r="AM54" s="840">
        <f>+Input!GN687</f>
        <v>1078.5999999999999</v>
      </c>
      <c r="AN54" s="824">
        <f>+Input!GO687</f>
        <v>-2.7368231209702776</v>
      </c>
      <c r="AO54" s="840">
        <f>+Input!GP687</f>
        <v>1019.4817655586335</v>
      </c>
      <c r="AP54" s="824">
        <f>+Input!GQ687</f>
        <v>-5.4810156166666513</v>
      </c>
      <c r="AQ54" s="840">
        <f>+Input!GR687</f>
        <v>960.04930814073145</v>
      </c>
      <c r="AR54" s="824">
        <f>+Input!GS687</f>
        <v>-5.8296734111115249</v>
      </c>
      <c r="AS54" s="840">
        <f>+Input!GT687</f>
        <v>912.66471844627222</v>
      </c>
      <c r="AT54" s="824">
        <f>+Input!GU687</f>
        <v>-4.9356412522421405</v>
      </c>
      <c r="AU54" s="840">
        <f>+Input!GV687</f>
        <v>858.50436396360521</v>
      </c>
      <c r="AV54" s="824">
        <f>+Input!GW687</f>
        <v>-5.9343100908809117</v>
      </c>
      <c r="AW54" s="840">
        <f>+Input!GX687</f>
        <v>812.3337840138347</v>
      </c>
      <c r="AX54" s="824">
        <f>+Input!GY687</f>
        <v>-5.3780250733504564</v>
      </c>
      <c r="AY54" s="824">
        <f>+Input!GZ687</f>
        <v>-5.5123995842953022</v>
      </c>
      <c r="AZ54" s="858"/>
      <c r="BA54" s="858"/>
      <c r="BB54" s="858"/>
      <c r="BC54" s="858"/>
      <c r="BD54" s="858"/>
      <c r="BE54" s="858"/>
    </row>
    <row r="55" spans="1:57" s="772" customFormat="1" ht="4.5" customHeight="1" x14ac:dyDescent="0.2">
      <c r="A55" s="817"/>
      <c r="B55" s="789"/>
      <c r="C55" s="791"/>
      <c r="D55" s="789"/>
      <c r="E55" s="791"/>
      <c r="F55" s="789"/>
      <c r="G55" s="791"/>
      <c r="H55" s="789"/>
      <c r="I55" s="791"/>
      <c r="J55" s="789"/>
      <c r="K55" s="791"/>
      <c r="L55" s="789"/>
      <c r="M55" s="791"/>
      <c r="N55" s="789"/>
      <c r="O55" s="791"/>
      <c r="P55" s="789"/>
      <c r="Q55" s="791"/>
      <c r="R55" s="789"/>
      <c r="S55" s="791"/>
      <c r="T55" s="789"/>
      <c r="U55" s="791"/>
      <c r="V55" s="789"/>
      <c r="W55" s="791"/>
      <c r="X55" s="789"/>
      <c r="Y55" s="791"/>
      <c r="Z55" s="789"/>
      <c r="AA55" s="791"/>
      <c r="AB55" s="789"/>
      <c r="AC55" s="791"/>
      <c r="AD55" s="789"/>
      <c r="AE55" s="791"/>
      <c r="AF55" s="789"/>
      <c r="AG55" s="791"/>
      <c r="AH55" s="791"/>
      <c r="AI55" s="789"/>
      <c r="AJ55" s="791"/>
      <c r="AK55" s="789"/>
      <c r="AL55" s="791"/>
      <c r="AM55" s="789"/>
      <c r="AN55" s="791"/>
      <c r="AO55" s="789"/>
      <c r="AP55" s="791"/>
      <c r="AQ55" s="789"/>
      <c r="AR55" s="791"/>
      <c r="AS55" s="789"/>
      <c r="AT55" s="791"/>
      <c r="AU55" s="789"/>
      <c r="AV55" s="791"/>
      <c r="AW55" s="789"/>
      <c r="AX55" s="791"/>
      <c r="AY55" s="791"/>
      <c r="AZ55" s="858"/>
      <c r="BA55" s="858"/>
      <c r="BB55" s="858"/>
      <c r="BC55" s="858"/>
      <c r="BD55" s="858"/>
      <c r="BE55" s="858"/>
    </row>
    <row r="56" spans="1:57" s="772" customFormat="1" ht="12.75" customHeight="1" x14ac:dyDescent="0.2">
      <c r="A56" s="839" t="str">
        <f>Input!B646</f>
        <v>Op Earnings Contribution by Segment (%)</v>
      </c>
      <c r="B56" s="823"/>
      <c r="C56" s="827"/>
      <c r="D56" s="823"/>
      <c r="E56" s="827"/>
      <c r="F56" s="823"/>
      <c r="G56" s="827"/>
      <c r="H56" s="823"/>
      <c r="I56" s="827"/>
      <c r="J56" s="823"/>
      <c r="K56" s="827"/>
      <c r="L56" s="823"/>
      <c r="M56" s="827"/>
      <c r="N56" s="823"/>
      <c r="O56" s="827"/>
      <c r="P56" s="823"/>
      <c r="Q56" s="827"/>
      <c r="R56" s="823"/>
      <c r="S56" s="827"/>
      <c r="T56" s="823"/>
      <c r="U56" s="827"/>
      <c r="V56" s="823"/>
      <c r="W56" s="827"/>
      <c r="X56" s="823"/>
      <c r="Y56" s="827"/>
      <c r="Z56" s="823"/>
      <c r="AA56" s="827"/>
      <c r="AB56" s="823"/>
      <c r="AC56" s="827"/>
      <c r="AD56" s="823"/>
      <c r="AE56" s="827"/>
      <c r="AF56" s="823"/>
      <c r="AG56" s="827"/>
      <c r="AH56" s="825"/>
      <c r="AI56" s="823"/>
      <c r="AJ56" s="827"/>
      <c r="AK56" s="823"/>
      <c r="AL56" s="827"/>
      <c r="AM56" s="823"/>
      <c r="AN56" s="827"/>
      <c r="AO56" s="823"/>
      <c r="AP56" s="827"/>
      <c r="AQ56" s="823"/>
      <c r="AR56" s="827"/>
      <c r="AS56" s="823"/>
      <c r="AT56" s="827"/>
      <c r="AU56" s="823"/>
      <c r="AV56" s="827"/>
      <c r="AW56" s="823"/>
      <c r="AX56" s="827"/>
      <c r="AY56" s="825"/>
      <c r="AZ56" s="858"/>
      <c r="BA56" s="858"/>
      <c r="BB56" s="858"/>
      <c r="BC56" s="858"/>
      <c r="BD56" s="858"/>
      <c r="BE56" s="858"/>
    </row>
    <row r="57" spans="1:57" s="772" customFormat="1" ht="12.75" customHeight="1" x14ac:dyDescent="0.2">
      <c r="A57" s="822" t="str">
        <f>Input!B647</f>
        <v>Group Benefits (%)</v>
      </c>
      <c r="B57" s="842">
        <f>+Input!DS647</f>
        <v>10.900473933649289</v>
      </c>
      <c r="C57" s="824"/>
      <c r="D57" s="842">
        <f>+Input!DU647</f>
        <v>12.214863870493009</v>
      </c>
      <c r="E57" s="824"/>
      <c r="F57" s="842">
        <f>+Input!DW647</f>
        <v>49.441340782122907</v>
      </c>
      <c r="G57" s="824"/>
      <c r="H57" s="842">
        <f>+Input!DY647</f>
        <v>15.485829959514168</v>
      </c>
      <c r="I57" s="824"/>
      <c r="J57" s="842">
        <f>+Input!EA647</f>
        <v>14.171656686626747</v>
      </c>
      <c r="K57" s="824">
        <f>+Input!EB647</f>
        <v>30.009546125141018</v>
      </c>
      <c r="L57" s="842">
        <f>+Input!EC647</f>
        <v>29.552715654952078</v>
      </c>
      <c r="M57" s="824" t="str">
        <f>+Input!ED647</f>
        <v>NM</v>
      </c>
      <c r="N57" s="842">
        <f>+Input!EE647</f>
        <v>13.726937269372694</v>
      </c>
      <c r="O57" s="824" t="str">
        <f>+Input!EF647</f>
        <v>NM</v>
      </c>
      <c r="P57" s="842">
        <f>+Input!EG647</f>
        <v>16.461684011352887</v>
      </c>
      <c r="Q57" s="824">
        <f>+Input!EH647</f>
        <v>6.3015934850761735</v>
      </c>
      <c r="R57" s="842">
        <f>+Input!EI647</f>
        <v>14.685844057532172</v>
      </c>
      <c r="S57" s="824">
        <f>+Input!EJ647</f>
        <v>3.6282798989242027</v>
      </c>
      <c r="T57" s="842">
        <f>+Input!EK647</f>
        <v>18.108831400535237</v>
      </c>
      <c r="U57" s="824">
        <f>+Input!EL647</f>
        <v>-38.723629963594277</v>
      </c>
      <c r="V57" s="842">
        <f>+Input!EM647</f>
        <v>21.614349775784753</v>
      </c>
      <c r="W57" s="824">
        <f>+Input!EN647</f>
        <v>57.459376054776023</v>
      </c>
      <c r="X57" s="842">
        <f>+Input!EO647</f>
        <v>33.923303834808259</v>
      </c>
      <c r="Y57" s="824" t="str">
        <f>+Input!EP647</f>
        <v>NM</v>
      </c>
      <c r="Z57" s="842">
        <f>+Input!EQ647</f>
        <v>21.947080442950583</v>
      </c>
      <c r="AA57" s="824">
        <f>+Input!ER647</f>
        <v>49.443779717204748</v>
      </c>
      <c r="AB57" s="842">
        <f>+Input!ES647</f>
        <v>22.755262985447391</v>
      </c>
      <c r="AC57" s="824">
        <f>+Input!ET647</f>
        <v>25.658373431953319</v>
      </c>
      <c r="AD57" s="842">
        <f>+Input!EU647</f>
        <v>23.272921572853051</v>
      </c>
      <c r="AE57" s="824">
        <f>+Input!EV647</f>
        <v>7.6734753266852751</v>
      </c>
      <c r="AF57" s="842">
        <f>+Input!EW647</f>
        <v>23.834260989451668</v>
      </c>
      <c r="AG57" s="824">
        <f>+Input!EX647</f>
        <v>-29.740743691964212</v>
      </c>
      <c r="AH57" s="869"/>
      <c r="AI57" s="842">
        <f>+Input!GJ647</f>
        <v>15.965751699823722</v>
      </c>
      <c r="AJ57" s="824"/>
      <c r="AK57" s="842">
        <f>+Input!GL647</f>
        <v>17.004950495049506</v>
      </c>
      <c r="AL57" s="824">
        <f>+Input!GM647</f>
        <v>6.5089249461223853</v>
      </c>
      <c r="AM57" s="842">
        <f>+Input!GN647</f>
        <v>20.495867768595041</v>
      </c>
      <c r="AN57" s="824">
        <f>+Input!GO647</f>
        <v>20.528829381548697</v>
      </c>
      <c r="AO57" s="842">
        <f>+Input!GP647</f>
        <v>22.957669511735975</v>
      </c>
      <c r="AP57" s="824">
        <f>+Input!GQ647</f>
        <v>12.011210117744087</v>
      </c>
      <c r="AQ57" s="842">
        <f>+Input!GR647</f>
        <v>23.151556985553729</v>
      </c>
      <c r="AR57" s="824">
        <f>+Input!GS647</f>
        <v>0.84454336150556752</v>
      </c>
      <c r="AS57" s="842">
        <f>+Input!GT647</f>
        <v>22.635050002861419</v>
      </c>
      <c r="AT57" s="824">
        <f>+Input!GU647</f>
        <v>-2.2309816269143523</v>
      </c>
      <c r="AU57" s="842">
        <f>+Input!GV647</f>
        <v>22.371711156720213</v>
      </c>
      <c r="AV57" s="824">
        <f>+Input!GW647</f>
        <v>-1.1634118153391104</v>
      </c>
      <c r="AW57" s="842">
        <f>+Input!GX647</f>
        <v>22.350179115357456</v>
      </c>
      <c r="AX57" s="824">
        <f>+Input!GY647</f>
        <v>-9.624673415421503E-2</v>
      </c>
      <c r="AY57" s="824">
        <f>+Input!GZ647</f>
        <v>1.7473107810452637</v>
      </c>
      <c r="AZ57" s="858"/>
      <c r="BA57" s="858"/>
      <c r="BB57" s="858"/>
      <c r="BC57" s="858"/>
      <c r="BD57" s="858"/>
      <c r="BE57" s="858"/>
    </row>
    <row r="58" spans="1:57" s="772" customFormat="1" ht="12.75" customHeight="1" x14ac:dyDescent="0.2">
      <c r="A58" s="822" t="str">
        <f>Input!B648</f>
        <v>Retirement &amp; Income Solutions (%)</v>
      </c>
      <c r="B58" s="842">
        <f>+Input!DS648</f>
        <v>24.24960505529226</v>
      </c>
      <c r="C58" s="824"/>
      <c r="D58" s="842">
        <f>+Input!DU648</f>
        <v>24.871228844738781</v>
      </c>
      <c r="E58" s="824"/>
      <c r="F58" s="842">
        <f>+Input!DW648</f>
        <v>74.58100558659217</v>
      </c>
      <c r="G58" s="824"/>
      <c r="H58" s="842">
        <f>+Input!DY648</f>
        <v>23.785425101214575</v>
      </c>
      <c r="I58" s="824"/>
      <c r="J58" s="842">
        <f>+Input!EA648</f>
        <v>24.151696606786427</v>
      </c>
      <c r="K58" s="824">
        <f>+Input!EB648</f>
        <v>-0.40375275507616992</v>
      </c>
      <c r="L58" s="842">
        <f>+Input!EC648</f>
        <v>41.533546325878596</v>
      </c>
      <c r="M58" s="824">
        <f>+Input!ED648</f>
        <v>66.994347505529618</v>
      </c>
      <c r="N58" s="842">
        <f>+Input!EE648</f>
        <v>22.730627306273064</v>
      </c>
      <c r="O58" s="824" t="str">
        <f>+Input!EF648</f>
        <v>NM</v>
      </c>
      <c r="P58" s="842">
        <f>+Input!EG648</f>
        <v>27.814569536423839</v>
      </c>
      <c r="Q58" s="824">
        <f>+Input!EH648</f>
        <v>16.939551923347885</v>
      </c>
      <c r="R58" s="842">
        <f>+Input!EI648</f>
        <v>20.741862225586676</v>
      </c>
      <c r="S58" s="824">
        <f>+Input!EJ648</f>
        <v>-14.118405165132852</v>
      </c>
      <c r="T58" s="842">
        <f>+Input!EK648</f>
        <v>23.371989295272076</v>
      </c>
      <c r="U58" s="824">
        <f>+Input!EL648</f>
        <v>-43.727441158306469</v>
      </c>
      <c r="V58" s="842">
        <f>+Input!EM648</f>
        <v>22.152466367713007</v>
      </c>
      <c r="W58" s="824">
        <f>+Input!EN648</f>
        <v>-2.5435327004833641</v>
      </c>
      <c r="X58" s="842">
        <f>+Input!EO648</f>
        <v>25.516224188790559</v>
      </c>
      <c r="Y58" s="824">
        <f>+Input!EP648</f>
        <v>-8.2630987498244153</v>
      </c>
      <c r="Z58" s="842">
        <f>+Input!EQ648</f>
        <v>23.8117299636368</v>
      </c>
      <c r="AA58" s="824">
        <f>+Input!ER648</f>
        <v>14.800347744394937</v>
      </c>
      <c r="AB58" s="842">
        <f>+Input!ES648</f>
        <v>22.750261441169545</v>
      </c>
      <c r="AC58" s="824">
        <f>+Input!ET648</f>
        <v>-2.6601409330112125</v>
      </c>
      <c r="AD58" s="842">
        <f>+Input!EU648</f>
        <v>21.471206107636178</v>
      </c>
      <c r="AE58" s="824">
        <f>+Input!EV648</f>
        <v>-3.0753246558124059</v>
      </c>
      <c r="AF58" s="842">
        <f>+Input!EW648</f>
        <v>20.237379734661467</v>
      </c>
      <c r="AG58" s="824">
        <f>+Input!EX648</f>
        <v>-20.68818809190477</v>
      </c>
      <c r="AH58" s="869"/>
      <c r="AI58" s="842">
        <f>+Input!GJ648</f>
        <v>28.884411986905061</v>
      </c>
      <c r="AJ58" s="824"/>
      <c r="AK58" s="842">
        <f>+Input!GL648</f>
        <v>27.32673267326733</v>
      </c>
      <c r="AL58" s="824">
        <f>+Input!GM648</f>
        <v>-5.3928025758111842</v>
      </c>
      <c r="AM58" s="842">
        <f>+Input!GN648</f>
        <v>22.573789846517119</v>
      </c>
      <c r="AN58" s="824">
        <f>+Input!GO648</f>
        <v>-17.39301541673084</v>
      </c>
      <c r="AO58" s="842">
        <f>+Input!GP648</f>
        <v>22.056801952617729</v>
      </c>
      <c r="AP58" s="824">
        <f>+Input!GQ648</f>
        <v>-2.2902131073890386</v>
      </c>
      <c r="AQ58" s="842">
        <f>+Input!GR648</f>
        <v>21.203350035892505</v>
      </c>
      <c r="AR58" s="824">
        <f>+Input!GS648</f>
        <v>-3.8693366271257412</v>
      </c>
      <c r="AS58" s="842">
        <f>+Input!GT648</f>
        <v>20.745411499011137</v>
      </c>
      <c r="AT58" s="824">
        <f>+Input!GU648</f>
        <v>-2.1597461538208851</v>
      </c>
      <c r="AU58" s="842">
        <f>+Input!GV648</f>
        <v>20.495632166464471</v>
      </c>
      <c r="AV58" s="824">
        <f>+Input!GW648</f>
        <v>-1.2040220680056057</v>
      </c>
      <c r="AW58" s="842">
        <f>+Input!GX648</f>
        <v>20.563437134615562</v>
      </c>
      <c r="AX58" s="824">
        <f>+Input!GY648</f>
        <v>0.33082642975039711</v>
      </c>
      <c r="AY58" s="824">
        <f>+Input!GZ648</f>
        <v>-1.8482050792516747</v>
      </c>
      <c r="AZ58" s="858"/>
      <c r="BA58" s="858"/>
      <c r="BB58" s="858"/>
      <c r="BC58" s="858"/>
      <c r="BD58" s="858"/>
      <c r="BE58" s="858"/>
    </row>
    <row r="59" spans="1:57" s="772" customFormat="1" ht="12.75" customHeight="1" x14ac:dyDescent="0.2">
      <c r="A59" s="822" t="str">
        <f>Input!B649</f>
        <v>Property &amp; Casualty (%)</v>
      </c>
      <c r="B59" s="842">
        <f>+Input!DS649</f>
        <v>5.1342812006319116</v>
      </c>
      <c r="C59" s="824"/>
      <c r="D59" s="842">
        <f>+Input!DU649</f>
        <v>3.4584253127299487</v>
      </c>
      <c r="E59" s="824"/>
      <c r="F59" s="842">
        <f>+Input!DW649</f>
        <v>18.715083798882681</v>
      </c>
      <c r="G59" s="824"/>
      <c r="H59" s="842">
        <f>+Input!DY649</f>
        <v>4.4534412955465585</v>
      </c>
      <c r="I59" s="824"/>
      <c r="J59" s="842">
        <f>+Input!EA649</f>
        <v>2.19560878243513</v>
      </c>
      <c r="K59" s="824">
        <f>+Input!EB649</f>
        <v>0</v>
      </c>
      <c r="L59" s="842">
        <f>+Input!EC649</f>
        <v>-0.31948881789137379</v>
      </c>
      <c r="M59" s="824">
        <f>+Input!ED649</f>
        <v>0</v>
      </c>
      <c r="N59" s="842">
        <f>+Input!EE649</f>
        <v>4.2804428044280449</v>
      </c>
      <c r="O59" s="824">
        <f>+Input!EF649</f>
        <v>0</v>
      </c>
      <c r="P59" s="842">
        <f>+Input!EG649</f>
        <v>4.0681173131504256</v>
      </c>
      <c r="Q59" s="824">
        <f>+Input!EH649</f>
        <v>0</v>
      </c>
      <c r="R59" s="842">
        <f>+Input!EI649</f>
        <v>2.195306585919758</v>
      </c>
      <c r="S59" s="824">
        <f>+Input!EJ649</f>
        <v>0</v>
      </c>
      <c r="T59" s="842">
        <f>+Input!EK649</f>
        <v>2.4977698483496877</v>
      </c>
      <c r="U59" s="824">
        <f>+Input!EL649</f>
        <v>0</v>
      </c>
      <c r="V59" s="842">
        <f>+Input!EM649</f>
        <v>4.5739910313901344</v>
      </c>
      <c r="W59" s="824">
        <f>+Input!EN649</f>
        <v>0</v>
      </c>
      <c r="X59" s="842">
        <f>+Input!EO649</f>
        <v>14.011799410029498</v>
      </c>
      <c r="Y59" s="824">
        <f>+Input!EP649</f>
        <v>0</v>
      </c>
      <c r="Z59" s="842">
        <f>+Input!EQ649</f>
        <v>4.5213405083624645</v>
      </c>
      <c r="AA59" s="824">
        <f>+Input!ER649</f>
        <v>0</v>
      </c>
      <c r="AB59" s="842">
        <f>+Input!ES649</f>
        <v>4.2033363393737879</v>
      </c>
      <c r="AC59" s="824">
        <f>+Input!ET649</f>
        <v>0</v>
      </c>
      <c r="AD59" s="842">
        <f>+Input!EU649</f>
        <v>4.5112267495739573</v>
      </c>
      <c r="AE59" s="824">
        <f>+Input!EV649</f>
        <v>0</v>
      </c>
      <c r="AF59" s="842">
        <f>+Input!EW649</f>
        <v>8.1073456697977146</v>
      </c>
      <c r="AG59" s="824">
        <f>+Input!EX649</f>
        <v>0</v>
      </c>
      <c r="AH59" s="869"/>
      <c r="AI59" s="842">
        <f>+Input!GJ649</f>
        <v>5.6157139259632327</v>
      </c>
      <c r="AJ59" s="824"/>
      <c r="AK59" s="842">
        <f>+Input!GL649</f>
        <v>2.995049504950495</v>
      </c>
      <c r="AL59" s="824">
        <f>+Input!GM649</f>
        <v>0</v>
      </c>
      <c r="AM59" s="842">
        <f>+Input!GN649</f>
        <v>4.7933884297520661</v>
      </c>
      <c r="AN59" s="824">
        <f>+Input!GO649</f>
        <v>0</v>
      </c>
      <c r="AO59" s="842">
        <f>+Input!GP649</f>
        <v>5.3477780504964958</v>
      </c>
      <c r="AP59" s="824">
        <f>+Input!GQ649</f>
        <v>0</v>
      </c>
      <c r="AQ59" s="842">
        <f>+Input!GR649</f>
        <v>5.8626724581570748</v>
      </c>
      <c r="AR59" s="824">
        <f>+Input!GS649</f>
        <v>0</v>
      </c>
      <c r="AS59" s="842">
        <f>+Input!GT649</f>
        <v>6.0672092202734218</v>
      </c>
      <c r="AT59" s="824">
        <f>+Input!GU649</f>
        <v>0</v>
      </c>
      <c r="AU59" s="842">
        <f>+Input!GV649</f>
        <v>6.2840818494538455</v>
      </c>
      <c r="AV59" s="824">
        <f>+Input!GW649</f>
        <v>0</v>
      </c>
      <c r="AW59" s="842">
        <f>+Input!GX649</f>
        <v>6.4633159915644498</v>
      </c>
      <c r="AX59" s="824">
        <f>+Input!GY649</f>
        <v>0</v>
      </c>
      <c r="AY59" s="824">
        <f>+Input!GZ649</f>
        <v>0</v>
      </c>
      <c r="AZ59" s="858"/>
      <c r="BA59" s="858"/>
      <c r="BB59" s="858"/>
      <c r="BC59" s="858"/>
      <c r="BD59" s="858"/>
      <c r="BE59" s="858"/>
    </row>
    <row r="60" spans="1:57" s="772" customFormat="1" ht="12.75" customHeight="1" x14ac:dyDescent="0.2">
      <c r="A60" s="839" t="str">
        <f>Input!B650</f>
        <v>Total U.S. Businesses (%)</v>
      </c>
      <c r="B60" s="842">
        <f>+Input!DS650</f>
        <v>40.284360189573462</v>
      </c>
      <c r="C60" s="824"/>
      <c r="D60" s="842">
        <f>+Input!DU650</f>
        <v>40.544518027961736</v>
      </c>
      <c r="E60" s="824"/>
      <c r="F60" s="842">
        <f>+Input!DW650</f>
        <v>142.73743016759778</v>
      </c>
      <c r="G60" s="824"/>
      <c r="H60" s="842">
        <f>+Input!DY650</f>
        <v>43.724696356275302</v>
      </c>
      <c r="I60" s="824"/>
      <c r="J60" s="842">
        <f>+Input!EA650</f>
        <v>40.5189620758483</v>
      </c>
      <c r="K60" s="824">
        <f>+Input!EB650</f>
        <v>0.58236468239989403</v>
      </c>
      <c r="L60" s="842">
        <f>+Input!EC650</f>
        <v>70.766773162939302</v>
      </c>
      <c r="M60" s="824">
        <f>+Input!ED650</f>
        <v>74.540916022567188</v>
      </c>
      <c r="N60" s="842">
        <f>+Input!EE650</f>
        <v>40.738007380073796</v>
      </c>
      <c r="O60" s="824" t="str">
        <f>+Input!EF650</f>
        <v>NM</v>
      </c>
      <c r="P60" s="842">
        <f>+Input!EG650</f>
        <v>48.344370860927157</v>
      </c>
      <c r="Q60" s="824">
        <f>+Input!EH650</f>
        <v>10.565366691194523</v>
      </c>
      <c r="R60" s="842">
        <f>+Input!EI650</f>
        <v>37.623012869038611</v>
      </c>
      <c r="S60" s="824">
        <f>+Input!EJ650</f>
        <v>-7.147145579367753</v>
      </c>
      <c r="T60" s="842">
        <f>+Input!EK650</f>
        <v>43.978590544157001</v>
      </c>
      <c r="U60" s="824">
        <f>+Input!EL650</f>
        <v>-37.854181307805234</v>
      </c>
      <c r="V60" s="842">
        <f>+Input!EM650</f>
        <v>48.340807174887892</v>
      </c>
      <c r="W60" s="824">
        <f>+Input!EN650</f>
        <v>18.662669786183162</v>
      </c>
      <c r="X60" s="842">
        <f>+Input!EO650</f>
        <v>73.451327433628322</v>
      </c>
      <c r="Y60" s="824">
        <f>+Input!EP650</f>
        <v>51.933567705176387</v>
      </c>
      <c r="Z60" s="842">
        <f>+Input!EQ650</f>
        <v>50.28015091494985</v>
      </c>
      <c r="AA60" s="824">
        <f>+Input!ER650</f>
        <v>33.642010781989427</v>
      </c>
      <c r="AB60" s="842">
        <f>+Input!ES650</f>
        <v>49.708860765990721</v>
      </c>
      <c r="AC60" s="824">
        <f>+Input!ET650</f>
        <v>13.029681376623948</v>
      </c>
      <c r="AD60" s="842">
        <f>+Input!EU650</f>
        <v>49.255354430063178</v>
      </c>
      <c r="AE60" s="824">
        <f>+Input!EV650</f>
        <v>1.8918741920601834</v>
      </c>
      <c r="AF60" s="842">
        <f>+Input!EW650</f>
        <v>52.178986393910854</v>
      </c>
      <c r="AG60" s="824">
        <f>+Input!EX650</f>
        <v>-28.961139005880408</v>
      </c>
      <c r="AH60" s="869"/>
      <c r="AI60" s="842">
        <f>+Input!GJ650</f>
        <v>50.465877612692012</v>
      </c>
      <c r="AJ60" s="824"/>
      <c r="AK60" s="842">
        <f>+Input!GL650</f>
        <v>47.326732673267323</v>
      </c>
      <c r="AL60" s="824">
        <f>+Input!GM650</f>
        <v>-6.2203316139997185</v>
      </c>
      <c r="AM60" s="842">
        <f>+Input!GN650</f>
        <v>47.863046044864227</v>
      </c>
      <c r="AN60" s="824">
        <f>+Input!GO650</f>
        <v>1.1332144462612437</v>
      </c>
      <c r="AO60" s="842">
        <f>+Input!GP650</f>
        <v>50.362249514850191</v>
      </c>
      <c r="AP60" s="824">
        <f>+Input!GQ650</f>
        <v>5.22157212402099</v>
      </c>
      <c r="AQ60" s="842">
        <f>+Input!GR650</f>
        <v>50.217579479603316</v>
      </c>
      <c r="AR60" s="824">
        <f>+Input!GS650</f>
        <v>-0.28725888267603361</v>
      </c>
      <c r="AS60" s="842">
        <f>+Input!GT650</f>
        <v>49.447670722145972</v>
      </c>
      <c r="AT60" s="824">
        <f>+Input!GU650</f>
        <v>-1.5331458932027031</v>
      </c>
      <c r="AU60" s="842">
        <f>+Input!GV650</f>
        <v>49.151425172638525</v>
      </c>
      <c r="AV60" s="824">
        <f>+Input!GW650</f>
        <v>-0.59910921016299579</v>
      </c>
      <c r="AW60" s="842">
        <f>+Input!GX650</f>
        <v>49.37693224153746</v>
      </c>
      <c r="AX60" s="824">
        <f>+Input!GY650</f>
        <v>0.45880067181545137</v>
      </c>
      <c r="AY60" s="824">
        <f>+Input!GZ650</f>
        <v>0.62473600772610105</v>
      </c>
      <c r="AZ60" s="858"/>
      <c r="BA60" s="858"/>
      <c r="BB60" s="858"/>
      <c r="BC60" s="858"/>
      <c r="BD60" s="858"/>
      <c r="BE60" s="858"/>
    </row>
    <row r="61" spans="1:57" s="772" customFormat="1" ht="12.75" customHeight="1" x14ac:dyDescent="0.2">
      <c r="A61" s="868" t="str">
        <f>Input!B652</f>
        <v>Asia (%)</v>
      </c>
      <c r="B61" s="842">
        <f>+Input!DS652</f>
        <v>25.829383886255926</v>
      </c>
      <c r="C61" s="824"/>
      <c r="D61" s="842">
        <f>+Input!DU652</f>
        <v>31.27299484915379</v>
      </c>
      <c r="E61" s="824"/>
      <c r="F61" s="842">
        <f>+Input!DW652</f>
        <v>94.413407821229043</v>
      </c>
      <c r="G61" s="824"/>
      <c r="H61" s="842">
        <f>+Input!DY652</f>
        <v>29.352226720647774</v>
      </c>
      <c r="I61" s="824"/>
      <c r="J61" s="842">
        <f>+Input!EA652</f>
        <v>30.439121756487026</v>
      </c>
      <c r="K61" s="824">
        <f>+Input!EB652</f>
        <v>17.846875057224999</v>
      </c>
      <c r="L61" s="842">
        <f>+Input!EC652</f>
        <v>41.373801916932905</v>
      </c>
      <c r="M61" s="824">
        <f>+Input!ED652</f>
        <v>32.2988160120278</v>
      </c>
      <c r="N61" s="842">
        <f>+Input!EE652</f>
        <v>23.911439114391143</v>
      </c>
      <c r="O61" s="824" t="str">
        <f>+Input!EF652</f>
        <v>NM</v>
      </c>
      <c r="P61" s="842">
        <f>+Input!EG652</f>
        <v>33.491012298959319</v>
      </c>
      <c r="Q61" s="824">
        <f>+Input!EH652</f>
        <v>14.100414315075183</v>
      </c>
      <c r="R61" s="842">
        <f>+Input!EI652</f>
        <v>22.331566994700985</v>
      </c>
      <c r="S61" s="824">
        <f>+Input!EJ652</f>
        <v>-26.63531105347414</v>
      </c>
      <c r="T61" s="842">
        <f>+Input!EK652</f>
        <v>27.653880463871545</v>
      </c>
      <c r="U61" s="824">
        <f>+Input!EL652</f>
        <v>-33.1608912340402</v>
      </c>
      <c r="V61" s="842">
        <f>+Input!EM652</f>
        <v>28.161434977578477</v>
      </c>
      <c r="W61" s="824">
        <f>+Input!EN652</f>
        <v>17.773902452527281</v>
      </c>
      <c r="X61" s="842">
        <f>+Input!EO652</f>
        <v>45.722713864306783</v>
      </c>
      <c r="Y61" s="824">
        <f>+Input!EP652</f>
        <v>36.522340549639189</v>
      </c>
      <c r="Z61" s="842">
        <f>+Input!EQ652</f>
        <v>26.538991341560141</v>
      </c>
      <c r="AA61" s="824">
        <f>+Input!ER652</f>
        <v>18.840703600681174</v>
      </c>
      <c r="AB61" s="842">
        <f>+Input!ES652</f>
        <v>27.022254811792028</v>
      </c>
      <c r="AC61" s="824">
        <f>+Input!ET652</f>
        <v>-2.2840398580036725</v>
      </c>
      <c r="AD61" s="842">
        <f>+Input!EU652</f>
        <v>27.194601223373834</v>
      </c>
      <c r="AE61" s="824">
        <f>+Input!EV652</f>
        <v>-3.433183553943242</v>
      </c>
      <c r="AF61" s="842">
        <f>+Input!EW652</f>
        <v>27.168375917867188</v>
      </c>
      <c r="AG61" s="824">
        <f>+Input!EX652</f>
        <v>-40.580132669954985</v>
      </c>
      <c r="AH61" s="869"/>
      <c r="AI61" s="842">
        <f>+Input!GJ652</f>
        <v>34.751951649458576</v>
      </c>
      <c r="AJ61" s="824"/>
      <c r="AK61" s="842">
        <f>+Input!GL652</f>
        <v>30.742574257425741</v>
      </c>
      <c r="AL61" s="824">
        <f>+Input!GM652</f>
        <v>-11.537128712871292</v>
      </c>
      <c r="AM61" s="842">
        <f>+Input!GN652</f>
        <v>29.020070838252654</v>
      </c>
      <c r="AN61" s="824">
        <f>+Input!GO652</f>
        <v>-5.6029901879704251</v>
      </c>
      <c r="AO61" s="842">
        <f>+Input!GP652</f>
        <v>26.982541470079141</v>
      </c>
      <c r="AP61" s="824">
        <f>+Input!GQ652</f>
        <v>-7.0211040473676327</v>
      </c>
      <c r="AQ61" s="842">
        <f>+Input!GR652</f>
        <v>27.705883054633574</v>
      </c>
      <c r="AR61" s="824">
        <f>+Input!GS652</f>
        <v>2.6807763284883546</v>
      </c>
      <c r="AS61" s="842">
        <f>+Input!GT652</f>
        <v>27.996057347007014</v>
      </c>
      <c r="AT61" s="824">
        <f>+Input!GU652</f>
        <v>1.0473381837396767</v>
      </c>
      <c r="AU61" s="842">
        <f>+Input!GV652</f>
        <v>28.713183859742351</v>
      </c>
      <c r="AV61" s="824">
        <f>+Input!GW652</f>
        <v>2.5615268030303673</v>
      </c>
      <c r="AW61" s="842">
        <f>+Input!GX652</f>
        <v>29.418581124765819</v>
      </c>
      <c r="AX61" s="824">
        <f>+Input!GY652</f>
        <v>2.4567016617494497</v>
      </c>
      <c r="AY61" s="824">
        <f>+Input!GZ652</f>
        <v>0.2731483178514349</v>
      </c>
      <c r="AZ61" s="858"/>
      <c r="BA61" s="858"/>
      <c r="BB61" s="858"/>
      <c r="BC61" s="858"/>
      <c r="BD61" s="858"/>
      <c r="BE61" s="858"/>
    </row>
    <row r="62" spans="1:57" s="772" customFormat="1" ht="12.75" customHeight="1" x14ac:dyDescent="0.2">
      <c r="A62" s="868" t="str">
        <f>Input!B653</f>
        <v>Latin Americas(%)</v>
      </c>
      <c r="B62" s="842">
        <f>+Input!DS653</f>
        <v>11.769352290679306</v>
      </c>
      <c r="C62" s="824"/>
      <c r="D62" s="842">
        <f>+Input!DU653</f>
        <v>10.007358351729213</v>
      </c>
      <c r="E62" s="824"/>
      <c r="F62" s="842">
        <f>+Input!DW653</f>
        <v>51.117318435754186</v>
      </c>
      <c r="G62" s="824"/>
      <c r="H62" s="842">
        <f>+Input!DY653</f>
        <v>15.890688259109313</v>
      </c>
      <c r="I62" s="824"/>
      <c r="J62" s="842">
        <f>+Input!EA653</f>
        <v>15.069860279441119</v>
      </c>
      <c r="K62" s="824">
        <f>+Input!EB653</f>
        <v>28.043242374311774</v>
      </c>
      <c r="L62" s="842">
        <f>+Input!EC653</f>
        <v>21.884984025559106</v>
      </c>
      <c r="M62" s="824" t="str">
        <f>+Input!ED653</f>
        <v>NM</v>
      </c>
      <c r="N62" s="842">
        <f>+Input!EE653</f>
        <v>9.815498154981551</v>
      </c>
      <c r="O62" s="824" t="str">
        <f>+Input!EF653</f>
        <v>NM</v>
      </c>
      <c r="P62" s="842">
        <f>+Input!EG653</f>
        <v>11.542100283822137</v>
      </c>
      <c r="Q62" s="824">
        <f>+Input!EH653</f>
        <v>-27.365636430469607</v>
      </c>
      <c r="R62" s="842">
        <f>+Input!EI653</f>
        <v>10.825132475397426</v>
      </c>
      <c r="S62" s="824">
        <f>+Input!EJ653</f>
        <v>-28.167001719548214</v>
      </c>
      <c r="T62" s="842">
        <f>+Input!EK653</f>
        <v>13.737734165923282</v>
      </c>
      <c r="U62" s="824">
        <f>+Input!EL653</f>
        <v>-37.227579650598727</v>
      </c>
      <c r="V62" s="842">
        <f>+Input!EM653</f>
        <v>14.618834080717487</v>
      </c>
      <c r="W62" s="824">
        <f>+Input!EN653</f>
        <v>48.93624195016686</v>
      </c>
      <c r="X62" s="842">
        <f>+Input!EO653</f>
        <v>18.436578171091444</v>
      </c>
      <c r="Y62" s="824">
        <f>+Input!EP653</f>
        <v>59.733304318390637</v>
      </c>
      <c r="Z62" s="842">
        <f>+Input!EQ653</f>
        <v>12.957550267933771</v>
      </c>
      <c r="AA62" s="824">
        <f>+Input!ER653</f>
        <v>19.69876855902455</v>
      </c>
      <c r="AB62" s="842">
        <f>+Input!ES653</f>
        <v>13.375983517151106</v>
      </c>
      <c r="AC62" s="824">
        <f>+Input!ET653</f>
        <v>-2.6332628394390212</v>
      </c>
      <c r="AD62" s="842">
        <f>+Input!EU653</f>
        <v>13.957357659688336</v>
      </c>
      <c r="AE62" s="824">
        <f>+Input!EV653</f>
        <v>-4.5248233708435777</v>
      </c>
      <c r="AF62" s="842">
        <f>+Input!EW653</f>
        <v>11.38697012210706</v>
      </c>
      <c r="AG62" s="824">
        <f>+Input!EX653</f>
        <v>-38.237074057691302</v>
      </c>
      <c r="AH62" s="869"/>
      <c r="AI62" s="842">
        <f>+Input!GJ653</f>
        <v>15.739108536892472</v>
      </c>
      <c r="AJ62" s="824"/>
      <c r="AK62" s="842">
        <f>+Input!GL653</f>
        <v>13.440594059405942</v>
      </c>
      <c r="AL62" s="824">
        <f>+Input!GM653</f>
        <v>-14.603841584158417</v>
      </c>
      <c r="AM62" s="842">
        <f>+Input!GN653</f>
        <v>13.813459268004721</v>
      </c>
      <c r="AN62" s="824">
        <f>+Input!GO653</f>
        <v>2.7741720860756214</v>
      </c>
      <c r="AO62" s="842">
        <f>+Input!GP653</f>
        <v>12.914382575561016</v>
      </c>
      <c r="AP62" s="824">
        <f>+Input!GQ653</f>
        <v>-6.5087004999984437</v>
      </c>
      <c r="AQ62" s="842">
        <f>+Input!GR653</f>
        <v>13.434142349553499</v>
      </c>
      <c r="AR62" s="824">
        <f>+Input!GS653</f>
        <v>4.0246583292032012</v>
      </c>
      <c r="AS62" s="842">
        <f>+Input!GT653</f>
        <v>13.704127473486267</v>
      </c>
      <c r="AT62" s="824">
        <f>+Input!GU653</f>
        <v>2.0096937854893415</v>
      </c>
      <c r="AU62" s="842">
        <f>+Input!GV653</f>
        <v>14.108004576081093</v>
      </c>
      <c r="AV62" s="824">
        <f>+Input!GW653</f>
        <v>2.9471201532254909</v>
      </c>
      <c r="AW62" s="842">
        <f>+Input!GX653</f>
        <v>14.40038561521842</v>
      </c>
      <c r="AX62" s="824">
        <f>+Input!GY653</f>
        <v>2.072447861500093</v>
      </c>
      <c r="AY62" s="824">
        <f>+Input!GZ653</f>
        <v>0.83570384902091899</v>
      </c>
      <c r="AZ62" s="858"/>
      <c r="BA62" s="858"/>
      <c r="BB62" s="858"/>
      <c r="BC62" s="858"/>
      <c r="BD62" s="858"/>
      <c r="BE62" s="858"/>
    </row>
    <row r="63" spans="1:57" s="772" customFormat="1" ht="12.75" customHeight="1" x14ac:dyDescent="0.2">
      <c r="A63" s="868" t="str">
        <f>Input!B654</f>
        <v>EMEA (%)</v>
      </c>
      <c r="B63" s="842">
        <f>+Input!DS654</f>
        <v>5.5292259083728279</v>
      </c>
      <c r="C63" s="824"/>
      <c r="D63" s="842">
        <f>+Input!DU654</f>
        <v>3.6791758646063282</v>
      </c>
      <c r="E63" s="824"/>
      <c r="F63" s="842">
        <f>+Input!DW654</f>
        <v>18.435754189944134</v>
      </c>
      <c r="G63" s="824"/>
      <c r="H63" s="842">
        <f>+Input!DY654</f>
        <v>5.4655870445344128</v>
      </c>
      <c r="I63" s="824"/>
      <c r="J63" s="842">
        <f>+Input!EA654</f>
        <v>6.2874251497005984</v>
      </c>
      <c r="K63" s="824">
        <f>+Input!EB654</f>
        <v>13.712574850299397</v>
      </c>
      <c r="L63" s="842">
        <f>+Input!EC654</f>
        <v>10.223642172523961</v>
      </c>
      <c r="M63" s="824" t="str">
        <f>+Input!ED654</f>
        <v>NM</v>
      </c>
      <c r="N63" s="842">
        <f>+Input!EE654</f>
        <v>5.4612546125461261</v>
      </c>
      <c r="O63" s="824" t="str">
        <f>+Input!EF654</f>
        <v>NM</v>
      </c>
      <c r="P63" s="842">
        <f>+Input!EG654</f>
        <v>6.8117313150425742</v>
      </c>
      <c r="Q63" s="824">
        <f>+Input!EH654</f>
        <v>24.629454430778953</v>
      </c>
      <c r="R63" s="842">
        <f>+Input!EI654</f>
        <v>5.6775170325510977</v>
      </c>
      <c r="S63" s="824">
        <f>+Input!EJ654</f>
        <v>-9.7004433870444444</v>
      </c>
      <c r="T63" s="842">
        <f>+Input!EK654</f>
        <v>6.4228367528991974</v>
      </c>
      <c r="U63" s="824">
        <f>+Input!EL654</f>
        <v>-37.176628010704725</v>
      </c>
      <c r="V63" s="842">
        <f>+Input!EM654</f>
        <v>6.3677130044843047</v>
      </c>
      <c r="W63" s="824">
        <f>+Input!EN654</f>
        <v>16.597988122651785</v>
      </c>
      <c r="X63" s="842">
        <f>+Input!EO654</f>
        <v>11.651917404129794</v>
      </c>
      <c r="Y63" s="824">
        <f>+Input!EP654</f>
        <v>71.056620780072095</v>
      </c>
      <c r="Z63" s="842">
        <f>+Input!EQ654</f>
        <v>6.2926564211213218</v>
      </c>
      <c r="AA63" s="824">
        <f>+Input!ER654</f>
        <v>10.834655097350222</v>
      </c>
      <c r="AB63" s="842">
        <f>+Input!ES654</f>
        <v>6.3954313390277022</v>
      </c>
      <c r="AC63" s="824">
        <f>+Input!ET654</f>
        <v>-0.42668706874925411</v>
      </c>
      <c r="AD63" s="842">
        <f>+Input!EU654</f>
        <v>6.4242157008901586</v>
      </c>
      <c r="AE63" s="824">
        <f>+Input!EV654</f>
        <v>0.88733107735954331</v>
      </c>
      <c r="AF63" s="842">
        <f>+Input!EW654</f>
        <v>6.4621058210718552</v>
      </c>
      <c r="AG63" s="824">
        <f>+Input!EX654</f>
        <v>-44.540408269788379</v>
      </c>
      <c r="AH63" s="869"/>
      <c r="AI63" s="842">
        <f>+Input!GJ654</f>
        <v>6.0438176781667092</v>
      </c>
      <c r="AJ63" s="824"/>
      <c r="AK63" s="842">
        <f>+Input!GL654</f>
        <v>6.7574257425742577</v>
      </c>
      <c r="AL63" s="824">
        <f>+Input!GM654</f>
        <v>11.807240099009885</v>
      </c>
      <c r="AM63" s="842">
        <f>+Input!GN654</f>
        <v>7.0129870129870122</v>
      </c>
      <c r="AN63" s="824">
        <f>+Input!GO654</f>
        <v>3.7819323533609062</v>
      </c>
      <c r="AO63" s="842">
        <f>+Input!GP654</f>
        <v>6.3940250143691273</v>
      </c>
      <c r="AP63" s="824">
        <f>+Input!GQ654</f>
        <v>-8.8259396099216954</v>
      </c>
      <c r="AQ63" s="842">
        <f>+Input!GR654</f>
        <v>7.1918099012104069</v>
      </c>
      <c r="AR63" s="824">
        <f>+Input!GS654</f>
        <v>12.477037312935725</v>
      </c>
      <c r="AS63" s="842">
        <f>+Input!GT654</f>
        <v>7.5439756142137622</v>
      </c>
      <c r="AT63" s="824">
        <f>+Input!GU654</f>
        <v>4.8967605907392686</v>
      </c>
      <c r="AU63" s="842">
        <f>+Input!GV654</f>
        <v>7.9861067429105468</v>
      </c>
      <c r="AV63" s="824">
        <f>+Input!GW654</f>
        <v>5.8607178934109605</v>
      </c>
      <c r="AW63" s="842">
        <f>+Input!GX654</f>
        <v>8.0533137281426921</v>
      </c>
      <c r="AX63" s="824">
        <f>+Input!GY654</f>
        <v>0.84154879712579067</v>
      </c>
      <c r="AY63" s="824">
        <f>+Input!GZ654</f>
        <v>2.805018759018596</v>
      </c>
      <c r="AZ63" s="858"/>
      <c r="BA63" s="858"/>
      <c r="BB63" s="858"/>
      <c r="BC63" s="858"/>
      <c r="BD63" s="858"/>
      <c r="BE63" s="858"/>
    </row>
    <row r="64" spans="1:57" s="772" customFormat="1" ht="12.75" customHeight="1" x14ac:dyDescent="0.2">
      <c r="A64" s="839" t="str">
        <f>Input!B655</f>
        <v>Total International Businesses(%)</v>
      </c>
      <c r="B64" s="842">
        <f>+Input!DS655</f>
        <v>43.127962085308056</v>
      </c>
      <c r="C64" s="824"/>
      <c r="D64" s="842">
        <f>+Input!DU655</f>
        <v>44.959529065489328</v>
      </c>
      <c r="E64" s="824"/>
      <c r="F64" s="842">
        <f>+Input!DW655</f>
        <v>163.96648044692736</v>
      </c>
      <c r="G64" s="824"/>
      <c r="H64" s="842">
        <f>+Input!DY655</f>
        <v>50.708502024291505</v>
      </c>
      <c r="I64" s="824"/>
      <c r="J64" s="842">
        <f>+Input!EA655</f>
        <v>51.796407185628745</v>
      </c>
      <c r="K64" s="824">
        <f>+Input!EB655</f>
        <v>20.099361716128183</v>
      </c>
      <c r="L64" s="842">
        <f>+Input!EC655</f>
        <v>73.482428115015978</v>
      </c>
      <c r="M64" s="824">
        <f>+Input!ED655</f>
        <v>63.441276282007728</v>
      </c>
      <c r="N64" s="842">
        <f>+Input!EE655</f>
        <v>39.188191881918819</v>
      </c>
      <c r="O64" s="824" t="str">
        <f>+Input!EF655</f>
        <v>NM</v>
      </c>
      <c r="P64" s="842">
        <f>+Input!EG655</f>
        <v>51.844843897824035</v>
      </c>
      <c r="Q64" s="824">
        <f>+Input!EH655</f>
        <v>2.2409296827348157</v>
      </c>
      <c r="R64" s="842">
        <f>+Input!EI655</f>
        <v>38.834216502649511</v>
      </c>
      <c r="S64" s="824">
        <f>+Input!EJ655</f>
        <v>-25.025269873497479</v>
      </c>
      <c r="T64" s="842">
        <f>+Input!EK655</f>
        <v>47.814451382694024</v>
      </c>
      <c r="U64" s="824">
        <f>+Input!EL655</f>
        <v>-34.930768335725091</v>
      </c>
      <c r="V64" s="842">
        <f>+Input!EM655</f>
        <v>49.147982062780272</v>
      </c>
      <c r="W64" s="824">
        <f>+Input!EN655</f>
        <v>25.415283794853604</v>
      </c>
      <c r="X64" s="842">
        <f>+Input!EO655</f>
        <v>75.811209439528028</v>
      </c>
      <c r="Y64" s="824">
        <f>+Input!EP655</f>
        <v>46.2270955795276</v>
      </c>
      <c r="Z64" s="842">
        <f>+Input!EQ655</f>
        <v>45.789198030615239</v>
      </c>
      <c r="AA64" s="824">
        <f>+Input!ER655</f>
        <v>17.909416371233377</v>
      </c>
      <c r="AB64" s="842">
        <f>+Input!ES655</f>
        <v>46.793669667970839</v>
      </c>
      <c r="AC64" s="824">
        <f>+Input!ET655</f>
        <v>-2.1348811608296492</v>
      </c>
      <c r="AD64" s="842">
        <f>+Input!EU655</f>
        <v>47.576174583952323</v>
      </c>
      <c r="AE64" s="824">
        <f>+Input!EV655</f>
        <v>-3.1981119322867957</v>
      </c>
      <c r="AF64" s="842">
        <f>+Input!EW655</f>
        <v>45.017451861046112</v>
      </c>
      <c r="AG64" s="824">
        <f>+Input!EX655</f>
        <v>-40.619003187180425</v>
      </c>
      <c r="AH64" s="869"/>
      <c r="AI64" s="842">
        <f>+Input!GJ655</f>
        <v>56.534877864517753</v>
      </c>
      <c r="AJ64" s="824"/>
      <c r="AK64" s="842">
        <f>+Input!GL655</f>
        <v>50.940594059405939</v>
      </c>
      <c r="AL64" s="824">
        <f>+Input!GM655</f>
        <v>-9.8952788374605856</v>
      </c>
      <c r="AM64" s="842">
        <f>+Input!GN655</f>
        <v>49.846517119244396</v>
      </c>
      <c r="AN64" s="824">
        <f>+Input!GO655</f>
        <v>-2.1477506502685317</v>
      </c>
      <c r="AO64" s="842">
        <f>+Input!GP655</f>
        <v>46.290949060009289</v>
      </c>
      <c r="AP64" s="824">
        <f>+Input!GQ655</f>
        <v>-7.133032084727942</v>
      </c>
      <c r="AQ64" s="842">
        <f>+Input!GR655</f>
        <v>48.331835305397476</v>
      </c>
      <c r="AR64" s="824">
        <f>+Input!GS655</f>
        <v>4.4088235104933426</v>
      </c>
      <c r="AS64" s="842">
        <f>+Input!GT655</f>
        <v>49.244160434707048</v>
      </c>
      <c r="AT64" s="824">
        <f>+Input!GU655</f>
        <v>1.8876277375870387</v>
      </c>
      <c r="AU64" s="842">
        <f>+Input!GV655</f>
        <v>50.807295178733995</v>
      </c>
      <c r="AV64" s="824">
        <f>+Input!GW655</f>
        <v>3.1742540236816774</v>
      </c>
      <c r="AW64" s="842">
        <f>+Input!GX655</f>
        <v>51.872280468126931</v>
      </c>
      <c r="AX64" s="824">
        <f>+Input!GY655</f>
        <v>2.0961267189021582</v>
      </c>
      <c r="AY64" s="824">
        <f>+Input!GZ655</f>
        <v>0.79990076183782399</v>
      </c>
      <c r="AZ64" s="858"/>
      <c r="BA64" s="858"/>
      <c r="BB64" s="858"/>
      <c r="BC64" s="858"/>
      <c r="BD64" s="858"/>
      <c r="BE64" s="858"/>
    </row>
    <row r="65" spans="1:57" s="772" customFormat="1" ht="12.75" customHeight="1" x14ac:dyDescent="0.2">
      <c r="A65" s="868" t="str">
        <f>Input!B656</f>
        <v>MetLife Holdings (%)</v>
      </c>
      <c r="B65" s="842">
        <f>+Input!DS656</f>
        <v>28.515007898894158</v>
      </c>
      <c r="C65" s="824"/>
      <c r="D65" s="842">
        <f>+Input!DU656</f>
        <v>27.446651949963208</v>
      </c>
      <c r="E65" s="824"/>
      <c r="F65" s="842">
        <f>+Input!DW656</f>
        <v>67.877094972067042</v>
      </c>
      <c r="G65" s="824"/>
      <c r="H65" s="842">
        <f>+Input!DY656</f>
        <v>26.821862348178136</v>
      </c>
      <c r="I65" s="824"/>
      <c r="J65" s="842">
        <f>+Input!EA656</f>
        <v>26.646706586826348</v>
      </c>
      <c r="K65" s="824">
        <f>+Input!EB656</f>
        <v>-6.5519929669746517</v>
      </c>
      <c r="L65" s="842">
        <f>+Input!EC656</f>
        <v>-5.2715654952076676</v>
      </c>
      <c r="M65" s="824" t="str">
        <f>+Input!ED656</f>
        <v>NM</v>
      </c>
      <c r="N65" s="842">
        <f>+Input!EE656</f>
        <v>19.630996309963102</v>
      </c>
      <c r="O65" s="824" t="str">
        <f>+Input!EF656</f>
        <v>NM</v>
      </c>
      <c r="P65" s="842">
        <f>+Input!EG656</f>
        <v>19.01608325449385</v>
      </c>
      <c r="Q65" s="824">
        <f>+Input!EH656</f>
        <v>-29.102300922868206</v>
      </c>
      <c r="R65" s="842">
        <f>+Input!EI656</f>
        <v>29.295987887963665</v>
      </c>
      <c r="S65" s="824">
        <f>+Input!EJ656</f>
        <v>9.9422466806726284</v>
      </c>
      <c r="T65" s="842">
        <f>+Input!EK656</f>
        <v>21.141837644959857</v>
      </c>
      <c r="U65" s="824" t="str">
        <f>+Input!EL656</f>
        <v>NM</v>
      </c>
      <c r="V65" s="842">
        <f>+Input!EM656</f>
        <v>32.645739910313907</v>
      </c>
      <c r="W65" s="824">
        <f>+Input!EN656</f>
        <v>66.296908189756905</v>
      </c>
      <c r="X65" s="842">
        <f>+Input!EO656</f>
        <v>28.613569321533923</v>
      </c>
      <c r="Y65" s="824">
        <f>+Input!EP656</f>
        <v>50.470362054036613</v>
      </c>
      <c r="Z65" s="842">
        <f>+Input!EQ656</f>
        <v>20.431382042061902</v>
      </c>
      <c r="AA65" s="824">
        <f>+Input!ER656</f>
        <v>-30.258770859008344</v>
      </c>
      <c r="AB65" s="842">
        <f>+Input!ES656</f>
        <v>20.093489234700748</v>
      </c>
      <c r="AC65" s="824">
        <f>+Input!ET656</f>
        <v>-4.9586437464154471</v>
      </c>
      <c r="AD65" s="842">
        <f>+Input!EU656</f>
        <v>19.666372337616423</v>
      </c>
      <c r="AE65" s="824">
        <f>+Input!EV656</f>
        <v>-39.758227592191467</v>
      </c>
      <c r="AF65" s="842">
        <f>+Input!EW656</f>
        <v>19.227098468096209</v>
      </c>
      <c r="AG65" s="824">
        <f>+Input!EX656</f>
        <v>-32.804264116653457</v>
      </c>
      <c r="AH65" s="869"/>
      <c r="AI65" s="842">
        <f>+Input!GJ656</f>
        <v>31.27675648451272</v>
      </c>
      <c r="AJ65" s="824"/>
      <c r="AK65" s="842">
        <f>+Input!GL656</f>
        <v>17.35148514851485</v>
      </c>
      <c r="AL65" s="824">
        <f>+Input!GM656</f>
        <v>-44.522747564611542</v>
      </c>
      <c r="AM65" s="842">
        <f>+Input!GN656</f>
        <v>27.910271546635183</v>
      </c>
      <c r="AN65" s="824">
        <f>+Input!GO656</f>
        <v>60.852349569766261</v>
      </c>
      <c r="AO65" s="842">
        <f>+Input!GP656</f>
        <v>19.850909602494056</v>
      </c>
      <c r="AP65" s="824">
        <f>+Input!GQ656</f>
        <v>-28.875971094278906</v>
      </c>
      <c r="AQ65" s="842">
        <f>+Input!GR656</f>
        <v>17.364648725004255</v>
      </c>
      <c r="AR65" s="824">
        <f>+Input!GS656</f>
        <v>-12.524669787310039</v>
      </c>
      <c r="AS65" s="842">
        <f>+Input!GT656</f>
        <v>15.058187166368221</v>
      </c>
      <c r="AT65" s="824">
        <f>+Input!GU656</f>
        <v>-13.282512045952544</v>
      </c>
      <c r="AU65" s="842">
        <f>+Input!GV656</f>
        <v>13.150472971125222</v>
      </c>
      <c r="AV65" s="824">
        <f>+Input!GW656</f>
        <v>-12.668949948396124</v>
      </c>
      <c r="AW65" s="842">
        <f>+Input!GX656</f>
        <v>11.362527593301955</v>
      </c>
      <c r="AX65" s="824">
        <f>+Input!GY656</f>
        <v>-13.596053782621331</v>
      </c>
      <c r="AY65" s="824">
        <f>+Input!GZ656</f>
        <v>-16.450822699105171</v>
      </c>
      <c r="AZ65" s="858"/>
      <c r="BA65" s="858"/>
      <c r="BB65" s="858"/>
      <c r="BC65" s="858"/>
      <c r="BD65" s="858"/>
      <c r="BE65" s="858"/>
    </row>
    <row r="66" spans="1:57" s="772" customFormat="1" ht="12.75" customHeight="1" x14ac:dyDescent="0.2">
      <c r="A66" s="868" t="str">
        <f>Input!B657</f>
        <v>Brighthouse Financial (%)</v>
      </c>
      <c r="B66" s="842">
        <f>+Input!DS657</f>
        <v>0</v>
      </c>
      <c r="C66" s="824"/>
      <c r="D66" s="842">
        <f>+Input!DU657</f>
        <v>0</v>
      </c>
      <c r="E66" s="824"/>
      <c r="F66" s="842">
        <f>+Input!DW657</f>
        <v>0</v>
      </c>
      <c r="G66" s="824"/>
      <c r="H66" s="842">
        <f>+Input!DY657</f>
        <v>0</v>
      </c>
      <c r="I66" s="824"/>
      <c r="J66" s="842">
        <f>+Input!EA657</f>
        <v>0</v>
      </c>
      <c r="K66" s="824" t="str">
        <f>+Input!EB657</f>
        <v>NA</v>
      </c>
      <c r="L66" s="842">
        <f>+Input!EC657</f>
        <v>0</v>
      </c>
      <c r="M66" s="824" t="str">
        <f>+Input!ED657</f>
        <v>NA</v>
      </c>
      <c r="N66" s="842">
        <f>+Input!EE657</f>
        <v>0</v>
      </c>
      <c r="O66" s="824" t="str">
        <f>+Input!EF657</f>
        <v>NA</v>
      </c>
      <c r="P66" s="842">
        <f>+Input!EG657</f>
        <v>0</v>
      </c>
      <c r="Q66" s="824" t="str">
        <f>+Input!EH657</f>
        <v>NA</v>
      </c>
      <c r="R66" s="842">
        <f>+Input!EI657</f>
        <v>0</v>
      </c>
      <c r="S66" s="824" t="str">
        <f>+Input!EJ657</f>
        <v>NA</v>
      </c>
      <c r="T66" s="842">
        <f>+Input!EK657</f>
        <v>0</v>
      </c>
      <c r="U66" s="824" t="str">
        <f>+Input!EL657</f>
        <v>NA</v>
      </c>
      <c r="V66" s="842">
        <f>+Input!EM657</f>
        <v>0</v>
      </c>
      <c r="W66" s="824" t="str">
        <f>+Input!EN657</f>
        <v>NA</v>
      </c>
      <c r="X66" s="842">
        <f>+Input!EO657</f>
        <v>0</v>
      </c>
      <c r="Y66" s="824" t="str">
        <f>+Input!EP657</f>
        <v>NA</v>
      </c>
      <c r="Z66" s="842">
        <f>+Input!EQ657</f>
        <v>0</v>
      </c>
      <c r="AA66" s="824" t="str">
        <f>+Input!ER657</f>
        <v>NA</v>
      </c>
      <c r="AB66" s="842">
        <f>+Input!ES657</f>
        <v>0</v>
      </c>
      <c r="AC66" s="824" t="str">
        <f>+Input!ET657</f>
        <v>NA</v>
      </c>
      <c r="AD66" s="842">
        <f>+Input!EU657</f>
        <v>0</v>
      </c>
      <c r="AE66" s="824" t="str">
        <f>+Input!EV657</f>
        <v>NA</v>
      </c>
      <c r="AF66" s="842">
        <f>+Input!EW657</f>
        <v>0</v>
      </c>
      <c r="AG66" s="824" t="str">
        <f>+Input!EX657</f>
        <v>NA</v>
      </c>
      <c r="AH66" s="869"/>
      <c r="AI66" s="842">
        <f>+Input!GJ657</f>
        <v>0</v>
      </c>
      <c r="AJ66" s="824"/>
      <c r="AK66" s="842">
        <f>+Input!GL657</f>
        <v>0</v>
      </c>
      <c r="AL66" s="824" t="str">
        <f>+Input!GM657</f>
        <v>NA</v>
      </c>
      <c r="AM66" s="842">
        <f>+Input!GN657</f>
        <v>0</v>
      </c>
      <c r="AN66" s="824" t="str">
        <f>+Input!GO657</f>
        <v>NA</v>
      </c>
      <c r="AO66" s="842">
        <f>+Input!GP657</f>
        <v>0</v>
      </c>
      <c r="AP66" s="824" t="str">
        <f>+Input!GQ657</f>
        <v>NA</v>
      </c>
      <c r="AQ66" s="842">
        <f>+Input!GR657</f>
        <v>0</v>
      </c>
      <c r="AR66" s="824" t="str">
        <f>+Input!GS657</f>
        <v>NA</v>
      </c>
      <c r="AS66" s="842">
        <f>+Input!GT657</f>
        <v>0</v>
      </c>
      <c r="AT66" s="824" t="str">
        <f>+Input!GU657</f>
        <v>NA</v>
      </c>
      <c r="AU66" s="842">
        <f>+Input!GV657</f>
        <v>0</v>
      </c>
      <c r="AV66" s="824" t="str">
        <f>+Input!GW657</f>
        <v>NA</v>
      </c>
      <c r="AW66" s="842">
        <f>+Input!GX657</f>
        <v>0</v>
      </c>
      <c r="AX66" s="824" t="str">
        <f>+Input!GY657</f>
        <v>NA</v>
      </c>
      <c r="AY66" s="824" t="str">
        <f>+Input!GZ657</f>
        <v>NA</v>
      </c>
      <c r="AZ66" s="858"/>
      <c r="BA66" s="858"/>
      <c r="BB66" s="858"/>
      <c r="BC66" s="858"/>
      <c r="BD66" s="858"/>
      <c r="BE66" s="858"/>
    </row>
    <row r="67" spans="1:57" s="772" customFormat="1" ht="12.75" customHeight="1" x14ac:dyDescent="0.2">
      <c r="A67" s="868" t="str">
        <f>Input!B658</f>
        <v>Corporate &amp; Other (%)</v>
      </c>
      <c r="B67" s="842">
        <f>+Input!DS658</f>
        <v>-11.927330173775671</v>
      </c>
      <c r="C67" s="824"/>
      <c r="D67" s="842">
        <f>+Input!DU658</f>
        <v>-12.950699043414277</v>
      </c>
      <c r="E67" s="824"/>
      <c r="F67" s="842">
        <f>+Input!DW658</f>
        <v>-274.5810055865922</v>
      </c>
      <c r="G67" s="824"/>
      <c r="H67" s="842">
        <f>+Input!DY658</f>
        <v>-21.25506072874494</v>
      </c>
      <c r="I67" s="824"/>
      <c r="J67" s="842">
        <f>+Input!EA658</f>
        <v>-18.962075848303392</v>
      </c>
      <c r="K67" s="824">
        <f>+Input!EB658</f>
        <v>58.980053138755608</v>
      </c>
      <c r="L67" s="842">
        <f>+Input!EC658</f>
        <v>-38.977635782747605</v>
      </c>
      <c r="M67" s="824" t="str">
        <f>+Input!ED658</f>
        <v>NM</v>
      </c>
      <c r="N67" s="842">
        <f>+Input!EE658</f>
        <v>0.44280442804428044</v>
      </c>
      <c r="O67" s="824" t="str">
        <f>+Input!EF658</f>
        <v>NM</v>
      </c>
      <c r="P67" s="842">
        <f>+Input!EG658</f>
        <v>-19.205298013245034</v>
      </c>
      <c r="Q67" s="824">
        <f>+Input!EH658</f>
        <v>-9.6436455376852752</v>
      </c>
      <c r="R67" s="842">
        <f>+Input!EI658</f>
        <v>-5.7532172596517794</v>
      </c>
      <c r="S67" s="824" t="str">
        <f>+Input!EJ658</f>
        <v>NM</v>
      </c>
      <c r="T67" s="842">
        <f>+Input!EK658</f>
        <v>-12.934879571810884</v>
      </c>
      <c r="U67" s="824" t="str">
        <f>+Input!EL658</f>
        <v>NM</v>
      </c>
      <c r="V67" s="842">
        <f>+Input!EM658</f>
        <v>-30.134529147982065</v>
      </c>
      <c r="W67" s="824" t="str">
        <f>+Input!EN658</f>
        <v>NM</v>
      </c>
      <c r="X67" s="842">
        <f>+Input!EO658</f>
        <v>-77.876106194690266</v>
      </c>
      <c r="Y67" s="824" t="str">
        <f>+Input!EP658</f>
        <v>NM</v>
      </c>
      <c r="Z67" s="842">
        <f>+Input!EQ658</f>
        <v>-16.500730987626998</v>
      </c>
      <c r="AA67" s="824" t="str">
        <f>+Input!ER658</f>
        <v>NM</v>
      </c>
      <c r="AB67" s="842">
        <f>+Input!ES658</f>
        <v>-16.596019668662308</v>
      </c>
      <c r="AC67" s="824">
        <f>+Input!ET658</f>
        <v>28.304400334968594</v>
      </c>
      <c r="AD67" s="842">
        <f>+Input!EU658</f>
        <v>-16.497901351631931</v>
      </c>
      <c r="AE67" s="824">
        <f>+Input!EV658</f>
        <v>-45.252499978959513</v>
      </c>
      <c r="AF67" s="842">
        <f>+Input!EW658</f>
        <v>-16.423536723053161</v>
      </c>
      <c r="AG67" s="824" t="str">
        <f>+Input!EX658</f>
        <v>NM</v>
      </c>
      <c r="AH67" s="869"/>
      <c r="AI67" s="842">
        <f>+Input!GJ658</f>
        <v>-38.277511961722489</v>
      </c>
      <c r="AJ67" s="824"/>
      <c r="AK67" s="842">
        <f>+Input!GL658</f>
        <v>-15.618811881188119</v>
      </c>
      <c r="AL67" s="824" t="str">
        <f>+Input!GM658</f>
        <v>NM</v>
      </c>
      <c r="AM67" s="842">
        <f>+Input!GN658</f>
        <v>-25.619834710743799</v>
      </c>
      <c r="AN67" s="824">
        <f>+Input!GO658</f>
        <v>64.0319052795641</v>
      </c>
      <c r="AO67" s="842">
        <f>+Input!GP658</f>
        <v>-16.504108177353547</v>
      </c>
      <c r="AP67" s="824">
        <f>+Input!GQ658</f>
        <v>-35.580739049684531</v>
      </c>
      <c r="AQ67" s="842">
        <f>+Input!GR658</f>
        <v>-15.91406351000505</v>
      </c>
      <c r="AR67" s="824">
        <f>+Input!GS658</f>
        <v>-3.5751381474713018</v>
      </c>
      <c r="AS67" s="842">
        <f>+Input!GT658</f>
        <v>-13.750018323221253</v>
      </c>
      <c r="AT67" s="824">
        <f>+Input!GU658</f>
        <v>-13.598319407380011</v>
      </c>
      <c r="AU67" s="842">
        <f>+Input!GV658</f>
        <v>-13.10919332249774</v>
      </c>
      <c r="AV67" s="824">
        <f>+Input!GW658</f>
        <v>-4.6605392491825048</v>
      </c>
      <c r="AW67" s="842">
        <f>+Input!GX658</f>
        <v>-12.611740302966339</v>
      </c>
      <c r="AX67" s="824">
        <f>+Input!GY658</f>
        <v>-3.7946882565053186</v>
      </c>
      <c r="AY67" s="824" t="str">
        <f>+Input!GZ658</f>
        <v>NA</v>
      </c>
      <c r="AZ67" s="858"/>
      <c r="BA67" s="858"/>
      <c r="BB67" s="858"/>
      <c r="BC67" s="858"/>
      <c r="BD67" s="858"/>
      <c r="BE67" s="858"/>
    </row>
    <row r="68" spans="1:57" s="772" customFormat="1" ht="12.75" customHeight="1" x14ac:dyDescent="0.2">
      <c r="A68" s="839" t="str">
        <f>Input!B659</f>
        <v>Total (%)</v>
      </c>
      <c r="B68" s="842">
        <f>+Input!DS659</f>
        <v>100</v>
      </c>
      <c r="C68" s="824"/>
      <c r="D68" s="842">
        <f>+Input!DU659</f>
        <v>100</v>
      </c>
      <c r="E68" s="824"/>
      <c r="F68" s="842">
        <f>+Input!DW659</f>
        <v>100.00000000000001</v>
      </c>
      <c r="G68" s="824"/>
      <c r="H68" s="842">
        <f>+Input!DY659</f>
        <v>100</v>
      </c>
      <c r="I68" s="824"/>
      <c r="J68" s="842">
        <f>+Input!EA659</f>
        <v>100</v>
      </c>
      <c r="K68" s="824">
        <f>+Input!EB659</f>
        <v>0</v>
      </c>
      <c r="L68" s="842">
        <f>+Input!EC659</f>
        <v>100.00000000000001</v>
      </c>
      <c r="M68" s="824">
        <f>+Input!ED659</f>
        <v>2.2204460492503131E-14</v>
      </c>
      <c r="N68" s="842">
        <f>+Input!EE659</f>
        <v>100</v>
      </c>
      <c r="O68" s="824">
        <f>+Input!EF659</f>
        <v>-1.1102230246251565E-14</v>
      </c>
      <c r="P68" s="842">
        <f>+Input!EG659</f>
        <v>100</v>
      </c>
      <c r="Q68" s="824">
        <f>+Input!EH659</f>
        <v>0</v>
      </c>
      <c r="R68" s="842">
        <f>+Input!EI659</f>
        <v>100.00000000000001</v>
      </c>
      <c r="S68" s="824">
        <f>+Input!EJ659</f>
        <v>2.2204460492503131E-14</v>
      </c>
      <c r="T68" s="842">
        <f>+Input!EK659</f>
        <v>100</v>
      </c>
      <c r="U68" s="824">
        <f>+Input!EL659</f>
        <v>-1.1102230246251565E-14</v>
      </c>
      <c r="V68" s="842">
        <f>+Input!EM659</f>
        <v>100</v>
      </c>
      <c r="W68" s="824">
        <f>+Input!EN659</f>
        <v>0</v>
      </c>
      <c r="X68" s="842">
        <f>+Input!EO659</f>
        <v>100.00000000000003</v>
      </c>
      <c r="Y68" s="824">
        <f>+Input!EP659</f>
        <v>2.2204460492503131E-14</v>
      </c>
      <c r="Z68" s="842">
        <f>+Input!EQ659</f>
        <v>99.999999999999986</v>
      </c>
      <c r="AA68" s="824">
        <f>+Input!ER659</f>
        <v>-3.3306690738754696E-14</v>
      </c>
      <c r="AB68" s="842">
        <f>+Input!ES659</f>
        <v>100</v>
      </c>
      <c r="AC68" s="824">
        <f>+Input!ET659</f>
        <v>0</v>
      </c>
      <c r="AD68" s="842">
        <f>+Input!EU659</f>
        <v>100</v>
      </c>
      <c r="AE68" s="824">
        <f>+Input!EV659</f>
        <v>0</v>
      </c>
      <c r="AF68" s="842">
        <f>+Input!EW659</f>
        <v>100.00000000000003</v>
      </c>
      <c r="AG68" s="824">
        <f>+Input!EX659</f>
        <v>0</v>
      </c>
      <c r="AH68" s="869"/>
      <c r="AI68" s="842">
        <f>+Input!GJ659</f>
        <v>99.999999999999986</v>
      </c>
      <c r="AJ68" s="824"/>
      <c r="AK68" s="842">
        <f>+Input!GL659</f>
        <v>100</v>
      </c>
      <c r="AL68" s="824">
        <f>+Input!GM659</f>
        <v>2.2204460492503131E-14</v>
      </c>
      <c r="AM68" s="842">
        <f>+Input!GN659</f>
        <v>100.00000000000001</v>
      </c>
      <c r="AN68" s="824">
        <f>+Input!GO659</f>
        <v>2.2204460492503131E-14</v>
      </c>
      <c r="AO68" s="842">
        <f>+Input!GP659</f>
        <v>100</v>
      </c>
      <c r="AP68" s="824">
        <f>+Input!GQ659</f>
        <v>-1.1102230246251565E-14</v>
      </c>
      <c r="AQ68" s="842">
        <f>+Input!GR659</f>
        <v>100</v>
      </c>
      <c r="AR68" s="824">
        <f>+Input!GS659</f>
        <v>0</v>
      </c>
      <c r="AS68" s="842">
        <f>+Input!GT659</f>
        <v>100</v>
      </c>
      <c r="AT68" s="824">
        <f>+Input!GU659</f>
        <v>0</v>
      </c>
      <c r="AU68" s="842">
        <f>+Input!GV659</f>
        <v>100</v>
      </c>
      <c r="AV68" s="824">
        <f>+Input!GW659</f>
        <v>0</v>
      </c>
      <c r="AW68" s="842">
        <f>+Input!GX659</f>
        <v>100</v>
      </c>
      <c r="AX68" s="824">
        <f>+Input!GY659</f>
        <v>0</v>
      </c>
      <c r="AY68" s="824" t="str">
        <f>+Input!GZ659</f>
        <v>NA</v>
      </c>
      <c r="AZ68" s="858"/>
      <c r="BA68" s="858"/>
      <c r="BB68" s="858"/>
      <c r="BC68" s="858"/>
      <c r="BD68" s="858"/>
      <c r="BE68" s="858"/>
    </row>
    <row r="69" spans="1:57" s="801" customFormat="1" ht="12.75" hidden="1" customHeight="1" outlineLevel="1" x14ac:dyDescent="0.2">
      <c r="A69" s="870" t="s">
        <v>254</v>
      </c>
      <c r="B69" s="813">
        <f>(+B57+B58+B59+B62+B61+B63+B66+B65+B67)-B68</f>
        <v>0</v>
      </c>
      <c r="C69" s="844"/>
      <c r="D69" s="813">
        <f>(+D57+D58+D59+D62+D61+D63+D66+D65+D67)-D68</f>
        <v>0</v>
      </c>
      <c r="E69" s="844"/>
      <c r="F69" s="813">
        <f>(+F57+F58+F59+F62+F61+F63+F66+F65+F67)-F68</f>
        <v>0</v>
      </c>
      <c r="G69" s="844"/>
      <c r="H69" s="813">
        <f>(+H57+H58+H59+H62+H61+H63+H66+H65+H67)-H68</f>
        <v>0</v>
      </c>
      <c r="I69" s="844"/>
      <c r="J69" s="813">
        <f>(+J57+J58+J59+J62+J61+J63+J66+J65+J67)-J68</f>
        <v>0</v>
      </c>
      <c r="K69" s="844"/>
      <c r="L69" s="813">
        <f>(+L57+L58+L59+L62+L61+L63+L66+L65+L67)-L68</f>
        <v>0</v>
      </c>
      <c r="M69" s="844"/>
      <c r="N69" s="813">
        <f>(+N57+N58+N59+N62+N61+N63+N66+N65+N67)-N68</f>
        <v>0</v>
      </c>
      <c r="O69" s="844"/>
      <c r="P69" s="813">
        <f>(+P57+P58+P59+P62+P61+P63+P66+P65+P67)-P68</f>
        <v>0</v>
      </c>
      <c r="Q69" s="844"/>
      <c r="R69" s="813">
        <f>(+R57+R58+R59+R62+R61+R63+R66+R65+R67)-R68</f>
        <v>0</v>
      </c>
      <c r="S69" s="844"/>
      <c r="T69" s="813">
        <f>(+T57+T58+T59+T62+T61+T63+T66+T65+T67)-T68</f>
        <v>0</v>
      </c>
      <c r="U69" s="844"/>
      <c r="V69" s="813">
        <f>(+V57+V58+V59+V62+V61+V63+V66+V65+V67)-V68</f>
        <v>0</v>
      </c>
      <c r="W69" s="844"/>
      <c r="X69" s="813">
        <f>(+X57+X58+X59+X62+X61+X63+X66+X65+X67)-X68</f>
        <v>0</v>
      </c>
      <c r="Y69" s="844"/>
      <c r="Z69" s="813">
        <f>(+Z57+Z58+Z59+Z62+Z61+Z63+Z66+Z65+Z67)-Z68</f>
        <v>0</v>
      </c>
      <c r="AA69" s="844"/>
      <c r="AB69" s="813">
        <f>(+AB57+AB58+AB59+AB62+AB61+AB63+AB66+AB65+AB67)-AB68</f>
        <v>0</v>
      </c>
      <c r="AC69" s="844"/>
      <c r="AD69" s="813">
        <f>(+AD57+AD58+AD59+AD62+AD61+AD63+AD66+AD65+AD67)-AD68</f>
        <v>0</v>
      </c>
      <c r="AE69" s="844"/>
      <c r="AF69" s="813">
        <f>(+AF57+AF58+AF59+AF62+AF61+AF63+AF66+AF65+AF67)-AF68</f>
        <v>0</v>
      </c>
      <c r="AG69" s="844"/>
      <c r="AH69" s="871"/>
      <c r="AI69" s="813">
        <f>(+AI57+AI58+AI59+AI62+AI61+AI63+AI66+AI65+AI67)-AI68</f>
        <v>0</v>
      </c>
      <c r="AJ69" s="844"/>
      <c r="AK69" s="813">
        <f>(+AK57+AK58+AK59+AK62+AK61+AK63+AK66+AK65+AK67)-AK68</f>
        <v>0</v>
      </c>
      <c r="AL69" s="844"/>
      <c r="AM69" s="813">
        <f>(+AM57+AM58+AM59+AM62+AM61+AM63+AM66+AM65+AM67)-AM68</f>
        <v>0</v>
      </c>
      <c r="AN69" s="844"/>
      <c r="AO69" s="813">
        <f>(+AO57+AO58+AO59+AO62+AO61+AO63+AO66+AO65+AO67)-AO68</f>
        <v>0</v>
      </c>
      <c r="AP69" s="844"/>
      <c r="AQ69" s="813">
        <f>(+AQ57+AQ58+AQ59+AQ62+AQ61+AQ63+AQ66+AQ65+AQ67)-AQ68</f>
        <v>0</v>
      </c>
      <c r="AR69" s="844"/>
      <c r="AS69" s="813">
        <f>(+AS57+AS58+AS59+AS62+AS61+AS63+AS66+AS65+AS67)-AS68</f>
        <v>0</v>
      </c>
      <c r="AT69" s="844"/>
      <c r="AU69" s="813">
        <f>(+AU57+AU58+AU59+AU62+AU61+AU63+AU66+AU65+AU67)-AU68</f>
        <v>0</v>
      </c>
      <c r="AV69" s="844"/>
      <c r="AW69" s="813">
        <f>(+AW57+AW58+AW59+AW62+AW61+AW63+AW66+AW65+AW67)-AW68</f>
        <v>0</v>
      </c>
      <c r="AX69" s="844"/>
      <c r="AY69" s="844"/>
      <c r="AZ69" s="858"/>
      <c r="BA69" s="858"/>
      <c r="BB69" s="858"/>
      <c r="BC69" s="858"/>
      <c r="BD69" s="858"/>
      <c r="BE69" s="858"/>
    </row>
    <row r="70" spans="1:57" s="772" customFormat="1" ht="4.5" customHeight="1" collapsed="1" x14ac:dyDescent="0.2">
      <c r="A70" s="822"/>
      <c r="B70" s="850"/>
      <c r="C70" s="824"/>
      <c r="D70" s="850"/>
      <c r="E70" s="824"/>
      <c r="F70" s="850"/>
      <c r="G70" s="824"/>
      <c r="H70" s="850"/>
      <c r="I70" s="824"/>
      <c r="J70" s="850"/>
      <c r="K70" s="824"/>
      <c r="L70" s="850"/>
      <c r="M70" s="824"/>
      <c r="N70" s="850"/>
      <c r="O70" s="824"/>
      <c r="P70" s="850"/>
      <c r="Q70" s="824"/>
      <c r="R70" s="850"/>
      <c r="S70" s="824"/>
      <c r="T70" s="850"/>
      <c r="U70" s="824"/>
      <c r="V70" s="850"/>
      <c r="W70" s="824"/>
      <c r="X70" s="850"/>
      <c r="Y70" s="824"/>
      <c r="Z70" s="850"/>
      <c r="AA70" s="824"/>
      <c r="AB70" s="850"/>
      <c r="AC70" s="824"/>
      <c r="AD70" s="850"/>
      <c r="AE70" s="824"/>
      <c r="AF70" s="850"/>
      <c r="AG70" s="824"/>
      <c r="AH70" s="769"/>
      <c r="AI70" s="850"/>
      <c r="AJ70" s="824"/>
      <c r="AK70" s="850"/>
      <c r="AL70" s="824"/>
      <c r="AM70" s="850"/>
      <c r="AN70" s="824"/>
      <c r="AO70" s="850"/>
      <c r="AP70" s="824"/>
      <c r="AQ70" s="850"/>
      <c r="AR70" s="824"/>
      <c r="AS70" s="850"/>
      <c r="AT70" s="824"/>
      <c r="AU70" s="850"/>
      <c r="AV70" s="824"/>
      <c r="AW70" s="850"/>
      <c r="AX70" s="824"/>
      <c r="AY70" s="846"/>
      <c r="AZ70" s="858"/>
      <c r="BA70" s="858"/>
      <c r="BB70" s="858"/>
      <c r="BC70" s="858"/>
      <c r="BD70" s="858"/>
      <c r="BE70" s="858"/>
    </row>
    <row r="71" spans="1:57" s="772" customFormat="1" ht="12.75" customHeight="1" x14ac:dyDescent="0.2">
      <c r="A71" s="839" t="str">
        <f>Input!B748</f>
        <v>Capital Structure Excl FAS 115 Other than FCTA</v>
      </c>
      <c r="B71" s="823"/>
      <c r="C71" s="824"/>
      <c r="D71" s="823"/>
      <c r="E71" s="824"/>
      <c r="F71" s="823"/>
      <c r="G71" s="824"/>
      <c r="H71" s="823"/>
      <c r="I71" s="824"/>
      <c r="J71" s="823"/>
      <c r="K71" s="824"/>
      <c r="L71" s="823"/>
      <c r="M71" s="824"/>
      <c r="N71" s="823"/>
      <c r="O71" s="824"/>
      <c r="P71" s="823"/>
      <c r="Q71" s="824"/>
      <c r="R71" s="823"/>
      <c r="S71" s="824"/>
      <c r="T71" s="823"/>
      <c r="U71" s="824"/>
      <c r="V71" s="823"/>
      <c r="W71" s="824"/>
      <c r="X71" s="823"/>
      <c r="Y71" s="824"/>
      <c r="Z71" s="823"/>
      <c r="AA71" s="824"/>
      <c r="AB71" s="823"/>
      <c r="AC71" s="824"/>
      <c r="AD71" s="823"/>
      <c r="AE71" s="824"/>
      <c r="AF71" s="823"/>
      <c r="AG71" s="824"/>
      <c r="AH71" s="825"/>
      <c r="AI71" s="823"/>
      <c r="AJ71" s="824"/>
      <c r="AK71" s="823"/>
      <c r="AL71" s="824"/>
      <c r="AM71" s="823"/>
      <c r="AN71" s="824"/>
      <c r="AO71" s="823"/>
      <c r="AP71" s="824"/>
      <c r="AQ71" s="823"/>
      <c r="AR71" s="824"/>
      <c r="AS71" s="823"/>
      <c r="AT71" s="824"/>
      <c r="AU71" s="823"/>
      <c r="AV71" s="824"/>
      <c r="AW71" s="823"/>
      <c r="AX71" s="824"/>
      <c r="AY71" s="846"/>
      <c r="AZ71" s="858"/>
      <c r="BA71" s="858"/>
      <c r="BB71" s="858"/>
      <c r="BC71" s="858"/>
      <c r="BD71" s="858"/>
      <c r="BE71" s="858"/>
    </row>
    <row r="72" spans="1:57" s="772" customFormat="1" ht="12.75" customHeight="1" x14ac:dyDescent="0.2">
      <c r="A72" s="868" t="str">
        <f>Input!B750</f>
        <v>LT Debt to LT Capital (%)</v>
      </c>
      <c r="B72" s="842">
        <f>+Input!DS750</f>
        <v>26.35745893269122</v>
      </c>
      <c r="C72" s="824"/>
      <c r="D72" s="842">
        <f>+Input!DU750</f>
        <v>25.320260774713987</v>
      </c>
      <c r="E72" s="824"/>
      <c r="F72" s="842">
        <f>+Input!DW750</f>
        <v>25.205316756374295</v>
      </c>
      <c r="G72" s="824"/>
      <c r="H72" s="842">
        <f>+Input!DY750</f>
        <v>26.653183257122759</v>
      </c>
      <c r="I72" s="824"/>
      <c r="J72" s="842">
        <f>+Input!EA750</f>
        <v>25.677360982051155</v>
      </c>
      <c r="K72" s="824">
        <f>+Input!EB750</f>
        <v>-2.5802864850394847</v>
      </c>
      <c r="L72" s="842">
        <f>+Input!EC750</f>
        <v>24.488907138502121</v>
      </c>
      <c r="M72" s="824">
        <f>+Input!ED750</f>
        <v>-3.2833533730509346</v>
      </c>
      <c r="N72" s="842">
        <f>+Input!EE750</f>
        <v>24.397691305157327</v>
      </c>
      <c r="O72" s="824">
        <f>+Input!EF750</f>
        <v>-3.2041868746312208</v>
      </c>
      <c r="P72" s="842">
        <f>+Input!EG750</f>
        <v>25.586826894221108</v>
      </c>
      <c r="Q72" s="824">
        <f>+Input!EH750</f>
        <v>-4.0008593068022291</v>
      </c>
      <c r="R72" s="842">
        <f>+Input!EI750</f>
        <v>25.729307338306828</v>
      </c>
      <c r="S72" s="824">
        <f>+Input!EJ750</f>
        <v>0.20230410863477655</v>
      </c>
      <c r="T72" s="842">
        <f>+Input!EK750</f>
        <v>25.885745131857856</v>
      </c>
      <c r="U72" s="824">
        <f>+Input!EL750</f>
        <v>5.7039621468431667</v>
      </c>
      <c r="V72" s="842">
        <f>+Input!EM750</f>
        <v>30.52016004924592</v>
      </c>
      <c r="W72" s="824">
        <f>+Input!EN750</f>
        <v>25.094459420405848</v>
      </c>
      <c r="X72" s="842">
        <f>+Input!EO750</f>
        <v>28.596160855303122</v>
      </c>
      <c r="Y72" s="824">
        <f>+Input!EP750</f>
        <v>11.761262830764242</v>
      </c>
      <c r="Z72" s="842">
        <f>+Input!EQ750</f>
        <v>29.018039537966562</v>
      </c>
      <c r="AA72" s="824">
        <f>+Input!ER750</f>
        <v>12.782047166747223</v>
      </c>
      <c r="AB72" s="842">
        <f>+Input!ES750</f>
        <v>29.0408055453108</v>
      </c>
      <c r="AC72" s="824">
        <f>+Input!ET750</f>
        <v>12.188408706728616</v>
      </c>
      <c r="AD72" s="842">
        <f>+Input!EU750</f>
        <v>29.00986479398227</v>
      </c>
      <c r="AE72" s="824">
        <f>+Input!EV750</f>
        <v>-4.9485168256873768</v>
      </c>
      <c r="AF72" s="842">
        <f>+Input!EW750</f>
        <v>28.983900820057674</v>
      </c>
      <c r="AG72" s="824">
        <f>+Input!EX750</f>
        <v>1.3559161550269705</v>
      </c>
      <c r="AH72" s="869"/>
      <c r="AI72" s="842">
        <f>+Input!GJ750</f>
        <v>26.653183257122759</v>
      </c>
      <c r="AJ72" s="824"/>
      <c r="AK72" s="842">
        <f>+Input!GL750</f>
        <v>25.586826894221108</v>
      </c>
      <c r="AL72" s="824">
        <f>+Input!GM750</f>
        <v>-4.0008593068022291</v>
      </c>
      <c r="AM72" s="842">
        <f>+Input!GN750</f>
        <v>28.596160855303122</v>
      </c>
      <c r="AN72" s="824">
        <f>+Input!GO750</f>
        <v>11.761262830764242</v>
      </c>
      <c r="AO72" s="842">
        <f>+Input!GP750</f>
        <v>28.983900820057674</v>
      </c>
      <c r="AP72" s="824">
        <f>+Input!GQ750</f>
        <v>1.3559161550269705</v>
      </c>
      <c r="AQ72" s="842">
        <f>+Input!GR750</f>
        <v>26.474896347436889</v>
      </c>
      <c r="AR72" s="824">
        <f>+Input!GS750</f>
        <v>-8.6565451910616602</v>
      </c>
      <c r="AS72" s="842">
        <f>+Input!GT750</f>
        <v>23.798232875258527</v>
      </c>
      <c r="AT72" s="824">
        <f>+Input!GU750</f>
        <v>-10.110194340524759</v>
      </c>
      <c r="AU72" s="842">
        <f>+Input!GV750</f>
        <v>20.977326398188001</v>
      </c>
      <c r="AV72" s="824">
        <f>+Input!GW750</f>
        <v>-11.853428327458882</v>
      </c>
      <c r="AW72" s="842">
        <f>+Input!GX750</f>
        <v>18.032343101517377</v>
      </c>
      <c r="AX72" s="824">
        <f>+Input!GY750</f>
        <v>-14.038887705561031</v>
      </c>
      <c r="AY72" s="824">
        <f>+Input!GZ750</f>
        <v>-8.8096492513774045</v>
      </c>
      <c r="AZ72" s="858"/>
      <c r="BA72" s="858"/>
      <c r="BB72" s="858"/>
      <c r="BC72" s="858"/>
      <c r="BD72" s="858"/>
      <c r="BE72" s="858"/>
    </row>
    <row r="73" spans="1:57" s="772" customFormat="1" ht="12.75" customHeight="1" x14ac:dyDescent="0.2">
      <c r="A73" s="868" t="str">
        <f>+Input!B751</f>
        <v>LTD + Pref Equity to LT Capital (%)</v>
      </c>
      <c r="B73" s="842">
        <f>+Input!DS751</f>
        <v>26.557910263360267</v>
      </c>
      <c r="C73" s="824"/>
      <c r="D73" s="842">
        <f>+Input!DU751</f>
        <v>25.521929935821007</v>
      </c>
      <c r="E73" s="824"/>
      <c r="F73" s="842">
        <f>+Input!DW751</f>
        <v>25.40621130568822</v>
      </c>
      <c r="G73" s="824"/>
      <c r="H73" s="842">
        <f>+Input!DY751</f>
        <v>26.852921963720416</v>
      </c>
      <c r="I73" s="824"/>
      <c r="J73" s="842">
        <f>+Input!EA751</f>
        <v>25.871766029246345</v>
      </c>
      <c r="K73" s="824">
        <f>+Input!EB751</f>
        <v>-2.5835776509138153</v>
      </c>
      <c r="L73" s="842">
        <f>+Input!EC751</f>
        <v>24.686749536501303</v>
      </c>
      <c r="M73" s="824">
        <f>+Input!ED751</f>
        <v>-3.2724029938954402</v>
      </c>
      <c r="N73" s="842">
        <f>+Input!EE751</f>
        <v>24.595047477192331</v>
      </c>
      <c r="O73" s="824">
        <f>+Input!EF751</f>
        <v>-3.1927776193622304</v>
      </c>
      <c r="P73" s="842">
        <f>+Input!EG751</f>
        <v>25.794287652822902</v>
      </c>
      <c r="Q73" s="824">
        <f>+Input!EH751</f>
        <v>-3.9423430803090187</v>
      </c>
      <c r="R73" s="842">
        <f>+Input!EI751</f>
        <v>25.937774514559926</v>
      </c>
      <c r="S73" s="824">
        <f>+Input!EJ751</f>
        <v>0.25513714540770227</v>
      </c>
      <c r="T73" s="842">
        <f>+Input!EK751</f>
        <v>26.0950851184285</v>
      </c>
      <c r="U73" s="824">
        <f>+Input!EL751</f>
        <v>5.7048238766503445</v>
      </c>
      <c r="V73" s="842">
        <f>+Input!EM751</f>
        <v>30.764850723299475</v>
      </c>
      <c r="W73" s="824">
        <f>+Input!EN751</f>
        <v>25.08555127542882</v>
      </c>
      <c r="X73" s="842">
        <f>+Input!EO751</f>
        <v>28.837626047867815</v>
      </c>
      <c r="Y73" s="824">
        <f>+Input!EP751</f>
        <v>11.798497543357644</v>
      </c>
      <c r="Z73" s="842">
        <f>+Input!EQ751</f>
        <v>29.263067062477276</v>
      </c>
      <c r="AA73" s="824">
        <f>+Input!ER751</f>
        <v>12.820269318212807</v>
      </c>
      <c r="AB73" s="842">
        <f>+Input!ES751</f>
        <v>29.286025305358827</v>
      </c>
      <c r="AC73" s="824">
        <f>+Input!ET751</f>
        <v>12.228127145202784</v>
      </c>
      <c r="AD73" s="842">
        <f>+Input!EU751</f>
        <v>29.254823291180525</v>
      </c>
      <c r="AE73" s="824">
        <f>+Input!EV751</f>
        <v>-4.9082878564898902</v>
      </c>
      <c r="AF73" s="842">
        <f>+Input!EW751</f>
        <v>29.228640078177122</v>
      </c>
      <c r="AG73" s="824">
        <f>+Input!EX751</f>
        <v>1.3559161550269705</v>
      </c>
      <c r="AH73" s="869"/>
      <c r="AI73" s="842">
        <f>+Input!GJ751</f>
        <v>26.852921963720416</v>
      </c>
      <c r="AJ73" s="824"/>
      <c r="AK73" s="842">
        <f>+Input!GL751</f>
        <v>25.794287652822902</v>
      </c>
      <c r="AL73" s="824">
        <f>+Input!GM751</f>
        <v>-3.9423430803090187</v>
      </c>
      <c r="AM73" s="842">
        <f>+Input!GN751</f>
        <v>28.837626047867815</v>
      </c>
      <c r="AN73" s="824">
        <f>+Input!GO751</f>
        <v>11.798497543357644</v>
      </c>
      <c r="AO73" s="842">
        <f>+Input!GP751</f>
        <v>29.228640078177122</v>
      </c>
      <c r="AP73" s="824">
        <f>+Input!GQ751</f>
        <v>1.3559161550269705</v>
      </c>
      <c r="AQ73" s="842">
        <f>+Input!GR751</f>
        <v>26.725015689043691</v>
      </c>
      <c r="AR73" s="824">
        <f>+Input!GS751</f>
        <v>-8.5656547223444175</v>
      </c>
      <c r="AS73" s="842">
        <f>+Input!GT751</f>
        <v>24.053385877764672</v>
      </c>
      <c r="AT73" s="824">
        <f>+Input!GU751</f>
        <v>-9.9967380463476871</v>
      </c>
      <c r="AU73" s="842">
        <f>+Input!GV751</f>
        <v>21.237294823543564</v>
      </c>
      <c r="AV73" s="824">
        <f>+Input!GW751</f>
        <v>-11.707670049164875</v>
      </c>
      <c r="AW73" s="842">
        <f>+Input!GX751</f>
        <v>18.297083872813893</v>
      </c>
      <c r="AX73" s="824">
        <f>+Input!GY751</f>
        <v>-13.844564362642686</v>
      </c>
      <c r="AY73" s="824">
        <f>+Input!GZ751</f>
        <v>-8.6971204728873985</v>
      </c>
      <c r="AZ73" s="858"/>
      <c r="BA73" s="858"/>
      <c r="BB73" s="858"/>
      <c r="BC73" s="858"/>
      <c r="BD73" s="858"/>
      <c r="BE73" s="858"/>
    </row>
    <row r="74" spans="1:57" s="772" customFormat="1" ht="12.75" customHeight="1" x14ac:dyDescent="0.2">
      <c r="A74" s="868" t="str">
        <f>Input!B752</f>
        <v>LTD + Pref Equity to Common Equity (%)</v>
      </c>
      <c r="B74" s="842">
        <f>+Input!DS752</f>
        <v>37.475983775706254</v>
      </c>
      <c r="C74" s="824"/>
      <c r="D74" s="842">
        <f>+Input!DU752</f>
        <v>35.517350937268333</v>
      </c>
      <c r="E74" s="824"/>
      <c r="F74" s="842">
        <f>+Input!DW752</f>
        <v>35.294530646633433</v>
      </c>
      <c r="G74" s="824"/>
      <c r="H74" s="842">
        <f>+Input!DY752</f>
        <v>38.061322602471421</v>
      </c>
      <c r="I74" s="824"/>
      <c r="J74" s="842">
        <f>+Input!EA752</f>
        <v>36.13264574297326</v>
      </c>
      <c r="K74" s="824">
        <f>+Input!EB752</f>
        <v>-3.5845304042526838</v>
      </c>
      <c r="L74" s="842">
        <f>+Input!EC752</f>
        <v>33.937154684319459</v>
      </c>
      <c r="M74" s="824">
        <f>+Input!ED752</f>
        <v>-4.4490825223419854</v>
      </c>
      <c r="N74" s="842">
        <f>+Input!EE752</f>
        <v>33.765591984186486</v>
      </c>
      <c r="O74" s="824">
        <f>+Input!EF752</f>
        <v>-4.3319421860417489</v>
      </c>
      <c r="P74" s="842">
        <f>+Input!EG752</f>
        <v>36.070868153121921</v>
      </c>
      <c r="Q74" s="824">
        <f>+Input!EH752</f>
        <v>-5.2295987455261317</v>
      </c>
      <c r="R74" s="842">
        <f>+Input!EI752</f>
        <v>36.35110800779097</v>
      </c>
      <c r="S74" s="824">
        <f>+Input!EJ752</f>
        <v>0.60461186919917864</v>
      </c>
      <c r="T74" s="842">
        <f>+Input!EK752</f>
        <v>36.658220356224689</v>
      </c>
      <c r="U74" s="824">
        <f>+Input!EL752</f>
        <v>8.0179546494582468</v>
      </c>
      <c r="V74" s="842">
        <f>+Input!EM752</f>
        <v>46.574097803042655</v>
      </c>
      <c r="W74" s="824">
        <f>+Input!EN752</f>
        <v>37.933603607053023</v>
      </c>
      <c r="X74" s="842">
        <f>+Input!EO752</f>
        <v>42.392784586877411</v>
      </c>
      <c r="Y74" s="824">
        <f>+Input!EP752</f>
        <v>17.526377260782212</v>
      </c>
      <c r="Z74" s="842">
        <f>+Input!EQ752</f>
        <v>43.318604263575473</v>
      </c>
      <c r="AA74" s="824">
        <f>+Input!ER752</f>
        <v>19.167218381049601</v>
      </c>
      <c r="AB74" s="842">
        <f>+Input!ES752</f>
        <v>43.368932482056707</v>
      </c>
      <c r="AC74" s="824">
        <f>+Input!ET752</f>
        <v>18.306159056879913</v>
      </c>
      <c r="AD74" s="842">
        <f>+Input!EU752</f>
        <v>43.300541824345672</v>
      </c>
      <c r="AE74" s="824">
        <f>+Input!EV752</f>
        <v>-7.0287050809669687</v>
      </c>
      <c r="AF74" s="842">
        <f>+Input!EW752</f>
        <v>43.243205735705516</v>
      </c>
      <c r="AG74" s="824">
        <f>+Input!EX752</f>
        <v>2.0060516361818603</v>
      </c>
      <c r="AH74" s="869"/>
      <c r="AI74" s="842">
        <f>+Input!GJ752</f>
        <v>38.061322602471421</v>
      </c>
      <c r="AJ74" s="824"/>
      <c r="AK74" s="842">
        <f>+Input!GL752</f>
        <v>36.070868153121921</v>
      </c>
      <c r="AL74" s="824">
        <f>+Input!GM752</f>
        <v>-5.2295987455261317</v>
      </c>
      <c r="AM74" s="842">
        <f>+Input!GN752</f>
        <v>42.392784586877411</v>
      </c>
      <c r="AN74" s="824">
        <f>+Input!GO752</f>
        <v>17.526377260782212</v>
      </c>
      <c r="AO74" s="842">
        <f>+Input!GP752</f>
        <v>43.243205735705516</v>
      </c>
      <c r="AP74" s="824">
        <f>+Input!GQ752</f>
        <v>2.0060516361818603</v>
      </c>
      <c r="AQ74" s="842">
        <f>+Input!GR752</f>
        <v>38.164960255781374</v>
      </c>
      <c r="AR74" s="824">
        <f>+Input!GS752</f>
        <v>-11.743452858147108</v>
      </c>
      <c r="AS74" s="842">
        <f>+Input!GT752</f>
        <v>33.117139742156873</v>
      </c>
      <c r="AT74" s="824">
        <f>+Input!GU752</f>
        <v>-13.226321945035535</v>
      </c>
      <c r="AU74" s="842">
        <f>+Input!GV752</f>
        <v>28.171871148009643</v>
      </c>
      <c r="AV74" s="824">
        <f>+Input!GW752</f>
        <v>-14.932656119006825</v>
      </c>
      <c r="AW74" s="842">
        <f>+Input!GX752</f>
        <v>23.378985339910646</v>
      </c>
      <c r="AX74" s="824">
        <f>+Input!GY752</f>
        <v>-17.013019060459587</v>
      </c>
      <c r="AY74" s="824">
        <f>+Input!GZ752</f>
        <v>-11.221716696350637</v>
      </c>
      <c r="AZ74" s="858"/>
      <c r="BA74" s="858"/>
      <c r="BB74" s="858"/>
      <c r="BC74" s="858"/>
      <c r="BD74" s="858"/>
      <c r="BE74" s="858"/>
    </row>
    <row r="75" spans="1:57" s="772" customFormat="1" ht="12.75" customHeight="1" x14ac:dyDescent="0.2">
      <c r="A75" s="868" t="str">
        <f>Input!B753</f>
        <v>Equity to Assets (Excl SAA)(%)</v>
      </c>
      <c r="B75" s="842">
        <f>+Input!DS753</f>
        <v>9.6992326818519849</v>
      </c>
      <c r="C75" s="824"/>
      <c r="D75" s="842">
        <f>+Input!DU753</f>
        <v>9.9694690070828393</v>
      </c>
      <c r="E75" s="824"/>
      <c r="F75" s="842">
        <f>+Input!DW753</f>
        <v>9.9645646843178621</v>
      </c>
      <c r="G75" s="824"/>
      <c r="H75" s="842">
        <f>+Input!DY753</f>
        <v>9.9118623966227446</v>
      </c>
      <c r="I75" s="824"/>
      <c r="J75" s="842">
        <f>+Input!EA753</f>
        <v>8.2521207338725588</v>
      </c>
      <c r="K75" s="824">
        <f>+Input!EB753</f>
        <v>-14.91986011106925</v>
      </c>
      <c r="L75" s="842">
        <f>+Input!EC753</f>
        <v>8.0335904423071369</v>
      </c>
      <c r="M75" s="824">
        <f>+Input!ED753</f>
        <v>-19.418070946410005</v>
      </c>
      <c r="N75" s="842">
        <f>+Input!EE753</f>
        <v>7.9848803778272748</v>
      </c>
      <c r="O75" s="824">
        <f>+Input!EF753</f>
        <v>-19.867243268601541</v>
      </c>
      <c r="P75" s="842">
        <f>+Input!EG753</f>
        <v>7.9139152697295563</v>
      </c>
      <c r="Q75" s="824">
        <f>+Input!EH753</f>
        <v>-20.157131394135842</v>
      </c>
      <c r="R75" s="842">
        <f>+Input!EI753</f>
        <v>7.7602371619280381</v>
      </c>
      <c r="S75" s="824">
        <f>+Input!EJ753</f>
        <v>-5.9606928668103691</v>
      </c>
      <c r="T75" s="842">
        <f>+Input!EK753</f>
        <v>7.6452746413648285</v>
      </c>
      <c r="U75" s="824">
        <f>+Input!EL753</f>
        <v>-4.8336519484155964</v>
      </c>
      <c r="V75" s="842">
        <f>+Input!EM753</f>
        <v>8.4886611516638943</v>
      </c>
      <c r="W75" s="824">
        <f>+Input!EN753</f>
        <v>6.3091837322389654</v>
      </c>
      <c r="X75" s="842">
        <f>+Input!EO753</f>
        <v>8.9038590744105228</v>
      </c>
      <c r="Y75" s="824">
        <f>+Input!EP753</f>
        <v>12.508900726641169</v>
      </c>
      <c r="Z75" s="842">
        <f>+Input!EQ753</f>
        <v>8.6511052614125088</v>
      </c>
      <c r="AA75" s="824">
        <f>+Input!ER753</f>
        <v>11.479908163826448</v>
      </c>
      <c r="AB75" s="842">
        <f>+Input!ES753</f>
        <v>8.5791207019897175</v>
      </c>
      <c r="AC75" s="824">
        <f>+Input!ET753</f>
        <v>12.2146829830325</v>
      </c>
      <c r="AD75" s="842">
        <f>+Input!EU753</f>
        <v>8.5310652966789018</v>
      </c>
      <c r="AE75" s="824">
        <f>+Input!EV753</f>
        <v>0.49953866996677032</v>
      </c>
      <c r="AF75" s="842">
        <f>+Input!EW753</f>
        <v>8.4811242802048383</v>
      </c>
      <c r="AG75" s="824">
        <f>+Input!EX753</f>
        <v>-4.7477704967345495</v>
      </c>
      <c r="AH75" s="869"/>
      <c r="AI75" s="842">
        <f>+Input!GJ753</f>
        <v>9.9118623966227446</v>
      </c>
      <c r="AJ75" s="824"/>
      <c r="AK75" s="842">
        <f>+Input!GL753</f>
        <v>7.9139152697295563</v>
      </c>
      <c r="AL75" s="824">
        <f>+Input!GM753</f>
        <v>-20.157131394135842</v>
      </c>
      <c r="AM75" s="842">
        <f>+Input!GN753</f>
        <v>8.9038590744105228</v>
      </c>
      <c r="AN75" s="824">
        <f>+Input!GO753</f>
        <v>12.508900726641169</v>
      </c>
      <c r="AO75" s="842">
        <f>+Input!GP753</f>
        <v>8.4811242802048383</v>
      </c>
      <c r="AP75" s="824">
        <f>+Input!GQ753</f>
        <v>-4.7477704967345495</v>
      </c>
      <c r="AQ75" s="842">
        <f>+Input!GR753</f>
        <v>8.3618287996302136</v>
      </c>
      <c r="AR75" s="824">
        <f>+Input!GS753</f>
        <v>-1.4065998402247648</v>
      </c>
      <c r="AS75" s="842">
        <f>+Input!GT753</f>
        <v>8.2683877595873501</v>
      </c>
      <c r="AT75" s="824">
        <f>+Input!GU753</f>
        <v>-1.1174713364975331</v>
      </c>
      <c r="AU75" s="842">
        <f>+Input!GV753</f>
        <v>8.1909992405228138</v>
      </c>
      <c r="AV75" s="824">
        <f>+Input!GW753</f>
        <v>-0.93595657720336733</v>
      </c>
      <c r="AW75" s="842">
        <f>+Input!GX753</f>
        <v>8.1200339388462499</v>
      </c>
      <c r="AX75" s="824">
        <f>+Input!GY753</f>
        <v>-0.86638149501323536</v>
      </c>
      <c r="AY75" s="824">
        <f>+Input!GZ753</f>
        <v>-1.8261295004048161</v>
      </c>
      <c r="AZ75" s="858"/>
      <c r="BA75" s="858"/>
      <c r="BB75" s="858"/>
      <c r="BC75" s="858"/>
      <c r="BD75" s="858"/>
      <c r="BE75" s="858"/>
    </row>
    <row r="76" spans="1:57" s="772" customFormat="1" ht="12.75" customHeight="1" x14ac:dyDescent="0.2">
      <c r="A76" s="868" t="str">
        <f>Input!B754</f>
        <v>Equity to Total Assets (%)</v>
      </c>
      <c r="B76" s="842">
        <f>+Input!DS754</f>
        <v>6.1113949923352067</v>
      </c>
      <c r="C76" s="824"/>
      <c r="D76" s="842">
        <f>+Input!DU754</f>
        <v>6.3060365601858388</v>
      </c>
      <c r="E76" s="824"/>
      <c r="F76" s="842">
        <f>+Input!DW754</f>
        <v>6.4560433334088803</v>
      </c>
      <c r="G76" s="824"/>
      <c r="H76" s="842">
        <f>+Input!DY754</f>
        <v>6.3970713027076105</v>
      </c>
      <c r="I76" s="824"/>
      <c r="J76" s="842">
        <f>+Input!EA754</f>
        <v>6.3832802138151443</v>
      </c>
      <c r="K76" s="824">
        <f>+Input!EB754</f>
        <v>4.4488242344167039</v>
      </c>
      <c r="L76" s="842">
        <f>+Input!EC754</f>
        <v>6.202317713223569</v>
      </c>
      <c r="M76" s="824">
        <f>+Input!ED754</f>
        <v>-1.6447549260515726</v>
      </c>
      <c r="N76" s="842">
        <f>+Input!EE754</f>
        <v>6.158437785967946</v>
      </c>
      <c r="O76" s="824">
        <f>+Input!EF754</f>
        <v>-4.6097204134439185</v>
      </c>
      <c r="P76" s="842">
        <f>+Input!EG754</f>
        <v>6.0979300461522712</v>
      </c>
      <c r="Q76" s="824">
        <f>+Input!EH754</f>
        <v>-4.6762220147323568</v>
      </c>
      <c r="R76" s="842">
        <f>+Input!EI754</f>
        <v>5.949794847855058</v>
      </c>
      <c r="S76" s="824">
        <f>+Input!EJ754</f>
        <v>-6.7909499730547163</v>
      </c>
      <c r="T76" s="842">
        <f>+Input!EK754</f>
        <v>5.8438238692432654</v>
      </c>
      <c r="U76" s="824">
        <f>+Input!EL754</f>
        <v>-5.7799980677542777</v>
      </c>
      <c r="V76" s="842">
        <f>+Input!EM754</f>
        <v>5.9572666773072038</v>
      </c>
      <c r="W76" s="824">
        <f>+Input!EN754</f>
        <v>-3.2665931791843739</v>
      </c>
      <c r="X76" s="842">
        <f>+Input!EO754</f>
        <v>6.2221833274991249</v>
      </c>
      <c r="Y76" s="824">
        <f>+Input!EP754</f>
        <v>2.0376304812689039</v>
      </c>
      <c r="Z76" s="842">
        <f>+Input!EQ754</f>
        <v>6.0750502474491004</v>
      </c>
      <c r="AA76" s="824">
        <f>+Input!ER754</f>
        <v>2.1052053524029946</v>
      </c>
      <c r="AB76" s="842">
        <f>+Input!ES754</f>
        <v>6.0956240572740743</v>
      </c>
      <c r="AC76" s="824">
        <f>+Input!ET754</f>
        <v>4.308825756300827</v>
      </c>
      <c r="AD76" s="842">
        <f>+Input!EU754</f>
        <v>6.1126243416598012</v>
      </c>
      <c r="AE76" s="824">
        <f>+Input!EV754</f>
        <v>2.6078682182282709</v>
      </c>
      <c r="AF76" s="842">
        <f>+Input!EW754</f>
        <v>6.1259138373857054</v>
      </c>
      <c r="AG76" s="824">
        <f>+Input!EX754</f>
        <v>-1.5471979054032969</v>
      </c>
      <c r="AH76" s="869"/>
      <c r="AI76" s="842">
        <f>+Input!GJ754</f>
        <v>6.3970713027076105</v>
      </c>
      <c r="AJ76" s="824"/>
      <c r="AK76" s="842">
        <f>+Input!GL754</f>
        <v>6.0979300461522712</v>
      </c>
      <c r="AL76" s="824">
        <f>+Input!GM754</f>
        <v>-4.6762220147323568</v>
      </c>
      <c r="AM76" s="842">
        <f>+Input!GN754</f>
        <v>6.2221833274991249</v>
      </c>
      <c r="AN76" s="824">
        <f>+Input!GO754</f>
        <v>2.0376304812689039</v>
      </c>
      <c r="AO76" s="842">
        <f>+Input!GP754</f>
        <v>6.1259138373857054</v>
      </c>
      <c r="AP76" s="824">
        <f>+Input!GQ754</f>
        <v>-1.5471979054032969</v>
      </c>
      <c r="AQ76" s="842">
        <f>+Input!GR754</f>
        <v>6.2409088264736443</v>
      </c>
      <c r="AR76" s="824">
        <f>+Input!GS754</f>
        <v>1.8771891368458027</v>
      </c>
      <c r="AS76" s="842">
        <f>+Input!GT754</f>
        <v>6.3577490061843207</v>
      </c>
      <c r="AT76" s="824">
        <f>+Input!GU754</f>
        <v>1.8721661052801375</v>
      </c>
      <c r="AU76" s="842">
        <f>+Input!GV754</f>
        <v>6.4608311716043172</v>
      </c>
      <c r="AV76" s="824">
        <f>+Input!GW754</f>
        <v>1.6213626130840764</v>
      </c>
      <c r="AW76" s="842">
        <f>+Input!GX754</f>
        <v>6.5450270684715592</v>
      </c>
      <c r="AX76" s="824">
        <f>+Input!GY754</f>
        <v>1.303174384702821</v>
      </c>
      <c r="AY76" s="824">
        <f>+Input!GZ754</f>
        <v>1.0168283733514194</v>
      </c>
      <c r="AZ76" s="858"/>
      <c r="BA76" s="858"/>
      <c r="BB76" s="858"/>
      <c r="BC76" s="858"/>
      <c r="BD76" s="858"/>
      <c r="BE76" s="858"/>
    </row>
    <row r="77" spans="1:57" s="772" customFormat="1" ht="12.75" customHeight="1" x14ac:dyDescent="0.2">
      <c r="A77" s="848" t="str">
        <f>Input!B756</f>
        <v>Book Value per Share</v>
      </c>
      <c r="B77" s="849">
        <f>+Input!DS756</f>
        <v>50.446019922821513</v>
      </c>
      <c r="C77" s="824"/>
      <c r="D77" s="849">
        <f>+Input!DU756</f>
        <v>50.72886819484242</v>
      </c>
      <c r="E77" s="824"/>
      <c r="F77" s="849">
        <f>+Input!DW756</f>
        <v>51.105130965195563</v>
      </c>
      <c r="G77" s="824"/>
      <c r="H77" s="849">
        <f>+Input!DY756</f>
        <v>51.149362477231342</v>
      </c>
      <c r="I77" s="824"/>
      <c r="J77" s="849">
        <f>+Input!EA756</f>
        <v>53.310878470641796</v>
      </c>
      <c r="K77" s="824">
        <f>+Input!EB756</f>
        <v>5.6790576386468006</v>
      </c>
      <c r="L77" s="849">
        <f>+Input!EC756</f>
        <v>53.204404805242099</v>
      </c>
      <c r="M77" s="824">
        <f>+Input!ED756</f>
        <v>4.8799366090556129</v>
      </c>
      <c r="N77" s="849">
        <f>+Input!EE756</f>
        <v>53.397634212920849</v>
      </c>
      <c r="O77" s="824">
        <f>+Input!EF756</f>
        <v>4.4858572993122126</v>
      </c>
      <c r="P77" s="849">
        <f>+Input!EG756</f>
        <v>50.028297581013248</v>
      </c>
      <c r="Q77" s="824">
        <f>+Input!EH756</f>
        <v>-2.1917475446876278</v>
      </c>
      <c r="R77" s="849">
        <f>+Input!EI756</f>
        <v>50.33015814297606</v>
      </c>
      <c r="S77" s="824">
        <f>+Input!EJ756</f>
        <v>-5.5912046718705088</v>
      </c>
      <c r="T77" s="849">
        <f>+Input!EK756</f>
        <v>50.838740009402926</v>
      </c>
      <c r="U77" s="824">
        <f>+Input!EL756</f>
        <v>-4.4463701915261167</v>
      </c>
      <c r="V77" s="849">
        <f>+Input!EM756</f>
        <v>40.71232097126056</v>
      </c>
      <c r="W77" s="824">
        <f>+Input!EN756</f>
        <v>-23.756320722146839</v>
      </c>
      <c r="X77" s="849">
        <f>+Input!EO756</f>
        <v>42.921617477960915</v>
      </c>
      <c r="Y77" s="824">
        <f>+Input!EP756</f>
        <v>-14.205320681848388</v>
      </c>
      <c r="Z77" s="849">
        <f>+Input!EQ756</f>
        <v>42.722683874822778</v>
      </c>
      <c r="AA77" s="824">
        <f>+Input!ER756</f>
        <v>-15.115140799959836</v>
      </c>
      <c r="AB77" s="849">
        <f>+Input!ES756</f>
        <v>43.406369406094036</v>
      </c>
      <c r="AC77" s="824">
        <f>+Input!ET756</f>
        <v>-14.619501982020456</v>
      </c>
      <c r="AD77" s="849">
        <f>+Input!EU756</f>
        <v>44.135845830282371</v>
      </c>
      <c r="AE77" s="824">
        <f>+Input!EV756</f>
        <v>8.4090633433513418</v>
      </c>
      <c r="AF77" s="849">
        <f>+Input!EW756</f>
        <v>44.868309606572204</v>
      </c>
      <c r="AG77" s="824">
        <f>+Input!EX756</f>
        <v>4.5354584542645959</v>
      </c>
      <c r="AH77" s="872"/>
      <c r="AI77" s="849">
        <f>+Input!GJ756</f>
        <v>51.149362477231342</v>
      </c>
      <c r="AJ77" s="824"/>
      <c r="AK77" s="849">
        <f>+Input!GL756</f>
        <v>50.028297581013248</v>
      </c>
      <c r="AL77" s="824">
        <f>+Input!GM756</f>
        <v>-2.1917475446876278</v>
      </c>
      <c r="AM77" s="849">
        <f>+Input!GN756</f>
        <v>42.921617477960915</v>
      </c>
      <c r="AN77" s="824">
        <f>+Input!GO756</f>
        <v>-14.205320681848388</v>
      </c>
      <c r="AO77" s="849">
        <f>+Input!GP756</f>
        <v>44.868309606572204</v>
      </c>
      <c r="AP77" s="824">
        <f>+Input!GQ756</f>
        <v>4.5354584542645959</v>
      </c>
      <c r="AQ77" s="849">
        <f>+Input!GR756</f>
        <v>48.149055111547476</v>
      </c>
      <c r="AR77" s="824">
        <f>+Input!GS756</f>
        <v>7.3119436273451965</v>
      </c>
      <c r="AS77" s="849">
        <f>+Input!GT756</f>
        <v>51.864020459885424</v>
      </c>
      <c r="AT77" s="824">
        <f>+Input!GU756</f>
        <v>7.7155519246046467</v>
      </c>
      <c r="AU77" s="849">
        <f>+Input!GV756</f>
        <v>56.023311405389691</v>
      </c>
      <c r="AV77" s="824">
        <f>+Input!GW756</f>
        <v>8.0196076367070379</v>
      </c>
      <c r="AW77" s="849">
        <f>+Input!GX756</f>
        <v>60.631250426492407</v>
      </c>
      <c r="AX77" s="824">
        <f>+Input!GY756</f>
        <v>8.2250386589240563</v>
      </c>
      <c r="AY77" s="846">
        <f>+Input!GZ756</f>
        <v>7.15293940423265</v>
      </c>
      <c r="AZ77" s="858"/>
      <c r="BA77" s="858"/>
      <c r="BB77" s="858"/>
      <c r="BC77" s="858"/>
      <c r="BD77" s="858"/>
      <c r="BE77" s="858"/>
    </row>
    <row r="78" spans="1:57" s="772" customFormat="1" ht="4.5" customHeight="1" x14ac:dyDescent="0.2">
      <c r="A78" s="822"/>
      <c r="B78" s="873"/>
      <c r="C78" s="824"/>
      <c r="D78" s="873"/>
      <c r="E78" s="824"/>
      <c r="F78" s="873"/>
      <c r="G78" s="824"/>
      <c r="H78" s="873"/>
      <c r="I78" s="824"/>
      <c r="J78" s="873"/>
      <c r="K78" s="824"/>
      <c r="L78" s="873"/>
      <c r="M78" s="824"/>
      <c r="N78" s="873"/>
      <c r="O78" s="824"/>
      <c r="P78" s="873"/>
      <c r="Q78" s="824"/>
      <c r="R78" s="873"/>
      <c r="S78" s="824"/>
      <c r="T78" s="873"/>
      <c r="U78" s="824"/>
      <c r="V78" s="873"/>
      <c r="W78" s="824"/>
      <c r="X78" s="873"/>
      <c r="Y78" s="824"/>
      <c r="Z78" s="873"/>
      <c r="AA78" s="824"/>
      <c r="AB78" s="873"/>
      <c r="AC78" s="824"/>
      <c r="AD78" s="873"/>
      <c r="AE78" s="824"/>
      <c r="AF78" s="873"/>
      <c r="AG78" s="824"/>
      <c r="AH78" s="825"/>
      <c r="AI78" s="873"/>
      <c r="AJ78" s="824"/>
      <c r="AK78" s="873"/>
      <c r="AL78" s="824"/>
      <c r="AM78" s="873"/>
      <c r="AN78" s="824"/>
      <c r="AO78" s="873"/>
      <c r="AP78" s="824"/>
      <c r="AQ78" s="873"/>
      <c r="AR78" s="824"/>
      <c r="AS78" s="873"/>
      <c r="AT78" s="824"/>
      <c r="AU78" s="873"/>
      <c r="AV78" s="824"/>
      <c r="AW78" s="873"/>
      <c r="AX78" s="824"/>
      <c r="AY78" s="846"/>
      <c r="AZ78" s="858"/>
      <c r="BA78" s="858"/>
      <c r="BB78" s="858"/>
      <c r="BC78" s="858"/>
      <c r="BD78" s="858"/>
      <c r="BE78" s="858"/>
    </row>
    <row r="79" spans="1:57" s="772" customFormat="1" ht="12.75" customHeight="1" x14ac:dyDescent="0.2">
      <c r="A79" s="839" t="str">
        <f>Input!B759</f>
        <v>Capital Structure Incl FAS 115</v>
      </c>
      <c r="B79" s="823"/>
      <c r="C79" s="824"/>
      <c r="D79" s="823"/>
      <c r="E79" s="824"/>
      <c r="F79" s="823"/>
      <c r="G79" s="824"/>
      <c r="H79" s="823"/>
      <c r="I79" s="824"/>
      <c r="J79" s="823"/>
      <c r="K79" s="824"/>
      <c r="L79" s="823"/>
      <c r="M79" s="824"/>
      <c r="N79" s="823"/>
      <c r="O79" s="824"/>
      <c r="P79" s="823"/>
      <c r="Q79" s="824"/>
      <c r="R79" s="823"/>
      <c r="S79" s="824"/>
      <c r="T79" s="823"/>
      <c r="U79" s="824"/>
      <c r="V79" s="823"/>
      <c r="W79" s="824"/>
      <c r="X79" s="823"/>
      <c r="Y79" s="824"/>
      <c r="Z79" s="823"/>
      <c r="AA79" s="824"/>
      <c r="AB79" s="823"/>
      <c r="AC79" s="824"/>
      <c r="AD79" s="823"/>
      <c r="AE79" s="824"/>
      <c r="AF79" s="823"/>
      <c r="AG79" s="824"/>
      <c r="AH79" s="825"/>
      <c r="AI79" s="823"/>
      <c r="AJ79" s="824"/>
      <c r="AK79" s="823"/>
      <c r="AL79" s="824"/>
      <c r="AM79" s="823"/>
      <c r="AN79" s="824"/>
      <c r="AO79" s="823"/>
      <c r="AP79" s="824"/>
      <c r="AQ79" s="823"/>
      <c r="AR79" s="824"/>
      <c r="AS79" s="823"/>
      <c r="AT79" s="824"/>
      <c r="AU79" s="823"/>
      <c r="AV79" s="824"/>
      <c r="AW79" s="823"/>
      <c r="AX79" s="824"/>
      <c r="AY79" s="846"/>
      <c r="AZ79" s="858"/>
      <c r="BA79" s="858"/>
      <c r="BB79" s="858"/>
      <c r="BC79" s="858"/>
      <c r="BD79" s="858"/>
      <c r="BE79" s="858"/>
    </row>
    <row r="80" spans="1:57" s="772" customFormat="1" ht="12.75" customHeight="1" x14ac:dyDescent="0.2">
      <c r="A80" s="868" t="str">
        <f>Input!B761</f>
        <v>LT Debt to LT Capital (%)</v>
      </c>
      <c r="B80" s="842">
        <f>+Input!DS761</f>
        <v>21.580528287864244</v>
      </c>
      <c r="C80" s="824"/>
      <c r="D80" s="842">
        <f>+Input!DU761</f>
        <v>21.801998580243541</v>
      </c>
      <c r="E80" s="824"/>
      <c r="F80" s="842">
        <f>+Input!DW761</f>
        <v>21.525297538763663</v>
      </c>
      <c r="G80" s="824"/>
      <c r="H80" s="842">
        <f>+Input!DY761</f>
        <v>23.215633924565875</v>
      </c>
      <c r="I80" s="824"/>
      <c r="J80" s="842">
        <f>+Input!EA761</f>
        <v>21.212917041242008</v>
      </c>
      <c r="K80" s="824">
        <f>+Input!EB761</f>
        <v>-1.7034395160240856</v>
      </c>
      <c r="L80" s="842">
        <f>+Input!EC761</f>
        <v>19.469753178018497</v>
      </c>
      <c r="M80" s="824">
        <f>+Input!ED761</f>
        <v>-10.697392689211849</v>
      </c>
      <c r="N80" s="842">
        <f>+Input!EE761</f>
        <v>19.623229207223936</v>
      </c>
      <c r="O80" s="824">
        <f>+Input!EF761</f>
        <v>-8.836432240318171</v>
      </c>
      <c r="P80" s="842">
        <f>+Input!EG761</f>
        <v>21.943468433184879</v>
      </c>
      <c r="Q80" s="824">
        <f>+Input!EH761</f>
        <v>-5.4797792535608458</v>
      </c>
      <c r="R80" s="842">
        <f>+Input!EI761</f>
        <v>21.907898409154338</v>
      </c>
      <c r="S80" s="824">
        <f>+Input!EJ761</f>
        <v>3.2762178184224</v>
      </c>
      <c r="T80" s="842">
        <f>+Input!EK761</f>
        <v>21.573726600390632</v>
      </c>
      <c r="U80" s="824">
        <f>+Input!EL761</f>
        <v>10.806369259716853</v>
      </c>
      <c r="V80" s="842">
        <f>+Input!EM761</f>
        <v>25.260154628013908</v>
      </c>
      <c r="W80" s="824">
        <f>+Input!EN761</f>
        <v>28.725778827038507</v>
      </c>
      <c r="X80" s="842">
        <f>+Input!EO761</f>
        <v>23.616911866149927</v>
      </c>
      <c r="Y80" s="824">
        <f>+Input!EP761</f>
        <v>7.6261573600384658</v>
      </c>
      <c r="Z80" s="842">
        <f>+Input!EQ761</f>
        <v>23.903926563563839</v>
      </c>
      <c r="AA80" s="824">
        <f>+Input!ER761</f>
        <v>9.1109978562592175</v>
      </c>
      <c r="AB80" s="842">
        <f>+Input!ES761</f>
        <v>23.919373031329425</v>
      </c>
      <c r="AC80" s="824">
        <f>+Input!ET761</f>
        <v>10.872699345769599</v>
      </c>
      <c r="AD80" s="842">
        <f>+Input!EU761</f>
        <v>23.898379053756354</v>
      </c>
      <c r="AE80" s="824">
        <f>+Input!EV761</f>
        <v>-5.3910025267514534</v>
      </c>
      <c r="AF80" s="842">
        <f>+Input!EW761</f>
        <v>23.880755838810352</v>
      </c>
      <c r="AG80" s="824">
        <f>+Input!EX761</f>
        <v>1.1171823570997441</v>
      </c>
      <c r="AH80" s="869"/>
      <c r="AI80" s="842">
        <f>+Input!GJ761</f>
        <v>23.215633924565875</v>
      </c>
      <c r="AJ80" s="824"/>
      <c r="AK80" s="842">
        <f>+Input!GL761</f>
        <v>21.943468433184879</v>
      </c>
      <c r="AL80" s="824">
        <f>+Input!GM761</f>
        <v>-5.4797792535608458</v>
      </c>
      <c r="AM80" s="842">
        <f>+Input!GN761</f>
        <v>23.616911866149927</v>
      </c>
      <c r="AN80" s="824">
        <f>+Input!GO761</f>
        <v>7.6261573600384658</v>
      </c>
      <c r="AO80" s="842">
        <f>+Input!GP761</f>
        <v>23.880755838810352</v>
      </c>
      <c r="AP80" s="824">
        <f>+Input!GQ761</f>
        <v>1.1171823570997441</v>
      </c>
      <c r="AQ80" s="842">
        <f>+Input!GR761</f>
        <v>21.729403880778076</v>
      </c>
      <c r="AR80" s="824">
        <f>+Input!GS761</f>
        <v>-9.0087264094713344</v>
      </c>
      <c r="AS80" s="842">
        <f>+Input!GT761</f>
        <v>19.462312288058961</v>
      </c>
      <c r="AT80" s="824">
        <f>+Input!GU761</f>
        <v>-10.433289404338398</v>
      </c>
      <c r="AU80" s="842">
        <f>+Input!GV761</f>
        <v>17.096574299806434</v>
      </c>
      <c r="AV80" s="824">
        <f>+Input!GW761</f>
        <v>-12.155482623223646</v>
      </c>
      <c r="AW80" s="842">
        <f>+Input!GX761</f>
        <v>14.646664284118616</v>
      </c>
      <c r="AX80" s="824">
        <f>+Input!GY761</f>
        <v>-14.329829898821057</v>
      </c>
      <c r="AY80" s="824">
        <f>+Input!GZ761</f>
        <v>-9.1127163885450173</v>
      </c>
      <c r="AZ80" s="858"/>
      <c r="BA80" s="858"/>
      <c r="BB80" s="858"/>
      <c r="BC80" s="858"/>
      <c r="BD80" s="858"/>
      <c r="BE80" s="858"/>
    </row>
    <row r="81" spans="1:57" s="772" customFormat="1" ht="12.75" customHeight="1" x14ac:dyDescent="0.2">
      <c r="A81" s="868" t="str">
        <f>+Input!B762</f>
        <v>LTD + Pref Equity to LT Capital (%)</v>
      </c>
      <c r="B81" s="842">
        <f>+Input!DS762</f>
        <v>21.744650543461429</v>
      </c>
      <c r="C81" s="824"/>
      <c r="D81" s="842">
        <f>+Input!DU762</f>
        <v>21.975645716157921</v>
      </c>
      <c r="E81" s="824"/>
      <c r="F81" s="842">
        <f>+Input!DW762</f>
        <v>21.696861141383515</v>
      </c>
      <c r="G81" s="824"/>
      <c r="H81" s="842">
        <f>+Input!DY762</f>
        <v>23.389611668545044</v>
      </c>
      <c r="I81" s="824"/>
      <c r="J81" s="842">
        <f>+Input!EA762</f>
        <v>21.373521479581015</v>
      </c>
      <c r="K81" s="824">
        <f>+Input!EB762</f>
        <v>-1.7067603047408397</v>
      </c>
      <c r="L81" s="842">
        <f>+Input!EC762</f>
        <v>19.627046544986893</v>
      </c>
      <c r="M81" s="824">
        <f>+Input!ED762</f>
        <v>-10.687281736819166</v>
      </c>
      <c r="N81" s="842">
        <f>+Input!EE762</f>
        <v>19.781964119919735</v>
      </c>
      <c r="O81" s="824">
        <f>+Input!EF762</f>
        <v>-8.8256868538988833</v>
      </c>
      <c r="P81" s="842">
        <f>+Input!EG762</f>
        <v>22.121388447508</v>
      </c>
      <c r="Q81" s="824">
        <f>+Input!EH762</f>
        <v>-5.4221645019552955</v>
      </c>
      <c r="R81" s="842">
        <f>+Input!EI762</f>
        <v>22.085403293329612</v>
      </c>
      <c r="S81" s="824">
        <f>+Input!EJ762</f>
        <v>3.3306716182856855</v>
      </c>
      <c r="T81" s="842">
        <f>+Input!EK762</f>
        <v>21.748194965654967</v>
      </c>
      <c r="U81" s="824">
        <f>+Input!EL762</f>
        <v>10.807272585848393</v>
      </c>
      <c r="V81" s="842">
        <f>+Input!EM762</f>
        <v>25.462674020200993</v>
      </c>
      <c r="W81" s="824">
        <f>+Input!EN762</f>
        <v>28.716612090914605</v>
      </c>
      <c r="X81" s="842">
        <f>+Input!EO762</f>
        <v>23.816332417754701</v>
      </c>
      <c r="Y81" s="824">
        <f>+Input!EP762</f>
        <v>7.662014408673512</v>
      </c>
      <c r="Z81" s="842">
        <f>+Input!EQ762</f>
        <v>24.105770659347517</v>
      </c>
      <c r="AA81" s="824">
        <f>+Input!ER762</f>
        <v>9.1479758788380892</v>
      </c>
      <c r="AB81" s="842">
        <f>+Input!ES762</f>
        <v>24.121347556660353</v>
      </c>
      <c r="AC81" s="824">
        <f>+Input!ET762</f>
        <v>10.91195197924748</v>
      </c>
      <c r="AD81" s="842">
        <f>+Input!EU762</f>
        <v>24.100176306520417</v>
      </c>
      <c r="AE81" s="824">
        <f>+Input!EV762</f>
        <v>-5.3509608323133229</v>
      </c>
      <c r="AF81" s="842">
        <f>+Input!EW762</f>
        <v>24.082404281634084</v>
      </c>
      <c r="AG81" s="824">
        <f>+Input!EX762</f>
        <v>1.1171823570997441</v>
      </c>
      <c r="AH81" s="869"/>
      <c r="AI81" s="842">
        <f>+Input!GJ762</f>
        <v>23.389611668545044</v>
      </c>
      <c r="AJ81" s="824"/>
      <c r="AK81" s="842">
        <f>+Input!GL762</f>
        <v>22.121388447508</v>
      </c>
      <c r="AL81" s="824">
        <f>+Input!GM762</f>
        <v>-5.4221645019552955</v>
      </c>
      <c r="AM81" s="842">
        <f>+Input!GN762</f>
        <v>23.816332417754701</v>
      </c>
      <c r="AN81" s="824">
        <f>+Input!GO762</f>
        <v>7.662014408673512</v>
      </c>
      <c r="AO81" s="842">
        <f>+Input!GP762</f>
        <v>24.082404281634084</v>
      </c>
      <c r="AP81" s="824">
        <f>+Input!GQ762</f>
        <v>1.1171823570997441</v>
      </c>
      <c r="AQ81" s="842">
        <f>+Input!GR762</f>
        <v>21.934690584108065</v>
      </c>
      <c r="AR81" s="824">
        <f>+Input!GS762</f>
        <v>-8.9181863754522421</v>
      </c>
      <c r="AS81" s="842">
        <f>+Input!GT762</f>
        <v>19.670977672671324</v>
      </c>
      <c r="AT81" s="824">
        <f>+Input!GU762</f>
        <v>-10.320240911338985</v>
      </c>
      <c r="AU81" s="842">
        <f>+Input!GV762</f>
        <v>17.308449226826635</v>
      </c>
      <c r="AV81" s="824">
        <f>+Input!GW762</f>
        <v>-12.010223818854326</v>
      </c>
      <c r="AW81" s="842">
        <f>+Input!GX762</f>
        <v>14.861698413497642</v>
      </c>
      <c r="AX81" s="824">
        <f>+Input!GY762</f>
        <v>-14.13616425864852</v>
      </c>
      <c r="AY81" s="824">
        <f>+Input!GZ762</f>
        <v>-9.0005615945222939</v>
      </c>
      <c r="AZ81" s="858"/>
      <c r="BA81" s="858"/>
      <c r="BB81" s="858"/>
      <c r="BC81" s="858"/>
      <c r="BD81" s="858"/>
      <c r="BE81" s="858"/>
    </row>
    <row r="82" spans="1:57" s="772" customFormat="1" ht="12.75" customHeight="1" x14ac:dyDescent="0.2">
      <c r="A82" s="868" t="str">
        <f>Input!B763</f>
        <v>LTD + Pref Equity to Common Equity (%)</v>
      </c>
      <c r="B82" s="842">
        <f>+Input!DS763</f>
        <v>28.556323708824728</v>
      </c>
      <c r="C82" s="824"/>
      <c r="D82" s="842">
        <f>+Input!DU763</f>
        <v>29.003848537699817</v>
      </c>
      <c r="E82" s="824"/>
      <c r="F82" s="842">
        <f>+Input!DW763</f>
        <v>28.520772165723447</v>
      </c>
      <c r="G82" s="824"/>
      <c r="H82" s="842">
        <f>+Input!DY763</f>
        <v>31.458888283859952</v>
      </c>
      <c r="I82" s="824"/>
      <c r="J82" s="842">
        <f>+Input!EA763</f>
        <v>27.924777301220722</v>
      </c>
      <c r="K82" s="824">
        <f>+Input!EB763</f>
        <v>-2.2115816238938324</v>
      </c>
      <c r="L82" s="842">
        <f>+Input!EC763</f>
        <v>25.05714899152553</v>
      </c>
      <c r="M82" s="824">
        <f>+Input!ED763</f>
        <v>-13.607502952734995</v>
      </c>
      <c r="N82" s="842">
        <f>+Input!EE763</f>
        <v>25.311039010806528</v>
      </c>
      <c r="O82" s="824">
        <f>+Input!EF763</f>
        <v>-11.254019127765435</v>
      </c>
      <c r="P82" s="842">
        <f>+Input!EG763</f>
        <v>29.27396306881284</v>
      </c>
      <c r="Q82" s="824">
        <f>+Input!EH763</f>
        <v>-6.9453351158886729</v>
      </c>
      <c r="R82" s="842">
        <f>+Input!EI763</f>
        <v>29.210347577001443</v>
      </c>
      <c r="S82" s="824">
        <f>+Input!EJ763</f>
        <v>4.6036903424992559</v>
      </c>
      <c r="T82" s="842">
        <f>+Input!EK763</f>
        <v>28.621765249537894</v>
      </c>
      <c r="U82" s="824">
        <f>+Input!EL763</f>
        <v>14.225945095421434</v>
      </c>
      <c r="V82" s="842">
        <f>+Input!EM763</f>
        <v>35.411131186452685</v>
      </c>
      <c r="W82" s="824">
        <f>+Input!EN763</f>
        <v>39.903901895666685</v>
      </c>
      <c r="X82" s="842">
        <f>+Input!EO763</f>
        <v>32.362465062376437</v>
      </c>
      <c r="Y82" s="824">
        <f>+Input!EP763</f>
        <v>10.550337808050148</v>
      </c>
      <c r="Z82" s="842">
        <f>+Input!EQ763</f>
        <v>32.899234015799976</v>
      </c>
      <c r="AA82" s="824">
        <f>+Input!ER763</f>
        <v>12.628697515749355</v>
      </c>
      <c r="AB82" s="842">
        <f>+Input!ES763</f>
        <v>32.928255049243816</v>
      </c>
      <c r="AC82" s="824">
        <f>+Input!ET763</f>
        <v>15.046206137741457</v>
      </c>
      <c r="AD82" s="842">
        <f>+Input!EU763</f>
        <v>32.888814617969345</v>
      </c>
      <c r="AE82" s="824">
        <f>+Input!EV763</f>
        <v>-7.1229483045949893</v>
      </c>
      <c r="AF82" s="842">
        <f>+Input!EW763</f>
        <v>32.855726189441285</v>
      </c>
      <c r="AG82" s="824">
        <f>+Input!EX763</f>
        <v>1.524176622868878</v>
      </c>
      <c r="AH82" s="869"/>
      <c r="AI82" s="842">
        <f>+Input!GJ763</f>
        <v>31.458888283859952</v>
      </c>
      <c r="AJ82" s="824"/>
      <c r="AK82" s="842">
        <f>+Input!GL763</f>
        <v>29.27396306881284</v>
      </c>
      <c r="AL82" s="824">
        <f>+Input!GM763</f>
        <v>-6.9453351158886729</v>
      </c>
      <c r="AM82" s="842">
        <f>+Input!GN763</f>
        <v>32.362465062376437</v>
      </c>
      <c r="AN82" s="824">
        <f>+Input!GO763</f>
        <v>10.550337808050148</v>
      </c>
      <c r="AO82" s="842">
        <f>+Input!GP763</f>
        <v>32.855726189441285</v>
      </c>
      <c r="AP82" s="824">
        <f>+Input!GQ763</f>
        <v>1.524176622868878</v>
      </c>
      <c r="AQ82" s="842">
        <f>+Input!GR763</f>
        <v>29.091922092300194</v>
      </c>
      <c r="AR82" s="824">
        <f>+Input!GS763</f>
        <v>-11.455549865005421</v>
      </c>
      <c r="AS82" s="842">
        <f>+Input!GT763</f>
        <v>25.343422380701629</v>
      </c>
      <c r="AT82" s="824">
        <f>+Input!GU763</f>
        <v>-12.88501907748023</v>
      </c>
      <c r="AU82" s="842">
        <f>+Input!GV763</f>
        <v>21.652204156902847</v>
      </c>
      <c r="AV82" s="824">
        <f>+Input!GW763</f>
        <v>-14.564797793882612</v>
      </c>
      <c r="AW82" s="842">
        <f>+Input!GX763</f>
        <v>18.048261505764675</v>
      </c>
      <c r="AX82" s="824">
        <f>+Input!GY763</f>
        <v>-16.644691806072842</v>
      </c>
      <c r="AY82" s="824">
        <f>+Input!GZ763</f>
        <v>-11.022795668257324</v>
      </c>
      <c r="AZ82" s="858"/>
      <c r="BA82" s="858"/>
      <c r="BB82" s="858"/>
      <c r="BC82" s="858"/>
      <c r="BD82" s="858"/>
      <c r="BE82" s="858"/>
    </row>
    <row r="83" spans="1:57" s="772" customFormat="1" ht="12.75" customHeight="1" x14ac:dyDescent="0.2">
      <c r="A83" s="868" t="str">
        <f>Input!B764</f>
        <v>Equity to Assets (Excl SAA)(%)</v>
      </c>
      <c r="B83" s="842">
        <f>+Input!DS764</f>
        <v>12.396944204508408</v>
      </c>
      <c r="C83" s="824"/>
      <c r="D83" s="842">
        <f>+Input!DU764</f>
        <v>11.983618110589845</v>
      </c>
      <c r="E83" s="824"/>
      <c r="F83" s="842">
        <f>+Input!DW764</f>
        <v>12.088763757885225</v>
      </c>
      <c r="G83" s="824"/>
      <c r="H83" s="842">
        <f>+Input!DY764</f>
        <v>11.789844448107438</v>
      </c>
      <c r="I83" s="824"/>
      <c r="J83" s="842">
        <f>+Input!EA764</f>
        <v>10.454507199847683</v>
      </c>
      <c r="K83" s="824">
        <f>+Input!EB764</f>
        <v>-15.668675865737281</v>
      </c>
      <c r="L83" s="842">
        <f>+Input!EC764</f>
        <v>10.608701710570918</v>
      </c>
      <c r="M83" s="824">
        <f>+Input!ED764</f>
        <v>-11.473299527159686</v>
      </c>
      <c r="N83" s="842">
        <f>+Input!EE764</f>
        <v>10.403800790723944</v>
      </c>
      <c r="O83" s="824">
        <f>+Input!EF764</f>
        <v>-13.93825705347429</v>
      </c>
      <c r="P83" s="842">
        <f>+Input!EG764</f>
        <v>9.6035757253415177</v>
      </c>
      <c r="Q83" s="824">
        <f>+Input!EH764</f>
        <v>-18.543660456155298</v>
      </c>
      <c r="R83" s="842">
        <f>+Input!EI764</f>
        <v>9.5049899583316382</v>
      </c>
      <c r="S83" s="824">
        <f>+Input!EJ764</f>
        <v>-9.0823720656089684</v>
      </c>
      <c r="T83" s="842">
        <f>+Input!EK764</f>
        <v>9.6136385722813777</v>
      </c>
      <c r="U83" s="824">
        <f>+Input!EL764</f>
        <v>-9.3796881601263316</v>
      </c>
      <c r="V83" s="842">
        <f>+Input!EM764</f>
        <v>10.917086301719536</v>
      </c>
      <c r="W83" s="824">
        <f>+Input!EN764</f>
        <v>4.9336345564520823</v>
      </c>
      <c r="X83" s="842">
        <f>+Input!EO764</f>
        <v>11.395809986968116</v>
      </c>
      <c r="Y83" s="824">
        <f>+Input!EP764</f>
        <v>18.662155772847445</v>
      </c>
      <c r="Z83" s="842">
        <f>+Input!EQ764</f>
        <v>11.131361489273212</v>
      </c>
      <c r="AA83" s="824">
        <f>+Input!ER764</f>
        <v>17.110712773725467</v>
      </c>
      <c r="AB83" s="842">
        <f>+Input!ES764</f>
        <v>11.043628091243175</v>
      </c>
      <c r="AC83" s="824">
        <f>+Input!ET764</f>
        <v>14.874592051804703</v>
      </c>
      <c r="AD83" s="842">
        <f>+Input!EU764</f>
        <v>10.979380198556886</v>
      </c>
      <c r="AE83" s="824">
        <f>+Input!EV764</f>
        <v>0.57060918193472254</v>
      </c>
      <c r="AF83" s="842">
        <f>+Input!EW764</f>
        <v>10.91338987118619</v>
      </c>
      <c r="AG83" s="824">
        <f>+Input!EX764</f>
        <v>-4.2333113340219386</v>
      </c>
      <c r="AH83" s="869"/>
      <c r="AI83" s="842">
        <f>+Input!GJ764</f>
        <v>11.789844448107438</v>
      </c>
      <c r="AJ83" s="824"/>
      <c r="AK83" s="842">
        <f>+Input!GL764</f>
        <v>9.6035757253415177</v>
      </c>
      <c r="AL83" s="824">
        <f>+Input!GM764</f>
        <v>-18.543660456155298</v>
      </c>
      <c r="AM83" s="842">
        <f>+Input!GN764</f>
        <v>11.395809986968116</v>
      </c>
      <c r="AN83" s="824">
        <f>+Input!GO764</f>
        <v>18.662155772847445</v>
      </c>
      <c r="AO83" s="842">
        <f>+Input!GP764</f>
        <v>10.91338987118619</v>
      </c>
      <c r="AP83" s="824">
        <f>+Input!GQ764</f>
        <v>-4.2333113340219386</v>
      </c>
      <c r="AQ83" s="842">
        <f>+Input!GR764</f>
        <v>10.731460327402617</v>
      </c>
      <c r="AR83" s="824">
        <f>+Input!GS764</f>
        <v>-1.6670305554088882</v>
      </c>
      <c r="AS83" s="842">
        <f>+Input!GT764</f>
        <v>10.576274148961183</v>
      </c>
      <c r="AT83" s="824">
        <f>+Input!GU764</f>
        <v>-1.4460863079852171</v>
      </c>
      <c r="AU83" s="842">
        <f>+Input!GV764</f>
        <v>10.438245426760838</v>
      </c>
      <c r="AV83" s="824">
        <f>+Input!GW764</f>
        <v>-1.3050788988284823</v>
      </c>
      <c r="AW83" s="842">
        <f>+Input!GX764</f>
        <v>10.307934032336529</v>
      </c>
      <c r="AX83" s="824">
        <f>+Input!GY764</f>
        <v>-1.2484032430414627</v>
      </c>
      <c r="AY83" s="824">
        <f>+Input!GZ764</f>
        <v>-1.9866380266202688</v>
      </c>
      <c r="AZ83" s="858"/>
      <c r="BA83" s="858"/>
      <c r="BB83" s="858"/>
      <c r="BC83" s="858"/>
      <c r="BD83" s="858"/>
      <c r="BE83" s="858"/>
    </row>
    <row r="84" spans="1:57" s="772" customFormat="1" ht="12.75" customHeight="1" x14ac:dyDescent="0.2">
      <c r="A84" s="868" t="str">
        <f>Input!B765</f>
        <v>Equity to Total Assets (%)</v>
      </c>
      <c r="B84" s="842">
        <f>+Input!DS765</f>
        <v>8.0203089835723365</v>
      </c>
      <c r="C84" s="824"/>
      <c r="D84" s="842">
        <f>+Input!DU765</f>
        <v>7.7222067009569146</v>
      </c>
      <c r="E84" s="824"/>
      <c r="F84" s="842">
        <f>+Input!DW765</f>
        <v>7.9893706230310721</v>
      </c>
      <c r="G84" s="824"/>
      <c r="H84" s="842">
        <f>+Input!DY765</f>
        <v>7.7396566708393468</v>
      </c>
      <c r="I84" s="824"/>
      <c r="J84" s="842">
        <f>+Input!EA765</f>
        <v>8.2595037430730258</v>
      </c>
      <c r="K84" s="824">
        <f>+Input!EB765</f>
        <v>2.9823633976025388</v>
      </c>
      <c r="L84" s="842">
        <f>+Input!EC765</f>
        <v>8.4003577464519772</v>
      </c>
      <c r="M84" s="824">
        <f>+Input!ED765</f>
        <v>8.7818297509574261</v>
      </c>
      <c r="N84" s="842">
        <f>+Input!EE765</f>
        <v>8.2155180374938084</v>
      </c>
      <c r="O84" s="824">
        <f>+Input!EF765</f>
        <v>2.8306036249065469</v>
      </c>
      <c r="P84" s="842">
        <f>+Input!EG765</f>
        <v>7.5137633461064306</v>
      </c>
      <c r="Q84" s="824">
        <f>+Input!EH765</f>
        <v>-2.9186478721209053</v>
      </c>
      <c r="R84" s="842">
        <f>+Input!EI765</f>
        <v>7.4042814645884327</v>
      </c>
      <c r="S84" s="824">
        <f>+Input!EJ765</f>
        <v>-10.354402698852693</v>
      </c>
      <c r="T84" s="842">
        <f>+Input!EK765</f>
        <v>7.4846600569174848</v>
      </c>
      <c r="U84" s="824">
        <f>+Input!EL765</f>
        <v>-10.900698722280634</v>
      </c>
      <c r="V84" s="842">
        <f>+Input!EM765</f>
        <v>7.835228968168602</v>
      </c>
      <c r="W84" s="824">
        <f>+Input!EN765</f>
        <v>-4.6289116229755845</v>
      </c>
      <c r="X84" s="842">
        <f>+Input!EO765</f>
        <v>8.1506670445011196</v>
      </c>
      <c r="Y84" s="824">
        <f>+Input!EP765</f>
        <v>8.4764939891902138</v>
      </c>
      <c r="Z84" s="842">
        <f>+Input!EQ765</f>
        <v>7.9990524224423893</v>
      </c>
      <c r="AA84" s="824">
        <f>+Input!ER765</f>
        <v>8.0327977900150884</v>
      </c>
      <c r="AB84" s="842">
        <f>+Input!ES765</f>
        <v>8.0283849775996821</v>
      </c>
      <c r="AC84" s="824">
        <f>+Input!ET765</f>
        <v>7.2645239269039985</v>
      </c>
      <c r="AD84" s="842">
        <f>+Input!EU765</f>
        <v>8.047719233332943</v>
      </c>
      <c r="AE84" s="824">
        <f>+Input!EV765</f>
        <v>2.7119853935041904</v>
      </c>
      <c r="AF84" s="842">
        <f>+Input!EW765</f>
        <v>8.0626479190226057</v>
      </c>
      <c r="AG84" s="824">
        <f>+Input!EX765</f>
        <v>-1.079900884160101</v>
      </c>
      <c r="AH84" s="869"/>
      <c r="AI84" s="842">
        <f>+Input!GJ765</f>
        <v>7.7396566708393468</v>
      </c>
      <c r="AJ84" s="824"/>
      <c r="AK84" s="842">
        <f>+Input!GL765</f>
        <v>7.5137633461064306</v>
      </c>
      <c r="AL84" s="824">
        <f>+Input!GM765</f>
        <v>-2.9186478721209053</v>
      </c>
      <c r="AM84" s="842">
        <f>+Input!GN765</f>
        <v>8.1506670445011196</v>
      </c>
      <c r="AN84" s="824">
        <f>+Input!GO765</f>
        <v>8.4764939891902138</v>
      </c>
      <c r="AO84" s="842">
        <f>+Input!GP765</f>
        <v>8.0626479190226057</v>
      </c>
      <c r="AP84" s="824">
        <f>+Input!GQ765</f>
        <v>-1.079900884160101</v>
      </c>
      <c r="AQ84" s="842">
        <f>+Input!GR765</f>
        <v>8.1872911857330433</v>
      </c>
      <c r="AR84" s="824">
        <f>+Input!GS765</f>
        <v>1.5459346353988712</v>
      </c>
      <c r="AS84" s="842">
        <f>+Input!GT765</f>
        <v>8.3078938243042462</v>
      </c>
      <c r="AT84" s="824">
        <f>+Input!GU765</f>
        <v>1.473046894696517</v>
      </c>
      <c r="AU84" s="842">
        <f>+Input!GV765</f>
        <v>8.4062436302797376</v>
      </c>
      <c r="AV84" s="824">
        <f>+Input!GW765</f>
        <v>1.1838115418347561</v>
      </c>
      <c r="AW84" s="842">
        <f>+Input!GX765</f>
        <v>8.4781623888949671</v>
      </c>
      <c r="AX84" s="824">
        <f>+Input!GY765</f>
        <v>0.85553978421675225</v>
      </c>
      <c r="AY84" s="824">
        <f>+Input!GZ765</f>
        <v>0.7909910759709371</v>
      </c>
      <c r="AZ84" s="858"/>
      <c r="BA84" s="858"/>
      <c r="BB84" s="858"/>
      <c r="BC84" s="858"/>
      <c r="BD84" s="858"/>
      <c r="BE84" s="858"/>
    </row>
    <row r="85" spans="1:57" s="772" customFormat="1" ht="12.75" customHeight="1" x14ac:dyDescent="0.2">
      <c r="A85" s="848" t="str">
        <f>Input!B766</f>
        <v>Book Value per Share</v>
      </c>
      <c r="B85" s="849">
        <f>+Input!DS766</f>
        <v>64.369559364623541</v>
      </c>
      <c r="C85" s="824"/>
      <c r="D85" s="849">
        <f>+Input!DU766</f>
        <v>60.271310888252167</v>
      </c>
      <c r="E85" s="824"/>
      <c r="F85" s="849">
        <f>+Input!DW766</f>
        <v>61.38948690348046</v>
      </c>
      <c r="G85" s="824"/>
      <c r="H85" s="849">
        <f>+Input!DY766</f>
        <v>60.002732240437169</v>
      </c>
      <c r="I85" s="824"/>
      <c r="J85" s="849">
        <f>+Input!EA766</f>
        <v>67.099681383705061</v>
      </c>
      <c r="K85" s="824">
        <f>+Input!EB766</f>
        <v>4.2413246976208852</v>
      </c>
      <c r="L85" s="849">
        <f>+Input!EC766</f>
        <v>70.179286494357498</v>
      </c>
      <c r="M85" s="824">
        <f>+Input!ED766</f>
        <v>16.438958204303056</v>
      </c>
      <c r="N85" s="849">
        <f>+Input!EE766</f>
        <v>69.353958143767073</v>
      </c>
      <c r="O85" s="824">
        <f>+Input!EF766</f>
        <v>12.973672923523116</v>
      </c>
      <c r="P85" s="849">
        <f>+Input!EG766</f>
        <v>59.758101323596541</v>
      </c>
      <c r="Q85" s="824">
        <f>+Input!EH766</f>
        <v>-0.40769962917749369</v>
      </c>
      <c r="R85" s="849">
        <f>+Input!EI766</f>
        <v>60.723203551280882</v>
      </c>
      <c r="S85" s="824">
        <f>+Input!EJ766</f>
        <v>-9.5029927131258916</v>
      </c>
      <c r="T85" s="849">
        <f>+Input!EK766</f>
        <v>63.17066290550072</v>
      </c>
      <c r="U85" s="824">
        <f>+Input!EL766</f>
        <v>-9.9867410156988186</v>
      </c>
      <c r="V85" s="849">
        <f>+Input!EM766</f>
        <v>51.58683486673624</v>
      </c>
      <c r="W85" s="824">
        <f>+Input!EN766</f>
        <v>-25.618037892228919</v>
      </c>
      <c r="X85" s="849">
        <f>+Input!EO766</f>
        <v>54.244921425833667</v>
      </c>
      <c r="Y85" s="824">
        <f>+Input!EP766</f>
        <v>-9.2258284243477142</v>
      </c>
      <c r="Z85" s="849">
        <f>+Input!EQ766</f>
        <v>54.239650909766496</v>
      </c>
      <c r="AA85" s="824">
        <f>+Input!ER766</f>
        <v>-10.677224293739728</v>
      </c>
      <c r="AB85" s="849">
        <f>+Input!ES766</f>
        <v>55.121235677264465</v>
      </c>
      <c r="AC85" s="824">
        <f>+Input!ET766</f>
        <v>-12.742350417119553</v>
      </c>
      <c r="AD85" s="849">
        <f>+Input!EU766</f>
        <v>56.028804940772822</v>
      </c>
      <c r="AE85" s="824">
        <f>+Input!EV766</f>
        <v>8.6106660459233098</v>
      </c>
      <c r="AF85" s="849">
        <f>+Input!EW766</f>
        <v>56.942630978700571</v>
      </c>
      <c r="AG85" s="824">
        <f>+Input!EX766</f>
        <v>4.9732020656631404</v>
      </c>
      <c r="AH85" s="872"/>
      <c r="AI85" s="849">
        <f>+Input!GJ766</f>
        <v>60.002732240437169</v>
      </c>
      <c r="AJ85" s="824"/>
      <c r="AK85" s="849">
        <f>+Input!GL766</f>
        <v>59.758101323596541</v>
      </c>
      <c r="AL85" s="824">
        <f>+Input!GM766</f>
        <v>-0.40769962917749369</v>
      </c>
      <c r="AM85" s="849">
        <f>+Input!GN766</f>
        <v>54.244921425833667</v>
      </c>
      <c r="AN85" s="824">
        <f>+Input!GO766</f>
        <v>-9.2258284243477142</v>
      </c>
      <c r="AO85" s="849">
        <f>+Input!GP766</f>
        <v>56.942630978700571</v>
      </c>
      <c r="AP85" s="824">
        <f>+Input!GQ766</f>
        <v>4.9732020656631404</v>
      </c>
      <c r="AQ85" s="849">
        <f>+Input!GR766</f>
        <v>60.930854662115593</v>
      </c>
      <c r="AR85" s="824">
        <f>+Input!GS766</f>
        <v>7.0039329319132149</v>
      </c>
      <c r="AS85" s="849">
        <f>+Input!GT766</f>
        <v>65.405108959126864</v>
      </c>
      <c r="AT85" s="824">
        <f>+Input!GU766</f>
        <v>7.3431668106785697</v>
      </c>
      <c r="AU85" s="849">
        <f>+Input!GV766</f>
        <v>70.382040026533247</v>
      </c>
      <c r="AV85" s="824">
        <f>+Input!GW766</f>
        <v>7.609391906244789</v>
      </c>
      <c r="AW85" s="849">
        <f>+Input!GX766</f>
        <v>75.874278369269149</v>
      </c>
      <c r="AX85" s="824">
        <f>+Input!GY766</f>
        <v>7.8034656862253415</v>
      </c>
      <c r="AY85" s="846">
        <f>+Input!GZ766</f>
        <v>6.9417035061682952</v>
      </c>
      <c r="AZ85" s="858"/>
      <c r="BA85" s="858"/>
      <c r="BB85" s="858"/>
      <c r="BC85" s="858"/>
      <c r="BD85" s="858"/>
      <c r="BE85" s="858"/>
    </row>
    <row r="86" spans="1:57" s="772" customFormat="1" ht="12.75" customHeight="1" x14ac:dyDescent="0.2">
      <c r="A86" s="822"/>
      <c r="B86" s="832"/>
      <c r="C86" s="827"/>
      <c r="D86" s="832"/>
      <c r="E86" s="827"/>
      <c r="F86" s="832"/>
      <c r="G86" s="827"/>
      <c r="H86" s="832"/>
      <c r="I86" s="827"/>
      <c r="J86" s="832"/>
      <c r="K86" s="827"/>
      <c r="L86" s="832"/>
      <c r="M86" s="827"/>
      <c r="N86" s="832"/>
      <c r="O86" s="827"/>
      <c r="P86" s="832"/>
      <c r="Q86" s="827"/>
      <c r="R86" s="832"/>
      <c r="S86" s="827"/>
      <c r="T86" s="832"/>
      <c r="U86" s="827"/>
      <c r="V86" s="832"/>
      <c r="W86" s="827"/>
      <c r="X86" s="832"/>
      <c r="Y86" s="827"/>
      <c r="Z86" s="832"/>
      <c r="AA86" s="827"/>
      <c r="AB86" s="832"/>
      <c r="AC86" s="827"/>
      <c r="AD86" s="832"/>
      <c r="AE86" s="827"/>
      <c r="AF86" s="832"/>
      <c r="AG86" s="827"/>
      <c r="AH86" s="825"/>
      <c r="AI86" s="823"/>
      <c r="AJ86" s="827"/>
      <c r="AK86" s="823"/>
      <c r="AL86" s="827"/>
      <c r="AM86" s="823"/>
      <c r="AN86" s="827"/>
      <c r="AO86" s="823"/>
      <c r="AP86" s="827"/>
      <c r="AQ86" s="823"/>
      <c r="AR86" s="827"/>
      <c r="AS86" s="823"/>
      <c r="AT86" s="827"/>
      <c r="AU86" s="823"/>
      <c r="AV86" s="827"/>
      <c r="AW86" s="823"/>
      <c r="AX86" s="827"/>
      <c r="AY86" s="825"/>
      <c r="AZ86" s="858"/>
      <c r="BA86" s="858"/>
      <c r="BB86" s="858"/>
      <c r="BC86" s="858"/>
      <c r="BD86" s="858"/>
      <c r="BE86" s="858"/>
    </row>
    <row r="87" spans="1:57" ht="12.75" customHeight="1" x14ac:dyDescent="0.2">
      <c r="A87" s="7"/>
      <c r="B87" s="244"/>
      <c r="C87" s="116"/>
      <c r="D87" s="244"/>
      <c r="E87" s="116"/>
      <c r="F87" s="244"/>
      <c r="G87" s="116"/>
      <c r="H87" s="244"/>
      <c r="I87" s="116"/>
      <c r="J87" s="244"/>
      <c r="K87" s="116"/>
      <c r="L87" s="244"/>
      <c r="M87" s="116"/>
      <c r="N87" s="244"/>
      <c r="O87" s="116"/>
      <c r="P87" s="244"/>
      <c r="Q87" s="116"/>
      <c r="R87" s="244"/>
      <c r="S87" s="116"/>
      <c r="T87" s="244"/>
      <c r="U87" s="116"/>
      <c r="V87" s="244"/>
      <c r="W87" s="116"/>
      <c r="X87" s="244"/>
      <c r="Y87" s="116"/>
      <c r="Z87" s="244"/>
      <c r="AA87" s="116"/>
      <c r="AB87" s="244"/>
      <c r="AC87" s="116"/>
      <c r="AD87" s="244"/>
      <c r="AE87" s="116"/>
      <c r="AF87" s="244"/>
      <c r="AG87" s="116"/>
      <c r="AH87" s="235"/>
      <c r="AI87" s="244"/>
      <c r="AJ87" s="116"/>
      <c r="AK87" s="244"/>
      <c r="AL87" s="116"/>
      <c r="AM87" s="244"/>
      <c r="AN87" s="116"/>
      <c r="AO87" s="244"/>
      <c r="AP87" s="116"/>
      <c r="AQ87" s="244"/>
      <c r="AR87" s="116"/>
      <c r="AS87" s="244"/>
      <c r="AT87" s="116"/>
      <c r="AU87" s="244"/>
      <c r="AV87" s="116"/>
      <c r="AW87" s="244"/>
      <c r="AX87" s="116"/>
      <c r="AY87" s="235"/>
      <c r="AZ87" s="851"/>
      <c r="BA87" s="851"/>
      <c r="BB87" s="851"/>
      <c r="BC87" s="852"/>
      <c r="BD87" s="852"/>
      <c r="BE87" s="852"/>
    </row>
    <row r="88" spans="1:57" ht="12.75" customHeight="1" x14ac:dyDescent="0.2">
      <c r="A88" s="7"/>
      <c r="B88" s="244"/>
      <c r="C88" s="116"/>
      <c r="D88" s="244"/>
      <c r="E88" s="116"/>
      <c r="F88" s="244"/>
      <c r="G88" s="116"/>
      <c r="H88" s="244"/>
      <c r="I88" s="116"/>
      <c r="J88" s="244"/>
      <c r="K88" s="116"/>
      <c r="L88" s="244"/>
      <c r="M88" s="116"/>
      <c r="N88" s="244"/>
      <c r="O88" s="116"/>
      <c r="P88" s="244"/>
      <c r="Q88" s="116"/>
      <c r="R88" s="244"/>
      <c r="S88" s="116"/>
      <c r="T88" s="244"/>
      <c r="U88" s="116"/>
      <c r="V88" s="244"/>
      <c r="W88" s="116"/>
      <c r="X88" s="244"/>
      <c r="Y88" s="116"/>
      <c r="Z88" s="244"/>
      <c r="AA88" s="116"/>
      <c r="AB88" s="244"/>
      <c r="AC88" s="116"/>
      <c r="AD88" s="244"/>
      <c r="AE88" s="116"/>
      <c r="AF88" s="244"/>
      <c r="AG88" s="116"/>
      <c r="AH88" s="235"/>
      <c r="AI88" s="244"/>
      <c r="AJ88" s="116"/>
      <c r="AK88" s="244"/>
      <c r="AL88" s="116"/>
      <c r="AM88" s="244"/>
      <c r="AN88" s="116"/>
      <c r="AO88" s="244"/>
      <c r="AP88" s="116"/>
      <c r="AQ88" s="244"/>
      <c r="AR88" s="116"/>
      <c r="AS88" s="244"/>
      <c r="AT88" s="116"/>
      <c r="AU88" s="244"/>
      <c r="AV88" s="116"/>
      <c r="AW88" s="244"/>
      <c r="AX88" s="116"/>
      <c r="AY88" s="235"/>
      <c r="AZ88" s="851"/>
      <c r="BA88" s="851"/>
      <c r="BB88" s="851"/>
      <c r="BC88" s="852"/>
      <c r="BD88" s="852"/>
      <c r="BE88" s="852"/>
    </row>
    <row r="89" spans="1:57" ht="12.75" customHeight="1" x14ac:dyDescent="0.2">
      <c r="A89" s="7"/>
      <c r="B89" s="244"/>
      <c r="C89" s="116"/>
      <c r="D89" s="244"/>
      <c r="E89" s="116"/>
      <c r="F89" s="244"/>
      <c r="G89" s="116"/>
      <c r="H89" s="244"/>
      <c r="I89" s="116"/>
      <c r="J89" s="244"/>
      <c r="K89" s="116"/>
      <c r="L89" s="244"/>
      <c r="M89" s="116"/>
      <c r="N89" s="244"/>
      <c r="O89" s="116"/>
      <c r="P89" s="244"/>
      <c r="Q89" s="116"/>
      <c r="R89" s="244"/>
      <c r="S89" s="116"/>
      <c r="T89" s="244"/>
      <c r="U89" s="116"/>
      <c r="V89" s="244"/>
      <c r="W89" s="116"/>
      <c r="X89" s="244"/>
      <c r="Y89" s="116"/>
      <c r="Z89" s="244"/>
      <c r="AA89" s="116"/>
      <c r="AB89" s="244"/>
      <c r="AC89" s="116"/>
      <c r="AD89" s="244"/>
      <c r="AE89" s="116"/>
      <c r="AF89" s="244"/>
      <c r="AG89" s="116"/>
      <c r="AH89" s="235"/>
      <c r="AI89" s="244"/>
      <c r="AJ89" s="116"/>
      <c r="AK89" s="244"/>
      <c r="AL89" s="116"/>
      <c r="AM89" s="244"/>
      <c r="AN89" s="116"/>
      <c r="AO89" s="244"/>
      <c r="AP89" s="116"/>
      <c r="AQ89" s="244"/>
      <c r="AR89" s="116"/>
      <c r="AS89" s="244"/>
      <c r="AT89" s="116"/>
      <c r="AU89" s="244"/>
      <c r="AV89" s="116"/>
      <c r="AW89" s="244"/>
      <c r="AX89" s="116"/>
      <c r="AY89" s="235"/>
      <c r="AZ89" s="851"/>
      <c r="BA89" s="851"/>
      <c r="BB89" s="851"/>
      <c r="BC89" s="852"/>
      <c r="BD89" s="852"/>
      <c r="BE89" s="852"/>
    </row>
    <row r="90" spans="1:57" ht="12.75" customHeight="1" x14ac:dyDescent="0.2">
      <c r="A90" s="7"/>
      <c r="B90" s="244"/>
      <c r="C90" s="116"/>
      <c r="D90" s="244"/>
      <c r="E90" s="116"/>
      <c r="F90" s="244"/>
      <c r="G90" s="116"/>
      <c r="H90" s="244"/>
      <c r="I90" s="116"/>
      <c r="J90" s="244"/>
      <c r="K90" s="116"/>
      <c r="L90" s="244"/>
      <c r="M90" s="116"/>
      <c r="N90" s="244"/>
      <c r="O90" s="116"/>
      <c r="P90" s="244"/>
      <c r="Q90" s="116"/>
      <c r="R90" s="244"/>
      <c r="S90" s="116"/>
      <c r="T90" s="244"/>
      <c r="U90" s="116"/>
      <c r="V90" s="244"/>
      <c r="W90" s="116"/>
      <c r="X90" s="244"/>
      <c r="Y90" s="116"/>
      <c r="Z90" s="244"/>
      <c r="AA90" s="116"/>
      <c r="AB90" s="244"/>
      <c r="AC90" s="116"/>
      <c r="AD90" s="244"/>
      <c r="AE90" s="116"/>
      <c r="AF90" s="244"/>
      <c r="AG90" s="116"/>
      <c r="AH90" s="235"/>
      <c r="AI90" s="244"/>
      <c r="AJ90" s="116"/>
      <c r="AK90" s="244"/>
      <c r="AL90" s="116"/>
      <c r="AM90" s="244"/>
      <c r="AN90" s="116"/>
      <c r="AO90" s="244"/>
      <c r="AP90" s="116"/>
      <c r="AQ90" s="244"/>
      <c r="AR90" s="116"/>
      <c r="AS90" s="244"/>
      <c r="AT90" s="116"/>
      <c r="AU90" s="244"/>
      <c r="AV90" s="116"/>
      <c r="AW90" s="244"/>
      <c r="AX90" s="116"/>
      <c r="AY90" s="235"/>
      <c r="AZ90" s="851"/>
      <c r="BA90" s="851"/>
      <c r="BB90" s="851"/>
      <c r="BC90" s="852"/>
      <c r="BD90" s="852"/>
      <c r="BE90" s="852"/>
    </row>
    <row r="91" spans="1:57" ht="12.75" customHeight="1" x14ac:dyDescent="0.2">
      <c r="A91" s="7"/>
      <c r="B91" s="244"/>
      <c r="C91" s="116"/>
      <c r="D91" s="244"/>
      <c r="E91" s="116"/>
      <c r="F91" s="244"/>
      <c r="G91" s="116"/>
      <c r="H91" s="244"/>
      <c r="I91" s="116"/>
      <c r="J91" s="244"/>
      <c r="K91" s="116"/>
      <c r="L91" s="244"/>
      <c r="M91" s="116"/>
      <c r="N91" s="244"/>
      <c r="O91" s="116"/>
      <c r="P91" s="244"/>
      <c r="Q91" s="116"/>
      <c r="R91" s="244"/>
      <c r="S91" s="116"/>
      <c r="T91" s="244"/>
      <c r="U91" s="116"/>
      <c r="V91" s="244"/>
      <c r="W91" s="116"/>
      <c r="X91" s="244"/>
      <c r="Y91" s="116"/>
      <c r="Z91" s="244"/>
      <c r="AA91" s="116"/>
      <c r="AB91" s="244"/>
      <c r="AC91" s="116"/>
      <c r="AD91" s="244"/>
      <c r="AE91" s="116"/>
      <c r="AF91" s="244"/>
      <c r="AG91" s="116"/>
      <c r="AH91" s="235"/>
      <c r="AI91" s="244"/>
      <c r="AJ91" s="116"/>
      <c r="AK91" s="244"/>
      <c r="AL91" s="116"/>
      <c r="AM91" s="244"/>
      <c r="AN91" s="116"/>
      <c r="AO91" s="244"/>
      <c r="AP91" s="116"/>
      <c r="AQ91" s="244"/>
      <c r="AR91" s="116"/>
      <c r="AS91" s="244"/>
      <c r="AT91" s="116"/>
      <c r="AU91" s="244"/>
      <c r="AV91" s="116"/>
      <c r="AW91" s="244"/>
      <c r="AX91" s="116"/>
      <c r="AY91" s="235"/>
      <c r="AZ91" s="851"/>
      <c r="BA91" s="851"/>
      <c r="BB91" s="851"/>
      <c r="BC91" s="852"/>
      <c r="BD91" s="852"/>
      <c r="BE91" s="852"/>
    </row>
  </sheetData>
  <phoneticPr fontId="4" type="noConversion"/>
  <pageMargins left="0" right="0" top="0" bottom="0" header="0" footer="0"/>
  <pageSetup paperSize="5" scale="58" orientation="landscape" horizontalDpi="300" r:id="rId1"/>
  <headerFooter alignWithMargins="0"/>
  <rowBreaks count="1" manualBreakCount="1">
    <brk id="45" max="16383"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enableFormatConditionsCalculation="0"/>
  <dimension ref="A2:Z143"/>
  <sheetViews>
    <sheetView zoomScale="90" zoomScaleNormal="90" workbookViewId="0">
      <pane xSplit="1" ySplit="3" topLeftCell="J127" activePane="bottomRight" state="frozen"/>
      <selection activeCell="F4" sqref="F4"/>
      <selection pane="topRight" activeCell="F4" sqref="F4"/>
      <selection pane="bottomLeft" activeCell="F4" sqref="F4"/>
      <selection pane="bottomRight" activeCell="N117" sqref="N117"/>
    </sheetView>
  </sheetViews>
  <sheetFormatPr defaultRowHeight="12.75" customHeight="1" outlineLevelRow="1" outlineLevelCol="1" x14ac:dyDescent="0.2"/>
  <cols>
    <col min="1" max="1" width="34.85546875" style="2" customWidth="1"/>
    <col min="2" max="5" width="9.140625" style="2" hidden="1" customWidth="1" outlineLevel="1"/>
    <col min="6" max="6" width="9.140625" style="2" hidden="1" customWidth="1" outlineLevel="1" collapsed="1"/>
    <col min="7" max="9" width="9.140625" style="2" hidden="1" customWidth="1" outlineLevel="1"/>
    <col min="10" max="10" width="0.85546875" style="2" customWidth="1" collapsed="1"/>
    <col min="11" max="11" width="9.140625" style="2" hidden="1" customWidth="1" outlineLevel="1"/>
    <col min="12" max="12" width="0" style="2" hidden="1" customWidth="1" outlineLevel="1"/>
    <col min="13" max="13" width="9.140625" style="2" collapsed="1"/>
    <col min="14" max="15" width="9" style="2" customWidth="1"/>
    <col min="16" max="16" width="0.85546875" style="2" customWidth="1"/>
    <col min="17" max="17" width="9.140625" style="2" hidden="1" customWidth="1" outlineLevel="1"/>
    <col min="18" max="18" width="17.42578125" style="2" hidden="1" customWidth="1" outlineLevel="1" collapsed="1"/>
    <col min="19" max="19" width="17.42578125" style="2" hidden="1" customWidth="1" outlineLevel="1"/>
    <col min="20" max="20" width="14.140625" style="2" hidden="1" customWidth="1" outlineLevel="1"/>
    <col min="21" max="21" width="9.140625" style="2" collapsed="1"/>
    <col min="22" max="22" width="20.140625" style="2" bestFit="1" customWidth="1" collapsed="1"/>
    <col min="23" max="23" width="20.140625" style="2" customWidth="1"/>
    <col min="24" max="24" width="31.28515625" style="2" bestFit="1" customWidth="1"/>
    <col min="25" max="25" width="16" style="2" customWidth="1"/>
    <col min="26" max="16384" width="9.140625" style="2"/>
  </cols>
  <sheetData>
    <row r="2" spans="1:25" ht="12.75" customHeight="1" x14ac:dyDescent="0.2">
      <c r="R2" s="1198" t="s">
        <v>413</v>
      </c>
      <c r="S2" s="1198"/>
      <c r="T2" s="626" t="s">
        <v>414</v>
      </c>
      <c r="V2" s="1198" t="s">
        <v>413</v>
      </c>
      <c r="W2" s="1198"/>
      <c r="X2" s="1198"/>
      <c r="Y2" s="626"/>
    </row>
    <row r="3" spans="1:25" s="20" customFormat="1" ht="12.75" customHeight="1" x14ac:dyDescent="0.2">
      <c r="A3" s="6"/>
      <c r="B3" s="464" t="s">
        <v>249</v>
      </c>
      <c r="C3" s="464" t="s">
        <v>250</v>
      </c>
      <c r="D3" s="464" t="s">
        <v>251</v>
      </c>
      <c r="E3" s="464" t="s">
        <v>252</v>
      </c>
      <c r="F3" s="464" t="s">
        <v>91</v>
      </c>
      <c r="G3" s="464" t="s">
        <v>92</v>
      </c>
      <c r="H3" s="464" t="s">
        <v>93</v>
      </c>
      <c r="I3" s="464" t="s">
        <v>94</v>
      </c>
      <c r="K3" s="464">
        <v>2013</v>
      </c>
      <c r="L3" s="464">
        <v>2014</v>
      </c>
      <c r="M3" s="464">
        <v>2015</v>
      </c>
      <c r="N3" s="464" t="s">
        <v>167</v>
      </c>
      <c r="O3" s="464" t="s">
        <v>757</v>
      </c>
      <c r="Q3" s="4" t="s">
        <v>382</v>
      </c>
      <c r="R3" s="650">
        <v>2014</v>
      </c>
      <c r="S3" s="4" t="s">
        <v>383</v>
      </c>
      <c r="T3" s="4" t="s">
        <v>415</v>
      </c>
      <c r="V3" s="650">
        <v>2017</v>
      </c>
      <c r="W3" s="650">
        <v>2018</v>
      </c>
      <c r="X3" s="4" t="s">
        <v>825</v>
      </c>
      <c r="Y3" s="4" t="s">
        <v>635</v>
      </c>
    </row>
    <row r="4" spans="1:25" s="167" customFormat="1" ht="12.75" customHeight="1" x14ac:dyDescent="0.2">
      <c r="A4" s="22" t="s">
        <v>753</v>
      </c>
    </row>
    <row r="5" spans="1:25" s="10" customFormat="1" ht="12.75" customHeight="1" outlineLevel="1" x14ac:dyDescent="0.2">
      <c r="A5" s="10" t="s">
        <v>395</v>
      </c>
      <c r="B5" s="13">
        <f>TotalRev_Group _1Q13</f>
        <v>4615</v>
      </c>
      <c r="C5" s="13">
        <f>TotalRev_Group _2Q13</f>
        <v>4544</v>
      </c>
      <c r="D5" s="13">
        <f>TotalRev_Group _3Q13</f>
        <v>4500</v>
      </c>
      <c r="E5" s="13">
        <f>TotalRev_Group _4Q13</f>
        <v>4553</v>
      </c>
      <c r="F5" s="13">
        <f>TotalRev_Group _1Q14</f>
        <v>4742</v>
      </c>
      <c r="G5" s="13">
        <f>TotalRev_Group _2Q14</f>
        <v>4788</v>
      </c>
      <c r="H5" s="13">
        <f>TotalRev_Group _3Q14</f>
        <v>4768</v>
      </c>
      <c r="I5" s="13">
        <f>TotalRev_Group _4Q14</f>
        <v>4678</v>
      </c>
      <c r="K5" s="13">
        <f>TotalRev_Group F2013_</f>
        <v>18212</v>
      </c>
      <c r="L5" s="13">
        <f>TotalRev_Group F2014_</f>
        <v>18976</v>
      </c>
      <c r="M5" s="13">
        <f>TotalRev_Group F2015_</f>
        <v>16740</v>
      </c>
      <c r="N5" s="13">
        <f>TotalRev_Group F2016_</f>
        <v>17436</v>
      </c>
      <c r="O5" s="13">
        <f>TotalRev_Group F2017_</f>
        <v>17805</v>
      </c>
    </row>
    <row r="6" spans="1:25" ht="12.75" customHeight="1" x14ac:dyDescent="0.2">
      <c r="A6" s="723" t="s">
        <v>416</v>
      </c>
      <c r="B6" s="10"/>
      <c r="C6" s="10"/>
      <c r="D6" s="10"/>
      <c r="E6" s="10"/>
      <c r="F6" s="731">
        <f>F5/B5-1</f>
        <v>2.7518959913326091E-2</v>
      </c>
      <c r="G6" s="731">
        <f>G5/C5-1</f>
        <v>5.3697183098591506E-2</v>
      </c>
      <c r="H6" s="731">
        <f>H5/D5-1</f>
        <v>5.9555555555555584E-2</v>
      </c>
      <c r="I6" s="731">
        <f>I5/E5-1</f>
        <v>2.7454425653415271E-2</v>
      </c>
      <c r="J6" s="10"/>
      <c r="K6" s="10"/>
      <c r="L6" s="731">
        <f>L5/K5-1</f>
        <v>4.1950362398418539E-2</v>
      </c>
      <c r="M6" s="731">
        <f>M5/L5-1</f>
        <v>-0.11783305227655982</v>
      </c>
      <c r="N6" s="731">
        <f>N5/M5-1</f>
        <v>4.1577060931899723E-2</v>
      </c>
      <c r="O6" s="731">
        <f>O5/N5-1</f>
        <v>2.1163110805230589E-2</v>
      </c>
      <c r="Q6" s="10"/>
      <c r="R6" s="726" t="s">
        <v>417</v>
      </c>
      <c r="S6" s="726" t="s">
        <v>418</v>
      </c>
      <c r="T6" s="726" t="s">
        <v>384</v>
      </c>
      <c r="U6" s="10"/>
      <c r="V6" s="726" t="s">
        <v>387</v>
      </c>
      <c r="W6" s="726" t="s">
        <v>387</v>
      </c>
      <c r="X6" s="726" t="s">
        <v>650</v>
      </c>
      <c r="Y6" s="726" t="s">
        <v>384</v>
      </c>
    </row>
    <row r="7" spans="1:25" ht="12.75" customHeight="1" outlineLevel="1" x14ac:dyDescent="0.2">
      <c r="A7" s="10" t="s">
        <v>230</v>
      </c>
      <c r="B7" s="458">
        <f>Core_Group_ATEarns _1Q13</f>
        <v>234</v>
      </c>
      <c r="C7" s="458">
        <f>Core_Group_ATEarns _2Q13</f>
        <v>263</v>
      </c>
      <c r="D7" s="458">
        <f>Core_Group_ATEarns _3Q13</f>
        <v>215</v>
      </c>
      <c r="E7" s="458">
        <f>Core_Group_ATEarns _4Q13</f>
        <v>215</v>
      </c>
      <c r="F7" s="458">
        <f>Core_Group_ATEarns _1Q14</f>
        <v>189</v>
      </c>
      <c r="G7" s="458">
        <f>Core_Group_ATEarns _2Q14</f>
        <v>211</v>
      </c>
      <c r="H7" s="458">
        <f>Core_Group_ATEarns _3Q14</f>
        <v>218</v>
      </c>
      <c r="I7" s="458">
        <f>Core_Group_ATEarns _4Q14</f>
        <v>237</v>
      </c>
      <c r="J7" s="10"/>
      <c r="K7" s="13">
        <f>Core_Group_ATEarns F2013_</f>
        <v>927</v>
      </c>
      <c r="L7" s="13">
        <f>Core_Group_ATEarns F2014_</f>
        <v>855</v>
      </c>
      <c r="M7" s="13">
        <f>Core_Group_ATEarns F2015_</f>
        <v>633</v>
      </c>
      <c r="N7" s="13">
        <f>Core_Group_ATEarns F2016_</f>
        <v>677.6</v>
      </c>
      <c r="O7" s="13">
        <f>Core_Group_ATEarns F2017_</f>
        <v>865</v>
      </c>
      <c r="Q7" s="10"/>
      <c r="R7" s="726"/>
      <c r="S7" s="726"/>
      <c r="T7" s="726"/>
      <c r="U7" s="10"/>
      <c r="V7" s="726"/>
      <c r="W7" s="726"/>
      <c r="X7" s="726"/>
      <c r="Y7" s="726"/>
    </row>
    <row r="8" spans="1:25" ht="12.75" customHeight="1" x14ac:dyDescent="0.2">
      <c r="A8" s="723" t="s">
        <v>419</v>
      </c>
      <c r="B8" s="10"/>
      <c r="C8" s="10"/>
      <c r="D8" s="10"/>
      <c r="E8" s="10"/>
      <c r="F8" s="731">
        <f>F7/B7-1</f>
        <v>-0.19230769230769229</v>
      </c>
      <c r="G8" s="731">
        <f>G7/C7-1</f>
        <v>-0.19771863117870725</v>
      </c>
      <c r="H8" s="731">
        <f>H7/D7-1</f>
        <v>1.3953488372093092E-2</v>
      </c>
      <c r="I8" s="731">
        <f>I7/E7-1</f>
        <v>0.10232558139534875</v>
      </c>
      <c r="J8" s="10"/>
      <c r="K8" s="10"/>
      <c r="L8" s="731">
        <f>L7/K7-1</f>
        <v>-7.7669902912621325E-2</v>
      </c>
      <c r="M8" s="731">
        <f>M7/L7-1</f>
        <v>-0.25964912280701757</v>
      </c>
      <c r="N8" s="731">
        <f>N7/M7-1</f>
        <v>7.0458135860979487E-2</v>
      </c>
      <c r="O8" s="731">
        <f>O7/N7-1</f>
        <v>0.27656434474616298</v>
      </c>
      <c r="Q8" s="10"/>
      <c r="R8" s="726" t="s">
        <v>481</v>
      </c>
      <c r="S8" s="726" t="s">
        <v>481</v>
      </c>
      <c r="T8" s="726" t="s">
        <v>386</v>
      </c>
      <c r="U8" s="10"/>
      <c r="V8" s="726" t="s">
        <v>481</v>
      </c>
      <c r="W8" s="726"/>
      <c r="X8" s="726" t="s">
        <v>481</v>
      </c>
      <c r="Y8" s="726" t="s">
        <v>386</v>
      </c>
    </row>
    <row r="9" spans="1:25" ht="12.75" customHeight="1" x14ac:dyDescent="0.2">
      <c r="A9" s="723" t="s">
        <v>393</v>
      </c>
      <c r="Q9" s="10"/>
      <c r="R9" s="726" t="s">
        <v>481</v>
      </c>
      <c r="S9" s="726" t="s">
        <v>481</v>
      </c>
      <c r="T9" s="726" t="s">
        <v>385</v>
      </c>
      <c r="U9" s="10"/>
      <c r="V9" s="726" t="s">
        <v>481</v>
      </c>
      <c r="W9" s="726"/>
      <c r="X9" s="726" t="s">
        <v>481</v>
      </c>
      <c r="Y9" s="726" t="s">
        <v>385</v>
      </c>
    </row>
    <row r="10" spans="1:25" ht="12.75" customHeight="1" x14ac:dyDescent="0.2">
      <c r="A10" s="723" t="s">
        <v>420</v>
      </c>
      <c r="B10" s="10"/>
      <c r="C10" s="10"/>
      <c r="D10" s="10"/>
      <c r="E10" s="10"/>
      <c r="F10" s="10"/>
      <c r="G10" s="10"/>
      <c r="H10" s="10"/>
      <c r="I10" s="10"/>
      <c r="J10" s="10"/>
      <c r="K10" s="10"/>
      <c r="L10" s="10"/>
      <c r="M10" s="10"/>
      <c r="N10" s="10"/>
      <c r="O10" s="10"/>
      <c r="Q10" s="430">
        <v>88.2</v>
      </c>
      <c r="R10" s="726" t="s">
        <v>421</v>
      </c>
      <c r="S10" s="726" t="s">
        <v>421</v>
      </c>
      <c r="T10" s="726" t="s">
        <v>481</v>
      </c>
      <c r="V10" s="880" t="s">
        <v>636</v>
      </c>
      <c r="W10" s="880" t="s">
        <v>636</v>
      </c>
      <c r="X10" s="880" t="s">
        <v>636</v>
      </c>
      <c r="Y10" s="726" t="s">
        <v>481</v>
      </c>
    </row>
    <row r="11" spans="1:25" ht="12.75" customHeight="1" x14ac:dyDescent="0.2">
      <c r="A11" s="723" t="s">
        <v>807</v>
      </c>
      <c r="B11" s="10"/>
      <c r="C11" s="10"/>
      <c r="D11" s="10"/>
      <c r="E11" s="10"/>
      <c r="F11" s="10"/>
      <c r="G11" s="10"/>
      <c r="H11" s="10"/>
      <c r="I11" s="10"/>
      <c r="J11" s="10"/>
      <c r="K11" s="10"/>
      <c r="L11" s="10"/>
      <c r="M11" s="10"/>
      <c r="N11" s="10"/>
      <c r="O11" s="10"/>
      <c r="Q11" s="430"/>
      <c r="R11" s="726"/>
      <c r="S11" s="726"/>
      <c r="T11" s="726"/>
      <c r="V11" s="880"/>
      <c r="W11" s="880" t="s">
        <v>808</v>
      </c>
      <c r="X11" s="880"/>
      <c r="Y11" s="726"/>
    </row>
    <row r="12" spans="1:25" s="10" customFormat="1" ht="12.75" customHeight="1" x14ac:dyDescent="0.2">
      <c r="A12" s="723" t="s">
        <v>425</v>
      </c>
      <c r="B12" s="733">
        <f>Group_ExpenseRatio _1Q13</f>
        <v>12.741061755146262</v>
      </c>
      <c r="C12" s="733">
        <f>Group_ExpenseRatio _2Q13</f>
        <v>12.720070422535212</v>
      </c>
      <c r="D12" s="733">
        <f>Group_ExpenseRatio _3Q13</f>
        <v>13.222222222222221</v>
      </c>
      <c r="E12" s="733">
        <f>Group_ExpenseRatio _4Q13</f>
        <v>13.595431583571271</v>
      </c>
      <c r="F12" s="733">
        <f>Group_ExpenseRatio _1Q14</f>
        <v>13.243357233234923</v>
      </c>
      <c r="G12" s="733">
        <f>Group_ExpenseRatio _2Q14</f>
        <v>13.324979114452798</v>
      </c>
      <c r="H12" s="733">
        <f>Group_ExpenseRatio _3Q14</f>
        <v>13.296979865771814</v>
      </c>
      <c r="I12" s="733">
        <f>Group_ExpenseRatio _4Q14</f>
        <v>14.365113296280462</v>
      </c>
      <c r="K12" s="733">
        <f>Group_ExpenseRatio F2013_</f>
        <v>13.068306611025699</v>
      </c>
      <c r="L12" s="733">
        <f>Group_ExpenseRatio F2014_</f>
        <v>13.553962900505903</v>
      </c>
      <c r="M12" s="733">
        <f>Group_ExpenseRatio F2015_</f>
        <v>13.685782556750297</v>
      </c>
      <c r="N12" s="733">
        <f>Group_ExpenseRatio F2016_</f>
        <v>13.535214498738243</v>
      </c>
      <c r="O12" s="733">
        <f>Group_ExpenseRatio F2017_</f>
        <v>13.001965739960685</v>
      </c>
      <c r="R12" s="726" t="s">
        <v>426</v>
      </c>
      <c r="S12" s="726" t="s">
        <v>426</v>
      </c>
      <c r="T12" s="726" t="s">
        <v>481</v>
      </c>
      <c r="V12" s="726"/>
      <c r="W12" s="726"/>
      <c r="X12" s="726"/>
      <c r="Y12" s="726"/>
    </row>
    <row r="13" spans="1:25" s="10" customFormat="1" ht="12.75" customHeight="1" x14ac:dyDescent="0.2">
      <c r="A13" s="723"/>
      <c r="B13" s="733"/>
      <c r="C13" s="733"/>
      <c r="D13" s="733"/>
      <c r="E13" s="733"/>
      <c r="F13" s="733"/>
      <c r="G13" s="733"/>
      <c r="H13" s="733"/>
      <c r="I13" s="733"/>
      <c r="K13" s="733"/>
      <c r="L13" s="733"/>
      <c r="M13" s="733"/>
      <c r="N13" s="733"/>
      <c r="O13" s="733"/>
      <c r="R13" s="726"/>
      <c r="S13" s="726"/>
      <c r="T13" s="726"/>
      <c r="V13" s="726"/>
      <c r="W13" s="726"/>
      <c r="X13" s="726"/>
      <c r="Y13" s="726"/>
    </row>
    <row r="14" spans="1:25" s="10" customFormat="1" ht="12.75" customHeight="1" outlineLevel="1" x14ac:dyDescent="0.2">
      <c r="A14" s="888" t="s">
        <v>658</v>
      </c>
      <c r="B14" s="733"/>
      <c r="C14" s="733"/>
      <c r="D14" s="733"/>
      <c r="E14" s="733"/>
      <c r="F14" s="733"/>
      <c r="G14" s="733"/>
      <c r="H14" s="733"/>
      <c r="I14" s="733"/>
      <c r="K14" s="733"/>
      <c r="L14" s="733"/>
      <c r="M14" s="733"/>
      <c r="N14" s="733"/>
      <c r="O14" s="733"/>
      <c r="R14" s="726"/>
      <c r="S14" s="726"/>
      <c r="T14" s="726"/>
      <c r="V14" s="726"/>
      <c r="W14" s="726"/>
      <c r="X14" s="726"/>
      <c r="Y14" s="726"/>
    </row>
    <row r="15" spans="1:25" s="10" customFormat="1" ht="12.75" customHeight="1" outlineLevel="1" x14ac:dyDescent="0.2">
      <c r="A15" s="723" t="s">
        <v>659</v>
      </c>
      <c r="B15" s="733"/>
      <c r="C15" s="733"/>
      <c r="D15" s="733"/>
      <c r="E15" s="733"/>
      <c r="F15" s="733"/>
      <c r="G15" s="733"/>
      <c r="H15" s="733"/>
      <c r="I15" s="733"/>
      <c r="K15" s="733"/>
      <c r="L15" s="733"/>
      <c r="M15" s="733"/>
      <c r="N15" s="733"/>
      <c r="O15" s="733"/>
      <c r="R15" s="726"/>
      <c r="S15" s="726"/>
      <c r="T15" s="726"/>
      <c r="V15" s="726" t="s">
        <v>758</v>
      </c>
      <c r="W15" s="726" t="s">
        <v>781</v>
      </c>
      <c r="X15" s="726"/>
      <c r="Y15" s="726"/>
    </row>
    <row r="16" spans="1:25" s="10" customFormat="1" ht="12.75" customHeight="1" outlineLevel="1" x14ac:dyDescent="0.2">
      <c r="A16" s="723" t="s">
        <v>660</v>
      </c>
      <c r="B16" s="733"/>
      <c r="C16" s="733"/>
      <c r="D16" s="733"/>
      <c r="E16" s="733"/>
      <c r="F16" s="733"/>
      <c r="G16" s="733"/>
      <c r="H16" s="733"/>
      <c r="I16" s="733"/>
      <c r="K16" s="733"/>
      <c r="L16" s="733"/>
      <c r="M16" s="733"/>
      <c r="N16" s="733"/>
      <c r="O16" s="733"/>
      <c r="R16" s="726"/>
      <c r="S16" s="726"/>
      <c r="T16" s="726"/>
      <c r="V16" s="726" t="s">
        <v>758</v>
      </c>
      <c r="W16" s="726" t="s">
        <v>781</v>
      </c>
      <c r="X16" s="726"/>
      <c r="Y16" s="726"/>
    </row>
    <row r="17" spans="1:25" s="10" customFormat="1" ht="12.75" customHeight="1" outlineLevel="1" x14ac:dyDescent="0.2">
      <c r="A17" s="723"/>
      <c r="B17" s="733"/>
      <c r="C17" s="733"/>
      <c r="D17" s="733"/>
      <c r="E17" s="733"/>
      <c r="F17" s="733"/>
      <c r="G17" s="733"/>
      <c r="H17" s="733"/>
      <c r="I17" s="733"/>
      <c r="K17" s="733"/>
      <c r="L17" s="733"/>
      <c r="M17" s="733"/>
      <c r="N17" s="733"/>
      <c r="O17" s="733"/>
      <c r="R17" s="726"/>
      <c r="S17" s="726"/>
      <c r="T17" s="726"/>
      <c r="V17" s="726"/>
      <c r="W17" s="726"/>
      <c r="X17" s="726"/>
      <c r="Y17" s="726"/>
    </row>
    <row r="18" spans="1:25" s="167" customFormat="1" ht="12.75" customHeight="1" x14ac:dyDescent="0.2">
      <c r="A18" s="585" t="s">
        <v>754</v>
      </c>
    </row>
    <row r="19" spans="1:25" ht="12.75" customHeight="1" outlineLevel="1" x14ac:dyDescent="0.2">
      <c r="A19" s="723" t="s">
        <v>230</v>
      </c>
      <c r="B19" s="458">
        <f>Core_Pensions_ATEarns _1Q13</f>
        <v>294</v>
      </c>
      <c r="C19" s="458">
        <f>Core_Pensions_ATEarns _2Q13</f>
        <v>338</v>
      </c>
      <c r="D19" s="458">
        <f>Core_Pensions_ATEarns _3Q13</f>
        <v>298</v>
      </c>
      <c r="E19" s="458">
        <f>Core_Pensions_ATEarns _4Q13</f>
        <v>340</v>
      </c>
      <c r="F19" s="458">
        <f>Core_Pensions_ATEarns _1Q14</f>
        <v>325</v>
      </c>
      <c r="G19" s="458">
        <f>Core_Pensions_ATEarns _2Q14</f>
        <v>342</v>
      </c>
      <c r="H19" s="458">
        <f>Core_Pensions_ATEarns _3Q14</f>
        <v>362</v>
      </c>
      <c r="I19" s="458">
        <f>Core_Pensions_ATEarns _4Q14</f>
        <v>360</v>
      </c>
      <c r="J19" s="10"/>
      <c r="K19" s="13">
        <f>Core_Pensions_ATEarns F2013_</f>
        <v>1270</v>
      </c>
      <c r="L19" s="13">
        <f>Core_Pensions_ATEarns F2014_</f>
        <v>1389</v>
      </c>
      <c r="M19" s="13">
        <f>Core_Pensions_ATEarns F2015_</f>
        <v>1136</v>
      </c>
      <c r="N19" s="13">
        <f>Core_Pensions_ATEarns F2016_</f>
        <v>1162.5</v>
      </c>
      <c r="O19" s="13">
        <f>Core_Pensions_ATEarns F2017_</f>
        <v>1001</v>
      </c>
      <c r="Q19" s="10"/>
      <c r="R19" s="726"/>
      <c r="S19" s="726"/>
      <c r="T19" s="726"/>
      <c r="V19" s="726"/>
      <c r="W19" s="726"/>
      <c r="X19" s="726"/>
      <c r="Y19" s="726"/>
    </row>
    <row r="20" spans="1:25" s="10" customFormat="1" ht="12.75" customHeight="1" x14ac:dyDescent="0.2">
      <c r="A20" s="723" t="s">
        <v>419</v>
      </c>
      <c r="B20" s="169"/>
      <c r="F20" s="731">
        <f>F19/B19-1</f>
        <v>0.10544217687074831</v>
      </c>
      <c r="G20" s="731">
        <f>G19/C19-1</f>
        <v>1.1834319526627279E-2</v>
      </c>
      <c r="H20" s="731">
        <f>H19/D19-1</f>
        <v>0.21476510067114085</v>
      </c>
      <c r="I20" s="731">
        <f>I19/E19-1</f>
        <v>5.8823529411764719E-2</v>
      </c>
      <c r="L20" s="731">
        <f>L19/K19-1</f>
        <v>9.3700787401574726E-2</v>
      </c>
      <c r="M20" s="731"/>
      <c r="N20" s="731">
        <f>N19/M19-1</f>
        <v>2.3327464788732488E-2</v>
      </c>
      <c r="O20" s="731">
        <f>O19/N19-1</f>
        <v>-0.13892473118279569</v>
      </c>
      <c r="R20" s="726" t="s">
        <v>427</v>
      </c>
      <c r="S20" s="726" t="s">
        <v>427</v>
      </c>
      <c r="T20" s="726" t="s">
        <v>387</v>
      </c>
      <c r="V20" s="726"/>
      <c r="W20" s="726"/>
      <c r="X20" s="726"/>
      <c r="Y20" s="726"/>
    </row>
    <row r="21" spans="1:25" ht="12.75" customHeight="1" x14ac:dyDescent="0.2">
      <c r="A21" s="723" t="s">
        <v>423</v>
      </c>
      <c r="B21" s="169">
        <f>Spread_CorpBenefit _1Q13*100</f>
        <v>120.41379486285493</v>
      </c>
      <c r="C21" s="169">
        <f>Spread_CorpBenefit _2Q13*100</f>
        <v>138.39799936056622</v>
      </c>
      <c r="D21" s="169">
        <f>Spread_CorpBenefit _3Q13*100</f>
        <v>140.04344937788395</v>
      </c>
      <c r="E21" s="169">
        <f>Spread_CorpBenefit _4Q13*100</f>
        <v>160.15764958796134</v>
      </c>
      <c r="F21" s="169">
        <f>Spread_CorpBenefit _1Q14*100</f>
        <v>158.20911585858042</v>
      </c>
      <c r="G21" s="169">
        <f>Spread_CorpBenefit _2Q14*100</f>
        <v>168.7578361657927</v>
      </c>
      <c r="H21" s="169">
        <f>Spread_CorpBenefit _3Q14*100</f>
        <v>185.22988351614953</v>
      </c>
      <c r="I21" s="169">
        <f>Spread_CorpBenefit _4Q14*100</f>
        <v>163.50293712632262</v>
      </c>
      <c r="J21" s="10"/>
      <c r="K21" s="169">
        <f>Spread_CorpBenefit F2013_*100</f>
        <v>139.49233935513382</v>
      </c>
      <c r="L21" s="169">
        <f>Spread_CorpBenefit F2014_*100</f>
        <v>168.89973757505041</v>
      </c>
      <c r="M21" s="169">
        <f>Spread_CorpBenefit F2015_*100</f>
        <v>170.11918716222522</v>
      </c>
      <c r="N21" s="169">
        <f>Spread_CorpBenefit F2016_*100</f>
        <v>162.47671552014137</v>
      </c>
      <c r="O21" s="169">
        <f>Spread_CorpBenefit F2017_*100</f>
        <v>155.52084676706735</v>
      </c>
      <c r="Q21" s="24">
        <v>153</v>
      </c>
      <c r="R21" s="726" t="s">
        <v>428</v>
      </c>
      <c r="S21" s="726" t="s">
        <v>429</v>
      </c>
      <c r="T21" s="726" t="s">
        <v>481</v>
      </c>
      <c r="V21" s="726" t="s">
        <v>759</v>
      </c>
      <c r="W21" s="726" t="s">
        <v>809</v>
      </c>
      <c r="X21" s="726"/>
      <c r="Y21" s="726" t="s">
        <v>481</v>
      </c>
    </row>
    <row r="22" spans="1:25" ht="12.75" customHeight="1" x14ac:dyDescent="0.2">
      <c r="A22" s="10" t="s">
        <v>433</v>
      </c>
      <c r="B22" s="321">
        <v>0</v>
      </c>
      <c r="C22" s="321">
        <v>8</v>
      </c>
      <c r="D22" s="725"/>
      <c r="E22" s="321">
        <v>27</v>
      </c>
      <c r="F22" s="321"/>
      <c r="G22" s="321"/>
      <c r="H22" s="321"/>
      <c r="I22" s="321"/>
      <c r="J22" s="10"/>
      <c r="K22" s="10">
        <f>SUM(B22:E22)</f>
        <v>35</v>
      </c>
      <c r="L22" s="10"/>
      <c r="M22" s="10"/>
      <c r="N22" s="10"/>
      <c r="O22" s="10"/>
      <c r="Q22" s="24">
        <v>31</v>
      </c>
      <c r="R22" s="726" t="s">
        <v>519</v>
      </c>
      <c r="S22" s="726" t="s">
        <v>481</v>
      </c>
      <c r="T22" s="726" t="s">
        <v>481</v>
      </c>
      <c r="V22" s="726" t="s">
        <v>760</v>
      </c>
      <c r="W22" s="726" t="s">
        <v>810</v>
      </c>
      <c r="X22" s="726" t="s">
        <v>481</v>
      </c>
      <c r="Y22" s="726" t="s">
        <v>481</v>
      </c>
    </row>
    <row r="23" spans="1:25" ht="12.75" customHeight="1" x14ac:dyDescent="0.2">
      <c r="A23" s="10" t="s">
        <v>166</v>
      </c>
      <c r="Q23" s="10"/>
      <c r="R23" s="10"/>
      <c r="S23" s="10"/>
      <c r="T23" s="10"/>
      <c r="V23" s="10"/>
      <c r="W23" s="10"/>
      <c r="X23" s="10"/>
      <c r="Y23" s="10"/>
    </row>
    <row r="24" spans="1:25" ht="12.75" customHeight="1" x14ac:dyDescent="0.2">
      <c r="A24" s="10"/>
      <c r="Q24" s="10"/>
      <c r="R24" s="10"/>
      <c r="S24" s="10"/>
      <c r="T24" s="10"/>
      <c r="V24" s="10"/>
      <c r="W24" s="10"/>
      <c r="X24" s="10"/>
      <c r="Y24" s="10"/>
    </row>
    <row r="25" spans="1:25" ht="12.75" customHeight="1" x14ac:dyDescent="0.2">
      <c r="A25" s="881" t="s">
        <v>637</v>
      </c>
      <c r="Q25" s="10"/>
      <c r="R25" s="10"/>
      <c r="S25" s="10"/>
      <c r="T25" s="10"/>
      <c r="V25" s="10"/>
      <c r="W25" s="10"/>
      <c r="X25" s="10"/>
      <c r="Y25" s="10"/>
    </row>
    <row r="26" spans="1:25" ht="12.75" customHeight="1" x14ac:dyDescent="0.2">
      <c r="A26" s="10" t="s">
        <v>649</v>
      </c>
      <c r="Q26" s="10"/>
      <c r="R26" s="10"/>
      <c r="S26" s="10"/>
      <c r="T26" s="10"/>
      <c r="V26" s="10"/>
      <c r="W26" s="10"/>
      <c r="X26" s="10"/>
      <c r="Y26" s="10"/>
    </row>
    <row r="27" spans="1:25" ht="12.75" customHeight="1" x14ac:dyDescent="0.2">
      <c r="A27" s="10" t="s">
        <v>646</v>
      </c>
      <c r="Q27" s="10"/>
      <c r="R27" s="10"/>
      <c r="S27" s="10"/>
      <c r="T27" s="10"/>
      <c r="V27" s="10"/>
      <c r="W27" s="10"/>
      <c r="X27" s="10"/>
      <c r="Y27" s="10"/>
    </row>
    <row r="28" spans="1:25" ht="12.75" customHeight="1" x14ac:dyDescent="0.2">
      <c r="A28" s="10"/>
      <c r="Q28" s="10"/>
      <c r="R28" s="10"/>
      <c r="S28" s="10"/>
      <c r="T28" s="10"/>
      <c r="V28" s="10"/>
      <c r="W28" s="10"/>
      <c r="X28" s="10"/>
      <c r="Y28" s="10"/>
    </row>
    <row r="29" spans="1:25" ht="12.75" customHeight="1" outlineLevel="1" x14ac:dyDescent="0.2">
      <c r="A29" s="888" t="s">
        <v>658</v>
      </c>
      <c r="Q29" s="10"/>
      <c r="R29" s="10"/>
      <c r="S29" s="10"/>
      <c r="T29" s="10"/>
      <c r="V29" s="10"/>
      <c r="W29" s="10"/>
      <c r="X29" s="10"/>
      <c r="Y29" s="10"/>
    </row>
    <row r="30" spans="1:25" ht="12.75" customHeight="1" outlineLevel="1" x14ac:dyDescent="0.2">
      <c r="A30" s="10" t="s">
        <v>761</v>
      </c>
      <c r="Q30" s="10"/>
      <c r="R30" s="10"/>
      <c r="S30" s="10"/>
      <c r="T30" s="10"/>
      <c r="V30" s="10"/>
      <c r="W30" s="10"/>
      <c r="X30" s="10"/>
      <c r="Y30" s="10"/>
    </row>
    <row r="31" spans="1:25" ht="12.75" customHeight="1" outlineLevel="1" x14ac:dyDescent="0.2">
      <c r="A31" s="10" t="s">
        <v>762</v>
      </c>
      <c r="Q31" s="10"/>
      <c r="R31" s="10"/>
      <c r="S31" s="10"/>
      <c r="T31" s="10"/>
      <c r="V31" s="10"/>
      <c r="W31" s="10"/>
      <c r="X31" s="10"/>
      <c r="Y31" s="10"/>
    </row>
    <row r="32" spans="1:25" ht="12.75" customHeight="1" x14ac:dyDescent="0.2">
      <c r="A32" s="10"/>
      <c r="Q32" s="10"/>
      <c r="R32" s="10"/>
      <c r="S32" s="10"/>
      <c r="T32" s="10"/>
      <c r="V32" s="10"/>
      <c r="W32" s="10"/>
      <c r="X32" s="10"/>
      <c r="Y32" s="10"/>
    </row>
    <row r="33" spans="1:25" s="167" customFormat="1" ht="12.75" customHeight="1" x14ac:dyDescent="0.2">
      <c r="A33" s="22" t="s">
        <v>755</v>
      </c>
    </row>
    <row r="34" spans="1:25" s="10" customFormat="1" ht="12.75" customHeight="1" outlineLevel="1" x14ac:dyDescent="0.2">
      <c r="A34" s="10" t="s">
        <v>395</v>
      </c>
      <c r="B34" s="13">
        <f>TotalRev_Group _1Q13</f>
        <v>4615</v>
      </c>
      <c r="C34" s="13">
        <f>TotalRev_Group _2Q13</f>
        <v>4544</v>
      </c>
      <c r="D34" s="13">
        <f>TotalRev_Group _3Q13</f>
        <v>4500</v>
      </c>
      <c r="E34" s="13">
        <f>TotalRev_Group _4Q13</f>
        <v>4553</v>
      </c>
      <c r="F34" s="13">
        <f>TotalRev_Group _1Q14</f>
        <v>4742</v>
      </c>
      <c r="G34" s="13">
        <f>TotalRev_Group _2Q14</f>
        <v>4788</v>
      </c>
      <c r="H34" s="13">
        <f>TotalRev_Group _3Q14</f>
        <v>4768</v>
      </c>
      <c r="I34" s="13">
        <f>TotalRev_Group _4Q14</f>
        <v>4678</v>
      </c>
      <c r="K34" s="13">
        <f>TotalRev_Group F2013_</f>
        <v>18212</v>
      </c>
      <c r="L34" s="13">
        <f>TotalRev_Group F2014_</f>
        <v>18976</v>
      </c>
      <c r="M34" s="13">
        <f>Rev_PC F2015_</f>
        <v>3615</v>
      </c>
      <c r="N34" s="13">
        <f>Rev_PC F2016_</f>
        <v>3637</v>
      </c>
      <c r="O34" s="13">
        <f>Rev_PC F2017_</f>
        <v>3730</v>
      </c>
    </row>
    <row r="35" spans="1:25" ht="12.75" customHeight="1" x14ac:dyDescent="0.2">
      <c r="A35" s="723" t="s">
        <v>416</v>
      </c>
      <c r="B35" s="10"/>
      <c r="C35" s="10"/>
      <c r="D35" s="10"/>
      <c r="E35" s="10"/>
      <c r="F35" s="731">
        <f>F34/B34-1</f>
        <v>2.7518959913326091E-2</v>
      </c>
      <c r="G35" s="731">
        <f>G34/C34-1</f>
        <v>5.3697183098591506E-2</v>
      </c>
      <c r="H35" s="731">
        <f>H34/D34-1</f>
        <v>5.9555555555555584E-2</v>
      </c>
      <c r="I35" s="731">
        <f>I34/E34-1</f>
        <v>2.7454425653415271E-2</v>
      </c>
      <c r="J35" s="10"/>
      <c r="K35" s="10"/>
      <c r="L35" s="731">
        <f>L34/K34-1</f>
        <v>4.1950362398418539E-2</v>
      </c>
      <c r="M35" s="731">
        <f>M34/L34-1</f>
        <v>-0.80949620573355818</v>
      </c>
      <c r="N35" s="731">
        <f>N34/M34-1</f>
        <v>6.0857538035961056E-3</v>
      </c>
      <c r="O35" s="731">
        <f>O34/N34-1</f>
        <v>2.5570525158097324E-2</v>
      </c>
      <c r="Q35" s="10"/>
      <c r="R35" s="726" t="s">
        <v>417</v>
      </c>
      <c r="S35" s="726" t="s">
        <v>418</v>
      </c>
      <c r="T35" s="726" t="s">
        <v>384</v>
      </c>
      <c r="U35" s="10"/>
      <c r="V35" s="726" t="s">
        <v>394</v>
      </c>
      <c r="W35" s="726" t="s">
        <v>811</v>
      </c>
      <c r="X35" s="726" t="s">
        <v>396</v>
      </c>
      <c r="Y35" s="726"/>
    </row>
    <row r="36" spans="1:25" ht="12.75" customHeight="1" outlineLevel="1" x14ac:dyDescent="0.2">
      <c r="A36" s="10" t="s">
        <v>230</v>
      </c>
      <c r="B36" s="458">
        <f>Core_Group_ATEarns _1Q13</f>
        <v>234</v>
      </c>
      <c r="C36" s="458">
        <f>Core_Group_ATEarns _2Q13</f>
        <v>263</v>
      </c>
      <c r="D36" s="458">
        <f>Core_Group_ATEarns _3Q13</f>
        <v>215</v>
      </c>
      <c r="E36" s="458">
        <f>Core_Group_ATEarns _4Q13</f>
        <v>215</v>
      </c>
      <c r="F36" s="458">
        <f>Core_Group_ATEarns _1Q14</f>
        <v>189</v>
      </c>
      <c r="G36" s="458">
        <f>Core_Group_ATEarns _2Q14</f>
        <v>211</v>
      </c>
      <c r="H36" s="458">
        <f>Core_Group_ATEarns _3Q14</f>
        <v>218</v>
      </c>
      <c r="I36" s="458">
        <f>Core_Group_ATEarns _4Q14</f>
        <v>237</v>
      </c>
      <c r="J36" s="10"/>
      <c r="K36" s="13">
        <f>Core_Group_ATEarns F2013_</f>
        <v>927</v>
      </c>
      <c r="L36" s="13">
        <f>Core_Group_ATEarns F2014_</f>
        <v>855</v>
      </c>
      <c r="M36" s="13">
        <f>Core_PC_Earns_AT F2015_</f>
        <v>232</v>
      </c>
      <c r="N36" s="13">
        <f>Core_PC_Earns_AT F2016_</f>
        <v>171.6</v>
      </c>
      <c r="O36" s="13">
        <f>Core_PC_Earns_AT F2017_</f>
        <v>246</v>
      </c>
      <c r="Q36" s="10"/>
      <c r="R36" s="726"/>
      <c r="S36" s="726"/>
      <c r="T36" s="726"/>
      <c r="U36" s="10"/>
      <c r="V36" s="726"/>
      <c r="W36" s="726"/>
      <c r="X36" s="726"/>
      <c r="Y36" s="726"/>
    </row>
    <row r="37" spans="1:25" ht="12.75" customHeight="1" x14ac:dyDescent="0.2">
      <c r="A37" s="723" t="s">
        <v>419</v>
      </c>
      <c r="B37" s="10"/>
      <c r="C37" s="10"/>
      <c r="D37" s="10"/>
      <c r="E37" s="10"/>
      <c r="F37" s="731">
        <f>F36/B36-1</f>
        <v>-0.19230769230769229</v>
      </c>
      <c r="G37" s="731">
        <f>G36/C36-1</f>
        <v>-0.19771863117870725</v>
      </c>
      <c r="H37" s="731">
        <f>H36/D36-1</f>
        <v>1.3953488372093092E-2</v>
      </c>
      <c r="I37" s="731">
        <f>I36/E36-1</f>
        <v>0.10232558139534875</v>
      </c>
      <c r="J37" s="10"/>
      <c r="K37" s="10"/>
      <c r="L37" s="731">
        <f>L36/K36-1</f>
        <v>-7.7669902912621325E-2</v>
      </c>
      <c r="M37" s="731">
        <f>M36/L36-1</f>
        <v>-0.72865497076023389</v>
      </c>
      <c r="N37" s="731">
        <f>N36/M36-1</f>
        <v>-0.26034482758620692</v>
      </c>
      <c r="O37" s="731">
        <f>O36/N36-1</f>
        <v>0.43356643356643354</v>
      </c>
      <c r="Q37" s="10"/>
      <c r="R37" s="726" t="s">
        <v>481</v>
      </c>
      <c r="S37" s="726" t="s">
        <v>481</v>
      </c>
      <c r="T37" s="726" t="s">
        <v>386</v>
      </c>
      <c r="U37" s="10"/>
      <c r="V37" s="726" t="s">
        <v>481</v>
      </c>
      <c r="W37" s="726"/>
      <c r="X37" s="726" t="s">
        <v>481</v>
      </c>
      <c r="Y37" s="726" t="s">
        <v>386</v>
      </c>
    </row>
    <row r="38" spans="1:25" ht="12.75" customHeight="1" x14ac:dyDescent="0.2">
      <c r="A38" s="723" t="s">
        <v>763</v>
      </c>
      <c r="B38" s="10"/>
      <c r="C38" s="10"/>
      <c r="D38" s="10"/>
      <c r="E38" s="10"/>
      <c r="F38" s="10"/>
      <c r="G38" s="10"/>
      <c r="H38" s="10"/>
      <c r="I38" s="10"/>
      <c r="J38" s="10"/>
      <c r="K38" s="10"/>
      <c r="L38" s="10"/>
      <c r="M38" s="733">
        <f>Auto_CombinedRatio F2015_</f>
        <v>100.28012733060483</v>
      </c>
      <c r="N38" s="733">
        <f>Auto_CombinedRatio F2016_</f>
        <v>104.31793960923623</v>
      </c>
      <c r="O38" s="733">
        <f>Auto_CombinedRatio F2017_</f>
        <v>98.469809688581336</v>
      </c>
      <c r="Q38" s="430">
        <v>97</v>
      </c>
      <c r="R38" s="726" t="s">
        <v>422</v>
      </c>
      <c r="S38" s="726" t="s">
        <v>422</v>
      </c>
      <c r="T38" s="726" t="s">
        <v>481</v>
      </c>
      <c r="V38" s="880" t="s">
        <v>764</v>
      </c>
      <c r="W38" s="880" t="s">
        <v>812</v>
      </c>
      <c r="X38" s="880" t="s">
        <v>764</v>
      </c>
      <c r="Y38" s="726" t="s">
        <v>481</v>
      </c>
    </row>
    <row r="39" spans="1:25" ht="12.75" customHeight="1" x14ac:dyDescent="0.2">
      <c r="A39" s="723" t="s">
        <v>765</v>
      </c>
      <c r="B39" s="10"/>
      <c r="C39" s="10"/>
      <c r="D39" s="10"/>
      <c r="E39" s="10"/>
      <c r="F39" s="10"/>
      <c r="G39" s="10"/>
      <c r="H39" s="10"/>
      <c r="I39" s="10"/>
      <c r="J39" s="10"/>
      <c r="K39" s="10"/>
      <c r="L39" s="10"/>
      <c r="M39" s="733">
        <f>HO_CombinedRatio F2015_</f>
        <v>93.040387722132465</v>
      </c>
      <c r="N39" s="733">
        <f>HO_CombinedRatio F2016_</f>
        <v>94.103059581320451</v>
      </c>
      <c r="O39" s="733">
        <f>HO_CombinedRatio F2017_</f>
        <v>96.951215559157191</v>
      </c>
      <c r="Q39" s="430">
        <v>287</v>
      </c>
      <c r="R39" s="726" t="s">
        <v>424</v>
      </c>
      <c r="S39" s="726" t="s">
        <v>424</v>
      </c>
      <c r="T39" s="726" t="s">
        <v>481</v>
      </c>
      <c r="V39" s="880" t="s">
        <v>766</v>
      </c>
      <c r="W39" s="880" t="s">
        <v>766</v>
      </c>
      <c r="X39" s="880" t="s">
        <v>766</v>
      </c>
      <c r="Y39" s="726" t="s">
        <v>481</v>
      </c>
    </row>
    <row r="40" spans="1:25" s="10" customFormat="1" ht="12.75" customHeight="1" x14ac:dyDescent="0.2">
      <c r="A40" s="723" t="s">
        <v>813</v>
      </c>
      <c r="B40" s="733"/>
      <c r="C40" s="733"/>
      <c r="D40" s="733"/>
      <c r="E40" s="733"/>
      <c r="F40" s="733"/>
      <c r="G40" s="733"/>
      <c r="H40" s="733"/>
      <c r="I40" s="733"/>
      <c r="K40" s="733"/>
      <c r="L40" s="733"/>
      <c r="M40" s="733"/>
      <c r="N40" s="733"/>
      <c r="O40" s="733"/>
      <c r="R40" s="726"/>
      <c r="S40" s="726"/>
      <c r="T40" s="726"/>
      <c r="V40" s="726"/>
      <c r="W40" s="726" t="s">
        <v>814</v>
      </c>
      <c r="X40" s="726"/>
      <c r="Y40" s="726"/>
    </row>
    <row r="41" spans="1:25" s="10" customFormat="1" ht="12.75" customHeight="1" x14ac:dyDescent="0.2">
      <c r="A41" s="723" t="s">
        <v>425</v>
      </c>
      <c r="B41" s="733">
        <f>Group_ExpenseRatio _1Q13</f>
        <v>12.741061755146262</v>
      </c>
      <c r="C41" s="733">
        <f>Group_ExpenseRatio _2Q13</f>
        <v>12.720070422535212</v>
      </c>
      <c r="D41" s="733">
        <f>Group_ExpenseRatio _3Q13</f>
        <v>13.222222222222221</v>
      </c>
      <c r="E41" s="733">
        <f>Group_ExpenseRatio _4Q13</f>
        <v>13.595431583571271</v>
      </c>
      <c r="F41" s="733">
        <f>Group_ExpenseRatio _1Q14</f>
        <v>13.243357233234923</v>
      </c>
      <c r="G41" s="733">
        <f>Group_ExpenseRatio _2Q14</f>
        <v>13.324979114452798</v>
      </c>
      <c r="H41" s="733">
        <f>Group_ExpenseRatio _3Q14</f>
        <v>13.296979865771814</v>
      </c>
      <c r="I41" s="733">
        <f>Group_ExpenseRatio _4Q14</f>
        <v>14.365113296280462</v>
      </c>
      <c r="K41" s="733">
        <f>Group_ExpenseRatio F2013_</f>
        <v>13.068306611025699</v>
      </c>
      <c r="L41" s="733">
        <f>Group_ExpenseRatio F2014_</f>
        <v>13.553962900505903</v>
      </c>
      <c r="M41" s="733"/>
      <c r="N41" s="733"/>
      <c r="O41" s="733"/>
      <c r="R41" s="726" t="s">
        <v>426</v>
      </c>
      <c r="S41" s="726" t="s">
        <v>426</v>
      </c>
      <c r="T41" s="726" t="s">
        <v>481</v>
      </c>
      <c r="V41" s="726" t="s">
        <v>651</v>
      </c>
      <c r="W41" s="726"/>
      <c r="X41" s="726" t="s">
        <v>651</v>
      </c>
      <c r="Y41" s="726" t="s">
        <v>481</v>
      </c>
    </row>
    <row r="42" spans="1:25" s="10" customFormat="1" ht="12.75" customHeight="1" x14ac:dyDescent="0.2">
      <c r="A42" s="723"/>
      <c r="B42" s="733"/>
      <c r="C42" s="733"/>
      <c r="D42" s="733"/>
      <c r="E42" s="733"/>
      <c r="F42" s="733"/>
      <c r="G42" s="733"/>
      <c r="H42" s="733"/>
      <c r="I42" s="733"/>
      <c r="K42" s="733"/>
      <c r="L42" s="733"/>
      <c r="M42" s="733"/>
      <c r="N42" s="733"/>
      <c r="O42" s="733"/>
      <c r="R42" s="726"/>
      <c r="S42" s="726"/>
      <c r="T42" s="726"/>
      <c r="V42" s="726"/>
      <c r="W42" s="726"/>
      <c r="X42" s="726"/>
      <c r="Y42" s="726"/>
    </row>
    <row r="43" spans="1:25" s="10" customFormat="1" ht="12.75" customHeight="1" outlineLevel="1" x14ac:dyDescent="0.2">
      <c r="A43" s="888" t="s">
        <v>658</v>
      </c>
      <c r="B43" s="733"/>
      <c r="C43" s="733"/>
      <c r="D43" s="733"/>
      <c r="E43" s="733"/>
      <c r="F43" s="733"/>
      <c r="G43" s="733"/>
      <c r="H43" s="733"/>
      <c r="I43" s="733"/>
      <c r="K43" s="733"/>
      <c r="L43" s="733"/>
      <c r="M43" s="733"/>
      <c r="N43" s="733"/>
      <c r="O43" s="733"/>
      <c r="R43" s="726"/>
      <c r="S43" s="726"/>
      <c r="T43" s="726"/>
      <c r="V43" s="726"/>
      <c r="W43" s="726"/>
      <c r="X43" s="726"/>
      <c r="Y43" s="726"/>
    </row>
    <row r="44" spans="1:25" s="10" customFormat="1" ht="12.75" customHeight="1" outlineLevel="1" x14ac:dyDescent="0.2">
      <c r="A44" s="723" t="s">
        <v>767</v>
      </c>
      <c r="B44" s="733"/>
      <c r="C44" s="733"/>
      <c r="D44" s="733"/>
      <c r="E44" s="733"/>
      <c r="F44" s="733"/>
      <c r="G44" s="733"/>
      <c r="H44" s="733"/>
      <c r="I44" s="733"/>
      <c r="K44" s="733"/>
      <c r="L44" s="733"/>
      <c r="M44" s="733"/>
      <c r="N44" s="733"/>
      <c r="O44" s="733"/>
      <c r="R44" s="726"/>
      <c r="S44" s="726"/>
      <c r="T44" s="726"/>
      <c r="V44" s="726" t="s">
        <v>768</v>
      </c>
      <c r="W44" s="726" t="s">
        <v>768</v>
      </c>
      <c r="X44" s="726"/>
      <c r="Y44" s="726"/>
    </row>
    <row r="45" spans="1:25" s="10" customFormat="1" ht="12.75" customHeight="1" outlineLevel="1" x14ac:dyDescent="0.2">
      <c r="A45" s="723" t="s">
        <v>769</v>
      </c>
      <c r="B45" s="733"/>
      <c r="C45" s="733"/>
      <c r="D45" s="733"/>
      <c r="E45" s="733"/>
      <c r="F45" s="733"/>
      <c r="G45" s="733"/>
      <c r="H45" s="733"/>
      <c r="I45" s="733"/>
      <c r="K45" s="733"/>
      <c r="L45" s="733"/>
      <c r="M45" s="733"/>
      <c r="N45" s="733"/>
      <c r="O45" s="733"/>
      <c r="R45" s="726"/>
      <c r="S45" s="726"/>
      <c r="T45" s="726"/>
      <c r="V45" s="726" t="s">
        <v>770</v>
      </c>
      <c r="W45" s="726" t="s">
        <v>770</v>
      </c>
      <c r="X45" s="726"/>
      <c r="Y45" s="726"/>
    </row>
    <row r="46" spans="1:25" ht="12.75" customHeight="1" x14ac:dyDescent="0.2">
      <c r="A46" s="10"/>
      <c r="Q46" s="10"/>
      <c r="R46" s="10"/>
      <c r="S46" s="10"/>
      <c r="T46" s="10"/>
      <c r="V46" s="10"/>
      <c r="W46" s="10"/>
      <c r="X46" s="10"/>
      <c r="Y46" s="10"/>
    </row>
    <row r="47" spans="1:25" s="167" customFormat="1" ht="14.25" customHeight="1" x14ac:dyDescent="0.2">
      <c r="A47" s="585" t="s">
        <v>224</v>
      </c>
    </row>
    <row r="48" spans="1:25" s="10" customFormat="1" ht="12.75" customHeight="1" outlineLevel="1" x14ac:dyDescent="0.2">
      <c r="A48" s="10" t="s">
        <v>395</v>
      </c>
      <c r="B48" s="13">
        <f>TotalRev_Asia _1Q13</f>
        <v>3187</v>
      </c>
      <c r="C48" s="13">
        <f>TotalRev_Asia _2Q13</f>
        <v>3173</v>
      </c>
      <c r="D48" s="13">
        <f>TotalRev_Asia _3Q13</f>
        <v>3078</v>
      </c>
      <c r="E48" s="13">
        <f>TotalRev_Asia _4Q13</f>
        <v>3092</v>
      </c>
      <c r="F48" s="13">
        <f>TotalRev_Asia _1Q14</f>
        <v>3006</v>
      </c>
      <c r="G48" s="13">
        <f>TotalRev_Asia _2Q14</f>
        <v>3061</v>
      </c>
      <c r="H48" s="13">
        <f>TotalRev_Asia _3Q14</f>
        <v>3191</v>
      </c>
      <c r="I48" s="13">
        <f>TotalRev_Asia _4Q14</f>
        <v>2993</v>
      </c>
      <c r="K48" s="13">
        <f>TotalRev_Asia F2013_</f>
        <v>12530</v>
      </c>
      <c r="L48" s="13">
        <f>TotalRev_Asia F2014_</f>
        <v>12251</v>
      </c>
      <c r="M48" s="13">
        <f>TotalRev_Asia F2015_</f>
        <v>11259</v>
      </c>
      <c r="N48" s="13">
        <f>TotalRev_Asia F2016_</f>
        <v>11157</v>
      </c>
      <c r="O48" s="13">
        <f>TotalRev_Asia F2017_</f>
        <v>11367</v>
      </c>
    </row>
    <row r="49" spans="1:26" ht="12.75" customHeight="1" x14ac:dyDescent="0.2">
      <c r="A49" s="723" t="s">
        <v>416</v>
      </c>
      <c r="B49" s="10"/>
      <c r="C49" s="10"/>
      <c r="D49" s="10"/>
      <c r="E49" s="10"/>
      <c r="F49" s="731">
        <f>F48/B48-1</f>
        <v>-5.6793222466269166E-2</v>
      </c>
      <c r="G49" s="731">
        <f>G48/C48-1</f>
        <v>-3.5297825401827909E-2</v>
      </c>
      <c r="H49" s="731">
        <f>H48/D48-1</f>
        <v>3.6712150747238548E-2</v>
      </c>
      <c r="I49" s="731">
        <f>I48/E48-1</f>
        <v>-3.2018111254851211E-2</v>
      </c>
      <c r="J49" s="10"/>
      <c r="K49" s="10"/>
      <c r="L49" s="731">
        <f>L48/K48-1</f>
        <v>-2.2266560255387091E-2</v>
      </c>
      <c r="M49" s="731">
        <f>M48/L48-1</f>
        <v>-8.0972981797404309E-2</v>
      </c>
      <c r="N49" s="731">
        <f>N48/M48-1</f>
        <v>-9.0594191313615458E-3</v>
      </c>
      <c r="O49" s="731">
        <f>O48/N48-1</f>
        <v>1.8822264049475734E-2</v>
      </c>
      <c r="Q49" s="430"/>
      <c r="R49" s="726" t="s">
        <v>442</v>
      </c>
      <c r="S49" s="726" t="s">
        <v>391</v>
      </c>
      <c r="T49" s="726" t="s">
        <v>481</v>
      </c>
      <c r="V49" s="726" t="s">
        <v>771</v>
      </c>
      <c r="W49" s="726" t="s">
        <v>771</v>
      </c>
      <c r="X49" s="726"/>
      <c r="Y49" s="726" t="s">
        <v>826</v>
      </c>
    </row>
    <row r="50" spans="1:26" ht="12.75" customHeight="1" outlineLevel="1" x14ac:dyDescent="0.2">
      <c r="A50" s="723" t="s">
        <v>230</v>
      </c>
      <c r="B50" s="458">
        <f>Core_Japan_ATEarns _1Q13</f>
        <v>323</v>
      </c>
      <c r="C50" s="458">
        <f>Core_Japan_ATEarns _2Q13</f>
        <v>332</v>
      </c>
      <c r="D50" s="458">
        <f>Core_Japan_ATEarns _3Q13</f>
        <v>327</v>
      </c>
      <c r="E50" s="458">
        <f>Core_Japan_ATEarns _4Q13</f>
        <v>310</v>
      </c>
      <c r="F50" s="458">
        <f>Core_Japan_ATEarns _1Q14</f>
        <v>333</v>
      </c>
      <c r="G50" s="458">
        <f>Core_Japan_ATEarns _2Q14</f>
        <v>324</v>
      </c>
      <c r="H50" s="458">
        <f>Core_Japan_ATEarns _3Q14</f>
        <v>320</v>
      </c>
      <c r="I50" s="458">
        <f>Core_Japan_ATEarns _4Q14</f>
        <v>317</v>
      </c>
      <c r="J50" s="10"/>
      <c r="K50" s="13">
        <f>Core_Japan_ATEarns F2013_</f>
        <v>1292</v>
      </c>
      <c r="L50" s="13">
        <f>Core_Japan_ATEarns F2014_</f>
        <v>1294</v>
      </c>
      <c r="M50" s="13">
        <f>Core_Japan_ATEarns F2015_</f>
        <v>1344</v>
      </c>
      <c r="N50" s="13">
        <f>Core_Japan_ATEarns F2016_</f>
        <v>1320.5</v>
      </c>
      <c r="O50" s="13">
        <f>Core_Japan_ATEarns F2017_</f>
        <v>1224</v>
      </c>
      <c r="Q50" s="430"/>
      <c r="R50" s="726"/>
      <c r="S50" s="726"/>
      <c r="T50" s="726"/>
      <c r="V50" s="726"/>
      <c r="W50" s="726"/>
      <c r="X50" s="726"/>
      <c r="Y50" s="726"/>
    </row>
    <row r="51" spans="1:26" ht="12.75" customHeight="1" x14ac:dyDescent="0.2">
      <c r="A51" s="723" t="s">
        <v>419</v>
      </c>
      <c r="B51" s="10"/>
      <c r="C51" s="10"/>
      <c r="D51" s="10"/>
      <c r="E51" s="10"/>
      <c r="F51" s="731">
        <f>F50/B50-1</f>
        <v>3.0959752321981338E-2</v>
      </c>
      <c r="G51" s="731">
        <f>G50/C50-1</f>
        <v>-2.4096385542168641E-2</v>
      </c>
      <c r="H51" s="731">
        <f>H50/D50-1</f>
        <v>-2.1406727828746197E-2</v>
      </c>
      <c r="I51" s="731">
        <f>I50/E50-1</f>
        <v>2.2580645161290214E-2</v>
      </c>
      <c r="J51" s="10"/>
      <c r="K51" s="10"/>
      <c r="L51" s="731">
        <f>L50/K50-1</f>
        <v>1.5479876160990891E-3</v>
      </c>
      <c r="M51" s="731">
        <f>M50/L50-1</f>
        <v>3.863987635239563E-2</v>
      </c>
      <c r="N51" s="731">
        <f>N50/M50-1</f>
        <v>-1.7485119047619069E-2</v>
      </c>
      <c r="O51" s="731">
        <f>O50/N50-1</f>
        <v>-7.3078379401741778E-2</v>
      </c>
      <c r="Q51" s="430"/>
      <c r="R51" s="726" t="s">
        <v>443</v>
      </c>
      <c r="S51" s="726" t="s">
        <v>443</v>
      </c>
      <c r="T51" s="726" t="s">
        <v>443</v>
      </c>
      <c r="V51" s="726" t="s">
        <v>772</v>
      </c>
      <c r="W51" s="726" t="s">
        <v>771</v>
      </c>
      <c r="X51" s="726" t="s">
        <v>815</v>
      </c>
      <c r="Y51" s="726" t="s">
        <v>481</v>
      </c>
      <c r="Z51" s="10"/>
    </row>
    <row r="52" spans="1:26" ht="12.75" customHeight="1" x14ac:dyDescent="0.2">
      <c r="A52" s="724" t="s">
        <v>392</v>
      </c>
      <c r="Q52" s="10"/>
      <c r="R52" s="24"/>
      <c r="S52" s="24"/>
      <c r="T52" s="24"/>
      <c r="V52" s="24"/>
      <c r="W52" s="24"/>
      <c r="X52" s="24"/>
      <c r="Y52" s="24"/>
    </row>
    <row r="53" spans="1:26" ht="12.75" customHeight="1" x14ac:dyDescent="0.2">
      <c r="A53" s="435" t="s">
        <v>393</v>
      </c>
      <c r="Q53" s="10"/>
      <c r="R53" s="726" t="s">
        <v>481</v>
      </c>
      <c r="S53" s="726" t="s">
        <v>481</v>
      </c>
      <c r="T53" s="727" t="s">
        <v>394</v>
      </c>
      <c r="V53" s="726" t="s">
        <v>481</v>
      </c>
      <c r="W53" s="726"/>
      <c r="X53" s="726" t="s">
        <v>481</v>
      </c>
      <c r="Y53" s="727" t="s">
        <v>394</v>
      </c>
    </row>
    <row r="54" spans="1:26" ht="12.75" customHeight="1" x14ac:dyDescent="0.2">
      <c r="A54" s="435" t="s">
        <v>395</v>
      </c>
      <c r="B54" s="10"/>
      <c r="C54" s="10"/>
      <c r="D54" s="10"/>
      <c r="E54" s="10"/>
      <c r="F54" s="10"/>
      <c r="G54" s="10"/>
      <c r="H54" s="10"/>
      <c r="I54" s="10"/>
      <c r="J54" s="10"/>
      <c r="K54" s="10"/>
      <c r="L54" s="10"/>
      <c r="M54" s="10"/>
      <c r="N54" s="10"/>
      <c r="O54" s="10"/>
      <c r="Q54" s="10"/>
      <c r="R54" s="726" t="s">
        <v>481</v>
      </c>
      <c r="S54" s="726" t="s">
        <v>481</v>
      </c>
      <c r="T54" s="727" t="s">
        <v>396</v>
      </c>
      <c r="V54" s="726" t="s">
        <v>481</v>
      </c>
      <c r="W54" s="726"/>
      <c r="X54" s="726" t="s">
        <v>481</v>
      </c>
      <c r="Y54" s="727" t="s">
        <v>405</v>
      </c>
    </row>
    <row r="55" spans="1:26" ht="12.75" customHeight="1" x14ac:dyDescent="0.2">
      <c r="A55" s="724" t="s">
        <v>397</v>
      </c>
      <c r="B55" s="10"/>
      <c r="C55" s="10"/>
      <c r="D55" s="10"/>
      <c r="E55" s="10"/>
      <c r="F55" s="10"/>
      <c r="G55" s="10"/>
      <c r="H55" s="10"/>
      <c r="I55" s="10"/>
      <c r="J55" s="10"/>
      <c r="K55" s="10"/>
      <c r="L55" s="10"/>
      <c r="M55" s="10"/>
      <c r="N55" s="10"/>
      <c r="O55" s="10"/>
      <c r="Q55" s="10"/>
      <c r="R55" s="24"/>
      <c r="S55" s="24"/>
      <c r="T55" s="24"/>
      <c r="V55" s="24"/>
      <c r="W55" s="24"/>
      <c r="X55" s="24"/>
      <c r="Y55" s="24"/>
    </row>
    <row r="56" spans="1:26" ht="12.75" customHeight="1" x14ac:dyDescent="0.2">
      <c r="A56" s="435" t="s">
        <v>393</v>
      </c>
      <c r="B56" s="10"/>
      <c r="C56" s="10"/>
      <c r="D56" s="10"/>
      <c r="E56" s="10"/>
      <c r="F56" s="10"/>
      <c r="G56" s="10"/>
      <c r="H56" s="10"/>
      <c r="I56" s="10"/>
      <c r="J56" s="10"/>
      <c r="K56" s="10"/>
      <c r="L56" s="10"/>
      <c r="M56" s="10"/>
      <c r="N56" s="10"/>
      <c r="O56" s="10"/>
      <c r="Q56" s="10"/>
      <c r="R56" s="726" t="s">
        <v>481</v>
      </c>
      <c r="S56" s="726" t="s">
        <v>481</v>
      </c>
      <c r="T56" s="727" t="s">
        <v>398</v>
      </c>
      <c r="V56" s="726" t="s">
        <v>481</v>
      </c>
      <c r="W56" s="726"/>
      <c r="X56" s="726" t="s">
        <v>481</v>
      </c>
      <c r="Y56" s="727" t="s">
        <v>643</v>
      </c>
    </row>
    <row r="57" spans="1:26" ht="12.75" customHeight="1" x14ac:dyDescent="0.2">
      <c r="A57" s="435" t="s">
        <v>395</v>
      </c>
      <c r="B57" s="10"/>
      <c r="C57" s="10"/>
      <c r="D57" s="10"/>
      <c r="E57" s="10"/>
      <c r="F57" s="10"/>
      <c r="G57" s="10"/>
      <c r="H57" s="10"/>
      <c r="I57" s="10"/>
      <c r="J57" s="10"/>
      <c r="K57" s="10"/>
      <c r="L57" s="10"/>
      <c r="M57" s="10"/>
      <c r="N57" s="10"/>
      <c r="O57" s="10"/>
      <c r="Q57" s="10"/>
      <c r="R57" s="726" t="s">
        <v>481</v>
      </c>
      <c r="S57" s="726" t="s">
        <v>481</v>
      </c>
      <c r="T57" s="727" t="s">
        <v>399</v>
      </c>
      <c r="V57" s="726" t="s">
        <v>481</v>
      </c>
      <c r="W57" s="726"/>
      <c r="X57" s="726" t="s">
        <v>481</v>
      </c>
      <c r="Y57" s="727" t="s">
        <v>386</v>
      </c>
    </row>
    <row r="58" spans="1:26" ht="12.75" customHeight="1" x14ac:dyDescent="0.2">
      <c r="A58" s="724" t="s">
        <v>400</v>
      </c>
      <c r="B58" s="10"/>
      <c r="C58" s="10"/>
      <c r="D58" s="10"/>
      <c r="E58" s="10"/>
      <c r="F58" s="10"/>
      <c r="G58" s="10"/>
      <c r="H58" s="10"/>
      <c r="I58" s="10"/>
      <c r="J58" s="10"/>
      <c r="K58" s="10"/>
      <c r="L58" s="10"/>
      <c r="M58" s="10"/>
      <c r="N58" s="10"/>
      <c r="O58" s="10"/>
      <c r="Q58" s="10"/>
      <c r="R58" s="24"/>
      <c r="S58" s="24"/>
      <c r="T58" s="24"/>
      <c r="V58" s="24"/>
      <c r="W58" s="24"/>
      <c r="X58" s="24"/>
      <c r="Y58" s="24"/>
    </row>
    <row r="59" spans="1:26" ht="12.75" customHeight="1" x14ac:dyDescent="0.2">
      <c r="A59" s="435" t="s">
        <v>393</v>
      </c>
      <c r="B59" s="10"/>
      <c r="C59" s="10"/>
      <c r="D59" s="10"/>
      <c r="E59" s="10"/>
      <c r="F59" s="10"/>
      <c r="G59" s="10"/>
      <c r="H59" s="10"/>
      <c r="I59" s="10"/>
      <c r="J59" s="10"/>
      <c r="K59" s="10"/>
      <c r="L59" s="10"/>
      <c r="M59" s="10"/>
      <c r="N59" s="10"/>
      <c r="O59" s="10"/>
      <c r="Q59" s="10"/>
      <c r="R59" s="726" t="s">
        <v>481</v>
      </c>
      <c r="S59" s="726" t="s">
        <v>481</v>
      </c>
      <c r="T59" s="727" t="s">
        <v>401</v>
      </c>
      <c r="V59" s="726" t="s">
        <v>481</v>
      </c>
      <c r="W59" s="726"/>
      <c r="X59" s="726" t="s">
        <v>481</v>
      </c>
      <c r="Y59" s="727" t="s">
        <v>644</v>
      </c>
    </row>
    <row r="60" spans="1:26" ht="12.75" customHeight="1" x14ac:dyDescent="0.2">
      <c r="A60" s="435" t="s">
        <v>395</v>
      </c>
      <c r="B60" s="10"/>
      <c r="C60" s="10"/>
      <c r="D60" s="10"/>
      <c r="E60" s="10"/>
      <c r="F60" s="10"/>
      <c r="G60" s="10"/>
      <c r="H60" s="10"/>
      <c r="I60" s="10"/>
      <c r="J60" s="10"/>
      <c r="K60" s="10"/>
      <c r="L60" s="10"/>
      <c r="M60" s="10"/>
      <c r="N60" s="10"/>
      <c r="O60" s="10"/>
      <c r="Q60" s="10"/>
      <c r="R60" s="726" t="s">
        <v>481</v>
      </c>
      <c r="S60" s="726" t="s">
        <v>481</v>
      </c>
      <c r="T60" s="727" t="s">
        <v>402</v>
      </c>
      <c r="V60" s="726" t="s">
        <v>481</v>
      </c>
      <c r="W60" s="726"/>
      <c r="X60" s="726" t="s">
        <v>481</v>
      </c>
      <c r="Y60" s="727" t="s">
        <v>403</v>
      </c>
    </row>
    <row r="61" spans="1:26" ht="12.75" customHeight="1" x14ac:dyDescent="0.2">
      <c r="A61" s="435"/>
      <c r="B61" s="10"/>
      <c r="C61" s="10"/>
      <c r="D61" s="10"/>
      <c r="E61" s="10"/>
      <c r="F61" s="10"/>
      <c r="G61" s="10"/>
      <c r="H61" s="10"/>
      <c r="I61" s="10"/>
      <c r="J61" s="10"/>
      <c r="K61" s="10"/>
      <c r="L61" s="10"/>
      <c r="M61" s="10"/>
      <c r="N61" s="10"/>
      <c r="O61" s="10"/>
      <c r="Q61" s="10"/>
      <c r="R61" s="726"/>
      <c r="S61" s="726"/>
      <c r="T61" s="727"/>
      <c r="V61" s="726"/>
      <c r="W61" s="726"/>
      <c r="X61" s="726"/>
      <c r="Y61" s="727"/>
    </row>
    <row r="62" spans="1:26" ht="12.75" customHeight="1" outlineLevel="1" x14ac:dyDescent="0.2">
      <c r="A62" s="888" t="s">
        <v>658</v>
      </c>
      <c r="Q62" s="10"/>
      <c r="R62" s="10"/>
      <c r="S62" s="10"/>
      <c r="T62" s="10"/>
      <c r="V62" s="10"/>
      <c r="W62" s="10"/>
      <c r="X62" s="10"/>
      <c r="Y62" s="10"/>
    </row>
    <row r="63" spans="1:26" ht="12.75" customHeight="1" outlineLevel="1" x14ac:dyDescent="0.2">
      <c r="A63" s="10" t="s">
        <v>773</v>
      </c>
      <c r="Q63" s="10"/>
      <c r="R63" s="10"/>
      <c r="S63" s="10"/>
      <c r="T63" s="10"/>
      <c r="V63" s="10"/>
      <c r="W63" s="10"/>
      <c r="X63" s="10"/>
      <c r="Y63" s="10"/>
    </row>
    <row r="64" spans="1:26" ht="12.75" customHeight="1" outlineLevel="1" x14ac:dyDescent="0.2">
      <c r="A64" s="10" t="s">
        <v>774</v>
      </c>
      <c r="Q64" s="10"/>
      <c r="R64" s="10"/>
      <c r="S64" s="10"/>
      <c r="T64" s="10"/>
      <c r="V64" s="10"/>
      <c r="W64" s="10"/>
      <c r="X64" s="10"/>
      <c r="Y64" s="10"/>
    </row>
    <row r="65" spans="1:25" ht="12.75" customHeight="1" x14ac:dyDescent="0.2">
      <c r="A65" s="10"/>
      <c r="Q65" s="10"/>
      <c r="R65" s="10"/>
      <c r="S65" s="10"/>
      <c r="T65" s="10"/>
      <c r="V65" s="10"/>
      <c r="W65" s="10"/>
      <c r="X65" s="10"/>
      <c r="Y65" s="10"/>
    </row>
    <row r="66" spans="1:25" s="167" customFormat="1" ht="12.75" customHeight="1" x14ac:dyDescent="0.2">
      <c r="A66" s="585" t="s">
        <v>436</v>
      </c>
    </row>
    <row r="67" spans="1:25" ht="12.75" customHeight="1" outlineLevel="1" x14ac:dyDescent="0.2">
      <c r="A67" s="10" t="s">
        <v>395</v>
      </c>
      <c r="B67" s="13">
        <f>TotalRev_Latam _1Q13</f>
        <v>1181</v>
      </c>
      <c r="C67" s="13">
        <f>TotalRev_Latam _2Q13</f>
        <v>1231</v>
      </c>
      <c r="D67" s="13">
        <f>TotalRev_Latam _3Q13</f>
        <v>1268</v>
      </c>
      <c r="E67" s="13">
        <f>TotalRev_Latam _4Q13</f>
        <v>1404</v>
      </c>
      <c r="F67" s="13">
        <f>TotalRev_Latam _1Q14</f>
        <v>1298</v>
      </c>
      <c r="G67" s="13">
        <f>TotalRev_Latam _2Q14</f>
        <v>1425</v>
      </c>
      <c r="H67" s="13">
        <f>TotalRev_Latam _3Q14</f>
        <v>1464</v>
      </c>
      <c r="I67" s="13">
        <f>TotalRev_Latam _4Q14</f>
        <v>1355</v>
      </c>
      <c r="J67" s="10"/>
      <c r="K67" s="13">
        <f>TotalRev_Latam F2013_</f>
        <v>5084</v>
      </c>
      <c r="L67" s="13">
        <f>TotalRev_Latam F2014_</f>
        <v>5542</v>
      </c>
      <c r="M67" s="13">
        <f>TotalRev_Latam F2015_</f>
        <v>4777</v>
      </c>
      <c r="N67" s="13">
        <f>TotalRev_Latam F2016_</f>
        <v>4672</v>
      </c>
      <c r="O67" s="13">
        <f>TotalRev_Latam F2017_</f>
        <v>4988</v>
      </c>
      <c r="Q67" s="10"/>
      <c r="R67" s="726"/>
      <c r="S67" s="726"/>
      <c r="T67" s="726"/>
      <c r="V67" s="726"/>
      <c r="W67" s="726"/>
      <c r="X67" s="726"/>
      <c r="Y67" s="726"/>
    </row>
    <row r="68" spans="1:25" ht="12.75" customHeight="1" x14ac:dyDescent="0.2">
      <c r="A68" s="723" t="s">
        <v>416</v>
      </c>
      <c r="B68" s="10"/>
      <c r="C68" s="10"/>
      <c r="D68" s="10"/>
      <c r="E68" s="10"/>
      <c r="F68" s="731">
        <f>F67/B67-1</f>
        <v>9.9068585944115162E-2</v>
      </c>
      <c r="G68" s="731">
        <f>G67/C67-1</f>
        <v>0.15759545085296511</v>
      </c>
      <c r="H68" s="731">
        <f>H67/D67-1</f>
        <v>0.15457413249211349</v>
      </c>
      <c r="I68" s="731">
        <f>I67/E67-1</f>
        <v>-3.490028490028485E-2</v>
      </c>
      <c r="J68" s="10"/>
      <c r="K68" s="10"/>
      <c r="L68" s="731">
        <f>L67/K67-1</f>
        <v>9.0086546026750591E-2</v>
      </c>
      <c r="M68" s="731">
        <f>M67/L67-1</f>
        <v>-0.1380368098159509</v>
      </c>
      <c r="N68" s="731">
        <f>N67/M67-1</f>
        <v>-2.1980322378061579E-2</v>
      </c>
      <c r="O68" s="731">
        <f>O67/N67-1</f>
        <v>6.7636986301369939E-2</v>
      </c>
      <c r="Q68" s="430"/>
      <c r="R68" s="726" t="s">
        <v>437</v>
      </c>
      <c r="S68" s="726" t="s">
        <v>437</v>
      </c>
      <c r="T68" s="726" t="s">
        <v>437</v>
      </c>
      <c r="V68" s="726" t="s">
        <v>674</v>
      </c>
      <c r="W68" s="726" t="s">
        <v>674</v>
      </c>
      <c r="X68" s="726"/>
      <c r="Y68" s="726"/>
    </row>
    <row r="69" spans="1:25" ht="12.75" customHeight="1" outlineLevel="1" x14ac:dyDescent="0.2">
      <c r="A69" s="723" t="s">
        <v>230</v>
      </c>
      <c r="B69" s="458">
        <f>Core_LatAm_ATEarns _1Q13</f>
        <v>143</v>
      </c>
      <c r="C69" s="458">
        <f>Core_LatAm_ATEarns _2Q13</f>
        <v>125</v>
      </c>
      <c r="D69" s="458">
        <f>Core_LatAm_ATEarns _3Q13</f>
        <v>126</v>
      </c>
      <c r="E69" s="458">
        <f>Core_LatAm_ATEarns _4Q13</f>
        <v>173</v>
      </c>
      <c r="F69" s="458">
        <f>Core_LatAm_ATEarns _1Q14</f>
        <v>158</v>
      </c>
      <c r="G69" s="458">
        <f>Core_LatAm_ATEarns _2Q14</f>
        <v>136</v>
      </c>
      <c r="H69" s="458">
        <f>Core_LatAm_ATEarns _3Q14</f>
        <v>163</v>
      </c>
      <c r="I69" s="458">
        <f>Core_LatAm_ATEarns _4Q14</f>
        <v>139</v>
      </c>
      <c r="J69" s="10"/>
      <c r="K69" s="13">
        <f>Core_LatAm_ATEarns F2013_</f>
        <v>567</v>
      </c>
      <c r="L69" s="13">
        <f>Core_LatAm_ATEarns F2014_</f>
        <v>596</v>
      </c>
      <c r="M69" s="13">
        <f>Core_LatAm_ATEarns F2015_</f>
        <v>539</v>
      </c>
      <c r="N69" s="13">
        <f>Core_LatAm_ATEarns F2016_</f>
        <v>551</v>
      </c>
      <c r="O69" s="13">
        <f>Core_LatAm_ATEarns F2017_</f>
        <v>571</v>
      </c>
      <c r="Q69" s="10"/>
      <c r="R69" s="726"/>
      <c r="S69" s="726"/>
      <c r="T69" s="726"/>
      <c r="V69" s="726"/>
      <c r="W69" s="726"/>
      <c r="X69" s="726"/>
      <c r="Y69" s="726"/>
    </row>
    <row r="70" spans="1:25" ht="12.75" customHeight="1" x14ac:dyDescent="0.2">
      <c r="A70" s="723" t="s">
        <v>419</v>
      </c>
      <c r="B70" s="10"/>
      <c r="C70" s="10"/>
      <c r="D70" s="10"/>
      <c r="E70" s="10"/>
      <c r="F70" s="731">
        <f>F69/B69-1</f>
        <v>0.10489510489510478</v>
      </c>
      <c r="G70" s="731">
        <f>G69/C69-1</f>
        <v>8.8000000000000078E-2</v>
      </c>
      <c r="H70" s="731">
        <f>H69/D69-1</f>
        <v>0.29365079365079372</v>
      </c>
      <c r="I70" s="731">
        <f>I69/E69-1</f>
        <v>-0.19653179190751446</v>
      </c>
      <c r="J70" s="10"/>
      <c r="K70" s="10"/>
      <c r="L70" s="731">
        <f>L69/K69-1</f>
        <v>5.1146384479717755E-2</v>
      </c>
      <c r="M70" s="731">
        <f>M69/L69-1</f>
        <v>-9.563758389261745E-2</v>
      </c>
      <c r="N70" s="731">
        <f>N69/M69-1</f>
        <v>2.226345083487935E-2</v>
      </c>
      <c r="O70" s="731">
        <f>O69/N69-1</f>
        <v>3.6297640653357499E-2</v>
      </c>
      <c r="Q70" s="430"/>
      <c r="R70" s="726" t="s">
        <v>437</v>
      </c>
      <c r="S70" s="726" t="s">
        <v>437</v>
      </c>
      <c r="T70" s="726" t="s">
        <v>438</v>
      </c>
      <c r="V70" s="726" t="s">
        <v>674</v>
      </c>
      <c r="W70" s="726" t="s">
        <v>674</v>
      </c>
      <c r="X70" s="726"/>
      <c r="Y70" s="726"/>
    </row>
    <row r="71" spans="1:25" ht="12.75" customHeight="1" x14ac:dyDescent="0.2">
      <c r="A71" s="723" t="s">
        <v>439</v>
      </c>
      <c r="Q71" s="430"/>
      <c r="R71" s="726" t="s">
        <v>440</v>
      </c>
      <c r="S71" s="728" t="s">
        <v>441</v>
      </c>
      <c r="T71" s="728" t="s">
        <v>441</v>
      </c>
      <c r="V71" s="726"/>
      <c r="W71" s="726"/>
      <c r="X71" s="728"/>
      <c r="Y71" s="728"/>
    </row>
    <row r="72" spans="1:25" ht="12.75" customHeight="1" x14ac:dyDescent="0.2">
      <c r="A72" s="10"/>
      <c r="Q72" s="10"/>
      <c r="R72" s="10"/>
      <c r="S72" s="10"/>
      <c r="T72" s="10"/>
      <c r="V72" s="10"/>
      <c r="W72" s="10"/>
      <c r="X72" s="10"/>
      <c r="Y72" s="10"/>
    </row>
    <row r="73" spans="1:25" ht="12.75" customHeight="1" x14ac:dyDescent="0.2">
      <c r="A73" s="883" t="s">
        <v>637</v>
      </c>
      <c r="Q73" s="10"/>
      <c r="R73" s="10"/>
      <c r="S73" s="10"/>
      <c r="T73" s="10"/>
      <c r="V73" s="10"/>
      <c r="W73" s="10"/>
      <c r="X73" s="10"/>
      <c r="Y73" s="10"/>
    </row>
    <row r="74" spans="1:25" ht="12.75" customHeight="1" x14ac:dyDescent="0.2">
      <c r="A74" s="882" t="s">
        <v>647</v>
      </c>
      <c r="Q74" s="10"/>
      <c r="R74" s="10"/>
      <c r="S74" s="10"/>
      <c r="T74" s="10"/>
      <c r="V74" s="10"/>
      <c r="W74" s="10"/>
      <c r="X74" s="10"/>
      <c r="Y74" s="10"/>
    </row>
    <row r="75" spans="1:25" ht="12.75" customHeight="1" x14ac:dyDescent="0.2">
      <c r="A75" s="10" t="s">
        <v>642</v>
      </c>
      <c r="Q75" s="10"/>
      <c r="R75" s="10"/>
      <c r="S75" s="10"/>
      <c r="T75" s="10"/>
      <c r="V75" s="10"/>
      <c r="W75" s="10"/>
      <c r="X75" s="10"/>
      <c r="Y75" s="10"/>
    </row>
    <row r="76" spans="1:25" ht="12.75" customHeight="1" x14ac:dyDescent="0.2">
      <c r="A76" s="10"/>
      <c r="Q76" s="10"/>
      <c r="R76" s="10"/>
      <c r="S76" s="10"/>
      <c r="T76" s="10"/>
      <c r="V76" s="10"/>
      <c r="W76" s="10"/>
      <c r="X76" s="10"/>
      <c r="Y76" s="10"/>
    </row>
    <row r="77" spans="1:25" ht="12.75" customHeight="1" outlineLevel="1" x14ac:dyDescent="0.2">
      <c r="A77" s="888" t="s">
        <v>658</v>
      </c>
      <c r="Q77" s="10"/>
      <c r="R77" s="10"/>
      <c r="S77" s="10"/>
      <c r="T77" s="10"/>
      <c r="V77" s="10"/>
      <c r="W77" s="10"/>
      <c r="X77" s="10"/>
      <c r="Y77" s="10"/>
    </row>
    <row r="78" spans="1:25" ht="12.75" customHeight="1" outlineLevel="1" x14ac:dyDescent="0.2">
      <c r="A78" s="10" t="s">
        <v>816</v>
      </c>
      <c r="Q78" s="10"/>
      <c r="R78" s="10"/>
      <c r="S78" s="10"/>
      <c r="T78" s="10"/>
      <c r="V78" s="10"/>
      <c r="W78" s="10"/>
      <c r="X78" s="10"/>
      <c r="Y78" s="10"/>
    </row>
    <row r="79" spans="1:25" ht="12.75" customHeight="1" outlineLevel="1" x14ac:dyDescent="0.2">
      <c r="A79" s="10" t="s">
        <v>817</v>
      </c>
      <c r="Q79" s="10"/>
      <c r="R79" s="10"/>
      <c r="S79" s="10"/>
      <c r="T79" s="10"/>
      <c r="V79" s="10"/>
      <c r="W79" s="10"/>
      <c r="X79" s="10"/>
      <c r="Y79" s="10"/>
    </row>
    <row r="80" spans="1:25" ht="12.75" customHeight="1" outlineLevel="1" x14ac:dyDescent="0.2">
      <c r="A80" s="10" t="s">
        <v>673</v>
      </c>
      <c r="Q80" s="10"/>
      <c r="R80" s="10"/>
      <c r="S80" s="10"/>
      <c r="T80" s="10"/>
      <c r="V80" s="10"/>
      <c r="W80" s="10"/>
      <c r="X80" s="10"/>
      <c r="Y80" s="10"/>
    </row>
    <row r="81" spans="1:25" ht="12.75" customHeight="1" x14ac:dyDescent="0.2">
      <c r="A81" s="10"/>
      <c r="Q81" s="10"/>
      <c r="R81" s="10"/>
      <c r="S81" s="10"/>
      <c r="T81" s="10"/>
      <c r="V81" s="10"/>
      <c r="W81" s="10"/>
      <c r="X81" s="10"/>
      <c r="Y81" s="10"/>
    </row>
    <row r="82" spans="1:25" ht="12.75" customHeight="1" x14ac:dyDescent="0.2">
      <c r="A82" s="10"/>
      <c r="Q82" s="10"/>
      <c r="R82" s="10"/>
      <c r="S82" s="10"/>
      <c r="T82" s="10"/>
      <c r="V82" s="10"/>
      <c r="W82" s="10"/>
      <c r="X82" s="10"/>
      <c r="Y82" s="10"/>
    </row>
    <row r="83" spans="1:25" s="167" customFormat="1" ht="12.75" customHeight="1" x14ac:dyDescent="0.2">
      <c r="A83" s="22" t="s">
        <v>223</v>
      </c>
    </row>
    <row r="84" spans="1:25" s="10" customFormat="1" ht="12.75" customHeight="1" outlineLevel="1" x14ac:dyDescent="0.2">
      <c r="A84" s="10" t="s">
        <v>395</v>
      </c>
      <c r="B84" s="13">
        <f>TotalRev_EMEA _1Q13</f>
        <v>813</v>
      </c>
      <c r="C84" s="13">
        <f>TotalRev_EMEA _2Q13</f>
        <v>808</v>
      </c>
      <c r="D84" s="13">
        <f>TotalRev_EMEA _3Q13</f>
        <v>831</v>
      </c>
      <c r="E84" s="13">
        <f>TotalRev_EMEA _4Q13</f>
        <v>826</v>
      </c>
      <c r="F84" s="13">
        <f>TotalRev_EMEA _1Q14</f>
        <v>829</v>
      </c>
      <c r="G84" s="13">
        <f>TotalRev_EMEA _2Q14</f>
        <v>824</v>
      </c>
      <c r="H84" s="13">
        <f>TotalRev_EMEA _3Q14</f>
        <v>839</v>
      </c>
      <c r="I84" s="13">
        <f>TotalRev_EMEA _4Q14</f>
        <v>771</v>
      </c>
      <c r="K84" s="13">
        <f>TotalRev_EMEA F2013_</f>
        <v>3278</v>
      </c>
      <c r="L84" s="13">
        <f>TotalRev_EMEA F2014_</f>
        <v>3263</v>
      </c>
      <c r="M84" s="13">
        <f>TotalRev_EMEA F2015_</f>
        <v>2847</v>
      </c>
      <c r="N84" s="13">
        <f>TotalRev_EMEA F2016_</f>
        <v>2809</v>
      </c>
      <c r="O84" s="13">
        <f>TotalRev_EMEA F2017_</f>
        <v>2833</v>
      </c>
    </row>
    <row r="85" spans="1:25" ht="12.75" customHeight="1" x14ac:dyDescent="0.2">
      <c r="A85" s="723" t="s">
        <v>416</v>
      </c>
      <c r="B85" s="10"/>
      <c r="C85" s="10"/>
      <c r="D85" s="10"/>
      <c r="E85" s="10"/>
      <c r="F85" s="731">
        <f>F84/B84-1</f>
        <v>1.9680196801967975E-2</v>
      </c>
      <c r="G85" s="731">
        <f>G84/C84-1</f>
        <v>1.980198019801982E-2</v>
      </c>
      <c r="H85" s="731">
        <f>H84/D84-1</f>
        <v>9.6269554753309894E-3</v>
      </c>
      <c r="I85" s="731">
        <f>I84/E84-1</f>
        <v>-6.658595641646492E-2</v>
      </c>
      <c r="J85" s="10"/>
      <c r="K85" s="10"/>
      <c r="L85" s="731">
        <f>L84/K84-1</f>
        <v>-4.5759609517999067E-3</v>
      </c>
      <c r="M85" s="731">
        <f>M84/L84-1</f>
        <v>-0.12749003984063745</v>
      </c>
      <c r="N85" s="731">
        <f>N84/M84-1</f>
        <v>-1.3347383210396857E-2</v>
      </c>
      <c r="O85" s="731">
        <f>O84/N84-1</f>
        <v>8.5439658241366345E-3</v>
      </c>
      <c r="Q85" s="430"/>
      <c r="R85" s="726" t="s">
        <v>417</v>
      </c>
      <c r="S85" s="726" t="s">
        <v>417</v>
      </c>
      <c r="T85" s="726" t="s">
        <v>444</v>
      </c>
      <c r="V85" s="726" t="s">
        <v>775</v>
      </c>
      <c r="W85" s="726" t="s">
        <v>675</v>
      </c>
      <c r="X85" s="726" t="s">
        <v>676</v>
      </c>
      <c r="Y85" s="726" t="s">
        <v>645</v>
      </c>
    </row>
    <row r="86" spans="1:25" ht="12.75" customHeight="1" outlineLevel="1" x14ac:dyDescent="0.2">
      <c r="A86" s="723" t="s">
        <v>230</v>
      </c>
      <c r="B86" s="458">
        <f>Core_EMEA_ATEarns _1Q13</f>
        <v>87</v>
      </c>
      <c r="C86" s="458">
        <f>Core_EMEA_ATEarns _2Q13</f>
        <v>72</v>
      </c>
      <c r="D86" s="458">
        <f>Core_EMEA_ATEarns _3Q13</f>
        <v>81</v>
      </c>
      <c r="E86" s="458">
        <f>Core_EMEA_ATEarns _4Q13</f>
        <v>78</v>
      </c>
      <c r="F86" s="458">
        <f>Core_EMEA_ATEarns _1Q14</f>
        <v>71</v>
      </c>
      <c r="G86" s="458">
        <f>Core_EMEA_ATEarns _2Q14</f>
        <v>72</v>
      </c>
      <c r="H86" s="458">
        <f>Core_EMEA_ATEarns _3Q14</f>
        <v>68</v>
      </c>
      <c r="I86" s="458">
        <f>Core_EMEA_ATEarns _4Q14</f>
        <v>50</v>
      </c>
      <c r="J86" s="10"/>
      <c r="K86" s="13">
        <f>Core_EMEA_ATEarns F2013_</f>
        <v>318</v>
      </c>
      <c r="L86" s="13">
        <f>Core_EMEA_ATEarns F2014_</f>
        <v>261</v>
      </c>
      <c r="M86" s="13">
        <f>Core_EMEA_ATEarns F2015_</f>
        <v>234</v>
      </c>
      <c r="N86" s="13">
        <f>Core_EMEA_ATEarns F2016_</f>
        <v>288.5</v>
      </c>
      <c r="O86" s="13">
        <f>Core_EMEA_ATEarns F2017_</f>
        <v>305</v>
      </c>
      <c r="Q86" s="430"/>
      <c r="R86" s="726"/>
      <c r="S86" s="726"/>
      <c r="T86" s="726"/>
      <c r="V86" s="726"/>
      <c r="W86" s="726"/>
      <c r="X86" s="726"/>
      <c r="Y86" s="726"/>
    </row>
    <row r="87" spans="1:25" ht="12.75" customHeight="1" x14ac:dyDescent="0.2">
      <c r="A87" s="723" t="s">
        <v>419</v>
      </c>
      <c r="B87" s="10"/>
      <c r="C87" s="10"/>
      <c r="D87" s="10"/>
      <c r="E87" s="10"/>
      <c r="F87" s="731">
        <f>F86/B86-1</f>
        <v>-0.18390804597701149</v>
      </c>
      <c r="G87" s="731">
        <f>G86/C86-1</f>
        <v>0</v>
      </c>
      <c r="H87" s="731">
        <f>H86/D86-1</f>
        <v>-0.16049382716049387</v>
      </c>
      <c r="I87" s="731">
        <f>I86/E86-1</f>
        <v>-0.35897435897435892</v>
      </c>
      <c r="J87" s="10"/>
      <c r="K87" s="10"/>
      <c r="L87" s="731">
        <f>L86/K86-1</f>
        <v>-0.17924528301886788</v>
      </c>
      <c r="M87" s="731"/>
      <c r="N87" s="731">
        <f>N86/M86-1</f>
        <v>0.23290598290598297</v>
      </c>
      <c r="O87" s="731">
        <f>O86/N86-1</f>
        <v>5.7192374350086617E-2</v>
      </c>
      <c r="Q87" s="430"/>
      <c r="R87" s="726" t="s">
        <v>445</v>
      </c>
      <c r="S87" s="726" t="s">
        <v>445</v>
      </c>
      <c r="T87" s="726" t="s">
        <v>444</v>
      </c>
      <c r="V87" s="726" t="s">
        <v>675</v>
      </c>
      <c r="W87" s="726" t="s">
        <v>675</v>
      </c>
      <c r="X87" s="726" t="s">
        <v>648</v>
      </c>
      <c r="Y87" s="726" t="s">
        <v>481</v>
      </c>
    </row>
    <row r="88" spans="1:25" ht="12.75" customHeight="1" x14ac:dyDescent="0.2">
      <c r="A88" s="723" t="s">
        <v>388</v>
      </c>
      <c r="B88" s="10"/>
      <c r="C88" s="10"/>
      <c r="D88" s="10"/>
      <c r="E88" s="10"/>
      <c r="F88" s="10"/>
      <c r="G88" s="10"/>
      <c r="H88" s="10"/>
      <c r="I88" s="10"/>
      <c r="J88" s="10"/>
      <c r="K88" s="10"/>
      <c r="L88" s="10"/>
      <c r="M88" s="10"/>
      <c r="N88" s="10"/>
      <c r="O88" s="10"/>
      <c r="Q88" s="430"/>
      <c r="R88" s="726" t="s">
        <v>403</v>
      </c>
      <c r="S88" s="726" t="s">
        <v>403</v>
      </c>
      <c r="T88" s="726" t="s">
        <v>444</v>
      </c>
      <c r="V88" s="726" t="s">
        <v>431</v>
      </c>
      <c r="W88" s="726" t="s">
        <v>775</v>
      </c>
      <c r="X88" s="726" t="s">
        <v>789</v>
      </c>
      <c r="Y88" s="726" t="s">
        <v>481</v>
      </c>
    </row>
    <row r="89" spans="1:25" ht="12.75" customHeight="1" x14ac:dyDescent="0.2">
      <c r="A89" s="724" t="s">
        <v>404</v>
      </c>
      <c r="Q89" s="10"/>
      <c r="R89" s="10"/>
      <c r="S89" s="10"/>
      <c r="T89" s="10"/>
      <c r="V89" s="10"/>
      <c r="W89" s="10"/>
      <c r="X89" s="10"/>
      <c r="Y89" s="10"/>
    </row>
    <row r="90" spans="1:25" ht="12.75" customHeight="1" x14ac:dyDescent="0.2">
      <c r="A90" s="435" t="s">
        <v>393</v>
      </c>
      <c r="Q90" s="10"/>
      <c r="R90" s="10"/>
      <c r="S90" s="10"/>
      <c r="T90" s="727" t="s">
        <v>385</v>
      </c>
      <c r="V90" s="726" t="s">
        <v>481</v>
      </c>
      <c r="W90" s="726"/>
      <c r="X90" s="726" t="s">
        <v>481</v>
      </c>
      <c r="Y90" s="727" t="s">
        <v>385</v>
      </c>
    </row>
    <row r="91" spans="1:25" ht="12.75" customHeight="1" x14ac:dyDescent="0.2">
      <c r="A91" s="435" t="s">
        <v>395</v>
      </c>
      <c r="B91" s="10"/>
      <c r="C91" s="10"/>
      <c r="D91" s="10"/>
      <c r="E91" s="10"/>
      <c r="F91" s="10"/>
      <c r="G91" s="10"/>
      <c r="H91" s="10"/>
      <c r="I91" s="10"/>
      <c r="J91" s="10"/>
      <c r="K91" s="10"/>
      <c r="L91" s="10"/>
      <c r="M91" s="10"/>
      <c r="N91" s="10"/>
      <c r="O91" s="10"/>
      <c r="Q91" s="10"/>
      <c r="R91" s="10"/>
      <c r="S91" s="10"/>
      <c r="T91" s="727" t="s">
        <v>405</v>
      </c>
      <c r="V91" s="726" t="s">
        <v>481</v>
      </c>
      <c r="W91" s="726"/>
      <c r="X91" s="726" t="s">
        <v>481</v>
      </c>
      <c r="Y91" s="727" t="s">
        <v>405</v>
      </c>
    </row>
    <row r="92" spans="1:25" ht="12.75" customHeight="1" x14ac:dyDescent="0.2">
      <c r="A92" s="724" t="s">
        <v>446</v>
      </c>
      <c r="B92" s="10"/>
      <c r="C92" s="10"/>
      <c r="D92" s="10"/>
      <c r="E92" s="10"/>
      <c r="F92" s="10"/>
      <c r="G92" s="10"/>
      <c r="H92" s="10"/>
      <c r="I92" s="10"/>
      <c r="J92" s="10"/>
      <c r="K92" s="10"/>
      <c r="L92" s="10"/>
      <c r="M92" s="10"/>
      <c r="N92" s="10"/>
      <c r="O92" s="10"/>
      <c r="Q92" s="10"/>
      <c r="R92" s="10"/>
      <c r="S92" s="10"/>
      <c r="T92" s="10"/>
      <c r="V92" s="10"/>
      <c r="W92" s="10"/>
      <c r="X92" s="10"/>
      <c r="Y92" s="10"/>
    </row>
    <row r="93" spans="1:25" ht="12.75" customHeight="1" x14ac:dyDescent="0.2">
      <c r="A93" s="9" t="s">
        <v>393</v>
      </c>
      <c r="B93" s="10"/>
      <c r="C93" s="10"/>
      <c r="D93" s="10"/>
      <c r="E93" s="10"/>
      <c r="F93" s="10"/>
      <c r="G93" s="10"/>
      <c r="H93" s="10"/>
      <c r="I93" s="10"/>
      <c r="J93" s="10"/>
      <c r="K93" s="10"/>
      <c r="L93" s="10"/>
      <c r="M93" s="10"/>
      <c r="N93" s="10"/>
      <c r="O93" s="10"/>
      <c r="T93" s="727" t="s">
        <v>406</v>
      </c>
      <c r="V93" s="726" t="s">
        <v>481</v>
      </c>
      <c r="W93" s="726"/>
      <c r="X93" s="726" t="s">
        <v>481</v>
      </c>
      <c r="Y93" s="727" t="s">
        <v>386</v>
      </c>
    </row>
    <row r="94" spans="1:25" ht="12.75" customHeight="1" x14ac:dyDescent="0.2">
      <c r="A94" s="9" t="s">
        <v>395</v>
      </c>
      <c r="B94" s="10"/>
      <c r="C94" s="10"/>
      <c r="D94" s="10"/>
      <c r="E94" s="10"/>
      <c r="F94" s="10"/>
      <c r="G94" s="10"/>
      <c r="H94" s="10"/>
      <c r="I94" s="10"/>
      <c r="J94" s="10"/>
      <c r="K94" s="10"/>
      <c r="L94" s="10"/>
      <c r="M94" s="10"/>
      <c r="N94" s="10"/>
      <c r="O94" s="10"/>
      <c r="T94" s="727" t="s">
        <v>402</v>
      </c>
      <c r="V94" s="726" t="s">
        <v>481</v>
      </c>
      <c r="W94" s="726"/>
      <c r="X94" s="726" t="s">
        <v>481</v>
      </c>
      <c r="Y94" s="727" t="s">
        <v>402</v>
      </c>
    </row>
    <row r="95" spans="1:25" ht="12.75" customHeight="1" x14ac:dyDescent="0.2">
      <c r="A95" s="2" t="s">
        <v>776</v>
      </c>
    </row>
    <row r="97" spans="1:25" s="167" customFormat="1" ht="12.75" customHeight="1" x14ac:dyDescent="0.2">
      <c r="A97" s="585" t="s">
        <v>756</v>
      </c>
      <c r="B97" s="167" t="s">
        <v>518</v>
      </c>
    </row>
    <row r="98" spans="1:25" ht="12.75" customHeight="1" outlineLevel="1" x14ac:dyDescent="0.2">
      <c r="A98" s="10" t="s">
        <v>395</v>
      </c>
      <c r="B98" s="13" t="e">
        <f>TotalRev_Life _1Q13</f>
        <v>#NAME?</v>
      </c>
      <c r="C98" s="13" t="e">
        <f>TotalRev_Life _2Q13</f>
        <v>#NAME?</v>
      </c>
      <c r="D98" s="13" t="e">
        <f>TotalRev_Life _3Q13</f>
        <v>#NAME?</v>
      </c>
      <c r="E98" s="13" t="e">
        <f>TotalRev_Life _4Q13</f>
        <v>#NAME?</v>
      </c>
      <c r="F98" s="13" t="e">
        <f>TotalRev_Life _1Q14</f>
        <v>#NAME?</v>
      </c>
      <c r="G98" s="13" t="e">
        <f>TotalRev_Life _2Q14</f>
        <v>#NAME?</v>
      </c>
      <c r="H98" s="13" t="e">
        <f>TotalRev_Life _3Q14</f>
        <v>#NAME?</v>
      </c>
      <c r="I98" s="13" t="e">
        <f>TotalRev_Life _4Q14</f>
        <v>#NAME?</v>
      </c>
      <c r="J98" s="10"/>
      <c r="K98" s="13" t="e">
        <f>TotalRev_Life F2013_</f>
        <v>#NAME?</v>
      </c>
      <c r="L98" s="13" t="e">
        <f>TotalRev_Life F2014_</f>
        <v>#NAME?</v>
      </c>
      <c r="M98" s="13">
        <f>Revenue_MetHoldings F2015_</f>
        <v>13158</v>
      </c>
      <c r="N98" s="13">
        <f>Revenue_MetHoldings F2016_</f>
        <v>12467</v>
      </c>
      <c r="O98" s="13">
        <f>Revenue_MetHoldings F2017_</f>
        <v>11356</v>
      </c>
      <c r="Q98" s="10"/>
    </row>
    <row r="99" spans="1:25" ht="12.75" customHeight="1" x14ac:dyDescent="0.2">
      <c r="A99" s="723" t="s">
        <v>416</v>
      </c>
      <c r="B99" s="13"/>
      <c r="C99" s="13"/>
      <c r="D99" s="13"/>
      <c r="E99" s="13"/>
      <c r="F99" s="731" t="e">
        <f>F98/B98-1</f>
        <v>#NAME?</v>
      </c>
      <c r="G99" s="731" t="e">
        <f>G98/C98-1</f>
        <v>#NAME?</v>
      </c>
      <c r="H99" s="731" t="e">
        <f>H98/D98-1</f>
        <v>#NAME?</v>
      </c>
      <c r="I99" s="731" t="e">
        <f>I98/E98-1</f>
        <v>#NAME?</v>
      </c>
      <c r="J99" s="10"/>
      <c r="K99" s="13"/>
      <c r="L99" s="731" t="e">
        <f>L98/K98-1</f>
        <v>#NAME?</v>
      </c>
      <c r="M99" s="731"/>
      <c r="N99" s="731">
        <f>N98/M98-1</f>
        <v>-5.251557987536104E-2</v>
      </c>
      <c r="O99" s="731">
        <f>O98/N98-1</f>
        <v>-8.9115264297746077E-2</v>
      </c>
      <c r="Q99" s="10"/>
      <c r="R99" s="726" t="s">
        <v>481</v>
      </c>
      <c r="S99" s="726" t="s">
        <v>481</v>
      </c>
      <c r="T99" s="727" t="s">
        <v>390</v>
      </c>
      <c r="V99" s="726" t="s">
        <v>777</v>
      </c>
      <c r="W99" s="726" t="s">
        <v>777</v>
      </c>
      <c r="X99" s="726" t="s">
        <v>481</v>
      </c>
      <c r="Y99" s="1147">
        <v>-0.05</v>
      </c>
    </row>
    <row r="100" spans="1:25" ht="12.75" customHeight="1" outlineLevel="1" x14ac:dyDescent="0.2">
      <c r="A100" s="10" t="s">
        <v>230</v>
      </c>
      <c r="B100" s="13" t="e">
        <f>Core_Life_ATEarns _1Q13</f>
        <v>#NAME?</v>
      </c>
      <c r="C100" s="13" t="e">
        <f>Core_Life_ATEarns _2Q13</f>
        <v>#NAME?</v>
      </c>
      <c r="D100" s="13" t="e">
        <f>Core_Life_ATEarns _3Q13</f>
        <v>#NAME?</v>
      </c>
      <c r="E100" s="13" t="e">
        <f>Core_Life_ATEarns _4Q13</f>
        <v>#NAME?</v>
      </c>
      <c r="F100" s="13" t="e">
        <f>Core_Life_ATEarns _1Q14</f>
        <v>#NAME?</v>
      </c>
      <c r="G100" s="13" t="e">
        <f>Core_Life_ATEarns _2Q14</f>
        <v>#NAME?</v>
      </c>
      <c r="H100" s="13" t="e">
        <f>Core_Life_ATEarns _3Q14</f>
        <v>#NAME?</v>
      </c>
      <c r="I100" s="13" t="e">
        <f>Core_Life_ATEarns _4Q14</f>
        <v>#NAME?</v>
      </c>
      <c r="K100" s="13" t="e">
        <f>Core_Life_ATEarns F2013_</f>
        <v>#NAME?</v>
      </c>
      <c r="L100" s="13" t="e">
        <f>Core_Life_ATEarns F2014_</f>
        <v>#NAME?</v>
      </c>
      <c r="M100" s="13">
        <f>Core_METHold_AT F2015_</f>
        <v>1327</v>
      </c>
      <c r="N100" s="13">
        <f>Core_METHold_AT F2016_</f>
        <v>1133.5</v>
      </c>
      <c r="O100" s="13">
        <f>Core_METHold_AT F2017_</f>
        <v>1043</v>
      </c>
      <c r="Q100" s="10"/>
      <c r="Y100" s="10"/>
    </row>
    <row r="101" spans="1:25" ht="12.75" customHeight="1" x14ac:dyDescent="0.2">
      <c r="A101" s="723" t="s">
        <v>419</v>
      </c>
      <c r="B101" s="13"/>
      <c r="C101" s="13"/>
      <c r="D101" s="13"/>
      <c r="E101" s="13"/>
      <c r="F101" s="731" t="e">
        <f>F100/B100-1</f>
        <v>#NAME?</v>
      </c>
      <c r="G101" s="731" t="e">
        <f>G100/C100-1</f>
        <v>#NAME?</v>
      </c>
      <c r="H101" s="731" t="e">
        <f>H100/D100-1</f>
        <v>#NAME?</v>
      </c>
      <c r="I101" s="731" t="e">
        <f>I100/E100-1</f>
        <v>#NAME?</v>
      </c>
      <c r="K101" s="13"/>
      <c r="L101" s="731" t="e">
        <f>L100/K100-1</f>
        <v>#NAME?</v>
      </c>
      <c r="M101" s="731"/>
      <c r="N101" s="731">
        <f>N100/M100-1</f>
        <v>-0.14581763376036172</v>
      </c>
      <c r="O101" s="731">
        <f>O100/N100-1</f>
        <v>-7.9841199823555309E-2</v>
      </c>
      <c r="Q101" s="10"/>
      <c r="R101" s="726" t="s">
        <v>481</v>
      </c>
      <c r="S101" s="726" t="s">
        <v>481</v>
      </c>
      <c r="T101" s="727" t="s">
        <v>390</v>
      </c>
      <c r="V101" s="726" t="s">
        <v>777</v>
      </c>
      <c r="W101" s="726" t="s">
        <v>818</v>
      </c>
      <c r="X101" s="1147">
        <v>-0.05</v>
      </c>
      <c r="Y101" s="1147">
        <v>-0.05</v>
      </c>
    </row>
    <row r="102" spans="1:25" ht="12.75" customHeight="1" x14ac:dyDescent="0.2">
      <c r="A102" s="10" t="s">
        <v>638</v>
      </c>
      <c r="B102" s="10"/>
      <c r="C102" s="10"/>
      <c r="D102" s="10"/>
      <c r="E102" s="10"/>
      <c r="F102" s="10"/>
      <c r="G102" s="10"/>
      <c r="H102" s="10"/>
      <c r="I102" s="10"/>
      <c r="J102" s="10"/>
      <c r="K102" s="10"/>
      <c r="L102" s="10"/>
      <c r="M102" s="10"/>
      <c r="N102" s="10"/>
      <c r="O102" s="10"/>
      <c r="Q102" s="430"/>
      <c r="R102" s="727"/>
      <c r="S102" s="726"/>
      <c r="T102" s="726"/>
      <c r="V102" s="727" t="s">
        <v>778</v>
      </c>
      <c r="W102" s="727" t="s">
        <v>819</v>
      </c>
      <c r="X102" s="727" t="s">
        <v>778</v>
      </c>
      <c r="Y102" s="726" t="s">
        <v>481</v>
      </c>
    </row>
    <row r="103" spans="1:25" ht="12.75" customHeight="1" x14ac:dyDescent="0.2">
      <c r="A103" s="10"/>
      <c r="Q103" s="10"/>
      <c r="R103" s="10"/>
      <c r="S103" s="10"/>
      <c r="T103" s="10"/>
      <c r="V103" s="10"/>
      <c r="W103" s="10"/>
      <c r="X103" s="10"/>
      <c r="Y103" s="10"/>
    </row>
    <row r="104" spans="1:25" ht="12.75" customHeight="1" x14ac:dyDescent="0.2">
      <c r="A104" s="883" t="s">
        <v>637</v>
      </c>
      <c r="Q104" s="10"/>
      <c r="R104" s="10"/>
      <c r="S104" s="10"/>
      <c r="T104" s="10"/>
      <c r="V104" s="10"/>
      <c r="W104" s="10"/>
      <c r="X104" s="10"/>
      <c r="Y104" s="10"/>
    </row>
    <row r="105" spans="1:25" ht="12.75" customHeight="1" x14ac:dyDescent="0.2">
      <c r="A105" s="10" t="s">
        <v>639</v>
      </c>
      <c r="Q105" s="10"/>
      <c r="R105" s="10"/>
      <c r="S105" s="10"/>
      <c r="T105" s="10"/>
      <c r="V105" s="10"/>
      <c r="W105" s="10"/>
      <c r="X105" s="10"/>
      <c r="Y105" s="10"/>
    </row>
    <row r="106" spans="1:25" ht="12.75" customHeight="1" x14ac:dyDescent="0.2">
      <c r="A106" s="10" t="s">
        <v>640</v>
      </c>
      <c r="Q106" s="10"/>
      <c r="R106" s="10"/>
      <c r="S106" s="10"/>
      <c r="T106" s="10"/>
      <c r="V106" s="10"/>
      <c r="W106" s="10"/>
      <c r="X106" s="10"/>
      <c r="Y106" s="10"/>
    </row>
    <row r="107" spans="1:25" ht="12.75" customHeight="1" x14ac:dyDescent="0.2">
      <c r="A107" s="10" t="s">
        <v>641</v>
      </c>
      <c r="Q107" s="10"/>
      <c r="R107" s="10"/>
      <c r="S107" s="10"/>
      <c r="T107" s="10"/>
      <c r="V107" s="10"/>
      <c r="W107" s="10"/>
      <c r="X107" s="10"/>
      <c r="Y107" s="10"/>
    </row>
    <row r="108" spans="1:25" ht="12.75" customHeight="1" x14ac:dyDescent="0.2">
      <c r="A108" s="10"/>
      <c r="Q108" s="10"/>
      <c r="R108" s="10"/>
      <c r="S108" s="10"/>
      <c r="T108" s="10"/>
      <c r="V108" s="10"/>
      <c r="W108" s="10"/>
      <c r="X108" s="10"/>
      <c r="Y108" s="10"/>
    </row>
    <row r="109" spans="1:25" ht="12.75" customHeight="1" outlineLevel="1" x14ac:dyDescent="0.2">
      <c r="A109" s="888" t="s">
        <v>658</v>
      </c>
      <c r="Q109" s="10"/>
      <c r="R109" s="10"/>
      <c r="S109" s="10"/>
      <c r="T109" s="10"/>
      <c r="V109" s="10"/>
      <c r="W109" s="10"/>
      <c r="X109" s="10"/>
      <c r="Y109" s="10"/>
    </row>
    <row r="110" spans="1:25" ht="12.75" customHeight="1" outlineLevel="1" x14ac:dyDescent="0.2">
      <c r="A110" s="723" t="s">
        <v>661</v>
      </c>
      <c r="Q110" s="10"/>
      <c r="R110" s="10"/>
      <c r="S110" s="10"/>
      <c r="T110" s="10"/>
      <c r="V110" s="726" t="s">
        <v>779</v>
      </c>
      <c r="W110" s="726" t="s">
        <v>820</v>
      </c>
      <c r="X110" s="10"/>
      <c r="Y110" s="10"/>
    </row>
    <row r="111" spans="1:25" ht="12.75" customHeight="1" outlineLevel="1" x14ac:dyDescent="0.2">
      <c r="A111" s="10" t="s">
        <v>780</v>
      </c>
      <c r="Q111" s="10"/>
      <c r="R111" s="10"/>
      <c r="S111" s="10"/>
      <c r="T111" s="10"/>
      <c r="V111" s="726" t="s">
        <v>781</v>
      </c>
      <c r="W111" s="726" t="s">
        <v>781</v>
      </c>
      <c r="X111" s="10"/>
      <c r="Y111" s="10"/>
    </row>
    <row r="112" spans="1:25" ht="12.75" customHeight="1" x14ac:dyDescent="0.2">
      <c r="A112" s="10"/>
      <c r="Q112" s="10"/>
      <c r="R112" s="10"/>
      <c r="S112" s="10"/>
      <c r="T112" s="10"/>
      <c r="V112" s="10"/>
      <c r="W112" s="10"/>
      <c r="X112" s="10"/>
      <c r="Y112" s="10"/>
    </row>
    <row r="113" spans="1:25" s="167" customFormat="1" ht="12.75" customHeight="1" x14ac:dyDescent="0.2">
      <c r="A113" s="585" t="s">
        <v>693</v>
      </c>
    </row>
    <row r="114" spans="1:25" ht="12.75" customHeight="1" outlineLevel="1" x14ac:dyDescent="0.2">
      <c r="A114" s="10" t="s">
        <v>395</v>
      </c>
      <c r="B114" s="13">
        <f>Revenue_Brighthouse _1Q13</f>
        <v>0</v>
      </c>
      <c r="C114" s="13">
        <f>Revenue_Brighthouse _2Q13</f>
        <v>0</v>
      </c>
      <c r="D114" s="13">
        <f>Revenue_Brighthouse _3Q13</f>
        <v>0</v>
      </c>
      <c r="E114" s="13">
        <f>Revenue_Brighthouse _4Q13</f>
        <v>0</v>
      </c>
      <c r="F114" s="13">
        <f>Revenue_Brighthouse _1Q14</f>
        <v>0</v>
      </c>
      <c r="G114" s="13">
        <f>Revenue_Brighthouse _2Q14</f>
        <v>0</v>
      </c>
      <c r="H114" s="13">
        <f>Revenue_Brighthouse _3Q14</f>
        <v>0</v>
      </c>
      <c r="I114" s="13">
        <f>Revenue_Brighthouse _4Q14</f>
        <v>0</v>
      </c>
      <c r="K114" s="13">
        <f>Revenue_Brighthouse F2013_</f>
        <v>0</v>
      </c>
      <c r="L114" s="13">
        <f>Revenue_Brighthouse F2014_</f>
        <v>0</v>
      </c>
      <c r="M114" s="13">
        <f>Revenue_Brighthouse F2015_</f>
        <v>0</v>
      </c>
      <c r="N114" s="13">
        <f>Revenue_Brighthouse F2016_</f>
        <v>0</v>
      </c>
      <c r="O114" s="13">
        <f>Revenue_Brighthouse F2017_</f>
        <v>0</v>
      </c>
      <c r="Q114" s="10"/>
      <c r="R114" s="726"/>
      <c r="S114" s="726"/>
      <c r="T114" s="727"/>
      <c r="V114" s="726"/>
      <c r="W114" s="726"/>
      <c r="X114" s="726"/>
      <c r="Y114" s="727"/>
    </row>
    <row r="115" spans="1:25" ht="12.75" customHeight="1" x14ac:dyDescent="0.2">
      <c r="A115" s="10" t="s">
        <v>416</v>
      </c>
      <c r="F115" s="731" t="e">
        <f>F114/B114-1</f>
        <v>#DIV/0!</v>
      </c>
      <c r="G115" s="731" t="e">
        <f>G114/C114-1</f>
        <v>#DIV/0!</v>
      </c>
      <c r="H115" s="731" t="e">
        <f>H114/D114-1</f>
        <v>#DIV/0!</v>
      </c>
      <c r="I115" s="731" t="e">
        <f>I114/E114-1</f>
        <v>#DIV/0!</v>
      </c>
      <c r="L115" s="731" t="e">
        <f>L114/K114-1</f>
        <v>#DIV/0!</v>
      </c>
      <c r="M115" s="731"/>
      <c r="N115" s="731"/>
      <c r="O115" s="731"/>
      <c r="Q115" s="10"/>
      <c r="R115" s="726" t="s">
        <v>481</v>
      </c>
      <c r="S115" s="726" t="s">
        <v>481</v>
      </c>
      <c r="T115" s="727" t="s">
        <v>390</v>
      </c>
      <c r="V115" s="726"/>
      <c r="W115" s="726"/>
      <c r="X115" s="726"/>
      <c r="Y115" s="727"/>
    </row>
    <row r="116" spans="1:25" ht="12.75" customHeight="1" outlineLevel="1" x14ac:dyDescent="0.2">
      <c r="A116" s="10" t="s">
        <v>230</v>
      </c>
      <c r="B116" s="8" t="e">
        <f>Core_Annuities_ATEarns _1Q13</f>
        <v>#NAME?</v>
      </c>
      <c r="C116" s="8" t="e">
        <f>Core_Annuities_ATEarns _2Q13</f>
        <v>#NAME?</v>
      </c>
      <c r="D116" s="8" t="e">
        <f>Core_Annuities_ATEarns _3Q13</f>
        <v>#NAME?</v>
      </c>
      <c r="E116" s="8" t="e">
        <f>Core_Annuities_ATEarns _4Q13</f>
        <v>#NAME?</v>
      </c>
      <c r="F116" s="8" t="e">
        <f>Core_Annuities_ATEarns _1Q14</f>
        <v>#NAME?</v>
      </c>
      <c r="G116" s="8" t="e">
        <f>Core_Annuities_ATEarns _2Q14</f>
        <v>#NAME?</v>
      </c>
      <c r="H116" s="8" t="e">
        <f>Core_Annuities_ATEarns _3Q14</f>
        <v>#NAME?</v>
      </c>
      <c r="I116" s="8" t="e">
        <f>Core_Annuities_ATEarns _4Q14</f>
        <v>#NAME?</v>
      </c>
      <c r="K116" s="8" t="e">
        <f>Core_Annuities_ATEarns F2013_</f>
        <v>#NAME?</v>
      </c>
      <c r="L116" s="8" t="e">
        <f>Core_Annuities_ATEarns F2014_</f>
        <v>#NAME?</v>
      </c>
      <c r="M116" s="8">
        <f>Core_BH_ATEarns F2015_</f>
        <v>0</v>
      </c>
      <c r="N116" s="8">
        <f>Core_BH_ATEarns F2016_</f>
        <v>0</v>
      </c>
      <c r="O116" s="8">
        <f>Core_BH_ATEarns F2017_</f>
        <v>0</v>
      </c>
      <c r="Q116" s="10"/>
      <c r="R116" s="726"/>
      <c r="S116" s="726"/>
      <c r="T116" s="727"/>
      <c r="V116" s="726"/>
      <c r="W116" s="726"/>
      <c r="X116" s="726"/>
      <c r="Y116" s="727"/>
    </row>
    <row r="117" spans="1:25" ht="12.75" customHeight="1" x14ac:dyDescent="0.2">
      <c r="A117" s="10" t="s">
        <v>419</v>
      </c>
      <c r="B117" s="10"/>
      <c r="C117" s="10"/>
      <c r="D117" s="10"/>
      <c r="E117" s="10"/>
      <c r="F117" s="731" t="e">
        <f>F116/B116-1</f>
        <v>#NAME?</v>
      </c>
      <c r="G117" s="731" t="e">
        <f>G116/C116-1</f>
        <v>#NAME?</v>
      </c>
      <c r="H117" s="731" t="e">
        <f>H116/D116-1</f>
        <v>#NAME?</v>
      </c>
      <c r="I117" s="731" t="e">
        <f>I116/E116-1</f>
        <v>#NAME?</v>
      </c>
      <c r="L117" s="731" t="e">
        <f>L116/K116-1</f>
        <v>#NAME?</v>
      </c>
      <c r="M117" s="731"/>
      <c r="N117" s="731"/>
      <c r="O117" s="731"/>
      <c r="Q117" s="10"/>
      <c r="R117" s="726" t="s">
        <v>481</v>
      </c>
      <c r="S117" s="726" t="s">
        <v>481</v>
      </c>
      <c r="T117" s="727" t="s">
        <v>390</v>
      </c>
      <c r="V117" s="726"/>
      <c r="W117" s="726"/>
      <c r="X117" s="726"/>
      <c r="Y117" s="727"/>
    </row>
    <row r="118" spans="1:25" ht="12.75" customHeight="1" x14ac:dyDescent="0.2">
      <c r="A118" s="10" t="s">
        <v>430</v>
      </c>
      <c r="B118" s="10"/>
      <c r="C118" s="10"/>
      <c r="D118" s="10"/>
      <c r="E118" s="10"/>
      <c r="F118" s="10"/>
      <c r="G118" s="10"/>
      <c r="H118" s="10"/>
      <c r="I118" s="10"/>
      <c r="J118" s="10"/>
      <c r="K118" s="10"/>
      <c r="L118" s="10"/>
      <c r="M118" s="10"/>
      <c r="N118" s="10"/>
      <c r="O118" s="10"/>
      <c r="Q118" s="10"/>
      <c r="R118" s="727" t="s">
        <v>389</v>
      </c>
      <c r="S118" s="727" t="s">
        <v>387</v>
      </c>
      <c r="T118" s="726" t="s">
        <v>481</v>
      </c>
      <c r="V118" s="727"/>
      <c r="W118" s="727"/>
      <c r="X118" s="727"/>
      <c r="Y118" s="727"/>
    </row>
    <row r="119" spans="1:25" ht="12.75" customHeight="1" x14ac:dyDescent="0.2">
      <c r="A119" s="10" t="s">
        <v>393</v>
      </c>
      <c r="Q119" s="10"/>
      <c r="R119" s="727" t="s">
        <v>431</v>
      </c>
      <c r="S119" s="727" t="s">
        <v>431</v>
      </c>
      <c r="T119" s="727" t="s">
        <v>432</v>
      </c>
      <c r="V119" s="727"/>
      <c r="W119" s="727"/>
      <c r="X119" s="727"/>
      <c r="Y119" s="727"/>
    </row>
    <row r="120" spans="1:25" ht="12.75" customHeight="1" x14ac:dyDescent="0.2">
      <c r="A120" s="10" t="s">
        <v>433</v>
      </c>
      <c r="B120" s="321">
        <v>3</v>
      </c>
      <c r="C120" s="321">
        <v>3</v>
      </c>
      <c r="D120" s="725"/>
      <c r="E120" s="321">
        <v>13</v>
      </c>
      <c r="F120" s="321"/>
      <c r="G120" s="321"/>
      <c r="H120" s="321"/>
      <c r="I120" s="321"/>
      <c r="J120" s="10"/>
      <c r="K120" s="10">
        <f>SUM(B120:E120)</f>
        <v>19</v>
      </c>
      <c r="L120" s="10"/>
      <c r="M120" s="10"/>
      <c r="N120" s="10"/>
      <c r="O120" s="10"/>
      <c r="Q120" s="24">
        <v>142</v>
      </c>
      <c r="R120" s="727" t="s">
        <v>434</v>
      </c>
      <c r="S120" s="727" t="s">
        <v>435</v>
      </c>
      <c r="T120" s="726" t="s">
        <v>481</v>
      </c>
      <c r="V120" s="727"/>
      <c r="W120" s="727"/>
      <c r="X120" s="727"/>
      <c r="Y120" s="726"/>
    </row>
    <row r="121" spans="1:25" ht="12.75" customHeight="1" x14ac:dyDescent="0.2">
      <c r="A121" s="10"/>
      <c r="Q121" s="10"/>
      <c r="R121" s="10"/>
      <c r="S121" s="10"/>
      <c r="T121" s="10"/>
      <c r="V121" s="10"/>
      <c r="W121" s="10"/>
      <c r="X121" s="10"/>
      <c r="Y121" s="10"/>
    </row>
    <row r="122" spans="1:25" s="735" customFormat="1" ht="12.75" customHeight="1" x14ac:dyDescent="0.2">
      <c r="A122" s="734" t="s">
        <v>447</v>
      </c>
      <c r="B122" s="735">
        <f>Core_CO_ATEarns _1Q13</f>
        <v>-86</v>
      </c>
      <c r="C122" s="735">
        <f>Core_CO_ATEarns _2Q13</f>
        <v>-130</v>
      </c>
      <c r="D122" s="735">
        <f>Core_CO_ATEarns _3Q13</f>
        <v>-163</v>
      </c>
      <c r="E122" s="735">
        <f>Core_CO_ATEarns _4Q13</f>
        <v>-186</v>
      </c>
      <c r="F122" s="735">
        <f>Core_CO_ATEarns _1Q14</f>
        <v>-130</v>
      </c>
      <c r="G122" s="735">
        <f>Core_CO_ATEarns _2Q14</f>
        <v>-191</v>
      </c>
      <c r="H122" s="735">
        <f>Core_CO_ATEarns _3Q14</f>
        <v>-93</v>
      </c>
      <c r="I122" s="735">
        <f>Core_CO_ATEarns _4Q14</f>
        <v>-172</v>
      </c>
      <c r="K122" s="735">
        <f>Core_CO_ATEarns F2013_</f>
        <v>-565</v>
      </c>
      <c r="L122" s="735">
        <f>Core_CO_ATEarns F2014_</f>
        <v>-586</v>
      </c>
      <c r="M122" s="735">
        <f>Core_CO_ATEarns F2015_</f>
        <v>-656</v>
      </c>
      <c r="N122" s="735">
        <f>Core_CO_ATEarns F2016_</f>
        <v>-622</v>
      </c>
      <c r="O122" s="735">
        <f>Core_CO_ATEarns F2017_</f>
        <v>-545</v>
      </c>
      <c r="R122" s="736" t="s">
        <v>448</v>
      </c>
      <c r="S122" s="736"/>
      <c r="T122" s="736"/>
      <c r="V122" s="736" t="s">
        <v>782</v>
      </c>
      <c r="W122" s="736" t="s">
        <v>782</v>
      </c>
      <c r="X122" s="736"/>
      <c r="Y122" s="736"/>
    </row>
    <row r="124" spans="1:25" ht="12.75" customHeight="1" x14ac:dyDescent="0.2">
      <c r="A124" s="884" t="s">
        <v>783</v>
      </c>
    </row>
    <row r="125" spans="1:25" ht="12.75" customHeight="1" x14ac:dyDescent="0.2">
      <c r="A125" s="2" t="s">
        <v>784</v>
      </c>
    </row>
    <row r="126" spans="1:25" ht="12.75" customHeight="1" x14ac:dyDescent="0.2">
      <c r="A126" s="2" t="s">
        <v>785</v>
      </c>
      <c r="X126" s="983" t="s">
        <v>683</v>
      </c>
    </row>
    <row r="127" spans="1:25" ht="12.75" customHeight="1" x14ac:dyDescent="0.2">
      <c r="X127" s="983"/>
    </row>
    <row r="128" spans="1:25" ht="12.75" customHeight="1" x14ac:dyDescent="0.2">
      <c r="A128" s="91">
        <v>2018</v>
      </c>
      <c r="X128" s="983"/>
    </row>
    <row r="129" spans="1:25" ht="12.75" customHeight="1" x14ac:dyDescent="0.2">
      <c r="A129" s="2" t="s">
        <v>821</v>
      </c>
      <c r="X129" s="983"/>
    </row>
    <row r="131" spans="1:25" s="167" customFormat="1" ht="12.75" customHeight="1" x14ac:dyDescent="0.2">
      <c r="A131" s="22" t="s">
        <v>554</v>
      </c>
      <c r="Q131" s="249"/>
      <c r="R131" s="249"/>
      <c r="S131" s="249"/>
      <c r="V131" s="249"/>
      <c r="W131" s="249"/>
      <c r="X131" s="249"/>
    </row>
    <row r="132" spans="1:25" ht="12.75" customHeight="1" x14ac:dyDescent="0.2">
      <c r="A132" s="2" t="s">
        <v>657</v>
      </c>
      <c r="Q132" s="250"/>
      <c r="R132" s="729"/>
      <c r="S132" s="580"/>
      <c r="T132" s="457"/>
      <c r="V132" s="580"/>
      <c r="W132" s="580"/>
      <c r="X132" s="580"/>
      <c r="Y132" s="580" t="s">
        <v>417</v>
      </c>
    </row>
    <row r="133" spans="1:25" ht="12.75" customHeight="1" x14ac:dyDescent="0.2">
      <c r="A133" s="2" t="s">
        <v>407</v>
      </c>
      <c r="Q133" s="250"/>
      <c r="R133" s="729">
        <v>0.35</v>
      </c>
      <c r="S133" s="580" t="s">
        <v>408</v>
      </c>
      <c r="T133" s="457"/>
      <c r="V133" s="580" t="s">
        <v>786</v>
      </c>
      <c r="W133" s="580" t="s">
        <v>786</v>
      </c>
      <c r="X133" s="580" t="s">
        <v>786</v>
      </c>
      <c r="Y133" s="457"/>
    </row>
    <row r="134" spans="1:25" ht="12.75" customHeight="1" x14ac:dyDescent="0.2">
      <c r="A134" s="2" t="s">
        <v>409</v>
      </c>
      <c r="Q134" s="250"/>
      <c r="R134" s="580" t="s">
        <v>410</v>
      </c>
      <c r="S134" s="580" t="s">
        <v>411</v>
      </c>
      <c r="T134" s="457"/>
      <c r="V134" s="580"/>
      <c r="W134" s="580"/>
      <c r="X134" s="580" t="s">
        <v>824</v>
      </c>
      <c r="Y134" s="457"/>
    </row>
    <row r="135" spans="1:25" ht="12.75" customHeight="1" x14ac:dyDescent="0.2">
      <c r="A135" s="2" t="s">
        <v>412</v>
      </c>
      <c r="B135" s="733">
        <f>TaxRate _1Q13</f>
        <v>27.893820713664059</v>
      </c>
      <c r="C135" s="733">
        <f>TaxRate _2Q13</f>
        <v>27.695749440715883</v>
      </c>
      <c r="D135" s="733">
        <f>TaxRate _3Q13</f>
        <v>26.3996138996139</v>
      </c>
      <c r="E135" s="733">
        <f>TaxRate _4Q13</f>
        <v>25.306314797360979</v>
      </c>
      <c r="F135" s="733">
        <f>TaxRate _1Q14</f>
        <v>27.504553734061933</v>
      </c>
      <c r="G135" s="733">
        <f>TaxRate _2Q14</f>
        <v>27.601607860652077</v>
      </c>
      <c r="H135" s="733">
        <f>TaxRate _3Q14</f>
        <v>26.12504978096376</v>
      </c>
      <c r="I135" s="733">
        <f>TaxRate _4Q14</f>
        <v>23.651844843897823</v>
      </c>
      <c r="J135" s="10"/>
      <c r="K135" s="733">
        <f>TaxRate F2013_</f>
        <v>26.859172682479659</v>
      </c>
      <c r="L135" s="733">
        <f>TaxRate F2014_</f>
        <v>26.247240618101547</v>
      </c>
      <c r="M135" s="733">
        <f>TaxRate F2015_</f>
        <v>30.232161147149199</v>
      </c>
      <c r="N135" s="733">
        <f>TaxRate F2016_</f>
        <v>19.644600663932827</v>
      </c>
      <c r="O135" s="733">
        <f>TaxRate F2017_</f>
        <v>28.854551561975146</v>
      </c>
      <c r="P135" s="10"/>
      <c r="Q135" s="250"/>
      <c r="R135" s="730">
        <v>0.27500000000000002</v>
      </c>
      <c r="S135" s="580"/>
      <c r="T135" s="457"/>
      <c r="V135" s="949">
        <v>0.23</v>
      </c>
      <c r="W135" s="949" t="s">
        <v>822</v>
      </c>
      <c r="Y135" s="457"/>
    </row>
    <row r="136" spans="1:25" ht="12.75" customHeight="1" x14ac:dyDescent="0.2">
      <c r="A136" s="2" t="s">
        <v>633</v>
      </c>
      <c r="R136" s="580" t="s">
        <v>634</v>
      </c>
      <c r="V136" s="580"/>
      <c r="W136" s="580"/>
    </row>
    <row r="137" spans="1:25" ht="12.75" customHeight="1" x14ac:dyDescent="0.2">
      <c r="A137" s="2" t="s">
        <v>652</v>
      </c>
      <c r="R137" s="580" t="s">
        <v>653</v>
      </c>
      <c r="V137" s="983"/>
      <c r="W137" s="983"/>
    </row>
    <row r="138" spans="1:25" ht="12.75" customHeight="1" x14ac:dyDescent="0.2">
      <c r="A138" s="2" t="s">
        <v>655</v>
      </c>
      <c r="R138" s="885">
        <v>2.5000000000000001E-2</v>
      </c>
      <c r="V138" s="885">
        <v>2.53E-2</v>
      </c>
      <c r="W138" s="885">
        <v>2.5999999999999999E-2</v>
      </c>
      <c r="X138" s="886" t="s">
        <v>823</v>
      </c>
      <c r="Y138" s="889" t="s">
        <v>682</v>
      </c>
    </row>
    <row r="139" spans="1:25" ht="12.75" customHeight="1" x14ac:dyDescent="0.2">
      <c r="A139" s="2" t="s">
        <v>656</v>
      </c>
      <c r="R139" s="885"/>
      <c r="V139" s="887">
        <v>121</v>
      </c>
      <c r="W139" s="887" t="s">
        <v>481</v>
      </c>
      <c r="X139" s="1148" t="s">
        <v>787</v>
      </c>
      <c r="Y139" s="885"/>
    </row>
    <row r="140" spans="1:25" ht="12.75" customHeight="1" x14ac:dyDescent="0.2">
      <c r="A140" s="2" t="s">
        <v>672</v>
      </c>
      <c r="V140" s="948">
        <v>16.5</v>
      </c>
      <c r="W140" s="887" t="s">
        <v>481</v>
      </c>
      <c r="X140" s="948">
        <v>16.5</v>
      </c>
    </row>
    <row r="141" spans="1:25" ht="12.75" customHeight="1" x14ac:dyDescent="0.2">
      <c r="A141" s="2" t="s">
        <v>677</v>
      </c>
      <c r="V141" s="948" t="s">
        <v>788</v>
      </c>
      <c r="W141" s="948" t="s">
        <v>788</v>
      </c>
      <c r="X141" s="948"/>
    </row>
    <row r="143" spans="1:25" ht="12.75" customHeight="1" x14ac:dyDescent="0.2">
      <c r="A143" s="2" t="s">
        <v>654</v>
      </c>
    </row>
  </sheetData>
  <mergeCells count="2">
    <mergeCell ref="R2:S2"/>
    <mergeCell ref="V2:X2"/>
  </mergeCells>
  <phoneticPr fontId="4" type="noConversion"/>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43"/>
  <sheetViews>
    <sheetView workbookViewId="0">
      <selection activeCell="B42" sqref="B42"/>
    </sheetView>
  </sheetViews>
  <sheetFormatPr defaultRowHeight="12.75" x14ac:dyDescent="0.2"/>
  <cols>
    <col min="1" max="1" width="29.5703125" style="1163" bestFit="1" customWidth="1"/>
    <col min="2" max="2" width="19.85546875" style="1184" customWidth="1"/>
    <col min="3" max="3" width="12" style="1163" bestFit="1" customWidth="1"/>
    <col min="4" max="256" width="9.140625" style="1163"/>
    <col min="257" max="257" width="29.5703125" style="1163" bestFit="1" customWidth="1"/>
    <col min="258" max="258" width="19.85546875" style="1163" customWidth="1"/>
    <col min="259" max="259" width="12" style="1163" bestFit="1" customWidth="1"/>
    <col min="260" max="512" width="9.140625" style="1163"/>
    <col min="513" max="513" width="29.5703125" style="1163" bestFit="1" customWidth="1"/>
    <col min="514" max="514" width="19.85546875" style="1163" customWidth="1"/>
    <col min="515" max="515" width="12" style="1163" bestFit="1" customWidth="1"/>
    <col min="516" max="768" width="9.140625" style="1163"/>
    <col min="769" max="769" width="29.5703125" style="1163" bestFit="1" customWidth="1"/>
    <col min="770" max="770" width="19.85546875" style="1163" customWidth="1"/>
    <col min="771" max="771" width="12" style="1163" bestFit="1" customWidth="1"/>
    <col min="772" max="1024" width="9.140625" style="1163"/>
    <col min="1025" max="1025" width="29.5703125" style="1163" bestFit="1" customWidth="1"/>
    <col min="1026" max="1026" width="19.85546875" style="1163" customWidth="1"/>
    <col min="1027" max="1027" width="12" style="1163" bestFit="1" customWidth="1"/>
    <col min="1028" max="1280" width="9.140625" style="1163"/>
    <col min="1281" max="1281" width="29.5703125" style="1163" bestFit="1" customWidth="1"/>
    <col min="1282" max="1282" width="19.85546875" style="1163" customWidth="1"/>
    <col min="1283" max="1283" width="12" style="1163" bestFit="1" customWidth="1"/>
    <col min="1284" max="1536" width="9.140625" style="1163"/>
    <col min="1537" max="1537" width="29.5703125" style="1163" bestFit="1" customWidth="1"/>
    <col min="1538" max="1538" width="19.85546875" style="1163" customWidth="1"/>
    <col min="1539" max="1539" width="12" style="1163" bestFit="1" customWidth="1"/>
    <col min="1540" max="1792" width="9.140625" style="1163"/>
    <col min="1793" max="1793" width="29.5703125" style="1163" bestFit="1" customWidth="1"/>
    <col min="1794" max="1794" width="19.85546875" style="1163" customWidth="1"/>
    <col min="1795" max="1795" width="12" style="1163" bestFit="1" customWidth="1"/>
    <col min="1796" max="2048" width="9.140625" style="1163"/>
    <col min="2049" max="2049" width="29.5703125" style="1163" bestFit="1" customWidth="1"/>
    <col min="2050" max="2050" width="19.85546875" style="1163" customWidth="1"/>
    <col min="2051" max="2051" width="12" style="1163" bestFit="1" customWidth="1"/>
    <col min="2052" max="2304" width="9.140625" style="1163"/>
    <col min="2305" max="2305" width="29.5703125" style="1163" bestFit="1" customWidth="1"/>
    <col min="2306" max="2306" width="19.85546875" style="1163" customWidth="1"/>
    <col min="2307" max="2307" width="12" style="1163" bestFit="1" customWidth="1"/>
    <col min="2308" max="2560" width="9.140625" style="1163"/>
    <col min="2561" max="2561" width="29.5703125" style="1163" bestFit="1" customWidth="1"/>
    <col min="2562" max="2562" width="19.85546875" style="1163" customWidth="1"/>
    <col min="2563" max="2563" width="12" style="1163" bestFit="1" customWidth="1"/>
    <col min="2564" max="2816" width="9.140625" style="1163"/>
    <col min="2817" max="2817" width="29.5703125" style="1163" bestFit="1" customWidth="1"/>
    <col min="2818" max="2818" width="19.85546875" style="1163" customWidth="1"/>
    <col min="2819" max="2819" width="12" style="1163" bestFit="1" customWidth="1"/>
    <col min="2820" max="3072" width="9.140625" style="1163"/>
    <col min="3073" max="3073" width="29.5703125" style="1163" bestFit="1" customWidth="1"/>
    <col min="3074" max="3074" width="19.85546875" style="1163" customWidth="1"/>
    <col min="3075" max="3075" width="12" style="1163" bestFit="1" customWidth="1"/>
    <col min="3076" max="3328" width="9.140625" style="1163"/>
    <col min="3329" max="3329" width="29.5703125" style="1163" bestFit="1" customWidth="1"/>
    <col min="3330" max="3330" width="19.85546875" style="1163" customWidth="1"/>
    <col min="3331" max="3331" width="12" style="1163" bestFit="1" customWidth="1"/>
    <col min="3332" max="3584" width="9.140625" style="1163"/>
    <col min="3585" max="3585" width="29.5703125" style="1163" bestFit="1" customWidth="1"/>
    <col min="3586" max="3586" width="19.85546875" style="1163" customWidth="1"/>
    <col min="3587" max="3587" width="12" style="1163" bestFit="1" customWidth="1"/>
    <col min="3588" max="3840" width="9.140625" style="1163"/>
    <col min="3841" max="3841" width="29.5703125" style="1163" bestFit="1" customWidth="1"/>
    <col min="3842" max="3842" width="19.85546875" style="1163" customWidth="1"/>
    <col min="3843" max="3843" width="12" style="1163" bestFit="1" customWidth="1"/>
    <col min="3844" max="4096" width="9.140625" style="1163"/>
    <col min="4097" max="4097" width="29.5703125" style="1163" bestFit="1" customWidth="1"/>
    <col min="4098" max="4098" width="19.85546875" style="1163" customWidth="1"/>
    <col min="4099" max="4099" width="12" style="1163" bestFit="1" customWidth="1"/>
    <col min="4100" max="4352" width="9.140625" style="1163"/>
    <col min="4353" max="4353" width="29.5703125" style="1163" bestFit="1" customWidth="1"/>
    <col min="4354" max="4354" width="19.85546875" style="1163" customWidth="1"/>
    <col min="4355" max="4355" width="12" style="1163" bestFit="1" customWidth="1"/>
    <col min="4356" max="4608" width="9.140625" style="1163"/>
    <col min="4609" max="4609" width="29.5703125" style="1163" bestFit="1" customWidth="1"/>
    <col min="4610" max="4610" width="19.85546875" style="1163" customWidth="1"/>
    <col min="4611" max="4611" width="12" style="1163" bestFit="1" customWidth="1"/>
    <col min="4612" max="4864" width="9.140625" style="1163"/>
    <col min="4865" max="4865" width="29.5703125" style="1163" bestFit="1" customWidth="1"/>
    <col min="4866" max="4866" width="19.85546875" style="1163" customWidth="1"/>
    <col min="4867" max="4867" width="12" style="1163" bestFit="1" customWidth="1"/>
    <col min="4868" max="5120" width="9.140625" style="1163"/>
    <col min="5121" max="5121" width="29.5703125" style="1163" bestFit="1" customWidth="1"/>
    <col min="5122" max="5122" width="19.85546875" style="1163" customWidth="1"/>
    <col min="5123" max="5123" width="12" style="1163" bestFit="1" customWidth="1"/>
    <col min="5124" max="5376" width="9.140625" style="1163"/>
    <col min="5377" max="5377" width="29.5703125" style="1163" bestFit="1" customWidth="1"/>
    <col min="5378" max="5378" width="19.85546875" style="1163" customWidth="1"/>
    <col min="5379" max="5379" width="12" style="1163" bestFit="1" customWidth="1"/>
    <col min="5380" max="5632" width="9.140625" style="1163"/>
    <col min="5633" max="5633" width="29.5703125" style="1163" bestFit="1" customWidth="1"/>
    <col min="5634" max="5634" width="19.85546875" style="1163" customWidth="1"/>
    <col min="5635" max="5635" width="12" style="1163" bestFit="1" customWidth="1"/>
    <col min="5636" max="5888" width="9.140625" style="1163"/>
    <col min="5889" max="5889" width="29.5703125" style="1163" bestFit="1" customWidth="1"/>
    <col min="5890" max="5890" width="19.85546875" style="1163" customWidth="1"/>
    <col min="5891" max="5891" width="12" style="1163" bestFit="1" customWidth="1"/>
    <col min="5892" max="6144" width="9.140625" style="1163"/>
    <col min="6145" max="6145" width="29.5703125" style="1163" bestFit="1" customWidth="1"/>
    <col min="6146" max="6146" width="19.85546875" style="1163" customWidth="1"/>
    <col min="6147" max="6147" width="12" style="1163" bestFit="1" customWidth="1"/>
    <col min="6148" max="6400" width="9.140625" style="1163"/>
    <col min="6401" max="6401" width="29.5703125" style="1163" bestFit="1" customWidth="1"/>
    <col min="6402" max="6402" width="19.85546875" style="1163" customWidth="1"/>
    <col min="6403" max="6403" width="12" style="1163" bestFit="1" customWidth="1"/>
    <col min="6404" max="6656" width="9.140625" style="1163"/>
    <col min="6657" max="6657" width="29.5703125" style="1163" bestFit="1" customWidth="1"/>
    <col min="6658" max="6658" width="19.85546875" style="1163" customWidth="1"/>
    <col min="6659" max="6659" width="12" style="1163" bestFit="1" customWidth="1"/>
    <col min="6660" max="6912" width="9.140625" style="1163"/>
    <col min="6913" max="6913" width="29.5703125" style="1163" bestFit="1" customWidth="1"/>
    <col min="6914" max="6914" width="19.85546875" style="1163" customWidth="1"/>
    <col min="6915" max="6915" width="12" style="1163" bestFit="1" customWidth="1"/>
    <col min="6916" max="7168" width="9.140625" style="1163"/>
    <col min="7169" max="7169" width="29.5703125" style="1163" bestFit="1" customWidth="1"/>
    <col min="7170" max="7170" width="19.85546875" style="1163" customWidth="1"/>
    <col min="7171" max="7171" width="12" style="1163" bestFit="1" customWidth="1"/>
    <col min="7172" max="7424" width="9.140625" style="1163"/>
    <col min="7425" max="7425" width="29.5703125" style="1163" bestFit="1" customWidth="1"/>
    <col min="7426" max="7426" width="19.85546875" style="1163" customWidth="1"/>
    <col min="7427" max="7427" width="12" style="1163" bestFit="1" customWidth="1"/>
    <col min="7428" max="7680" width="9.140625" style="1163"/>
    <col min="7681" max="7681" width="29.5703125" style="1163" bestFit="1" customWidth="1"/>
    <col min="7682" max="7682" width="19.85546875" style="1163" customWidth="1"/>
    <col min="7683" max="7683" width="12" style="1163" bestFit="1" customWidth="1"/>
    <col min="7684" max="7936" width="9.140625" style="1163"/>
    <col min="7937" max="7937" width="29.5703125" style="1163" bestFit="1" customWidth="1"/>
    <col min="7938" max="7938" width="19.85546875" style="1163" customWidth="1"/>
    <col min="7939" max="7939" width="12" style="1163" bestFit="1" customWidth="1"/>
    <col min="7940" max="8192" width="9.140625" style="1163"/>
    <col min="8193" max="8193" width="29.5703125" style="1163" bestFit="1" customWidth="1"/>
    <col min="8194" max="8194" width="19.85546875" style="1163" customWidth="1"/>
    <col min="8195" max="8195" width="12" style="1163" bestFit="1" customWidth="1"/>
    <col min="8196" max="8448" width="9.140625" style="1163"/>
    <col min="8449" max="8449" width="29.5703125" style="1163" bestFit="1" customWidth="1"/>
    <col min="8450" max="8450" width="19.85546875" style="1163" customWidth="1"/>
    <col min="8451" max="8451" width="12" style="1163" bestFit="1" customWidth="1"/>
    <col min="8452" max="8704" width="9.140625" style="1163"/>
    <col min="8705" max="8705" width="29.5703125" style="1163" bestFit="1" customWidth="1"/>
    <col min="8706" max="8706" width="19.85546875" style="1163" customWidth="1"/>
    <col min="8707" max="8707" width="12" style="1163" bestFit="1" customWidth="1"/>
    <col min="8708" max="8960" width="9.140625" style="1163"/>
    <col min="8961" max="8961" width="29.5703125" style="1163" bestFit="1" customWidth="1"/>
    <col min="8962" max="8962" width="19.85546875" style="1163" customWidth="1"/>
    <col min="8963" max="8963" width="12" style="1163" bestFit="1" customWidth="1"/>
    <col min="8964" max="9216" width="9.140625" style="1163"/>
    <col min="9217" max="9217" width="29.5703125" style="1163" bestFit="1" customWidth="1"/>
    <col min="9218" max="9218" width="19.85546875" style="1163" customWidth="1"/>
    <col min="9219" max="9219" width="12" style="1163" bestFit="1" customWidth="1"/>
    <col min="9220" max="9472" width="9.140625" style="1163"/>
    <col min="9473" max="9473" width="29.5703125" style="1163" bestFit="1" customWidth="1"/>
    <col min="9474" max="9474" width="19.85546875" style="1163" customWidth="1"/>
    <col min="9475" max="9475" width="12" style="1163" bestFit="1" customWidth="1"/>
    <col min="9476" max="9728" width="9.140625" style="1163"/>
    <col min="9729" max="9729" width="29.5703125" style="1163" bestFit="1" customWidth="1"/>
    <col min="9730" max="9730" width="19.85546875" style="1163" customWidth="1"/>
    <col min="9731" max="9731" width="12" style="1163" bestFit="1" customWidth="1"/>
    <col min="9732" max="9984" width="9.140625" style="1163"/>
    <col min="9985" max="9985" width="29.5703125" style="1163" bestFit="1" customWidth="1"/>
    <col min="9986" max="9986" width="19.85546875" style="1163" customWidth="1"/>
    <col min="9987" max="9987" width="12" style="1163" bestFit="1" customWidth="1"/>
    <col min="9988" max="10240" width="9.140625" style="1163"/>
    <col min="10241" max="10241" width="29.5703125" style="1163" bestFit="1" customWidth="1"/>
    <col min="10242" max="10242" width="19.85546875" style="1163" customWidth="1"/>
    <col min="10243" max="10243" width="12" style="1163" bestFit="1" customWidth="1"/>
    <col min="10244" max="10496" width="9.140625" style="1163"/>
    <col min="10497" max="10497" width="29.5703125" style="1163" bestFit="1" customWidth="1"/>
    <col min="10498" max="10498" width="19.85546875" style="1163" customWidth="1"/>
    <col min="10499" max="10499" width="12" style="1163" bestFit="1" customWidth="1"/>
    <col min="10500" max="10752" width="9.140625" style="1163"/>
    <col min="10753" max="10753" width="29.5703125" style="1163" bestFit="1" customWidth="1"/>
    <col min="10754" max="10754" width="19.85546875" style="1163" customWidth="1"/>
    <col min="10755" max="10755" width="12" style="1163" bestFit="1" customWidth="1"/>
    <col min="10756" max="11008" width="9.140625" style="1163"/>
    <col min="11009" max="11009" width="29.5703125" style="1163" bestFit="1" customWidth="1"/>
    <col min="11010" max="11010" width="19.85546875" style="1163" customWidth="1"/>
    <col min="11011" max="11011" width="12" style="1163" bestFit="1" customWidth="1"/>
    <col min="11012" max="11264" width="9.140625" style="1163"/>
    <col min="11265" max="11265" width="29.5703125" style="1163" bestFit="1" customWidth="1"/>
    <col min="11266" max="11266" width="19.85546875" style="1163" customWidth="1"/>
    <col min="11267" max="11267" width="12" style="1163" bestFit="1" customWidth="1"/>
    <col min="11268" max="11520" width="9.140625" style="1163"/>
    <col min="11521" max="11521" width="29.5703125" style="1163" bestFit="1" customWidth="1"/>
    <col min="11522" max="11522" width="19.85546875" style="1163" customWidth="1"/>
    <col min="11523" max="11523" width="12" style="1163" bestFit="1" customWidth="1"/>
    <col min="11524" max="11776" width="9.140625" style="1163"/>
    <col min="11777" max="11777" width="29.5703125" style="1163" bestFit="1" customWidth="1"/>
    <col min="11778" max="11778" width="19.85546875" style="1163" customWidth="1"/>
    <col min="11779" max="11779" width="12" style="1163" bestFit="1" customWidth="1"/>
    <col min="11780" max="12032" width="9.140625" style="1163"/>
    <col min="12033" max="12033" width="29.5703125" style="1163" bestFit="1" customWidth="1"/>
    <col min="12034" max="12034" width="19.85546875" style="1163" customWidth="1"/>
    <col min="12035" max="12035" width="12" style="1163" bestFit="1" customWidth="1"/>
    <col min="12036" max="12288" width="9.140625" style="1163"/>
    <col min="12289" max="12289" width="29.5703125" style="1163" bestFit="1" customWidth="1"/>
    <col min="12290" max="12290" width="19.85546875" style="1163" customWidth="1"/>
    <col min="12291" max="12291" width="12" style="1163" bestFit="1" customWidth="1"/>
    <col min="12292" max="12544" width="9.140625" style="1163"/>
    <col min="12545" max="12545" width="29.5703125" style="1163" bestFit="1" customWidth="1"/>
    <col min="12546" max="12546" width="19.85546875" style="1163" customWidth="1"/>
    <col min="12547" max="12547" width="12" style="1163" bestFit="1" customWidth="1"/>
    <col min="12548" max="12800" width="9.140625" style="1163"/>
    <col min="12801" max="12801" width="29.5703125" style="1163" bestFit="1" customWidth="1"/>
    <col min="12802" max="12802" width="19.85546875" style="1163" customWidth="1"/>
    <col min="12803" max="12803" width="12" style="1163" bestFit="1" customWidth="1"/>
    <col min="12804" max="13056" width="9.140625" style="1163"/>
    <col min="13057" max="13057" width="29.5703125" style="1163" bestFit="1" customWidth="1"/>
    <col min="13058" max="13058" width="19.85546875" style="1163" customWidth="1"/>
    <col min="13059" max="13059" width="12" style="1163" bestFit="1" customWidth="1"/>
    <col min="13060" max="13312" width="9.140625" style="1163"/>
    <col min="13313" max="13313" width="29.5703125" style="1163" bestFit="1" customWidth="1"/>
    <col min="13314" max="13314" width="19.85546875" style="1163" customWidth="1"/>
    <col min="13315" max="13315" width="12" style="1163" bestFit="1" customWidth="1"/>
    <col min="13316" max="13568" width="9.140625" style="1163"/>
    <col min="13569" max="13569" width="29.5703125" style="1163" bestFit="1" customWidth="1"/>
    <col min="13570" max="13570" width="19.85546875" style="1163" customWidth="1"/>
    <col min="13571" max="13571" width="12" style="1163" bestFit="1" customWidth="1"/>
    <col min="13572" max="13824" width="9.140625" style="1163"/>
    <col min="13825" max="13825" width="29.5703125" style="1163" bestFit="1" customWidth="1"/>
    <col min="13826" max="13826" width="19.85546875" style="1163" customWidth="1"/>
    <col min="13827" max="13827" width="12" style="1163" bestFit="1" customWidth="1"/>
    <col min="13828" max="14080" width="9.140625" style="1163"/>
    <col min="14081" max="14081" width="29.5703125" style="1163" bestFit="1" customWidth="1"/>
    <col min="14082" max="14082" width="19.85546875" style="1163" customWidth="1"/>
    <col min="14083" max="14083" width="12" style="1163" bestFit="1" customWidth="1"/>
    <col min="14084" max="14336" width="9.140625" style="1163"/>
    <col min="14337" max="14337" width="29.5703125" style="1163" bestFit="1" customWidth="1"/>
    <col min="14338" max="14338" width="19.85546875" style="1163" customWidth="1"/>
    <col min="14339" max="14339" width="12" style="1163" bestFit="1" customWidth="1"/>
    <col min="14340" max="14592" width="9.140625" style="1163"/>
    <col min="14593" max="14593" width="29.5703125" style="1163" bestFit="1" customWidth="1"/>
    <col min="14594" max="14594" width="19.85546875" style="1163" customWidth="1"/>
    <col min="14595" max="14595" width="12" style="1163" bestFit="1" customWidth="1"/>
    <col min="14596" max="14848" width="9.140625" style="1163"/>
    <col min="14849" max="14849" width="29.5703125" style="1163" bestFit="1" customWidth="1"/>
    <col min="14850" max="14850" width="19.85546875" style="1163" customWidth="1"/>
    <col min="14851" max="14851" width="12" style="1163" bestFit="1" customWidth="1"/>
    <col min="14852" max="15104" width="9.140625" style="1163"/>
    <col min="15105" max="15105" width="29.5703125" style="1163" bestFit="1" customWidth="1"/>
    <col min="15106" max="15106" width="19.85546875" style="1163" customWidth="1"/>
    <col min="15107" max="15107" width="12" style="1163" bestFit="1" customWidth="1"/>
    <col min="15108" max="15360" width="9.140625" style="1163"/>
    <col min="15361" max="15361" width="29.5703125" style="1163" bestFit="1" customWidth="1"/>
    <col min="15362" max="15362" width="19.85546875" style="1163" customWidth="1"/>
    <col min="15363" max="15363" width="12" style="1163" bestFit="1" customWidth="1"/>
    <col min="15364" max="15616" width="9.140625" style="1163"/>
    <col min="15617" max="15617" width="29.5703125" style="1163" bestFit="1" customWidth="1"/>
    <col min="15618" max="15618" width="19.85546875" style="1163" customWidth="1"/>
    <col min="15619" max="15619" width="12" style="1163" bestFit="1" customWidth="1"/>
    <col min="15620" max="15872" width="9.140625" style="1163"/>
    <col min="15873" max="15873" width="29.5703125" style="1163" bestFit="1" customWidth="1"/>
    <col min="15874" max="15874" width="19.85546875" style="1163" customWidth="1"/>
    <col min="15875" max="15875" width="12" style="1163" bestFit="1" customWidth="1"/>
    <col min="15876" max="16128" width="9.140625" style="1163"/>
    <col min="16129" max="16129" width="29.5703125" style="1163" bestFit="1" customWidth="1"/>
    <col min="16130" max="16130" width="19.85546875" style="1163" customWidth="1"/>
    <col min="16131" max="16131" width="12" style="1163" bestFit="1" customWidth="1"/>
    <col min="16132" max="16384" width="9.140625" style="1163"/>
  </cols>
  <sheetData>
    <row r="1" spans="1:2" x14ac:dyDescent="0.2">
      <c r="A1" s="1163" t="s">
        <v>1130</v>
      </c>
      <c r="B1" s="1183">
        <v>6.1</v>
      </c>
    </row>
    <row r="2" spans="1:2" x14ac:dyDescent="0.2">
      <c r="A2" s="1163" t="s">
        <v>1131</v>
      </c>
      <c r="B2" s="1187">
        <v>43195.36991898148</v>
      </c>
    </row>
    <row r="3" spans="1:2" x14ac:dyDescent="0.2">
      <c r="A3" s="1163" t="s">
        <v>1132</v>
      </c>
      <c r="B3" s="1184" t="s">
        <v>830</v>
      </c>
    </row>
    <row r="4" spans="1:2" x14ac:dyDescent="0.2">
      <c r="A4" s="1163" t="s">
        <v>1133</v>
      </c>
      <c r="B4" s="1184" t="s">
        <v>1134</v>
      </c>
    </row>
    <row r="5" spans="1:2" x14ac:dyDescent="0.2">
      <c r="A5" s="1163" t="s">
        <v>1135</v>
      </c>
      <c r="B5" s="1184" t="s">
        <v>1136</v>
      </c>
    </row>
    <row r="6" spans="1:2" x14ac:dyDescent="0.2">
      <c r="A6" s="1163" t="s">
        <v>1137</v>
      </c>
    </row>
    <row r="7" spans="1:2" x14ac:dyDescent="0.2">
      <c r="A7" s="1163" t="s">
        <v>530</v>
      </c>
      <c r="B7" s="1184" t="s">
        <v>109</v>
      </c>
    </row>
    <row r="8" spans="1:2" x14ac:dyDescent="0.2">
      <c r="A8" s="1163" t="s">
        <v>1138</v>
      </c>
      <c r="B8" s="1184" t="s">
        <v>1139</v>
      </c>
    </row>
    <row r="9" spans="1:2" x14ac:dyDescent="0.2">
      <c r="A9" s="1163" t="s">
        <v>1140</v>
      </c>
      <c r="B9" s="1184" t="s">
        <v>1177</v>
      </c>
    </row>
    <row r="10" spans="1:2" x14ac:dyDescent="0.2">
      <c r="A10" s="1163" t="s">
        <v>1141</v>
      </c>
    </row>
    <row r="11" spans="1:2" x14ac:dyDescent="0.2">
      <c r="A11" s="1163" t="s">
        <v>1142</v>
      </c>
    </row>
    <row r="12" spans="1:2" x14ac:dyDescent="0.2">
      <c r="A12" s="1163" t="s">
        <v>1143</v>
      </c>
    </row>
    <row r="13" spans="1:2" x14ac:dyDescent="0.2">
      <c r="A13" s="1163" t="s">
        <v>1144</v>
      </c>
    </row>
    <row r="14" spans="1:2" x14ac:dyDescent="0.2">
      <c r="A14" s="1163" t="s">
        <v>1145</v>
      </c>
    </row>
    <row r="15" spans="1:2" x14ac:dyDescent="0.2">
      <c r="A15" s="1163" t="s">
        <v>1146</v>
      </c>
    </row>
    <row r="16" spans="1:2" x14ac:dyDescent="0.2">
      <c r="A16" s="1163" t="s">
        <v>1147</v>
      </c>
    </row>
    <row r="17" spans="1:4" x14ac:dyDescent="0.2">
      <c r="A17" s="1163" t="s">
        <v>1148</v>
      </c>
      <c r="B17" s="1184" t="s">
        <v>1178</v>
      </c>
    </row>
    <row r="18" spans="1:4" x14ac:dyDescent="0.2">
      <c r="A18" s="1163" t="s">
        <v>1149</v>
      </c>
      <c r="B18" s="1184" t="s">
        <v>1181</v>
      </c>
    </row>
    <row r="19" spans="1:4" x14ac:dyDescent="0.2">
      <c r="A19" s="1163" t="s">
        <v>1150</v>
      </c>
      <c r="B19" s="1184" t="s">
        <v>153</v>
      </c>
    </row>
    <row r="20" spans="1:4" x14ac:dyDescent="0.2">
      <c r="A20" s="1163" t="s">
        <v>1151</v>
      </c>
      <c r="B20" s="1185" t="s">
        <v>1182</v>
      </c>
    </row>
    <row r="21" spans="1:4" x14ac:dyDescent="0.2">
      <c r="A21" s="1163" t="s">
        <v>1152</v>
      </c>
      <c r="B21" s="1184" t="s">
        <v>153</v>
      </c>
    </row>
    <row r="22" spans="1:4" x14ac:dyDescent="0.2">
      <c r="A22" s="1163" t="s">
        <v>1153</v>
      </c>
      <c r="B22" s="1185">
        <v>2573209</v>
      </c>
    </row>
    <row r="23" spans="1:4" x14ac:dyDescent="0.2">
      <c r="A23" s="1163" t="s">
        <v>343</v>
      </c>
      <c r="B23" s="1183">
        <v>45.85</v>
      </c>
    </row>
    <row r="24" spans="1:4" x14ac:dyDescent="0.2">
      <c r="A24" s="1163" t="s">
        <v>190</v>
      </c>
      <c r="B24" s="1184" t="s">
        <v>576</v>
      </c>
      <c r="D24" s="1163" t="s">
        <v>518</v>
      </c>
    </row>
    <row r="25" spans="1:4" x14ac:dyDescent="0.2">
      <c r="A25" s="1163" t="s">
        <v>1154</v>
      </c>
      <c r="B25" s="1184" t="s">
        <v>1183</v>
      </c>
    </row>
    <row r="26" spans="1:4" x14ac:dyDescent="0.2">
      <c r="A26" s="1163" t="s">
        <v>1155</v>
      </c>
      <c r="B26" s="1184">
        <v>0</v>
      </c>
    </row>
    <row r="27" spans="1:4" x14ac:dyDescent="0.2">
      <c r="A27" s="1163" t="s">
        <v>1156</v>
      </c>
      <c r="B27" s="1184" t="s">
        <v>1157</v>
      </c>
    </row>
    <row r="28" spans="1:4" x14ac:dyDescent="0.2">
      <c r="A28" s="1163" t="s">
        <v>1158</v>
      </c>
      <c r="B28" s="1184" t="s">
        <v>1159</v>
      </c>
    </row>
    <row r="29" spans="1:4" x14ac:dyDescent="0.2">
      <c r="A29" s="1163" t="s">
        <v>1160</v>
      </c>
    </row>
    <row r="30" spans="1:4" x14ac:dyDescent="0.2">
      <c r="A30" s="1163" t="s">
        <v>1161</v>
      </c>
    </row>
    <row r="31" spans="1:4" x14ac:dyDescent="0.2">
      <c r="A31" s="1163" t="s">
        <v>1162</v>
      </c>
    </row>
    <row r="32" spans="1:4" x14ac:dyDescent="0.2">
      <c r="A32" s="1163" t="s">
        <v>1163</v>
      </c>
      <c r="B32" s="1183"/>
    </row>
    <row r="33" spans="1:2" x14ac:dyDescent="0.2">
      <c r="A33" s="1163" t="s">
        <v>1164</v>
      </c>
      <c r="B33" s="1183"/>
    </row>
    <row r="34" spans="1:2" x14ac:dyDescent="0.2">
      <c r="A34" s="1163" t="s">
        <v>1165</v>
      </c>
      <c r="B34" s="1183"/>
    </row>
    <row r="35" spans="1:2" x14ac:dyDescent="0.2">
      <c r="A35" s="1163" t="s">
        <v>1166</v>
      </c>
      <c r="B35" s="1184">
        <v>1000000</v>
      </c>
    </row>
    <row r="36" spans="1:2" x14ac:dyDescent="0.2">
      <c r="A36" s="1163" t="s">
        <v>1167</v>
      </c>
      <c r="B36" s="1184" t="s">
        <v>1179</v>
      </c>
    </row>
    <row r="37" spans="1:2" x14ac:dyDescent="0.2">
      <c r="A37" s="1163" t="s">
        <v>1168</v>
      </c>
      <c r="B37" s="1184" t="s">
        <v>1169</v>
      </c>
    </row>
    <row r="38" spans="1:2" x14ac:dyDescent="0.2">
      <c r="A38" s="1163" t="s">
        <v>1170</v>
      </c>
      <c r="B38" s="1184" t="s">
        <v>1171</v>
      </c>
    </row>
    <row r="39" spans="1:2" x14ac:dyDescent="0.2">
      <c r="A39" s="1163" t="s">
        <v>1172</v>
      </c>
      <c r="B39" s="1184" t="s">
        <v>1180</v>
      </c>
    </row>
    <row r="40" spans="1:2" x14ac:dyDescent="0.2">
      <c r="A40" s="1163" t="s">
        <v>1173</v>
      </c>
      <c r="B40" s="1184">
        <v>1500005428</v>
      </c>
    </row>
    <row r="41" spans="1:2" x14ac:dyDescent="0.2">
      <c r="A41" s="1163" t="s">
        <v>1174</v>
      </c>
      <c r="B41" s="1184">
        <v>1</v>
      </c>
    </row>
    <row r="42" spans="1:2" x14ac:dyDescent="0.2">
      <c r="A42" s="1186" t="s">
        <v>1175</v>
      </c>
    </row>
    <row r="43" spans="1:2" x14ac:dyDescent="0.2">
      <c r="A43" s="1163" t="s">
        <v>1176</v>
      </c>
    </row>
  </sheetData>
  <pageMargins left="0.75" right="0.75" top="1" bottom="1" header="0.5" footer="0.5"/>
  <pageSetup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13"/>
  <sheetViews>
    <sheetView workbookViewId="0">
      <selection activeCell="E11" sqref="E11"/>
    </sheetView>
  </sheetViews>
  <sheetFormatPr defaultRowHeight="12.75" x14ac:dyDescent="0.2"/>
  <cols>
    <col min="1" max="1" width="28.5703125" style="1163" bestFit="1" customWidth="1"/>
    <col min="2" max="256" width="9.140625" style="1163"/>
    <col min="257" max="257" width="28.5703125" style="1163" bestFit="1" customWidth="1"/>
    <col min="258" max="512" width="9.140625" style="1163"/>
    <col min="513" max="513" width="28.5703125" style="1163" bestFit="1" customWidth="1"/>
    <col min="514" max="768" width="9.140625" style="1163"/>
    <col min="769" max="769" width="28.5703125" style="1163" bestFit="1" customWidth="1"/>
    <col min="770" max="1024" width="9.140625" style="1163"/>
    <col min="1025" max="1025" width="28.5703125" style="1163" bestFit="1" customWidth="1"/>
    <col min="1026" max="1280" width="9.140625" style="1163"/>
    <col min="1281" max="1281" width="28.5703125" style="1163" bestFit="1" customWidth="1"/>
    <col min="1282" max="1536" width="9.140625" style="1163"/>
    <col min="1537" max="1537" width="28.5703125" style="1163" bestFit="1" customWidth="1"/>
    <col min="1538" max="1792" width="9.140625" style="1163"/>
    <col min="1793" max="1793" width="28.5703125" style="1163" bestFit="1" customWidth="1"/>
    <col min="1794" max="2048" width="9.140625" style="1163"/>
    <col min="2049" max="2049" width="28.5703125" style="1163" bestFit="1" customWidth="1"/>
    <col min="2050" max="2304" width="9.140625" style="1163"/>
    <col min="2305" max="2305" width="28.5703125" style="1163" bestFit="1" customWidth="1"/>
    <col min="2306" max="2560" width="9.140625" style="1163"/>
    <col min="2561" max="2561" width="28.5703125" style="1163" bestFit="1" customWidth="1"/>
    <col min="2562" max="2816" width="9.140625" style="1163"/>
    <col min="2817" max="2817" width="28.5703125" style="1163" bestFit="1" customWidth="1"/>
    <col min="2818" max="3072" width="9.140625" style="1163"/>
    <col min="3073" max="3073" width="28.5703125" style="1163" bestFit="1" customWidth="1"/>
    <col min="3074" max="3328" width="9.140625" style="1163"/>
    <col min="3329" max="3329" width="28.5703125" style="1163" bestFit="1" customWidth="1"/>
    <col min="3330" max="3584" width="9.140625" style="1163"/>
    <col min="3585" max="3585" width="28.5703125" style="1163" bestFit="1" customWidth="1"/>
    <col min="3586" max="3840" width="9.140625" style="1163"/>
    <col min="3841" max="3841" width="28.5703125" style="1163" bestFit="1" customWidth="1"/>
    <col min="3842" max="4096" width="9.140625" style="1163"/>
    <col min="4097" max="4097" width="28.5703125" style="1163" bestFit="1" customWidth="1"/>
    <col min="4098" max="4352" width="9.140625" style="1163"/>
    <col min="4353" max="4353" width="28.5703125" style="1163" bestFit="1" customWidth="1"/>
    <col min="4354" max="4608" width="9.140625" style="1163"/>
    <col min="4609" max="4609" width="28.5703125" style="1163" bestFit="1" customWidth="1"/>
    <col min="4610" max="4864" width="9.140625" style="1163"/>
    <col min="4865" max="4865" width="28.5703125" style="1163" bestFit="1" customWidth="1"/>
    <col min="4866" max="5120" width="9.140625" style="1163"/>
    <col min="5121" max="5121" width="28.5703125" style="1163" bestFit="1" customWidth="1"/>
    <col min="5122" max="5376" width="9.140625" style="1163"/>
    <col min="5377" max="5377" width="28.5703125" style="1163" bestFit="1" customWidth="1"/>
    <col min="5378" max="5632" width="9.140625" style="1163"/>
    <col min="5633" max="5633" width="28.5703125" style="1163" bestFit="1" customWidth="1"/>
    <col min="5634" max="5888" width="9.140625" style="1163"/>
    <col min="5889" max="5889" width="28.5703125" style="1163" bestFit="1" customWidth="1"/>
    <col min="5890" max="6144" width="9.140625" style="1163"/>
    <col min="6145" max="6145" width="28.5703125" style="1163" bestFit="1" customWidth="1"/>
    <col min="6146" max="6400" width="9.140625" style="1163"/>
    <col min="6401" max="6401" width="28.5703125" style="1163" bestFit="1" customWidth="1"/>
    <col min="6402" max="6656" width="9.140625" style="1163"/>
    <col min="6657" max="6657" width="28.5703125" style="1163" bestFit="1" customWidth="1"/>
    <col min="6658" max="6912" width="9.140625" style="1163"/>
    <col min="6913" max="6913" width="28.5703125" style="1163" bestFit="1" customWidth="1"/>
    <col min="6914" max="7168" width="9.140625" style="1163"/>
    <col min="7169" max="7169" width="28.5703125" style="1163" bestFit="1" customWidth="1"/>
    <col min="7170" max="7424" width="9.140625" style="1163"/>
    <col min="7425" max="7425" width="28.5703125" style="1163" bestFit="1" customWidth="1"/>
    <col min="7426" max="7680" width="9.140625" style="1163"/>
    <col min="7681" max="7681" width="28.5703125" style="1163" bestFit="1" customWidth="1"/>
    <col min="7682" max="7936" width="9.140625" style="1163"/>
    <col min="7937" max="7937" width="28.5703125" style="1163" bestFit="1" customWidth="1"/>
    <col min="7938" max="8192" width="9.140625" style="1163"/>
    <col min="8193" max="8193" width="28.5703125" style="1163" bestFit="1" customWidth="1"/>
    <col min="8194" max="8448" width="9.140625" style="1163"/>
    <col min="8449" max="8449" width="28.5703125" style="1163" bestFit="1" customWidth="1"/>
    <col min="8450" max="8704" width="9.140625" style="1163"/>
    <col min="8705" max="8705" width="28.5703125" style="1163" bestFit="1" customWidth="1"/>
    <col min="8706" max="8960" width="9.140625" style="1163"/>
    <col min="8961" max="8961" width="28.5703125" style="1163" bestFit="1" customWidth="1"/>
    <col min="8962" max="9216" width="9.140625" style="1163"/>
    <col min="9217" max="9217" width="28.5703125" style="1163" bestFit="1" customWidth="1"/>
    <col min="9218" max="9472" width="9.140625" style="1163"/>
    <col min="9473" max="9473" width="28.5703125" style="1163" bestFit="1" customWidth="1"/>
    <col min="9474" max="9728" width="9.140625" style="1163"/>
    <col min="9729" max="9729" width="28.5703125" style="1163" bestFit="1" customWidth="1"/>
    <col min="9730" max="9984" width="9.140625" style="1163"/>
    <col min="9985" max="9985" width="28.5703125" style="1163" bestFit="1" customWidth="1"/>
    <col min="9986" max="10240" width="9.140625" style="1163"/>
    <col min="10241" max="10241" width="28.5703125" style="1163" bestFit="1" customWidth="1"/>
    <col min="10242" max="10496" width="9.140625" style="1163"/>
    <col min="10497" max="10497" width="28.5703125" style="1163" bestFit="1" customWidth="1"/>
    <col min="10498" max="10752" width="9.140625" style="1163"/>
    <col min="10753" max="10753" width="28.5703125" style="1163" bestFit="1" customWidth="1"/>
    <col min="10754" max="11008" width="9.140625" style="1163"/>
    <col min="11009" max="11009" width="28.5703125" style="1163" bestFit="1" customWidth="1"/>
    <col min="11010" max="11264" width="9.140625" style="1163"/>
    <col min="11265" max="11265" width="28.5703125" style="1163" bestFit="1" customWidth="1"/>
    <col min="11266" max="11520" width="9.140625" style="1163"/>
    <col min="11521" max="11521" width="28.5703125" style="1163" bestFit="1" customWidth="1"/>
    <col min="11522" max="11776" width="9.140625" style="1163"/>
    <col min="11777" max="11777" width="28.5703125" style="1163" bestFit="1" customWidth="1"/>
    <col min="11778" max="12032" width="9.140625" style="1163"/>
    <col min="12033" max="12033" width="28.5703125" style="1163" bestFit="1" customWidth="1"/>
    <col min="12034" max="12288" width="9.140625" style="1163"/>
    <col min="12289" max="12289" width="28.5703125" style="1163" bestFit="1" customWidth="1"/>
    <col min="12290" max="12544" width="9.140625" style="1163"/>
    <col min="12545" max="12545" width="28.5703125" style="1163" bestFit="1" customWidth="1"/>
    <col min="12546" max="12800" width="9.140625" style="1163"/>
    <col min="12801" max="12801" width="28.5703125" style="1163" bestFit="1" customWidth="1"/>
    <col min="12802" max="13056" width="9.140625" style="1163"/>
    <col min="13057" max="13057" width="28.5703125" style="1163" bestFit="1" customWidth="1"/>
    <col min="13058" max="13312" width="9.140625" style="1163"/>
    <col min="13313" max="13313" width="28.5703125" style="1163" bestFit="1" customWidth="1"/>
    <col min="13314" max="13568" width="9.140625" style="1163"/>
    <col min="13569" max="13569" width="28.5703125" style="1163" bestFit="1" customWidth="1"/>
    <col min="13570" max="13824" width="9.140625" style="1163"/>
    <col min="13825" max="13825" width="28.5703125" style="1163" bestFit="1" customWidth="1"/>
    <col min="13826" max="14080" width="9.140625" style="1163"/>
    <col min="14081" max="14081" width="28.5703125" style="1163" bestFit="1" customWidth="1"/>
    <col min="14082" max="14336" width="9.140625" style="1163"/>
    <col min="14337" max="14337" width="28.5703125" style="1163" bestFit="1" customWidth="1"/>
    <col min="14338" max="14592" width="9.140625" style="1163"/>
    <col min="14593" max="14593" width="28.5703125" style="1163" bestFit="1" customWidth="1"/>
    <col min="14594" max="14848" width="9.140625" style="1163"/>
    <col min="14849" max="14849" width="28.5703125" style="1163" bestFit="1" customWidth="1"/>
    <col min="14850" max="15104" width="9.140625" style="1163"/>
    <col min="15105" max="15105" width="28.5703125" style="1163" bestFit="1" customWidth="1"/>
    <col min="15106" max="15360" width="9.140625" style="1163"/>
    <col min="15361" max="15361" width="28.5703125" style="1163" bestFit="1" customWidth="1"/>
    <col min="15362" max="15616" width="9.140625" style="1163"/>
    <col min="15617" max="15617" width="28.5703125" style="1163" bestFit="1" customWidth="1"/>
    <col min="15618" max="15872" width="9.140625" style="1163"/>
    <col min="15873" max="15873" width="28.5703125" style="1163" bestFit="1" customWidth="1"/>
    <col min="15874" max="16128" width="9.140625" style="1163"/>
    <col min="16129" max="16129" width="28.5703125" style="1163" bestFit="1" customWidth="1"/>
    <col min="16130" max="16384" width="9.140625" style="1163"/>
  </cols>
  <sheetData>
    <row r="1" spans="1:1" x14ac:dyDescent="0.2">
      <c r="A1" s="1188" t="s">
        <v>1184</v>
      </c>
    </row>
    <row r="2" spans="1:1" x14ac:dyDescent="0.2">
      <c r="A2" s="1188" t="s">
        <v>1189</v>
      </c>
    </row>
    <row r="3" spans="1:1" x14ac:dyDescent="0.2">
      <c r="A3" s="1188" t="s">
        <v>1190</v>
      </c>
    </row>
    <row r="4" spans="1:1" x14ac:dyDescent="0.2">
      <c r="A4" s="1188" t="s">
        <v>1191</v>
      </c>
    </row>
    <row r="5" spans="1:1" x14ac:dyDescent="0.2">
      <c r="A5" s="1188" t="s">
        <v>1192</v>
      </c>
    </row>
    <row r="6" spans="1:1" x14ac:dyDescent="0.2">
      <c r="A6" s="1188" t="s">
        <v>1185</v>
      </c>
    </row>
    <row r="7" spans="1:1" x14ac:dyDescent="0.2">
      <c r="A7" s="1188" t="s">
        <v>1193</v>
      </c>
    </row>
    <row r="8" spans="1:1" x14ac:dyDescent="0.2">
      <c r="A8" s="1188" t="s">
        <v>1194</v>
      </c>
    </row>
    <row r="9" spans="1:1" x14ac:dyDescent="0.2">
      <c r="A9" s="1188" t="s">
        <v>1195</v>
      </c>
    </row>
    <row r="10" spans="1:1" x14ac:dyDescent="0.2">
      <c r="A10" s="1188" t="s">
        <v>1186</v>
      </c>
    </row>
    <row r="11" spans="1:1" x14ac:dyDescent="0.2">
      <c r="A11" s="1188" t="s">
        <v>1196</v>
      </c>
    </row>
    <row r="12" spans="1:1" x14ac:dyDescent="0.2">
      <c r="A12" s="1188" t="s">
        <v>1187</v>
      </c>
    </row>
    <row r="13" spans="1:1" x14ac:dyDescent="0.2">
      <c r="A13" s="1188" t="s">
        <v>1188</v>
      </c>
    </row>
  </sheetData>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1"/>
  <sheetViews>
    <sheetView workbookViewId="0"/>
  </sheetViews>
  <sheetFormatPr defaultRowHeight="12.75" x14ac:dyDescent="0.2"/>
  <sheetData>
    <row r="1" spans="1:2" x14ac:dyDescent="0.2">
      <c r="B1" t="s">
        <v>298</v>
      </c>
    </row>
  </sheetData>
  <phoneticPr fontId="4" type="noConversion"/>
  <pageMargins left="0.75" right="0.75" top="1" bottom="1" header="0.5" footer="0.5"/>
  <pageSetup orientation="portrait" horizontalDpi="300" verticalDpi="300" r:id="rId1"/>
  <headerFooter alignWithMargins="0"/>
  <customProperties>
    <customPr name="_FDS_0" r:id="rId2"/>
  </customProperties>
  <legacyDrawing r:id="rId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158bd2da-6bed-46e9-9a19-2d6c63bca1a9</GUID>
    <SOURCE_ALTADDRESS>$A$3:$DG$54</SOURCE_ALTADDRESS>
    <SOURCETYPE>Table</SOURCETYPE>
    <SOURCE_OBJECTNAME>Linking_Range_11</SOURCE_OBJECTNAME>
    <OBJECTTYPE>Native</OBJECTTYPE>
    <SOURCE_SHEETCODE>Sheet4</SOURCE_SHEETCODE>
    <SOURCE_SHEETNAME>FORECAST-CORE</SOURCE_SHEETNAME>
    <SOURCEAPPLICATION>EXCEL_SOURCE</SOURCEAPPLICATION>
    <UPDATEDAT>2/24/2015 4:36:11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HtmlTable</TARGETTYPE>
    <TARGETAPPLICATION>METHODE_TARGET</TARGETAPPLICATION>
    <EXTRACTSOURCEMODE>CopyToClipboard</EXTRACTSOURCEMODE>
    <TARGET_BINARYFULLNAME/>
    <TARGET_STORYFULLNAME>/MSResearch/Content/ExternalAssets/2015-02/Sections/20150223_044850_Linking_Range_11.xml</TARGET_STORYFULLNAME>
    <TARGET_UUID>c0e8f3fc-bba5-11e4-a5e9-e3b3f180109b</TARGET_UUID>
    <LINKSTATUS>Unknown</LINKSTATUS>
  </Link>
  <Link>
    <GUID>2b2e4ad1-576c-4a82-b0c1-49d0571fdf9c</GUID>
    <SOURCE_ALTADDRESS>$A$61:$DG$103</SOURCE_ALTADDRESS>
    <SOURCETYPE>Table</SOURCETYPE>
    <SOURCE_OBJECTNAME>Linking_Range_12</SOURCE_OBJECTNAME>
    <OBJECTTYPE>Native</OBJECTTYPE>
    <SOURCE_SHEETCODE>Sheet4</SOURCE_SHEETCODE>
    <SOURCE_SHEETNAME>FORECAST-CORE</SOURCE_SHEETNAME>
    <SOURCEAPPLICATION>EXCEL_SOURCE</SOURCEAPPLICATION>
    <UPDATEDAT>2/24/2015 4:36:14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/MSResearch/Content/ExternalAssets/2014-12/Images/bnTJy6zF7E2CPqzIRYtvjg--.png</TARGET_BINARYFULLNAME>
    <TARGET_STORYFULLNAME>/MSResearch/Content/ExternalAssets/2014-12/Sections/20141214_062742_Linking_Range_12.xml</TARGET_STORYFULLNAME>
    <TARGET_UUID>cd6082c0-83e8-11e4-bad3-54473684a630</TARGET_UUID>
    <TRANSPARENTBACKGROUND>False</TRANSPARENTBACKGROUND>
    <TRANSPARENTPLOTAREA>False</TRANSPARENTPLOTAREA>
    <EXTRACTSOURCEMODE>CopyToClipboard</EXTRACTSOURCEMODE>
    <LINKSTATUS>Unknown</LINKSTATUS>
  </Link>
  <Link>
    <GUID>d5369bc6-5328-433f-8420-785d3134e997</GUID>
    <SOURCE_ALTADDRESS>$A$3:$DG$54</SOURCE_ALTADDRESS>
    <SOURCETYPE>Table</SOURCETYPE>
    <SOURCE_OBJECTNAME>Linking_Range_11</SOURCE_OBJECTNAME>
    <OBJECTTYPE>Native</OBJECTTYPE>
    <SOURCE_SHEETCODE>Sheet4</SOURCE_SHEETCODE>
    <SOURCE_SHEETNAME>FORECAST-CORE</SOURCE_SHEETNAME>
    <SOURCEAPPLICATION>EXCEL_SOURCE</SOURCEAPPLICATION>
    <UPDATEDAT>2/24/2015 4:36:16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TARGET_BINARYFULLNAME>/MSResearch/Content/ExternalAssets/2014-12/Images/gwHSDm1HPUaiL3M1jZU7Ew--.png</TARGET_BINARYFULLNAME>
    <TARGET_STORYFULLNAME>/MSResearch/Content/ExternalAssets/2014-12/Sections/20141214_062728_Linking_Range_11.xml</TARGET_STORYFULLNAME>
    <TARGET_UUID>c49290c0-83e8-11e4-bad3-54473684a630</TARGET_UUID>
    <TRANSPARENTBACKGROUND>False</TRANSPARENTBACKGROUND>
    <TRANSPARENTPLOTAREA>False</TRANSPARENTPLOTAREA>
    <EXTRACTSOURCEMODE>CopyToClipboard</EXTRACTSOURCEMODE>
    <LINKSTATUS>Unknown</LINKSTATUS>
  </Link>
  <Link>
    <GUID>e900e184-5480-4f48-bae2-3d8e607b0036</GUID>
    <SOURCETYPE>Chart</SOURCETYPE>
    <SOURCE_OBJECTNAME>MWA_Risk_Reward</SOURCE_OBJECTNAME>
    <SOURCE_SHEETCODE>MWRSSData</SOURCE_SHEETCODE>
    <SOURCE_SHEETNAME>MWA RR</SOURCE_SHEETNAME>
    <OBJECTTYPE>Native</OBJECTTYPE>
    <SOURCEAPPLICATION>EXCEL_SOURCE</SOURCEAPPLICATION>
    <UPDATEDAT>5/6/2015 8:18:11 PM</UPDATEDAT>
    <SOURCE_ISOUTOFDATE>False</SOURCE_ISOUTOFDATE>
    <SOURCE_WORKBOOKNAME>MET.xlsm</SOURCE_WORKBOOKNAME>
    <SOURCE_WORKBOOKPATH>\\MSAD\ROOT\NA\NY\LIB\ER\INSURANC\life&amp;annuities\models</SOURCE_WORKBOOKPATH>
    <TRANSPARENTBACKGROUND>False</TRANSPARENTBACKGROUND>
    <TRANSPARENTPLOTAREA>False</TRANSPARENTPLOTAREA>
    <TARGETTYPE>Picture</TARGETTYPE>
    <TARGETAPPLICATION>METHODE_TARGET</TARGETAPPLICATION>
    <TABLEBACKGROUND>Existing</TABLEBACKGROUND>
    <TARGET_BINARYFULLNAME>/MSResearch/Content/ExternalAssets/2014-12/Images/-N8yQq3K8kWMSUq7dERF6Q--.png</TARGET_BINARYFULLNAME>
    <TARGET_STORYFULLNAME>/MSResearch/Content/ExternalAssets/2014-12/Sections/20141214_061337_MWA_Risk_Reward.xml</TARGET_STORYFULLNAME>
    <TARGET_UUID>d5789670-83e6-11e4-bad3-54473684a630</TARGET_UUID>
    <HIDEGRIDLINES>False</HIDEGRIDLINES>
    <EXTRACTSOURCEMODE>CopyToClipboard</EXTRACTSOURCEMODE>
    <LINKSTATUS>Unknown</LINKSTATUS>
  </Link>
  <Link>
    <GUID>db9ff4b0-b507-4312-94e3-dcfc2d1afec0</GUID>
    <SOURCE_ALTADDRESS>$B$42:$E$52</SOURCE_ALTADDRESS>
    <SOURCETYPE>Table</SOURCETYPE>
    <SOURCE_OBJECTNAME>Linking_Range_29</SOURCE_OBJECTNAME>
    <OBJECTTYPE>Native</OBJECTTYPE>
    <SOURCE_SHEETCODE>Sheet2113</SOURCE_SHEETCODE>
    <SOURCE_SHEETNAME>Core AvsE</SOURCE_SHEETNAME>
    <SOURCEAPPLICATION>EXCEL_SOURCE</SOURCEAPPLICATION>
    <UPDATEDAT>5/6/2015 11:02:14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/MSResearch/Content/ExternalAssets/2015-04/Images/Y2Mjye4sfUysHoK_5JaVpw--.png</TARGET_BINARYFULLNAME>
    <TARGET_STORYFULLNAME>/MSResearch/Content/ExternalAssets/2015-04/Sections/20150428_121343_Linking_Range_29.xml</TARGET_STORYFULLNAME>
    <TARGET_UUID>8aaba8e0-edc1-11e4-aeba-9bba02fefb2a</TARGET_UUID>
    <LINKSTATUS>Unknown</LINKSTATUS>
  </Link>
  <Link>
    <GUID>e2f2dc7a-56c8-40d1-8126-dcdf8d6cbca8</GUID>
    <SOURCE_ALTADDRESS>$B$7:$P$40</SOURCE_ALTADDRESS>
    <SOURCETYPE>Table</SOURCETYPE>
    <SOURCE_OBJECTNAME>Linking_Range_30</SOURCE_OBJECTNAME>
    <OBJECTTYPE>Native</OBJECTTYPE>
    <SOURCE_SHEETCODE>Sheet2113</SOURCE_SHEETCODE>
    <SOURCE_SHEETNAME>Core AvsE</SOURCE_SHEETNAME>
    <SOURCEAPPLICATION>EXCEL_SOURCE</SOURCEAPPLICATION>
    <UPDATEDAT>5/6/2015 11:02:17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/MSResearch/Content/ExternalAssets/2015-04/Images/fGAAU1XFBkSjlmQwUD956Q--.png</TARGET_BINARYFULLNAME>
    <TARGET_STORYFULLNAME>/MSResearch/Content/ExternalAssets/2015-04/Sections/20150429_011235_Linking_Range_30.xml</TARGET_STORYFULLNAME>
    <TARGET_UUID>edf3d2de-ee92-11e4-aeba-9bba02fefb2a</TARGET_UUID>
    <LINKSTATUS>Unknown</LINKSTATUS>
  </Link>
  <Link>
    <GUID>82a389f4-8f6a-4b57-b838-6562da0e3e6f</GUID>
    <SOURCE_ALTADDRESS>$B$42:$E$47</SOURCE_ALTADDRESS>
    <SOURCETYPE>Table</SOURCETYPE>
    <SOURCE_OBJECTNAME>Linking_Range_31</SOURCE_OBJECTNAME>
    <OBJECTTYPE>Native</OBJECTTYPE>
    <SOURCE_SHEETCODE>Sheet2113</SOURCE_SHEETCODE>
    <SOURCE_SHEETNAME>Core AvsE</SOURCE_SHEETNAME>
    <SOURCEAPPLICATION>EXCEL_SOURCE</SOURCEAPPLICATION>
    <UPDATEDAT>5/6/2015 11:02:17 PM</UPDATEDAT>
    <SOURCE_ISOUTOFDATE>False</SOURCE_ISOUTOFDATE>
    <SOURCE_WORKBOOKNAME>MET.xlsm</SOURCE_WORKBOOKNAME>
    <SOURCE_WORKBOOKPATH>\\MSAD\ROOT\NA\NY\LIB\ER\INSURANC\life&amp;annuities\models</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/MSResearch/Content/ExternalAssets/2015-05/Images/dUIMBrdV_kyAVggqvL0RLw--.png</TARGET_BINARYFULLNAME>
    <TARGET_STORYFULLNAME>/MSResearch/Content/ExternalAssets/2015-05/Sections/20150506_095109_Linking_Range_31.xml</TARGET_STORYFULLNAME>
    <TARGET_UUID>88642224-f45b-11e4-96ae-7c07ebc02301</TARGET_UUID>
    <LINKSTATUS>Unknown</LINKSTATUS>
  </Link>
</lk:Links>
</file>

<file path=customXml/itemProps1.xml><?xml version="1.0" encoding="utf-8"?>
<ds:datastoreItem xmlns:ds="http://schemas.openxmlformats.org/officeDocument/2006/customXml" ds:itemID="{2064FBA9-FFCC-40AA-AEEB-5AFB969E8ECC}">
  <ds:schemaRefs>
    <ds:schemaRef ds:uri="thomsonreuters.linking.metadatachange"/>
  </ds:schemaRefs>
</ds:datastoreItem>
</file>

<file path=customXml/itemProps2.xml><?xml version="1.0" encoding="utf-8"?>
<ds:datastoreItem xmlns:ds="http://schemas.openxmlformats.org/officeDocument/2006/customXml" ds:itemID="{2968222D-25EE-44A9-9850-C58036D76510}">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471</vt:i4>
      </vt:variant>
    </vt:vector>
  </HeadingPairs>
  <TitlesOfParts>
    <vt:vector size="478" baseType="lpstr">
      <vt:lpstr>ImportantDisclosures</vt:lpstr>
      <vt:lpstr>Input</vt:lpstr>
      <vt:lpstr>FORECAST-CORE</vt:lpstr>
      <vt:lpstr>FORECAST-REPORTED</vt:lpstr>
      <vt:lpstr>Guidance</vt:lpstr>
      <vt:lpstr>IndexInformation</vt:lpstr>
      <vt:lpstr>ModPubIndex</vt:lpstr>
      <vt:lpstr>_1Q00</vt:lpstr>
      <vt:lpstr>_1Q01</vt:lpstr>
      <vt:lpstr>_1Q02</vt:lpstr>
      <vt:lpstr>_1Q03</vt:lpstr>
      <vt:lpstr>_1Q04</vt:lpstr>
      <vt:lpstr>_1Q05</vt:lpstr>
      <vt:lpstr>_1Q06</vt:lpstr>
      <vt:lpstr>_1Q07</vt:lpstr>
      <vt:lpstr>_1Q08</vt:lpstr>
      <vt:lpstr>_1Q09</vt:lpstr>
      <vt:lpstr>_1Q10</vt:lpstr>
      <vt:lpstr>_1Q11</vt:lpstr>
      <vt:lpstr>_1Q12</vt:lpstr>
      <vt:lpstr>_1Q13</vt:lpstr>
      <vt:lpstr>_1Q14</vt:lpstr>
      <vt:lpstr>_1Q15</vt:lpstr>
      <vt:lpstr>_1Q16</vt:lpstr>
      <vt:lpstr>_1Q17</vt:lpstr>
      <vt:lpstr>_1Q18</vt:lpstr>
      <vt:lpstr>_2Q00</vt:lpstr>
      <vt:lpstr>_2Q01</vt:lpstr>
      <vt:lpstr>_2Q02</vt:lpstr>
      <vt:lpstr>_2Q03</vt:lpstr>
      <vt:lpstr>_2Q04</vt:lpstr>
      <vt:lpstr>_2Q05</vt:lpstr>
      <vt:lpstr>_2Q06</vt:lpstr>
      <vt:lpstr>_2Q07</vt:lpstr>
      <vt:lpstr>_2Q08</vt:lpstr>
      <vt:lpstr>_2Q09</vt:lpstr>
      <vt:lpstr>_2Q10</vt:lpstr>
      <vt:lpstr>_2Q11</vt:lpstr>
      <vt:lpstr>_2Q12</vt:lpstr>
      <vt:lpstr>_2Q13</vt:lpstr>
      <vt:lpstr>_2Q14</vt:lpstr>
      <vt:lpstr>_2Q15</vt:lpstr>
      <vt:lpstr>_2Q16</vt:lpstr>
      <vt:lpstr>_2Q17</vt:lpstr>
      <vt:lpstr>_2Q18</vt:lpstr>
      <vt:lpstr>_3Q00</vt:lpstr>
      <vt:lpstr>_3Q01</vt:lpstr>
      <vt:lpstr>_3Q02</vt:lpstr>
      <vt:lpstr>_3Q03</vt:lpstr>
      <vt:lpstr>_3Q04</vt:lpstr>
      <vt:lpstr>_3Q05</vt:lpstr>
      <vt:lpstr>_3Q06</vt:lpstr>
      <vt:lpstr>_3Q07</vt:lpstr>
      <vt:lpstr>_3Q08</vt:lpstr>
      <vt:lpstr>_3Q09</vt:lpstr>
      <vt:lpstr>_3Q10</vt:lpstr>
      <vt:lpstr>_3Q11</vt:lpstr>
      <vt:lpstr>_3Q12</vt:lpstr>
      <vt:lpstr>_3Q13</vt:lpstr>
      <vt:lpstr>_3Q14</vt:lpstr>
      <vt:lpstr>_3Q15</vt:lpstr>
      <vt:lpstr>_3Q16</vt:lpstr>
      <vt:lpstr>_3Q17</vt:lpstr>
      <vt:lpstr>_3Q18</vt:lpstr>
      <vt:lpstr>_4Q00</vt:lpstr>
      <vt:lpstr>_4Q01</vt:lpstr>
      <vt:lpstr>_4Q02</vt:lpstr>
      <vt:lpstr>_4Q03</vt:lpstr>
      <vt:lpstr>_4Q04</vt:lpstr>
      <vt:lpstr>_4Q05</vt:lpstr>
      <vt:lpstr>_4Q06</vt:lpstr>
      <vt:lpstr>_4Q07</vt:lpstr>
      <vt:lpstr>_4Q08</vt:lpstr>
      <vt:lpstr>_4Q09</vt:lpstr>
      <vt:lpstr>_4Q10</vt:lpstr>
      <vt:lpstr>_4Q11</vt:lpstr>
      <vt:lpstr>_4Q12</vt:lpstr>
      <vt:lpstr>_4Q13</vt:lpstr>
      <vt:lpstr>_4Q14</vt:lpstr>
      <vt:lpstr>_4Q15</vt:lpstr>
      <vt:lpstr>_4Q16</vt:lpstr>
      <vt:lpstr>_4Q17</vt:lpstr>
      <vt:lpstr>_4Q18</vt:lpstr>
      <vt:lpstr>_5_Yr</vt:lpstr>
      <vt:lpstr>aa</vt:lpstr>
      <vt:lpstr>Abnormals</vt:lpstr>
      <vt:lpstr>AdditionalInstructions</vt:lpstr>
      <vt:lpstr>ImportantDisclosures!Address</vt:lpstr>
      <vt:lpstr>AmtIssued</vt:lpstr>
      <vt:lpstr>AmtRepurch</vt:lpstr>
      <vt:lpstr>ModPubIndex!ANA</vt:lpstr>
      <vt:lpstr>annuities_core</vt:lpstr>
      <vt:lpstr>Annuities_NetRevenue</vt:lpstr>
      <vt:lpstr>Annuities_NII</vt:lpstr>
      <vt:lpstr>Annuity_Fees</vt:lpstr>
      <vt:lpstr>Asia_BenefitRatio</vt:lpstr>
      <vt:lpstr>Asia_ExpenseRatio</vt:lpstr>
      <vt:lpstr>Asia_IntCred</vt:lpstr>
      <vt:lpstr>Asia_NII</vt:lpstr>
      <vt:lpstr>Asia_PTMargins</vt:lpstr>
      <vt:lpstr>AssetMgmt_Deposits</vt:lpstr>
      <vt:lpstr>AssetMgmt_EOP_AUM</vt:lpstr>
      <vt:lpstr>AssetMgmt_NetFlows</vt:lpstr>
      <vt:lpstr>AssetMgmt_Withdrawals</vt:lpstr>
      <vt:lpstr>Assets_Pension</vt:lpstr>
      <vt:lpstr>Assets_SepAcctRetirement</vt:lpstr>
      <vt:lpstr>ATEarns_Asia</vt:lpstr>
      <vt:lpstr>ATEarns_BH</vt:lpstr>
      <vt:lpstr>ATEarns_CO</vt:lpstr>
      <vt:lpstr>ATEarns_EMEA</vt:lpstr>
      <vt:lpstr>ATEarns_Group</vt:lpstr>
      <vt:lpstr>ATEarns_Intl</vt:lpstr>
      <vt:lpstr>ATEarns_Latam</vt:lpstr>
      <vt:lpstr>ATEarns_MetHold</vt:lpstr>
      <vt:lpstr>ATEarns_PC</vt:lpstr>
      <vt:lpstr>ATEarns_Pension</vt:lpstr>
      <vt:lpstr>ATEarns_US</vt:lpstr>
      <vt:lpstr>ImportantDisclosures!Authors</vt:lpstr>
      <vt:lpstr>IndexInformation!Authors</vt:lpstr>
      <vt:lpstr>Auto_CombinedRatio</vt:lpstr>
      <vt:lpstr>Auto_LossExpense</vt:lpstr>
      <vt:lpstr>Auto_NEP</vt:lpstr>
      <vt:lpstr>Auto_UWExp</vt:lpstr>
      <vt:lpstr>Avg_Eq_ex115</vt:lpstr>
      <vt:lpstr>Avg_Eq_exFAS_exFX</vt:lpstr>
      <vt:lpstr>Avg_Eq_incl115</vt:lpstr>
      <vt:lpstr>AvgBasicShrs</vt:lpstr>
      <vt:lpstr>AvgShrsOut</vt:lpstr>
      <vt:lpstr>BHF_BenefitRatio</vt:lpstr>
      <vt:lpstr>BHF_ExpenseRatio</vt:lpstr>
      <vt:lpstr>BHF_PTMargins</vt:lpstr>
      <vt:lpstr>BIG</vt:lpstr>
      <vt:lpstr>BIG_FixPct</vt:lpstr>
      <vt:lpstr>BIG_ShrEqPct</vt:lpstr>
      <vt:lpstr>ModPubIndex!BRO</vt:lpstr>
      <vt:lpstr>Buybacks_AvgPrice</vt:lpstr>
      <vt:lpstr>BVPS_ex115</vt:lpstr>
      <vt:lpstr>BVPS_exFX</vt:lpstr>
      <vt:lpstr>BVPS_incl115</vt:lpstr>
      <vt:lpstr>Charges_Latam</vt:lpstr>
      <vt:lpstr>CommonEquity</vt:lpstr>
      <vt:lpstr>Consolidated_NII</vt:lpstr>
      <vt:lpstr>Consolidated_OperatingExpenses</vt:lpstr>
      <vt:lpstr>Consolidated_OtherRevs</vt:lpstr>
      <vt:lpstr>Consolidated_PolicyFees</vt:lpstr>
      <vt:lpstr>Consolidated_Premiums</vt:lpstr>
      <vt:lpstr>Consolidated_Revenues</vt:lpstr>
      <vt:lpstr>CopyrightStamp</vt:lpstr>
      <vt:lpstr>Core_AdjRetirement_PTEarns</vt:lpstr>
      <vt:lpstr>Core_Annuities_PTEarns</vt:lpstr>
      <vt:lpstr>Core_ATEarns</vt:lpstr>
      <vt:lpstr>Core_Bank_PTEarns</vt:lpstr>
      <vt:lpstr>Core_BH_ATEarns</vt:lpstr>
      <vt:lpstr>Core_CO_ATEarns</vt:lpstr>
      <vt:lpstr>Core_EMEA_ATEarns</vt:lpstr>
      <vt:lpstr>Core_Group_ATEarns</vt:lpstr>
      <vt:lpstr>Core_Group_PTEarns</vt:lpstr>
      <vt:lpstr>Core_GroupLife_PTEarns</vt:lpstr>
      <vt:lpstr>Core_Intl_ATEarns</vt:lpstr>
      <vt:lpstr>Core_Intl_PTEarns</vt:lpstr>
      <vt:lpstr>Core_Japan_ATEarns</vt:lpstr>
      <vt:lpstr>Core_Japan_PTEarns</vt:lpstr>
      <vt:lpstr>Core_LatAm_ATEarns</vt:lpstr>
      <vt:lpstr>Core_Latam_PTEarns</vt:lpstr>
      <vt:lpstr>Core_Life_PTEarns</vt:lpstr>
      <vt:lpstr>Core_METHold_AT</vt:lpstr>
      <vt:lpstr>Core_METHold_PT</vt:lpstr>
      <vt:lpstr>Core_NonMed_PTEarns</vt:lpstr>
      <vt:lpstr>Core_OIR_PTEarns</vt:lpstr>
      <vt:lpstr>Core_OpEPS</vt:lpstr>
      <vt:lpstr>Core_OpROE</vt:lpstr>
      <vt:lpstr>Core_Other_PTEarns</vt:lpstr>
      <vt:lpstr>Core_PC_Earns_AT</vt:lpstr>
      <vt:lpstr>Core_PC_PTEarns</vt:lpstr>
      <vt:lpstr>Core_Pensions_ATEarns</vt:lpstr>
      <vt:lpstr>Core_Retirement_ATEarns</vt:lpstr>
      <vt:lpstr>Core_Retirement_PTEarns</vt:lpstr>
      <vt:lpstr>Core_ROE</vt:lpstr>
      <vt:lpstr>Core_US_ATEarns</vt:lpstr>
      <vt:lpstr>Core_USBus_ATEarns</vt:lpstr>
      <vt:lpstr>CoreOp_EPS</vt:lpstr>
      <vt:lpstr>CoreOpEarns_AT</vt:lpstr>
      <vt:lpstr>CoreOpEarns_PT</vt:lpstr>
      <vt:lpstr>CorePTearnings_annuities</vt:lpstr>
      <vt:lpstr>CorePTEarns_Annuity</vt:lpstr>
      <vt:lpstr>CorePTEarns_CO</vt:lpstr>
      <vt:lpstr>CorePTEarns_Group</vt:lpstr>
      <vt:lpstr>CorePTEarns_Intl</vt:lpstr>
      <vt:lpstr>CorePTEarns_NonMedHealth</vt:lpstr>
      <vt:lpstr>CorePTEarns_NonTrad</vt:lpstr>
      <vt:lpstr>CorePTEarns_PC</vt:lpstr>
      <vt:lpstr>CorePTEarns_Pension</vt:lpstr>
      <vt:lpstr>CoreROE_exFAS115_exFX</vt:lpstr>
      <vt:lpstr>Corporate_SeparateAccounts_Mkt_Impact</vt:lpstr>
      <vt:lpstr>ModPubIndex!COU</vt:lpstr>
      <vt:lpstr>IndexInformation!CQEnd</vt:lpstr>
      <vt:lpstr>CredCost</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DAC</vt:lpstr>
      <vt:lpstr>DAC_Asset</vt:lpstr>
      <vt:lpstr>ImportantDisclosures!Date</vt:lpstr>
      <vt:lpstr>Debt_Underlying_Equity_Units</vt:lpstr>
      <vt:lpstr>IndexInformation!Deleted</vt:lpstr>
      <vt:lpstr>DemutExp</vt:lpstr>
      <vt:lpstr>IndexInformation!Description</vt:lpstr>
      <vt:lpstr>IndexInformation!Discipline</vt:lpstr>
      <vt:lpstr>ModPubIndex!DISCIPLINE</vt:lpstr>
      <vt:lpstr>DisclosuresText</vt:lpstr>
      <vt:lpstr>IndexInformation!Distribution</vt:lpstr>
      <vt:lpstr>DivAmt</vt:lpstr>
      <vt:lpstr>DiviAmt</vt:lpstr>
      <vt:lpstr>DivPayout</vt:lpstr>
      <vt:lpstr>DivPS</vt:lpstr>
      <vt:lpstr>ModPubIndex!DOCDAT</vt:lpstr>
      <vt:lpstr>ModPubIndex!DOCTIME</vt:lpstr>
      <vt:lpstr>IndexInformation!DocType</vt:lpstr>
      <vt:lpstr>ModPubIndex!EMAIL_ALERT</vt:lpstr>
      <vt:lpstr>IndexInformation!EmailAlert</vt:lpstr>
      <vt:lpstr>EMEA_BenefitRatio</vt:lpstr>
      <vt:lpstr>EMEA_ExpenseRatio</vt:lpstr>
      <vt:lpstr>EMEA_IntCred</vt:lpstr>
      <vt:lpstr>EMEA_NII</vt:lpstr>
      <vt:lpstr>EMEA_PTMargins</vt:lpstr>
      <vt:lpstr>EOP_Eq_ex115</vt:lpstr>
      <vt:lpstr>EOP_Eq_incl115</vt:lpstr>
      <vt:lpstr>EOP_Group_SeparateAccounts</vt:lpstr>
      <vt:lpstr>EOPShrsOut</vt:lpstr>
      <vt:lpstr>EPS_ForConsensus</vt:lpstr>
      <vt:lpstr>F1998_</vt:lpstr>
      <vt:lpstr>F1999_</vt:lpstr>
      <vt:lpstr>F2000_</vt:lpstr>
      <vt:lpstr>F2001_</vt:lpstr>
      <vt:lpstr>F2002_</vt:lpstr>
      <vt:lpstr>F2003_</vt:lpstr>
      <vt:lpstr>F2004_</vt:lpstr>
      <vt:lpstr>F2005_</vt:lpstr>
      <vt:lpstr>F2006_</vt:lpstr>
      <vt:lpstr>F2007_</vt:lpstr>
      <vt:lpstr>F2008_</vt:lpstr>
      <vt:lpstr>F2009_</vt:lpstr>
      <vt:lpstr>F2010_</vt:lpstr>
      <vt:lpstr>F2011_</vt:lpstr>
      <vt:lpstr>F2012_</vt:lpstr>
      <vt:lpstr>F2013_</vt:lpstr>
      <vt:lpstr>F2014_</vt:lpstr>
      <vt:lpstr>F2015_</vt:lpstr>
      <vt:lpstr>F2016_</vt:lpstr>
      <vt:lpstr>F2017_</vt:lpstr>
      <vt:lpstr>F2018_</vt:lpstr>
      <vt:lpstr>F2019_</vt:lpstr>
      <vt:lpstr>F2020_</vt:lpstr>
      <vt:lpstr>F2021_</vt:lpstr>
      <vt:lpstr>F2022_</vt:lpstr>
      <vt:lpstr>FA_Bal_EOP</vt:lpstr>
      <vt:lpstr>FAS115_Adjmt</vt:lpstr>
      <vt:lpstr>FD_Adjustment</vt:lpstr>
      <vt:lpstr>Fees_Intl</vt:lpstr>
      <vt:lpstr>Fees_Japan</vt:lpstr>
      <vt:lpstr>IndexInformation!FiveYearGrowthRate</vt:lpstr>
      <vt:lpstr>IndexInformation!FollowingYearEPS</vt:lpstr>
      <vt:lpstr>IndexInformation!FollowingYearTotalRevenue</vt:lpstr>
      <vt:lpstr>IndexInformation!FollowingYearTotalRevenueActual</vt:lpstr>
      <vt:lpstr>GAExp</vt:lpstr>
      <vt:lpstr>Goodwill</vt:lpstr>
      <vt:lpstr>Group_BenefitRatio</vt:lpstr>
      <vt:lpstr>Group_ExpenseRatio</vt:lpstr>
      <vt:lpstr>Group_NetRevenues</vt:lpstr>
      <vt:lpstr>Group_Premiums</vt:lpstr>
      <vt:lpstr>Group_PTMargins</vt:lpstr>
      <vt:lpstr>Group_SeparateAccounts_Mkt_Impact</vt:lpstr>
      <vt:lpstr>ModPubIndex!HL</vt:lpstr>
      <vt:lpstr>HO_CombinedRatio</vt:lpstr>
      <vt:lpstr>HO_LossExpense</vt:lpstr>
      <vt:lpstr>HO_NEP</vt:lpstr>
      <vt:lpstr>HO_UWExp</vt:lpstr>
      <vt:lpstr>ModPubIndex!IND</vt:lpstr>
      <vt:lpstr>ImportantDisclosures!Industry</vt:lpstr>
      <vt:lpstr>IndustryId</vt:lpstr>
      <vt:lpstr>ImportantDisclosures!IndustryRating</vt:lpstr>
      <vt:lpstr>Int_Exp</vt:lpstr>
      <vt:lpstr>IntCred</vt:lpstr>
      <vt:lpstr>Interest_Credited</vt:lpstr>
      <vt:lpstr>InterestCredited_Annuities</vt:lpstr>
      <vt:lpstr>InterestCredited_Retirement</vt:lpstr>
      <vt:lpstr>Intl_NII</vt:lpstr>
      <vt:lpstr>Intl_Revenues</vt:lpstr>
      <vt:lpstr>Inv_Income</vt:lpstr>
      <vt:lpstr>Investments</vt:lpstr>
      <vt:lpstr>InvInc</vt:lpstr>
      <vt:lpstr>Issuance_Timing</vt:lpstr>
      <vt:lpstr>IndexInformation!KeepVersions</vt:lpstr>
      <vt:lpstr>Label</vt:lpstr>
      <vt:lpstr>LanguageCode</vt:lpstr>
      <vt:lpstr>ImportantDisclosures!LastCell</vt:lpstr>
      <vt:lpstr>LatAm_BenefitRatio</vt:lpstr>
      <vt:lpstr>LatAm_ExpenseRatio</vt:lpstr>
      <vt:lpstr>LatAm_IntCred</vt:lpstr>
      <vt:lpstr>LatAm_NII</vt:lpstr>
      <vt:lpstr>LatAm_PTMargins</vt:lpstr>
      <vt:lpstr>Linking_2</vt:lpstr>
      <vt:lpstr>Linking_Range_11</vt:lpstr>
      <vt:lpstr>Linking_Range_12</vt:lpstr>
      <vt:lpstr>Linking_Range_15</vt:lpstr>
      <vt:lpstr>Linking_Range_16</vt:lpstr>
      <vt:lpstr>Guidance!Linking_Range_26</vt:lpstr>
      <vt:lpstr>Guidance!Linking_Range_27</vt:lpstr>
      <vt:lpstr>Guidance!Linking_Range_28</vt:lpstr>
      <vt:lpstr>Guidance!Linking_Range_29</vt:lpstr>
      <vt:lpstr>Guidance!Linking_Range_30</vt:lpstr>
      <vt:lpstr>Guidance!Linking_Range_31</vt:lpstr>
      <vt:lpstr>LTD_to_Cap_ex115</vt:lpstr>
      <vt:lpstr>LTD_to_Cap_incl115</vt:lpstr>
      <vt:lpstr>LTD_to_Eq_ex115</vt:lpstr>
      <vt:lpstr>LTD_to_LTCap_ex115</vt:lpstr>
      <vt:lpstr>LTD_to_LTCap_incl115</vt:lpstr>
      <vt:lpstr>LTDebt</vt:lpstr>
      <vt:lpstr>IndexInformation!MacroVersion</vt:lpstr>
      <vt:lpstr>METHold_Ann_AUM</vt:lpstr>
      <vt:lpstr>METHold_Annuities_AUM</vt:lpstr>
      <vt:lpstr>METHold_Life_AUM</vt:lpstr>
      <vt:lpstr>METHold_Total_AUM</vt:lpstr>
      <vt:lpstr>MH_BenefitRatio</vt:lpstr>
      <vt:lpstr>MH_ExpenseRatio</vt:lpstr>
      <vt:lpstr>MH_PTMargins</vt:lpstr>
      <vt:lpstr>ImportantDisclosures!ModelPrice</vt:lpstr>
      <vt:lpstr>IndexInformation!Multiplier</vt:lpstr>
      <vt:lpstr>NA</vt:lpstr>
      <vt:lpstr>Net_EPS</vt:lpstr>
      <vt:lpstr>Net_Revenues</vt:lpstr>
      <vt:lpstr>NetEarnedRate</vt:lpstr>
      <vt:lpstr>NetEarns</vt:lpstr>
      <vt:lpstr>NetFlows_Retirement</vt:lpstr>
      <vt:lpstr>IndexInformation!NextYearEPS</vt:lpstr>
      <vt:lpstr>IndexInformation!NextYearTotalRevenue</vt:lpstr>
      <vt:lpstr>IndexInformation!NextYearTotalRevenueActual</vt:lpstr>
      <vt:lpstr>ObjectType</vt:lpstr>
      <vt:lpstr>Op.Expenses_Asia</vt:lpstr>
      <vt:lpstr>Op.Expenses_EMEA</vt:lpstr>
      <vt:lpstr>Op.Expenses_Latam</vt:lpstr>
      <vt:lpstr>Op_Earnings_Asia</vt:lpstr>
      <vt:lpstr>Op_Earnings_EMEA</vt:lpstr>
      <vt:lpstr>Op_Earnings_Latam</vt:lpstr>
      <vt:lpstr>Op_EPS</vt:lpstr>
      <vt:lpstr>Op_ROE</vt:lpstr>
      <vt:lpstr>OpEarns_AT</vt:lpstr>
      <vt:lpstr>OpEarns_ForConsensus</vt:lpstr>
      <vt:lpstr>OpEarns_PT</vt:lpstr>
      <vt:lpstr>OpExp_Annuity</vt:lpstr>
      <vt:lpstr>OpExp_Pension</vt:lpstr>
      <vt:lpstr>OpExpenses_Group</vt:lpstr>
      <vt:lpstr>Other_Latam</vt:lpstr>
      <vt:lpstr>OtherNonOpItems</vt:lpstr>
      <vt:lpstr>ModPubIndex!PANA</vt:lpstr>
      <vt:lpstr>IndexInformation!PathName</vt:lpstr>
      <vt:lpstr>PC_ExpenseRatio</vt:lpstr>
      <vt:lpstr>PC_LossRatio</vt:lpstr>
      <vt:lpstr>PC_PTMargins</vt:lpstr>
      <vt:lpstr>PctContrib_Group</vt:lpstr>
      <vt:lpstr>PctContrib_Intl</vt:lpstr>
      <vt:lpstr>PctContrib_NonMedHealth</vt:lpstr>
      <vt:lpstr>PctContrib_OtherIndiv</vt:lpstr>
      <vt:lpstr>PctContrib_PC</vt:lpstr>
      <vt:lpstr>Pension_Fees</vt:lpstr>
      <vt:lpstr>Pension_NetRevenue</vt:lpstr>
      <vt:lpstr>Period</vt:lpstr>
      <vt:lpstr>Perpetual_Secs</vt:lpstr>
      <vt:lpstr>PfdStk</vt:lpstr>
      <vt:lpstr>PFO_Asia</vt:lpstr>
      <vt:lpstr>PFO_CorpBen</vt:lpstr>
      <vt:lpstr>PFO_EMEA</vt:lpstr>
      <vt:lpstr>PFO_Group</vt:lpstr>
      <vt:lpstr>PFO_GroupLife</vt:lpstr>
      <vt:lpstr>PFO_Health</vt:lpstr>
      <vt:lpstr>PFO_Intl</vt:lpstr>
      <vt:lpstr>PFO_LatAm</vt:lpstr>
      <vt:lpstr>PFO_life</vt:lpstr>
      <vt:lpstr>PFO_PC</vt:lpstr>
      <vt:lpstr>PFO_Retirement</vt:lpstr>
      <vt:lpstr>PolicyLiabilities</vt:lpstr>
      <vt:lpstr>Premiums_Intl</vt:lpstr>
      <vt:lpstr>Premiums_Japan</vt:lpstr>
      <vt:lpstr>Premiums_LatAM</vt:lpstr>
      <vt:lpstr>Premiums_Total</vt:lpstr>
      <vt:lpstr>'FORECAST-CORE'!Print_Area</vt:lpstr>
      <vt:lpstr>'FORECAST-REPORTED'!Print_Area</vt:lpstr>
      <vt:lpstr>Input!Print_Area</vt:lpstr>
      <vt:lpstr>ModPubIndex!PRODUCT</vt:lpstr>
      <vt:lpstr>ModPubIndex!PSYM</vt:lpstr>
      <vt:lpstr>PTEarns_Annuity</vt:lpstr>
      <vt:lpstr>PTEarns_CO</vt:lpstr>
      <vt:lpstr>PTEarns_Intl</vt:lpstr>
      <vt:lpstr>PTEarns_Pension</vt:lpstr>
      <vt:lpstr>IndexInformation!PublishDate</vt:lpstr>
      <vt:lpstr>IndexInformation!Rating</vt:lpstr>
      <vt:lpstr>ImportantDisclosures!RatingsDefined</vt:lpstr>
      <vt:lpstr>RealGainLoss</vt:lpstr>
      <vt:lpstr>Rep_Other_PTEarns</vt:lpstr>
      <vt:lpstr>Rep_ROE_ex115</vt:lpstr>
      <vt:lpstr>Rep_ROE_incl115</vt:lpstr>
      <vt:lpstr>Rep_Timing</vt:lpstr>
      <vt:lpstr>Reported_EPS</vt:lpstr>
      <vt:lpstr>IndexInformation!ResearchTopic</vt:lpstr>
      <vt:lpstr>Retirement_MktImpact</vt:lpstr>
      <vt:lpstr>Retirement_NetFlows</vt:lpstr>
      <vt:lpstr>Retirement_NII</vt:lpstr>
      <vt:lpstr>Rev</vt:lpstr>
      <vt:lpstr>Rev_Intl</vt:lpstr>
      <vt:lpstr>Rev_PC</vt:lpstr>
      <vt:lpstr>Rev_Pension</vt:lpstr>
      <vt:lpstr>Revenue_Asia</vt:lpstr>
      <vt:lpstr>Revenue_Brighthouse</vt:lpstr>
      <vt:lpstr>Revenue_EMEA</vt:lpstr>
      <vt:lpstr>Revenue_Latam</vt:lpstr>
      <vt:lpstr>Revenue_MetHoldings</vt:lpstr>
      <vt:lpstr>IndexInformation!RIC</vt:lpstr>
      <vt:lpstr>RIS_BenefitRatio</vt:lpstr>
      <vt:lpstr>RIS_ExpenseRatio</vt:lpstr>
      <vt:lpstr>RIS_PTMargins</vt:lpstr>
      <vt:lpstr>Sale_UL</vt:lpstr>
      <vt:lpstr>Sales_FA</vt:lpstr>
      <vt:lpstr>Sales_FixLife</vt:lpstr>
      <vt:lpstr>Sales_GrossVA</vt:lpstr>
      <vt:lpstr>Sales_IndividualLife</vt:lpstr>
      <vt:lpstr>Sales_Term</vt:lpstr>
      <vt:lpstr>Sales_TL</vt:lpstr>
      <vt:lpstr>Sales_Trad</vt:lpstr>
      <vt:lpstr>Sales_UL</vt:lpstr>
      <vt:lpstr>Sales_VA</vt:lpstr>
      <vt:lpstr>Sales_VL</vt:lpstr>
      <vt:lpstr>IndexInformation!SEDOL</vt:lpstr>
      <vt:lpstr>SeptAcct</vt:lpstr>
      <vt:lpstr>ShareBuyback</vt:lpstr>
      <vt:lpstr>ShrsIssued</vt:lpstr>
      <vt:lpstr>ShrsRepurch</vt:lpstr>
      <vt:lpstr>SOI_FAFlows</vt:lpstr>
      <vt:lpstr>SOI_Life_Sales</vt:lpstr>
      <vt:lpstr>SOI_VAFlows</vt:lpstr>
      <vt:lpstr>ImportantDisclosures!SourceDefined</vt:lpstr>
      <vt:lpstr>Spread_CorpBenefit</vt:lpstr>
      <vt:lpstr>STDebt</vt:lpstr>
      <vt:lpstr>ImportantDisclosures!StockRating</vt:lpstr>
      <vt:lpstr>IndexInformation!SubjectCode</vt:lpstr>
      <vt:lpstr>SubmitterUserId</vt:lpstr>
      <vt:lpstr>ModPubIndex!SUPPRESSED</vt:lpstr>
      <vt:lpstr>Surrenders_VA</vt:lpstr>
      <vt:lpstr>ImportantDisclosures!TargetPrice</vt:lpstr>
      <vt:lpstr>taxes</vt:lpstr>
      <vt:lpstr>TaxRate</vt:lpstr>
      <vt:lpstr>TemplateRegion</vt:lpstr>
      <vt:lpstr>ImportantDisclosures!Ticker</vt:lpstr>
      <vt:lpstr>TickerRegion</vt:lpstr>
      <vt:lpstr>IndexInformation!Tickers</vt:lpstr>
      <vt:lpstr>Tot_Debt</vt:lpstr>
      <vt:lpstr>Total_Cap_ex115</vt:lpstr>
      <vt:lpstr>Total_Cap_incl115</vt:lpstr>
      <vt:lpstr>Total_DAC</vt:lpstr>
      <vt:lpstr>Total_Expenses</vt:lpstr>
      <vt:lpstr>TotalAssets</vt:lpstr>
      <vt:lpstr>TotalAssetsexFASexSA</vt:lpstr>
      <vt:lpstr>TotalNonOpItems</vt:lpstr>
      <vt:lpstr>TotalRev_Asia</vt:lpstr>
      <vt:lpstr>TotalRev_EMEA</vt:lpstr>
      <vt:lpstr>TotalRev_Group</vt:lpstr>
      <vt:lpstr>TotalRev_Latam</vt:lpstr>
      <vt:lpstr>IndexInformation!UpdateReason</vt:lpstr>
      <vt:lpstr>VA_Bal_EOP</vt:lpstr>
      <vt:lpstr>VA_Earns</vt:lpstr>
      <vt:lpstr>VA_Expenses</vt:lpstr>
      <vt:lpstr>VA_Fees</vt:lpstr>
      <vt:lpstr>VA_NII</vt:lpstr>
      <vt:lpstr>VARetire_Earns</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2000-08-18T14:54:36Z</dcterms:created>
  <dc:creator>leewong</dc:creator>
  <cp:lastModifiedBy>Rogow, Jonathan (COMPLIANCE)</cp:lastModifiedBy>
  <cp:lastPrinted>2018-04-04T19:47:21Z</cp:lastPrinted>
  <dcterms:modified xsi:type="dcterms:W3CDTF">2018-04-05T13:22:02Z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2</vt:lpwstr>
  </property>
  <property fmtid="{D5CDD505-2E9C-101B-9397-08002B2CF9AE}" name="LinkingAutoNameNumberLinking_Range_" pid="4">
    <vt:lpwstr>34</vt:lpwstr>
  </property>
  <property fmtid="{D5CDD505-2E9C-101B-9397-08002B2CF9AE}" name="{A44787D4-0540-4523-9961-78E4036D8C6D}" pid="5">
    <vt:lpwstr>{FB42350B-6B46-4162-AD3B-FEEB75B30666}</vt:lpwstr>
  </property>
  <property fmtid="{D5CDD505-2E9C-101B-9397-08002B2CF9AE}" name="ERModPubTicket" pid="6">
    <vt:lpwstr>NA</vt:lpwstr>
  </property>
  <property fmtid="{D5CDD505-2E9C-101B-9397-08002B2CF9AE}" name="ERCompanyUploadState" pid="7">
    <vt:lpwstr>P</vt:lpwstr>
  </property>
  <property fmtid="{D5CDD505-2E9C-101B-9397-08002B2CF9AE}" name="ModelId" pid="8">
    <vt:lpwstr>759664</vt:lpwstr>
  </property>
  <property fmtid="{D5CDD505-2E9C-101B-9397-08002B2CF9AE}" name="ERModPubCompanyName" pid="9">
    <vt:lpwstr>MetLife Inc.</vt:lpwstr>
  </property>
  <property fmtid="{D5CDD505-2E9C-101B-9397-08002B2CF9AE}" name="MSDH34TAG" pid="10">
    <vt:lpwstr>.TEZUF76X5TAHATHESADREYAK-00-INB160+*94600-06=3d084d0c/-38d0/-11e8/-bf62/-2af41e5950fc,MD=20180405092230/-0400,ZZ=000Z-390c.</vt:lpwstr>
  </property>
</Properties>
</file>